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_rels/sheet15.xml.rels" ContentType="application/vnd.openxmlformats-package.relationships+xml"/>
  <Override PartName="/xl/worksheets/_rels/sheet14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13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1.png" ContentType="image/png"/>
  <Override PartName="/xl/media/image8.jpeg" ContentType="image/jpeg"/>
  <Override PartName="/xl/media/image2.jpeg" ContentType="image/jpeg"/>
  <Override PartName="/xl/media/image5.png" ContentType="image/png"/>
  <Override PartName="/xl/media/image9.jpeg" ContentType="image/jpeg"/>
  <Override PartName="/xl/media/image10.png" ContentType="image/png"/>
  <Override PartName="/xl/media/image3.jpeg" ContentType="image/jpeg"/>
  <Override PartName="/xl/media/image4.png" ContentType="image/png"/>
  <Override PartName="/xl/media/image6.jpeg" ContentType="image/jpeg"/>
  <Override PartName="/xl/media/image7.jpeg" ContentType="image/jpeg"/>
  <Override PartName="/xl/media/image11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Право" sheetId="1" state="visible" r:id="rId2"/>
    <sheet name="Прайс лист" sheetId="2" state="visible" r:id="rId3"/>
    <sheet name="Ввод данных" sheetId="3" state="visible" r:id="rId4"/>
    <sheet name="пристройка" sheetId="4" state="hidden" r:id="rId5"/>
    <sheet name="дома" sheetId="5" state="hidden" r:id="rId6"/>
    <sheet name="отделка" sheetId="6" state="hidden" r:id="rId7"/>
    <sheet name="перекрытие" sheetId="7" state="hidden" r:id="rId8"/>
    <sheet name="фундамент" sheetId="8" state="hidden" r:id="rId9"/>
    <sheet name="крыша" sheetId="9" state="hidden" r:id="rId10"/>
    <sheet name="Спецификация" sheetId="10" state="visible" r:id="rId11"/>
    <sheet name="связи1" sheetId="11" state="hidden" r:id="rId12"/>
    <sheet name="инженерка" sheetId="12" state="hidden" r:id="rId13"/>
    <sheet name="Смета Внутр" sheetId="13" state="visible" r:id="rId14"/>
    <sheet name="Смета для Зак укр" sheetId="14" state="visible" r:id="rId15"/>
    <sheet name="Смета для Зак расш" sheetId="15" state="visible" r:id="rId16"/>
  </sheets>
  <definedNames>
    <definedName function="false" hidden="true" localSheetId="12" name="_xlnm._FilterDatabase" vbProcedure="false">'Смета Внутр'!$H$11:$H$2507</definedName>
    <definedName function="false" hidden="true" localSheetId="14" name="_xlnm._FilterDatabase" vbProcedure="false">'Смета для Зак расш'!$J$11:$J$2488</definedName>
    <definedName function="false" hidden="true" localSheetId="13" name="_xlnm._FilterDatabase" vbProcedure="false">'Смета для Зак укр'!$F$12:$F$2346</definedName>
    <definedName function="false" hidden="true" localSheetId="9" name="_xlnm._FilterDatabase" vbProcedure="false">Спецификация!$H$3:$H$872</definedName>
    <definedName function="false" hidden="false" name="CR02_55X78" vbProcedure="false">'Прайс лист'!$B$1337:$B$1348</definedName>
    <definedName function="false" hidden="false" name="H_боковых_стен_дома_одинаковая" vbProcedure="false">связи1!$A$128:$A$129</definedName>
    <definedName function="false" hidden="false" name="аааааа" vbProcedure="false">'Прайс лист'!$B$820:$B$831</definedName>
    <definedName function="false" hidden="false" name="ававав" vbProcedure="false">'Прайс лист'!$B$258:$B$270</definedName>
    <definedName function="false" hidden="false" name="ап" vbProcedure="false">связи1!$Q$2:$Q$22</definedName>
    <definedName function="false" hidden="false" name="апап" vbProcedure="false">связи1!$H$26:$H$31</definedName>
    <definedName function="false" hidden="false" name="апапапп" vbProcedure="false">связи1!$H$34:$H$36</definedName>
    <definedName function="false" hidden="false" name="апарппнр" vbProcedure="false">связи1!$A$432:$A$440</definedName>
    <definedName function="false" hidden="false" name="Арматура_М6_каждый_3_й_ряд__2_нити" vbProcedure="false">связи1!$A$356:$A$363</definedName>
    <definedName function="false" hidden="false" name="Арматура_М8" vbProcedure="false">связи1!$A$399:$A$405</definedName>
    <definedName function="false" hidden="false" name="Арматура_стальная_Ø_6" vbProcedure="false">'Прайс лист'!$B$199:$B$210</definedName>
    <definedName function="false" hidden="false" name="Бетон__м200" vbProcedure="false">'Прайс лист'!$B$225:$G$232</definedName>
    <definedName function="false" hidden="false" name="Блок_хаус" vbProcedure="false">'Прайс лист'!$B$691:$B$696</definedName>
    <definedName function="false" hidden="false" name="Блоки_ФБС" vbProcedure="false">связи1!$F$22:$G$23</definedName>
    <definedName function="false" hidden="false" name="бревна" vbProcedure="false">связи1!$A$63:$A$66</definedName>
    <definedName function="false" hidden="false" name="Брус" vbProcedure="false">'Прайс лист'!$B$334:$B$353</definedName>
    <definedName function="false" hidden="false" name="Брус_естественной_влажности__200_100мм" vbProcedure="false">связи1!$A$204:$A$209</definedName>
    <definedName function="false" hidden="false" name="БрусКлееный" vbProcedure="false">'Прайс лист'!$B$354:$B$377</definedName>
    <definedName function="false" hidden="false" name="БрусПрофилированный" vbProcedure="false">'Прайс лист'!$B$403:$B$419</definedName>
    <definedName function="false" hidden="false" name="БрусПрофилированныйсухой" vbProcedure="false">'Прайс лист'!$B$390:$B$402</definedName>
    <definedName function="false" hidden="false" name="вавава" vbProcedure="false">связи1!$A$196:$A$198</definedName>
    <definedName function="false" hidden="false" name="вавававввв" vbProcedure="false">'Прайс лист'!$B$744:$B$782</definedName>
    <definedName function="false" hidden="false" name="вваенр" vbProcedure="false">связи1!$F$203:$F$213</definedName>
    <definedName function="false" hidden="false" name="ввв" vbProcedure="false">связи1!$R$2:$R$157</definedName>
    <definedName function="false" hidden="false" name="ввввв" vbProcedure="false">связи1!$A$408:$A$416</definedName>
    <definedName function="false" hidden="false" name="ввввыывывыв" vbProcedure="false">'Прайс лист'!$B$225:$B$232</definedName>
    <definedName function="false" hidden="false" name="вент_зазор" vbProcedure="false">связи1!$E$12:$E$23</definedName>
    <definedName function="false" hidden="false" name="ВинтовыеСваи" vbProcedure="false">'Прайс лист'!$B$908:$B$968</definedName>
    <definedName function="false" hidden="false" name="Выключатель_1" vbProcedure="false">'Прайс лист'!$B$1250:$B$1254</definedName>
    <definedName function="false" hidden="false" name="выпуски" vbProcedure="false">связи1!$A$99:$A$102</definedName>
    <definedName function="false" hidden="false" name="высота" vbProcedure="false">связи1!$B$44:$D$51</definedName>
    <definedName function="false" hidden="false" name="высота1этажа" vbProcedure="false">связи1!$S$2:$S$42</definedName>
    <definedName function="false" hidden="false" name="выше_основной_кровли" vbProcedure="false">связи1!$A$114:$A$117</definedName>
    <definedName function="false" hidden="false" name="выысота" vbProcedure="false">связи1!$B$44:$B$51</definedName>
    <definedName function="false" hidden="false" name="Газобетон" vbProcedure="false">связи1!$A$255:$A$296</definedName>
    <definedName function="false" hidden="false" name="ддд" vbProcedure="false">связи1!$H$46:$H$48</definedName>
    <definedName function="false" hidden="false" name="Декоративнаяштукатурка" vbProcedure="false">'Прайс лист'!$B$1582:$B$1586</definedName>
    <definedName function="false" hidden="false" name="Деревянное_перекрытие__брус" vbProcedure="false">связи1!$H$38:$H$41</definedName>
    <definedName function="false" hidden="false" name="ДикоеБревно" vbProcedure="false">'Прайс лист'!$B$485:$B$528</definedName>
    <definedName function="false" hidden="false" name="длина" vbProcedure="false">связи1!$S$2:$S$158</definedName>
    <definedName function="false" hidden="false" name="Дом_из_кирпича" vbProcedure="false">связи1!$A$35:$A$41</definedName>
    <definedName function="false" hidden="false" name="Дом_из_одного_материала" vbProcedure="false">связи1!$A$149:$A$185</definedName>
    <definedName function="false" hidden="false" name="Доска_сухая__200_50мм" vbProcedure="false">связи1!$A$408:$A$416</definedName>
    <definedName function="false" hidden="false" name="Доставка" vbProcedure="false">связи1!$F$29:$F$46</definedName>
    <definedName function="false" hidden="false" name="Дренажный_колодец_D300" vbProcedure="false">'Прайс лист'!$B$1124:$B$1127</definedName>
    <definedName function="false" hidden="false" name="Евровагонка" vbProcedure="false">'Прайс лист'!$B$703:$B$708</definedName>
    <definedName function="false" hidden="false" name="Евровагонка." vbProcedure="false">'Прайс лист'!$B$703:$B$714</definedName>
    <definedName function="false" hidden="false" name="ееее" vbProcedure="false">связи1!$A$418:$A$421</definedName>
    <definedName function="false" hidden="false" name="ен" vbProcedure="false">связи1!$H$8:$H$10</definedName>
    <definedName function="false" hidden="false" name="Имитация_бруса" vbProcedure="false">'Прайс лист'!$B$697:$B$702</definedName>
    <definedName function="false" hidden="false" name="каркасарматуры" vbProcedure="false">связи1!$F$30:$F$32</definedName>
    <definedName function="false" hidden="false" name="Каркасный" vbProcedure="false">связи1!$A$408:$A$416</definedName>
    <definedName function="false" hidden="false" name="Каркасный_дом" vbProcedure="false">связи1!$A$150:$A$185</definedName>
    <definedName function="false" hidden="false" name="Кирпич" vbProcedure="false">'Прайс лист'!$B$979:$B$1017</definedName>
    <definedName function="false" hidden="false" name="КирпичОблицовочный" vbProcedure="false">связи1!$A$495:$A$534</definedName>
    <definedName function="false" hidden="false" name="Клей_монтажный_ВК_100" vbProcedure="false">связи1!$A$315:$A$317</definedName>
    <definedName function="false" hidden="false" name="Коллектор_1" vbProcedure="false">'Прайс лист'!$B$1092:$B$1099</definedName>
    <definedName function="false" hidden="false" name="Конек_по_центру_дома" vbProcedure="false">связи1!$A$132:$A$133</definedName>
    <definedName function="false" hidden="false" name="Контрлаги_считать" vbProcedure="false">связи1!$A$53:$A$54</definedName>
    <definedName function="false" hidden="false" name="Лен_джут_10х0_5х2000" vbProcedure="false">'Прайс лист'!$B$428:$B$432</definedName>
    <definedName function="false" hidden="false" name="ЛенточныйФундамент" vbProcedure="false">связи1!$A$468:$A$473</definedName>
    <definedName function="false" hidden="false" name="м.п." vbProcedure="false">'Ввод данных'!$C$216</definedName>
    <definedName function="false" hidden="false" name="мансара" vbProcedure="false">связи1!$D$44:$D$75</definedName>
    <definedName function="false" hidden="false" name="МатериалБревно" vbProcedure="false">'Прайс лист'!$B$441:$B$528</definedName>
    <definedName function="false" hidden="false" name="МатериалБрус" vbProcedure="false">'Прайс лист'!$B$333:$B$419</definedName>
    <definedName function="false" hidden="false" name="Металлочерепица" vbProcedure="false">связи1!$A$6:$A$9</definedName>
    <definedName function="false" hidden="false" name="Монтаж_свай_гидравлика" vbProcedure="false">связи1!$F$25:$F$26</definedName>
    <definedName function="false" hidden="false" name="монтаж_свай_гидравликой" vbProcedure="false">связи1!$A$483:$A$484</definedName>
    <definedName function="false" hidden="false" name="натяжной" vbProcedure="false">связи1!$H$18:$H$23</definedName>
    <definedName function="false" hidden="false" name="Не_буду_считать" vbProcedure="false">связи1!$A$57:$A$61</definedName>
    <definedName function="false" hidden="false" name="Не_использовать_S_в_доме_под_балкон_терассу" vbProcedure="false">связи1!$A$191:$A$193</definedName>
    <definedName function="false" hidden="false" name="Не_считать_конопатку_дома" vbProcedure="false">связи1!$A$475:$A$476</definedName>
    <definedName function="false" hidden="false" name="нет" vbProcedure="false">связи1!$H$3:$H$5</definedName>
    <definedName function="false" hidden="false" name="Нет_анкерных_болтов" vbProcedure="false">'Прайс лист'!$B$858:$B$870</definedName>
    <definedName function="false" hidden="false" name="нет_ветроизоляции" vbProcedure="false">'Прайс лист'!$B$793:$B$819</definedName>
    <definedName function="false" hidden="false" name="нет_выбора" vbProcedure="false">'Прайс лист'!$B$908:$B$968</definedName>
    <definedName function="false" hidden="false" name="Нет_гвоздей_ершоных" vbProcedure="false">'Прайс лист'!$B$896:$B$898</definedName>
    <definedName function="false" hidden="false" name="Нет_гвоздей_строительных" vbProcedure="false">'Прайс лист'!$B$888:$B$891</definedName>
    <definedName function="false" hidden="false" name="Нет_гидроизоляции" vbProcedure="false">'Прайс лист'!$B$1389:$B$1392</definedName>
    <definedName function="false" hidden="false" name="Нет_гофры" vbProcedure="false">'Прайс лист'!$B$1213:$B$1235</definedName>
    <definedName function="false" hidden="false" name="Нет_грунтовки" vbProcedure="false">'Прайс лист'!$B$1531:$B$1533</definedName>
    <definedName function="false" hidden="false" name="Нет_дна_бетонного" vbProcedure="false">связи1!$A$74:$A$78</definedName>
    <definedName function="false" hidden="false" name="Нет_кабеля" vbProcedure="false">'Прайс лист'!$B$1207:$B$1212</definedName>
    <definedName function="false" hidden="false" name="Нет_колец_бетонных" vbProcedure="false">связи1!$A$79:$A$83</definedName>
    <definedName function="false" hidden="false" name="Нет_краски" vbProcedure="false">'Прайс лист'!$B$1534:$B$1561</definedName>
    <definedName function="false" hidden="false" name="Нет_кровли_на_пристройке" vbProcedure="false">связи1!$A$105:$A$111</definedName>
    <definedName function="false" hidden="false" name="Нет_кронштейна" vbProcedure="false">'Прайс лист'!$B$1505:$B$1516</definedName>
    <definedName function="false" hidden="false" name="Нет_крышки_бетонной" vbProcedure="false">связи1!$A$84:$A$88</definedName>
    <definedName function="false" hidden="false" name="Нет_лака" vbProcedure="false">'Прайс лист'!$B$1562:$B$1564</definedName>
    <definedName function="false" hidden="false" name="Нет_люка_для_крышки" vbProcedure="false">связи1!$A$89:$A$91</definedName>
    <definedName function="false" hidden="false" name="Нет_материала" vbProcedure="false">связи1!$F$58:$F$61</definedName>
    <definedName function="false" hidden="false" name="Нет_наждачной_бумаги" vbProcedure="false">'Прайс лист'!$B$1478:$B$1486</definedName>
    <definedName function="false" hidden="false" name="Нет_накладки" vbProcedure="false">'Прайс лист'!$B$420:$B$424</definedName>
    <definedName function="false" hidden="false" name="Нет_наличника" vbProcedure="false">'Прайс лист'!$B$717:$B$723</definedName>
    <definedName function="false" hidden="false" name="Нет_огнебиозащиты" vbProcedure="false">'Прайс лист'!$B$728:$B$737</definedName>
    <definedName function="false" hidden="false" name="нет_пароизоляции" vbProcedure="false">'Прайс лист'!$B$820:$B$831</definedName>
    <definedName function="false" hidden="false" name="Нет_перекрестного_пола" vbProcedure="false">связи1!$J$237:$J$240</definedName>
    <definedName function="false" hidden="false" name="Нет_перекрытия" vbProcedure="false">связи1!$A$44:$A$51</definedName>
    <definedName function="false" hidden="false" name="Нет_перемычки" vbProcedure="false">'Прайс лист'!$B$127:$B$152</definedName>
    <definedName function="false" hidden="false" name="Нет_пластин" vbProcedure="false">'Прайс лист'!$B$845:$B$848</definedName>
    <definedName function="false" hidden="false" name="Нет_плоского_шифера" vbProcedure="false">'Прайс лист'!$B$1521:$B$1526</definedName>
    <definedName function="false" hidden="false" name="нет_подсистемы" vbProcedure="false">связи1!$A$12:$A$14</definedName>
    <definedName function="false" hidden="false" name="Нет_покрытия" vbProcedure="false">связи1!$H$13:$H$15</definedName>
    <definedName function="false" hidden="false" name="Нет_саморезов" vbProcedure="false">'Прайс лист'!$B$875:$B$881</definedName>
    <definedName function="false" hidden="false" name="Нет_уголков" vbProcedure="false">'Прайс лист'!$B$837:$B$840</definedName>
    <definedName function="false" hidden="false" name="Нет_утеплителя" vbProcedure="false">'Прайс лист'!$B$744:$B$782</definedName>
    <definedName function="false" hidden="false" name="Нет_фундамента" vbProcedure="false">связи1!$A$464:$A$466</definedName>
    <definedName function="false" hidden="false" name="ннн" vbProcedure="false">связи1!$H$40:$H$43</definedName>
    <definedName function="false" hidden="false" name="ноль" vbProcedure="false">связи1!$Q$2:$Q$73</definedName>
    <definedName function="false" hidden="false" name="номер" vbProcedure="false">связи1!$R$2:$R$77</definedName>
    <definedName function="false" hidden="false" name="обвязочный_брус" vbProcedure="false">связи1!$F$6:$F$12</definedName>
    <definedName function="false" hidden="false" name="Оголовкок_150_150" vbProcedure="false">'Прайс лист'!$B$969:$B$972</definedName>
    <definedName function="false" hidden="false" name="Один_полноценный_этаж" vbProcedure="false">связи1!$A$94:$A$98</definedName>
    <definedName function="false" hidden="false" name="ОтделкаДеревом" vbProcedure="false">'Прайс лист'!$B$685:$B$714</definedName>
    <definedName function="false" hidden="false" name="Открытый_монтаж_проводки" vbProcedure="false">связи1!$A$536:$A$537</definedName>
    <definedName function="false" hidden="false" name="Оцилиндрованное_бревно_сосна_200мм" vbProcedure="false">'Прайс лист'!$B$441:$B$528</definedName>
    <definedName function="false" hidden="false" name="ОцилиндрованноеБревно" vbProcedure="false">'Прайс лист'!$B$441:$B$484</definedName>
    <definedName function="false" hidden="false" name="папап" vbProcedure="false">'Прайс лист'!$B$888:$B$891</definedName>
    <definedName function="false" hidden="false" name="Пенобетон" vbProcedure="false">связи1!$A$383:$A$397</definedName>
    <definedName function="false" hidden="false" name="Пенобетон_60x30x20" vbProcedure="false">связи1!$A$383:$A$397</definedName>
    <definedName function="false" hidden="false" name="пепепе" vbProcedure="false">связи1!$A$488:$A$493</definedName>
    <definedName function="false" hidden="false" name="перегородкинесущие" vbProcedure="false">связи1!$I$314:$I$324</definedName>
    <definedName function="false" hidden="false" name="Перекрестный_пол_есть" vbProcedure="false">связи1!#REF!</definedName>
    <definedName function="false" hidden="false" name="перекрытие" vbProcedure="false">связи1!$A$200:$A$234</definedName>
    <definedName function="false" hidden="false" name="Перекрытие_0_этажа_делать" vbProcedure="false">связи1!$A$135:$A$136</definedName>
    <definedName function="false" hidden="false" name="перемычка" vbProcedure="false">'Прайс лист'!$B$127:$B$152</definedName>
    <definedName function="false" hidden="false" name="Планкен" vbProcedure="false">'Прайс лист'!$B$685:$B$690</definedName>
    <definedName function="false" hidden="false" name="ппп" vbProcedure="false">'Прайс лист'!$B$793:$B$819</definedName>
    <definedName function="false" hidden="false" name="пппррол" vbProcedure="false">связи1!$A$456:$A$457</definedName>
    <definedName function="false" hidden="false" name="пппуууу" vbProcedure="false">'Прайс лист'!$B$333:$B$419</definedName>
    <definedName function="false" hidden="false" name="прпролл" vbProcedure="false">'Прайс лист'!$B$978:$B$1025</definedName>
    <definedName function="false" hidden="false" name="рад" vbProcedure="false">связи1!#REF!</definedName>
    <definedName function="false" hidden="false" name="Различные_выпуски_по_длине_в_доме" vbProcedure="false">связи1!$A$101:$A$102</definedName>
    <definedName function="false" hidden="false" name="размер_стен_каркас" vbProcedure="false">связи1!$E$2:$E$9</definedName>
    <definedName function="false" hidden="false" name="раствор" vbProcedure="false">связи1!$A$315:$A$321</definedName>
    <definedName function="false" hidden="false" name="Розетка_1" vbProcedure="false">'Прайс лист'!$B$1245:$B$1249</definedName>
    <definedName function="false" hidden="false" name="сайдинг_металлический" vbProcedure="false">связи1!$A$28:$A$31</definedName>
    <definedName function="false" hidden="false" name="Сейсмопояс_Арматура_М6_4_нити" vbProcedure="false">связи1!$A$365:$A$372</definedName>
    <definedName function="false" hidden="false" name="септик" vbProcedure="false">связи1!$A$75:$A$87</definedName>
    <definedName function="false" hidden="false" name="сип_панели" vbProcedure="false">связи1!$F$15:$F$19</definedName>
    <definedName function="false" hidden="false" name="Сиппанели" vbProcedure="false">связи1!$A$298:$A$309</definedName>
    <definedName function="false" hidden="false" name="Система_отопления_однотрубная" vbProcedure="false">связи1!$A$69:$A$70</definedName>
    <definedName function="false" hidden="false" name="Слияние_с_боковой_стеной_дома" vbProcedure="false">связи1!$A$120:$A$123</definedName>
    <definedName function="false" hidden="false" name="Сосна_влаж__200_50мм" vbProcedure="false">'Прайс лист'!$B$291:$B$303</definedName>
    <definedName function="false" hidden="false" name="Сосна_влаж__50_50мм" vbProcedure="false">связи1!$A$419:$A$421</definedName>
    <definedName function="false" hidden="false" name="ссс" vbProcedure="false">связи1!$A$75:$A$79</definedName>
    <definedName function="false" hidden="false" name="стены_монолит" vbProcedure="false">связи1!$H$54:$H$55</definedName>
    <definedName function="false" hidden="false" name="Считать" vbProcedure="false">связи1!$A$2:$A$3</definedName>
    <definedName function="false" hidden="false" name="Считать_по_проекту__высотам" vbProcedure="false">связи1!$F$2:$F$3</definedName>
    <definedName function="false" hidden="false" name="Считать_сверление_для_скрытой_проводки" vbProcedure="false">связи1!$A$539:$A$540</definedName>
    <definedName function="false" hidden="false" name="Термоблок__фактурованный_200х390х390" vbProcedure="false">связи1!$A$255:$A$296</definedName>
    <definedName function="false" hidden="false" name="толщина_стен_газобет" vbProcedure="false">связи1!$E$41:$E$72</definedName>
    <definedName function="false" hidden="false" name="Труба_гофрированная_одностенная_d_63" vbProcedure="false">'Прайс лист'!$B$1103:$B$1118</definedName>
    <definedName function="false" hidden="false" name="Труба_теплого_пола_1" vbProcedure="false">'Прайс лист'!$B$1083:$B$1091</definedName>
    <definedName function="false" hidden="false" name="укукукук" vbProcedure="false">связи1!$A$479:$A$481</definedName>
    <definedName function="false" hidden="false" name="ууу" vbProcedure="false">связи1!$F$65:$F$67</definedName>
    <definedName function="false" hidden="false" name="фанера" vbProcedure="false">'Прайс лист'!$B$1027:$B$1078</definedName>
    <definedName function="false" hidden="false" name="фы" vbProcedure="false">связи1!$A$201:$A$203</definedName>
    <definedName function="false" hidden="false" name="Хомут_для_сейсмопояса_Арматура_М6__шаг_600мм" vbProcedure="false">связи1!$A$374:$A$379</definedName>
    <definedName function="false" hidden="false" name="цокольныйжтаж" vbProcedure="false">связи1!$F$22:$F$23</definedName>
    <definedName function="false" hidden="false" name="шаг" vbProcedure="false">связи1!$D$44:$D$51</definedName>
    <definedName function="false" hidden="false" name="шаг1" vbProcedure="false">связи1!$D$44:$D$57</definedName>
    <definedName function="false" hidden="false" name="шаг_перекрытий" vbProcedure="false">связи1!$E$25:$E$39</definedName>
    <definedName function="false" hidden="false" name="ширина" vbProcedure="false">связи1!$C$44:$C$51</definedName>
    <definedName function="false" hidden="false" name="шифер_плоский_на_все_стены" vbProcedure="false">связи1!$A$18:$A$25</definedName>
    <definedName function="false" hidden="false" name="ШиферПлоский" vbProcedure="false">'Прайс лист'!$B$1521:$B$1526</definedName>
    <definedName function="false" hidden="false" name="Шкант" vbProcedure="false">связи1!$A$459:$A$461</definedName>
    <definedName function="false" hidden="false" name="Шлифовка_стен_дома_внурти" vbProcedure="false">связи1!$A$545:$A$546</definedName>
    <definedName function="false" hidden="false" name="Шлифовка_стен_дома_снаружи" vbProcedure="false">связи1!$A$542:$A$543</definedName>
    <definedName function="false" hidden="false" name="Штиль" vbProcedure="false">'Прайс лист'!$B$709:$B$711</definedName>
    <definedName function="false" hidden="false" name="ыыыукке" vbProcedure="false">связи1!$A$443:$A$454</definedName>
    <definedName function="false" hidden="false" name="ыыыыыыыыыы" vbProcedure="false">связи1!$A$423:$A$430</definedName>
    <definedName function="false" hidden="false" name="Экскаватор_погрузчик" vbProcedure="false">'Прайс лист'!$B$181:$B$194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<sst xmlns="http://schemas.openxmlformats.org/spreadsheetml/2006/main" count="17493" uniqueCount="4683">
  <si>
    <t xml:space="preserve">Программа-калькулятор для расчета смет Smetadom.com</t>
  </si>
  <si>
    <t xml:space="preserve">Данная программа является интеллектуальной собственностью.  Все права по изменению и реализации данного продукта принадлежат  Smetadom.com</t>
  </si>
  <si>
    <t xml:space="preserve">По вопросам приобретения данного продукта обращаться по адресам: inf0@smetadom.com</t>
  </si>
  <si>
    <t xml:space="preserve">Служба технической поддержки inf0@smetadom.com</t>
  </si>
  <si>
    <t xml:space="preserve">Вид блока</t>
  </si>
  <si>
    <t xml:space="preserve">Размер блока</t>
  </si>
  <si>
    <t xml:space="preserve">Объем 1 блока</t>
  </si>
  <si>
    <t xml:space="preserve">Кол-во штук в 1м.куб </t>
  </si>
  <si>
    <t xml:space="preserve">Цена за         1 шт.</t>
  </si>
  <si>
    <t xml:space="preserve">Цена за м.куб.</t>
  </si>
  <si>
    <t xml:space="preserve">Цена за 1м.кв готовой стены</t>
  </si>
  <si>
    <t xml:space="preserve">Термоблок  фактурованный</t>
  </si>
  <si>
    <t xml:space="preserve">Объем,м3</t>
  </si>
  <si>
    <t xml:space="preserve">200х390х390 рядовой</t>
  </si>
  <si>
    <t xml:space="preserve">200х390х590 угловой</t>
  </si>
  <si>
    <t xml:space="preserve">200х390х194 доборный</t>
  </si>
  <si>
    <t xml:space="preserve">200х390х590 угл внутр</t>
  </si>
  <si>
    <t xml:space="preserve"> </t>
  </si>
  <si>
    <t xml:space="preserve">198х340х398 рядовой </t>
  </si>
  <si>
    <t xml:space="preserve">198х340х538 угловой</t>
  </si>
  <si>
    <t xml:space="preserve">198х340х198 доборный </t>
  </si>
  <si>
    <t xml:space="preserve">200х290х390 рядовой</t>
  </si>
  <si>
    <t xml:space="preserve">200х290х490 угловой</t>
  </si>
  <si>
    <t xml:space="preserve">200х290х194 доборный</t>
  </si>
  <si>
    <t xml:space="preserve">Термоблок не фактурованный</t>
  </si>
  <si>
    <t xml:space="preserve">200х400х390 рядовой</t>
  </si>
  <si>
    <t xml:space="preserve">200х400х600 угловой</t>
  </si>
  <si>
    <t xml:space="preserve">200х400х194 доборный</t>
  </si>
  <si>
    <t xml:space="preserve">198х350х398 рядовой</t>
  </si>
  <si>
    <t xml:space="preserve">198х350х548 угловой</t>
  </si>
  <si>
    <t xml:space="preserve">198х350х198 доборный</t>
  </si>
  <si>
    <t xml:space="preserve">200х300х390 рядовой</t>
  </si>
  <si>
    <t xml:space="preserve">200х300х500 угловой</t>
  </si>
  <si>
    <t xml:space="preserve">200х300х194 доборный</t>
  </si>
  <si>
    <t xml:space="preserve">Газоблок  фактурованный</t>
  </si>
  <si>
    <t xml:space="preserve">Поясной блок</t>
  </si>
  <si>
    <t xml:space="preserve">200х-----х390 рядовой</t>
  </si>
  <si>
    <t xml:space="preserve">198х340х548 угловой</t>
  </si>
  <si>
    <t xml:space="preserve">Газоблок D 1000</t>
  </si>
  <si>
    <t xml:space="preserve">Газоблок D1000 200х300х390 </t>
  </si>
  <si>
    <t xml:space="preserve">Газоблок D1000 200х400х390 </t>
  </si>
  <si>
    <t xml:space="preserve">Газоблок D 400</t>
  </si>
  <si>
    <t xml:space="preserve">Газоблок D400 200х300х390 </t>
  </si>
  <si>
    <t xml:space="preserve">Газоблок D400 200х400х390 </t>
  </si>
  <si>
    <t xml:space="preserve">Газоблок D 500</t>
  </si>
  <si>
    <t xml:space="preserve">Газоблок D500 200х300х390 </t>
  </si>
  <si>
    <t xml:space="preserve">Газоблок D500 200х400х390 </t>
  </si>
  <si>
    <t xml:space="preserve">Газоблок D 600</t>
  </si>
  <si>
    <t xml:space="preserve">Газоблок D600 200х300х390 </t>
  </si>
  <si>
    <t xml:space="preserve">Газоблок D600 200х400х390 </t>
  </si>
  <si>
    <t xml:space="preserve">Газоблок D 700</t>
  </si>
  <si>
    <t xml:space="preserve">Газоблок D700 200х300х390 </t>
  </si>
  <si>
    <t xml:space="preserve">Газоблок D700 200х400х390 </t>
  </si>
  <si>
    <t xml:space="preserve">Блок Газобетонный</t>
  </si>
  <si>
    <t xml:space="preserve">Длина, Д</t>
  </si>
  <si>
    <t xml:space="preserve">Ширина, Ш</t>
  </si>
  <si>
    <t xml:space="preserve">Высота, В</t>
  </si>
  <si>
    <t xml:space="preserve">Цена с НДС, руб</t>
  </si>
  <si>
    <t xml:space="preserve">Блок Газобетонный D 400* В 2,5</t>
  </si>
  <si>
    <t xml:space="preserve">Блок Газобетонный D 500* В 3,5</t>
  </si>
  <si>
    <t xml:space="preserve">Блок Газобетонный D 600* В 3,5</t>
  </si>
  <si>
    <t xml:space="preserve">Пилонный блок</t>
  </si>
  <si>
    <t xml:space="preserve">Бетонный колпак</t>
  </si>
  <si>
    <t xml:space="preserve">Блок пилон 200х400х400</t>
  </si>
  <si>
    <t xml:space="preserve">Вентиляционные блоки</t>
  </si>
  <si>
    <t xml:space="preserve">3ВБП 30.9.30</t>
  </si>
  <si>
    <t xml:space="preserve">2ВБП 30.7.30</t>
  </si>
  <si>
    <t xml:space="preserve">1ВБП 30.6.30</t>
  </si>
  <si>
    <t xml:space="preserve">3ВБП 10.9.30</t>
  </si>
  <si>
    <t xml:space="preserve">2ВБП 10.7.30</t>
  </si>
  <si>
    <t xml:space="preserve">1ВБП 10.6.30</t>
  </si>
  <si>
    <t xml:space="preserve">под заказ  любых высот</t>
  </si>
  <si>
    <t xml:space="preserve">менее 30.--.--</t>
  </si>
  <si>
    <t xml:space="preserve">Вибропрессованные блоки</t>
  </si>
  <si>
    <t xml:space="preserve">стеновой 190х188х390</t>
  </si>
  <si>
    <t xml:space="preserve">перегородочн 120х188х390</t>
  </si>
  <si>
    <t xml:space="preserve">Вентблок 200х290(390)х390</t>
  </si>
  <si>
    <t xml:space="preserve">               0,023   (0,031)</t>
  </si>
  <si>
    <t xml:space="preserve">            330    (380)</t>
  </si>
  <si>
    <t xml:space="preserve">Лестница готовая - лестничный марш</t>
  </si>
  <si>
    <t xml:space="preserve">Цена за марш</t>
  </si>
  <si>
    <t xml:space="preserve">Цена, руб./шт.</t>
  </si>
  <si>
    <t xml:space="preserve">Нет </t>
  </si>
  <si>
    <t xml:space="preserve">Бетонная лестница 1</t>
  </si>
  <si>
    <t xml:space="preserve">Бетонная лестница 2</t>
  </si>
  <si>
    <t xml:space="preserve">Бетонная лестница 3</t>
  </si>
  <si>
    <t xml:space="preserve">Бетонная лестница 4</t>
  </si>
  <si>
    <t xml:space="preserve">Бетонная лестница 5</t>
  </si>
  <si>
    <t xml:space="preserve">Метелическая лестница 1</t>
  </si>
  <si>
    <t xml:space="preserve">Метелическая лестница 2</t>
  </si>
  <si>
    <t xml:space="preserve">Метелическая лестница 3</t>
  </si>
  <si>
    <t xml:space="preserve">Метелическая лестница 4</t>
  </si>
  <si>
    <t xml:space="preserve">Перемычки                                                 </t>
  </si>
  <si>
    <t xml:space="preserve">Нет перемычки</t>
  </si>
  <si>
    <t xml:space="preserve">2 ПБФ  26-10-п</t>
  </si>
  <si>
    <t xml:space="preserve">1 ПБ  26-17-п</t>
  </si>
  <si>
    <t xml:space="preserve">2 ПБФ  24-10-п</t>
  </si>
  <si>
    <t xml:space="preserve">1 ПБ  24-17-п</t>
  </si>
  <si>
    <t xml:space="preserve">2 ПБФ  22-8-п</t>
  </si>
  <si>
    <t xml:space="preserve">1 ПБ  22-14-п</t>
  </si>
  <si>
    <t xml:space="preserve">2 ПБФ  20-8-п</t>
  </si>
  <si>
    <t xml:space="preserve">1 ПБ  20-12-п</t>
  </si>
  <si>
    <t xml:space="preserve">2 ПБФ  14-6-п</t>
  </si>
  <si>
    <t xml:space="preserve">1 ПБ  14-8-п</t>
  </si>
  <si>
    <t xml:space="preserve">3 ПБФ 22-10-п</t>
  </si>
  <si>
    <t xml:space="preserve">3 ПБФ 20-8-п</t>
  </si>
  <si>
    <t xml:space="preserve">3 ПБФ 14-6-п</t>
  </si>
  <si>
    <t xml:space="preserve">Перемычки       </t>
  </si>
  <si>
    <t xml:space="preserve">Перемычки армированные, газобетон D600</t>
  </si>
  <si>
    <t xml:space="preserve">ПГБ-25-3</t>
  </si>
  <si>
    <t xml:space="preserve">ПГБ-20-3</t>
  </si>
  <si>
    <t xml:space="preserve">ПГБ-15-3</t>
  </si>
  <si>
    <t xml:space="preserve">ПГБ-25-2</t>
  </si>
  <si>
    <t xml:space="preserve">ПГБ-20-2</t>
  </si>
  <si>
    <t xml:space="preserve">ПГБ-15-2</t>
  </si>
  <si>
    <t xml:space="preserve">ПГБ-25-1,5</t>
  </si>
  <si>
    <t xml:space="preserve">ПГБ-18-1,5</t>
  </si>
  <si>
    <t xml:space="preserve">ПГБ-25-1</t>
  </si>
  <si>
    <t xml:space="preserve">ПГБ-18-1</t>
  </si>
  <si>
    <t xml:space="preserve">Клей для газобетона</t>
  </si>
  <si>
    <t xml:space="preserve">ед.изм</t>
  </si>
  <si>
    <t xml:space="preserve">масса</t>
  </si>
  <si>
    <t xml:space="preserve">t работы</t>
  </si>
  <si>
    <t xml:space="preserve">Расход</t>
  </si>
  <si>
    <t xml:space="preserve">Цена 1 меш</t>
  </si>
  <si>
    <t xml:space="preserve">Клей монтажный ВК-100</t>
  </si>
  <si>
    <t xml:space="preserve">меш</t>
  </si>
  <si>
    <t xml:space="preserve">от+5 и выше</t>
  </si>
  <si>
    <t xml:space="preserve">32,5кг</t>
  </si>
  <si>
    <t xml:space="preserve">Клей монтажный ВК-100z</t>
  </si>
  <si>
    <t xml:space="preserve">от -10до+5</t>
  </si>
  <si>
    <t xml:space="preserve">Плита перекрытия ЖБИ</t>
  </si>
  <si>
    <t xml:space="preserve">Цена</t>
  </si>
  <si>
    <t xml:space="preserve">м2</t>
  </si>
  <si>
    <t xml:space="preserve">Блоки ФБС</t>
  </si>
  <si>
    <t xml:space="preserve">м3</t>
  </si>
  <si>
    <t xml:space="preserve">Инертные материалы</t>
  </si>
  <si>
    <t xml:space="preserve">цена 1м.п.</t>
  </si>
  <si>
    <t xml:space="preserve">Песок, м3</t>
  </si>
  <si>
    <t xml:space="preserve">Доставка песка</t>
  </si>
  <si>
    <t xml:space="preserve">маш</t>
  </si>
  <si>
    <t xml:space="preserve">ПГС, машина 13м3</t>
  </si>
  <si>
    <t xml:space="preserve">ПГС, машина 5м3</t>
  </si>
  <si>
    <t xml:space="preserve">Скальник, 1 маш 13м3</t>
  </si>
  <si>
    <t xml:space="preserve">Скальник, 1 маш 5м3</t>
  </si>
  <si>
    <t xml:space="preserve">Песок, машина 13м3</t>
  </si>
  <si>
    <t xml:space="preserve">Песок, машина 5м3</t>
  </si>
  <si>
    <t xml:space="preserve">Щебень, 40мм, машина 13м3</t>
  </si>
  <si>
    <t xml:space="preserve">Щебень, 40мм, машина 5м3</t>
  </si>
  <si>
    <t xml:space="preserve">Цемент, мешок, 50кг</t>
  </si>
  <si>
    <t xml:space="preserve">мешок</t>
  </si>
  <si>
    <t xml:space="preserve">Техника</t>
  </si>
  <si>
    <t xml:space="preserve">Нет техники</t>
  </si>
  <si>
    <t xml:space="preserve">Экскаватор погрузчик</t>
  </si>
  <si>
    <t xml:space="preserve">час</t>
  </si>
  <si>
    <t xml:space="preserve">Экскаватор погрузчик, бурение</t>
  </si>
  <si>
    <t xml:space="preserve">м.п.</t>
  </si>
  <si>
    <t xml:space="preserve">Авто для бурения скважин</t>
  </si>
  <si>
    <t xml:space="preserve">Манипулятор 5т</t>
  </si>
  <si>
    <t xml:space="preserve">шт</t>
  </si>
  <si>
    <t xml:space="preserve">Вывоз мусора, камаз</t>
  </si>
  <si>
    <t xml:space="preserve">Вывоз инертных материалов, камаз</t>
  </si>
  <si>
    <t xml:space="preserve">Газель</t>
  </si>
  <si>
    <t xml:space="preserve">Бетононасос</t>
  </si>
  <si>
    <t xml:space="preserve">Кран Ивановец, 17 тонн</t>
  </si>
  <si>
    <t xml:space="preserve">Маз бортовой</t>
  </si>
  <si>
    <t xml:space="preserve">Виброкаток 5 тонн</t>
  </si>
  <si>
    <t xml:space="preserve">Разгрузка материала вручную</t>
  </si>
  <si>
    <t xml:space="preserve">Доставка материала Фура</t>
  </si>
  <si>
    <t xml:space="preserve">Доставка виброкатка, 5 тонн</t>
  </si>
  <si>
    <t xml:space="preserve">Арматура стальная</t>
  </si>
  <si>
    <t xml:space="preserve">Цена тонны</t>
  </si>
  <si>
    <t xml:space="preserve">Вес 1м.п.</t>
  </si>
  <si>
    <t xml:space="preserve">Нет арматуры</t>
  </si>
  <si>
    <t xml:space="preserve">Арматура А1 катанка 6,5 мм</t>
  </si>
  <si>
    <t xml:space="preserve">В данном разделе менять стоимость тонны</t>
  </si>
  <si>
    <t xml:space="preserve">Арматура А1 8 мм</t>
  </si>
  <si>
    <t xml:space="preserve">Арматура А1 10 мм </t>
  </si>
  <si>
    <t xml:space="preserve">Арматура стальная Ø 6</t>
  </si>
  <si>
    <t xml:space="preserve">Арматура стальная Ø 8</t>
  </si>
  <si>
    <t xml:space="preserve">Арматура стальная Ø 10 </t>
  </si>
  <si>
    <t xml:space="preserve">Арматура стальная Ø 12</t>
  </si>
  <si>
    <t xml:space="preserve">Арматура стальная Ø 14</t>
  </si>
  <si>
    <t xml:space="preserve">Арматура стальная Ø 16</t>
  </si>
  <si>
    <t xml:space="preserve">Арматура стальная Ø 18</t>
  </si>
  <si>
    <t xml:space="preserve">Арматура стальная Ø 20</t>
  </si>
  <si>
    <t xml:space="preserve">Кладочная сетка, 100*100/150*150/200*200мм</t>
  </si>
  <si>
    <t xml:space="preserve">Вязальная проволока</t>
  </si>
  <si>
    <t xml:space="preserve">кг</t>
  </si>
  <si>
    <t xml:space="preserve">Стяжки пластиковые</t>
  </si>
  <si>
    <t xml:space="preserve">Подставка под арматурный каркас</t>
  </si>
  <si>
    <t xml:space="preserve">Пленка гидроизоляционная </t>
  </si>
  <si>
    <t xml:space="preserve">Арматурный скелет для свай</t>
  </si>
  <si>
    <t xml:space="preserve">Демпферная лента</t>
  </si>
  <si>
    <t xml:space="preserve">Праймер для обработки </t>
  </si>
  <si>
    <t xml:space="preserve">Мастика битумная</t>
  </si>
  <si>
    <t xml:space="preserve">Крепления для опалубки</t>
  </si>
  <si>
    <t xml:space="preserve">Электроды ок 47</t>
  </si>
  <si>
    <t xml:space="preserve">Бетон</t>
  </si>
  <si>
    <t xml:space="preserve">Бетон, м200</t>
  </si>
  <si>
    <t xml:space="preserve">Бетон, м250</t>
  </si>
  <si>
    <t xml:space="preserve">Бетон, м300</t>
  </si>
  <si>
    <t xml:space="preserve">Бетон, м350</t>
  </si>
  <si>
    <t xml:space="preserve">Раствор, м200</t>
  </si>
  <si>
    <t xml:space="preserve">Раствор, м250</t>
  </si>
  <si>
    <t xml:space="preserve">Раствор, м300</t>
  </si>
  <si>
    <t xml:space="preserve">Раствор, м350</t>
  </si>
  <si>
    <t xml:space="preserve">Пенобетон</t>
  </si>
  <si>
    <t xml:space="preserve">ед.изм.</t>
  </si>
  <si>
    <t xml:space="preserve">Длина</t>
  </si>
  <si>
    <t xml:space="preserve">Пенобетон 200x400x600</t>
  </si>
  <si>
    <t xml:space="preserve">Пенобетон 200x300x600</t>
  </si>
  <si>
    <t xml:space="preserve">Пенобетон 200x200x600</t>
  </si>
  <si>
    <t xml:space="preserve">Пенобетон 200x150x600</t>
  </si>
  <si>
    <t xml:space="preserve">Пенобетон 200x100x600</t>
  </si>
  <si>
    <t xml:space="preserve">Пенобетон 150x400x600</t>
  </si>
  <si>
    <t xml:space="preserve">Пенобетон 150x300x600</t>
  </si>
  <si>
    <t xml:space="preserve">Пенобетон 150x200x600</t>
  </si>
  <si>
    <t xml:space="preserve">Пенобетон 150x150x600</t>
  </si>
  <si>
    <t xml:space="preserve">Пенобетон 150x100x600</t>
  </si>
  <si>
    <t xml:space="preserve">Пенобетон 100x400x600</t>
  </si>
  <si>
    <t xml:space="preserve">Пенобетон 100x300x600</t>
  </si>
  <si>
    <t xml:space="preserve">Пенобетон 100x200x600</t>
  </si>
  <si>
    <t xml:space="preserve">Пенобетон 100x150x600</t>
  </si>
  <si>
    <t xml:space="preserve">Пенобетон 100x100x600</t>
  </si>
  <si>
    <r>
      <rPr>
        <sz val="11"/>
        <rFont val="Calibri"/>
        <family val="2"/>
        <charset val="204"/>
      </rPr>
      <t xml:space="preserve">Керамзитобетонный блок - </t>
    </r>
    <r>
      <rPr>
        <sz val="12"/>
        <rFont val="Arial"/>
        <family val="2"/>
        <charset val="204"/>
      </rPr>
      <t xml:space="preserve">390х190х188</t>
    </r>
  </si>
  <si>
    <r>
      <rPr>
        <sz val="11"/>
        <rFont val="Calibri"/>
        <family val="2"/>
        <charset val="204"/>
      </rPr>
      <t xml:space="preserve">Керамзитобетонный блок - </t>
    </r>
    <r>
      <rPr>
        <sz val="12"/>
        <rFont val="Arial"/>
        <family val="2"/>
        <charset val="204"/>
      </rPr>
      <t xml:space="preserve">390х290х188</t>
    </r>
  </si>
  <si>
    <r>
      <rPr>
        <sz val="11"/>
        <rFont val="Calibri"/>
        <family val="2"/>
        <charset val="204"/>
      </rPr>
      <t xml:space="preserve">Керамзитобетонный блок - </t>
    </r>
    <r>
      <rPr>
        <sz val="12"/>
        <rFont val="Arial"/>
        <family val="2"/>
        <charset val="204"/>
      </rPr>
      <t xml:space="preserve">390х90х188</t>
    </r>
  </si>
  <si>
    <t xml:space="preserve">Сип панели</t>
  </si>
  <si>
    <t xml:space="preserve">Площадь 1 листа</t>
  </si>
  <si>
    <t xml:space="preserve">Sip панель 2500*1250*124мм</t>
  </si>
  <si>
    <t xml:space="preserve">Sip панель 2500*1250*174мм</t>
  </si>
  <si>
    <t xml:space="preserve">Sip панель 2500*1250*224мм</t>
  </si>
  <si>
    <t xml:space="preserve">Sip панель 2800*1250*124мм</t>
  </si>
  <si>
    <t xml:space="preserve">Sip панель 2800*1250*174мм</t>
  </si>
  <si>
    <t xml:space="preserve">Sip панель 2800*1250*224мм</t>
  </si>
  <si>
    <t xml:space="preserve">Sip панель 3000*1250*124мм</t>
  </si>
  <si>
    <t xml:space="preserve">Sip панель 3000*1250*174мм</t>
  </si>
  <si>
    <t xml:space="preserve">Sip панель 3000*1250*224мм</t>
  </si>
  <si>
    <t xml:space="preserve">Sip панель 2500*625*124мм</t>
  </si>
  <si>
    <t xml:space="preserve">Sip панель 2500*625*174мм</t>
  </si>
  <si>
    <t xml:space="preserve">Sip панель 2500*625*224мм</t>
  </si>
  <si>
    <t xml:space="preserve">Двутавровые балки</t>
  </si>
  <si>
    <t xml:space="preserve">Двутавровая деревянная балка, 400*65мм</t>
  </si>
  <si>
    <t xml:space="preserve">Двутавровая деревянная балка, 400*90мм</t>
  </si>
  <si>
    <t xml:space="preserve">Двутавровая деревянная балка, 350*65мм</t>
  </si>
  <si>
    <t xml:space="preserve">Двутавровая деревянная балка, 350*90мм</t>
  </si>
  <si>
    <t xml:space="preserve">Двутавровая деревянная балка, 300*65мм</t>
  </si>
  <si>
    <t xml:space="preserve">Двутавровая деревянная балка, 300*90мм</t>
  </si>
  <si>
    <t xml:space="preserve">Двутавровая деревянная балка, 240*65мм</t>
  </si>
  <si>
    <t xml:space="preserve">Двутавровая деревянная балка, 240*90мм</t>
  </si>
  <si>
    <t xml:space="preserve">Двутавровая деревянная балка, 200*65мм</t>
  </si>
  <si>
    <t xml:space="preserve">Двутавровая деревянная балка, 200*90мм</t>
  </si>
  <si>
    <t xml:space="preserve">Двутавровая деревянная балка, 150*65мм</t>
  </si>
  <si>
    <t xml:space="preserve">Двутавровая деревянная балка, 150*90мм</t>
  </si>
  <si>
    <t xml:space="preserve">Доска сосна/брусок, естественной влажности</t>
  </si>
  <si>
    <t xml:space="preserve">Высота</t>
  </si>
  <si>
    <t xml:space="preserve">Толщина</t>
  </si>
  <si>
    <t xml:space="preserve">Цена 1м.п.</t>
  </si>
  <si>
    <t xml:space="preserve">Сосна влаж, 200*50мм</t>
  </si>
  <si>
    <t xml:space="preserve">Сосна влаж,180*50мм</t>
  </si>
  <si>
    <t xml:space="preserve">Сосна влаж,150*50мм</t>
  </si>
  <si>
    <t xml:space="preserve">Сосна влаж,100*50мм</t>
  </si>
  <si>
    <t xml:space="preserve">Сосна влаж,200*40мм</t>
  </si>
  <si>
    <t xml:space="preserve">Сосна влаж,180*40мм</t>
  </si>
  <si>
    <t xml:space="preserve">Сосна влаж,150*40мм</t>
  </si>
  <si>
    <t xml:space="preserve">Сосна влаж,100*40мм</t>
  </si>
  <si>
    <t xml:space="preserve">Сосна влаж,200*25мм</t>
  </si>
  <si>
    <t xml:space="preserve">Сосна влаж,180*25мм</t>
  </si>
  <si>
    <t xml:space="preserve">Сосна влаж, 150*25мм</t>
  </si>
  <si>
    <t xml:space="preserve">Сосна влаж,100*25мм</t>
  </si>
  <si>
    <t xml:space="preserve">Сосна влаж, 50*50мм</t>
  </si>
  <si>
    <t xml:space="preserve">Доска сосна/брусок, калиброванная, сухая</t>
  </si>
  <si>
    <t xml:space="preserve">Ширина</t>
  </si>
  <si>
    <t xml:space="preserve">Доска сухая, калибр., 190*45мм</t>
  </si>
  <si>
    <t xml:space="preserve">Доска сухая калибр., 140*45мм</t>
  </si>
  <si>
    <t xml:space="preserve">Доска сухая калибр., 110*45мм</t>
  </si>
  <si>
    <t xml:space="preserve">Доска сухая, калибр., 35*45мм</t>
  </si>
  <si>
    <t xml:space="preserve">Доска сосна/брусок, сухая</t>
  </si>
  <si>
    <t xml:space="preserve">Доска сухая 200*50мм</t>
  </si>
  <si>
    <t xml:space="preserve">Доска сухая 180*50мм</t>
  </si>
  <si>
    <t xml:space="preserve">Доска сухая 150*50мм</t>
  </si>
  <si>
    <t xml:space="preserve">Доска сухая 100*50мм</t>
  </si>
  <si>
    <t xml:space="preserve">Доска сухая 200*40мм</t>
  </si>
  <si>
    <t xml:space="preserve">Доска сухая 180*40мм</t>
  </si>
  <si>
    <t xml:space="preserve">Доска сухая 150*40мм</t>
  </si>
  <si>
    <t xml:space="preserve">Доска сухая 100*40мм</t>
  </si>
  <si>
    <t xml:space="preserve">Доска сухая 200*25мм</t>
  </si>
  <si>
    <t xml:space="preserve">Доска сухая 180*25мм</t>
  </si>
  <si>
    <t xml:space="preserve">Доска сухая 150*25мм</t>
  </si>
  <si>
    <t xml:space="preserve">Доска сухая 100*25мм</t>
  </si>
  <si>
    <t xml:space="preserve">Доска сухая 50*50мм</t>
  </si>
  <si>
    <t xml:space="preserve">Брус: клееный, профилированный, простой</t>
  </si>
  <si>
    <t xml:space="preserve">высота</t>
  </si>
  <si>
    <t xml:space="preserve">Нет</t>
  </si>
  <si>
    <t xml:space="preserve">Листв. влаж, 200*200мм</t>
  </si>
  <si>
    <t xml:space="preserve">Листв. влаж, 200*180мм</t>
  </si>
  <si>
    <t xml:space="preserve">Листв. влаж, 200*150мм</t>
  </si>
  <si>
    <t xml:space="preserve">Листв. влаж, 200*100мм</t>
  </si>
  <si>
    <t xml:space="preserve">Листв. влаж, 180*180мм</t>
  </si>
  <si>
    <t xml:space="preserve">Листв. влаж, 180*150мм</t>
  </si>
  <si>
    <t xml:space="preserve">Листв. влаж, 180*100мм</t>
  </si>
  <si>
    <t xml:space="preserve">Листв. влаж, 150*150мм</t>
  </si>
  <si>
    <t xml:space="preserve">Листв. влаж, 150*100мм</t>
  </si>
  <si>
    <t xml:space="preserve">Листв. влаж, 100*100мм</t>
  </si>
  <si>
    <t xml:space="preserve">Сосна влаж, 200*200мм</t>
  </si>
  <si>
    <t xml:space="preserve">Сосна влаж, 200*180мм</t>
  </si>
  <si>
    <t xml:space="preserve">Сосна влаж, 200*150мм</t>
  </si>
  <si>
    <t xml:space="preserve">Сосна влаж, 200*100мм</t>
  </si>
  <si>
    <t xml:space="preserve">Сосна влаж, 180*180мм</t>
  </si>
  <si>
    <t xml:space="preserve">Сосна влаж, 180*150мм</t>
  </si>
  <si>
    <t xml:space="preserve">Сосна влаж, 180*100мм</t>
  </si>
  <si>
    <t xml:space="preserve">Сосна влаж, 150*150мм</t>
  </si>
  <si>
    <t xml:space="preserve">Сосна влаж, 150*100мм</t>
  </si>
  <si>
    <t xml:space="preserve">Сосна влаж, 100*100мм</t>
  </si>
  <si>
    <t xml:space="preserve">Брус клееный профилированный Шир. 240 выс. 270</t>
  </si>
  <si>
    <t xml:space="preserve">Брус клееный профилированный Шир. 200 выс. 270</t>
  </si>
  <si>
    <t xml:space="preserve">Брус клееный профилированный Шир. 160 выс. 270</t>
  </si>
  <si>
    <t xml:space="preserve">Брус клееный профилированный Шир. 120 выс. 270</t>
  </si>
  <si>
    <t xml:space="preserve">Брус клееный профилированный Шир. 240 выс. 230</t>
  </si>
  <si>
    <t xml:space="preserve">Брус клееный профилированный Шир. 200 выс. 230</t>
  </si>
  <si>
    <t xml:space="preserve">Брус клееный профилированный Шир. 160 выс. 230</t>
  </si>
  <si>
    <t xml:space="preserve">Брус клееный профилированный Шир. 120 выс. 230</t>
  </si>
  <si>
    <t xml:space="preserve">Брус клееный профилированный Шир. 240 выс. 185</t>
  </si>
  <si>
    <t xml:space="preserve">Брус клееный профилированный Шир. 200 выс. 185</t>
  </si>
  <si>
    <t xml:space="preserve">Брус клееный профилированный Шир. 160 выс. 185</t>
  </si>
  <si>
    <t xml:space="preserve">Брус клееный профилированный Шир. 120 выс. 185</t>
  </si>
  <si>
    <t xml:space="preserve">Брус клееный профилированный Шир. 240 выс. 180</t>
  </si>
  <si>
    <t xml:space="preserve">Брус клееный профилированный Шир. 200 выс. 180</t>
  </si>
  <si>
    <t xml:space="preserve">Брус клееный профилированный Шир. 160 выс. 180</t>
  </si>
  <si>
    <t xml:space="preserve">Брус клееный профилированный Шир. 120 выс. 180</t>
  </si>
  <si>
    <t xml:space="preserve">Брус клееный профилированный Шир. 240 выс. 160</t>
  </si>
  <si>
    <t xml:space="preserve">Брус клееный профилированный Шир. 200 выс. 160</t>
  </si>
  <si>
    <t xml:space="preserve">Брус клееный профилированный Шир. 160 выс. 160</t>
  </si>
  <si>
    <t xml:space="preserve">Брус клееный профилированный Шир. 120 выс. 160</t>
  </si>
  <si>
    <t xml:space="preserve">Брус клееный профилированный Шир. 240 выс. 145</t>
  </si>
  <si>
    <t xml:space="preserve">Брус клееный профилированный Шир. 200 выс. 145</t>
  </si>
  <si>
    <t xml:space="preserve">Брус клееный профилированный Шир. 160 выс. 145</t>
  </si>
  <si>
    <t xml:space="preserve">Брус клееный профилированный Шир. 120 выс. 145</t>
  </si>
  <si>
    <t xml:space="preserve">Брус клееный проф 1 ламель кедр Шир. 240 выс. 140</t>
  </si>
  <si>
    <t xml:space="preserve">Брус клееный проф 1 ламель кедр Шир. 200 выс. 140</t>
  </si>
  <si>
    <t xml:space="preserve">Брус клееный проф 1 ламель кедр Шир. 160 выс. 140</t>
  </si>
  <si>
    <t xml:space="preserve">Брус клееный проф 1 ламель кедр Шир. 120 выс. 140</t>
  </si>
  <si>
    <t xml:space="preserve">Брус клееный проф 2 ламель кедр Шир. 240 выс. 140</t>
  </si>
  <si>
    <t xml:space="preserve">Брус клееный проф 2 ламель кедр Шир. 200 выс. 140</t>
  </si>
  <si>
    <t xml:space="preserve">Брус клееный проф 2 ламель кедр Шир. 160 выс. 140</t>
  </si>
  <si>
    <t xml:space="preserve">Брус клееный проф 2 ламель кедр Шир. 120 выс. 140</t>
  </si>
  <si>
    <t xml:space="preserve">Брус клееный проф. лиственница Шир. 240 выс. 140</t>
  </si>
  <si>
    <t xml:space="preserve">Брус клееный проф. лиственница Шир. 200 выс. 140</t>
  </si>
  <si>
    <t xml:space="preserve">Брус клееный проф. лиственница Шир. 160 выс. 140</t>
  </si>
  <si>
    <t xml:space="preserve">Брус клееный проф. лиственница Шир. 120 выс. 140</t>
  </si>
  <si>
    <t xml:space="preserve">Проф.брус сух. 80*100мм</t>
  </si>
  <si>
    <t xml:space="preserve">Проф.брус сух. 80*150мм</t>
  </si>
  <si>
    <t xml:space="preserve">Проф.брус сух. 100*100мм</t>
  </si>
  <si>
    <t xml:space="preserve">Проф.брус сух. 100*150мм</t>
  </si>
  <si>
    <t xml:space="preserve">Проф.брус сух. 140*120мм</t>
  </si>
  <si>
    <t xml:space="preserve">Проф.брус сух. 140*140мм</t>
  </si>
  <si>
    <t xml:space="preserve">Проф.брус сух. 140*190мм</t>
  </si>
  <si>
    <t xml:space="preserve">Проф.брус сух. 150*100мм</t>
  </si>
  <si>
    <t xml:space="preserve">Проф.брус сух. 150*150мм</t>
  </si>
  <si>
    <t xml:space="preserve">Проф.брус сух. 150*180мм</t>
  </si>
  <si>
    <t xml:space="preserve">Проф.брус сух. 200*100мм</t>
  </si>
  <si>
    <t xml:space="preserve">Проф.брус сух. 200*150мм</t>
  </si>
  <si>
    <t xml:space="preserve">Проф.брус сух. 200*180мм</t>
  </si>
  <si>
    <t xml:space="preserve">Проф.брус вл. 80*100мм</t>
  </si>
  <si>
    <t xml:space="preserve">Проф.брус вл. 80*150мм</t>
  </si>
  <si>
    <t xml:space="preserve">Проф.брус вл. 100*100мм</t>
  </si>
  <si>
    <t xml:space="preserve">Проф.брус вл. 100*150мм</t>
  </si>
  <si>
    <t xml:space="preserve">Проф.брус вл. 140*140мм</t>
  </si>
  <si>
    <t xml:space="preserve">Проф.брус вл. 140*190мм</t>
  </si>
  <si>
    <t xml:space="preserve">Проф.брус вл. 140*230мм</t>
  </si>
  <si>
    <t xml:space="preserve">Проф.брус вл. 140*250мм</t>
  </si>
  <si>
    <t xml:space="preserve">Проф.брус вл. 150*100мм</t>
  </si>
  <si>
    <t xml:space="preserve">Проф.брус вл. 150*150мм</t>
  </si>
  <si>
    <t xml:space="preserve">Проф.брус вл. 150*180мм</t>
  </si>
  <si>
    <t xml:space="preserve">Проф.брус вл. 190*190мм</t>
  </si>
  <si>
    <t xml:space="preserve">Проф.брус вл. 190*230мм</t>
  </si>
  <si>
    <t xml:space="preserve">Проф.брус вл. 190*250мм</t>
  </si>
  <si>
    <t xml:space="preserve">Проф.брус вл. 200*100мм</t>
  </si>
  <si>
    <t xml:space="preserve">Проф.брус вл. 200*150мм</t>
  </si>
  <si>
    <t xml:space="preserve">Проф.брус вл. 200*180мм</t>
  </si>
  <si>
    <t xml:space="preserve">Нет накладки</t>
  </si>
  <si>
    <t xml:space="preserve">Клееная накладка на перила шир 240мм</t>
  </si>
  <si>
    <t xml:space="preserve">Клееная накладка на перила шир 200мм</t>
  </si>
  <si>
    <t xml:space="preserve">Клееная накладка на перила шир 160мм</t>
  </si>
  <si>
    <t xml:space="preserve">Клееная накладка на перила шир 120мм</t>
  </si>
  <si>
    <t xml:space="preserve">Шкант</t>
  </si>
  <si>
    <t xml:space="preserve">Лента уплотнения</t>
  </si>
  <si>
    <t xml:space="preserve">рул.</t>
  </si>
  <si>
    <t xml:space="preserve">Глухарь 12*300</t>
  </si>
  <si>
    <t xml:space="preserve">Лен-джут 100х5х20000 мм</t>
  </si>
  <si>
    <t xml:space="preserve">Лен-джут 150х5х20000 мм</t>
  </si>
  <si>
    <t xml:space="preserve">Лен-джут 200х5х20000 мм</t>
  </si>
  <si>
    <t xml:space="preserve">Лен-джут 80х5х20000 мм</t>
  </si>
  <si>
    <t xml:space="preserve">Лен-джут 160х5х20000 мм</t>
  </si>
  <si>
    <t xml:space="preserve">Бензин для пилы</t>
  </si>
  <si>
    <t xml:space="preserve">л</t>
  </si>
  <si>
    <t xml:space="preserve">Масло для пилы</t>
  </si>
  <si>
    <t xml:space="preserve">Цепь для пилы</t>
  </si>
  <si>
    <t xml:space="preserve">Оцилиндрованное бревно/Дикое бревно</t>
  </si>
  <si>
    <t xml:space="preserve">Диаметр</t>
  </si>
  <si>
    <t xml:space="preserve">Оцилиндрованное бревно сосна 200мм</t>
  </si>
  <si>
    <t xml:space="preserve">Оцилиндрованное бревно сосна 220мм</t>
  </si>
  <si>
    <t xml:space="preserve">Оцилиндрованное бревно сосна 240мм</t>
  </si>
  <si>
    <t xml:space="preserve">Оцилиндрованное бревно сосна 260мм</t>
  </si>
  <si>
    <t xml:space="preserve">Оцилиндрованное бревно сосна 280мм</t>
  </si>
  <si>
    <t xml:space="preserve">Оцилиндрованное бревно сосна 300мм</t>
  </si>
  <si>
    <t xml:space="preserve">Оцилиндрованное бревно сосна 320мм</t>
  </si>
  <si>
    <t xml:space="preserve">Оцилиндрованное бревно сосна 340мм</t>
  </si>
  <si>
    <t xml:space="preserve">Оцилиндрованное бревно сосна 360мм</t>
  </si>
  <si>
    <t xml:space="preserve">Оцилиндрованное бревно сосна 380мм</t>
  </si>
  <si>
    <t xml:space="preserve">Оцилиндрованное бревно сосна 400мм</t>
  </si>
  <si>
    <t xml:space="preserve">Оцилиндрованное бревно сосна 420мм</t>
  </si>
  <si>
    <t xml:space="preserve">Оцилиндрованное бревно сосна 440мм</t>
  </si>
  <si>
    <t xml:space="preserve">Оцилиндрованное бревно сосна 460мм</t>
  </si>
  <si>
    <t xml:space="preserve">Оцилиндрованное бревно сосна 480мм</t>
  </si>
  <si>
    <t xml:space="preserve">Оцилиндрованное бревно сосна 500мм</t>
  </si>
  <si>
    <t xml:space="preserve">Оцилиндрованное бревно кедр 200мм</t>
  </si>
  <si>
    <t xml:space="preserve">Оцилиндрованное бревно кедр 220мм</t>
  </si>
  <si>
    <t xml:space="preserve">Оцилиндрованное бревно кедр 240мм</t>
  </si>
  <si>
    <t xml:space="preserve">Оцилиндрованное бревно кедр 260мм</t>
  </si>
  <si>
    <t xml:space="preserve">Оцилиндрованное бревно кедр 280мм</t>
  </si>
  <si>
    <t xml:space="preserve">Оцилиндрованное бревно кедр 300мм</t>
  </si>
  <si>
    <t xml:space="preserve">Оцилиндрованное бревно кедр 320мм</t>
  </si>
  <si>
    <t xml:space="preserve">Оцилиндрованное бревно кедр 340мм</t>
  </si>
  <si>
    <t xml:space="preserve">Оцилиндрованное бревно кедр 360мм</t>
  </si>
  <si>
    <t xml:space="preserve">Оцилиндрованное бревно кедр 380мм</t>
  </si>
  <si>
    <t xml:space="preserve">Оцилиндрованное бревно кедр 400мм</t>
  </si>
  <si>
    <t xml:space="preserve">Оцилиндрованное бревно кедр 420мм</t>
  </si>
  <si>
    <t xml:space="preserve">Оцилиндрованное бревно кедр 440мм</t>
  </si>
  <si>
    <t xml:space="preserve">Оцилиндрованное бревно кедр 460мм</t>
  </si>
  <si>
    <t xml:space="preserve">Оцилиндрованное бревно кедр 480мм</t>
  </si>
  <si>
    <t xml:space="preserve">Оцилиндрованное бревно кедр 500мм</t>
  </si>
  <si>
    <t xml:space="preserve">Оцилиндрованное бревно лиственница 280мм</t>
  </si>
  <si>
    <t xml:space="preserve">Оцилиндрованное бревно лиственница 300мм</t>
  </si>
  <si>
    <t xml:space="preserve">Оцилиндрованное бревно лиственница 320мм</t>
  </si>
  <si>
    <t xml:space="preserve">Оцилиндрованное бревно лиственница 340мм</t>
  </si>
  <si>
    <t xml:space="preserve">Оцилиндрованное бревно лиственница 360мм</t>
  </si>
  <si>
    <t xml:space="preserve">Оцилиндрованное бревно лиственница 380мм</t>
  </si>
  <si>
    <t xml:space="preserve">Оцилиндрованное бревно лиственница 400мм</t>
  </si>
  <si>
    <t xml:space="preserve">Оцилиндрованное бревно лиственница 420мм</t>
  </si>
  <si>
    <t xml:space="preserve">Оцилиндрованное бревно лиственница 440мм</t>
  </si>
  <si>
    <t xml:space="preserve">Оцилиндрованное бревно лиственница 460мм</t>
  </si>
  <si>
    <t xml:space="preserve">Оцилиндрованное бревно лиственница 480мм</t>
  </si>
  <si>
    <t xml:space="preserve">Оцилиндрованное бревно лиственница 500мм</t>
  </si>
  <si>
    <t xml:space="preserve">Дикое бревно сосна 200мм</t>
  </si>
  <si>
    <t xml:space="preserve">Дикое бревно сосна 220мм</t>
  </si>
  <si>
    <t xml:space="preserve">Дикое бревно сосна 240мм</t>
  </si>
  <si>
    <t xml:space="preserve">Дикое бревно сосна 260мм</t>
  </si>
  <si>
    <t xml:space="preserve">Дикое бревно сосна 280мм</t>
  </si>
  <si>
    <t xml:space="preserve">Дикое бревно сосна 300мм</t>
  </si>
  <si>
    <t xml:space="preserve">Дикое бревно сосна 320мм</t>
  </si>
  <si>
    <t xml:space="preserve">Дикое бревно сосна 340мм</t>
  </si>
  <si>
    <t xml:space="preserve">Дикое бревно сосна 360мм</t>
  </si>
  <si>
    <t xml:space="preserve">Дикое бревно сосна 380мм</t>
  </si>
  <si>
    <t xml:space="preserve">Дикое бревно сосна 400мм</t>
  </si>
  <si>
    <t xml:space="preserve">Дикое бревно сосна 420мм</t>
  </si>
  <si>
    <t xml:space="preserve">Дикое бревно сосна 440мм</t>
  </si>
  <si>
    <t xml:space="preserve">Дикое бревно сосна 460мм</t>
  </si>
  <si>
    <t xml:space="preserve">Дикое бревно сосна 480мм</t>
  </si>
  <si>
    <t xml:space="preserve">Дикое бревно сосна 500мм</t>
  </si>
  <si>
    <t xml:space="preserve">Дикое бревно кедр 200мм</t>
  </si>
  <si>
    <t xml:space="preserve">Дикое бревно кедр 220мм</t>
  </si>
  <si>
    <t xml:space="preserve">Дикое бревно кедр 240мм</t>
  </si>
  <si>
    <t xml:space="preserve">Дикое бревно кедр 260мм</t>
  </si>
  <si>
    <t xml:space="preserve">Дикое бревно кедр 280мм</t>
  </si>
  <si>
    <t xml:space="preserve">Дикое бревно кедр 300мм</t>
  </si>
  <si>
    <t xml:space="preserve">Дикое бревно кедр 320мм</t>
  </si>
  <si>
    <t xml:space="preserve">Дикое бревно кедр 340мм</t>
  </si>
  <si>
    <t xml:space="preserve">Дикое бревно кедр 360мм</t>
  </si>
  <si>
    <t xml:space="preserve">Дикое бревно кедр 380мм</t>
  </si>
  <si>
    <t xml:space="preserve">Дикое бревно кедр 400мм</t>
  </si>
  <si>
    <t xml:space="preserve">Дикое бревно кедр 420мм</t>
  </si>
  <si>
    <t xml:space="preserve">Дикое бревно кедр 440мм</t>
  </si>
  <si>
    <t xml:space="preserve">Дикое бревно кедр 460мм</t>
  </si>
  <si>
    <t xml:space="preserve">Дикое бревно кедр 480мм</t>
  </si>
  <si>
    <t xml:space="preserve">Дикое бревно кедр 500мм</t>
  </si>
  <si>
    <t xml:space="preserve">Дикое бревно лиственница 280мм</t>
  </si>
  <si>
    <t xml:space="preserve">Дикое бревно лиственница 300мм</t>
  </si>
  <si>
    <t xml:space="preserve">Дикое бревно лиственница 320мм</t>
  </si>
  <si>
    <t xml:space="preserve">Дикое бревно лиственница 340мм</t>
  </si>
  <si>
    <t xml:space="preserve">Дикое бревно лиственница 360мм</t>
  </si>
  <si>
    <t xml:space="preserve">Дикое бревно лиственница 380мм</t>
  </si>
  <si>
    <t xml:space="preserve">Дикое бревно лиственница 400мм</t>
  </si>
  <si>
    <t xml:space="preserve">Дикое бревно лиственница 420мм</t>
  </si>
  <si>
    <t xml:space="preserve">Дикое бревно лиственница 440мм</t>
  </si>
  <si>
    <t xml:space="preserve">Дикое бревно лиственница 460мм</t>
  </si>
  <si>
    <t xml:space="preserve">Дикое бревно лиственница 480мм</t>
  </si>
  <si>
    <t xml:space="preserve">Дикое бревно лиственница 500мм</t>
  </si>
  <si>
    <t xml:space="preserve">Глухарь для сборки сруба</t>
  </si>
  <si>
    <t xml:space="preserve">Гидрокомпенсатор</t>
  </si>
  <si>
    <t xml:space="preserve">Пружинный узел</t>
  </si>
  <si>
    <t xml:space="preserve">Профилированный лист</t>
  </si>
  <si>
    <t xml:space="preserve">нет</t>
  </si>
  <si>
    <t xml:space="preserve">Профлист С-8, 04</t>
  </si>
  <si>
    <t xml:space="preserve">0,4-0,45</t>
  </si>
  <si>
    <t xml:space="preserve">Профлист С-8, 0,45</t>
  </si>
  <si>
    <t xml:space="preserve">0,45-0,5</t>
  </si>
  <si>
    <t xml:space="preserve">Профлист С-8, 0,55</t>
  </si>
  <si>
    <t xml:space="preserve">Профлист С-8, 0,65</t>
  </si>
  <si>
    <t xml:space="preserve">Профлист С-8, 0,7</t>
  </si>
  <si>
    <t xml:space="preserve">Профлист С-21, 0,45</t>
  </si>
  <si>
    <t xml:space="preserve">Профлист С-21, 0,55</t>
  </si>
  <si>
    <t xml:space="preserve">Профлист С-21, 0,65</t>
  </si>
  <si>
    <t xml:space="preserve">Профлист С-21, 0,7</t>
  </si>
  <si>
    <t xml:space="preserve">Профлист С-21, 0,75</t>
  </si>
  <si>
    <t xml:space="preserve">Профлист С- 44, 0,65</t>
  </si>
  <si>
    <t xml:space="preserve">Профлист С- 44, 0,7</t>
  </si>
  <si>
    <t xml:space="preserve">Профлист С- 44, 0,75</t>
  </si>
  <si>
    <t xml:space="preserve">Профлист С- 44, 0,8</t>
  </si>
  <si>
    <t xml:space="preserve">Профлист С- 44, 0,45</t>
  </si>
  <si>
    <t xml:space="preserve">ЛСТК Профиль</t>
  </si>
  <si>
    <t xml:space="preserve">Площадь</t>
  </si>
  <si>
    <t xml:space="preserve">Масса, кг/м.п.</t>
  </si>
  <si>
    <t xml:space="preserve">стойки в панелях наружных и внутренних стен, колонны, балки перекрытия, стропила, пояса и раскосы ферм перекрытия и стропильных ферм, стеновые прогоны, сборные усиленные кровельные прогоны</t>
  </si>
  <si>
    <t xml:space="preserve">ГПС 100х50-1,2</t>
  </si>
  <si>
    <t xml:space="preserve">ГПС 100х50-1,5</t>
  </si>
  <si>
    <t xml:space="preserve">ГПС 100х50-2,0</t>
  </si>
  <si>
    <t xml:space="preserve">ГПС 120х50-1,2</t>
  </si>
  <si>
    <t xml:space="preserve">ГПС 120х50-1,5</t>
  </si>
  <si>
    <t xml:space="preserve">ГПС 120х50-2,0</t>
  </si>
  <si>
    <t xml:space="preserve">ГПС 150х50-1,2</t>
  </si>
  <si>
    <t xml:space="preserve">ГПС 150х50-1,5</t>
  </si>
  <si>
    <t xml:space="preserve">ГПС 150х50-2,0</t>
  </si>
  <si>
    <t xml:space="preserve">ГПС 170х50-1,2</t>
  </si>
  <si>
    <t xml:space="preserve">ГПС 170х50-1,5</t>
  </si>
  <si>
    <t xml:space="preserve">ГПС 170х50-2,0</t>
  </si>
  <si>
    <t xml:space="preserve">ГПС 200х50-1,2</t>
  </si>
  <si>
    <t xml:space="preserve">ГПС 200х50-1,5</t>
  </si>
  <si>
    <t xml:space="preserve">ГПС 200х50-2,0</t>
  </si>
  <si>
    <t xml:space="preserve">ГПС 250х50-1,2</t>
  </si>
  <si>
    <t xml:space="preserve">ГПС 250х50-1,5</t>
  </si>
  <si>
    <t xml:space="preserve">ГПС 250х50-2,0</t>
  </si>
  <si>
    <t xml:space="preserve">ГПС 280х50-1,2</t>
  </si>
  <si>
    <t xml:space="preserve">ГПС 280х50-1,5</t>
  </si>
  <si>
    <t xml:space="preserve">ГПС 280х50-2,0</t>
  </si>
  <si>
    <t xml:space="preserve">направляющие в панелях наружных и внутренних стен, вспомогательный элемент в балках перекрытия, устройство узлов в рамных конструкциях, подоконные перемычки, усиления в стеновых прогонах, накладки на С-профиль</t>
  </si>
  <si>
    <t xml:space="preserve">ГПН 102х35-1,2</t>
  </si>
  <si>
    <t xml:space="preserve">ГПН 102х35-1,5</t>
  </si>
  <si>
    <t xml:space="preserve">ГПН 102х35-2,0</t>
  </si>
  <si>
    <t xml:space="preserve">ГПН 122х35-1,2</t>
  </si>
  <si>
    <t xml:space="preserve">ГПН 122х35-1,5</t>
  </si>
  <si>
    <t xml:space="preserve">ГПН 122х35-2,0</t>
  </si>
  <si>
    <t xml:space="preserve">ГПН 152х35-1,2</t>
  </si>
  <si>
    <t xml:space="preserve">ГПН 152х35-1,5</t>
  </si>
  <si>
    <t xml:space="preserve">ГПН 152х35-2,0</t>
  </si>
  <si>
    <t xml:space="preserve">ГПН 172х35-1,2</t>
  </si>
  <si>
    <t xml:space="preserve">ГПН 172х35-1,5</t>
  </si>
  <si>
    <t xml:space="preserve">ГПН 172х35-2,0</t>
  </si>
  <si>
    <t xml:space="preserve">ГПН 202х35-1,2</t>
  </si>
  <si>
    <t xml:space="preserve">ГПН 202х35-1,5</t>
  </si>
  <si>
    <t xml:space="preserve">ГПН 202х35-2,0</t>
  </si>
  <si>
    <t xml:space="preserve">ГПН 252х35-1,2</t>
  </si>
  <si>
    <t xml:space="preserve">ГПН 252х35-1,5</t>
  </si>
  <si>
    <t xml:space="preserve">ГПН 252х35-2,0</t>
  </si>
  <si>
    <t xml:space="preserve">ГПН 282х35-1,2</t>
  </si>
  <si>
    <t xml:space="preserve">ГПН 282х35-1,5</t>
  </si>
  <si>
    <t xml:space="preserve">ГПН 282х35-2,0</t>
  </si>
  <si>
    <t xml:space="preserve">ГПН 104х50-1,2</t>
  </si>
  <si>
    <t xml:space="preserve">ГПН 104х50-1,5</t>
  </si>
  <si>
    <t xml:space="preserve">ГПН 104х50-2,0</t>
  </si>
  <si>
    <t xml:space="preserve">ГПН 124х50-1,2</t>
  </si>
  <si>
    <t xml:space="preserve">ГПН 124х50-1,5</t>
  </si>
  <si>
    <t xml:space="preserve">ГПН 124х50-2,0</t>
  </si>
  <si>
    <t xml:space="preserve">ГПН 154х50-1,2</t>
  </si>
  <si>
    <t xml:space="preserve">ГПН 154х50-1,5</t>
  </si>
  <si>
    <t xml:space="preserve">ГПН 154х50-2,0</t>
  </si>
  <si>
    <t xml:space="preserve">ГПН 174х50-1,2</t>
  </si>
  <si>
    <t xml:space="preserve">ГПН 174х50-1,5</t>
  </si>
  <si>
    <t xml:space="preserve">ГПН 174х50-2,0</t>
  </si>
  <si>
    <t xml:space="preserve">ГПН 204х50-1,2</t>
  </si>
  <si>
    <t xml:space="preserve">ГПН 204х50-1,5</t>
  </si>
  <si>
    <t xml:space="preserve">ГПН 204х50-2,0</t>
  </si>
  <si>
    <t xml:space="preserve">ГПН 254х50-1,2</t>
  </si>
  <si>
    <t xml:space="preserve">ГПН 254х50-1,5</t>
  </si>
  <si>
    <t xml:space="preserve">ГПН 254х50-2,0</t>
  </si>
  <si>
    <t xml:space="preserve">ГПН 284х50-1,2</t>
  </si>
  <si>
    <t xml:space="preserve">ГПН 284х50-1,5</t>
  </si>
  <si>
    <t xml:space="preserve">ГПН 284х50-2,0</t>
  </si>
  <si>
    <t xml:space="preserve">легкие несущие кровельные прогоны, направляющие при устройстве «наборного сэндвича», облегченные стеновые прогоны, вертикальные направляющие вентилируемого фасада</t>
  </si>
  <si>
    <t xml:space="preserve">Z 100-1,2</t>
  </si>
  <si>
    <t xml:space="preserve">Z 100-1,5</t>
  </si>
  <si>
    <t xml:space="preserve">Z 100-2,0</t>
  </si>
  <si>
    <t xml:space="preserve">Z 150-1,2</t>
  </si>
  <si>
    <t xml:space="preserve">Z 150-1,5</t>
  </si>
  <si>
    <t xml:space="preserve">Z 150-2,0</t>
  </si>
  <si>
    <t xml:space="preserve">Z 200-1,2</t>
  </si>
  <si>
    <t xml:space="preserve">Z 200-1,5</t>
  </si>
  <si>
    <t xml:space="preserve">Z 200-2,0</t>
  </si>
  <si>
    <t xml:space="preserve">обрешетка на скатных кровлях, контробрешетка, обрешетка в стеновых конструкциях, столбы и прогоны в заборных секциях</t>
  </si>
  <si>
    <t xml:space="preserve">ГПО 30-0,7</t>
  </si>
  <si>
    <t xml:space="preserve">ГПО 30-1,2</t>
  </si>
  <si>
    <t xml:space="preserve">ГПО 30-1,5</t>
  </si>
  <si>
    <t xml:space="preserve">ГПО 35-0,7</t>
  </si>
  <si>
    <t xml:space="preserve">ГПО 35-1,2</t>
  </si>
  <si>
    <t xml:space="preserve">ГПО 35-1,5</t>
  </si>
  <si>
    <t xml:space="preserve">ГПО 35-2,0</t>
  </si>
  <si>
    <t xml:space="preserve">ГПО 50-0,7</t>
  </si>
  <si>
    <t xml:space="preserve">ГПО 50-1,0</t>
  </si>
  <si>
    <t xml:space="preserve">ГПО 50-1,2</t>
  </si>
  <si>
    <t xml:space="preserve">ГПО 50-1,5</t>
  </si>
  <si>
    <t xml:space="preserve">ГПО 50-2,0</t>
  </si>
  <si>
    <t xml:space="preserve">элемент для крепления стоек к основанию,
вспомогательный элемент при сборке панелей ЛСТК,
обрамление наружных и внутренних углов здания,
крепление элементов каркаса друг к другу,
направляющие для крепления ограждающих конструкций</t>
  </si>
  <si>
    <t xml:space="preserve">L 50 x 50, 1,2мм</t>
  </si>
  <si>
    <t xml:space="preserve">L 50 x 50, 1,5мм</t>
  </si>
  <si>
    <t xml:space="preserve">L 50 x 50, 2мм</t>
  </si>
  <si>
    <t xml:space="preserve">L 75 x 75, 1,2мм</t>
  </si>
  <si>
    <t xml:space="preserve">L 75 x 75, 1,5мм</t>
  </si>
  <si>
    <t xml:space="preserve">L 75 x 75, 2мм</t>
  </si>
  <si>
    <t xml:space="preserve">L 100x100, 1,2мм</t>
  </si>
  <si>
    <t xml:space="preserve">L 100x100, 1,5мм</t>
  </si>
  <si>
    <t xml:space="preserve">L 100x100, 2мм</t>
  </si>
  <si>
    <t xml:space="preserve">Подложка для крепления ЛСТК соединений</t>
  </si>
  <si>
    <t xml:space="preserve">цена 1м2</t>
  </si>
  <si>
    <t xml:space="preserve">Резина листовая</t>
  </si>
  <si>
    <t xml:space="preserve">Резина листовая 2 мм</t>
  </si>
  <si>
    <t xml:space="preserve">Резина листовая 3 мм</t>
  </si>
  <si>
    <t xml:space="preserve">Резина листовая 4 мм</t>
  </si>
  <si>
    <t xml:space="preserve">Резина листовая 5 мм</t>
  </si>
  <si>
    <t xml:space="preserve">Резина листовая 6 мм</t>
  </si>
  <si>
    <t xml:space="preserve">Резина листовая 7 мм</t>
  </si>
  <si>
    <t xml:space="preserve">ЛИНОТЕРМ® П на основе пенополиэтилена с односторонним клеевым слоем, защищенным антиадгезионным материалом</t>
  </si>
  <si>
    <t xml:space="preserve">ЛИНОТЕРМ п - 3 (по 30 п.м)</t>
  </si>
  <si>
    <t xml:space="preserve">111,60</t>
  </si>
  <si>
    <t xml:space="preserve">ЛИНОТЕРМ п - 4 (по 30 п.м)</t>
  </si>
  <si>
    <t xml:space="preserve">125,40</t>
  </si>
  <si>
    <t xml:space="preserve">ЛИНОТЕРМ п - 5 (по 30 п.м)</t>
  </si>
  <si>
    <t xml:space="preserve">140,60</t>
  </si>
  <si>
    <t xml:space="preserve">ЛИНОТЕРМ п - 3 (по 15 п.м)</t>
  </si>
  <si>
    <t xml:space="preserve">170,90</t>
  </si>
  <si>
    <t xml:space="preserve">ЛИНОТЕРМ п - 10 (по 15 п.м)</t>
  </si>
  <si>
    <t xml:space="preserve">193,60</t>
  </si>
  <si>
    <t xml:space="preserve">ЛИНОТЕРМ® Э на основе пенополиэтилена с односторонним полиэтиленовым покрытием, на которое нанесен клеевой слой, защищенный антиадгезионным материалом</t>
  </si>
  <si>
    <t xml:space="preserve">ЛИНОТЕРМ э - 3 (по 30 п.м)</t>
  </si>
  <si>
    <t xml:space="preserve">72,33</t>
  </si>
  <si>
    <t xml:space="preserve">ЛИНОТЕРМ э - 4 (по 30 п.м)</t>
  </si>
  <si>
    <t xml:space="preserve">30,43</t>
  </si>
  <si>
    <t xml:space="preserve">ЛИНОТЕРМ э - 5 (по 30 п.м)</t>
  </si>
  <si>
    <t xml:space="preserve">33,74</t>
  </si>
  <si>
    <t xml:space="preserve">ЛИНОТЕРМ э - 3 (по 15 п.м.)</t>
  </si>
  <si>
    <t xml:space="preserve">113,71</t>
  </si>
  <si>
    <t xml:space="preserve">ЛИНОТЕРМ э - 10 (по 15 п.м.)</t>
  </si>
  <si>
    <t xml:space="preserve">135,35</t>
  </si>
  <si>
    <t xml:space="preserve">ЛИНОТЕРМ® ЭМ на основе пенополиэтилена с односторонним полиэтиленовым покрытием, на которое нанесен клеевой слой</t>
  </si>
  <si>
    <t xml:space="preserve">ЛИНОТЕРМ эм - 3 (по 30 п.м)</t>
  </si>
  <si>
    <t xml:space="preserve">62,40</t>
  </si>
  <si>
    <t xml:space="preserve">ЛИНОТЕРМ эм - 4 (по 30 п.м)</t>
  </si>
  <si>
    <t xml:space="preserve">63,00</t>
  </si>
  <si>
    <t xml:space="preserve">ЛИНОТЕРМ эм - 5 (по 30 п.м)</t>
  </si>
  <si>
    <t xml:space="preserve">73,70</t>
  </si>
  <si>
    <t xml:space="preserve">Изделия из дерева/погонаж</t>
  </si>
  <si>
    <t xml:space="preserve">Планкен, 100*20мм, А</t>
  </si>
  <si>
    <t xml:space="preserve">Планкен, 140*20мм, А</t>
  </si>
  <si>
    <t xml:space="preserve">Планкен, 100*20мм, В</t>
  </si>
  <si>
    <t xml:space="preserve">Планкен, 140*20мм, В</t>
  </si>
  <si>
    <t xml:space="preserve">Планкен, 100*20мм, С</t>
  </si>
  <si>
    <t xml:space="preserve">Планкен, 140*20мм, С</t>
  </si>
  <si>
    <t xml:space="preserve">Блок-хаус, 110*20мм, А</t>
  </si>
  <si>
    <t xml:space="preserve">Блок-хаус, 110*20мм, В</t>
  </si>
  <si>
    <t xml:space="preserve">Блок-хаус, 110*20мм, С</t>
  </si>
  <si>
    <t xml:space="preserve">Блок-хаус, 140*28мм, А</t>
  </si>
  <si>
    <t xml:space="preserve">Блок-хаус, 140*28мм, В</t>
  </si>
  <si>
    <t xml:space="preserve">Блок-хаус, 140*28мм, С</t>
  </si>
  <si>
    <t xml:space="preserve">Имитация бруса, 140*14мм, А</t>
  </si>
  <si>
    <t xml:space="preserve">Имитация бруса, 140*20мм, А</t>
  </si>
  <si>
    <t xml:space="preserve">Имитация бруса, 140*14мм, В</t>
  </si>
  <si>
    <t xml:space="preserve">Имитация бруса, 140*20мм, В</t>
  </si>
  <si>
    <t xml:space="preserve">Имитация бруса, 140*14мм, С</t>
  </si>
  <si>
    <t xml:space="preserve">Имитация бруса, 140*20мм, С</t>
  </si>
  <si>
    <t xml:space="preserve">Евровагонка, 95*12мм, А</t>
  </si>
  <si>
    <t xml:space="preserve">Евровагонка, 95*14мм, А</t>
  </si>
  <si>
    <t xml:space="preserve">Евровагонка, 95*12мм, В</t>
  </si>
  <si>
    <t xml:space="preserve">Евровагонка, 95*14мм, В</t>
  </si>
  <si>
    <t xml:space="preserve">Евровагонка, 95*12мм, С</t>
  </si>
  <si>
    <t xml:space="preserve">Евровагонка, 95*14мм, С</t>
  </si>
  <si>
    <t xml:space="preserve">Штиль, 140*14мм, А</t>
  </si>
  <si>
    <t xml:space="preserve">Штиль, 140*14мм, В</t>
  </si>
  <si>
    <t xml:space="preserve">Штиль, 140*14мм, С</t>
  </si>
  <si>
    <t xml:space="preserve">Софт лайн, 140*14мм, А</t>
  </si>
  <si>
    <t xml:space="preserve">Софт лайн, 140*14мм, В</t>
  </si>
  <si>
    <t xml:space="preserve">Софт лайн, 140*14мм, С</t>
  </si>
  <si>
    <t xml:space="preserve">Плинтус, 20*65, А</t>
  </si>
  <si>
    <t xml:space="preserve">Плинтус, 20*65, В</t>
  </si>
  <si>
    <t xml:space="preserve">Нет наличника</t>
  </si>
  <si>
    <t xml:space="preserve">Наличник, 16*80</t>
  </si>
  <si>
    <t xml:space="preserve">Наличник, 16*90</t>
  </si>
  <si>
    <t xml:space="preserve">Наличник, 16*100</t>
  </si>
  <si>
    <t xml:space="preserve">Наличник, 20*80</t>
  </si>
  <si>
    <t xml:space="preserve">Наличник, 20*90</t>
  </si>
  <si>
    <t xml:space="preserve">Наличник, 20*100</t>
  </si>
  <si>
    <t xml:space="preserve">Огнебиозащита</t>
  </si>
  <si>
    <t xml:space="preserve">Цена 1 л</t>
  </si>
  <si>
    <t xml:space="preserve">Нет огнебиозащиты</t>
  </si>
  <si>
    <t xml:space="preserve">литр</t>
  </si>
  <si>
    <t xml:space="preserve">"Профилюкс" Антисептик АНТИПЛЕСЕНЬ</t>
  </si>
  <si>
    <t xml:space="preserve">"Антифлекс" Антисептик АНТИПЛЕСЕНЬ</t>
  </si>
  <si>
    <t xml:space="preserve">"KLEO" Антиплесень</t>
  </si>
  <si>
    <t xml:space="preserve">"White House" Огнебиозащита</t>
  </si>
  <si>
    <t xml:space="preserve">"Профилюкс" Антисептик ОБЗ-1</t>
  </si>
  <si>
    <t xml:space="preserve">"Профилюкс" Антисептик ОБЗ-2</t>
  </si>
  <si>
    <t xml:space="preserve">"Сенеж" Антисептик ПРОФИ </t>
  </si>
  <si>
    <t xml:space="preserve">"Радугамалер"</t>
  </si>
  <si>
    <t xml:space="preserve">Утеплитель</t>
  </si>
  <si>
    <t xml:space="preserve">Плотность</t>
  </si>
  <si>
    <t xml:space="preserve">Плитный,28кг/м3, технониколь, 50мм</t>
  </si>
  <si>
    <r>
      <rPr>
        <sz val="12"/>
        <color rgb="FF000000"/>
        <rFont val="Calibri"/>
        <family val="2"/>
        <charset val="204"/>
      </rPr>
      <t xml:space="preserve">16 — 18кг/м</t>
    </r>
    <r>
      <rPr>
        <vertAlign val="superscript"/>
        <sz val="12"/>
        <color rgb="FF000000"/>
        <rFont val="Calibri"/>
        <family val="2"/>
        <charset val="204"/>
      </rPr>
      <t xml:space="preserve">3</t>
    </r>
  </si>
  <si>
    <t xml:space="preserve">Плитный,28кг/м3, технониколь, 100мм</t>
  </si>
  <si>
    <t xml:space="preserve">Плитный,28кг/м3, технониколь, 150мм</t>
  </si>
  <si>
    <t xml:space="preserve">Плитный,28кг/м3, технониколь, 200мм</t>
  </si>
  <si>
    <t xml:space="preserve">Плитный,28кг/м3, технониколь, 250мм</t>
  </si>
  <si>
    <t xml:space="preserve">Плитный,28кг/м3, технониколь, 300мм</t>
  </si>
  <si>
    <t xml:space="preserve">Плитный,30кг/м3, роквулл 50мм</t>
  </si>
  <si>
    <r>
      <rPr>
        <sz val="12"/>
        <color rgb="FF000000"/>
        <rFont val="Calibri"/>
        <family val="2"/>
        <charset val="204"/>
      </rPr>
      <t xml:space="preserve">28 — 30кг/м</t>
    </r>
    <r>
      <rPr>
        <vertAlign val="superscript"/>
        <sz val="12"/>
        <color rgb="FF000000"/>
        <rFont val="Calibri"/>
        <family val="2"/>
        <charset val="204"/>
      </rPr>
      <t xml:space="preserve">3</t>
    </r>
  </si>
  <si>
    <t xml:space="preserve">Плитный,30кг/м3, роквулл 100мм</t>
  </si>
  <si>
    <t xml:space="preserve">Плитный,30кг/м3, роквулл 150мм</t>
  </si>
  <si>
    <t xml:space="preserve">Плитный,30кг/м3, роквулл 200мм</t>
  </si>
  <si>
    <t xml:space="preserve">Плитный,30кг/м3, роквулл 250мм</t>
  </si>
  <si>
    <t xml:space="preserve">Плитный,30кг/м3, роквулл 300мм</t>
  </si>
  <si>
    <t xml:space="preserve">Пенопласт ПСБ-С-15, 50мм</t>
  </si>
  <si>
    <r>
      <rPr>
        <sz val="12"/>
        <color rgb="FF000000"/>
        <rFont val="Calibri"/>
        <family val="2"/>
        <charset val="204"/>
      </rPr>
      <t xml:space="preserve">10 — 12кг/м</t>
    </r>
    <r>
      <rPr>
        <vertAlign val="superscript"/>
        <sz val="12"/>
        <color rgb="FF000000"/>
        <rFont val="Calibri"/>
        <family val="2"/>
        <charset val="204"/>
      </rPr>
      <t xml:space="preserve">3</t>
    </r>
  </si>
  <si>
    <t xml:space="preserve">Пенопласт ПСБ-С-15, 100мм</t>
  </si>
  <si>
    <t xml:space="preserve">Пенопласт ПСБ-С-15, 150мм</t>
  </si>
  <si>
    <t xml:space="preserve">Пенопласт ПСБ-С-15, 200мм</t>
  </si>
  <si>
    <t xml:space="preserve">Пенопласт ПСБ-С-15, 250мм</t>
  </si>
  <si>
    <t xml:space="preserve">Пенопласт ПСБ-С-15, 300мм</t>
  </si>
  <si>
    <t xml:space="preserve">Пенопласт ПСБ-С-25, 50мм</t>
  </si>
  <si>
    <t xml:space="preserve">Пенопласт ПСБ-С-25, 100мм</t>
  </si>
  <si>
    <t xml:space="preserve">Пенопласт ПСБ-С-25, 150мм</t>
  </si>
  <si>
    <t xml:space="preserve">Пенопласт ПСБ-С-25, 200мм</t>
  </si>
  <si>
    <t xml:space="preserve">Пенопласт ПСБ-С-25, 250мм</t>
  </si>
  <si>
    <t xml:space="preserve">Пенопласт ПСБ-С-25, 300мм</t>
  </si>
  <si>
    <t xml:space="preserve">Пенопласт ПСБ-С-35, 50мм</t>
  </si>
  <si>
    <t xml:space="preserve">Пенопласт ПСБ-С-35, 100мм</t>
  </si>
  <si>
    <t xml:space="preserve">Пенопласт ПСБ-С-35, 150мм</t>
  </si>
  <si>
    <t xml:space="preserve">Пенопласт ПСБ-С-35, 200мм</t>
  </si>
  <si>
    <t xml:space="preserve">Пенопласт ПСБ-С-35, 250мм</t>
  </si>
  <si>
    <t xml:space="preserve">Пенопласт ПСБ-С-35, 300мм</t>
  </si>
  <si>
    <t xml:space="preserve">Пенополистирол,35кг/м3, 50мм</t>
  </si>
  <si>
    <t xml:space="preserve">Пенополистирол,35кг/м3, 100мм</t>
  </si>
  <si>
    <t xml:space="preserve">Пенополистирол,35кг/м3, 150мм</t>
  </si>
  <si>
    <t xml:space="preserve">Пенополистирол,35кг/м3, 200мм</t>
  </si>
  <si>
    <t xml:space="preserve">Пенополистирол,25кг/м3, 50мм</t>
  </si>
  <si>
    <t xml:space="preserve">Пенополистирол,25кг/м3, 100мм</t>
  </si>
  <si>
    <t xml:space="preserve">Пенополистирол,25кг/м3, 150мм</t>
  </si>
  <si>
    <t xml:space="preserve">Пенополистирол,25кг/м3, 200мм</t>
  </si>
  <si>
    <t xml:space="preserve">Грибок для крепления утеплителя</t>
  </si>
  <si>
    <t xml:space="preserve">Изоляционные материалы</t>
  </si>
  <si>
    <t xml:space="preserve">Рулон</t>
  </si>
  <si>
    <t xml:space="preserve">Гидроизол</t>
  </si>
  <si>
    <t xml:space="preserve">Мастика для дерева</t>
  </si>
  <si>
    <t xml:space="preserve">Рубероид</t>
  </si>
  <si>
    <t xml:space="preserve">Геотекстиль</t>
  </si>
  <si>
    <t xml:space="preserve">Пленка полиэтиленовая</t>
  </si>
  <si>
    <t xml:space="preserve">нет ветроизоляции</t>
  </si>
  <si>
    <r>
      <rPr>
        <sz val="12"/>
        <color rgb="FF000000"/>
        <rFont val="Calibri"/>
        <family val="2"/>
        <charset val="204"/>
      </rPr>
      <t xml:space="preserve">Пленка  </t>
    </r>
    <r>
      <rPr>
        <b val="true"/>
        <sz val="12"/>
        <rFont val="Calibri"/>
        <family val="2"/>
        <charset val="204"/>
      </rPr>
      <t xml:space="preserve">Д96 Сильвер</t>
    </r>
  </si>
  <si>
    <t xml:space="preserve">Менять стоимость рулона</t>
  </si>
  <si>
    <t xml:space="preserve">1,5*50-75м.кв.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</si>
  <si>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Д110 Стандарт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</si>
  <si>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MD90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</si>
  <si>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Soft</t>
    </r>
  </si>
  <si>
    <r>
      <rPr>
        <sz val="12"/>
        <color rgb="FF000000"/>
        <rFont val="Calibri"/>
        <family val="2"/>
        <charset val="204"/>
      </rPr>
      <t xml:space="preserve">Мембраны  </t>
    </r>
    <r>
      <rPr>
        <b val="true"/>
        <sz val="12"/>
        <rFont val="Calibri"/>
        <family val="2"/>
        <charset val="204"/>
      </rPr>
      <t xml:space="preserve">Tyvek Housewrap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</si>
  <si>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Solid Silver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</si>
  <si>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Solid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</si>
  <si>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Tyvek Supro+Tape</t>
    </r>
    <r>
      <rPr>
        <b val="true"/>
        <sz val="12"/>
        <color rgb="FFFF0000"/>
        <rFont val="Calibri"/>
        <family val="2"/>
        <charset val="204"/>
      </rPr>
      <t xml:space="preserve">/ с самокл.леной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</si>
  <si>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Delta-Vent N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</si>
  <si>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Delta-Vent N Plus</t>
    </r>
    <r>
      <rPr>
        <b val="true"/>
        <sz val="12"/>
        <color rgb="FFFF0000"/>
        <rFont val="Calibri"/>
        <family val="2"/>
        <charset val="204"/>
      </rPr>
      <t xml:space="preserve">/ с самокл.леной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</si>
  <si>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Delta-Maxx</t>
    </r>
  </si>
  <si>
    <r>
      <rPr>
        <sz val="12"/>
        <color rgb="FF000000"/>
        <rFont val="Calibri"/>
        <family val="2"/>
        <charset val="204"/>
      </rPr>
      <t xml:space="preserve">Мембраны </t>
    </r>
    <r>
      <rPr>
        <b val="true"/>
        <sz val="12"/>
        <rFont val="Calibri"/>
        <family val="2"/>
        <charset val="204"/>
      </rPr>
      <t xml:space="preserve">Delta-Maxx Plus</t>
    </r>
    <r>
      <rPr>
        <b val="true"/>
        <sz val="12"/>
        <color rgb="FFFF0000"/>
        <rFont val="Calibri"/>
        <family val="2"/>
        <charset val="204"/>
      </rPr>
      <t xml:space="preserve">/ с самокл.леной</t>
    </r>
  </si>
  <si>
    <r>
      <rPr>
        <sz val="12"/>
        <color rgb="FF000000"/>
        <rFont val="Calibri"/>
        <family val="2"/>
        <charset val="204"/>
      </rPr>
      <t xml:space="preserve">Паропроницаемая </t>
    </r>
    <r>
      <rPr>
        <b val="true"/>
        <sz val="12"/>
        <rFont val="Calibri"/>
        <family val="2"/>
        <charset val="204"/>
      </rPr>
      <t xml:space="preserve"> Opima A</t>
    </r>
  </si>
  <si>
    <t xml:space="preserve">70м.кв.</t>
  </si>
  <si>
    <r>
      <rPr>
        <sz val="12"/>
        <color rgb="FF000000"/>
        <rFont val="Calibri"/>
        <family val="2"/>
        <charset val="204"/>
      </rPr>
      <t xml:space="preserve">Универсальная </t>
    </r>
    <r>
      <rPr>
        <b val="true"/>
        <sz val="12"/>
        <rFont val="Calibri"/>
        <family val="2"/>
        <charset val="204"/>
      </rPr>
      <t xml:space="preserve">Optima C</t>
    </r>
  </si>
  <si>
    <r>
      <rPr>
        <sz val="12"/>
        <color rgb="FF000000"/>
        <rFont val="Calibri"/>
        <family val="2"/>
        <charset val="204"/>
      </rPr>
      <t xml:space="preserve">Универсальная  </t>
    </r>
    <r>
      <rPr>
        <b val="true"/>
        <sz val="12"/>
        <rFont val="Calibri"/>
        <family val="2"/>
        <charset val="204"/>
      </rPr>
      <t xml:space="preserve">Optima D</t>
    </r>
  </si>
  <si>
    <t xml:space="preserve">70 м.кв.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</si>
  <si>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Folder Minima D98</t>
    </r>
  </si>
  <si>
    <t xml:space="preserve">75м.кв.</t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</si>
  <si>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Folder Classic</t>
    </r>
  </si>
  <si>
    <t xml:space="preserve">Теплоизолирующая плита 10 мм</t>
  </si>
  <si>
    <t xml:space="preserve">Теплоизолирующая плита 12 мм</t>
  </si>
  <si>
    <t xml:space="preserve">Теплоизолирующая плита 25 мм</t>
  </si>
  <si>
    <t xml:space="preserve">Ветрозащитная плита 12 мм темно-зелёная</t>
  </si>
  <si>
    <t xml:space="preserve">Ветрозащитная плита 25 мм темно-зеленая</t>
  </si>
  <si>
    <t xml:space="preserve">Ветрозащитная плита шип-паз 25 мм</t>
  </si>
  <si>
    <t xml:space="preserve">Кровельная (универсальная) плита 25 мм шип-паз с 4 сторон</t>
  </si>
  <si>
    <t xml:space="preserve">SKANO FAS universal плита 37 мм шип-паз с 4 сторон</t>
  </si>
  <si>
    <t xml:space="preserve">SKANO massiv universal плита 50 мм шип-паз с 4 сторон</t>
  </si>
  <si>
    <t xml:space="preserve">нет пароизоляции</t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</si>
  <si>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Н96 Сильвер 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</si>
  <si>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Н110 Стандарт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</si>
  <si>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Tyvek AirGuard Reflective</t>
    </r>
  </si>
  <si>
    <r>
      <rPr>
        <sz val="12"/>
        <color rgb="FF000000"/>
        <rFont val="Calibri"/>
        <family val="2"/>
        <charset val="204"/>
      </rPr>
      <t xml:space="preserve">Мембрана </t>
    </r>
    <r>
      <rPr>
        <b val="true"/>
        <sz val="12"/>
        <rFont val="Calibri"/>
        <family val="2"/>
        <charset val="204"/>
      </rPr>
      <t xml:space="preserve">Tyvek AirGuard SD5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</si>
  <si>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Delta-Reflex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</si>
  <si>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Delta-Reflex Plus</t>
    </r>
    <r>
      <rPr>
        <b val="true"/>
        <sz val="12"/>
        <color rgb="FFFF0000"/>
        <rFont val="Calibri"/>
        <family val="2"/>
        <charset val="204"/>
      </rPr>
      <t xml:space="preserve">/ с самокл.лентой</t>
    </r>
  </si>
  <si>
    <r>
      <rPr>
        <sz val="12"/>
        <color rgb="FF000000"/>
        <rFont val="Calibri"/>
        <family val="2"/>
        <charset val="204"/>
      </rPr>
      <t xml:space="preserve">Пароизоляция</t>
    </r>
    <r>
      <rPr>
        <b val="true"/>
        <sz val="12"/>
        <rFont val="Calibri"/>
        <family val="2"/>
        <charset val="204"/>
      </rPr>
      <t xml:space="preserve"> Optima B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</si>
  <si>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Folder Minima H98</t>
    </r>
  </si>
  <si>
    <r>
      <rPr>
        <sz val="12"/>
        <color rgb="FF000000"/>
        <rFont val="Calibri"/>
        <family val="2"/>
        <charset val="204"/>
      </rPr>
      <t xml:space="preserve">Пленка </t>
    </r>
    <r>
      <rPr>
        <b val="true"/>
        <sz val="12"/>
        <rFont val="Calibri"/>
        <family val="2"/>
        <charset val="204"/>
      </rPr>
      <t xml:space="preserve">Folder Alum H90</t>
    </r>
  </si>
  <si>
    <t xml:space="preserve">Скобы для степлера, 1000шт/уп</t>
  </si>
  <si>
    <t xml:space="preserve">Уголок усиленный</t>
  </si>
  <si>
    <t xml:space="preserve">Цена руб/шт.</t>
  </si>
  <si>
    <t xml:space="preserve">Нет уголков</t>
  </si>
  <si>
    <t xml:space="preserve">шт.</t>
  </si>
  <si>
    <t xml:space="preserve">Уголок усиленный 90х70х55х2,5        </t>
  </si>
  <si>
    <t xml:space="preserve">Уголок усиленный 70х70х55х2,5        </t>
  </si>
  <si>
    <t xml:space="preserve">Уголок усиленный 50х50х55х2,5        </t>
  </si>
  <si>
    <t xml:space="preserve">Пластина соеденительная</t>
  </si>
  <si>
    <t xml:space="preserve">Нет пластин</t>
  </si>
  <si>
    <t xml:space="preserve">Пластина соеденительная 100х240х2           </t>
  </si>
  <si>
    <t xml:space="preserve">Пластина соеденительная 150х240х2           </t>
  </si>
  <si>
    <t xml:space="preserve">Опора бруса открытая</t>
  </si>
  <si>
    <t xml:space="preserve">Опора бруса          </t>
  </si>
  <si>
    <t xml:space="preserve">Болты анкерные с гайкой</t>
  </si>
  <si>
    <t xml:space="preserve">Диаметр,мм</t>
  </si>
  <si>
    <t xml:space="preserve">Длина, мм</t>
  </si>
  <si>
    <t xml:space="preserve">Цена 1000 шт.</t>
  </si>
  <si>
    <t xml:space="preserve">Цена 1 шт.</t>
  </si>
  <si>
    <t xml:space="preserve">Нет анкерных болтов</t>
  </si>
  <si>
    <t xml:space="preserve">Болты анкерные с гайкой 8,0 x 60           </t>
  </si>
  <si>
    <t xml:space="preserve">Болты анкерные с гайкой 10,0 х 97           </t>
  </si>
  <si>
    <t xml:space="preserve">Болты анкерные с гайкой 12,0 x 100          </t>
  </si>
  <si>
    <t xml:space="preserve">Болты анкерные с гайкой 12,0 x 120          </t>
  </si>
  <si>
    <t xml:space="preserve">Болты анкерные с гайкой 12,0 х 250          </t>
  </si>
  <si>
    <t xml:space="preserve">Болты анкерные с гайкой 12,0 х 280          </t>
  </si>
  <si>
    <t xml:space="preserve">Болты анкерные с гайкой 12,0 x 300          </t>
  </si>
  <si>
    <t xml:space="preserve">Болты анкерные с гайкой 14,0 х 200          </t>
  </si>
  <si>
    <t xml:space="preserve">Болты анкерные с гайкой 14,0 х 250          </t>
  </si>
  <si>
    <t xml:space="preserve">Болты анкерные с гайкой 20,0 х 300          </t>
  </si>
  <si>
    <t xml:space="preserve">Болты анкерные с гайкой 20,0 х 350          </t>
  </si>
  <si>
    <t xml:space="preserve">Болты анкерные с гайкой 20,0 х 400          </t>
  </si>
  <si>
    <t xml:space="preserve">Саморезы</t>
  </si>
  <si>
    <t xml:space="preserve">Цена руб/шт</t>
  </si>
  <si>
    <t xml:space="preserve">Цена руб/кг.</t>
  </si>
  <si>
    <t xml:space="preserve">Нет саморезов</t>
  </si>
  <si>
    <t xml:space="preserve">кг.</t>
  </si>
  <si>
    <t xml:space="preserve">Саморезы 3,5 x 25            </t>
  </si>
  <si>
    <t xml:space="preserve">Саморезы 3,5 x 45            </t>
  </si>
  <si>
    <t xml:space="preserve">Саморезы 3,5 x 55            </t>
  </si>
  <si>
    <t xml:space="preserve">Саморезы 4,2 х 75            </t>
  </si>
  <si>
    <t xml:space="preserve">Саморезы 4,2 x 90            </t>
  </si>
  <si>
    <t xml:space="preserve">Саморезы 4,8 х 90            </t>
  </si>
  <si>
    <t xml:space="preserve">Саморез 5,5 х 25</t>
  </si>
  <si>
    <t xml:space="preserve">Саморез 4,8 х 19</t>
  </si>
  <si>
    <t xml:space="preserve">Гвозди строительные</t>
  </si>
  <si>
    <t xml:space="preserve">Нет гвоздей строительных</t>
  </si>
  <si>
    <t xml:space="preserve">Гвозди строительные 2,5 x 60            </t>
  </si>
  <si>
    <t xml:space="preserve">Гвозди строительные 3,5 x 90            </t>
  </si>
  <si>
    <t xml:space="preserve">Гвозди строительные 4,2 x 120            </t>
  </si>
  <si>
    <t xml:space="preserve">Гвозди строительные 3,5 x 120           </t>
  </si>
  <si>
    <t xml:space="preserve">Гвозди ершоные</t>
  </si>
  <si>
    <t xml:space="preserve">Нет гвоздей ершоных</t>
  </si>
  <si>
    <t xml:space="preserve">Гвозди ершоные 3,4 x 60            </t>
  </si>
  <si>
    <t xml:space="preserve">Гвозди ершоные 2,8 х 90            </t>
  </si>
  <si>
    <t xml:space="preserve">Пена монтажная</t>
  </si>
  <si>
    <t xml:space="preserve">Пена монтажная, всесезонняя 800мл</t>
  </si>
  <si>
    <t xml:space="preserve">Винтовые сваи</t>
  </si>
  <si>
    <t xml:space="preserve">длина</t>
  </si>
  <si>
    <t xml:space="preserve">цена</t>
  </si>
  <si>
    <t xml:space="preserve">нет выбора</t>
  </si>
  <si>
    <t xml:space="preserve">76мм, 2,5м,1 л.</t>
  </si>
  <si>
    <t xml:space="preserve">76мм, 3м, 1 л.</t>
  </si>
  <si>
    <t xml:space="preserve">76мм, 3,5м, 1 л.</t>
  </si>
  <si>
    <t xml:space="preserve">76мм, 4м, 1 л.</t>
  </si>
  <si>
    <t xml:space="preserve">76мм, 4,5м, 1 л.</t>
  </si>
  <si>
    <t xml:space="preserve">76мм, 5м, 1 л.</t>
  </si>
  <si>
    <t xml:space="preserve">76мм, 2,5м, 2 л.</t>
  </si>
  <si>
    <t xml:space="preserve">76мм, 3м длина, 2 лопасть</t>
  </si>
  <si>
    <t xml:space="preserve">76мм, 3,5м длина, 2 лопасть</t>
  </si>
  <si>
    <t xml:space="preserve">76мм, 4м длина, 2 лопасть</t>
  </si>
  <si>
    <t xml:space="preserve">76мм, 4,5м длина, 2 лопасть</t>
  </si>
  <si>
    <t xml:space="preserve">76мм, 5м длина, 2 лопасть</t>
  </si>
  <si>
    <t xml:space="preserve">89мм, 2,5м длина, 1 лопасть</t>
  </si>
  <si>
    <t xml:space="preserve">89мм, 3м длина, 1 лопасть</t>
  </si>
  <si>
    <t xml:space="preserve">89мм, 3,5м длина, 1 лопасть</t>
  </si>
  <si>
    <t xml:space="preserve">89мм, 4м длина, 1 лопасть</t>
  </si>
  <si>
    <t xml:space="preserve">89мм, 4,5м длина, 1 лопасть</t>
  </si>
  <si>
    <t xml:space="preserve">89мм, 5м длина, 1 лопасть</t>
  </si>
  <si>
    <t xml:space="preserve">89мм, 2,5м длина, 2 лопасть</t>
  </si>
  <si>
    <t xml:space="preserve">89мм, 3м длина, 2 лопасть</t>
  </si>
  <si>
    <t xml:space="preserve">89мм, 3,5м длина, 2 лопасть</t>
  </si>
  <si>
    <t xml:space="preserve">89мм, 4м длина, 2 лопасть</t>
  </si>
  <si>
    <t xml:space="preserve">89мм, 4,5м длина, 2 лопасть</t>
  </si>
  <si>
    <t xml:space="preserve">89мм, 5м длина, 2 лопасть</t>
  </si>
  <si>
    <t xml:space="preserve">108мм, 2,5м длина, 1 лопасть</t>
  </si>
  <si>
    <t xml:space="preserve">108мм, 3м длина, 1 лопасть</t>
  </si>
  <si>
    <t xml:space="preserve">108мм, 3,5м длина, 1 лопасть</t>
  </si>
  <si>
    <t xml:space="preserve">108мм, 4м длина, 1 лопасть</t>
  </si>
  <si>
    <t xml:space="preserve">108мм, 4,5м длина, 1 лопасть</t>
  </si>
  <si>
    <t xml:space="preserve">108мм, 5м длина, 1 лопасть</t>
  </si>
  <si>
    <t xml:space="preserve">108мм, 2,5м длина, 2 лопасть</t>
  </si>
  <si>
    <t xml:space="preserve">108мм, 3м длина, 2 лопасть</t>
  </si>
  <si>
    <t xml:space="preserve">108мм, 3,5м длина, 2 лопасть</t>
  </si>
  <si>
    <t xml:space="preserve">108мм, 4м длина, 2 лопасть</t>
  </si>
  <si>
    <t xml:space="preserve">108мм, 4,5м длина, 2 лопасть</t>
  </si>
  <si>
    <t xml:space="preserve">108мм, 5м длина, 2 лопасть</t>
  </si>
  <si>
    <t xml:space="preserve">122мм, 2,5м длина, 1 лопасть</t>
  </si>
  <si>
    <t xml:space="preserve">122мм, 3м длина, 1 лопасть</t>
  </si>
  <si>
    <t xml:space="preserve">122мм, 3,5м длина, 1 лопасть</t>
  </si>
  <si>
    <t xml:space="preserve">122мм, 4м длина, 1 лопасть</t>
  </si>
  <si>
    <t xml:space="preserve">122мм, 4,5м длина, 1 лопасть</t>
  </si>
  <si>
    <t xml:space="preserve">122мм, 5м длина, 1 лопасть</t>
  </si>
  <si>
    <t xml:space="preserve">122мм, 2,5м длина, 2 лопасть</t>
  </si>
  <si>
    <t xml:space="preserve">122мм, 3м длина, 2 лопасть</t>
  </si>
  <si>
    <t xml:space="preserve">122мм, 3,5м длина, 2 лопасть</t>
  </si>
  <si>
    <t xml:space="preserve">122мм, 4м длина, 2 лопасть</t>
  </si>
  <si>
    <t xml:space="preserve">122мм, 4,5м длина, 2 лопасть</t>
  </si>
  <si>
    <t xml:space="preserve">122мм, 5м длина, 2 лопасть</t>
  </si>
  <si>
    <t xml:space="preserve">133мм, 2,5м длина, 1 лопасть</t>
  </si>
  <si>
    <t xml:space="preserve">133мм, 3м длина, 1 лопасть</t>
  </si>
  <si>
    <t xml:space="preserve">133мм, 3,5м длина, 1 лопасть</t>
  </si>
  <si>
    <t xml:space="preserve">133мм, 4м длина, 1 лопасть</t>
  </si>
  <si>
    <t xml:space="preserve">133мм, 4,5м длина, 1 лопасть</t>
  </si>
  <si>
    <t xml:space="preserve">133мм, 5м длина, 1 лопасть</t>
  </si>
  <si>
    <t xml:space="preserve">133мм, 2,5м длина, 2 лопасть</t>
  </si>
  <si>
    <t xml:space="preserve">133мм, 3м длина, 2 лопасть</t>
  </si>
  <si>
    <t xml:space="preserve">133мм, 3,5м длина, 2 лопасть</t>
  </si>
  <si>
    <t xml:space="preserve">133мм, 4м длина, 2 лопасть</t>
  </si>
  <si>
    <t xml:space="preserve">133мм, 4,5м длина, 2 лопасть</t>
  </si>
  <si>
    <t xml:space="preserve">133мм, 5м длина, 2 лопасть</t>
  </si>
  <si>
    <t xml:space="preserve">Оголовкок для свай 150*150</t>
  </si>
  <si>
    <t xml:space="preserve">Оголовкок для свай 200*200</t>
  </si>
  <si>
    <t xml:space="preserve">Оголовкок для свай 100*100</t>
  </si>
  <si>
    <t xml:space="preserve">Оголовкок для свай 250*250</t>
  </si>
  <si>
    <t xml:space="preserve">обвязка металлом</t>
  </si>
  <si>
    <t xml:space="preserve">Кирпич/Марка/Морозостойкость/Цвет</t>
  </si>
  <si>
    <t xml:space="preserve">цена 1 шт</t>
  </si>
  <si>
    <t xml:space="preserve">0,7НФ/150/75 Красный</t>
  </si>
  <si>
    <t xml:space="preserve">0,7НФ/150/75 Аренберг</t>
  </si>
  <si>
    <t xml:space="preserve">0,7НФ/150/75 Гляссе</t>
  </si>
  <si>
    <t xml:space="preserve">0,7НФ/150/75 Терракот</t>
  </si>
  <si>
    <t xml:space="preserve">0,7НФ/150/75 Шоколад</t>
  </si>
  <si>
    <t xml:space="preserve">0,7НФ/150/75 Темный Шоколад</t>
  </si>
  <si>
    <t xml:space="preserve">0,7НФ/150/75 Бавария Микс</t>
  </si>
  <si>
    <t xml:space="preserve">0,7НФ/150/50 Белый</t>
  </si>
  <si>
    <t xml:space="preserve">0,7НФ/150/50 Лотос</t>
  </si>
  <si>
    <t xml:space="preserve">0,7НФ/150/50 Камелот Гляссе</t>
  </si>
  <si>
    <t xml:space="preserve">0,7НФ/150/50 Камелот Терракот</t>
  </si>
  <si>
    <t xml:space="preserve">0,7НФ/150/50 Камелот Шоколад</t>
  </si>
  <si>
    <t xml:space="preserve">0,7НФ/150/50 Камелот Темный Шоколад</t>
  </si>
  <si>
    <t xml:space="preserve">0,7НФ/150/50 Камелот Микс</t>
  </si>
  <si>
    <t xml:space="preserve">1НФ/150/75 Красный</t>
  </si>
  <si>
    <t xml:space="preserve">1НФ/150/75 Аренберг</t>
  </si>
  <si>
    <t xml:space="preserve">1НФ/150/75 Эльц</t>
  </si>
  <si>
    <t xml:space="preserve">1НФ/150/75 Рочестер</t>
  </si>
  <si>
    <t xml:space="preserve">1НФ/150/75 Гляссе</t>
  </si>
  <si>
    <t xml:space="preserve">1НФ/150/75 Терракот</t>
  </si>
  <si>
    <t xml:space="preserve">1НФ/150/75 Шоколад</t>
  </si>
  <si>
    <t xml:space="preserve">1НФ/150/75 Темный Шоколад</t>
  </si>
  <si>
    <t xml:space="preserve">1НФ/150/75 Бавария микс</t>
  </si>
  <si>
    <t xml:space="preserve">1НФ/150/50 Белый</t>
  </si>
  <si>
    <t xml:space="preserve">1НФ/150/50 Лотос</t>
  </si>
  <si>
    <t xml:space="preserve">1НФ/150/50 Камелот Микс</t>
  </si>
  <si>
    <t xml:space="preserve">1НФ/150/50 Камелот Гляссе</t>
  </si>
  <si>
    <t xml:space="preserve">1НФ/150/50 Камелот Терракот</t>
  </si>
  <si>
    <t xml:space="preserve">1НФ/150/50 Камелот Шоколад</t>
  </si>
  <si>
    <t xml:space="preserve">1НФ/150/50 Камелот Темный  Шоколад</t>
  </si>
  <si>
    <t xml:space="preserve">1,4НФ/150/75 Красный</t>
  </si>
  <si>
    <t xml:space="preserve">1,4НФ/150/75 Аренберг</t>
  </si>
  <si>
    <t xml:space="preserve">1,4НФ/150/75 Гляссе</t>
  </si>
  <si>
    <t xml:space="preserve">1,4НФ/150/75 Терракот</t>
  </si>
  <si>
    <t xml:space="preserve">1,4НФ/150/75 Шоколад</t>
  </si>
  <si>
    <t xml:space="preserve">1,4НФ/150/75 Темный Шоколад</t>
  </si>
  <si>
    <t xml:space="preserve">1,4НФ/150/75 Бавария Микс</t>
  </si>
  <si>
    <t xml:space="preserve">1,4НФ/150/50 Белый</t>
  </si>
  <si>
    <t xml:space="preserve">1,4НФ/150/50 Лотос</t>
  </si>
  <si>
    <t xml:space="preserve">Ваш вариант</t>
  </si>
  <si>
    <t xml:space="preserve">Керамоблок 510х250х219 мм -    14,3 НФ</t>
  </si>
  <si>
    <t xml:space="preserve">Фанера, OSB</t>
  </si>
  <si>
    <t xml:space="preserve">Цена,м2</t>
  </si>
  <si>
    <t xml:space="preserve">Лист ГВЛВ 2500х1200х10 мм</t>
  </si>
  <si>
    <t xml:space="preserve">2500х1200</t>
  </si>
  <si>
    <t xml:space="preserve">Лист ГВЛВ 2500х1200х12,5 мм</t>
  </si>
  <si>
    <t xml:space="preserve">Лист ГВЛВ 1200х600х20 мм</t>
  </si>
  <si>
    <t xml:space="preserve">1200х600</t>
  </si>
  <si>
    <t xml:space="preserve">Лист СМЛ 2500х1200х6 мм</t>
  </si>
  <si>
    <t xml:space="preserve">Лист СМЛ 2500х1200х8 мм</t>
  </si>
  <si>
    <t xml:space="preserve">Лист СМЛ 2500х1200х10 мм</t>
  </si>
  <si>
    <t xml:space="preserve">Лист СМЛ 2500х1200х12 мм</t>
  </si>
  <si>
    <t xml:space="preserve">OSB-3 КНР (для наружных работ), 9мм</t>
  </si>
  <si>
    <t xml:space="preserve">1220х2440</t>
  </si>
  <si>
    <t xml:space="preserve">Kronospan - OSB-3, 9мм</t>
  </si>
  <si>
    <t xml:space="preserve">1250х2500</t>
  </si>
  <si>
    <t xml:space="preserve">OSB-3 КНР (для наружных работ), 12мм</t>
  </si>
  <si>
    <t xml:space="preserve">Kronospan - OSB-3, 12мм</t>
  </si>
  <si>
    <t xml:space="preserve">Kronospan - OSB-3, 15мм</t>
  </si>
  <si>
    <t xml:space="preserve">Kronospan - OSB-3, 18мм</t>
  </si>
  <si>
    <t xml:space="preserve">Kronospan - OSB-3, 22мм</t>
  </si>
  <si>
    <t xml:space="preserve">Egger \ OSB-3, 10мм</t>
  </si>
  <si>
    <t xml:space="preserve">Egger \ OSB-3, 15мм</t>
  </si>
  <si>
    <t xml:space="preserve">Egger \ OSB-3, 18мм</t>
  </si>
  <si>
    <t xml:space="preserve">Фанера Хвойная, марка ФСФ, 9 мм </t>
  </si>
  <si>
    <t xml:space="preserve">Фанера Хвойная, марка ФСФ, 6,5 мм </t>
  </si>
  <si>
    <t xml:space="preserve">Фанера Хвойная, марка ФСФ, 12 мм </t>
  </si>
  <si>
    <t xml:space="preserve">Фанера Хвойная, марка ФСФ, 15 мм </t>
  </si>
  <si>
    <t xml:space="preserve">Фанера Хвойная, марка ФСФ, 18 мм </t>
  </si>
  <si>
    <t xml:space="preserve">Фанера Хвойная, марка ФСФ, 21 мм </t>
  </si>
  <si>
    <t xml:space="preserve">Фанера Хвойная, марка ФСФ, 24 мм </t>
  </si>
  <si>
    <t xml:space="preserve">Фанера Хвойная, марка ФСФ, 27 мм </t>
  </si>
  <si>
    <t xml:space="preserve">Фанера Хвойная, марка ФСФ, 30 мм</t>
  </si>
  <si>
    <t xml:space="preserve">Фанера Ламинированная влагостойкая, 10 мм</t>
  </si>
  <si>
    <t xml:space="preserve">Россия\Береза</t>
  </si>
  <si>
    <t xml:space="preserve">Фанера Ламинированная влагостойкая, 12 мм</t>
  </si>
  <si>
    <t xml:space="preserve">Фанера Ламинированная влагостойкая, 15 мм </t>
  </si>
  <si>
    <t xml:space="preserve">Фанера Ламинированная влагостойкая, 18 мм </t>
  </si>
  <si>
    <t xml:space="preserve">КНР (тополь)</t>
  </si>
  <si>
    <t xml:space="preserve">Фанера Ламинированная влагостойкая, 12 мм </t>
  </si>
  <si>
    <t xml:space="preserve">  КНР \OSB</t>
  </si>
  <si>
    <t xml:space="preserve">Фанера Ламинированная влагостойкая, 20 мм </t>
  </si>
  <si>
    <t xml:space="preserve">Фанера Березовая марка ФК - влагостойкая,  4 мм </t>
  </si>
  <si>
    <t xml:space="preserve">IV / IV </t>
  </si>
  <si>
    <t xml:space="preserve">Фанера Березовая марка ФК - влагостойкая,  6,5 мм </t>
  </si>
  <si>
    <t xml:space="preserve">Фанера Березовая марка ФК - влагостойкая,  8 мм </t>
  </si>
  <si>
    <t xml:space="preserve">Фанера Березовая марка ФК - влагостойкая,  9 мм </t>
  </si>
  <si>
    <t xml:space="preserve">Фанера Березовая марка ФК - влагостойкая,  10 мм</t>
  </si>
  <si>
    <t xml:space="preserve">Фанера Березовая марка ФК - влагостойкая,  12 мм </t>
  </si>
  <si>
    <t xml:space="preserve">Фанера Березовая марка ФК - влагостойкая,  15 мм </t>
  </si>
  <si>
    <t xml:space="preserve">IV / IV</t>
  </si>
  <si>
    <t xml:space="preserve">Фанера Березовая марка ФК - влагостойкая,  18 мм </t>
  </si>
  <si>
    <t xml:space="preserve">Фанера Березовая марка ФК - влагостойкая,  21 мм </t>
  </si>
  <si>
    <t xml:space="preserve">Фанера Березовая марка ФК - влагостойкая,  30 мм </t>
  </si>
  <si>
    <t xml:space="preserve">Отопление водяное</t>
  </si>
  <si>
    <t xml:space="preserve">Труба теплого пола 1</t>
  </si>
  <si>
    <t xml:space="preserve">Труба теплого пола 2</t>
  </si>
  <si>
    <t xml:space="preserve">Труба теплого пола 3</t>
  </si>
  <si>
    <t xml:space="preserve">Труба теплого пола 4</t>
  </si>
  <si>
    <t xml:space="preserve">Труба теплого пола 5</t>
  </si>
  <si>
    <t xml:space="preserve">Труба теплого пола 6</t>
  </si>
  <si>
    <t xml:space="preserve">Труба теплого пола 7</t>
  </si>
  <si>
    <t xml:space="preserve">Труба теплого пола 8</t>
  </si>
  <si>
    <t xml:space="preserve">Труба теплого пола 9</t>
  </si>
  <si>
    <t xml:space="preserve">Коллектор 1</t>
  </si>
  <si>
    <t xml:space="preserve">Коллектор 2</t>
  </si>
  <si>
    <t xml:space="preserve">Коллектор 3</t>
  </si>
  <si>
    <t xml:space="preserve">Коллектор 4</t>
  </si>
  <si>
    <t xml:space="preserve">Коллектор 5</t>
  </si>
  <si>
    <t xml:space="preserve">Коллектор 6</t>
  </si>
  <si>
    <t xml:space="preserve">Коллектор 7</t>
  </si>
  <si>
    <t xml:space="preserve">Коллектор 8</t>
  </si>
  <si>
    <t xml:space="preserve">Труба дренажная/канализационная</t>
  </si>
  <si>
    <t xml:space="preserve">Труба гофрированная одностенная d 63</t>
  </si>
  <si>
    <t xml:space="preserve">Труба гофрированная одностенная d 90</t>
  </si>
  <si>
    <t xml:space="preserve">Труба гофрированная одностенная d110</t>
  </si>
  <si>
    <t xml:space="preserve">Труба гофрированная одностенная d160</t>
  </si>
  <si>
    <t xml:space="preserve">Труба гофрированная одностенная d200 </t>
  </si>
  <si>
    <t xml:space="preserve">Труба дренажная d63мм с перфорацией, в фильтре</t>
  </si>
  <si>
    <t xml:space="preserve">труба дренажная d90 с перфорацией, в фильтре</t>
  </si>
  <si>
    <t xml:space="preserve">труба дренажная d110 с перфорацией, в фильтре</t>
  </si>
  <si>
    <t xml:space="preserve">труба дренажная d160 с перфорацией, в фильтре</t>
  </si>
  <si>
    <t xml:space="preserve">труба дренажная d200 с перфорацией, в фильтре</t>
  </si>
  <si>
    <t xml:space="preserve">Труба дренажная двухслойная d110 с перфорацией без фильтра</t>
  </si>
  <si>
    <t xml:space="preserve">труба дренажная двухслойная d110 с перфорацией в фильтре</t>
  </si>
  <si>
    <t xml:space="preserve">Труба дренажная двухслойная d160 с перфорацией без фильтра</t>
  </si>
  <si>
    <t xml:space="preserve">труба дренажная двухслойная d160 с перфорацией, в фильтре</t>
  </si>
  <si>
    <t xml:space="preserve">труба дренажная двухслойная d200 с перфорацией, без фильтра</t>
  </si>
  <si>
    <t xml:space="preserve">труба дренажная двухслойная d200 с перфорацией, в фильтре</t>
  </si>
  <si>
    <t xml:space="preserve">Труба канализационная D110</t>
  </si>
  <si>
    <t xml:space="preserve">Дренажный колодец</t>
  </si>
  <si>
    <t xml:space="preserve">Дренажный колодец D300</t>
  </si>
  <si>
    <t xml:space="preserve">Дренажный колодец D400</t>
  </si>
  <si>
    <t xml:space="preserve">Дренажный колодец D500</t>
  </si>
  <si>
    <t xml:space="preserve">Дренажный колодец D600</t>
  </si>
  <si>
    <t xml:space="preserve">Металлочерепица</t>
  </si>
  <si>
    <t xml:space="preserve">Карнизная планка</t>
  </si>
  <si>
    <t xml:space="preserve">Торцевая планка</t>
  </si>
  <si>
    <t xml:space="preserve">Конек</t>
  </si>
  <si>
    <t xml:space="preserve">Ендова нижняя</t>
  </si>
  <si>
    <t xml:space="preserve">Ендова верхняя</t>
  </si>
  <si>
    <t xml:space="preserve">Планка примыкания</t>
  </si>
  <si>
    <t xml:space="preserve">Кровельный саморез</t>
  </si>
  <si>
    <t xml:space="preserve">Ондулин</t>
  </si>
  <si>
    <t xml:space="preserve">Крепеж для ондулина</t>
  </si>
  <si>
    <t xml:space="preserve">Мягкая кровля</t>
  </si>
  <si>
    <t xml:space="preserve">Рядовая черепица</t>
  </si>
  <si>
    <t xml:space="preserve">Металл оцинк защита (карниз)</t>
  </si>
  <si>
    <t xml:space="preserve">Подкладочный ковер</t>
  </si>
  <si>
    <t xml:space="preserve">Карнизная самоклеющаяся черепица</t>
  </si>
  <si>
    <t xml:space="preserve">Спец ковер ендова нижняя</t>
  </si>
  <si>
    <t xml:space="preserve">Коньковой элемент</t>
  </si>
  <si>
    <t xml:space="preserve">Планка премыкания</t>
  </si>
  <si>
    <t xml:space="preserve">Гвозди для крепления подкладочного ковра</t>
  </si>
  <si>
    <t xml:space="preserve">Гвозди для крепления черепицы</t>
  </si>
  <si>
    <t xml:space="preserve">Клей для монтажа черепицы</t>
  </si>
  <si>
    <t xml:space="preserve">Водосточная система</t>
  </si>
  <si>
    <t xml:space="preserve">желоб</t>
  </si>
  <si>
    <t xml:space="preserve">отвод</t>
  </si>
  <si>
    <t xml:space="preserve">труба водосточная</t>
  </si>
  <si>
    <t xml:space="preserve">заглушка для желоба</t>
  </si>
  <si>
    <t xml:space="preserve">соеденитель для желоба</t>
  </si>
  <si>
    <t xml:space="preserve">кронштейн для желоба</t>
  </si>
  <si>
    <t xml:space="preserve">переход из желоба в трубу</t>
  </si>
  <si>
    <t xml:space="preserve">лента дельта мульти бэнд</t>
  </si>
  <si>
    <t xml:space="preserve">лента дельта sb-60</t>
  </si>
  <si>
    <t xml:space="preserve">проходка кровельная, канализационная</t>
  </si>
  <si>
    <t xml:space="preserve">проходка кровельная, вентиляционная</t>
  </si>
  <si>
    <t xml:space="preserve">проодка кровельная, труба котел</t>
  </si>
  <si>
    <t xml:space="preserve">Септик с утепленной канализацией</t>
  </si>
  <si>
    <t xml:space="preserve">Наименование</t>
  </si>
  <si>
    <t xml:space="preserve">ед изм</t>
  </si>
  <si>
    <t xml:space="preserve">дно бетонное, диаметр 1м.п.</t>
  </si>
  <si>
    <t xml:space="preserve">дно бетонное, диаметр 1,5м.п.</t>
  </si>
  <si>
    <t xml:space="preserve">дно бетонное, диаметр 2м.п.</t>
  </si>
  <si>
    <t xml:space="preserve">дно бетонное, диаметр 3м.п.</t>
  </si>
  <si>
    <t xml:space="preserve">кольцо бетонное, диаметр 1м.п.</t>
  </si>
  <si>
    <t xml:space="preserve">кольцо бетонное, диаметр 1,5м.п.</t>
  </si>
  <si>
    <t xml:space="preserve">кольцо бетонное, диаметр 2м.п.</t>
  </si>
  <si>
    <t xml:space="preserve">кольцо бетонное, диаметр 3м.п.</t>
  </si>
  <si>
    <t xml:space="preserve">крышка бетонная, диаметр 1м.п.</t>
  </si>
  <si>
    <t xml:space="preserve">крышка бетонная, диаметр 1,5м.п.</t>
  </si>
  <si>
    <t xml:space="preserve">крышка бетонная, диаметр 2м.п.</t>
  </si>
  <si>
    <t xml:space="preserve">крышка бетонная, диаметр 3м.п.</t>
  </si>
  <si>
    <t xml:space="preserve">Люк для крышки пластиковый</t>
  </si>
  <si>
    <t xml:space="preserve">Люк для крышки чугунный</t>
  </si>
  <si>
    <t xml:space="preserve">Скорлупа для утепления канализационной трубы</t>
  </si>
  <si>
    <t xml:space="preserve">Горловина для септика бетонная</t>
  </si>
  <si>
    <t xml:space="preserve">Скотч </t>
  </si>
  <si>
    <t xml:space="preserve">Электрика</t>
  </si>
  <si>
    <t xml:space="preserve">Нет кабеля</t>
  </si>
  <si>
    <t xml:space="preserve">Кабель ВВГнг(А)-LS 2х2,5 0,66</t>
  </si>
  <si>
    <t xml:space="preserve">Кабель ВВГнг(А)-LS 2х1,5 0,66</t>
  </si>
  <si>
    <t xml:space="preserve">Кабель ВВГнг(А)-LS 3х1,5 0,66</t>
  </si>
  <si>
    <t xml:space="preserve">Кабель ВВГнг(А)-LS 3х2,5 0,66</t>
  </si>
  <si>
    <t xml:space="preserve">Кабель ВВГнг(А)-LS 3х4 0,66</t>
  </si>
  <si>
    <t xml:space="preserve">Нет гофры</t>
  </si>
  <si>
    <t xml:space="preserve">Труба ПВХ гофрировонная гибкая 16</t>
  </si>
  <si>
    <t xml:space="preserve">Труба ПВХ гофрировонная гибкая 20</t>
  </si>
  <si>
    <t xml:space="preserve">Труба ПВХ гофрировонная гибкая 25</t>
  </si>
  <si>
    <t xml:space="preserve">Труба ПВХ гофрировонная гибкая 32</t>
  </si>
  <si>
    <t xml:space="preserve">Труба ПВХ гофрировонная гибкая 40</t>
  </si>
  <si>
    <t xml:space="preserve">Труба ПВХ гофрировонная гибкая 50</t>
  </si>
  <si>
    <t xml:space="preserve">Труба ПВХ гофрировонная гибкая 63</t>
  </si>
  <si>
    <t xml:space="preserve">Труба ПВХ гофрировонная жесткая 16</t>
  </si>
  <si>
    <t xml:space="preserve">Труба ПВХ гофрировонная жесткая 20</t>
  </si>
  <si>
    <t xml:space="preserve">Труба ПВХ гофрировонная жесткая 25</t>
  </si>
  <si>
    <t xml:space="preserve">Труба ПВХ гофрировонная жесткая 32</t>
  </si>
  <si>
    <t xml:space="preserve">Труба ПВХ гофрировонная жесткая 40</t>
  </si>
  <si>
    <t xml:space="preserve">Труба ПВХ гофрировонная жесткая 50</t>
  </si>
  <si>
    <t xml:space="preserve">Труба ПВХ гофрировонная жесткая 63</t>
  </si>
  <si>
    <t xml:space="preserve">Металлорукав гофра 10мм</t>
  </si>
  <si>
    <t xml:space="preserve">Металлорукав гофра 12мм</t>
  </si>
  <si>
    <t xml:space="preserve">Металлорукав гофра 15мм</t>
  </si>
  <si>
    <t xml:space="preserve">Металлорукав гофра 118мм</t>
  </si>
  <si>
    <t xml:space="preserve">Металлорукав гофра 20мм</t>
  </si>
  <si>
    <t xml:space="preserve">Металлорукав гофра 22мм</t>
  </si>
  <si>
    <t xml:space="preserve">Металлорукав гофра 25мм</t>
  </si>
  <si>
    <t xml:space="preserve">Металлорукав гофра 32мм</t>
  </si>
  <si>
    <t xml:space="preserve">крепления для гофры</t>
  </si>
  <si>
    <t xml:space="preserve">саморез для крепления гофры</t>
  </si>
  <si>
    <t xml:space="preserve">Коробка распределения</t>
  </si>
  <si>
    <t xml:space="preserve">Вага</t>
  </si>
  <si>
    <t xml:space="preserve">Щиток электрический</t>
  </si>
  <si>
    <t xml:space="preserve">автомат, 3 полюса, 32амп</t>
  </si>
  <si>
    <t xml:space="preserve">автомат, 1 полюс, 16амп</t>
  </si>
  <si>
    <t xml:space="preserve">автомат, 1 полюс, 25 амп</t>
  </si>
  <si>
    <t xml:space="preserve">Коробка электрическая</t>
  </si>
  <si>
    <t xml:space="preserve">Розетка 1</t>
  </si>
  <si>
    <t xml:space="preserve">Розетка 2</t>
  </si>
  <si>
    <t xml:space="preserve">Розетка 3</t>
  </si>
  <si>
    <t xml:space="preserve">Розетка 4</t>
  </si>
  <si>
    <t xml:space="preserve">Розетка 5</t>
  </si>
  <si>
    <t xml:space="preserve">Выключатель 1</t>
  </si>
  <si>
    <t xml:space="preserve">Выключатель 2</t>
  </si>
  <si>
    <t xml:space="preserve">Выключатель 3</t>
  </si>
  <si>
    <t xml:space="preserve">Выключатель 4</t>
  </si>
  <si>
    <t xml:space="preserve">Выключатель 5</t>
  </si>
  <si>
    <t xml:space="preserve">Отопление радиаторное, холодное и горячее водоснабжение</t>
  </si>
  <si>
    <t xml:space="preserve">труба диам 25/32 отопление</t>
  </si>
  <si>
    <t xml:space="preserve">соеденители для трубы</t>
  </si>
  <si>
    <t xml:space="preserve">уголок 90 град</t>
  </si>
  <si>
    <t xml:space="preserve">радиаторы, 1 секция</t>
  </si>
  <si>
    <t xml:space="preserve">комплектующие для радиаторов</t>
  </si>
  <si>
    <t xml:space="preserve">кран американка ду 25/32 для радиаторов</t>
  </si>
  <si>
    <t xml:space="preserve">кран гайка/резьба ду 25/32</t>
  </si>
  <si>
    <t xml:space="preserve">труба диам 20 вода</t>
  </si>
  <si>
    <t xml:space="preserve">комплектующие для хол и гор водоснаб</t>
  </si>
  <si>
    <t xml:space="preserve">Скважина</t>
  </si>
  <si>
    <t xml:space="preserve">земляные работы</t>
  </si>
  <si>
    <t xml:space="preserve">бурение</t>
  </si>
  <si>
    <t xml:space="preserve">насос малыш</t>
  </si>
  <si>
    <t xml:space="preserve">шланг для насоса</t>
  </si>
  <si>
    <t xml:space="preserve">тросик для насоса</t>
  </si>
  <si>
    <t xml:space="preserve">изолента</t>
  </si>
  <si>
    <t xml:space="preserve">рул</t>
  </si>
  <si>
    <t xml:space="preserve">гидроаккумулятор, 80л</t>
  </si>
  <si>
    <t xml:space="preserve">автоматика</t>
  </si>
  <si>
    <t xml:space="preserve">пнд труба</t>
  </si>
  <si>
    <t xml:space="preserve">скорлупа утепления двойная</t>
  </si>
  <si>
    <t xml:space="preserve">скважинный адаптер</t>
  </si>
  <si>
    <t xml:space="preserve">Котельная</t>
  </si>
  <si>
    <t xml:space="preserve">котел</t>
  </si>
  <si>
    <t xml:space="preserve">бойлер</t>
  </si>
  <si>
    <t xml:space="preserve">гребенка</t>
  </si>
  <si>
    <t xml:space="preserve">насос на отопление</t>
  </si>
  <si>
    <t xml:space="preserve">насос на горячее водоснабжение</t>
  </si>
  <si>
    <t xml:space="preserve">датчик давления</t>
  </si>
  <si>
    <t xml:space="preserve">сбросной клапан</t>
  </si>
  <si>
    <t xml:space="preserve">труба, черная ду 32</t>
  </si>
  <si>
    <t xml:space="preserve">угол ду 32</t>
  </si>
  <si>
    <t xml:space="preserve">бочонок ду 32</t>
  </si>
  <si>
    <t xml:space="preserve">резьба ду 32</t>
  </si>
  <si>
    <t xml:space="preserve">переод с ду 32на 20</t>
  </si>
  <si>
    <t xml:space="preserve">электроды, пачка</t>
  </si>
  <si>
    <t xml:space="preserve">лен</t>
  </si>
  <si>
    <t xml:space="preserve">рулон</t>
  </si>
  <si>
    <t xml:space="preserve">ОКНА и ДВЕРИ в ДОМЕ</t>
  </si>
  <si>
    <t xml:space="preserve">францкзские окна</t>
  </si>
  <si>
    <t xml:space="preserve">окна   </t>
  </si>
  <si>
    <t xml:space="preserve">подоконник</t>
  </si>
  <si>
    <t xml:space="preserve">направляющие для откосов внутр</t>
  </si>
  <si>
    <t xml:space="preserve">откосы внутр</t>
  </si>
  <si>
    <t xml:space="preserve">уголок для откосов внутр</t>
  </si>
  <si>
    <t xml:space="preserve">отлив</t>
  </si>
  <si>
    <t xml:space="preserve">откосы нар</t>
  </si>
  <si>
    <t xml:space="preserve">направляющие для откосов нар</t>
  </si>
  <si>
    <t xml:space="preserve">уголок для откосов нар</t>
  </si>
  <si>
    <t xml:space="preserve">ветроизоляция окон</t>
  </si>
  <si>
    <t xml:space="preserve">пароизоляция окон</t>
  </si>
  <si>
    <t xml:space="preserve">крепления</t>
  </si>
  <si>
    <t xml:space="preserve">Французские окна</t>
  </si>
  <si>
    <t xml:space="preserve">анкерный болт для крепления окно фр</t>
  </si>
  <si>
    <t xml:space="preserve">пластины для крепления</t>
  </si>
  <si>
    <t xml:space="preserve">Двери входные</t>
  </si>
  <si>
    <t xml:space="preserve">двери в котельную</t>
  </si>
  <si>
    <t xml:space="preserve">Мансардные окна Velux OPTIMA</t>
  </si>
  <si>
    <t xml:space="preserve">Размеры</t>
  </si>
  <si>
    <t xml:space="preserve">Окно</t>
  </si>
  <si>
    <t xml:space="preserve">оклад</t>
  </si>
  <si>
    <t xml:space="preserve">CR02 55X78 </t>
  </si>
  <si>
    <t xml:space="preserve">CR04 55X98</t>
  </si>
  <si>
    <t xml:space="preserve">FR04 66X98</t>
  </si>
  <si>
    <t xml:space="preserve">FR06 66X118</t>
  </si>
  <si>
    <t xml:space="preserve">MR04 78X98</t>
  </si>
  <si>
    <t xml:space="preserve">MR06 78X118</t>
  </si>
  <si>
    <t xml:space="preserve">MR08 78X140</t>
  </si>
  <si>
    <t xml:space="preserve">MR10 78X160</t>
  </si>
  <si>
    <t xml:space="preserve">PR06 94X118</t>
  </si>
  <si>
    <t xml:space="preserve">PR08 94X140</t>
  </si>
  <si>
    <t xml:space="preserve">SR06 114X118</t>
  </si>
  <si>
    <t xml:space="preserve">SR08 114X140</t>
  </si>
  <si>
    <t xml:space="preserve">Лестница деревянная</t>
  </si>
  <si>
    <t xml:space="preserve">наименование</t>
  </si>
  <si>
    <t xml:space="preserve">ступени хвоя</t>
  </si>
  <si>
    <t xml:space="preserve">площадка хвоя</t>
  </si>
  <si>
    <t xml:space="preserve">столб под площадку, 2м</t>
  </si>
  <si>
    <t xml:space="preserve">столб обвязка перил 1 и 2 этажа</t>
  </si>
  <si>
    <t xml:space="preserve">балясина 80*80, первая</t>
  </si>
  <si>
    <t xml:space="preserve">тетева, 3м.п.</t>
  </si>
  <si>
    <t xml:space="preserve">крепления для ступеней, болт</t>
  </si>
  <si>
    <t xml:space="preserve">крепления для площадки</t>
  </si>
  <si>
    <t xml:space="preserve">поручни</t>
  </si>
  <si>
    <t xml:space="preserve">балясины</t>
  </si>
  <si>
    <t xml:space="preserve">Отделка внешняя</t>
  </si>
  <si>
    <t xml:space="preserve">кирпич облицовочный</t>
  </si>
  <si>
    <t xml:space="preserve">сайдинг виниловый</t>
  </si>
  <si>
    <t xml:space="preserve">доборные элементы для винил сайдинга</t>
  </si>
  <si>
    <t xml:space="preserve">торцевая планка винил</t>
  </si>
  <si>
    <t xml:space="preserve">стартовый профиль для сайдинга</t>
  </si>
  <si>
    <t xml:space="preserve">сайдинг металлический</t>
  </si>
  <si>
    <t xml:space="preserve">доборные элементы для метал сайдинга</t>
  </si>
  <si>
    <t xml:space="preserve">имитация бруса</t>
  </si>
  <si>
    <t xml:space="preserve">планкен</t>
  </si>
  <si>
    <t xml:space="preserve">крепления для планкена, змейка</t>
  </si>
  <si>
    <t xml:space="preserve">камень искуственный</t>
  </si>
  <si>
    <t xml:space="preserve">клей для камня </t>
  </si>
  <si>
    <t xml:space="preserve">отлив металлический</t>
  </si>
  <si>
    <t xml:space="preserve">камень природный</t>
  </si>
  <si>
    <t xml:space="preserve">Нет гидроизоляции жидкой</t>
  </si>
  <si>
    <t xml:space="preserve">Гидроизоляция жидкая резина 1</t>
  </si>
  <si>
    <t xml:space="preserve">Гидроизоляция жидкая резина 2</t>
  </si>
  <si>
    <t xml:space="preserve">Гидроизоляция жидкая резина 3</t>
  </si>
  <si>
    <t xml:space="preserve">Отделка внутренняя</t>
  </si>
  <si>
    <t xml:space="preserve">комнаты стены</t>
  </si>
  <si>
    <t xml:space="preserve">ГКЛ, 12мм</t>
  </si>
  <si>
    <t xml:space="preserve">профиль 60/27/3000</t>
  </si>
  <si>
    <t xml:space="preserve">профиль 27/28/3000</t>
  </si>
  <si>
    <t xml:space="preserve">подвес прямой</t>
  </si>
  <si>
    <t xml:space="preserve">саморез металл/металл, 13мм</t>
  </si>
  <si>
    <t xml:space="preserve">саморез гкл/металл, 25мм</t>
  </si>
  <si>
    <t xml:space="preserve">грунтовка, 10л</t>
  </si>
  <si>
    <t xml:space="preserve">шпаклевка для швов, 25кг</t>
  </si>
  <si>
    <t xml:space="preserve">шпаклевка финишная, 25кг</t>
  </si>
  <si>
    <t xml:space="preserve">серпянка для швов, 50м.п.</t>
  </si>
  <si>
    <t xml:space="preserve">обои</t>
  </si>
  <si>
    <t xml:space="preserve">клей обойный</t>
  </si>
  <si>
    <t xml:space="preserve">краска для стен, 10л</t>
  </si>
  <si>
    <t xml:space="preserve">блокхаус</t>
  </si>
  <si>
    <t xml:space="preserve">вагонка</t>
  </si>
  <si>
    <t xml:space="preserve">подсистема, брусок</t>
  </si>
  <si>
    <t xml:space="preserve">уголок крепежный</t>
  </si>
  <si>
    <t xml:space="preserve">гвозди/саморезы для крепления подсистемы</t>
  </si>
  <si>
    <t xml:space="preserve">гвозди/саморезы для крепления</t>
  </si>
  <si>
    <t xml:space="preserve"> комнаты потолок</t>
  </si>
  <si>
    <t xml:space="preserve">ГКЛ, 9мм</t>
  </si>
  <si>
    <t xml:space="preserve">краска для потолков, 10л</t>
  </si>
  <si>
    <t xml:space="preserve">багет 1мп</t>
  </si>
  <si>
    <t xml:space="preserve">шпаклевка для багета, 5 кг</t>
  </si>
  <si>
    <t xml:space="preserve">краска для багета, 5 л</t>
  </si>
  <si>
    <t xml:space="preserve">наждачная бумага финишная</t>
  </si>
  <si>
    <t xml:space="preserve">натяжной потолок</t>
  </si>
  <si>
    <t xml:space="preserve"> комнаты пол</t>
  </si>
  <si>
    <t xml:space="preserve">подложка под покрытие</t>
  </si>
  <si>
    <t xml:space="preserve">линолеум</t>
  </si>
  <si>
    <t xml:space="preserve">ламинат</t>
  </si>
  <si>
    <t xml:space="preserve">уголки, расходные материалы</t>
  </si>
  <si>
    <t xml:space="preserve">плинтус</t>
  </si>
  <si>
    <t xml:space="preserve">кафель</t>
  </si>
  <si>
    <t xml:space="preserve">клей для кафеля, 25кг</t>
  </si>
  <si>
    <t xml:space="preserve">крестики, 100шт</t>
  </si>
  <si>
    <t xml:space="preserve">затирка для швов</t>
  </si>
  <si>
    <t xml:space="preserve">санузел/ванная</t>
  </si>
  <si>
    <t xml:space="preserve">кафель стены</t>
  </si>
  <si>
    <t xml:space="preserve">кафель потолок</t>
  </si>
  <si>
    <t xml:space="preserve">кафель пол</t>
  </si>
  <si>
    <t xml:space="preserve">крестики, 100 шт</t>
  </si>
  <si>
    <t xml:space="preserve">стеновые панели пластик стены</t>
  </si>
  <si>
    <t xml:space="preserve">стеновые панели пластик потолок</t>
  </si>
  <si>
    <t xml:space="preserve">скобы для крепления панелей, 1000шт/уп</t>
  </si>
  <si>
    <t xml:space="preserve">Двери межкомнатные </t>
  </si>
  <si>
    <t xml:space="preserve">двери межкомнатные </t>
  </si>
  <si>
    <t xml:space="preserve">пена монтажная для дверей</t>
  </si>
  <si>
    <t xml:space="preserve">порожки металлические </t>
  </si>
  <si>
    <t xml:space="preserve">отбойник для дверей</t>
  </si>
  <si>
    <t xml:space="preserve">коробка для дверей</t>
  </si>
  <si>
    <t xml:space="preserve">наличник на дверь, комплект</t>
  </si>
  <si>
    <t xml:space="preserve">Бумага наждачная </t>
  </si>
  <si>
    <t xml:space="preserve">Нет наждачной бумаги</t>
  </si>
  <si>
    <t xml:space="preserve">м</t>
  </si>
  <si>
    <t xml:space="preserve">Бумага наждачная № 63 F(30)</t>
  </si>
  <si>
    <t xml:space="preserve">Бумага наждачная № 40</t>
  </si>
  <si>
    <t xml:space="preserve">Бумага наждачная № 32 F(50)</t>
  </si>
  <si>
    <t xml:space="preserve">Бумага наждачная № 20 F(70) 900 мм</t>
  </si>
  <si>
    <t xml:space="preserve">Бумага наждачная № 12 F(100)</t>
  </si>
  <si>
    <t xml:space="preserve">Бумага наждачная № 10 F(120)</t>
  </si>
  <si>
    <t xml:space="preserve">Бумага наждачная № 8 F(150)</t>
  </si>
  <si>
    <t xml:space="preserve">Бумага наждачная № 4 F(320)</t>
  </si>
  <si>
    <t xml:space="preserve">Г-образный металлический профиль</t>
  </si>
  <si>
    <t xml:space="preserve">Г-образный профиль 40*30, 9мм</t>
  </si>
  <si>
    <t xml:space="preserve">Г-образный профиль 40*40, 9мм</t>
  </si>
  <si>
    <t xml:space="preserve">Г-образный профиль 40*50, 9мм</t>
  </si>
  <si>
    <t xml:space="preserve">Г-образный профиль 40*60, 9мм</t>
  </si>
  <si>
    <t xml:space="preserve">Г-образный профиль 40*30, 12мм</t>
  </si>
  <si>
    <t xml:space="preserve">Г-образный профиль 40*40, 12мм</t>
  </si>
  <si>
    <t xml:space="preserve">Г-образный профиль 40*50, 12мм</t>
  </si>
  <si>
    <t xml:space="preserve">Г-образный профиль 40*60, 12мм</t>
  </si>
  <si>
    <t xml:space="preserve">Нет кронштейна</t>
  </si>
  <si>
    <t xml:space="preserve">Фасадный кронштейн КК 50</t>
  </si>
  <si>
    <t xml:space="preserve">Фасадный кронштейн КК 60</t>
  </si>
  <si>
    <t xml:space="preserve">Фасадный кронштейн КК 90</t>
  </si>
  <si>
    <t xml:space="preserve">Фасадный кронштейн КК 100</t>
  </si>
  <si>
    <t xml:space="preserve">Фасадный кронштейн КК 120</t>
  </si>
  <si>
    <t xml:space="preserve">Фасадный кронштейн КК 140</t>
  </si>
  <si>
    <t xml:space="preserve">Фасадный кронштейн КК 160</t>
  </si>
  <si>
    <t xml:space="preserve">Фасадный кронштейн КК 180</t>
  </si>
  <si>
    <t xml:space="preserve">Фасадный кронштейн КК 200</t>
  </si>
  <si>
    <t xml:space="preserve">Фасадный кронштейн КК 220</t>
  </si>
  <si>
    <t xml:space="preserve">Фасадный кронштейн КК 240</t>
  </si>
  <si>
    <t xml:space="preserve">Плоский шифер</t>
  </si>
  <si>
    <t xml:space="preserve">Нет плоского шифера</t>
  </si>
  <si>
    <t xml:space="preserve">Плоский шифер 6 мм</t>
  </si>
  <si>
    <t xml:space="preserve">Плоский шифер 8 мм</t>
  </si>
  <si>
    <t xml:space="preserve">Плоский шифер 9 мм</t>
  </si>
  <si>
    <t xml:space="preserve">Плоский шифер 10 мм</t>
  </si>
  <si>
    <t xml:space="preserve">Плоский шифер 12 мм</t>
  </si>
  <si>
    <t xml:space="preserve">Грунтовки, краски, лаки</t>
  </si>
  <si>
    <t xml:space="preserve">Нет грунтовки</t>
  </si>
  <si>
    <t xml:space="preserve">Грунт  1</t>
  </si>
  <si>
    <t xml:space="preserve">Грунт  2</t>
  </si>
  <si>
    <t xml:space="preserve">Нет пропитки</t>
  </si>
  <si>
    <t xml:space="preserve">"Тонерол" Антисептик  бесцветный  1л</t>
  </si>
  <si>
    <t xml:space="preserve">"Тонерол" Антисептик  дуб  1л</t>
  </si>
  <si>
    <t xml:space="preserve">"Тонерол" Антисептик  махагон  1л</t>
  </si>
  <si>
    <t xml:space="preserve">"Тонерол" Антисептик  орегон  1л</t>
  </si>
  <si>
    <t xml:space="preserve">"Тонерол" Антисептик  орех  1л</t>
  </si>
  <si>
    <t xml:space="preserve">"Тонерол" Антисептик  палисандр  1л</t>
  </si>
  <si>
    <t xml:space="preserve">"Тонерол" Антисептик  сосна  1л</t>
  </si>
  <si>
    <t xml:space="preserve">"Тонерол" Антисептик  тик  1л</t>
  </si>
  <si>
    <t xml:space="preserve">"Радугамалер" Антисептик  бесцветный 1 л</t>
  </si>
  <si>
    <t xml:space="preserve">"Радугамалер" Антисептик  сосна 1 л</t>
  </si>
  <si>
    <t xml:space="preserve">"Радугамалер" Антисептик  дуб 1 л</t>
  </si>
  <si>
    <t xml:space="preserve">"Радугамалер" Антисептик  орех 1 л</t>
  </si>
  <si>
    <t xml:space="preserve">"Радугамалер" Антисептик  калужница 1 л</t>
  </si>
  <si>
    <t xml:space="preserve">"Радугамалер" Антисептик  палисандр 1 л</t>
  </si>
  <si>
    <t xml:space="preserve">"Радугамалер" Антисептик  орегон 1 л</t>
  </si>
  <si>
    <t xml:space="preserve">"Радугамалер" Антисептик  махагон 1 л</t>
  </si>
  <si>
    <t xml:space="preserve">"Профилюкс" Антисептик PROPITEX бесцветный  1л</t>
  </si>
  <si>
    <t xml:space="preserve">"Профилюкс" Антисептик PROPITEX дуб  1л</t>
  </si>
  <si>
    <t xml:space="preserve">"Профилюкс" Антисептик PROPITEX калужница  1л</t>
  </si>
  <si>
    <t xml:space="preserve">"Профилюкс" Антисептик PROPITEX махагон  1л</t>
  </si>
  <si>
    <t xml:space="preserve">"Профилюкс" Антисептик PROPITEX орегон  1л</t>
  </si>
  <si>
    <t xml:space="preserve">"Профилюкс" Антисептик PROPITEX орех  1л</t>
  </si>
  <si>
    <t xml:space="preserve">"Профилюкс" Антисептик PROPITEX палисандр  1л</t>
  </si>
  <si>
    <t xml:space="preserve">"Профилюкс" Антисептик PROPITEX рябина  1л</t>
  </si>
  <si>
    <t xml:space="preserve">"Профилюкс" Антисептик PROPITEX сосна  1л</t>
  </si>
  <si>
    <t xml:space="preserve">"Профилюкс" Антисептик PROPITEX тик  1л</t>
  </si>
  <si>
    <t xml:space="preserve">"Tikkurila" Антисептик"ВалтиКолорЭкстра" льняным маслом, 1л</t>
  </si>
  <si>
    <t xml:space="preserve">Нет лака</t>
  </si>
  <si>
    <t xml:space="preserve">Лак для поверхностей 1</t>
  </si>
  <si>
    <t xml:space="preserve">Лак для поверхностей 2</t>
  </si>
  <si>
    <t xml:space="preserve">Грунтовка для внутренних работ 1</t>
  </si>
  <si>
    <t xml:space="preserve">Грунтовка для внутренних работ 2</t>
  </si>
  <si>
    <t xml:space="preserve">Нет краски</t>
  </si>
  <si>
    <t xml:space="preserve">Краска для стен внутренних 1</t>
  </si>
  <si>
    <t xml:space="preserve">Краска для стен внутренних 2</t>
  </si>
  <si>
    <t xml:space="preserve">Краска для потолка 1</t>
  </si>
  <si>
    <t xml:space="preserve">Краска для потолка 2</t>
  </si>
  <si>
    <t xml:space="preserve">Декоративная штукатурка и компоненты</t>
  </si>
  <si>
    <t xml:space="preserve">Нет штукатурки</t>
  </si>
  <si>
    <t xml:space="preserve">Декоративная штукатурка кароед 2 мм</t>
  </si>
  <si>
    <t xml:space="preserve">Декоративная штукатурка кароед 3 мм</t>
  </si>
  <si>
    <t xml:space="preserve">Декоративная штукатурка кароед серая 2 мм</t>
  </si>
  <si>
    <t xml:space="preserve">Декоративная штукатурка кароед шуба 3 мм</t>
  </si>
  <si>
    <t xml:space="preserve">Сетка штукатурная ПВС 40 Оцинкованная рулон</t>
  </si>
  <si>
    <t xml:space="preserve">Штукатурка для наружних работ</t>
  </si>
  <si>
    <t xml:space="preserve">Работы</t>
  </si>
  <si>
    <t xml:space="preserve">Монтаж плит ЖБИ</t>
  </si>
  <si>
    <t xml:space="preserve">Монтаж опалубки</t>
  </si>
  <si>
    <t xml:space="preserve">Укладка пленки гидроизоляционной</t>
  </si>
  <si>
    <t xml:space="preserve">Армирование перекрытия/плиты</t>
  </si>
  <si>
    <t xml:space="preserve">армирование фундамента ленты</t>
  </si>
  <si>
    <t xml:space="preserve">м.п</t>
  </si>
  <si>
    <t xml:space="preserve">армирование хомутов в ленте</t>
  </si>
  <si>
    <t xml:space="preserve">армирование свай скелет из арматуры</t>
  </si>
  <si>
    <t xml:space="preserve">армирование отмостки</t>
  </si>
  <si>
    <t xml:space="preserve">Заливка бетоном перекрытия/плиты</t>
  </si>
  <si>
    <t xml:space="preserve">Монтаж перекрытий из бруса</t>
  </si>
  <si>
    <t xml:space="preserve">Монтаж перекрытий Сип-панели</t>
  </si>
  <si>
    <t xml:space="preserve">Монтаж перекрытий из сухой доски</t>
  </si>
  <si>
    <t xml:space="preserve">Монтаж перекрытий из двутавровой балки</t>
  </si>
  <si>
    <t xml:space="preserve">Монтаж перекрестного пола</t>
  </si>
  <si>
    <t xml:space="preserve">Монтаж черновой пол</t>
  </si>
  <si>
    <t xml:space="preserve">Монтаж утеплителя перекрытия</t>
  </si>
  <si>
    <t xml:space="preserve">Монтаж утеплителя стен наружних</t>
  </si>
  <si>
    <t xml:space="preserve">Монтаж ветроизоляции перекрытий</t>
  </si>
  <si>
    <t xml:space="preserve">Монтаж пароизоляции перекрытий</t>
  </si>
  <si>
    <t xml:space="preserve">разбивка осей фундамента</t>
  </si>
  <si>
    <t xml:space="preserve">сборка опалубки</t>
  </si>
  <si>
    <t xml:space="preserve">разборка опалубки</t>
  </si>
  <si>
    <t xml:space="preserve">настил пленки</t>
  </si>
  <si>
    <t xml:space="preserve">укладка утеплителя под плиту</t>
  </si>
  <si>
    <t xml:space="preserve">укладка утеплителя под отмостка</t>
  </si>
  <si>
    <t xml:space="preserve">Обрезка винтовых свай по невелиру</t>
  </si>
  <si>
    <t xml:space="preserve">Наварка оголовка</t>
  </si>
  <si>
    <t xml:space="preserve">настил гидроизола</t>
  </si>
  <si>
    <t xml:space="preserve">Земляные работы</t>
  </si>
  <si>
    <t xml:space="preserve">трамбовка песок</t>
  </si>
  <si>
    <t xml:space="preserve">трамбовка пгс</t>
  </si>
  <si>
    <t xml:space="preserve">трамбовка скальник</t>
  </si>
  <si>
    <t xml:space="preserve">приемка бетона</t>
  </si>
  <si>
    <t xml:space="preserve">утепление фундамента</t>
  </si>
  <si>
    <t xml:space="preserve">утепление отмостки</t>
  </si>
  <si>
    <t xml:space="preserve">кладка сетки</t>
  </si>
  <si>
    <t xml:space="preserve">пробное забуривание</t>
  </si>
  <si>
    <t xml:space="preserve">монтаж свай в ручную</t>
  </si>
  <si>
    <t xml:space="preserve">монтаж свай гидравликой</t>
  </si>
  <si>
    <t xml:space="preserve">монтаж оголовков</t>
  </si>
  <si>
    <t xml:space="preserve">обвязка металлом свай</t>
  </si>
  <si>
    <t xml:space="preserve">заливка бетоном свай</t>
  </si>
  <si>
    <t xml:space="preserve">заливка бетоном отмостки</t>
  </si>
  <si>
    <t xml:space="preserve">укладка теп. Пола</t>
  </si>
  <si>
    <t xml:space="preserve">монтаж канализации</t>
  </si>
  <si>
    <t xml:space="preserve">укладка геотекстиля</t>
  </si>
  <si>
    <t xml:space="preserve">укладка дренажа</t>
  </si>
  <si>
    <t xml:space="preserve">монтаж дренажного колодца</t>
  </si>
  <si>
    <t xml:space="preserve">монтаж коллектора</t>
  </si>
  <si>
    <t xml:space="preserve">монтаж демпферная лента</t>
  </si>
  <si>
    <t xml:space="preserve">обработка праймер</t>
  </si>
  <si>
    <t xml:space="preserve">гидроизоляция стен</t>
  </si>
  <si>
    <t xml:space="preserve">Кладка блоков ФБС</t>
  </si>
  <si>
    <t xml:space="preserve">монтаж обвязочного бруса</t>
  </si>
  <si>
    <t xml:space="preserve">обработка мастикой</t>
  </si>
  <si>
    <t xml:space="preserve">монтаж наружних стен сиппанели</t>
  </si>
  <si>
    <t xml:space="preserve">Монтаж несущих перегородок сип панели</t>
  </si>
  <si>
    <t xml:space="preserve">Монтаж перегородок сип панели</t>
  </si>
  <si>
    <t xml:space="preserve">монтаж покрытия кровли</t>
  </si>
  <si>
    <t xml:space="preserve">Монтаж горизонтальной обрешетки</t>
  </si>
  <si>
    <t xml:space="preserve">Монтаж вертикальной обрешетки</t>
  </si>
  <si>
    <t xml:space="preserve">монтаж стен каркаса</t>
  </si>
  <si>
    <t xml:space="preserve">Монтаж несущих перегородок</t>
  </si>
  <si>
    <t xml:space="preserve">Монтаж перегородок</t>
  </si>
  <si>
    <t xml:space="preserve">монтаж osb/фанера наруж стены</t>
  </si>
  <si>
    <t xml:space="preserve">монтаж osb/фанера перегородки</t>
  </si>
  <si>
    <t xml:space="preserve">монтаж osb/фанера пол</t>
  </si>
  <si>
    <t xml:space="preserve">монтаж osb/фанера потолок</t>
  </si>
  <si>
    <t xml:space="preserve">Монтаж вентиляционного зазора</t>
  </si>
  <si>
    <t xml:space="preserve">Монтаж технологического зазора</t>
  </si>
  <si>
    <t xml:space="preserve">утепление стен дома каркасного</t>
  </si>
  <si>
    <t xml:space="preserve">утепление перегородок каркасного дома</t>
  </si>
  <si>
    <t xml:space="preserve">монтаж ветроизоляции стен</t>
  </si>
  <si>
    <t xml:space="preserve">монтаж пароизоляции стен</t>
  </si>
  <si>
    <t xml:space="preserve">Каменные дома</t>
  </si>
  <si>
    <t xml:space="preserve">кладка газобетона несущие стены</t>
  </si>
  <si>
    <t xml:space="preserve">кладка газобетона несущие перегородки</t>
  </si>
  <si>
    <t xml:space="preserve">кладка газобетона перегородки</t>
  </si>
  <si>
    <t xml:space="preserve">кладка пенобетона несущие стены</t>
  </si>
  <si>
    <t xml:space="preserve">кладка пенобетона несущие перегородки</t>
  </si>
  <si>
    <t xml:space="preserve">кладка пенобетона перегородки</t>
  </si>
  <si>
    <t xml:space="preserve">кладка кирпича</t>
  </si>
  <si>
    <t xml:space="preserve">кладка перегородок из кирпича</t>
  </si>
  <si>
    <t xml:space="preserve">изготовление и монтаж перемычек для окон и дверей</t>
  </si>
  <si>
    <t xml:space="preserve">Замешивание раствора</t>
  </si>
  <si>
    <t xml:space="preserve">Армирование стен наружних и перегородок</t>
  </si>
  <si>
    <t xml:space="preserve">Установка опалубки для сейсмопояса</t>
  </si>
  <si>
    <t xml:space="preserve">Армирование сейсмопояса</t>
  </si>
  <si>
    <t xml:space="preserve">Заливка бетоном сейсмопояса</t>
  </si>
  <si>
    <t xml:space="preserve">утепление стен снаружи дома</t>
  </si>
  <si>
    <t xml:space="preserve">Деревянные дома</t>
  </si>
  <si>
    <t xml:space="preserve">кладка бруса</t>
  </si>
  <si>
    <t xml:space="preserve">монтаж черновой пол</t>
  </si>
  <si>
    <t xml:space="preserve">окосячка проемов, м.п.</t>
  </si>
  <si>
    <t xml:space="preserve">кладка Дикого леса</t>
  </si>
  <si>
    <t xml:space="preserve">кладка Оцилиндрованного вревна</t>
  </si>
  <si>
    <t xml:space="preserve">кладка Профилированного бруса</t>
  </si>
  <si>
    <t xml:space="preserve">кладка Клееного бруса</t>
  </si>
  <si>
    <t xml:space="preserve">обработка торцов на брусе</t>
  </si>
  <si>
    <t xml:space="preserve">Монтаж накладки на перила</t>
  </si>
  <si>
    <t xml:space="preserve">Обаботка огнебиозащитой</t>
  </si>
  <si>
    <t xml:space="preserve">Пропитка стен внешних</t>
  </si>
  <si>
    <t xml:space="preserve">Пропитка внутенних стен</t>
  </si>
  <si>
    <t xml:space="preserve">Шлифовка стен дома</t>
  </si>
  <si>
    <t xml:space="preserve">Окна</t>
  </si>
  <si>
    <t xml:space="preserve">монтаж окон</t>
  </si>
  <si>
    <t xml:space="preserve">монтаж подоконника</t>
  </si>
  <si>
    <t xml:space="preserve">монтаж откосов внутренних</t>
  </si>
  <si>
    <t xml:space="preserve">монтаж направл внутренних откосов</t>
  </si>
  <si>
    <t xml:space="preserve">монтаж уголков внутренних откосов</t>
  </si>
  <si>
    <t xml:space="preserve">монтаж отлива</t>
  </si>
  <si>
    <t xml:space="preserve">монтаж откосов внешних</t>
  </si>
  <si>
    <t xml:space="preserve">монтаж направляющих внешних откосов</t>
  </si>
  <si>
    <t xml:space="preserve">монтаж уголков внешних откосов</t>
  </si>
  <si>
    <t xml:space="preserve">монтаж ветроизоляции</t>
  </si>
  <si>
    <t xml:space="preserve">монтаж пароизоляции</t>
  </si>
  <si>
    <t xml:space="preserve">монтаж французского окна</t>
  </si>
  <si>
    <t xml:space="preserve">Монтаж наличника</t>
  </si>
  <si>
    <t xml:space="preserve">Мансардные окна</t>
  </si>
  <si>
    <t xml:space="preserve">монтаж окон мансардных</t>
  </si>
  <si>
    <t xml:space="preserve">Кровля </t>
  </si>
  <si>
    <t xml:space="preserve">монтаж мауэрлат</t>
  </si>
  <si>
    <t xml:space="preserve">монтаж стропил</t>
  </si>
  <si>
    <t xml:space="preserve">обрешетка</t>
  </si>
  <si>
    <t xml:space="preserve">контробеш</t>
  </si>
  <si>
    <t xml:space="preserve">мембрана</t>
  </si>
  <si>
    <t xml:space="preserve">пароизоляц</t>
  </si>
  <si>
    <t xml:space="preserve">утеплитель</t>
  </si>
  <si>
    <t xml:space="preserve">Монтаж металлочерепицы</t>
  </si>
  <si>
    <t xml:space="preserve">Монтаж ондулина</t>
  </si>
  <si>
    <t xml:space="preserve">карнизная планка</t>
  </si>
  <si>
    <t xml:space="preserve">торцевая планка</t>
  </si>
  <si>
    <t xml:space="preserve">ветровая доска</t>
  </si>
  <si>
    <t xml:space="preserve">желоб водосточный</t>
  </si>
  <si>
    <t xml:space="preserve">ендова внутр/наружн</t>
  </si>
  <si>
    <t xml:space="preserve">конек</t>
  </si>
  <si>
    <t xml:space="preserve">Монтаж фанеры/osb</t>
  </si>
  <si>
    <t xml:space="preserve">монтаж подкладочного ковра</t>
  </si>
  <si>
    <t xml:space="preserve">Монтаж мягкой кровли</t>
  </si>
  <si>
    <t xml:space="preserve">Монтаж планки примыкания</t>
  </si>
  <si>
    <t xml:space="preserve">Отделка снаружи</t>
  </si>
  <si>
    <t xml:space="preserve">стены</t>
  </si>
  <si>
    <t xml:space="preserve">кладка кирпича облицов</t>
  </si>
  <si>
    <t xml:space="preserve">монтаж подсистемы</t>
  </si>
  <si>
    <t xml:space="preserve">сайдинг металл</t>
  </si>
  <si>
    <t xml:space="preserve">камень</t>
  </si>
  <si>
    <t xml:space="preserve">окрашивание поверхности</t>
  </si>
  <si>
    <t xml:space="preserve">лакирование пов-ти</t>
  </si>
  <si>
    <t xml:space="preserve">монтаж плоский шифер</t>
  </si>
  <si>
    <t xml:space="preserve">Монтаж евровагонка</t>
  </si>
  <si>
    <t xml:space="preserve">Монтаж вагонка штиль</t>
  </si>
  <si>
    <t xml:space="preserve">Монтаж софт лайн</t>
  </si>
  <si>
    <t xml:space="preserve">Монтаж блокхаус</t>
  </si>
  <si>
    <t xml:space="preserve">Оштукатуривание поверхности, подготовка</t>
  </si>
  <si>
    <t xml:space="preserve">Наклейка сетки</t>
  </si>
  <si>
    <t xml:space="preserve">Нанесение декоративной штукатурки</t>
  </si>
  <si>
    <t xml:space="preserve">Гидроизоляция рулонная</t>
  </si>
  <si>
    <t xml:space="preserve">цоколь</t>
  </si>
  <si>
    <t xml:space="preserve">монтаж отлив</t>
  </si>
  <si>
    <t xml:space="preserve">сайдинг металл сайдинг</t>
  </si>
  <si>
    <t xml:space="preserve">монтаж камень природ</t>
  </si>
  <si>
    <t xml:space="preserve">монтаж камень искуст-ый</t>
  </si>
  <si>
    <t xml:space="preserve">карнизы</t>
  </si>
  <si>
    <t xml:space="preserve">сайдинг</t>
  </si>
  <si>
    <t xml:space="preserve">монтаж леса стрительные</t>
  </si>
  <si>
    <t xml:space="preserve">отделка внутренняя</t>
  </si>
  <si>
    <t xml:space="preserve">монтаж гкл стены</t>
  </si>
  <si>
    <t xml:space="preserve">шпаклевка швов стены</t>
  </si>
  <si>
    <t xml:space="preserve">шпаклевка финишная стены</t>
  </si>
  <si>
    <t xml:space="preserve">оклейка обои</t>
  </si>
  <si>
    <t xml:space="preserve">покраска стен</t>
  </si>
  <si>
    <t xml:space="preserve">потолок</t>
  </si>
  <si>
    <t xml:space="preserve">монтаж гкл потолок</t>
  </si>
  <si>
    <t xml:space="preserve">шпаклевка швов потолок</t>
  </si>
  <si>
    <t xml:space="preserve">шпаклевка финишная пот</t>
  </si>
  <si>
    <t xml:space="preserve">окраска потолка</t>
  </si>
  <si>
    <t xml:space="preserve">багем монтаж</t>
  </si>
  <si>
    <t xml:space="preserve">багет шпаклевка</t>
  </si>
  <si>
    <t xml:space="preserve">багет покраска</t>
  </si>
  <si>
    <t xml:space="preserve">пол</t>
  </si>
  <si>
    <t xml:space="preserve">подложка</t>
  </si>
  <si>
    <t xml:space="preserve">панели пластик стены</t>
  </si>
  <si>
    <t xml:space="preserve">панели пластик потолок</t>
  </si>
  <si>
    <t xml:space="preserve">двери межкомнатный</t>
  </si>
  <si>
    <t xml:space="preserve">установка дверей</t>
  </si>
  <si>
    <t xml:space="preserve">монтаж коробки</t>
  </si>
  <si>
    <t xml:space="preserve">монтаж наличников</t>
  </si>
  <si>
    <t xml:space="preserve">монтаж порожков</t>
  </si>
  <si>
    <t xml:space="preserve">монтаж отбойников</t>
  </si>
  <si>
    <t xml:space="preserve">Монтаж лестницы в доме</t>
  </si>
  <si>
    <t xml:space="preserve">цена1</t>
  </si>
  <si>
    <t xml:space="preserve">монтаж кабеля</t>
  </si>
  <si>
    <t xml:space="preserve">монтаж гофры</t>
  </si>
  <si>
    <t xml:space="preserve">монтаж коробок распределения</t>
  </si>
  <si>
    <t xml:space="preserve">монтаж коробок розеток</t>
  </si>
  <si>
    <t xml:space="preserve">монтаж коробок выключателей</t>
  </si>
  <si>
    <t xml:space="preserve">монтаж Щитка</t>
  </si>
  <si>
    <t xml:space="preserve">установка розеток</t>
  </si>
  <si>
    <t xml:space="preserve">установка выключателей</t>
  </si>
  <si>
    <t xml:space="preserve">Сверление стен для скрытой проводки</t>
  </si>
  <si>
    <t xml:space="preserve">Отопление</t>
  </si>
  <si>
    <t xml:space="preserve">монтаж трубы</t>
  </si>
  <si>
    <t xml:space="preserve">установка радиаторов</t>
  </si>
  <si>
    <t xml:space="preserve">обустройство  </t>
  </si>
  <si>
    <t xml:space="preserve">контроль за земляными </t>
  </si>
  <si>
    <t xml:space="preserve">контроль за бурением</t>
  </si>
  <si>
    <t xml:space="preserve">установка скважинного адаптера</t>
  </si>
  <si>
    <t xml:space="preserve">установка гидроаккумулятора</t>
  </si>
  <si>
    <t xml:space="preserve">монтаж автоматики</t>
  </si>
  <si>
    <t xml:space="preserve">прокладка пнд с утеплением</t>
  </si>
  <si>
    <t xml:space="preserve">прокачка скважины</t>
  </si>
  <si>
    <t xml:space="preserve">Септик</t>
  </si>
  <si>
    <t xml:space="preserve">монтаж дна</t>
  </si>
  <si>
    <t xml:space="preserve">монтаж колец</t>
  </si>
  <si>
    <t xml:space="preserve">монтаж крышки</t>
  </si>
  <si>
    <t xml:space="preserve">монтаж люка</t>
  </si>
  <si>
    <t xml:space="preserve">м/ж утепленной  канализации</t>
  </si>
  <si>
    <t xml:space="preserve">бетонирование септика</t>
  </si>
  <si>
    <t xml:space="preserve">Монтаж горловины для септика</t>
  </si>
  <si>
    <t xml:space="preserve">котел установка</t>
  </si>
  <si>
    <t xml:space="preserve">бойлер установка</t>
  </si>
  <si>
    <t xml:space="preserve">гребенка установка</t>
  </si>
  <si>
    <t xml:space="preserve">насос установка на отопл</t>
  </si>
  <si>
    <t xml:space="preserve">насос установка на гвс</t>
  </si>
  <si>
    <t xml:space="preserve">монтаж сбросного клапана</t>
  </si>
  <si>
    <t xml:space="preserve">монтаж датчика</t>
  </si>
  <si>
    <t xml:space="preserve">труба обвязка</t>
  </si>
  <si>
    <t xml:space="preserve">монтаж веранды/крыльцо</t>
  </si>
  <si>
    <t xml:space="preserve">монтаж лаги, перекрытия веранды</t>
  </si>
  <si>
    <t xml:space="preserve">монтаж OSB пол</t>
  </si>
  <si>
    <t xml:space="preserve">Монтаж перил</t>
  </si>
  <si>
    <t xml:space="preserve">ЛСТК доп.</t>
  </si>
  <si>
    <t xml:space="preserve">Монтаж обрешетки потолок</t>
  </si>
  <si>
    <t xml:space="preserve">Монтаж профлист потолок</t>
  </si>
  <si>
    <t xml:space="preserve">Монтаж обрешетки пол</t>
  </si>
  <si>
    <t xml:space="preserve">Монтаж профлист пол</t>
  </si>
  <si>
    <t xml:space="preserve">Монтаж перекрытий ЛСТК</t>
  </si>
  <si>
    <t xml:space="preserve">Лестница</t>
  </si>
  <si>
    <t xml:space="preserve">Монтаж бетонной лестницы</t>
  </si>
  <si>
    <t xml:space="preserve">Монтаж готовой бетонной лестницы 1</t>
  </si>
  <si>
    <t xml:space="preserve">Монтаж готовой бетонной лестницы 2</t>
  </si>
  <si>
    <t xml:space="preserve">Монтаж готовой бетонной лестницы 3</t>
  </si>
  <si>
    <t xml:space="preserve">Монтаж готовой бетонной лестницы 4</t>
  </si>
  <si>
    <t xml:space="preserve">Монтаж готовой бетонной лестницы 5</t>
  </si>
  <si>
    <t xml:space="preserve">Монтаж металической лестницы 1</t>
  </si>
  <si>
    <t xml:space="preserve">Монтаж металической лестницы 2</t>
  </si>
  <si>
    <t xml:space="preserve">Монтаж металической лестницы 3</t>
  </si>
  <si>
    <t xml:space="preserve">Монтаж металической лестницы 4</t>
  </si>
  <si>
    <t xml:space="preserve">Забор</t>
  </si>
  <si>
    <t xml:space="preserve">Выбор покрытия забора</t>
  </si>
  <si>
    <t xml:space="preserve">лист</t>
  </si>
  <si>
    <t xml:space="preserve">Профлист полимерный, 0,4мм (высота 1,5 м)</t>
  </si>
  <si>
    <t xml:space="preserve">Профлист полимерный, 0,4мм (высота 1,7 м)</t>
  </si>
  <si>
    <t xml:space="preserve">Профлист полимерный, 0,4мм (высота 1,8 м)</t>
  </si>
  <si>
    <t xml:space="preserve">Профлист полимерный, 0,4мм (высота 2 м)</t>
  </si>
  <si>
    <t xml:space="preserve">Профлист полимерный, 0,4мм (высота 2,2 м)</t>
  </si>
  <si>
    <t xml:space="preserve">Профлист полимерный, 0,5мм (высота 1,5 м)</t>
  </si>
  <si>
    <t xml:space="preserve">Профлист полимерный, 0,5мм (высота 1,7 м)</t>
  </si>
  <si>
    <t xml:space="preserve">Профлист полимерный, 0,5мм (высота 1,8 м)</t>
  </si>
  <si>
    <t xml:space="preserve">Профлист полимерный, 0,5мм (высота 2 м)</t>
  </si>
  <si>
    <t xml:space="preserve">Профлист полимерный, 0,5мм (высота 2,2 м)</t>
  </si>
  <si>
    <t xml:space="preserve">Профлист NormanMP, 0,5 (высота 1,5 м)</t>
  </si>
  <si>
    <t xml:space="preserve">Профлист NormanMP, 0,5 (высота 1,7 м)</t>
  </si>
  <si>
    <t xml:space="preserve">Профлист NormanMP, 0,5 (высота 1,8 м)</t>
  </si>
  <si>
    <t xml:space="preserve">Профлист NormanMP, 0,5 (высота 2 м)</t>
  </si>
  <si>
    <t xml:space="preserve">Профлист NormanMP, 0,5 (высота 2,2 м)</t>
  </si>
  <si>
    <t xml:space="preserve">Профлист Ecosteel (высота 1,5 м)</t>
  </si>
  <si>
    <t xml:space="preserve">Профлист Ecosteel (высота 1,7 м)</t>
  </si>
  <si>
    <t xml:space="preserve">Профлист Ecosteel (высота 1,8 м)</t>
  </si>
  <si>
    <t xml:space="preserve">Профлист Ecosteel (высота 2 м)</t>
  </si>
  <si>
    <t xml:space="preserve">Профлист Ecosteel (высота 2,2 м)</t>
  </si>
  <si>
    <t xml:space="preserve">Профлист двухсторонний (высота 1,5 м)</t>
  </si>
  <si>
    <t xml:space="preserve">Профлист двухсторонний (высота 1,7 м)</t>
  </si>
  <si>
    <t xml:space="preserve">Профлист двухсторонний (высота 1,8 м)</t>
  </si>
  <si>
    <t xml:space="preserve">Профлист двухсторонний (высота 2 м)</t>
  </si>
  <si>
    <t xml:space="preserve">Профлист двухсторонний (высота 2,2 м)</t>
  </si>
  <si>
    <t xml:space="preserve">Профлист оцинкованный, 0,4мм (высота 1,5 м)</t>
  </si>
  <si>
    <t xml:space="preserve">Профлист оцинкованный, 0,4мм (высота 1,7 м)</t>
  </si>
  <si>
    <t xml:space="preserve">Профлист оцинкованный, 0,4мм (высота 1,8 м)</t>
  </si>
  <si>
    <t xml:space="preserve">Профлист оцинкованный, 0,4мм (высота 2 м)</t>
  </si>
  <si>
    <t xml:space="preserve">Профлист оцинкованный, 0,4мм (высота 2,2 м)</t>
  </si>
  <si>
    <t xml:space="preserve">Профлист оцинкованный, 0,45мм (высота 1,5 м)</t>
  </si>
  <si>
    <t xml:space="preserve">Профлист оцинкованный, 0,45мм (высота 1,7 м)</t>
  </si>
  <si>
    <t xml:space="preserve">Профлист оцинкованный, 0,45мм (высота 1,8 м)</t>
  </si>
  <si>
    <t xml:space="preserve">Профлист оцинкованный, 0,45мм (высота 2 м)</t>
  </si>
  <si>
    <t xml:space="preserve">Профлист оцинкованный, 0,45мм (высота 2,2 м)</t>
  </si>
  <si>
    <t xml:space="preserve">Обработка столбов и лаг:</t>
  </si>
  <si>
    <t xml:space="preserve">объем</t>
  </si>
  <si>
    <t xml:space="preserve">Грунтовка ГФ021</t>
  </si>
  <si>
    <t xml:space="preserve">Грунтовка 1</t>
  </si>
  <si>
    <t xml:space="preserve">Грунтовка 2</t>
  </si>
  <si>
    <t xml:space="preserve">Покраска Dali</t>
  </si>
  <si>
    <t xml:space="preserve">Покраска 1</t>
  </si>
  <si>
    <t xml:space="preserve">Покраска 2</t>
  </si>
  <si>
    <t xml:space="preserve">Горизонтали (лаги)</t>
  </si>
  <si>
    <t xml:space="preserve">2, Лаги проф. труба 40х20 мм </t>
  </si>
  <si>
    <t xml:space="preserve">Столбы для каркаса</t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</si>
  <si>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h=2500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</si>
  <si>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h=2700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</si>
  <si>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h=2800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</si>
  <si>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h=3000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</si>
  <si>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</t>
    </r>
    <r>
      <rPr>
        <b val="true"/>
        <sz val="11"/>
        <color rgb="FF000000"/>
        <rFont val="HelveticaNeueCyr"/>
        <family val="0"/>
        <charset val="1"/>
      </rPr>
      <t xml:space="preserve">60х60 мм h=3200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</si>
  <si>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h=2500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</si>
  <si>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h=2700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</si>
  <si>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h=2800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</si>
  <si>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h=3000 мм</t>
    </r>
  </si>
  <si>
    <r>
      <rPr>
        <sz val="11"/>
        <color rgb="FF000000"/>
        <rFont val="HelveticaNeueCyr"/>
        <family val="0"/>
        <charset val="1"/>
      </rPr>
      <t xml:space="preserve">Столб проф. труба 8</t>
    </r>
    <r>
      <rPr>
        <b val="true"/>
        <sz val="11"/>
        <color rgb="FF000000"/>
        <rFont val="HelveticaNeueCyr"/>
        <family val="0"/>
        <charset val="1"/>
      </rPr>
      <t xml:space="preserve">0х80 мм h=3200 мм</t>
    </r>
  </si>
  <si>
    <t xml:space="preserve">Бетон, h 1200 мм.</t>
  </si>
  <si>
    <t xml:space="preserve">Гравий</t>
  </si>
  <si>
    <t xml:space="preserve">Заглушка 60х60 пластиковая</t>
  </si>
  <si>
    <t xml:space="preserve">Заглушка 80х80 внешняя</t>
  </si>
  <si>
    <t xml:space="preserve">Крепление листа</t>
  </si>
  <si>
    <t xml:space="preserve">Саморезы 1</t>
  </si>
  <si>
    <t xml:space="preserve">Саморезы 2</t>
  </si>
  <si>
    <t xml:space="preserve">Саморезы 3</t>
  </si>
  <si>
    <t xml:space="preserve">Варота и колитки</t>
  </si>
  <si>
    <t xml:space="preserve">Сечение столбов, мм 80*80</t>
  </si>
  <si>
    <t xml:space="preserve">Сечение столбов, мм 100*100</t>
  </si>
  <si>
    <t xml:space="preserve">Распашные ворота</t>
  </si>
  <si>
    <t xml:space="preserve">Откатные ворота</t>
  </si>
  <si>
    <t xml:space="preserve">Калитка</t>
  </si>
  <si>
    <t xml:space="preserve">Фурнитура для ворот</t>
  </si>
  <si>
    <t xml:space="preserve">комплект 1</t>
  </si>
  <si>
    <t xml:space="preserve">комплект 2</t>
  </si>
  <si>
    <t xml:space="preserve">комплект 3</t>
  </si>
  <si>
    <t xml:space="preserve">Фурнитура для калитки</t>
  </si>
  <si>
    <t xml:space="preserve">Работы забор</t>
  </si>
  <si>
    <t xml:space="preserve">Установка забора из профнастильного листа</t>
  </si>
  <si>
    <t xml:space="preserve">Установка ворот</t>
  </si>
  <si>
    <t xml:space="preserve">Установка откатных ворот</t>
  </si>
  <si>
    <t xml:space="preserve">Установка калитки</t>
  </si>
  <si>
    <t xml:space="preserve">Установка замка на калитку</t>
  </si>
  <si>
    <t xml:space="preserve">Утрамбовка столба гравием</t>
  </si>
  <si>
    <t xml:space="preserve">Бетонирование столба</t>
  </si>
  <si>
    <t xml:space="preserve">Итого:</t>
  </si>
  <si>
    <t xml:space="preserve">Значения для полного расчета стоимости необходимо выбрать в ячейке с цветом</t>
  </si>
  <si>
    <t xml:space="preserve">Считать по эскизу, размерам</t>
  </si>
  <si>
    <t xml:space="preserve">Выбор типа строения по этажности</t>
  </si>
  <si>
    <t xml:space="preserve">1 полноценный этаж</t>
  </si>
  <si>
    <t xml:space="preserve">Выбор материала дома</t>
  </si>
  <si>
    <t xml:space="preserve">Кирпичный дом</t>
  </si>
  <si>
    <t xml:space="preserve">Основные размеры дома</t>
  </si>
  <si>
    <t xml:space="preserve">данные</t>
  </si>
  <si>
    <t xml:space="preserve">Ширина дома, А</t>
  </si>
  <si>
    <t xml:space="preserve">Длина дома, В</t>
  </si>
  <si>
    <t xml:space="preserve">Высота 1-го этажа, С</t>
  </si>
  <si>
    <t xml:space="preserve">Высота от перекрытий 0 эт до конька</t>
  </si>
  <si>
    <t xml:space="preserve">Аттиковая стена, мансардный этаж</t>
  </si>
  <si>
    <t xml:space="preserve">D</t>
  </si>
  <si>
    <t xml:space="preserve">Высота 2-го этажа, D</t>
  </si>
  <si>
    <t xml:space="preserve">Выбор строения по размерам боковых сторон</t>
  </si>
  <si>
    <t xml:space="preserve">Высота боковых стен дома одинаковая</t>
  </si>
  <si>
    <t xml:space="preserve">Если высота боковых стен разная</t>
  </si>
  <si>
    <t xml:space="preserve">Высота левой боковой стены 1-го этажа</t>
  </si>
  <si>
    <t xml:space="preserve">Высота правой боковой стены 1-го этажа</t>
  </si>
  <si>
    <t xml:space="preserve">Высота левой боковой стены 2-го этажа</t>
  </si>
  <si>
    <t xml:space="preserve">С</t>
  </si>
  <si>
    <t xml:space="preserve">Высота правой боковой стены 2-го этажа</t>
  </si>
  <si>
    <t xml:space="preserve">Выбор расположения конька</t>
  </si>
  <si>
    <t xml:space="preserve">Конек по центру дома</t>
  </si>
  <si>
    <t xml:space="preserve">Если конек не по центру дома</t>
  </si>
  <si>
    <t xml:space="preserve">Расстояние от левой стены дома до конька</t>
  </si>
  <si>
    <t xml:space="preserve">В</t>
  </si>
  <si>
    <t xml:space="preserve">Расстояние от правой боковой стены до конька</t>
  </si>
  <si>
    <t xml:space="preserve">А</t>
  </si>
  <si>
    <t xml:space="preserve">Перекрытие 0-го этажа, В/Ш</t>
  </si>
  <si>
    <t xml:space="preserve">шаг бруса</t>
  </si>
  <si>
    <t xml:space="preserve">Арматура</t>
  </si>
  <si>
    <t xml:space="preserve">шаг арм</t>
  </si>
  <si>
    <t xml:space="preserve">Нет перекрытия</t>
  </si>
  <si>
    <t xml:space="preserve">Арматура М10</t>
  </si>
  <si>
    <t xml:space="preserve">Перекрестный пол</t>
  </si>
  <si>
    <t xml:space="preserve">Нет перекрестного пола</t>
  </si>
  <si>
    <t xml:space="preserve">Черновой пол перекрытия 0 этажа</t>
  </si>
  <si>
    <t xml:space="preserve">Перекрытие 1-го этажа</t>
  </si>
  <si>
    <t xml:space="preserve">Черновой пол перекрытия 1 этажа</t>
  </si>
  <si>
    <t xml:space="preserve">Перекрытие 2-го этажа</t>
  </si>
  <si>
    <t xml:space="preserve">Арматура М12</t>
  </si>
  <si>
    <t xml:space="preserve">Черновой пол перекрытия 2 этажа</t>
  </si>
  <si>
    <t xml:space="preserve">Мембрана Folder Classic</t>
  </si>
  <si>
    <t xml:space="preserve">Пленка Delta-Reflex</t>
  </si>
  <si>
    <t xml:space="preserve">Транспорт для перекрытий</t>
  </si>
  <si>
    <t xml:space="preserve">ед.</t>
  </si>
  <si>
    <t xml:space="preserve">Воровайка</t>
  </si>
  <si>
    <t xml:space="preserve">расходные материалы перекрытие</t>
  </si>
  <si>
    <t xml:space="preserve">рублей</t>
  </si>
  <si>
    <t xml:space="preserve">ДАННЫЕ ДЛЯ РАСЧЕТА ПЕРЕКРЫТИЙ В ДОМЕ</t>
  </si>
  <si>
    <t xml:space="preserve">Не считать</t>
  </si>
  <si>
    <t xml:space="preserve">Окна/Проемы. Наружние стены</t>
  </si>
  <si>
    <t xml:space="preserve">ширина</t>
  </si>
  <si>
    <t xml:space="preserve">высота </t>
  </si>
  <si>
    <t xml:space="preserve">кол-во</t>
  </si>
  <si>
    <t xml:space="preserve">Окна, Двери</t>
  </si>
  <si>
    <t xml:space="preserve">Окна/Проемы. Наружние стены. Первый этаж</t>
  </si>
  <si>
    <t xml:space="preserve">Окна, Вариант 1, первый этаж</t>
  </si>
  <si>
    <t xml:space="preserve">Коэффициент увеличения/уменьшения стоимости материалов</t>
  </si>
  <si>
    <t xml:space="preserve">Окна, Вариант 2, первый этаж</t>
  </si>
  <si>
    <t xml:space="preserve">Коэффициент увеличения/уменьшения стоимости работ</t>
  </si>
  <si>
    <t xml:space="preserve">Окна, Вариант 3, первый этаж</t>
  </si>
  <si>
    <t xml:space="preserve">Выбрать Мансардные окна Velux</t>
  </si>
  <si>
    <t xml:space="preserve">Окна, Вариант 4, первый этаж</t>
  </si>
  <si>
    <t xml:space="preserve">Окна, Вариант 5, первый этаж</t>
  </si>
  <si>
    <t xml:space="preserve">Дверь на балкон , первый этаж</t>
  </si>
  <si>
    <t xml:space="preserve">Французское окно, Вариант 1</t>
  </si>
  <si>
    <t xml:space="preserve">Фрунцузское окно, Вариант 2</t>
  </si>
  <si>
    <t xml:space="preserve">Окна/Проемы. Наружние стены. Второй этаж</t>
  </si>
  <si>
    <t xml:space="preserve">Наименование работ</t>
  </si>
  <si>
    <t xml:space="preserve">Окна, Вариант 6, второй этаж</t>
  </si>
  <si>
    <t xml:space="preserve">окна  </t>
  </si>
  <si>
    <t xml:space="preserve">выбор</t>
  </si>
  <si>
    <t xml:space="preserve">Считать </t>
  </si>
  <si>
    <t xml:space="preserve">Окна, Вариант 7, второй этаж</t>
  </si>
  <si>
    <t xml:space="preserve">дверь на балкон</t>
  </si>
  <si>
    <t xml:space="preserve">Окна, Вариант 8, второй этаж</t>
  </si>
  <si>
    <t xml:space="preserve">подоконники</t>
  </si>
  <si>
    <t xml:space="preserve">Окна, Вариант 9, второй этаж</t>
  </si>
  <si>
    <t xml:space="preserve">откосы пластик</t>
  </si>
  <si>
    <t xml:space="preserve">Окна, Вариант 10, второй этаж</t>
  </si>
  <si>
    <t xml:space="preserve">откосы внешние металл</t>
  </si>
  <si>
    <t xml:space="preserve">Дверь на балкон , второй этаж</t>
  </si>
  <si>
    <t xml:space="preserve">отливы внешние металл</t>
  </si>
  <si>
    <t xml:space="preserve">Французские окна (в пол)</t>
  </si>
  <si>
    <t xml:space="preserve">Двери входные. Наружние стены</t>
  </si>
  <si>
    <t xml:space="preserve">двери входные</t>
  </si>
  <si>
    <t xml:space="preserve">Дверь входная. Вариант 1</t>
  </si>
  <si>
    <t xml:space="preserve">Дверь входная. Вариант 2</t>
  </si>
  <si>
    <t xml:space="preserve">Дверь входная. Вариант 3</t>
  </si>
  <si>
    <t xml:space="preserve">Двери межк-тные/Проемы. Перегородки</t>
  </si>
  <si>
    <t xml:space="preserve">Несущие перегородки. Первый этаж</t>
  </si>
  <si>
    <t xml:space="preserve">расходные материалы окна</t>
  </si>
  <si>
    <t xml:space="preserve">Дверь. Вариант 1, первый этаж</t>
  </si>
  <si>
    <t xml:space="preserve">Дверь. Вариант 2, первый этаж</t>
  </si>
  <si>
    <t xml:space="preserve">Проем без дверей Вариант 1, 1 этаж</t>
  </si>
  <si>
    <t xml:space="preserve">Простые перегородки. Первый этаж</t>
  </si>
  <si>
    <t xml:space="preserve">Дверь. Вариант 3, первый этаж</t>
  </si>
  <si>
    <t xml:space="preserve">Дверь. Вариант 4, первый этаж</t>
  </si>
  <si>
    <t xml:space="preserve">Проем без дверей Вариант 2, 1 этаж</t>
  </si>
  <si>
    <t xml:space="preserve">Несущие перегородки. Второй этаж</t>
  </si>
  <si>
    <t xml:space="preserve">Дверь. Вариант 5, второй этаж</t>
  </si>
  <si>
    <t xml:space="preserve">Дверь. Вариант 6, второй этаж</t>
  </si>
  <si>
    <t xml:space="preserve">Проем без дверей Вариант 3, 2 этаж</t>
  </si>
  <si>
    <t xml:space="preserve">Простые перегородки. Второй этаж</t>
  </si>
  <si>
    <t xml:space="preserve">Дверь. Вариант 7, второй этаж</t>
  </si>
  <si>
    <t xml:space="preserve">Дверь. Вариант 8, второй этаж</t>
  </si>
  <si>
    <t xml:space="preserve">Проем без дверей Вариант 4, 2 этаж</t>
  </si>
  <si>
    <t xml:space="preserve">ДАННЫЕ ДЛЯ РАСЧЕТА ОКОН/ПРОЕМОВ/ДВЕРЕЙ ВХОДНЫХ И МЕЖКОМНАТНЫХ</t>
  </si>
  <si>
    <t xml:space="preserve">Данные размеры ставим если этажи мансардные</t>
  </si>
  <si>
    <t xml:space="preserve">Данные для расчета Перегородок и основных перемычек фундамента</t>
  </si>
  <si>
    <t xml:space="preserve">длина, L</t>
  </si>
  <si>
    <t xml:space="preserve">Высота L1</t>
  </si>
  <si>
    <t xml:space="preserve">Высота L2</t>
  </si>
  <si>
    <t xml:space="preserve">перегородки 1 эт по оси X, перемычки фундамента</t>
  </si>
  <si>
    <t xml:space="preserve">Вид сверху 1-го этажа</t>
  </si>
  <si>
    <t xml:space="preserve">Вид сверху 2-го этажа</t>
  </si>
  <si>
    <t xml:space="preserve">Ширина дома</t>
  </si>
  <si>
    <t xml:space="preserve">перегородки 1 эт по оси Х</t>
  </si>
  <si>
    <t xml:space="preserve">перегородки 1 эт по оси Y, перемычки фундамента</t>
  </si>
  <si>
    <t xml:space="preserve">Y</t>
  </si>
  <si>
    <t xml:space="preserve">перегородки 1 эт по оси Y</t>
  </si>
  <si>
    <t xml:space="preserve">перегородки 2 эт по оси X, несущие</t>
  </si>
  <si>
    <t xml:space="preserve">X</t>
  </si>
  <si>
    <t xml:space="preserve">перегородки 2 эт по оси X</t>
  </si>
  <si>
    <t xml:space="preserve">L1</t>
  </si>
  <si>
    <t xml:space="preserve">L2</t>
  </si>
  <si>
    <t xml:space="preserve">перегородки 2 эт по оси Y, несущие</t>
  </si>
  <si>
    <t xml:space="preserve">L</t>
  </si>
  <si>
    <t xml:space="preserve">перегородка, если дом мансардный без перекрытия, ось Х</t>
  </si>
  <si>
    <t xml:space="preserve">перегородка, если дом мансардный без перекрытия, Ось Х</t>
  </si>
  <si>
    <t xml:space="preserve">перегородка, если дом мансардный без перекрытия, Ось Y</t>
  </si>
  <si>
    <t xml:space="preserve">перегородки 2 эт по оси Y</t>
  </si>
  <si>
    <t xml:space="preserve">Если дом с мансардным этажом, то необходимо поставить размеры перегородки, указанные на эскизе, L1, L2, в зависимости от выбора типа строения</t>
  </si>
  <si>
    <t xml:space="preserve">ДАННЫЕ ДЛЯ РАСЧЕТА ПЕРЕГОРОДОК И ПЕРЕМЫЧЕК ФУНДАМЕНТА В ДОМЕ</t>
  </si>
  <si>
    <t xml:space="preserve">Кровля односкатная</t>
  </si>
  <si>
    <t xml:space="preserve">Коэффициент расхода материала</t>
  </si>
  <si>
    <t xml:space="preserve">Коэффициент на работу</t>
  </si>
  <si>
    <t xml:space="preserve">Выбрать тип кровли односкатной, в какую сторону скат</t>
  </si>
  <si>
    <t xml:space="preserve">вариант1</t>
  </si>
  <si>
    <t xml:space="preserve">вариант2</t>
  </si>
  <si>
    <t xml:space="preserve">Материал для покрытия кровли</t>
  </si>
  <si>
    <t xml:space="preserve">Металлочерепица кровля</t>
  </si>
  <si>
    <t xml:space="preserve">Материал для мауэрлата</t>
  </si>
  <si>
    <t xml:space="preserve">Выпуск кровли карниз, J </t>
  </si>
  <si>
    <t xml:space="preserve">Выпуск кровли карниз, J1</t>
  </si>
  <si>
    <t xml:space="preserve">Вариант №1</t>
  </si>
  <si>
    <t xml:space="preserve">M1</t>
  </si>
  <si>
    <t xml:space="preserve">Выпуск кровли фронтон, M</t>
  </si>
  <si>
    <t xml:space="preserve">Выпуск кровли фронтон, M1</t>
  </si>
  <si>
    <t xml:space="preserve">Дополнительный скат №1</t>
  </si>
  <si>
    <t xml:space="preserve">J</t>
  </si>
  <si>
    <t xml:space="preserve">Дополнительный скат №2</t>
  </si>
  <si>
    <t xml:space="preserve">Если добавить колонну, выбрать материал</t>
  </si>
  <si>
    <t xml:space="preserve">Кол-во</t>
  </si>
  <si>
    <t xml:space="preserve">ширина дома</t>
  </si>
  <si>
    <t xml:space="preserve">M</t>
  </si>
  <si>
    <t xml:space="preserve">J1</t>
  </si>
  <si>
    <t xml:space="preserve">длина дома</t>
  </si>
  <si>
    <t xml:space="preserve">Материал для стропил</t>
  </si>
  <si>
    <t xml:space="preserve">Доска сухая, 200*50мм</t>
  </si>
  <si>
    <t xml:space="preserve">Материал для обрешетки</t>
  </si>
  <si>
    <t xml:space="preserve">Материал для контробрешетки</t>
  </si>
  <si>
    <t xml:space="preserve">Материал для монтажа мягкой кровли</t>
  </si>
  <si>
    <t xml:space="preserve">Вариант №2</t>
  </si>
  <si>
    <t xml:space="preserve">Материал для утепления кровли</t>
  </si>
  <si>
    <t xml:space="preserve">Труба канализационная</t>
  </si>
  <si>
    <t xml:space="preserve">Труба вентиляционная</t>
  </si>
  <si>
    <t xml:space="preserve">Труба для котла</t>
  </si>
  <si>
    <t xml:space="preserve">Материал для ветроизоляции</t>
  </si>
  <si>
    <t xml:space="preserve">Мембрана MD90</t>
  </si>
  <si>
    <t xml:space="preserve">Материал для пароизоляции</t>
  </si>
  <si>
    <t xml:space="preserve">Длина дома</t>
  </si>
  <si>
    <t xml:space="preserve">Мембрана Tyvek AirGuard Reflective</t>
  </si>
  <si>
    <t xml:space="preserve">Транспорт</t>
  </si>
  <si>
    <t xml:space="preserve">расходные материалы односкатная кровля</t>
  </si>
  <si>
    <t xml:space="preserve">КРОВЛЯ ОДНОСКАТНАЯ</t>
  </si>
  <si>
    <t xml:space="preserve">Кровля двускатная</t>
  </si>
  <si>
    <t xml:space="preserve">O</t>
  </si>
  <si>
    <t xml:space="preserve">Выпуск кровли карниз, J</t>
  </si>
  <si>
    <t xml:space="preserve">F</t>
  </si>
  <si>
    <t xml:space="preserve">низ низнего ската</t>
  </si>
  <si>
    <t xml:space="preserve">E</t>
  </si>
  <si>
    <t xml:space="preserve">аттиковая стена</t>
  </si>
  <si>
    <t xml:space="preserve">Если нужно добавить дополнительную кровлю</t>
  </si>
  <si>
    <t xml:space="preserve">верх нижгего ската</t>
  </si>
  <si>
    <t xml:space="preserve">высота фронтона</t>
  </si>
  <si>
    <t xml:space="preserve">высота конька</t>
  </si>
  <si>
    <t xml:space="preserve">угол</t>
  </si>
  <si>
    <t xml:space="preserve">град</t>
  </si>
  <si>
    <t xml:space="preserve">Пленка Д110 Стандарт</t>
  </si>
  <si>
    <t xml:space="preserve">Мембрана Tyvek AirGuard SD5</t>
  </si>
  <si>
    <t xml:space="preserve">расходные материалы двускатная кровля</t>
  </si>
  <si>
    <t xml:space="preserve">КРОВЛЯ ДВУСКАТНАЯ</t>
  </si>
  <si>
    <t xml:space="preserve">Кровля вальмовая</t>
  </si>
  <si>
    <t xml:space="preserve">длина конька кровли, O</t>
  </si>
  <si>
    <t xml:space="preserve">верх низа кровли</t>
  </si>
  <si>
    <t xml:space="preserve">низ конька</t>
  </si>
  <si>
    <t xml:space="preserve">H</t>
  </si>
  <si>
    <t xml:space="preserve">G</t>
  </si>
  <si>
    <t xml:space="preserve">угол1</t>
  </si>
  <si>
    <t xml:space="preserve">угол2</t>
  </si>
  <si>
    <t xml:space="preserve">N</t>
  </si>
  <si>
    <t xml:space="preserve">K</t>
  </si>
  <si>
    <t xml:space="preserve">расходные материалы вальмовая кровля</t>
  </si>
  <si>
    <t xml:space="preserve">КРОВЛЯ ВАЛЬМОВАЯ</t>
  </si>
  <si>
    <t xml:space="preserve">Кровля полувальмовая</t>
  </si>
  <si>
    <t xml:space="preserve">Кровля Полувальмовая</t>
  </si>
  <si>
    <t xml:space="preserve">Уклон бокового ската от аттиковой ст, J</t>
  </si>
  <si>
    <t xml:space="preserve">Выпуск кровли карниз, G</t>
  </si>
  <si>
    <t xml:space="preserve">Е</t>
  </si>
  <si>
    <t xml:space="preserve">Аттиковая стена</t>
  </si>
  <si>
    <t xml:space="preserve">Доска сырая, 150*50мм</t>
  </si>
  <si>
    <t xml:space="preserve">F1</t>
  </si>
  <si>
    <t xml:space="preserve">Мембраны  Tyvek Housewrap</t>
  </si>
  <si>
    <t xml:space="preserve">расходные материалы полувальмовая кровля</t>
  </si>
  <si>
    <t xml:space="preserve">КРОВЛЯ ПОЛУВАЛЬМОВАЯ</t>
  </si>
  <si>
    <t xml:space="preserve">Элементы кровли</t>
  </si>
  <si>
    <t xml:space="preserve">№1</t>
  </si>
  <si>
    <t xml:space="preserve">Брус естественной влажности, 100*100мм</t>
  </si>
  <si>
    <t xml:space="preserve">номер элемента</t>
  </si>
  <si>
    <t xml:space="preserve">ед.изм. </t>
  </si>
  <si>
    <t xml:space="preserve">№2</t>
  </si>
  <si>
    <t xml:space="preserve">Выбрать количество элементов</t>
  </si>
  <si>
    <t xml:space="preserve">Выпуск кровли карниз</t>
  </si>
  <si>
    <t xml:space="preserve">T</t>
  </si>
  <si>
    <t xml:space="preserve">R</t>
  </si>
  <si>
    <t xml:space="preserve">Выпуск кровли фронтон</t>
  </si>
  <si>
    <t xml:space="preserve">высота, Е</t>
  </si>
  <si>
    <t xml:space="preserve">высота, Е1</t>
  </si>
  <si>
    <t xml:space="preserve">Длина, U</t>
  </si>
  <si>
    <t xml:space="preserve">Ширина, K</t>
  </si>
  <si>
    <t xml:space="preserve">U</t>
  </si>
  <si>
    <t xml:space="preserve">длина конька без выпуска, O</t>
  </si>
  <si>
    <t xml:space="preserve">P1</t>
  </si>
  <si>
    <t xml:space="preserve">К</t>
  </si>
  <si>
    <t xml:space="preserve">расходные материалы элементы кровель</t>
  </si>
  <si>
    <t xml:space="preserve">ЭЛЕМЕНТЫ КРОВЛИ</t>
  </si>
  <si>
    <t xml:space="preserve">Пристройка к основной части дома</t>
  </si>
  <si>
    <t xml:space="preserve">Данные для расчета Пристройки</t>
  </si>
  <si>
    <t xml:space="preserve">Двускатная кровля</t>
  </si>
  <si>
    <t xml:space="preserve">вариант №1</t>
  </si>
  <si>
    <t xml:space="preserve">1 мансардный этаж</t>
  </si>
  <si>
    <t xml:space="preserve">ед. изм</t>
  </si>
  <si>
    <t xml:space="preserve">высота 1 эт</t>
  </si>
  <si>
    <t xml:space="preserve">Пристройка к фр-ну, выходит за размер дома</t>
  </si>
  <si>
    <t xml:space="preserve">высота 2 эт</t>
  </si>
  <si>
    <t xml:space="preserve">высота аттик ст</t>
  </si>
  <si>
    <t xml:space="preserve">вариант №2</t>
  </si>
  <si>
    <t xml:space="preserve">высота от перекр</t>
  </si>
  <si>
    <t xml:space="preserve">2 полноценных этажа</t>
  </si>
  <si>
    <t xml:space="preserve">ноль</t>
  </si>
  <si>
    <t xml:space="preserve">Пристр к боку дома</t>
  </si>
  <si>
    <t xml:space="preserve">лаги</t>
  </si>
  <si>
    <t xml:space="preserve">1 этаж</t>
  </si>
  <si>
    <t xml:space="preserve">вариант №3</t>
  </si>
  <si>
    <t xml:space="preserve">перекрытие 1 эт</t>
  </si>
  <si>
    <t xml:space="preserve">1 этаж + 2-ой мансардный</t>
  </si>
  <si>
    <t xml:space="preserve">Пристройка к фр-ну </t>
  </si>
  <si>
    <t xml:space="preserve">низ ската</t>
  </si>
  <si>
    <t xml:space="preserve">низ ската верх</t>
  </si>
  <si>
    <t xml:space="preserve">вариант №4</t>
  </si>
  <si>
    <t xml:space="preserve">верх ската конек</t>
  </si>
  <si>
    <t xml:space="preserve">низ ската конек</t>
  </si>
  <si>
    <t xml:space="preserve">Пристр к боку дома, выходит за размер дома</t>
  </si>
  <si>
    <t xml:space="preserve">перекрытие 2 эт</t>
  </si>
  <si>
    <t xml:space="preserve">высота перекр 2 эт</t>
  </si>
  <si>
    <t xml:space="preserve">аттик0</t>
  </si>
  <si>
    <t xml:space="preserve">Варианты пристройки</t>
  </si>
  <si>
    <t xml:space="preserve">№3</t>
  </si>
  <si>
    <t xml:space="preserve">№4</t>
  </si>
  <si>
    <t xml:space="preserve">Количество</t>
  </si>
  <si>
    <t xml:space="preserve">Выпуски кровли </t>
  </si>
  <si>
    <t xml:space="preserve">выпуск по скату 1</t>
  </si>
  <si>
    <t xml:space="preserve">выпуск по скату 2</t>
  </si>
  <si>
    <t xml:space="preserve">выпуск по фронтону 1</t>
  </si>
  <si>
    <t xml:space="preserve">выпуск по фронтону 2, односкатная кровля</t>
  </si>
  <si>
    <t xml:space="preserve">длина конька вальмовой кровли от стен дома</t>
  </si>
  <si>
    <t xml:space="preserve">Доска сухая калиброванная, 190*45мм</t>
  </si>
  <si>
    <t xml:space="preserve">Мембраны Tyvek Soft</t>
  </si>
  <si>
    <t xml:space="preserve">расходные материалы пристройки</t>
  </si>
  <si>
    <t xml:space="preserve">ПРИСТРОЙКА К ОСНОВНОЙ ЧАСТИ ДОМА</t>
  </si>
  <si>
    <t xml:space="preserve">Эркер</t>
  </si>
  <si>
    <t xml:space="preserve">Данные для расчета Эркера</t>
  </si>
  <si>
    <t xml:space="preserve">Этажность дома</t>
  </si>
  <si>
    <t xml:space="preserve">Ширина эркера, А</t>
  </si>
  <si>
    <t xml:space="preserve">Длина лицевой стены, L</t>
  </si>
  <si>
    <t xml:space="preserve">Длина боковой стены, К</t>
  </si>
  <si>
    <t xml:space="preserve">Высота 1-го этажа</t>
  </si>
  <si>
    <t xml:space="preserve">Высота 2-го этажа</t>
  </si>
  <si>
    <t xml:space="preserve">Высота от перекрытий 0 этажа до конька</t>
  </si>
  <si>
    <t xml:space="preserve">до конька</t>
  </si>
  <si>
    <t xml:space="preserve">длина выпуска кровли по скату</t>
  </si>
  <si>
    <t xml:space="preserve">L3</t>
  </si>
  <si>
    <t xml:space="preserve">длина первой ст</t>
  </si>
  <si>
    <t xml:space="preserve">боковая стена</t>
  </si>
  <si>
    <t xml:space="preserve">пер1э</t>
  </si>
  <si>
    <t xml:space="preserve">пол2э</t>
  </si>
  <si>
    <t xml:space="preserve">пер2э</t>
  </si>
  <si>
    <t xml:space="preserve">низ скат</t>
  </si>
  <si>
    <t xml:space="preserve">градус</t>
  </si>
  <si>
    <t xml:space="preserve">расходные материалы эркер</t>
  </si>
  <si>
    <t xml:space="preserve">ЭРКЕР</t>
  </si>
  <si>
    <t xml:space="preserve">Балкон внешний и внутри на 2-ом этаже дома</t>
  </si>
  <si>
    <t xml:space="preserve">Балконы</t>
  </si>
  <si>
    <t xml:space="preserve">Балкон внешний</t>
  </si>
  <si>
    <t xml:space="preserve">Вид сверху</t>
  </si>
  <si>
    <t xml:space="preserve">Размеры балкона</t>
  </si>
  <si>
    <t xml:space="preserve">балкон 1</t>
  </si>
  <si>
    <t xml:space="preserve">Количество балконов</t>
  </si>
  <si>
    <t xml:space="preserve">Длина Н14</t>
  </si>
  <si>
    <t xml:space="preserve">Ширина Н15</t>
  </si>
  <si>
    <t xml:space="preserve">Контур дома</t>
  </si>
  <si>
    <t xml:space="preserve">Высота балкона, без учета перекрытия, Н16</t>
  </si>
  <si>
    <t xml:space="preserve">Наружние стены</t>
  </si>
  <si>
    <t xml:space="preserve">Материал стен</t>
  </si>
  <si>
    <t xml:space="preserve">Вид кровельного покрытия сверху</t>
  </si>
  <si>
    <t xml:space="preserve">МатериалБревно</t>
  </si>
  <si>
    <t xml:space="preserve">Тип материала для стен</t>
  </si>
  <si>
    <t xml:space="preserve">Материал перекрытий</t>
  </si>
  <si>
    <t xml:space="preserve">Доска естественной влажности, 200*50мм</t>
  </si>
  <si>
    <t xml:space="preserve">Балкон</t>
  </si>
  <si>
    <t xml:space="preserve">Ширина Н1</t>
  </si>
  <si>
    <t xml:space="preserve">Длина Н1</t>
  </si>
  <si>
    <t xml:space="preserve">Балкон, который находится в черте площади дома</t>
  </si>
  <si>
    <t xml:space="preserve">Высота перил балкона</t>
  </si>
  <si>
    <t xml:space="preserve">Если высота боковых стен разная, конек или по центру дома или не по центру дома</t>
  </si>
  <si>
    <t xml:space="preserve">Считать балкон с левой стороны дома</t>
  </si>
  <si>
    <t xml:space="preserve">Считать балкон с правой стороны дома</t>
  </si>
  <si>
    <t xml:space="preserve">Материал для гидроизоляции, пол балкона</t>
  </si>
  <si>
    <t xml:space="preserve">Материал для пола, черновая отделка</t>
  </si>
  <si>
    <t xml:space="preserve">Материал для столбов</t>
  </si>
  <si>
    <t xml:space="preserve">Материал для перил</t>
  </si>
  <si>
    <t xml:space="preserve">Материал для прожилин</t>
  </si>
  <si>
    <t xml:space="preserve">Накладка на перила</t>
  </si>
  <si>
    <t xml:space="preserve">расходные материалы балкон</t>
  </si>
  <si>
    <t xml:space="preserve">БАЛКОНЫ В ДОМЕ</t>
  </si>
  <si>
    <t xml:space="preserve">Веранда/терраса открытая снаружи дома и в черте дома</t>
  </si>
  <si>
    <t xml:space="preserve">Веранда деревянная открытая</t>
  </si>
  <si>
    <t xml:space="preserve">коэффициент расхода материала</t>
  </si>
  <si>
    <t xml:space="preserve">коэффициент увеличения/уменьшения работ</t>
  </si>
  <si>
    <t xml:space="preserve">Считать веранду/террасу снаружи дома в 1-2 этажа</t>
  </si>
  <si>
    <t xml:space="preserve">Этажность</t>
  </si>
  <si>
    <t xml:space="preserve">Длина Н17</t>
  </si>
  <si>
    <t xml:space="preserve">Ширина Н18</t>
  </si>
  <si>
    <t xml:space="preserve">Высота Н19</t>
  </si>
  <si>
    <t xml:space="preserve">Высота Н20</t>
  </si>
  <si>
    <t xml:space="preserve">высота от перекрытия 0 этажа до конька, Е</t>
  </si>
  <si>
    <t xml:space="preserve">Вариант расчета с односкатной кровлей</t>
  </si>
  <si>
    <t xml:space="preserve">Выбрать фундамент для веранды</t>
  </si>
  <si>
    <t xml:space="preserve">ВинтовыеСваи</t>
  </si>
  <si>
    <t xml:space="preserve">выбрать тип свай, диаметр/длина/лопасти</t>
  </si>
  <si>
    <t xml:space="preserve">Н20</t>
  </si>
  <si>
    <t xml:space="preserve">Выбрать монтаж свай гидравлика или ручное</t>
  </si>
  <si>
    <t xml:space="preserve">обвязка металлом, 20/40/3000</t>
  </si>
  <si>
    <t xml:space="preserve">Заливка бетоном свай</t>
  </si>
  <si>
    <t xml:space="preserve">Н19</t>
  </si>
  <si>
    <t xml:space="preserve">Н17</t>
  </si>
  <si>
    <t xml:space="preserve">Н18</t>
  </si>
  <si>
    <t xml:space="preserve">Материал для перекрытия</t>
  </si>
  <si>
    <t xml:space="preserve">Материал для обвязки по периметру 0 эт.</t>
  </si>
  <si>
    <t xml:space="preserve">Материал для обвязки перекрытий 1-2 этажей</t>
  </si>
  <si>
    <t xml:space="preserve">Материал для дополнительных изделий</t>
  </si>
  <si>
    <t xml:space="preserve">Размеры для кровли</t>
  </si>
  <si>
    <t xml:space="preserve">Вариант расчета с двускатной кровлей</t>
  </si>
  <si>
    <t xml:space="preserve">Выберите тип кровли</t>
  </si>
  <si>
    <t xml:space="preserve">Считать веранду/террасу, на 1-ом этаже в черте дома</t>
  </si>
  <si>
    <t xml:space="preserve">Высота перил </t>
  </si>
  <si>
    <t xml:space="preserve">Количество столбов </t>
  </si>
  <si>
    <t xml:space="preserve">Материал для гидроизоляции, пол веранды</t>
  </si>
  <si>
    <t xml:space="preserve">Веранда</t>
  </si>
  <si>
    <t xml:space="preserve">Крепежные элементы</t>
  </si>
  <si>
    <t xml:space="preserve">расходные материалы веранда</t>
  </si>
  <si>
    <t xml:space="preserve">ВЕРАНДА В ДОМЕ</t>
  </si>
  <si>
    <t xml:space="preserve">Крыльцо</t>
  </si>
  <si>
    <t xml:space="preserve">Длина крыльца</t>
  </si>
  <si>
    <t xml:space="preserve">Ширина крыльца</t>
  </si>
  <si>
    <t xml:space="preserve">Высота от перекрытия до конька</t>
  </si>
  <si>
    <t xml:space="preserve">Высота до перекрытия кровли</t>
  </si>
  <si>
    <t xml:space="preserve">Выпуск кровли по карнизу</t>
  </si>
  <si>
    <t xml:space="preserve">Выпуск кровли по фронтону</t>
  </si>
  <si>
    <t xml:space="preserve">Длина конька для вальмовой пристройки</t>
  </si>
  <si>
    <t xml:space="preserve">Количество ступеней</t>
  </si>
  <si>
    <t xml:space="preserve">Размер ступеней</t>
  </si>
  <si>
    <t xml:space="preserve">Выбрать материал для столбов</t>
  </si>
  <si>
    <t xml:space="preserve">Односкатная кровля</t>
  </si>
  <si>
    <t xml:space="preserve">Доска сухая, 150*50мм</t>
  </si>
  <si>
    <t xml:space="preserve">Мембраны Tyvek Solid</t>
  </si>
  <si>
    <t xml:space="preserve">Выбрать фундамент для крыльца</t>
  </si>
  <si>
    <t xml:space="preserve">Вариант крыльца с вальмовой кровлей</t>
  </si>
  <si>
    <t xml:space="preserve">Материал для обвязки по периметру низ</t>
  </si>
  <si>
    <t xml:space="preserve">Материал для обвязки по периметру верх</t>
  </si>
  <si>
    <t xml:space="preserve">Расходные материалы крыльцо</t>
  </si>
  <si>
    <t xml:space="preserve">КРЫЛЬЦО</t>
  </si>
  <si>
    <t xml:space="preserve">Монтаж свай гидравлика</t>
  </si>
  <si>
    <t xml:space="preserve">Расходные материалы винтовые сваи</t>
  </si>
  <si>
    <t xml:space="preserve">ВИНТОВЫЕ СВАИ</t>
  </si>
  <si>
    <t xml:space="preserve">Свайноростверковый фундамент</t>
  </si>
  <si>
    <t xml:space="preserve">Данные для расчета фундамента</t>
  </si>
  <si>
    <t xml:space="preserve">Глубина ленты фундамента в грунте</t>
  </si>
  <si>
    <t xml:space="preserve">Высота фундамента над грунтом</t>
  </si>
  <si>
    <t xml:space="preserve">ширина ленточного фундамента</t>
  </si>
  <si>
    <t xml:space="preserve">Толщина отсыпки ПГС под лентой</t>
  </si>
  <si>
    <t xml:space="preserve">Ширина отсыпки ПГС под лентой</t>
  </si>
  <si>
    <t xml:space="preserve">Тип бетона для фундамента</t>
  </si>
  <si>
    <t xml:space="preserve">Доска для опалубки</t>
  </si>
  <si>
    <t xml:space="preserve">Арматура для основных нитей фундамента</t>
  </si>
  <si>
    <t xml:space="preserve">Арматура для хомутов фундамента</t>
  </si>
  <si>
    <t xml:space="preserve">шаг</t>
  </si>
  <si>
    <t xml:space="preserve">Вентиляция</t>
  </si>
  <si>
    <t xml:space="preserve">Утепление снаружи фундамента</t>
  </si>
  <si>
    <t xml:space="preserve">Сваи под ростверк</t>
  </si>
  <si>
    <t xml:space="preserve">диаметр свай</t>
  </si>
  <si>
    <t xml:space="preserve">длина свай</t>
  </si>
  <si>
    <t xml:space="preserve">Бетон для свай</t>
  </si>
  <si>
    <t xml:space="preserve">Отмостка фундамента</t>
  </si>
  <si>
    <t xml:space="preserve">Выбор</t>
  </si>
  <si>
    <t xml:space="preserve">ширина отмостки</t>
  </si>
  <si>
    <t xml:space="preserve">толщина отмостки</t>
  </si>
  <si>
    <t xml:space="preserve">Толщина отсыпки под отмостку пгс</t>
  </si>
  <si>
    <t xml:space="preserve">Ширина отсыпки под отмостку пгс</t>
  </si>
  <si>
    <t xml:space="preserve">Утепление отмостки</t>
  </si>
  <si>
    <t xml:space="preserve">Вид трубы отопления теплого пола</t>
  </si>
  <si>
    <t xml:space="preserve">Тип бетон для отмостки</t>
  </si>
  <si>
    <t xml:space="preserve">Тип коллектора</t>
  </si>
  <si>
    <t xml:space="preserve">Техника, необходимая для работ</t>
  </si>
  <si>
    <t xml:space="preserve">расходные материалы свайноростверковый фундамент</t>
  </si>
  <si>
    <t xml:space="preserve">СВАЙНОРСТВЕРКОВЫЙ ЛЕНТОЧНЫЙ ФУНДАМЕНТ</t>
  </si>
  <si>
    <t xml:space="preserve">Плита УШП, технология Дороселл</t>
  </si>
  <si>
    <t xml:space="preserve">Толщина отсыпки пгс</t>
  </si>
  <si>
    <t xml:space="preserve">Толщина отсыпки скальник</t>
  </si>
  <si>
    <t xml:space="preserve">Толщина отсыпки песок</t>
  </si>
  <si>
    <t xml:space="preserve">Выбрать утепление фундамента</t>
  </si>
  <si>
    <t xml:space="preserve">Нет утеплителя</t>
  </si>
  <si>
    <t xml:space="preserve">Толщина утепления под ребрами жест</t>
  </si>
  <si>
    <t xml:space="preserve">Толщина утепления в доме</t>
  </si>
  <si>
    <t xml:space="preserve">Толщина утепления периметр</t>
  </si>
  <si>
    <t xml:space="preserve">Тип бетона для плиты</t>
  </si>
  <si>
    <t xml:space="preserve">Ширина ребер жесткости, бетон</t>
  </si>
  <si>
    <t xml:space="preserve">Толщина ребер жесткости, бетон</t>
  </si>
  <si>
    <t xml:space="preserve">Толщина плиты в доме, бетон</t>
  </si>
  <si>
    <t xml:space="preserve">Тип арматуры для основных нитей ребер</t>
  </si>
  <si>
    <t xml:space="preserve">Тип арматуры для хомутов в ребрах жесткости</t>
  </si>
  <si>
    <t xml:space="preserve">Тип арматуры для основной сетки арматурной</t>
  </si>
  <si>
    <t xml:space="preserve">количество рядов арматурного каркаса</t>
  </si>
  <si>
    <t xml:space="preserve">Тип дренажной трубы</t>
  </si>
  <si>
    <t xml:space="preserve">Тип дренажных колодцев</t>
  </si>
  <si>
    <t xml:space="preserve">Канализация</t>
  </si>
  <si>
    <t xml:space="preserve">Ввод воды в дом</t>
  </si>
  <si>
    <t xml:space="preserve">Бетон для отмостки</t>
  </si>
  <si>
    <t xml:space="preserve">утепление</t>
  </si>
  <si>
    <t xml:space="preserve">Техника для работ</t>
  </si>
  <si>
    <t xml:space="preserve">расходные материалы плита ушп</t>
  </si>
  <si>
    <t xml:space="preserve">ПЛИТА УШП, ДОРОСЕЛЛ \ МОНОЛИТНАЯ ПЛИТА</t>
  </si>
  <si>
    <t xml:space="preserve">Цокольный этаж</t>
  </si>
  <si>
    <t xml:space="preserve">Длина Н21</t>
  </si>
  <si>
    <t xml:space="preserve">Длина Н22</t>
  </si>
  <si>
    <t xml:space="preserve">Высота Н23</t>
  </si>
  <si>
    <t xml:space="preserve">Перегородки оси X</t>
  </si>
  <si>
    <t xml:space="preserve">Перегородки оси Y</t>
  </si>
  <si>
    <t xml:space="preserve">Проемы, окна</t>
  </si>
  <si>
    <t xml:space="preserve">Х</t>
  </si>
  <si>
    <t xml:space="preserve">окна</t>
  </si>
  <si>
    <t xml:space="preserve">Двери</t>
  </si>
  <si>
    <t xml:space="preserve">Н23</t>
  </si>
  <si>
    <t xml:space="preserve">Ворота</t>
  </si>
  <si>
    <t xml:space="preserve">сейсмопояс</t>
  </si>
  <si>
    <t xml:space="preserve">Н22</t>
  </si>
  <si>
    <t xml:space="preserve">высота сейсмопояса</t>
  </si>
  <si>
    <t xml:space="preserve">Н21</t>
  </si>
  <si>
    <t xml:space="preserve">количество основных нитей арматуры</t>
  </si>
  <si>
    <t xml:space="preserve">шаг хомутов</t>
  </si>
  <si>
    <t xml:space="preserve">монолит стены</t>
  </si>
  <si>
    <t xml:space="preserve">доска для опалубки</t>
  </si>
  <si>
    <t xml:space="preserve">шаг арматурной сетки</t>
  </si>
  <si>
    <t xml:space="preserve">количество рядов арматурной сетки</t>
  </si>
  <si>
    <t xml:space="preserve">бетононасос</t>
  </si>
  <si>
    <t xml:space="preserve">лента под стены цоколя</t>
  </si>
  <si>
    <t xml:space="preserve">Высота фундамента</t>
  </si>
  <si>
    <t xml:space="preserve">Толщина доски для опалубки</t>
  </si>
  <si>
    <t xml:space="preserve">Количество прутков арматуры в ленте</t>
  </si>
  <si>
    <t xml:space="preserve">хаг хомутов арматурного каркаса</t>
  </si>
  <si>
    <t xml:space="preserve">стяжка цоколь</t>
  </si>
  <si>
    <t xml:space="preserve">Толщина плиты бетон</t>
  </si>
  <si>
    <t xml:space="preserve">Шаг сетки арматурной в плите</t>
  </si>
  <si>
    <t xml:space="preserve">количество слоев арматурной сетки</t>
  </si>
  <si>
    <t xml:space="preserve">Утепление наружних стен</t>
  </si>
  <si>
    <t xml:space="preserve">расходные материалы цокольный этаж</t>
  </si>
  <si>
    <t xml:space="preserve">ЦОКОЛЬНЫЙ ЭТАЖ</t>
  </si>
  <si>
    <t xml:space="preserve">Дома из леса</t>
  </si>
  <si>
    <t xml:space="preserve">Материал прямоугольного сечения</t>
  </si>
  <si>
    <t xml:space="preserve">А1</t>
  </si>
  <si>
    <t xml:space="preserve">A2</t>
  </si>
  <si>
    <t xml:space="preserve">Стены дома наружние</t>
  </si>
  <si>
    <t xml:space="preserve">B1</t>
  </si>
  <si>
    <t xml:space="preserve">B2</t>
  </si>
  <si>
    <t xml:space="preserve">47 ряд пер. 2-го этажа</t>
  </si>
  <si>
    <t xml:space="preserve">Перегородки несущие</t>
  </si>
  <si>
    <t xml:space="preserve">46 ряд</t>
  </si>
  <si>
    <t xml:space="preserve">45 ряд</t>
  </si>
  <si>
    <t xml:space="preserve">Перегородки простые</t>
  </si>
  <si>
    <t xml:space="preserve">44 ряд</t>
  </si>
  <si>
    <t xml:space="preserve">43 ряд</t>
  </si>
  <si>
    <t xml:space="preserve">Обвязочный брус, нижний венец</t>
  </si>
  <si>
    <t xml:space="preserve">42 ряд</t>
  </si>
  <si>
    <t xml:space="preserve">41 ряд</t>
  </si>
  <si>
    <t xml:space="preserve">40 ряд</t>
  </si>
  <si>
    <t xml:space="preserve">Материал круглого сечения</t>
  </si>
  <si>
    <t xml:space="preserve">39 ряд</t>
  </si>
  <si>
    <t xml:space="preserve">38 ряд</t>
  </si>
  <si>
    <t xml:space="preserve">37 ряд</t>
  </si>
  <si>
    <t xml:space="preserve">36 ряд</t>
  </si>
  <si>
    <t xml:space="preserve">35 ряд</t>
  </si>
  <si>
    <t xml:space="preserve">34 ряд</t>
  </si>
  <si>
    <t xml:space="preserve">33 ряд </t>
  </si>
  <si>
    <t xml:space="preserve">33 ряд</t>
  </si>
  <si>
    <t xml:space="preserve">32 ряд</t>
  </si>
  <si>
    <t xml:space="preserve">31 ряд</t>
  </si>
  <si>
    <t xml:space="preserve">31ряд</t>
  </si>
  <si>
    <t xml:space="preserve">30 ряд</t>
  </si>
  <si>
    <t xml:space="preserve">30ряд</t>
  </si>
  <si>
    <t xml:space="preserve">29 ряд</t>
  </si>
  <si>
    <t xml:space="preserve">29ряд</t>
  </si>
  <si>
    <t xml:space="preserve">В бревне выруб для кладки другого бревна</t>
  </si>
  <si>
    <t xml:space="preserve">28 ряд</t>
  </si>
  <si>
    <t xml:space="preserve">28ряд</t>
  </si>
  <si>
    <t xml:space="preserve">27 ряд</t>
  </si>
  <si>
    <t xml:space="preserve">27ряд</t>
  </si>
  <si>
    <t xml:space="preserve">Различные выпуски по длине в доме</t>
  </si>
  <si>
    <t xml:space="preserve">26 ряд</t>
  </si>
  <si>
    <t xml:space="preserve">26ряд</t>
  </si>
  <si>
    <t xml:space="preserve">Стандартные выпуски, размер</t>
  </si>
  <si>
    <t xml:space="preserve">25 ряд</t>
  </si>
  <si>
    <t xml:space="preserve">25ряд</t>
  </si>
  <si>
    <t xml:space="preserve">24 ряд пер. 1-го этажа</t>
  </si>
  <si>
    <t xml:space="preserve">24ряд перекрытие 1-го этажа</t>
  </si>
  <si>
    <t xml:space="preserve">Фронтоны выпуск</t>
  </si>
  <si>
    <t xml:space="preserve">23 ряд</t>
  </si>
  <si>
    <t xml:space="preserve">23ряд</t>
  </si>
  <si>
    <t xml:space="preserve">выпуск, ряд 33</t>
  </si>
  <si>
    <t xml:space="preserve">22 ряд</t>
  </si>
  <si>
    <t xml:space="preserve">22ряд</t>
  </si>
  <si>
    <t xml:space="preserve">выпуск, ряд 34 </t>
  </si>
  <si>
    <t xml:space="preserve">21 ряд</t>
  </si>
  <si>
    <t xml:space="preserve">21ряд</t>
  </si>
  <si>
    <t xml:space="preserve">выпуск, ряд 35</t>
  </si>
  <si>
    <t xml:space="preserve">20 ряд</t>
  </si>
  <si>
    <t xml:space="preserve">20ряд</t>
  </si>
  <si>
    <t xml:space="preserve">выпуск, ряд 36</t>
  </si>
  <si>
    <t xml:space="preserve">19 ряд</t>
  </si>
  <si>
    <t xml:space="preserve">19ряд</t>
  </si>
  <si>
    <t xml:space="preserve">нижний венец</t>
  </si>
  <si>
    <t xml:space="preserve">18 ряд</t>
  </si>
  <si>
    <t xml:space="preserve">18ряд</t>
  </si>
  <si>
    <t xml:space="preserve">17 ряд </t>
  </si>
  <si>
    <t xml:space="preserve">17ряд</t>
  </si>
  <si>
    <t xml:space="preserve">Доска для окосячки проемов наружних стен</t>
  </si>
  <si>
    <t xml:space="preserve">16 ряд</t>
  </si>
  <si>
    <t xml:space="preserve">16ряд</t>
  </si>
  <si>
    <t xml:space="preserve">15 ряд</t>
  </si>
  <si>
    <t xml:space="preserve">15ряд</t>
  </si>
  <si>
    <t xml:space="preserve">Доска для окосячки проемов перегородок несущих</t>
  </si>
  <si>
    <t xml:space="preserve">14 ряд</t>
  </si>
  <si>
    <t xml:space="preserve">14ряд</t>
  </si>
  <si>
    <t xml:space="preserve">Доска сухая, 100*50мм</t>
  </si>
  <si>
    <t xml:space="preserve">13 ряд</t>
  </si>
  <si>
    <t xml:space="preserve">13ряд</t>
  </si>
  <si>
    <t xml:space="preserve">Доска для окосячки проемов перегородок простых</t>
  </si>
  <si>
    <t xml:space="preserve">12 ряд</t>
  </si>
  <si>
    <t xml:space="preserve">12ряд</t>
  </si>
  <si>
    <t xml:space="preserve">Доска сухая калиброванная, 100*45мм</t>
  </si>
  <si>
    <t xml:space="preserve">11 ряд</t>
  </si>
  <si>
    <t xml:space="preserve">11ряд</t>
  </si>
  <si>
    <t xml:space="preserve">Брусок для окосячки проемов несущих перегородок</t>
  </si>
  <si>
    <t xml:space="preserve">10 ряд</t>
  </si>
  <si>
    <t xml:space="preserve">10ряд</t>
  </si>
  <si>
    <t xml:space="preserve">9 ряд</t>
  </si>
  <si>
    <t xml:space="preserve">9ряд</t>
  </si>
  <si>
    <t xml:space="preserve">8 ряд</t>
  </si>
  <si>
    <t xml:space="preserve">8ряд</t>
  </si>
  <si>
    <t xml:space="preserve">Джутовое волокно для кладки меж рядов</t>
  </si>
  <si>
    <t xml:space="preserve">7 ряд</t>
  </si>
  <si>
    <t xml:space="preserve">7ряд</t>
  </si>
  <si>
    <t xml:space="preserve">6 ряд</t>
  </si>
  <si>
    <t xml:space="preserve">6ряд</t>
  </si>
  <si>
    <t xml:space="preserve">5 ряд</t>
  </si>
  <si>
    <t xml:space="preserve">5ряд</t>
  </si>
  <si>
    <t xml:space="preserve">Выбрать материал для крепления стен</t>
  </si>
  <si>
    <t xml:space="preserve">4 ряд</t>
  </si>
  <si>
    <t xml:space="preserve">4ряд</t>
  </si>
  <si>
    <t xml:space="preserve">3 ряд</t>
  </si>
  <si>
    <t xml:space="preserve">3ряд</t>
  </si>
  <si>
    <t xml:space="preserve">2 ряд</t>
  </si>
  <si>
    <t xml:space="preserve">2ряд</t>
  </si>
  <si>
    <t xml:space="preserve">Не считать конопатку дома</t>
  </si>
  <si>
    <t xml:space="preserve">1 ряд лаги</t>
  </si>
  <si>
    <t xml:space="preserve">Джутовое волокно для конопатки</t>
  </si>
  <si>
    <t xml:space="preserve">А2</t>
  </si>
  <si>
    <t xml:space="preserve">Обработка огнебиозащитой</t>
  </si>
  <si>
    <t xml:space="preserve">Поставьте Расход, литр/м2</t>
  </si>
  <si>
    <t xml:space="preserve">Количество слоев обаботки</t>
  </si>
  <si>
    <t xml:space="preserve">Выбрать пропитку для внешних стен</t>
  </si>
  <si>
    <t xml:space="preserve">Количество слоев попитки</t>
  </si>
  <si>
    <t xml:space="preserve">Выбрать пропитку для внутренних стен</t>
  </si>
  <si>
    <t xml:space="preserve">Для монтажа скрытой электропроводки</t>
  </si>
  <si>
    <t xml:space="preserve">Материал для наличника окон/дверей снаружи</t>
  </si>
  <si>
    <t xml:space="preserve">Материал для наличника окон/дверей внутри</t>
  </si>
  <si>
    <t xml:space="preserve">Выбор шлифовки стен дома</t>
  </si>
  <si>
    <t xml:space="preserve">Шлифовка стен дома снаружи</t>
  </si>
  <si>
    <t xml:space="preserve">Нет шлифовки стен дома внутри</t>
  </si>
  <si>
    <t xml:space="preserve">расходные материалы дома из леса</t>
  </si>
  <si>
    <t xml:space="preserve">Командировочные расходы</t>
  </si>
  <si>
    <t xml:space="preserve">Количество человек</t>
  </si>
  <si>
    <t xml:space="preserve">Количество дней</t>
  </si>
  <si>
    <t xml:space="preserve">Стоимость, рублей в день/человек</t>
  </si>
  <si>
    <t xml:space="preserve">ДОМА ИЗ ЛЕСА</t>
  </si>
  <si>
    <t xml:space="preserve">СИП ПАНЕЛИ ДОМ</t>
  </si>
  <si>
    <t xml:space="preserve">Обвязочный брус</t>
  </si>
  <si>
    <t xml:space="preserve">Брус естественной влажности, 150*150мм</t>
  </si>
  <si>
    <t xml:space="preserve">Несущие перегородки</t>
  </si>
  <si>
    <t xml:space="preserve">Перегородки</t>
  </si>
  <si>
    <t xml:space="preserve">Панели для кровли</t>
  </si>
  <si>
    <t xml:space="preserve">Техника </t>
  </si>
  <si>
    <t xml:space="preserve">расходные материалы сип панели</t>
  </si>
  <si>
    <t xml:space="preserve">Каркасный дом</t>
  </si>
  <si>
    <t xml:space="preserve">обвязочный брус</t>
  </si>
  <si>
    <t xml:space="preserve">шаг стоек каркаса наружних стен</t>
  </si>
  <si>
    <t xml:space="preserve">шаг стоек каркаса несущих перегородок</t>
  </si>
  <si>
    <t xml:space="preserve">шаг стоек каркаса простых перегородок</t>
  </si>
  <si>
    <t xml:space="preserve">наружние стены</t>
  </si>
  <si>
    <t xml:space="preserve">Обрешетка горизонтальная снаружи здания</t>
  </si>
  <si>
    <t xml:space="preserve">несущие перегородки</t>
  </si>
  <si>
    <t xml:space="preserve">шаг обрешетки</t>
  </si>
  <si>
    <t xml:space="preserve">Обрешетка вертикальная снаружи здания</t>
  </si>
  <si>
    <t xml:space="preserve">Отделка стен снаружи здания</t>
  </si>
  <si>
    <t xml:space="preserve">Обрешетка вертикальная внутри наружние стены</t>
  </si>
  <si>
    <t xml:space="preserve">Утепление перегородок</t>
  </si>
  <si>
    <t xml:space="preserve">Отделка стен наружних внутри здания</t>
  </si>
  <si>
    <t xml:space="preserve">Потолок</t>
  </si>
  <si>
    <t xml:space="preserve">Половое покрытие</t>
  </si>
  <si>
    <t xml:space="preserve">вентиляционный зазор снаружи</t>
  </si>
  <si>
    <t xml:space="preserve">ЛСТК</t>
  </si>
  <si>
    <t xml:space="preserve">технологический зазор внутри</t>
  </si>
  <si>
    <t xml:space="preserve">Обрешетка для потолка</t>
  </si>
  <si>
    <t xml:space="preserve">ветроизоляция дома наружние стены</t>
  </si>
  <si>
    <t xml:space="preserve">Профлист для чернового потолка</t>
  </si>
  <si>
    <t xml:space="preserve">Пароизоляция дома наружние стены</t>
  </si>
  <si>
    <t xml:space="preserve">расходные материалы каркасный дом</t>
  </si>
  <si>
    <t xml:space="preserve">КАРКАСНЫЙ ДОМ</t>
  </si>
  <si>
    <t xml:space="preserve">Дом из Газобетона/Пенобетона/Керамзитобетона/Кирпича</t>
  </si>
  <si>
    <t xml:space="preserve">Наружние стены Газобетон</t>
  </si>
  <si>
    <t xml:space="preserve">Газоблок D400 200х100х390 </t>
  </si>
  <si>
    <t xml:space="preserve">Несущие перегородки Газобетон</t>
  </si>
  <si>
    <t xml:space="preserve">Газоблок D500 200х100х390 </t>
  </si>
  <si>
    <t xml:space="preserve">Перегородки Газобетон</t>
  </si>
  <si>
    <t xml:space="preserve">Наружние стены Пенобетон</t>
  </si>
  <si>
    <t xml:space="preserve">Керамзитобетонный блок - 390х190х188</t>
  </si>
  <si>
    <t xml:space="preserve">Несущие перегородки Пенобетон</t>
  </si>
  <si>
    <t xml:space="preserve">Перегородки Пенобетон</t>
  </si>
  <si>
    <t xml:space="preserve">Керамзитобетонный блок - 390х90х188</t>
  </si>
  <si>
    <t xml:space="preserve">Наружние стены кирпич</t>
  </si>
  <si>
    <t xml:space="preserve">Ширина стен</t>
  </si>
  <si>
    <t xml:space="preserve">Несущие перегородки кирпич</t>
  </si>
  <si>
    <t xml:space="preserve">Перегородки Кирпич</t>
  </si>
  <si>
    <t xml:space="preserve">Раствор для кладки</t>
  </si>
  <si>
    <t xml:space="preserve">Армирование наружних стен</t>
  </si>
  <si>
    <t xml:space="preserve">Арматура М6 каждый 3-й ряд, 2 нити</t>
  </si>
  <si>
    <t xml:space="preserve">Армирование перегородок</t>
  </si>
  <si>
    <t xml:space="preserve">Сейсмопояс Арматура М10 4 нити</t>
  </si>
  <si>
    <t xml:space="preserve">Хомут для сейсмопояса</t>
  </si>
  <si>
    <t xml:space="preserve">Хомут для сейсмопояса Арматура М6, шаг 400мм</t>
  </si>
  <si>
    <t xml:space="preserve">Ветроизоляция дома наружние стены</t>
  </si>
  <si>
    <t xml:space="preserve">расходные материалы каменные дома</t>
  </si>
  <si>
    <t xml:space="preserve">ДОМ ИЗ ГАЗОБЕТОН/ПЕНОБЕТОН/КИРПИЧ</t>
  </si>
  <si>
    <t xml:space="preserve">Лестница </t>
  </si>
  <si>
    <t xml:space="preserve">Параметры бетонной лестницы</t>
  </si>
  <si>
    <t xml:space="preserve">Высота лестницы</t>
  </si>
  <si>
    <t xml:space="preserve">мм</t>
  </si>
  <si>
    <t xml:space="preserve">Длина лестницы</t>
  </si>
  <si>
    <t xml:space="preserve">Ширина лестницы</t>
  </si>
  <si>
    <t xml:space="preserve">Длина площадки</t>
  </si>
  <si>
    <t xml:space="preserve">Толщина площадки</t>
  </si>
  <si>
    <t xml:space="preserve">Дополнительная толщина</t>
  </si>
  <si>
    <t xml:space="preserve">Доп. Расходы</t>
  </si>
  <si>
    <t xml:space="preserve">руб.</t>
  </si>
  <si>
    <t xml:space="preserve">Доска 50/150</t>
  </si>
  <si>
    <t xml:space="preserve">Штук арматуры на ступень</t>
  </si>
  <si>
    <t xml:space="preserve">Готовая лестница</t>
  </si>
  <si>
    <t xml:space="preserve">готовая лестница</t>
  </si>
  <si>
    <t xml:space="preserve">количество маршей</t>
  </si>
  <si>
    <t xml:space="preserve">Деревянная лстница</t>
  </si>
  <si>
    <t xml:space="preserve">количество ступеней</t>
  </si>
  <si>
    <t xml:space="preserve">расходные материалы лестница</t>
  </si>
  <si>
    <t xml:space="preserve">ЛЕСТНИЦА </t>
  </si>
  <si>
    <t xml:space="preserve">Выбрать тип материала для отделки дома</t>
  </si>
  <si>
    <t xml:space="preserve">КирпичОблицовочный</t>
  </si>
  <si>
    <t xml:space="preserve">Выбрать материал для отделки дома</t>
  </si>
  <si>
    <t xml:space="preserve">Если фасад декоративная штукатурка, выберите расход в кг/м2</t>
  </si>
  <si>
    <t xml:space="preserve">Выбрать подсистему для отделки дома</t>
  </si>
  <si>
    <t xml:space="preserve">Выбрать кронштейн для крепления подсистемы</t>
  </si>
  <si>
    <t xml:space="preserve">Для отделки планкен+камень данные</t>
  </si>
  <si>
    <t xml:space="preserve">углы дома камень, ширина от угла</t>
  </si>
  <si>
    <t xml:space="preserve">Выбрать Шифер плоский стены</t>
  </si>
  <si>
    <t xml:space="preserve">Выбрать грунтовку для поверхностей</t>
  </si>
  <si>
    <t xml:space="preserve">слои</t>
  </si>
  <si>
    <t xml:space="preserve">Выбрать пропитку для поверхностей</t>
  </si>
  <si>
    <t xml:space="preserve">Выбрать лак  поверхностей</t>
  </si>
  <si>
    <t xml:space="preserve">установка леса строительные</t>
  </si>
  <si>
    <t xml:space="preserve">отделка цоколя</t>
  </si>
  <si>
    <t xml:space="preserve">Выбрать материал для отделки цоколя</t>
  </si>
  <si>
    <t xml:space="preserve">Выбрать подсистему для отделки цоколя</t>
  </si>
  <si>
    <t xml:space="preserve">высота цоколя над грунтом</t>
  </si>
  <si>
    <t xml:space="preserve">подшивка карнизных свесов</t>
  </si>
  <si>
    <t xml:space="preserve">Выбрать материал для отделки карнизов</t>
  </si>
  <si>
    <t xml:space="preserve">Планкен</t>
  </si>
  <si>
    <t xml:space="preserve">Материал для подсистемы</t>
  </si>
  <si>
    <t xml:space="preserve">расходные материалы отделка внешняя</t>
  </si>
  <si>
    <t xml:space="preserve">ОТДЕЛКА ВНЕШНЯЯ</t>
  </si>
  <si>
    <t xml:space="preserve">Чистовая отделка помещений</t>
  </si>
  <si>
    <t xml:space="preserve">отделка дома</t>
  </si>
  <si>
    <t xml:space="preserve">гкл, 12мм</t>
  </si>
  <si>
    <t xml:space="preserve">Нет подсистемы</t>
  </si>
  <si>
    <t xml:space="preserve">шпаклевка </t>
  </si>
  <si>
    <t xml:space="preserve">покраска</t>
  </si>
  <si>
    <t xml:space="preserve">Нет покрытия</t>
  </si>
  <si>
    <t xml:space="preserve">гкл, 9мм</t>
  </si>
  <si>
    <t xml:space="preserve">багет потолочный</t>
  </si>
  <si>
    <t xml:space="preserve">Ламинат</t>
  </si>
  <si>
    <t xml:space="preserve">кафель на определенной площади</t>
  </si>
  <si>
    <t xml:space="preserve">плинтус напольный</t>
  </si>
  <si>
    <t xml:space="preserve">стены ванная</t>
  </si>
  <si>
    <t xml:space="preserve">пол ванная</t>
  </si>
  <si>
    <t xml:space="preserve">потолок ванная</t>
  </si>
  <si>
    <t xml:space="preserve">Кафель стены</t>
  </si>
  <si>
    <t xml:space="preserve">Кафель потолок</t>
  </si>
  <si>
    <t xml:space="preserve">Кафель пол</t>
  </si>
  <si>
    <t xml:space="preserve">двери  </t>
  </si>
  <si>
    <t xml:space="preserve">наличник на двери</t>
  </si>
  <si>
    <t xml:space="preserve">коробка дверная</t>
  </si>
  <si>
    <t xml:space="preserve">порог металлический</t>
  </si>
  <si>
    <t xml:space="preserve">отбойник дверной</t>
  </si>
  <si>
    <t xml:space="preserve">расходные материалы чистовая отделка</t>
  </si>
  <si>
    <t xml:space="preserve">ОТДЕЛКА ВНУТРЕННЯЯ</t>
  </si>
  <si>
    <t xml:space="preserve">Вид монтажа электики</t>
  </si>
  <si>
    <t xml:space="preserve">Открытый монтаж проводки</t>
  </si>
  <si>
    <t xml:space="preserve">Кабель для розеток</t>
  </si>
  <si>
    <t xml:space="preserve">Гофра. Кабель для монтажа розеток</t>
  </si>
  <si>
    <t xml:space="preserve">Кабель для освещения</t>
  </si>
  <si>
    <t xml:space="preserve">Гофра. Кабель для монтажа освещения</t>
  </si>
  <si>
    <t xml:space="preserve">Кабель для плиты</t>
  </si>
  <si>
    <t xml:space="preserve">Гофра. Кабель для монтажа плиты</t>
  </si>
  <si>
    <t xml:space="preserve">щиток на вводе в дом</t>
  </si>
  <si>
    <t xml:space="preserve">Выбрать тип розеток</t>
  </si>
  <si>
    <t xml:space="preserve">Выбрать тип выключателей</t>
  </si>
  <si>
    <t xml:space="preserve">расходные материалы для электрики</t>
  </si>
  <si>
    <t xml:space="preserve">ЭЛЕКТРИКА</t>
  </si>
  <si>
    <t xml:space="preserve">Отопление радиаторное, х/г водоснабжение</t>
  </si>
  <si>
    <t xml:space="preserve">Выбрать систему отопления в доме</t>
  </si>
  <si>
    <t xml:space="preserve">система отопления двутрубная</t>
  </si>
  <si>
    <t xml:space="preserve">Количество радиаторов</t>
  </si>
  <si>
    <t xml:space="preserve">расходные материалы для отопления</t>
  </si>
  <si>
    <t xml:space="preserve">ОТОПЛЕНИЕ, Х/Г ВОДОСНАБЖЕНИЕ</t>
  </si>
  <si>
    <t xml:space="preserve">бурение скважины</t>
  </si>
  <si>
    <t xml:space="preserve">обустройство скважины</t>
  </si>
  <si>
    <t xml:space="preserve">глубина скважины</t>
  </si>
  <si>
    <t xml:space="preserve">расходные материалы скважина</t>
  </si>
  <si>
    <t xml:space="preserve">СКВАЖИНА</t>
  </si>
  <si>
    <t xml:space="preserve">Септик основной</t>
  </si>
  <si>
    <t xml:space="preserve">Нет люка для крышки</t>
  </si>
  <si>
    <t xml:space="preserve">Горловина для септика</t>
  </si>
  <si>
    <t xml:space="preserve">Септик второй</t>
  </si>
  <si>
    <t xml:space="preserve">бетонирование</t>
  </si>
  <si>
    <t xml:space="preserve">канализационная труба</t>
  </si>
  <si>
    <t xml:space="preserve">утепление для канашизационной трубы</t>
  </si>
  <si>
    <t xml:space="preserve">расходные материалы для септика</t>
  </si>
  <si>
    <t xml:space="preserve">СЕПТИК УТЕПЛЕННОЙ КАНАЛИЗАЦИЕЙ</t>
  </si>
  <si>
    <t xml:space="preserve">котел отопления</t>
  </si>
  <si>
    <t xml:space="preserve">расходные материалы котельная</t>
  </si>
  <si>
    <t xml:space="preserve">КОТЕЛЬНАЯ</t>
  </si>
  <si>
    <t xml:space="preserve">Необходимая длина забора в метрах</t>
  </si>
  <si>
    <t xml:space="preserve">Обработка столбов и лаг</t>
  </si>
  <si>
    <t xml:space="preserve">Количество горизонталей (лаг)</t>
  </si>
  <si>
    <t xml:space="preserve">2, Лаги проф. труба 40х20 мм (в 2 ряда)</t>
  </si>
  <si>
    <t xml:space="preserve">Столб проф. труба 60х60 мм h=3200 мм</t>
  </si>
  <si>
    <t xml:space="preserve">Шаг столбов, м</t>
  </si>
  <si>
    <t xml:space="preserve">Утрамбовка столбов гравием</t>
  </si>
  <si>
    <t xml:space="preserve">да</t>
  </si>
  <si>
    <t xml:space="preserve">да </t>
  </si>
  <si>
    <t xml:space="preserve">Распашные ворота, шт</t>
  </si>
  <si>
    <t xml:space="preserve">Ширина ворот, м</t>
  </si>
  <si>
    <t xml:space="preserve">Откатные ворота, шт</t>
  </si>
  <si>
    <t xml:space="preserve">Калитки шт</t>
  </si>
  <si>
    <t xml:space="preserve">Дополнительные элементы, руб</t>
  </si>
  <si>
    <t xml:space="preserve">Дополнительные материалы, руб</t>
  </si>
  <si>
    <t xml:space="preserve">кол -во</t>
  </si>
  <si>
    <t xml:space="preserve">по высотам</t>
  </si>
  <si>
    <t xml:space="preserve">Пристройка</t>
  </si>
  <si>
    <t xml:space="preserve">Считать пристройку</t>
  </si>
  <si>
    <t xml:space="preserve">по размерам</t>
  </si>
  <si>
    <t xml:space="preserve">в 1 этаж</t>
  </si>
  <si>
    <t xml:space="preserve">S, м2</t>
  </si>
  <si>
    <t xml:space="preserve">выпуск 1</t>
  </si>
  <si>
    <t xml:space="preserve">выпуск 2</t>
  </si>
  <si>
    <t xml:space="preserve">для фронтона 1 этажа</t>
  </si>
  <si>
    <t xml:space="preserve">в 2 этажа</t>
  </si>
  <si>
    <t xml:space="preserve">Перегородки оси X 1 эт</t>
  </si>
  <si>
    <t xml:space="preserve">выбор кровли</t>
  </si>
  <si>
    <t xml:space="preserve">высота 1 этажа</t>
  </si>
  <si>
    <t xml:space="preserve">Перегородки оси Y 1 эт</t>
  </si>
  <si>
    <t xml:space="preserve">перекрытие 1 эт.</t>
  </si>
  <si>
    <t xml:space="preserve">перекрытие 2 эт.</t>
  </si>
  <si>
    <t xml:space="preserve">перегородки ось Х 2 эт</t>
  </si>
  <si>
    <t xml:space="preserve">пол первого этажа</t>
  </si>
  <si>
    <t xml:space="preserve">пол второго этажа</t>
  </si>
  <si>
    <t xml:space="preserve">потолок первого этажа</t>
  </si>
  <si>
    <t xml:space="preserve">потолок второго этажа</t>
  </si>
  <si>
    <t xml:space="preserve">перекрытие 0 эт периметр</t>
  </si>
  <si>
    <t xml:space="preserve">перекрыти 1 эт периметр</t>
  </si>
  <si>
    <t xml:space="preserve">перекрытие 2 эт. Периметр</t>
  </si>
  <si>
    <t xml:space="preserve">вар 1</t>
  </si>
  <si>
    <t xml:space="preserve">вар 2</t>
  </si>
  <si>
    <t xml:space="preserve">вар3</t>
  </si>
  <si>
    <t xml:space="preserve">вар4</t>
  </si>
  <si>
    <t xml:space="preserve">низ ската низ</t>
  </si>
  <si>
    <t xml:space="preserve">периметр</t>
  </si>
  <si>
    <t xml:space="preserve">Ширина Н2</t>
  </si>
  <si>
    <t xml:space="preserve">2эт</t>
  </si>
  <si>
    <t xml:space="preserve">Высота первого эт</t>
  </si>
  <si>
    <t xml:space="preserve">Аттиковая стена, мансарда, 1-го этажа</t>
  </si>
  <si>
    <t xml:space="preserve">Высота второго эт</t>
  </si>
  <si>
    <t xml:space="preserve">Итого,</t>
  </si>
  <si>
    <t xml:space="preserve">Высота от перекрытий 1 эт до конька</t>
  </si>
  <si>
    <t xml:space="preserve">ширин</t>
  </si>
  <si>
    <t xml:space="preserve">высот</t>
  </si>
  <si>
    <t xml:space="preserve">аттиковая стена второго этажа</t>
  </si>
  <si>
    <t xml:space="preserve">катет уклона кровли вертик</t>
  </si>
  <si>
    <t xml:space="preserve">катет для двускатной кр горизонт</t>
  </si>
  <si>
    <t xml:space="preserve">внешние углы 1 эт</t>
  </si>
  <si>
    <t xml:space="preserve">внешние углы 2 жт</t>
  </si>
  <si>
    <t xml:space="preserve">внутренние углы 1 эт</t>
  </si>
  <si>
    <t xml:space="preserve">Внутренние углы 12 эт</t>
  </si>
  <si>
    <t xml:space="preserve">винтовые сваи длина</t>
  </si>
  <si>
    <t xml:space="preserve">винтовые сваи ширина</t>
  </si>
  <si>
    <t xml:space="preserve">итого</t>
  </si>
  <si>
    <t xml:space="preserve">Кровля на пристройку</t>
  </si>
  <si>
    <t xml:space="preserve">Двери межкомнатные</t>
  </si>
  <si>
    <t xml:space="preserve">длина ската с выпуском</t>
  </si>
  <si>
    <t xml:space="preserve">длина выпуска по скату 1</t>
  </si>
  <si>
    <t xml:space="preserve">длина выпуска по скату 2</t>
  </si>
  <si>
    <t xml:space="preserve">выпуск по фронтону двускатн/вальмов</t>
  </si>
  <si>
    <t xml:space="preserve">выпуск по фронтну 2 односкатная кровля</t>
  </si>
  <si>
    <t xml:space="preserve">Итого, площадь проемов, м2</t>
  </si>
  <si>
    <t xml:space="preserve">длина ската без выпуска</t>
  </si>
  <si>
    <t xml:space="preserve">длина конька вальмовой кровли</t>
  </si>
  <si>
    <t xml:space="preserve">длина ската по длине дома</t>
  </si>
  <si>
    <t xml:space="preserve">длина наклонной грани кровли вальмовой 1</t>
  </si>
  <si>
    <t xml:space="preserve">длина наклонной грани кровли вальмовой 2</t>
  </si>
  <si>
    <t xml:space="preserve">расст от края кровли по длине до конька</t>
  </si>
  <si>
    <t xml:space="preserve">S левого ската</t>
  </si>
  <si>
    <t xml:space="preserve">S правого ската</t>
  </si>
  <si>
    <t xml:space="preserve">S переднего ската</t>
  </si>
  <si>
    <t xml:space="preserve">S, кровли над пристройкой</t>
  </si>
  <si>
    <t xml:space="preserve">S, кровли общая</t>
  </si>
  <si>
    <t xml:space="preserve">Длина выпуска по скату односкатной</t>
  </si>
  <si>
    <t xml:space="preserve">длина ската односкатной кровли</t>
  </si>
  <si>
    <t xml:space="preserve">1 эт</t>
  </si>
  <si>
    <t xml:space="preserve">Длина выпуска двускатн кр 1 скат</t>
  </si>
  <si>
    <t xml:space="preserve">Длина выпуска двускатн кр 2 скат</t>
  </si>
  <si>
    <t xml:space="preserve">длина ската двускатной кровли 1</t>
  </si>
  <si>
    <t xml:space="preserve">длина ската двускатной кровли 2</t>
  </si>
  <si>
    <t xml:space="preserve">Длина ската по карнизу 1</t>
  </si>
  <si>
    <t xml:space="preserve">Длина ската по карнизу 2</t>
  </si>
  <si>
    <t xml:space="preserve">Длина ската по фронтону</t>
  </si>
  <si>
    <t xml:space="preserve">длина кровли/конек</t>
  </si>
  <si>
    <t xml:space="preserve">2 эт</t>
  </si>
  <si>
    <t xml:space="preserve">S кровли</t>
  </si>
  <si>
    <t xml:space="preserve">S выпусков</t>
  </si>
  <si>
    <t xml:space="preserve">подшивка свесов</t>
  </si>
  <si>
    <t xml:space="preserve">материал для кровли</t>
  </si>
  <si>
    <t xml:space="preserve">общая S</t>
  </si>
  <si>
    <t xml:space="preserve">Считать стропило</t>
  </si>
  <si>
    <t xml:space="preserve">пл вн стен</t>
  </si>
  <si>
    <t xml:space="preserve">нар</t>
  </si>
  <si>
    <t xml:space="preserve">s стен чист</t>
  </si>
  <si>
    <t xml:space="preserve">утепление кровли</t>
  </si>
  <si>
    <t xml:space="preserve">s перегор</t>
  </si>
  <si>
    <t xml:space="preserve">S перег чис</t>
  </si>
  <si>
    <t xml:space="preserve">Фундамент </t>
  </si>
  <si>
    <t xml:space="preserve">s стен вн чист</t>
  </si>
  <si>
    <t xml:space="preserve">S стен отнять</t>
  </si>
  <si>
    <t xml:space="preserve">S общая пола</t>
  </si>
  <si>
    <t xml:space="preserve">S фронтона 1этаж</t>
  </si>
  <si>
    <t xml:space="preserve">вар1</t>
  </si>
  <si>
    <t xml:space="preserve">вар2</t>
  </si>
  <si>
    <t xml:space="preserve">S фронтона 2этаж</t>
  </si>
  <si>
    <t xml:space="preserve">S стен первого этажа</t>
  </si>
  <si>
    <t xml:space="preserve">S стен второго этажа</t>
  </si>
  <si>
    <t xml:space="preserve">S перекрытий 0 этаж</t>
  </si>
  <si>
    <t xml:space="preserve">S перекрытий 1 этаж</t>
  </si>
  <si>
    <t xml:space="preserve">S перекрытий 2 этаж</t>
  </si>
  <si>
    <t xml:space="preserve">S наружних стен чистая</t>
  </si>
  <si>
    <t xml:space="preserve">S внутренних стен 1 этажа</t>
  </si>
  <si>
    <t xml:space="preserve">S внутренних стен 2 этажа</t>
  </si>
  <si>
    <t xml:space="preserve">S стен дома которые надо отнять 1эт</t>
  </si>
  <si>
    <t xml:space="preserve">S стен дома которые надо отнять 2эт</t>
  </si>
  <si>
    <t xml:space="preserve">длина ската 1</t>
  </si>
  <si>
    <t xml:space="preserve">Длина ската 2</t>
  </si>
  <si>
    <t xml:space="preserve">угол наклона кровли, радиан</t>
  </si>
  <si>
    <t xml:space="preserve">угол наклона кровли, градусы</t>
  </si>
  <si>
    <t xml:space="preserve">высота от перекрытия до конька</t>
  </si>
  <si>
    <t xml:space="preserve">Длина кровли от перекрытия до конька</t>
  </si>
  <si>
    <t xml:space="preserve">Длина наклонной кровли от аттик ст</t>
  </si>
  <si>
    <t xml:space="preserve">S наклонной кровли </t>
  </si>
  <si>
    <t xml:space="preserve">S перекрытия 2 этажа</t>
  </si>
  <si>
    <t xml:space="preserve">S наклонной кровли, потолок</t>
  </si>
  <si>
    <t xml:space="preserve">S наклонной кровли, потолок второй</t>
  </si>
  <si>
    <t xml:space="preserve">выпуск основной кровли фронтон1</t>
  </si>
  <si>
    <t xml:space="preserve">выпуск основной кровли фронтон2</t>
  </si>
  <si>
    <t xml:space="preserve">выпуск основной кровли карниз1</t>
  </si>
  <si>
    <t xml:space="preserve">выпуск основной кровли карниз2</t>
  </si>
  <si>
    <t xml:space="preserve">длина ската карниз</t>
  </si>
  <si>
    <t xml:space="preserve">длина ската нижнего</t>
  </si>
  <si>
    <t xml:space="preserve">Аттиковая стена, мансардный 1 этаж</t>
  </si>
  <si>
    <t xml:space="preserve">угол двускат кровли карниз, рад.1</t>
  </si>
  <si>
    <t xml:space="preserve">угол двускат кровли карниз, рад.2</t>
  </si>
  <si>
    <t xml:space="preserve">угол вальмовой кровли карниз</t>
  </si>
  <si>
    <t xml:space="preserve">Угол вальмовой кровли фронтон</t>
  </si>
  <si>
    <t xml:space="preserve">угол вальмовой лом кров кар, рад1</t>
  </si>
  <si>
    <t xml:space="preserve">угол вальмовой лом кров кар, рад2</t>
  </si>
  <si>
    <t xml:space="preserve">угол вальмовой лом кров фрон, рад2</t>
  </si>
  <si>
    <t xml:space="preserve">если дом в 1 этаж</t>
  </si>
  <si>
    <t xml:space="preserve">РАЗМЕР ВЫСТУПА СТЕН</t>
  </si>
  <si>
    <t xml:space="preserve">Пристройка к фр-ну, s кровли</t>
  </si>
  <si>
    <t xml:space="preserve">Пристройка к фр-ну, слияние с бок стеной</t>
  </si>
  <si>
    <t xml:space="preserve">Пристройка к боку дома, слияние с фронтоном</t>
  </si>
  <si>
    <t xml:space="preserve">Итого площадь кровли</t>
  </si>
  <si>
    <t xml:space="preserve">S СТЕН ДОПОЛНИТЕЛЬНАЯ</t>
  </si>
  <si>
    <t xml:space="preserve">выбор этажей основного дома</t>
  </si>
  <si>
    <t xml:space="preserve">выбор этажей пристройки</t>
  </si>
  <si>
    <t xml:space="preserve">количество пристроек</t>
  </si>
  <si>
    <t xml:space="preserve">выбор пристройки</t>
  </si>
  <si>
    <t xml:space="preserve">делать или нет доп кровлю на пристр</t>
  </si>
  <si>
    <t xml:space="preserve">высота пристройки</t>
  </si>
  <si>
    <t xml:space="preserve">высота до аттиковой стены дома</t>
  </si>
  <si>
    <t xml:space="preserve">дополнительная кровля на пристр</t>
  </si>
  <si>
    <t xml:space="preserve">ДВУСКАТ КР Пристр к боку дома</t>
  </si>
  <si>
    <t xml:space="preserve">двускатн кр длина скат к карнизу дома </t>
  </si>
  <si>
    <t xml:space="preserve">длина ската 1 пристройки</t>
  </si>
  <si>
    <t xml:space="preserve">длина ската 2 пристройки</t>
  </si>
  <si>
    <t xml:space="preserve">катет</t>
  </si>
  <si>
    <t xml:space="preserve">длина ската на основн кровл где пристр</t>
  </si>
  <si>
    <t xml:space="preserve">ендова наружняя на основной кровле</t>
  </si>
  <si>
    <t xml:space="preserve">s отнять на основной кровле</t>
  </si>
  <si>
    <t xml:space="preserve">конек на пристройке дополнит</t>
  </si>
  <si>
    <t xml:space="preserve">S кровли на пристройке дополнит</t>
  </si>
  <si>
    <t xml:space="preserve">кровля односкатная на пристройке №1</t>
  </si>
  <si>
    <t xml:space="preserve">кровля двускатная на пристройке №1</t>
  </si>
  <si>
    <t xml:space="preserve">мауэрлат</t>
  </si>
  <si>
    <t xml:space="preserve">Нет кровли на пристройке</t>
  </si>
  <si>
    <t xml:space="preserve">Вальмовая кровля</t>
  </si>
  <si>
    <t xml:space="preserve">Слияние с боковой стеной дома</t>
  </si>
  <si>
    <t xml:space="preserve">Выходит за размер боковой стены дома</t>
  </si>
  <si>
    <t xml:space="preserve">Слияние с передней стеной дома</t>
  </si>
  <si>
    <t xml:space="preserve">Выходит за рамер передней стены дома</t>
  </si>
  <si>
    <t xml:space="preserve">S дополнительной кровли</t>
  </si>
  <si>
    <t xml:space="preserve">S кровли отнять от основной </t>
  </si>
  <si>
    <t xml:space="preserve">стропило на пристройку</t>
  </si>
  <si>
    <t xml:space="preserve">обвязка по дому</t>
  </si>
  <si>
    <t xml:space="preserve">капельник конденсата</t>
  </si>
  <si>
    <t xml:space="preserve">ендова нижняя</t>
  </si>
  <si>
    <t xml:space="preserve">ендова верхняя</t>
  </si>
  <si>
    <t xml:space="preserve">карназная планка</t>
  </si>
  <si>
    <t xml:space="preserve">Материалы</t>
  </si>
  <si>
    <t xml:space="preserve">цена 1</t>
  </si>
  <si>
    <t xml:space="preserve">общ цена</t>
  </si>
  <si>
    <t xml:space="preserve">бугель, доска </t>
  </si>
  <si>
    <t xml:space="preserve">металлочерепица</t>
  </si>
  <si>
    <t xml:space="preserve">ондулин</t>
  </si>
  <si>
    <t xml:space="preserve">итого, материалы кровли</t>
  </si>
  <si>
    <t xml:space="preserve">итого, работа кровли</t>
  </si>
  <si>
    <t xml:space="preserve">итого, рублей</t>
  </si>
  <si>
    <t xml:space="preserve">конек </t>
  </si>
  <si>
    <t xml:space="preserve">скат пристройки</t>
  </si>
  <si>
    <t xml:space="preserve">доп кровля</t>
  </si>
  <si>
    <t xml:space="preserve">площадь кровли на основной кровле</t>
  </si>
  <si>
    <t xml:space="preserve">длина ската на основной кровле</t>
  </si>
  <si>
    <t xml:space="preserve">Сделать расчет по высотам</t>
  </si>
  <si>
    <t xml:space="preserve">Данные для расчета сметы</t>
  </si>
  <si>
    <t xml:space="preserve">расчет</t>
  </si>
  <si>
    <t xml:space="preserve">Считать по эскизу и размерам</t>
  </si>
  <si>
    <t xml:space="preserve">Высота 1</t>
  </si>
  <si>
    <t xml:space="preserve">Длина дома, N</t>
  </si>
  <si>
    <t xml:space="preserve">Считать по проекту</t>
  </si>
  <si>
    <t xml:space="preserve">Высота 2</t>
  </si>
  <si>
    <t xml:space="preserve">S дома</t>
  </si>
  <si>
    <t xml:space="preserve">длина дома В</t>
  </si>
  <si>
    <t xml:space="preserve">Ширина дома, K</t>
  </si>
  <si>
    <t xml:space="preserve">Высота 3</t>
  </si>
  <si>
    <t xml:space="preserve">ширина дома, А</t>
  </si>
  <si>
    <t xml:space="preserve">покрытие кровли</t>
  </si>
  <si>
    <t xml:space="preserve">Высота 4</t>
  </si>
  <si>
    <t xml:space="preserve">высота от перекрытия до конька, Е</t>
  </si>
  <si>
    <t xml:space="preserve">Высота 5</t>
  </si>
  <si>
    <t xml:space="preserve">высота второго этажа</t>
  </si>
  <si>
    <t xml:space="preserve">длина скат 90 град от конька, H</t>
  </si>
  <si>
    <t xml:space="preserve">Высота 6</t>
  </si>
  <si>
    <t xml:space="preserve">высота от аттик стены до перекр </t>
  </si>
  <si>
    <t xml:space="preserve">длина скат по коньку, G</t>
  </si>
  <si>
    <t xml:space="preserve">высота от аттиковой до конька, Е</t>
  </si>
  <si>
    <t xml:space="preserve">Ендова верхняя, F</t>
  </si>
  <si>
    <t xml:space="preserve">Покрытие без стропил</t>
  </si>
  <si>
    <t xml:space="preserve">верх низа ската</t>
  </si>
  <si>
    <t xml:space="preserve">Длина ската, F1</t>
  </si>
  <si>
    <t xml:space="preserve">длина конька, О</t>
  </si>
  <si>
    <t xml:space="preserve">конек кровли, О</t>
  </si>
  <si>
    <t xml:space="preserve">верх конька</t>
  </si>
  <si>
    <t xml:space="preserve">Фундамент под дом</t>
  </si>
  <si>
    <t xml:space="preserve">Длина ската по карнизу, F</t>
  </si>
  <si>
    <t xml:space="preserve">S выпусков, подшивка</t>
  </si>
  <si>
    <t xml:space="preserve">угол наклона кровли</t>
  </si>
  <si>
    <t xml:space="preserve">Длина конька с выпускам, O</t>
  </si>
  <si>
    <t xml:space="preserve">S кровли общая</t>
  </si>
  <si>
    <t xml:space="preserve">по выс.</t>
  </si>
  <si>
    <t xml:space="preserve">левая</t>
  </si>
  <si>
    <t xml:space="preserve">правая</t>
  </si>
  <si>
    <t xml:space="preserve">S кровли без выпусков</t>
  </si>
  <si>
    <t xml:space="preserve">S материала для кровли</t>
  </si>
  <si>
    <t xml:space="preserve">лев ст</t>
  </si>
  <si>
    <t xml:space="preserve">прав ст</t>
  </si>
  <si>
    <t xml:space="preserve">S пер ст</t>
  </si>
  <si>
    <t xml:space="preserve">S зад ст</t>
  </si>
  <si>
    <t xml:space="preserve">этажность дома дома</t>
  </si>
  <si>
    <t xml:space="preserve">S фронтона</t>
  </si>
  <si>
    <t xml:space="preserve">S кровли с выпусками</t>
  </si>
  <si>
    <t xml:space="preserve">длина дома, В</t>
  </si>
  <si>
    <t xml:space="preserve">высота 1-го этажа, С</t>
  </si>
  <si>
    <t xml:space="preserve">S стен 1 эт</t>
  </si>
  <si>
    <t xml:space="preserve">S стен 2 эт</t>
  </si>
  <si>
    <t xml:space="preserve">разница </t>
  </si>
  <si>
    <t xml:space="preserve">№ элемента</t>
  </si>
  <si>
    <t xml:space="preserve">высота 2-го этажа</t>
  </si>
  <si>
    <t xml:space="preserve">H бок стены</t>
  </si>
  <si>
    <t xml:space="preserve">Высота от перекрытя 1-го эт. до конька</t>
  </si>
  <si>
    <t xml:space="preserve">разница  бок стен</t>
  </si>
  <si>
    <t xml:space="preserve">длина ската, H</t>
  </si>
  <si>
    <t xml:space="preserve">аттиковая стена, D</t>
  </si>
  <si>
    <t xml:space="preserve">H от п0 эт до кон</t>
  </si>
  <si>
    <t xml:space="preserve">Длина конька</t>
  </si>
  <si>
    <t xml:space="preserve">высота от аттиковой стены до перекрытий</t>
  </si>
  <si>
    <t xml:space="preserve">H от п1 эт до кон</t>
  </si>
  <si>
    <t xml:space="preserve">Ендова внутр, R</t>
  </si>
  <si>
    <t xml:space="preserve">высота от конька до перекрытий</t>
  </si>
  <si>
    <t xml:space="preserve">перекр</t>
  </si>
  <si>
    <t xml:space="preserve">армат</t>
  </si>
  <si>
    <t xml:space="preserve">H до конька</t>
  </si>
  <si>
    <t xml:space="preserve">Длина капельника</t>
  </si>
  <si>
    <t xml:space="preserve">кол блок</t>
  </si>
  <si>
    <t xml:space="preserve">округ</t>
  </si>
  <si>
    <t xml:space="preserve">углов</t>
  </si>
  <si>
    <t xml:space="preserve">кол</t>
  </si>
  <si>
    <t xml:space="preserve">длина углов</t>
  </si>
  <si>
    <t xml:space="preserve">разница</t>
  </si>
  <si>
    <t xml:space="preserve">доборка</t>
  </si>
  <si>
    <t xml:space="preserve">ряда доб</t>
  </si>
  <si>
    <t xml:space="preserve">P перекр</t>
  </si>
  <si>
    <t xml:space="preserve">перим</t>
  </si>
  <si>
    <t xml:space="preserve">H ,блока</t>
  </si>
  <si>
    <t xml:space="preserve">кол ряд</t>
  </si>
  <si>
    <t xml:space="preserve">арматура</t>
  </si>
  <si>
    <t xml:space="preserve">Длина от конька до высот бок стены</t>
  </si>
  <si>
    <t xml:space="preserve">Длина ендовы по дому</t>
  </si>
  <si>
    <t xml:space="preserve">высота углов дома внешних 1 эт</t>
  </si>
  <si>
    <t xml:space="preserve">длина ската</t>
  </si>
  <si>
    <t xml:space="preserve">высота углов дома внешних 2 эт</t>
  </si>
  <si>
    <t xml:space="preserve">высота стен всех углов дома внутренних</t>
  </si>
  <si>
    <t xml:space="preserve">угол, радиан</t>
  </si>
  <si>
    <t xml:space="preserve">S материала кровли</t>
  </si>
  <si>
    <t xml:space="preserve">высота углов пристроек внешних 1 эт</t>
  </si>
  <si>
    <t xml:space="preserve">угол, град</t>
  </si>
  <si>
    <t xml:space="preserve">S стен дома</t>
  </si>
  <si>
    <t xml:space="preserve">высота углов пристроек внешних 2 эт</t>
  </si>
  <si>
    <t xml:space="preserve">S на основной кровле</t>
  </si>
  <si>
    <t xml:space="preserve">высота углов пристроек внутренних 1 эт</t>
  </si>
  <si>
    <t xml:space="preserve"> Н разн боковых стен 1 эт</t>
  </si>
  <si>
    <t xml:space="preserve">высота углов пристроек внутренних 2 эт</t>
  </si>
  <si>
    <t xml:space="preserve">высота углов эркера внешних 1 эт</t>
  </si>
  <si>
    <t xml:space="preserve">разн боковых стен 2 эт</t>
  </si>
  <si>
    <t xml:space="preserve">высота углов эркера внешних 2 эт</t>
  </si>
  <si>
    <t xml:space="preserve">Длина пристройки</t>
  </si>
  <si>
    <t xml:space="preserve">высота углов эркера внутренних 1 эт</t>
  </si>
  <si>
    <t xml:space="preserve">Ширина пристройки</t>
  </si>
  <si>
    <t xml:space="preserve">высота углов эркера внутренних 2 эт</t>
  </si>
  <si>
    <t xml:space="preserve">гипотенуза 1 эт</t>
  </si>
  <si>
    <t xml:space="preserve">Фундамент</t>
  </si>
  <si>
    <t xml:space="preserve">внутренние блок</t>
  </si>
  <si>
    <t xml:space="preserve">длина ската всего</t>
  </si>
  <si>
    <t xml:space="preserve">кол-во рядов в доме</t>
  </si>
  <si>
    <t xml:space="preserve">внешние блок</t>
  </si>
  <si>
    <t xml:space="preserve">S пристройки</t>
  </si>
  <si>
    <t xml:space="preserve">количество рядов в пристройках</t>
  </si>
  <si>
    <t xml:space="preserve">Строение</t>
  </si>
  <si>
    <t xml:space="preserve">количество рядов в эркере</t>
  </si>
  <si>
    <t xml:space="preserve">дом</t>
  </si>
  <si>
    <t xml:space="preserve">пристр</t>
  </si>
  <si>
    <t xml:space="preserve">эркер</t>
  </si>
  <si>
    <t xml:space="preserve">S наружних стен</t>
  </si>
  <si>
    <t xml:space="preserve">Лаги, перекрытия</t>
  </si>
  <si>
    <t xml:space="preserve">S перек</t>
  </si>
  <si>
    <t xml:space="preserve">внеш</t>
  </si>
  <si>
    <t xml:space="preserve">внутр</t>
  </si>
  <si>
    <t xml:space="preserve">длина ската на 2 этаже</t>
  </si>
  <si>
    <t xml:space="preserve">длина на вводе</t>
  </si>
  <si>
    <t xml:space="preserve">S перегородок</t>
  </si>
  <si>
    <t xml:space="preserve">длина выпуска ската по кровле</t>
  </si>
  <si>
    <t xml:space="preserve">S внутренних стен</t>
  </si>
  <si>
    <t xml:space="preserve">длина выпусков по фронтону</t>
  </si>
  <si>
    <t xml:space="preserve">S выпусков для переруба</t>
  </si>
  <si>
    <t xml:space="preserve">выпуски по фронтону</t>
  </si>
  <si>
    <t xml:space="preserve">S,общ</t>
  </si>
  <si>
    <t xml:space="preserve">S скатов</t>
  </si>
  <si>
    <t xml:space="preserve">Окна, Вариант 1</t>
  </si>
  <si>
    <t xml:space="preserve">L от стены в дом</t>
  </si>
  <si>
    <t xml:space="preserve">S мат кр.</t>
  </si>
  <si>
    <t xml:space="preserve">Окна, Вариант 2</t>
  </si>
  <si>
    <t xml:space="preserve">внешний</t>
  </si>
  <si>
    <t xml:space="preserve">шир отступа от стены дома внутрь 2 эт</t>
  </si>
  <si>
    <t xml:space="preserve">высота от 2-го эт до верх кровли</t>
  </si>
  <si>
    <t xml:space="preserve">Окна, Вариант 3</t>
  </si>
  <si>
    <t xml:space="preserve">внутренний</t>
  </si>
  <si>
    <t xml:space="preserve">S стен 1-го этажа перед</t>
  </si>
  <si>
    <t xml:space="preserve">Окна, Вариант 4</t>
  </si>
  <si>
    <t xml:space="preserve">периметр несущих перегородок</t>
  </si>
  <si>
    <t xml:space="preserve">высота аттиковая стена</t>
  </si>
  <si>
    <t xml:space="preserve">Окна, Вариант 5</t>
  </si>
  <si>
    <t xml:space="preserve">S стен 2-го этажа перед</t>
  </si>
  <si>
    <t xml:space="preserve">Длина ската</t>
  </si>
  <si>
    <t xml:space="preserve">Окна, Вариант 6</t>
  </si>
  <si>
    <t xml:space="preserve">Длина кровли по коньку</t>
  </si>
  <si>
    <t xml:space="preserve">Окна, Вариант 7</t>
  </si>
  <si>
    <t xml:space="preserve">S передней стены</t>
  </si>
  <si>
    <t xml:space="preserve">Окна, Вариант 8</t>
  </si>
  <si>
    <t xml:space="preserve">S задней стены</t>
  </si>
  <si>
    <t xml:space="preserve">Окна, Вариант 9</t>
  </si>
  <si>
    <t xml:space="preserve">S боковой стены 1 эт</t>
  </si>
  <si>
    <t xml:space="preserve">Окна, Вариант 10</t>
  </si>
  <si>
    <t xml:space="preserve">S боковой стены 2 эт</t>
  </si>
  <si>
    <t xml:space="preserve">Дверь на балкон 1</t>
  </si>
  <si>
    <t xml:space="preserve">Дверь на балкон 2</t>
  </si>
  <si>
    <t xml:space="preserve">Французское окно 1</t>
  </si>
  <si>
    <t xml:space="preserve">Фрунцузское окно 2</t>
  </si>
  <si>
    <t xml:space="preserve">итого, м2</t>
  </si>
  <si>
    <t xml:space="preserve">S фронтона 1 эт</t>
  </si>
  <si>
    <t xml:space="preserve">S, общ</t>
  </si>
  <si>
    <t xml:space="preserve">S фронтона 2 эт</t>
  </si>
  <si>
    <t xml:space="preserve">Вариант 1</t>
  </si>
  <si>
    <t xml:space="preserve">Вариант 2</t>
  </si>
  <si>
    <t xml:space="preserve">Вариант 3</t>
  </si>
  <si>
    <t xml:space="preserve">Вариант 4</t>
  </si>
  <si>
    <t xml:space="preserve">Вариант 5, 2-ой этаж</t>
  </si>
  <si>
    <t xml:space="preserve">Вариант 6, 2-ой этаж</t>
  </si>
  <si>
    <t xml:space="preserve">S, несущих перегородок</t>
  </si>
  <si>
    <t xml:space="preserve">S, перегородок</t>
  </si>
  <si>
    <t xml:space="preserve">S, чистая перегородок</t>
  </si>
  <si>
    <t xml:space="preserve">S стен 1-го этажа перед без фронтона</t>
  </si>
  <si>
    <t xml:space="preserve">S общая выпусков по дому</t>
  </si>
  <si>
    <t xml:space="preserve">S стен 2-го этажа без фронтона перед</t>
  </si>
  <si>
    <t xml:space="preserve">S перекрытий </t>
  </si>
  <si>
    <t xml:space="preserve">S пристроек стен</t>
  </si>
  <si>
    <t xml:space="preserve">S эркер стен</t>
  </si>
  <si>
    <t xml:space="preserve">S фронтона  1 этаж для двускатной кр</t>
  </si>
  <si>
    <t xml:space="preserve">полн 1эт</t>
  </si>
  <si>
    <t xml:space="preserve">манс 1эт</t>
  </si>
  <si>
    <t xml:space="preserve">S фронтона  2 этаж для двускатн кровли</t>
  </si>
  <si>
    <t xml:space="preserve">полн 2эт</t>
  </si>
  <si>
    <t xml:space="preserve">манс 2эт</t>
  </si>
  <si>
    <t xml:space="preserve">ДОМ</t>
  </si>
  <si>
    <t xml:space="preserve">S</t>
  </si>
  <si>
    <t xml:space="preserve">считать</t>
  </si>
  <si>
    <t xml:space="preserve">потолок кровли</t>
  </si>
  <si>
    <t xml:space="preserve">ПЕРЕКРЫТИЕ дом</t>
  </si>
  <si>
    <t xml:space="preserve">пол дом</t>
  </si>
  <si>
    <t xml:space="preserve">ПОТОЛОК</t>
  </si>
  <si>
    <t xml:space="preserve">s стен1 эт</t>
  </si>
  <si>
    <t xml:space="preserve">s стен2 эт</t>
  </si>
  <si>
    <t xml:space="preserve">s фронтон</t>
  </si>
  <si>
    <t xml:space="preserve">s стенобщ</t>
  </si>
  <si>
    <t xml:space="preserve">0 эт</t>
  </si>
  <si>
    <t xml:space="preserve">S фронтона двускатной кровли</t>
  </si>
  <si>
    <t xml:space="preserve">S фронтона полувальмовой кровли</t>
  </si>
  <si>
    <t xml:space="preserve">S фронтона односкатной кровли</t>
  </si>
  <si>
    <t xml:space="preserve">для 2=го этажа</t>
  </si>
  <si>
    <t xml:space="preserve">S фронтона кукушек</t>
  </si>
  <si>
    <t xml:space="preserve">ПРИСТРОЙКА</t>
  </si>
  <si>
    <t xml:space="preserve">S перекрытия двускатной кровли</t>
  </si>
  <si>
    <t xml:space="preserve">S перекрытия вальмовой кровли</t>
  </si>
  <si>
    <t xml:space="preserve">разные по высотам</t>
  </si>
  <si>
    <t xml:space="preserve">S перекрытия односкатной кровли</t>
  </si>
  <si>
    <t xml:space="preserve">S перкрытия полувальмовой кровли</t>
  </si>
  <si>
    <t xml:space="preserve">комбинированные дома</t>
  </si>
  <si>
    <t xml:space="preserve">перекрытие</t>
  </si>
  <si>
    <t xml:space="preserve">S всего дома</t>
  </si>
  <si>
    <t xml:space="preserve">S перег</t>
  </si>
  <si>
    <t xml:space="preserve">S пер чистая</t>
  </si>
  <si>
    <t xml:space="preserve">фронтон</t>
  </si>
  <si>
    <t xml:space="preserve">S наружних стен 1эт</t>
  </si>
  <si>
    <t xml:space="preserve">площадь внутренних стен дома</t>
  </si>
  <si>
    <t xml:space="preserve">S наружних стен 2эт</t>
  </si>
  <si>
    <t xml:space="preserve">двери межкомнатные несущие 1 этаж</t>
  </si>
  <si>
    <t xml:space="preserve">нес 1 эт</t>
  </si>
  <si>
    <t xml:space="preserve">S несущих общая</t>
  </si>
  <si>
    <t xml:space="preserve">Проем несущие 1 эт</t>
  </si>
  <si>
    <t xml:space="preserve">двери межкомнатные несущие 2 этаж</t>
  </si>
  <si>
    <t xml:space="preserve">нес 2 эт</t>
  </si>
  <si>
    <t xml:space="preserve">S простых общая</t>
  </si>
  <si>
    <t xml:space="preserve">Проем несущие 2 этаж</t>
  </si>
  <si>
    <t xml:space="preserve">двери межкомнатные простые 1 этаж</t>
  </si>
  <si>
    <t xml:space="preserve">прост 1</t>
  </si>
  <si>
    <t xml:space="preserve">S общая 1-эт</t>
  </si>
  <si>
    <t xml:space="preserve">Проем простые 1 эт</t>
  </si>
  <si>
    <t xml:space="preserve">прост 2</t>
  </si>
  <si>
    <t xml:space="preserve">S общая 2-эт</t>
  </si>
  <si>
    <t xml:space="preserve">двери межкомнатные простые 2 этаж</t>
  </si>
  <si>
    <t xml:space="preserve">S общая перег</t>
  </si>
  <si>
    <t xml:space="preserve">Проем простые 2 этаж</t>
  </si>
  <si>
    <t xml:space="preserve">проемы все</t>
  </si>
  <si>
    <t xml:space="preserve">Первый этаж</t>
  </si>
  <si>
    <t xml:space="preserve">S стен</t>
  </si>
  <si>
    <t xml:space="preserve">толщина</t>
  </si>
  <si>
    <t xml:space="preserve">V нар ст</t>
  </si>
  <si>
    <t xml:space="preserve">нижн обв</t>
  </si>
  <si>
    <t xml:space="preserve">верх обв</t>
  </si>
  <si>
    <t xml:space="preserve">ригель</t>
  </si>
  <si>
    <t xml:space="preserve">Vобв риг</t>
  </si>
  <si>
    <t xml:space="preserve">окн кол</t>
  </si>
  <si>
    <t xml:space="preserve">V стоек</t>
  </si>
  <si>
    <t xml:space="preserve">окна гор</t>
  </si>
  <si>
    <t xml:space="preserve">Дв кол</t>
  </si>
  <si>
    <t xml:space="preserve">Дв гор</t>
  </si>
  <si>
    <t xml:space="preserve">Передней стены общая</t>
  </si>
  <si>
    <t xml:space="preserve">высота левой аттик стены разные высоты</t>
  </si>
  <si>
    <t xml:space="preserve">высота правой аттик стены разные высоты</t>
  </si>
  <si>
    <t xml:space="preserve">S задней стены общая</t>
  </si>
  <si>
    <t xml:space="preserve">Левая боковой стена 1 эт</t>
  </si>
  <si>
    <t xml:space="preserve">Правая боковой стена 1 эт</t>
  </si>
  <si>
    <t xml:space="preserve">если одинаковые высоты коэфф</t>
  </si>
  <si>
    <t xml:space="preserve">если разные высоты коэфф </t>
  </si>
  <si>
    <t xml:space="preserve">толщина стен</t>
  </si>
  <si>
    <t xml:space="preserve">Фронтон конек левая сторона</t>
  </si>
  <si>
    <t xml:space="preserve">длина ската левой части фронтона</t>
  </si>
  <si>
    <t xml:space="preserve">радиан</t>
  </si>
  <si>
    <t xml:space="preserve">количество стоек каркаса левой части фронт</t>
  </si>
  <si>
    <t xml:space="preserve">Разница по высоте стоек фронтона левой ст</t>
  </si>
  <si>
    <t xml:space="preserve">Фронтон конек правая сторона</t>
  </si>
  <si>
    <t xml:space="preserve">длина ската правой части фронтона</t>
  </si>
  <si>
    <t xml:space="preserve">количество стоек каркаса правой части фронт</t>
  </si>
  <si>
    <t xml:space="preserve">Разница по высоте стоек фронтона прав стор</t>
  </si>
  <si>
    <t xml:space="preserve">условие если дом в 1 этаж</t>
  </si>
  <si>
    <t xml:space="preserve">левая сторона дома</t>
  </si>
  <si>
    <t xml:space="preserve">размер</t>
  </si>
  <si>
    <t xml:space="preserve">V</t>
  </si>
  <si>
    <t xml:space="preserve">Стойки каркаса передней/задней стены 1 эт</t>
  </si>
  <si>
    <t xml:space="preserve">Стойки каркаса, левая сторона 1 эт</t>
  </si>
  <si>
    <t xml:space="preserve">Стойки каркаса, правая сторона, 1 эт</t>
  </si>
  <si>
    <t xml:space="preserve">Стойки каркаса левой боковой стены 1 эт</t>
  </si>
  <si>
    <t xml:space="preserve">Стойки каркаса правой боковой стены 1 эт</t>
  </si>
  <si>
    <t xml:space="preserve">Обвязка каркаса верхняя/нижняя наружние стены 1 эт</t>
  </si>
  <si>
    <t xml:space="preserve">Ригель каркаса наружние стены 1 эт</t>
  </si>
  <si>
    <t xml:space="preserve">Стойка каркаса, несущие перегородки, 1 этаж, №1</t>
  </si>
  <si>
    <t xml:space="preserve">Обвязка несущих перегородок верх/низ, 1 этаж</t>
  </si>
  <si>
    <t xml:space="preserve">Ригель несущих перегородок, 1 этаж</t>
  </si>
  <si>
    <t xml:space="preserve">Стойка каркаса, перегородки, 1 этаж</t>
  </si>
  <si>
    <t xml:space="preserve">Обвязка перегородок верх/низ, 1 этаж</t>
  </si>
  <si>
    <t xml:space="preserve">Укосина наружних стен, усиление 1 этаж</t>
  </si>
  <si>
    <t xml:space="preserve">Стойка каркаса по фронтону, левая сторона 1</t>
  </si>
  <si>
    <t xml:space="preserve">Стойка каркаса по фронтону, левая сторона 2</t>
  </si>
  <si>
    <t xml:space="preserve">Стойка каркаса по фронтону, левая сторона 3</t>
  </si>
  <si>
    <t xml:space="preserve">Стойка каркаса по фронтону, левая сторона 4</t>
  </si>
  <si>
    <t xml:space="preserve">Стойка каркаса по фронтону, левая сторона 5</t>
  </si>
  <si>
    <t xml:space="preserve">Стойка каркаса по фронтону, левая сторона 6</t>
  </si>
  <si>
    <t xml:space="preserve">Стойка каркаса по фронтону, левая сторона 7</t>
  </si>
  <si>
    <t xml:space="preserve">Стойка каркаса по фронтону, левая сторона 8</t>
  </si>
  <si>
    <t xml:space="preserve">Стойка каркаса по фронтону, левая сторона 9</t>
  </si>
  <si>
    <t xml:space="preserve">Стойка каркаса по фронтону, левая сторона 10</t>
  </si>
  <si>
    <t xml:space="preserve">Стойка каркаса по фронтону, левая сторона 11</t>
  </si>
  <si>
    <t xml:space="preserve">Стойка каркаса по фронтону, левая сторона 12</t>
  </si>
  <si>
    <t xml:space="preserve">Стойка каркаса по фронтону, левая сторона 13</t>
  </si>
  <si>
    <t xml:space="preserve">Стойка каркаса по фронтону, левая сторона 14</t>
  </si>
  <si>
    <t xml:space="preserve">Стойка каркаса по фронтону, левая сторона 15</t>
  </si>
  <si>
    <t xml:space="preserve">Стойка каркаса по фронтону, левая сторона 16</t>
  </si>
  <si>
    <t xml:space="preserve">Стойка каркаса по фронтону, левая сторона 17</t>
  </si>
  <si>
    <t xml:space="preserve">Стойка каркаса по фронтону, левая сторона 18</t>
  </si>
  <si>
    <t xml:space="preserve">Стойка каркаса по фронтону, левая сторона 19</t>
  </si>
  <si>
    <t xml:space="preserve">Стойка каркаса по фронтону, левая сторона 20</t>
  </si>
  <si>
    <t xml:space="preserve">Стойка каркаса по фронтону, левая сторона 21</t>
  </si>
  <si>
    <t xml:space="preserve">Стойка каркаса по фронтону, левая сторона 22</t>
  </si>
  <si>
    <t xml:space="preserve">Стойка каркаса по фронтону, левая сторона 23</t>
  </si>
  <si>
    <t xml:space="preserve">Стойка каркаса по фронтону, левая сторона 24</t>
  </si>
  <si>
    <t xml:space="preserve">Стойка каркаса по фронтону, левая сторона 25</t>
  </si>
  <si>
    <t xml:space="preserve">Стойка каркаса по фронтону, левая сторона 26</t>
  </si>
  <si>
    <t xml:space="preserve">Стойка каркаса по фронтону, левая сторона 27</t>
  </si>
  <si>
    <t xml:space="preserve">Стойка каркаса по фронтону, левая сторона 28</t>
  </si>
  <si>
    <t xml:space="preserve">Стойка каркаса по фронтону, левая сторона 29</t>
  </si>
  <si>
    <t xml:space="preserve">Стойка каркаса по фронтону, левая сторона 30</t>
  </si>
  <si>
    <t xml:space="preserve">Стойка каркаса по фронтону, левая сторона 31</t>
  </si>
  <si>
    <t xml:space="preserve">Обвязка каркаса фронтона верхняя</t>
  </si>
  <si>
    <t xml:space="preserve">Обвязка каркаса фронтона нижняя</t>
  </si>
  <si>
    <t xml:space="preserve">Ригель каркаса фронтона</t>
  </si>
  <si>
    <t xml:space="preserve">Стойка каркаса по фронтону правая сторона 32</t>
  </si>
  <si>
    <t xml:space="preserve">Стойка каркаса по фронтону правая сторона 33</t>
  </si>
  <si>
    <t xml:space="preserve">Стойка каркаса по фронтону правая сторона 34</t>
  </si>
  <si>
    <t xml:space="preserve">Стойка каркаса по фронтону правая сторона 35</t>
  </si>
  <si>
    <t xml:space="preserve">Стойка каркаса по фронтону правая сторона 36</t>
  </si>
  <si>
    <t xml:space="preserve">Стойка каркаса по фронтону правая сторона 37</t>
  </si>
  <si>
    <t xml:space="preserve">Стойка каркаса по фронтону правая сторона 38</t>
  </si>
  <si>
    <t xml:space="preserve">Стойка каркаса по фронтону правая сторона 39</t>
  </si>
  <si>
    <t xml:space="preserve">Стойка каркаса по фронтону правая сторона 40</t>
  </si>
  <si>
    <t xml:space="preserve">Стойка каркаса по фронтону правая сторона 41</t>
  </si>
  <si>
    <t xml:space="preserve">Стойка каркаса по фронтону правая сторона 42</t>
  </si>
  <si>
    <t xml:space="preserve">Стойка каркаса по фронтону правая сторона 43</t>
  </si>
  <si>
    <t xml:space="preserve">Стойка каркаса по фронтону правая сторона 44</t>
  </si>
  <si>
    <t xml:space="preserve">Стойка каркаса по фронтону правая сторона 45</t>
  </si>
  <si>
    <t xml:space="preserve">Стойка каркаса по фронтону правая сторона 46</t>
  </si>
  <si>
    <t xml:space="preserve">Стойка каркаса по фронтону правая сторона 47</t>
  </si>
  <si>
    <t xml:space="preserve">Стойка каркаса по фронтону правая сторона 48</t>
  </si>
  <si>
    <t xml:space="preserve">Стойка каркаса по фронтону правая сторона 49</t>
  </si>
  <si>
    <t xml:space="preserve">Стойка каркаса по фронтону правая сторона 50</t>
  </si>
  <si>
    <t xml:space="preserve">Стойка каркаса по фронтону правая сторона 51</t>
  </si>
  <si>
    <t xml:space="preserve">Стойка каркаса по фронтону правая сторона 52</t>
  </si>
  <si>
    <t xml:space="preserve">Стойка каркаса по фронтону правая сторона 53</t>
  </si>
  <si>
    <t xml:space="preserve">Стойка каркаса по фронтону правая сторона 54</t>
  </si>
  <si>
    <t xml:space="preserve">Стойка каркаса по фронтону правая сторона 55</t>
  </si>
  <si>
    <t xml:space="preserve">Стойка каркаса по фронтону правая сторона 56</t>
  </si>
  <si>
    <t xml:space="preserve">Стойка каркаса по фронтону правая сторона 57</t>
  </si>
  <si>
    <t xml:space="preserve">Стойка каркаса по фронтону правая сторона 58</t>
  </si>
  <si>
    <t xml:space="preserve">Стойка каркаса по фронтону правая сторона 59</t>
  </si>
  <si>
    <t xml:space="preserve">Стойка каркаса по фронтону правая сторона 60</t>
  </si>
  <si>
    <t xml:space="preserve">Стойка каркаса по фронтону правая сторона 61</t>
  </si>
  <si>
    <t xml:space="preserve">Стойка каркаса по фронтону правая сторона 62</t>
  </si>
  <si>
    <t xml:space="preserve">Стойки каркаса левой боковой стены 1 этаж</t>
  </si>
  <si>
    <t xml:space="preserve">Стойки каркаса правой боковой стены 1 этаж</t>
  </si>
  <si>
    <t xml:space="preserve">Стойка каркаса по фронтону, полувальмовая кровля №1</t>
  </si>
  <si>
    <t xml:space="preserve">Стойка каркаса по фронтону, полувальмовая кровля №2</t>
  </si>
  <si>
    <t xml:space="preserve">Обвязка каркаса нижняя 1 этаж</t>
  </si>
  <si>
    <t xml:space="preserve">Обвязка каркаса верхняя 1 этаж</t>
  </si>
  <si>
    <t xml:space="preserve">Ригель каркаса фронтона 1 этаж</t>
  </si>
  <si>
    <t xml:space="preserve">Обвязка каркаса нижняя, односкатная кровля</t>
  </si>
  <si>
    <t xml:space="preserve">Обвязка каркаса верхняя, односкатная кровля</t>
  </si>
  <si>
    <t xml:space="preserve">Ригель каркаса фронтона, односкатная кровля</t>
  </si>
  <si>
    <t xml:space="preserve">Стойки каркаса передней стены 1 этаж</t>
  </si>
  <si>
    <t xml:space="preserve">Стойки каркаса задней стены 1 этаж</t>
  </si>
  <si>
    <t xml:space="preserve">Стойки каркаса, левая/правая сторона 1 этаж</t>
  </si>
  <si>
    <t xml:space="preserve">Стойка каркаса по фронтону, односкатная кровля №0</t>
  </si>
  <si>
    <t xml:space="preserve">Стойка каркаса по фронтону, односкатная кровля №1</t>
  </si>
  <si>
    <t xml:space="preserve">Стойка каркаса по фронтону, односкатная кровля №2</t>
  </si>
  <si>
    <t xml:space="preserve">Стойка каркаса по фронтону, односкатная кровля №3</t>
  </si>
  <si>
    <t xml:space="preserve">Стойка каркаса по фронтону, односкатная кровля №4</t>
  </si>
  <si>
    <t xml:space="preserve">Стойка каркаса по фронтону, односкатная кровля №5</t>
  </si>
  <si>
    <t xml:space="preserve">Стойка каркаса по фронтону, односкатная кровля №6</t>
  </si>
  <si>
    <t xml:space="preserve">Стойка каркаса по фронтону, односкатная кровля №7</t>
  </si>
  <si>
    <t xml:space="preserve">Стойка каркаса по фронтону, односкатная кровля №8</t>
  </si>
  <si>
    <t xml:space="preserve">Стойка каркаса по фронтону, односкатная кровля №9</t>
  </si>
  <si>
    <t xml:space="preserve">Стойка каркаса по фронтону, односкатная кровля №10</t>
  </si>
  <si>
    <t xml:space="preserve">Стойка каркаса по фронтону, односкатная кровля №11</t>
  </si>
  <si>
    <t xml:space="preserve">Стойка каркаса по фронтону, односкатная кровля №12</t>
  </si>
  <si>
    <t xml:space="preserve">Стойка каркаса по фронтону, односкатная кровля №13</t>
  </si>
  <si>
    <t xml:space="preserve">Стойка каркаса по фронтону, односкатная кровля №14</t>
  </si>
  <si>
    <t xml:space="preserve">Стойка каркаса по фронтону, односкатная кровля №15</t>
  </si>
  <si>
    <t xml:space="preserve">Стойка каркаса по фронтону, односкатная кровля №16</t>
  </si>
  <si>
    <t xml:space="preserve">Стойка каркаса по фронтону, односкатная кровля №17</t>
  </si>
  <si>
    <t xml:space="preserve">Стойка каркаса по фронтону, односкатная кровля №18</t>
  </si>
  <si>
    <t xml:space="preserve">Стойка каркаса по фронтону, односкатная кровля №19</t>
  </si>
  <si>
    <t xml:space="preserve">Стойка каркаса по фронтону, односкатная кровля №20</t>
  </si>
  <si>
    <t xml:space="preserve">Стойка каркаса по фронтону, односкатная кровля №21</t>
  </si>
  <si>
    <t xml:space="preserve">Стойка каркаса по фронтону, односкатная кровля №22</t>
  </si>
  <si>
    <t xml:space="preserve">Стойка каркаса по фронтону, односкатная кровля №23</t>
  </si>
  <si>
    <t xml:space="preserve">Стойка каркаса по фронтону, односкатная кровля №24</t>
  </si>
  <si>
    <t xml:space="preserve">Стойка каркаса по фронтону, односкатная кровля №25</t>
  </si>
  <si>
    <t xml:space="preserve">Стойка каркаса по фронтону, односкатная кровля №26</t>
  </si>
  <si>
    <t xml:space="preserve">Стойка каркаса по фронтону, односкатная кровля №27</t>
  </si>
  <si>
    <t xml:space="preserve">Стойка каркаса по фронтону, односкатная кровля №28</t>
  </si>
  <si>
    <t xml:space="preserve">Стойка каркаса по фронтону, односкатная кровля №29</t>
  </si>
  <si>
    <t xml:space="preserve">Стойка каркаса по фронтону, односкатная кровля №30</t>
  </si>
  <si>
    <t xml:space="preserve">Стойка каркаса по фронтону, односкатная кровля №31</t>
  </si>
  <si>
    <t xml:space="preserve">Стойка каркаса по фронтону, односкатная кровля №32</t>
  </si>
  <si>
    <t xml:space="preserve">Стойка каркаса по фронтону, односкатная кровля №33</t>
  </si>
  <si>
    <t xml:space="preserve">Стойка каркаса по фронтону, односкатная кровля №34</t>
  </si>
  <si>
    <t xml:space="preserve">Стойка каркаса по фронтону, односкатная кровля №35</t>
  </si>
  <si>
    <t xml:space="preserve">Стойка каркаса по фронтону, односкатная кровля №36</t>
  </si>
  <si>
    <t xml:space="preserve">Стойка каркаса по фронтону, односкатная кровля №37</t>
  </si>
  <si>
    <t xml:space="preserve">Стойка каркаса по фронтону, односкатная кровля №38</t>
  </si>
  <si>
    <t xml:space="preserve">Стойка каркаса по фронтону, односкатная кровля №39</t>
  </si>
  <si>
    <t xml:space="preserve">Стойка каркаса по фронтону, односкатная кровля №40</t>
  </si>
  <si>
    <t xml:space="preserve">Стойка каркаса по фронтону, односкатная кровля №41</t>
  </si>
  <si>
    <t xml:space="preserve">Стойки каркаса, левая сторона 2 эт</t>
  </si>
  <si>
    <t xml:space="preserve">Стойки каркаса, правая сторона 2 эт</t>
  </si>
  <si>
    <t xml:space="preserve">Стойки каркаса передней/задней стены 2 эт</t>
  </si>
  <si>
    <t xml:space="preserve">Стойки для окон вертикальные</t>
  </si>
  <si>
    <t xml:space="preserve">Перекладины для окон горизонтальные, 1</t>
  </si>
  <si>
    <t xml:space="preserve">Перекладины для окон горизонтальные, 2</t>
  </si>
  <si>
    <t xml:space="preserve">Перекладины для окон горизонтальные, 3</t>
  </si>
  <si>
    <t xml:space="preserve">Перекладины для окон горизонтальные, 4</t>
  </si>
  <si>
    <t xml:space="preserve">Перекладины для окон горизонтальные, 5</t>
  </si>
  <si>
    <t xml:space="preserve">Стойки для входных дверей вертикальные</t>
  </si>
  <si>
    <t xml:space="preserve">Перекладины для входных дверей горизонтальные,1</t>
  </si>
  <si>
    <t xml:space="preserve">Перекладины для входных дверей горизонтальные,2</t>
  </si>
  <si>
    <t xml:space="preserve">Перекладины для входных дверей горизонтальные,3</t>
  </si>
  <si>
    <t xml:space="preserve">Перекладины для входных дверей горизонтальные,4</t>
  </si>
  <si>
    <t xml:space="preserve">Перекладины для входных дверей горизонтальные,5</t>
  </si>
  <si>
    <t xml:space="preserve">Стойки для межкомнатных дверей вертикальные</t>
  </si>
  <si>
    <t xml:space="preserve">Перекладины для межкомнатных дверей горизонтальные,1</t>
  </si>
  <si>
    <t xml:space="preserve">Перекладины для межкомнатных дверей горизонтальные,2</t>
  </si>
  <si>
    <t xml:space="preserve">Перекладины для межкомнатных дверей горизонтальные,3</t>
  </si>
  <si>
    <t xml:space="preserve">Перекладины для межкомнатных дверей горизонтальные,4</t>
  </si>
  <si>
    <t xml:space="preserve">Стойки для проемов вертикальные</t>
  </si>
  <si>
    <t xml:space="preserve">Перекладины для проемов горизонтальные,1</t>
  </si>
  <si>
    <t xml:space="preserve">Перекладины для проемов горизонтальные,2</t>
  </si>
  <si>
    <t xml:space="preserve">двери межк</t>
  </si>
  <si>
    <t xml:space="preserve">несущие перегододки 1 эт по оси Х</t>
  </si>
  <si>
    <t xml:space="preserve">перегододки 1 эт по оси Х</t>
  </si>
  <si>
    <t xml:space="preserve">несущие перегододки 1 эт по оси Y</t>
  </si>
  <si>
    <t xml:space="preserve">перегододки 1 эт по оси Y</t>
  </si>
  <si>
    <t xml:space="preserve">передняя стена эркера</t>
  </si>
  <si>
    <t xml:space="preserve">боковая стена эркера</t>
  </si>
  <si>
    <t xml:space="preserve">косая стена эркера</t>
  </si>
  <si>
    <t xml:space="preserve">передняя стена пристройки</t>
  </si>
  <si>
    <t xml:space="preserve">Боковая стена пристройки левая</t>
  </si>
  <si>
    <t xml:space="preserve">боковая стена пристройки правая</t>
  </si>
  <si>
    <t xml:space="preserve">выбор по этажности пристройки фронтона высоту 1 эт</t>
  </si>
  <si>
    <t xml:space="preserve">условие , если пристройка в 1 этаж</t>
  </si>
  <si>
    <t xml:space="preserve">левая половина фронтона для односкатной кровли</t>
  </si>
  <si>
    <t xml:space="preserve">количество стоек каркаса фронтона</t>
  </si>
  <si>
    <t xml:space="preserve">разница по высоте стоек каркаса на фронтоне 1 пристр</t>
  </si>
  <si>
    <t xml:space="preserve">разница по высоте стоек каркаса на фронтоне 2 пристр</t>
  </si>
  <si>
    <t xml:space="preserve">разница по высоте стоек каркаса на фронтоне 3 пристр</t>
  </si>
  <si>
    <t xml:space="preserve">разница по высоте стоек каркаса на фронтоне 4 пристр</t>
  </si>
  <si>
    <t xml:space="preserve">Пристройка №1 1 этаж</t>
  </si>
  <si>
    <t xml:space="preserve">Стойки каркаса передней стены 1 эт</t>
  </si>
  <si>
    <t xml:space="preserve">Стойка каркаса по фронтону, 1 этаж, односкатная кровля, №1</t>
  </si>
  <si>
    <t xml:space="preserve">Стойка каркаса по фронтону, 1 этаж, односкатная кровля, №2</t>
  </si>
  <si>
    <t xml:space="preserve">Стойка каркаса по фронтону, 1 этаж, односкатная кровля, №3</t>
  </si>
  <si>
    <t xml:space="preserve">Стойка каркаса по фронтону, 1 этаж, односкатная кровля, №4</t>
  </si>
  <si>
    <t xml:space="preserve">Стойка каркаса по фронтону, 1 этаж, односкатная кровля, №5</t>
  </si>
  <si>
    <t xml:space="preserve">Стойка каркаса по фронтону, 1 этаж, односкатная кровля, №6</t>
  </si>
  <si>
    <t xml:space="preserve">Стойка каркаса по фронтону, 1 этаж, односкатная кровля, №7</t>
  </si>
  <si>
    <t xml:space="preserve">Стойка каркаса по фронтону, 1 этаж, односкатная кровля, №8</t>
  </si>
  <si>
    <t xml:space="preserve">Стойка каркаса по фронтону, 1 этаж, односкатная кровля, №9</t>
  </si>
  <si>
    <t xml:space="preserve">Стойка каркаса по фронтону, 1 этаж, односкатная кровля, №10</t>
  </si>
  <si>
    <t xml:space="preserve">Стойка каркаса по фронтону, 1 этаж, односкатная кровля, №11</t>
  </si>
  <si>
    <t xml:space="preserve">Стойка каркаса по фронтону, 1 этаж, односкатная кровля, №12</t>
  </si>
  <si>
    <t xml:space="preserve">Стойка каркаса по фронтону, 1 этаж, односкатная кровля, №13</t>
  </si>
  <si>
    <t xml:space="preserve">Стойка каркаса по фронтону, 1 этаж, односкатная кровля, №14</t>
  </si>
  <si>
    <t xml:space="preserve">Стойка каркаса по фронтону, 1 этаж, односкатная кровля, №15</t>
  </si>
  <si>
    <t xml:space="preserve">Стойка каркаса по фронтону, 1 этаж, односкатная кровля, №16</t>
  </si>
  <si>
    <t xml:space="preserve">Стойка каркаса по фронтону, 1 этаж, односкатная кровля, №17</t>
  </si>
  <si>
    <t xml:space="preserve">Стойка каркаса по фронтону, 1 этаж, двускатная кровля, №1</t>
  </si>
  <si>
    <t xml:space="preserve">Стойка каркаса по фронтону, 1 этаж, двускатная кровля, №2</t>
  </si>
  <si>
    <t xml:space="preserve">Стойка каркаса по фронтону, 1 этаж, двускатная кровля, №3</t>
  </si>
  <si>
    <t xml:space="preserve">Стойка каркаса по фронтону, 1 этаж, двускатная кровля, №4</t>
  </si>
  <si>
    <t xml:space="preserve">Стойка каркаса по фронтону, 1 этаж, двускатная кровля, №5</t>
  </si>
  <si>
    <t xml:space="preserve">Стойка каркаса по фронтону, 1 этаж, двускатная кровля, №6</t>
  </si>
  <si>
    <t xml:space="preserve">Стойка каркаса по фронтону, 1 этаж, двускатная кровля, №7</t>
  </si>
  <si>
    <t xml:space="preserve">Стойка каркаса по фронтону, 1 этаж, двускатная кровля, №8</t>
  </si>
  <si>
    <t xml:space="preserve">Стойка каркаса по фронтону, 1 этаж, двускатная кровля, №9</t>
  </si>
  <si>
    <t xml:space="preserve">Стойка каркаса по фронтону, 1 этаж, двускатная кровля, №10</t>
  </si>
  <si>
    <t xml:space="preserve">Стойка каркаса по фронтону, 1 этаж, двускатная кровля, №11</t>
  </si>
  <si>
    <t xml:space="preserve">Стойка каркаса по фронтону, 1 этаж, двускатная кровля, №12</t>
  </si>
  <si>
    <t xml:space="preserve">Стойка каркаса по фронтону, 1 этаж, двускатная кровля, №13</t>
  </si>
  <si>
    <t xml:space="preserve">Стойка каркаса по фронтону, 1 этаж, двускатная кровля, №14</t>
  </si>
  <si>
    <t xml:space="preserve">Стойка каркаса по фронтону, 1 этаж, двускатная кровля, №15</t>
  </si>
  <si>
    <t xml:space="preserve">Стойка каркаса по фронтону, 1 этаж, двускатная кровля, №16</t>
  </si>
  <si>
    <t xml:space="preserve">Стойка каркаса по фронтону, 1 этаж, двускатная кровля, №17</t>
  </si>
  <si>
    <t xml:space="preserve">Пристройка №2 1 этаж</t>
  </si>
  <si>
    <t xml:space="preserve">Пристройка №3 1 этаж</t>
  </si>
  <si>
    <t xml:space="preserve">Пристройка №4 1 этаж</t>
  </si>
  <si>
    <t xml:space="preserve">Эркер 1 этаж</t>
  </si>
  <si>
    <t xml:space="preserve">Стойка каркаса 1 этаж</t>
  </si>
  <si>
    <t xml:space="preserve">Обвязка нижняя/верхняя стен каркаса 1 этаж</t>
  </si>
  <si>
    <t xml:space="preserve">Ригель каркаса, 1 этаж</t>
  </si>
  <si>
    <t xml:space="preserve">площадь стен наруж пристройки 1 эт</t>
  </si>
  <si>
    <t xml:space="preserve">площадь стен перекр 0эт пристр</t>
  </si>
  <si>
    <t xml:space="preserve">площадь стен перекр 1эт пристр</t>
  </si>
  <si>
    <t xml:space="preserve">S стен общая наружняя 1 этажа</t>
  </si>
  <si>
    <t xml:space="preserve">отняьть</t>
  </si>
  <si>
    <t xml:space="preserve">S стен внутри наружних 1 этажа</t>
  </si>
  <si>
    <t xml:space="preserve">площадь стен эркера наружних</t>
  </si>
  <si>
    <t xml:space="preserve">S перекрытий стен 0-го этажа</t>
  </si>
  <si>
    <t xml:space="preserve">S перекрытий стен 1-го этажа</t>
  </si>
  <si>
    <t xml:space="preserve">S стен наружних 1 эт общая</t>
  </si>
  <si>
    <t xml:space="preserve">отнять</t>
  </si>
  <si>
    <t xml:space="preserve">площадь наружних стен</t>
  </si>
  <si>
    <t xml:space="preserve">площадь несущих перегородок</t>
  </si>
  <si>
    <t xml:space="preserve">площадь прост перегородок</t>
  </si>
  <si>
    <t xml:space="preserve">площадь наружних стен общая</t>
  </si>
  <si>
    <t xml:space="preserve">S внутри наружних стен</t>
  </si>
  <si>
    <t xml:space="preserve">для газобетона</t>
  </si>
  <si>
    <t xml:space="preserve">площадь стен перекрытий 0 эт</t>
  </si>
  <si>
    <t xml:space="preserve">площадь стен перекрытий 1 эт</t>
  </si>
  <si>
    <t xml:space="preserve">длина арматуры</t>
  </si>
  <si>
    <t xml:space="preserve">периметр перегородок</t>
  </si>
  <si>
    <t xml:space="preserve">площадь стен по полу 1-го этажа</t>
  </si>
  <si>
    <t xml:space="preserve">прибавить площадь стен по полу первого этажа</t>
  </si>
  <si>
    <t xml:space="preserve">ОТНЯТЬ</t>
  </si>
  <si>
    <t xml:space="preserve">Второй этаж</t>
  </si>
  <si>
    <t xml:space="preserve">двери межк и проемы</t>
  </si>
  <si>
    <t xml:space="preserve">высота левой аттик стены</t>
  </si>
  <si>
    <t xml:space="preserve">высота правой аттик стены</t>
  </si>
  <si>
    <t xml:space="preserve">Левая боковой стена 2 эт</t>
  </si>
  <si>
    <t xml:space="preserve">Правая боковой стена 2 эт</t>
  </si>
  <si>
    <t xml:space="preserve">S наружних стен без учета фронтона</t>
  </si>
  <si>
    <t xml:space="preserve">односкатная кровля</t>
  </si>
  <si>
    <t xml:space="preserve">размер дома</t>
  </si>
  <si>
    <t xml:space="preserve">длина фронтона 2</t>
  </si>
  <si>
    <t xml:space="preserve">длина фронтона1 </t>
  </si>
  <si>
    <t xml:space="preserve">кол во стоек 1</t>
  </si>
  <si>
    <t xml:space="preserve">кол во стоек 2</t>
  </si>
  <si>
    <t xml:space="preserve">разница 1</t>
  </si>
  <si>
    <t xml:space="preserve">разница 2</t>
  </si>
  <si>
    <t xml:space="preserve">условие если дом в 2 этажа</t>
  </si>
  <si>
    <t xml:space="preserve">Стойки каркаса левой боковой стены 2 эт</t>
  </si>
  <si>
    <t xml:space="preserve">Обвязка каркаса фронтона верхняя,двускатная кровля</t>
  </si>
  <si>
    <t xml:space="preserve">Обвязка каркаса фронтона нижняя,двускатная кровля</t>
  </si>
  <si>
    <t xml:space="preserve">Ригель каркаса фронтона,двускатная кровля</t>
  </si>
  <si>
    <t xml:space="preserve">Обвязка каркаса верхняя/нижняя наружние стены 2 эт</t>
  </si>
  <si>
    <t xml:space="preserve">Ригель каркаса наружние стены 2 эт</t>
  </si>
  <si>
    <t xml:space="preserve">Стойка каркаса, несущие перегородки, 2 этаж</t>
  </si>
  <si>
    <t xml:space="preserve">Обвязка несущих перегородок верх, 2 этаж</t>
  </si>
  <si>
    <t xml:space="preserve">Ригель несущих перегородок, 2 этаж</t>
  </si>
  <si>
    <t xml:space="preserve">Стойка каркаса, перегородки, 2 этаж</t>
  </si>
  <si>
    <t xml:space="preserve">Обвязка перегородок верх, 2 этаж</t>
  </si>
  <si>
    <t xml:space="preserve">Стойка каркаса по фронтону, левая сторона, двускатная кровля №1</t>
  </si>
  <si>
    <t xml:space="preserve">Стойка каркаса по фронтону, левая сторона, двускатная кровля №2</t>
  </si>
  <si>
    <t xml:space="preserve">Стойка каркаса по фронтону, левая сторона, двускатная кровля №3</t>
  </si>
  <si>
    <t xml:space="preserve">Стойка каркаса по фронтону, левая сторона, двускатная кровля №4</t>
  </si>
  <si>
    <t xml:space="preserve">Стойка каркаса по фронтону, левая сторона, двускатная кровля №5</t>
  </si>
  <si>
    <t xml:space="preserve">Стойка каркаса по фронтону, левая сторона, двускатная кровля №6</t>
  </si>
  <si>
    <t xml:space="preserve">Стойка каркаса по фронтону, левая сторона, двускатная кровля №7</t>
  </si>
  <si>
    <t xml:space="preserve">Стойка каркаса по фронтону, левая сторона, двускатная кровля №8</t>
  </si>
  <si>
    <t xml:space="preserve">Стойка каркаса по фронтону, левая сторона, двускатная кровля №9</t>
  </si>
  <si>
    <t xml:space="preserve">Стойка каркаса по фронтону, левая сторона, двускатная кровля №10</t>
  </si>
  <si>
    <t xml:space="preserve">Стойка каркаса по фронтону, левая сторона, двускатная кровля №11</t>
  </si>
  <si>
    <t xml:space="preserve">Стойка каркаса по фронтону, левая сторона, двускатная кровля №12</t>
  </si>
  <si>
    <t xml:space="preserve">Стойка каркаса по фронтону, левая сторона, двускатная кровля №13</t>
  </si>
  <si>
    <t xml:space="preserve">Стойка каркаса по фронтону, левая сторона, двускатная кровля №14</t>
  </si>
  <si>
    <t xml:space="preserve">Стойка каркаса по фронтону, левая сторона, двускатная кровля №15</t>
  </si>
  <si>
    <t xml:space="preserve">Стойка каркаса по фронтону, левая сторона, двускатная кровля №16</t>
  </si>
  <si>
    <t xml:space="preserve">Стойка каркаса по фронтону, левая сторона, двускатная кровля №17</t>
  </si>
  <si>
    <t xml:space="preserve">Стойка каркаса по фронтону, левая сторона, двускатная кровля №18</t>
  </si>
  <si>
    <t xml:space="preserve">Стойка каркаса по фронтону, левая сторона, двускатная кровля №19</t>
  </si>
  <si>
    <t xml:space="preserve">Стойка каркаса по фронтону, левая сторона, двускатная кровля №20</t>
  </si>
  <si>
    <t xml:space="preserve">Стойка каркаса по фронтону, левая сторона, двускатная кровля №21</t>
  </si>
  <si>
    <t xml:space="preserve">Стойка каркаса по фронтону, левая сторона, двускатная кровля №22</t>
  </si>
  <si>
    <t xml:space="preserve">Стойка каркаса по фронтону, левая сторона, двускатная кровля №23</t>
  </si>
  <si>
    <t xml:space="preserve">Стойка каркаса по фронтону, левая сторона, двускатная кровля №24</t>
  </si>
  <si>
    <t xml:space="preserve">Стойка каркаса по фронтону, левая сторона, двускатная кровля №25</t>
  </si>
  <si>
    <t xml:space="preserve">Стойка каркаса по фронтону, левая сторона, двускатная кровля №26</t>
  </si>
  <si>
    <t xml:space="preserve">Стойка каркаса по фронтону, левая сторона, двускатная кровля №27</t>
  </si>
  <si>
    <t xml:space="preserve">Стойка каркаса по фронтону, левая сторона, двускатная кровля №28</t>
  </si>
  <si>
    <t xml:space="preserve">Стойка каркаса по фронтону, левая сторона, двускатная кровля №29</t>
  </si>
  <si>
    <t xml:space="preserve">Стойка каркаса по фронтону, левая сторона, двускатная кровля №30</t>
  </si>
  <si>
    <t xml:space="preserve">Стойка каркаса по фронтону, левая сторона, двускатная кровля №31</t>
  </si>
  <si>
    <t xml:space="preserve">Стойка каркаса по фронтону, левая сторона, двускатная кровля №32</t>
  </si>
  <si>
    <t xml:space="preserve">Стойка каркаса по фронтону, левая сторона, двускатная кровля №33</t>
  </si>
  <si>
    <t xml:space="preserve">Стойка каркаса по фронтону, левая сторона, двускатная кровля №34</t>
  </si>
  <si>
    <t xml:space="preserve">Стойка каркаса по фронтону, левая сторона, двускатная кровля №35</t>
  </si>
  <si>
    <t xml:space="preserve">Стойка каркаса по фронтону, левая сторона, двускатная кровля №36</t>
  </si>
  <si>
    <t xml:space="preserve">Стойка каркаса по фронтону, левая сторона, двускатная кровля №37</t>
  </si>
  <si>
    <t xml:space="preserve">Стойка каркаса по фронтону, левая сторона, двускатная кровля №38</t>
  </si>
  <si>
    <t xml:space="preserve">Стойка каркаса по фронтону, левая сторона, двускатная кровля №39</t>
  </si>
  <si>
    <t xml:space="preserve">Стойка каркаса по фронтону, левая сторона, двускатная кровля №40</t>
  </si>
  <si>
    <t xml:space="preserve">Стойка каркаса по фронтону, левая сторона, двускатная кровля №41</t>
  </si>
  <si>
    <t xml:space="preserve">Стойка каркаса по фронтону, левая сторона, двускатная кровля №42</t>
  </si>
  <si>
    <t xml:space="preserve">Стойка каркаса по фронтону, левая сторона, двускатная кровля №43</t>
  </si>
  <si>
    <t xml:space="preserve">Стойка каркаса по фронтону, левая сторона, двускатная кровля №44</t>
  </si>
  <si>
    <t xml:space="preserve">Стойка каркаса по фронтону, левая сторона, двускатная кровля №45</t>
  </si>
  <si>
    <t xml:space="preserve">Стойка каркаса по фронтону, левая сторона, двускатная кровля №46</t>
  </si>
  <si>
    <t xml:space="preserve">Стойка каркаса по фронтону, левая сторона, двускатная кровля №47</t>
  </si>
  <si>
    <t xml:space="preserve">Стойка каркаса по фронтону, левая сторона, двускатная кровля №48</t>
  </si>
  <si>
    <t xml:space="preserve">Стойка каркаса по фронтону, левая сторона, двускатная кровля №49</t>
  </si>
  <si>
    <t xml:space="preserve">Стойка каркаса по фронтону, левая сторона, двускатная кровля №50</t>
  </si>
  <si>
    <t xml:space="preserve">Стойка каркаса по фронтону, левая сторона, двускатная кровля №51</t>
  </si>
  <si>
    <t xml:space="preserve">Стойка каркаса по фронтону, левая сторона, двускатная кровля №52</t>
  </si>
  <si>
    <t xml:space="preserve">Стойка каркаса по фронтону, левая сторона, двускатная кровля №53</t>
  </si>
  <si>
    <t xml:space="preserve">Стойка каркаса по фронтону, левая сторона, двускатная кровля №54</t>
  </si>
  <si>
    <t xml:space="preserve">Стойка каркаса по фронтону, левая сторона, двускатная кровля №55</t>
  </si>
  <si>
    <t xml:space="preserve">Стойка каркаса по фронтону, левая сторона, двускатная кровля №56</t>
  </si>
  <si>
    <t xml:space="preserve">Стойка каркаса по фронтону, левая сторона, двускатная кровля №57</t>
  </si>
  <si>
    <t xml:space="preserve">Стойка каркаса по фронтону, левая сторона, двускатная кровля №58</t>
  </si>
  <si>
    <t xml:space="preserve">Стойка каркаса по фронтону, левая сторона, двускатная кровля №59</t>
  </si>
  <si>
    <t xml:space="preserve">Стойка каркаса по фронтону, левая сторона, двускатная кровля №60</t>
  </si>
  <si>
    <t xml:space="preserve">Стойка каркаса по фронтону, левая сторона, двускатная кровля №61</t>
  </si>
  <si>
    <t xml:space="preserve">Стойка каркаса по фронтону, левая сторона, двускатная кровля №62</t>
  </si>
  <si>
    <t xml:space="preserve">Стойки каркаса правой боковой стены 2 эт</t>
  </si>
  <si>
    <t xml:space="preserve">Обвязка каркаса нижняя</t>
  </si>
  <si>
    <t xml:space="preserve">Обвязка каркаса верхняя</t>
  </si>
  <si>
    <t xml:space="preserve">Стойки каркаса передней стены 2 эт</t>
  </si>
  <si>
    <t xml:space="preserve">Стойки каркаса задней стены 2 эт</t>
  </si>
  <si>
    <t xml:space="preserve">Стойки каркаса, левая/правая сторона 2 эт</t>
  </si>
  <si>
    <t xml:space="preserve">если второго этажа нет коэффициент</t>
  </si>
  <si>
    <t xml:space="preserve">коэфф для эркера второго этажа</t>
  </si>
  <si>
    <t xml:space="preserve">коэфф для пристр второго этажа</t>
  </si>
  <si>
    <t xml:space="preserve">Условие если пристройка в 2 этажа</t>
  </si>
  <si>
    <t xml:space="preserve">для односкатной кровли</t>
  </si>
  <si>
    <t xml:space="preserve">для двускатной кровли</t>
  </si>
  <si>
    <t xml:space="preserve">Пристройка №1 2 этаж</t>
  </si>
  <si>
    <t xml:space="preserve">Стойки каркаса передняя стена, 2 эт</t>
  </si>
  <si>
    <t xml:space="preserve">Стойки каркаса , левая стена, 2 эт</t>
  </si>
  <si>
    <t xml:space="preserve">Стойки каркаса , правая стена, 2 эт</t>
  </si>
  <si>
    <t xml:space="preserve">Укосина наружних стен, усиление 2 этаж</t>
  </si>
  <si>
    <t xml:space="preserve">Стойка каркаса по фронтону, 2 этаж, односкатная кровля, №1</t>
  </si>
  <si>
    <t xml:space="preserve">Стойка каркаса по фронтону, 2 этаж, односкатная кровля, №2</t>
  </si>
  <si>
    <t xml:space="preserve">Стойка каркаса по фронтону, 2 этаж, односкатная кровля, №3</t>
  </si>
  <si>
    <t xml:space="preserve">Стойка каркаса по фронтону, 2 этаж, односкатная кровля, №4</t>
  </si>
  <si>
    <t xml:space="preserve">Стойка каркаса по фронтону, 2 этаж, односкатная кровля, №5</t>
  </si>
  <si>
    <t xml:space="preserve">Стойка каркаса по фронтону, 2 этаж, односкатная кровля, №6</t>
  </si>
  <si>
    <t xml:space="preserve">Стойка каркаса по фронтону, 2 этаж, односкатная кровля, №7</t>
  </si>
  <si>
    <t xml:space="preserve">Стойка каркаса по фронтону, 2 этаж, односкатная кровля, №8</t>
  </si>
  <si>
    <t xml:space="preserve">Стойка каркаса по фронтону, 2 этаж, односкатная кровля, №9</t>
  </si>
  <si>
    <t xml:space="preserve">Стойка каркаса по фронтону, 2 этаж, односкатная кровля, №10</t>
  </si>
  <si>
    <t xml:space="preserve">Стойка каркаса по фронтону, 2 этаж, односкатная кровля, №11</t>
  </si>
  <si>
    <t xml:space="preserve">Стойка каркаса по фронтону, 2 этаж, односкатная кровля, №12</t>
  </si>
  <si>
    <t xml:space="preserve">Стойка каркаса по фронтону, 2 этаж, односкатная кровля, №13</t>
  </si>
  <si>
    <t xml:space="preserve">Стойка каркаса по фронтону, 2 этаж, односкатная кровля, №14</t>
  </si>
  <si>
    <t xml:space="preserve">Стойка каркаса по фронтону, 2 этаж, односкатная кровля, №15</t>
  </si>
  <si>
    <t xml:space="preserve">Стойка каркаса по фронтону, 2 этаж, односкатная кровля, №16</t>
  </si>
  <si>
    <t xml:space="preserve">Стойка каркаса по фронтону, 2 этаж, односкатная кровля, №17</t>
  </si>
  <si>
    <t xml:space="preserve">Стойка каркаса по фронтону, 2 этаж, двускатная кровля, №1</t>
  </si>
  <si>
    <t xml:space="preserve">Стойка каркаса по фронтону, 2 этаж, двускатная кровля, №2</t>
  </si>
  <si>
    <t xml:space="preserve">Стойка каркаса по фронтону, 2 этаж, двускатная кровля, №3</t>
  </si>
  <si>
    <t xml:space="preserve">Стойка каркаса по фронтону, 2 этаж, двускатная кровля, №4</t>
  </si>
  <si>
    <t xml:space="preserve">Стойка каркаса по фронтону, 2 этаж, двускатная кровля, №5</t>
  </si>
  <si>
    <t xml:space="preserve">Стойка каркаса по фронтону, 2 этаж, двускатная кровля, №6</t>
  </si>
  <si>
    <t xml:space="preserve">Стойка каркаса по фронтону, 2 этаж, двускатная кровля, №7</t>
  </si>
  <si>
    <t xml:space="preserve">Стойка каркаса по фронтону, 2 этаж, двускатная кровля, №8</t>
  </si>
  <si>
    <t xml:space="preserve">Стойка каркаса по фронтону, 2 этаж, двускатная кровля, №9</t>
  </si>
  <si>
    <t xml:space="preserve">Стойка каркаса по фронтону, 2 этаж, двускатная кровля, №10</t>
  </si>
  <si>
    <t xml:space="preserve">Стойка каркаса по фронтону, 2 этаж, двускатная кровля, №11</t>
  </si>
  <si>
    <t xml:space="preserve">Стойка каркаса по фронтону, 2 этаж, двускатная кровля, №12</t>
  </si>
  <si>
    <t xml:space="preserve">Стойка каркаса по фронтону, 2 этаж, двускатная кровля, №13</t>
  </si>
  <si>
    <t xml:space="preserve">Стойка каркаса по фронтону, 2 этаж, двускатная кровля, №14</t>
  </si>
  <si>
    <t xml:space="preserve">Стойка каркаса по фронтону, 2 этаж, двускатная кровля, №15</t>
  </si>
  <si>
    <t xml:space="preserve">Стойка каркаса по фронтону, 2 этаж, двускатная кровля, №16</t>
  </si>
  <si>
    <t xml:space="preserve">Стойка каркаса по фронтону, 2 этаж, двускатная кровля, №17</t>
  </si>
  <si>
    <t xml:space="preserve">Пристройка №2 2 этаж</t>
  </si>
  <si>
    <t xml:space="preserve">Пристройка №3 2 этаж</t>
  </si>
  <si>
    <t xml:space="preserve">Пристройка №4 2 этаж</t>
  </si>
  <si>
    <t xml:space="preserve">площадь стен наруж пристройки 2 эт</t>
  </si>
  <si>
    <t xml:space="preserve">площадь стен перекр пристр</t>
  </si>
  <si>
    <t xml:space="preserve">S стен общая наружняя 2 этажа</t>
  </si>
  <si>
    <t xml:space="preserve">S стен внутри наружних 2 этажа</t>
  </si>
  <si>
    <t xml:space="preserve">площадь стен по полу 2-го этажа</t>
  </si>
  <si>
    <t xml:space="preserve">S перекрытий стен 2-го этажа</t>
  </si>
  <si>
    <t xml:space="preserve">S стен наружних 2 эт общая</t>
  </si>
  <si>
    <t xml:space="preserve">плоащадь внутренних стен</t>
  </si>
  <si>
    <t xml:space="preserve">площадь стен перекрытий 2 эт</t>
  </si>
  <si>
    <t xml:space="preserve">Второй этаж пристройки</t>
  </si>
  <si>
    <t xml:space="preserve">Односкатная кровля на пристройке</t>
  </si>
  <si>
    <t xml:space="preserve">Первый этаж пристройки</t>
  </si>
  <si>
    <t xml:space="preserve">высота аттиковой стены</t>
  </si>
  <si>
    <t xml:space="preserve">пристройки для стоек каркаса</t>
  </si>
  <si>
    <t xml:space="preserve">перекрытия   </t>
  </si>
  <si>
    <t xml:space="preserve">перегородки</t>
  </si>
  <si>
    <t xml:space="preserve">S   </t>
  </si>
  <si>
    <t xml:space="preserve">нар стены</t>
  </si>
  <si>
    <t xml:space="preserve">несущ</t>
  </si>
  <si>
    <t xml:space="preserve">простые</t>
  </si>
  <si>
    <t xml:space="preserve">Перекрытия 0 этажа</t>
  </si>
  <si>
    <t xml:space="preserve">площадь в доме не используется</t>
  </si>
  <si>
    <t xml:space="preserve">площадь стен</t>
  </si>
  <si>
    <t xml:space="preserve">Пол </t>
  </si>
  <si>
    <t xml:space="preserve">общая</t>
  </si>
  <si>
    <t xml:space="preserve">перегородки стены 1-го этажа</t>
  </si>
  <si>
    <t xml:space="preserve">перегородки стены 2-го этажа</t>
  </si>
  <si>
    <t xml:space="preserve">Потолок второго этажа</t>
  </si>
  <si>
    <t xml:space="preserve">S перекрытия кровли</t>
  </si>
  <si>
    <t xml:space="preserve">S наклонной кровли</t>
  </si>
  <si>
    <t xml:space="preserve">S потолок кровли общая</t>
  </si>
  <si>
    <t xml:space="preserve">перекрытие пол потолок</t>
  </si>
  <si>
    <t xml:space="preserve">высотам</t>
  </si>
  <si>
    <t xml:space="preserve">длина ленты фундамента</t>
  </si>
  <si>
    <t xml:space="preserve">S общая</t>
  </si>
  <si>
    <t xml:space="preserve">Полувальмовая</t>
  </si>
  <si>
    <t xml:space="preserve">односкатная</t>
  </si>
  <si>
    <t xml:space="preserve">высота до края ската</t>
  </si>
  <si>
    <t xml:space="preserve">высота до излома</t>
  </si>
  <si>
    <t xml:space="preserve">высота торцевой доски</t>
  </si>
  <si>
    <t xml:space="preserve">угол наклона кровли 1 верхний карниз</t>
  </si>
  <si>
    <t xml:space="preserve">рад</t>
  </si>
  <si>
    <t xml:space="preserve">угол наклона кровли 2 фронтон</t>
  </si>
  <si>
    <t xml:space="preserve">карниз</t>
  </si>
  <si>
    <t xml:space="preserve">угол наклона кровли 3 карниз</t>
  </si>
  <si>
    <t xml:space="preserve">едизм</t>
  </si>
  <si>
    <t xml:space="preserve">мауэрлат, вар1</t>
  </si>
  <si>
    <t xml:space="preserve">мауэрлат, вар2</t>
  </si>
  <si>
    <t xml:space="preserve">высота от аттиковой стены до конька, Е</t>
  </si>
  <si>
    <t xml:space="preserve">высота от аттик стены до перекрытия</t>
  </si>
  <si>
    <t xml:space="preserve">высота от перекрытия 2 эт до конька</t>
  </si>
  <si>
    <t xml:space="preserve">уклон нижнего ската от аттик стены</t>
  </si>
  <si>
    <t xml:space="preserve">длина ската без выпуска по ширине дома</t>
  </si>
  <si>
    <t xml:space="preserve">ДЛИНА СКАТА ПОТОЛОК</t>
  </si>
  <si>
    <t xml:space="preserve">длина ската без выпуска по длине дома</t>
  </si>
  <si>
    <t xml:space="preserve">угол наклона ската, рад</t>
  </si>
  <si>
    <t xml:space="preserve">градусы</t>
  </si>
  <si>
    <t xml:space="preserve">противоположный угол в градусах</t>
  </si>
  <si>
    <t xml:space="preserve">угол противоположный, в радианах</t>
  </si>
  <si>
    <t xml:space="preserve">выпуск кровли по карнизу</t>
  </si>
  <si>
    <t xml:space="preserve">длина кровли карниза1, вар 1, вар 2</t>
  </si>
  <si>
    <t xml:space="preserve">длина кровли карниза2, вар1, вар 2</t>
  </si>
  <si>
    <t xml:space="preserve">Длина кровли М вар1</t>
  </si>
  <si>
    <t xml:space="preserve">Длина кровли М вар2</t>
  </si>
  <si>
    <t xml:space="preserve">Длина кровли М1 вар2</t>
  </si>
  <si>
    <t xml:space="preserve">Длина горизонт выпуска фронтон</t>
  </si>
  <si>
    <t xml:space="preserve">Длина ската по фронтону без выпус</t>
  </si>
  <si>
    <t xml:space="preserve">Длина конька без выпускам, O, вар1</t>
  </si>
  <si>
    <t xml:space="preserve">Длина конька без выпускам, O, вар2</t>
  </si>
  <si>
    <t xml:space="preserve">Длина конька с выпускам, O, вар1</t>
  </si>
  <si>
    <t xml:space="preserve">Длина конька с выпускам, O, вар2</t>
  </si>
  <si>
    <t xml:space="preserve">длина ската по фронтону с выпуском</t>
  </si>
  <si>
    <t xml:space="preserve">Длина ската по карнизу, F/ 1 скат ниж</t>
  </si>
  <si>
    <t xml:space="preserve">Длина ската с выпуском по карнизу</t>
  </si>
  <si>
    <t xml:space="preserve">Длина ската по карнизу, F1/2 скат верх</t>
  </si>
  <si>
    <t xml:space="preserve">катет К, по фронтону длине</t>
  </si>
  <si>
    <t xml:space="preserve">катет N, по длине карниза</t>
  </si>
  <si>
    <t xml:space="preserve">S ската по  фронтону G</t>
  </si>
  <si>
    <t xml:space="preserve">S ската по  карнизу H</t>
  </si>
  <si>
    <t xml:space="preserve">S нижнего ската полувальмовой кровли</t>
  </si>
  <si>
    <t xml:space="preserve">S верхнего ската карниз</t>
  </si>
  <si>
    <t xml:space="preserve">S кровли без выпусков, вар1</t>
  </si>
  <si>
    <t xml:space="preserve">S кровли без выпусков, вар2</t>
  </si>
  <si>
    <t xml:space="preserve">S выпусков, подшивка, вар1</t>
  </si>
  <si>
    <t xml:space="preserve">S выпусков, подшивка, вар2</t>
  </si>
  <si>
    <t xml:space="preserve">S кровли с выпусками, вар1</t>
  </si>
  <si>
    <t xml:space="preserve">S кровли с выпусками, вар2</t>
  </si>
  <si>
    <t xml:space="preserve">S материала для кровли, вар1</t>
  </si>
  <si>
    <t xml:space="preserve">S материала для кровли, вар2</t>
  </si>
  <si>
    <t xml:space="preserve">S фронтона, вар1</t>
  </si>
  <si>
    <t xml:space="preserve">S фронтона, вар2</t>
  </si>
  <si>
    <t xml:space="preserve">гипотенуза кровли от конька до перекры</t>
  </si>
  <si>
    <t xml:space="preserve">потолок кровли с перекрытием</t>
  </si>
  <si>
    <t xml:space="preserve">S  перекрытий 2 эт</t>
  </si>
  <si>
    <t xml:space="preserve">S наклонный потолок</t>
  </si>
  <si>
    <t xml:space="preserve">ширина перекрытия 2 этажа</t>
  </si>
  <si>
    <t xml:space="preserve">длина катета по наклонной части потолка</t>
  </si>
  <si>
    <t xml:space="preserve">длина наклонной части потолка</t>
  </si>
  <si>
    <t xml:space="preserve">водосточка,вар 1</t>
  </si>
  <si>
    <t xml:space="preserve">водосточка,вар 2</t>
  </si>
  <si>
    <t xml:space="preserve">капельник, вар1</t>
  </si>
  <si>
    <t xml:space="preserve">капельник, вар2</t>
  </si>
  <si>
    <t xml:space="preserve">торцевая планка, вар1</t>
  </si>
  <si>
    <t xml:space="preserve">торцевая планка, вар2</t>
  </si>
  <si>
    <t xml:space="preserve">кровли все</t>
  </si>
  <si>
    <t xml:space="preserve">вариант</t>
  </si>
  <si>
    <t xml:space="preserve">количество</t>
  </si>
  <si>
    <t xml:space="preserve">высота до конька, P</t>
  </si>
  <si>
    <t xml:space="preserve">высота прямой стены</t>
  </si>
  <si>
    <t xml:space="preserve">скат</t>
  </si>
  <si>
    <t xml:space="preserve">ендова вн</t>
  </si>
  <si>
    <t xml:space="preserve">длина ската конька, T</t>
  </si>
  <si>
    <t xml:space="preserve">Ендова внутренняя, вариант 1, R</t>
  </si>
  <si>
    <t xml:space="preserve">конек мат</t>
  </si>
  <si>
    <t xml:space="preserve">Ендова внутренняя, вариант 2, R</t>
  </si>
  <si>
    <t xml:space="preserve">S кровли, вариант 1</t>
  </si>
  <si>
    <t xml:space="preserve">енд по дому</t>
  </si>
  <si>
    <t xml:space="preserve">S на  основной кровле</t>
  </si>
  <si>
    <t xml:space="preserve">S матеиала</t>
  </si>
  <si>
    <t xml:space="preserve">S материала для кровли, Вар 1</t>
  </si>
  <si>
    <t xml:space="preserve">S стен на кр</t>
  </si>
  <si>
    <t xml:space="preserve">конек по материалам</t>
  </si>
  <si>
    <t xml:space="preserve">S  на доме</t>
  </si>
  <si>
    <t xml:space="preserve">капельник</t>
  </si>
  <si>
    <t xml:space="preserve">длина ендовы внутренней по дому</t>
  </si>
  <si>
    <t xml:space="preserve">стропило, высота</t>
  </si>
  <si>
    <t xml:space="preserve">ручной ввод</t>
  </si>
  <si>
    <t xml:space="preserve">Считать Эркер</t>
  </si>
  <si>
    <t xml:space="preserve">Считать лаги</t>
  </si>
  <si>
    <t xml:space="preserve">Считать перекрытие 1 эт</t>
  </si>
  <si>
    <t xml:space="preserve">Считать перекрытие 2 эт</t>
  </si>
  <si>
    <t xml:space="preserve">Длина Н6</t>
  </si>
  <si>
    <t xml:space="preserve">Длина Н7</t>
  </si>
  <si>
    <t xml:space="preserve">Длина Н8</t>
  </si>
  <si>
    <t xml:space="preserve">длина 8</t>
  </si>
  <si>
    <t xml:space="preserve">Высота 1 эт</t>
  </si>
  <si>
    <t xml:space="preserve">Высота Н10</t>
  </si>
  <si>
    <t xml:space="preserve">Длина Н11</t>
  </si>
  <si>
    <t xml:space="preserve">Длина Н12</t>
  </si>
  <si>
    <t xml:space="preserve">Высота 2 эт</t>
  </si>
  <si>
    <t xml:space="preserve">Высота внешних углов 1 эт</t>
  </si>
  <si>
    <t xml:space="preserve">Высота внешних углов 2 эт</t>
  </si>
  <si>
    <t xml:space="preserve">Высота внутренних углов 1 эт</t>
  </si>
  <si>
    <t xml:space="preserve">Высота внутренних углов 2эт</t>
  </si>
  <si>
    <t xml:space="preserve">S стен 1 эт отнять</t>
  </si>
  <si>
    <t xml:space="preserve">S стен 2 этажа отнять</t>
  </si>
  <si>
    <t xml:space="preserve">S перекрытия 0 этажа</t>
  </si>
  <si>
    <t xml:space="preserve">S перекрытия 1 этажа</t>
  </si>
  <si>
    <t xml:space="preserve">S стен общая</t>
  </si>
  <si>
    <t xml:space="preserve">S стен чистая</t>
  </si>
  <si>
    <t xml:space="preserve">Кровля</t>
  </si>
  <si>
    <t xml:space="preserve">длина ската, L1</t>
  </si>
  <si>
    <t xml:space="preserve">длина выпуска по скату</t>
  </si>
  <si>
    <t xml:space="preserve">угол уклона ската L1</t>
  </si>
  <si>
    <t xml:space="preserve">длина выпуска по скату L1</t>
  </si>
  <si>
    <t xml:space="preserve">длина ската, L2</t>
  </si>
  <si>
    <t xml:space="preserve">длина ската, L3</t>
  </si>
  <si>
    <t xml:space="preserve">длина L1 с выпуском</t>
  </si>
  <si>
    <t xml:space="preserve">S стен в доме</t>
  </si>
  <si>
    <t xml:space="preserve">длина L2 с выпуском</t>
  </si>
  <si>
    <t xml:space="preserve">прибавить</t>
  </si>
  <si>
    <t xml:space="preserve">длина L3 с выпуском</t>
  </si>
  <si>
    <t xml:space="preserve">Считать кровлю на эркере</t>
  </si>
  <si>
    <t xml:space="preserve">S кровли с выпуском</t>
  </si>
  <si>
    <t xml:space="preserve">Материал для кровли</t>
  </si>
  <si>
    <t xml:space="preserve">площадь кровли</t>
  </si>
  <si>
    <t xml:space="preserve">длина скат</t>
  </si>
  <si>
    <t xml:space="preserve">S 1</t>
  </si>
  <si>
    <t xml:space="preserve">S 2</t>
  </si>
  <si>
    <t xml:space="preserve">площадь по полу</t>
  </si>
  <si>
    <t xml:space="preserve">S 3</t>
  </si>
  <si>
    <t xml:space="preserve">длина углов внутр ендова</t>
  </si>
  <si>
    <t xml:space="preserve">площадь кровли по работе</t>
  </si>
  <si>
    <t xml:space="preserve">ендова внешняя угол</t>
  </si>
  <si>
    <t xml:space="preserve">площ кровли по материалу</t>
  </si>
  <si>
    <t xml:space="preserve">Считать фундамент</t>
  </si>
  <si>
    <t xml:space="preserve">чистая площадь, утепление кровли</t>
  </si>
  <si>
    <t xml:space="preserve">Размеры оконных проемов</t>
  </si>
  <si>
    <t xml:space="preserve">Размеры дверных проемов</t>
  </si>
  <si>
    <t xml:space="preserve">Общ. площадь</t>
  </si>
  <si>
    <t xml:space="preserve">общ площ</t>
  </si>
  <si>
    <t xml:space="preserve">Итого, площадь окон, м2</t>
  </si>
  <si>
    <t xml:space="preserve">ПЛ несущие дверей межк. 1 этаж, м2</t>
  </si>
  <si>
    <t xml:space="preserve">ПЛ простые дверей межк. 1 этаж, м2</t>
  </si>
  <si>
    <t xml:space="preserve">Пл несущие дверей межк. 2 этаж, м2</t>
  </si>
  <si>
    <t xml:space="preserve">Пл простые дверей межк. 2 этаж, м2</t>
  </si>
  <si>
    <t xml:space="preserve">Длина проемов несущие первый этаж</t>
  </si>
  <si>
    <t xml:space="preserve">Длина проемов простые первый этаж</t>
  </si>
  <si>
    <t xml:space="preserve">Общ. Площадь</t>
  </si>
  <si>
    <t xml:space="preserve">Парадная</t>
  </si>
  <si>
    <t xml:space="preserve">Итого, площадь балкона,м2</t>
  </si>
  <si>
    <t xml:space="preserve">Итого, площадь наружних дверей,м2</t>
  </si>
  <si>
    <t xml:space="preserve">окна двери</t>
  </si>
  <si>
    <t xml:space="preserve">Размеры, необходимые для точного расчета стоимости строительства дома</t>
  </si>
  <si>
    <t xml:space="preserve">этажность</t>
  </si>
  <si>
    <t xml:space="preserve">высота до конька  от перекрыт</t>
  </si>
  <si>
    <t xml:space="preserve">размеры дома</t>
  </si>
  <si>
    <t xml:space="preserve">длина </t>
  </si>
  <si>
    <t xml:space="preserve">общая площ</t>
  </si>
  <si>
    <t xml:space="preserve">катет от кр</t>
  </si>
  <si>
    <t xml:space="preserve">ед. изм.</t>
  </si>
  <si>
    <t xml:space="preserve">длина пер</t>
  </si>
  <si>
    <t xml:space="preserve">катет от кровли</t>
  </si>
  <si>
    <t xml:space="preserve">Длина несущих перегородок на 1-ом этаже по оси Х перемычки фундамента</t>
  </si>
  <si>
    <t xml:space="preserve">Длина несущих перегородок на 2-ом этаже по оси Х</t>
  </si>
  <si>
    <t xml:space="preserve">Длина перегородок на 1-ом этаже по оси Х </t>
  </si>
  <si>
    <t xml:space="preserve">Длина перегородок на 2-ом этаже по оси Х</t>
  </si>
  <si>
    <t xml:space="preserve">Длина несущих перегородок на 1-ом этаже по оси Y перемычки фундамента</t>
  </si>
  <si>
    <t xml:space="preserve">Длина несущих перегородок на 2-ом этаже по оси Y</t>
  </si>
  <si>
    <t xml:space="preserve">Длина на 1-ом этаже по оси Y </t>
  </si>
  <si>
    <t xml:space="preserve">Длина перегододок на 2-ом этаже по оси  Y</t>
  </si>
  <si>
    <t xml:space="preserve">несущие 1-ый эт</t>
  </si>
  <si>
    <t xml:space="preserve">несущие 2-ой эт</t>
  </si>
  <si>
    <t xml:space="preserve">простые 1-ый эт</t>
  </si>
  <si>
    <t xml:space="preserve">простые 2-ой эт</t>
  </si>
  <si>
    <t xml:space="preserve">общее несущие</t>
  </si>
  <si>
    <t xml:space="preserve">общее простые</t>
  </si>
  <si>
    <t xml:space="preserve">перегородки считает</t>
  </si>
  <si>
    <t xml:space="preserve">кол-во свай</t>
  </si>
  <si>
    <t xml:space="preserve">обвязочный брус, толщина</t>
  </si>
  <si>
    <t xml:space="preserve">обвязочный брус, ширина</t>
  </si>
  <si>
    <t xml:space="preserve">обвязка</t>
  </si>
  <si>
    <t xml:space="preserve">наружние стены, сип, толщина</t>
  </si>
  <si>
    <t xml:space="preserve">внутренние перегородки, сип, толщина</t>
  </si>
  <si>
    <t xml:space="preserve">мансардный второй этаж</t>
  </si>
  <si>
    <t xml:space="preserve">сип панели + металлочерепица</t>
  </si>
  <si>
    <t xml:space="preserve">стропило+металлочерепица</t>
  </si>
  <si>
    <t xml:space="preserve">коньковой брус</t>
  </si>
  <si>
    <t xml:space="preserve">кровельное покрытие, сип</t>
  </si>
  <si>
    <t xml:space="preserve">площадь перекрытий  на наружних стенах</t>
  </si>
  <si>
    <t xml:space="preserve">расходные материалы</t>
  </si>
  <si>
    <t xml:space="preserve">пристройка</t>
  </si>
  <si>
    <t xml:space="preserve">доставка</t>
  </si>
  <si>
    <t xml:space="preserve">Общие размеры строения</t>
  </si>
  <si>
    <t xml:space="preserve">S общая строения первого этажа</t>
  </si>
  <si>
    <t xml:space="preserve">S чистая строения</t>
  </si>
  <si>
    <t xml:space="preserve">Брус для обвязки несущие стены и перегор</t>
  </si>
  <si>
    <t xml:space="preserve">обвязка наружние стены по этажам</t>
  </si>
  <si>
    <t xml:space="preserve">обвязка перегородки несущие по этажам</t>
  </si>
  <si>
    <t xml:space="preserve">обвязка перегородки по этажам</t>
  </si>
  <si>
    <t xml:space="preserve">S общая наружних стен</t>
  </si>
  <si>
    <t xml:space="preserve">S чистая внутри наружних стен</t>
  </si>
  <si>
    <t xml:space="preserve">S общая несущих перегородок</t>
  </si>
  <si>
    <t xml:space="preserve">S общая перегородок простых</t>
  </si>
  <si>
    <t xml:space="preserve">V углов наружних стен</t>
  </si>
  <si>
    <t xml:space="preserve">S чистая внутренних перегородок</t>
  </si>
  <si>
    <t xml:space="preserve">площадь потолок</t>
  </si>
  <si>
    <t xml:space="preserve">площадь пол </t>
  </si>
  <si>
    <t xml:space="preserve">площадь перекрытия с учетом стен</t>
  </si>
  <si>
    <t xml:space="preserve">площадь лаг</t>
  </si>
  <si>
    <t xml:space="preserve">площадь перекрытий 1</t>
  </si>
  <si>
    <t xml:space="preserve">площадь перекрытий 2</t>
  </si>
  <si>
    <t xml:space="preserve">S перекрытий</t>
  </si>
  <si>
    <t xml:space="preserve">Ендова наружняя, длина</t>
  </si>
  <si>
    <t xml:space="preserve">S карнизных свесов</t>
  </si>
  <si>
    <t xml:space="preserve">СТРОИТЕЛЬСТВО ДОМА СИБ ПАНЕЛИ</t>
  </si>
  <si>
    <t xml:space="preserve">цена ед.изм.</t>
  </si>
  <si>
    <t xml:space="preserve">Площадь 1 л</t>
  </si>
  <si>
    <t xml:space="preserve">Кол-во лист</t>
  </si>
  <si>
    <t xml:space="preserve">Работа</t>
  </si>
  <si>
    <t xml:space="preserve">обвязка наружние стены верх низ</t>
  </si>
  <si>
    <t xml:space="preserve">обвязка несущие перегородки верх низ</t>
  </si>
  <si>
    <t xml:space="preserve">стойки наружние стены</t>
  </si>
  <si>
    <t xml:space="preserve">стойки перегородки несущие</t>
  </si>
  <si>
    <t xml:space="preserve">Стойки перегородки простые</t>
  </si>
  <si>
    <t xml:space="preserve">брус, обвязка кровли, сип панели</t>
  </si>
  <si>
    <t xml:space="preserve">торцевая доска, кровля, сип панели</t>
  </si>
  <si>
    <t xml:space="preserve">итого материалы для каркаса</t>
  </si>
  <si>
    <t xml:space="preserve">работа, изготовление каркаса</t>
  </si>
  <si>
    <t xml:space="preserve">СИП ПАНЕЛИ</t>
  </si>
  <si>
    <t xml:space="preserve">Требуется посчитать, ставьте 1, если нет 0</t>
  </si>
  <si>
    <t xml:space="preserve">Строительство дома, каркас, утепление, осб, гкл</t>
  </si>
  <si>
    <t xml:space="preserve">доска для каркаса, толщина</t>
  </si>
  <si>
    <t xml:space="preserve">наружние стены каркас, ширина</t>
  </si>
  <si>
    <t xml:space="preserve">несущие перегородки, каркас, ширина</t>
  </si>
  <si>
    <t xml:space="preserve">внутренние перегородки, каркас, толщина</t>
  </si>
  <si>
    <t xml:space="preserve">утепление наружних стен</t>
  </si>
  <si>
    <t xml:space="preserve">работа дв балки</t>
  </si>
  <si>
    <t xml:space="preserve">утепление перегородок</t>
  </si>
  <si>
    <t xml:space="preserve">монтаж osb наружние стены</t>
  </si>
  <si>
    <t xml:space="preserve">монтаж osb перегородки</t>
  </si>
  <si>
    <t xml:space="preserve">монтаж osb потолок</t>
  </si>
  <si>
    <t xml:space="preserve">половое покрытие osb</t>
  </si>
  <si>
    <t xml:space="preserve">ветроизоляция дома снаружи </t>
  </si>
  <si>
    <t xml:space="preserve">пароизоляция дома внутри</t>
  </si>
  <si>
    <t xml:space="preserve">S общая строения</t>
  </si>
  <si>
    <t xml:space="preserve">S по полу чистая</t>
  </si>
  <si>
    <t xml:space="preserve">Брус для обвязки</t>
  </si>
  <si>
    <t xml:space="preserve">обвязка каркаса, верх/низ,риг,наружние стены</t>
  </si>
  <si>
    <t xml:space="preserve">обвязка каркаса, верх/низ,риг,пер-дки несущие</t>
  </si>
  <si>
    <t xml:space="preserve">обвязка каркаса, верх/низ, перегородки </t>
  </si>
  <si>
    <t xml:space="preserve">стойки каркаса наружних стен</t>
  </si>
  <si>
    <t xml:space="preserve">стойки каркаса несущих перегородок</t>
  </si>
  <si>
    <t xml:space="preserve">стойки каркаса перегородок</t>
  </si>
  <si>
    <t xml:space="preserve">S чистая наружних стен</t>
  </si>
  <si>
    <t xml:space="preserve">S общая внутренних перегородок несущих</t>
  </si>
  <si>
    <t xml:space="preserve">S общая внутренних перегородок простых</t>
  </si>
  <si>
    <t xml:space="preserve">площадь пол</t>
  </si>
  <si>
    <t xml:space="preserve">ДОМ КАРКАСНЫЙ, КОРОБКА</t>
  </si>
  <si>
    <t xml:space="preserve">ДОМ КАРКАСНЫЙ, КОРОБКА ЛСТК</t>
  </si>
  <si>
    <t xml:space="preserve">ДОМ КАРКАСНЫЙ, КОРОБКА двутавр балки</t>
  </si>
  <si>
    <t xml:space="preserve">цена 1 м3</t>
  </si>
  <si>
    <t xml:space="preserve">цена </t>
  </si>
  <si>
    <t xml:space="preserve">цена общ</t>
  </si>
  <si>
    <t xml:space="preserve">работа</t>
  </si>
  <si>
    <t xml:space="preserve">общ. Цена</t>
  </si>
  <si>
    <t xml:space="preserve">Нижняя обвязка</t>
  </si>
  <si>
    <t xml:space="preserve">монтаж обвязки</t>
  </si>
  <si>
    <t xml:space="preserve">Уголок для крепления окон/дверей</t>
  </si>
  <si>
    <t xml:space="preserve">Крепеж для нижней обвязки</t>
  </si>
  <si>
    <t xml:space="preserve">Перекладины для межк дверей, проемов горизонтальные</t>
  </si>
  <si>
    <t xml:space="preserve">Каркас наружние стены</t>
  </si>
  <si>
    <t xml:space="preserve">Крепеж для монтажа перекладин межк. Дверей и проемов</t>
  </si>
  <si>
    <t xml:space="preserve">Каркас несущие перегородки</t>
  </si>
  <si>
    <t xml:space="preserve">Каркас простые перегородки</t>
  </si>
  <si>
    <t xml:space="preserve">Крепеж для горизонтальной обрешетки</t>
  </si>
  <si>
    <t xml:space="preserve">Крепеж для вертикальной обрешетки</t>
  </si>
  <si>
    <t xml:space="preserve">Крепеж для внешней отделки здания</t>
  </si>
  <si>
    <t xml:space="preserve">Отделка потолок</t>
  </si>
  <si>
    <t xml:space="preserve">Отделка перегородок</t>
  </si>
  <si>
    <t xml:space="preserve">Крепеж для отделки потолок</t>
  </si>
  <si>
    <t xml:space="preserve">Крепеж для внутренней отделки наружних стен</t>
  </si>
  <si>
    <t xml:space="preserve">Обрешетка потолка</t>
  </si>
  <si>
    <t xml:space="preserve">Профлист потолок</t>
  </si>
  <si>
    <t xml:space="preserve">Ветроизоляция</t>
  </si>
  <si>
    <t xml:space="preserve">Верхняя/нижняя обвязка каркаса наружние стены</t>
  </si>
  <si>
    <t xml:space="preserve">мп.</t>
  </si>
  <si>
    <t xml:space="preserve">Крепеж для обрешетки потолок</t>
  </si>
  <si>
    <t xml:space="preserve">Пароизоляция</t>
  </si>
  <si>
    <t xml:space="preserve">Крепеж нижней обвязки</t>
  </si>
  <si>
    <t xml:space="preserve">Крепеж для профлиста</t>
  </si>
  <si>
    <t xml:space="preserve">уп</t>
  </si>
  <si>
    <t xml:space="preserve">Крепеж для монтажа стоек</t>
  </si>
  <si>
    <t xml:space="preserve">Обрешетка для пола</t>
  </si>
  <si>
    <t xml:space="preserve">Верхняя/нижняя обвязка каркаса несущие перегородки</t>
  </si>
  <si>
    <t xml:space="preserve">Профлист для чернового пола</t>
  </si>
  <si>
    <t xml:space="preserve">Крепеж для обрешетки пол</t>
  </si>
  <si>
    <t xml:space="preserve">Крепеж для профлист, пол</t>
  </si>
  <si>
    <t xml:space="preserve">Верхняя/нижняя обвязка каркаса простые перегородки</t>
  </si>
  <si>
    <t xml:space="preserve">Крепеж для полового покрытия</t>
  </si>
  <si>
    <t xml:space="preserve">Перекладины для окон/дверей горизонтальные</t>
  </si>
  <si>
    <t xml:space="preserve">Крепеж для монтажа стоек окон/дверей</t>
  </si>
  <si>
    <t xml:space="preserve">Строительство дома из Газобетона/Пенобетона</t>
  </si>
  <si>
    <t xml:space="preserve">газобетон стены</t>
  </si>
  <si>
    <t xml:space="preserve">толщина стен наружних</t>
  </si>
  <si>
    <t xml:space="preserve">тощина несущих перегородок</t>
  </si>
  <si>
    <t xml:space="preserve">толщина перегородок</t>
  </si>
  <si>
    <t xml:space="preserve">балки для проемов, окон, наружние стены</t>
  </si>
  <si>
    <t xml:space="preserve">балки для внутренних перегородок</t>
  </si>
  <si>
    <t xml:space="preserve">армо пояс наружн стен и несущих перегородок, кол-во в доме, 12 арм.</t>
  </si>
  <si>
    <t xml:space="preserve">сейсмопояс перекрытий 1 этажа</t>
  </si>
  <si>
    <t xml:space="preserve">сейсмопояс перекрытий 2 этажа</t>
  </si>
  <si>
    <t xml:space="preserve">объем 1эт</t>
  </si>
  <si>
    <t xml:space="preserve">Длина 2 эт</t>
  </si>
  <si>
    <t xml:space="preserve">объем 2 эт</t>
  </si>
  <si>
    <t xml:space="preserve">сейсмопояс перекрытий наруж , ширина</t>
  </si>
  <si>
    <t xml:space="preserve">сейсмопояс перекрытий нес пер , ширина</t>
  </si>
  <si>
    <t xml:space="preserve">бетононасос для заливки сейсмопояса</t>
  </si>
  <si>
    <t xml:space="preserve">ветроизоляция наружних стен</t>
  </si>
  <si>
    <t xml:space="preserve">обвязка наружние стены</t>
  </si>
  <si>
    <t xml:space="preserve">обвязка перегородки несущие</t>
  </si>
  <si>
    <t xml:space="preserve">V углов</t>
  </si>
  <si>
    <t xml:space="preserve">обвязка перегородки</t>
  </si>
  <si>
    <t xml:space="preserve">блоков</t>
  </si>
  <si>
    <t xml:space="preserve">V 1 блока</t>
  </si>
  <si>
    <t xml:space="preserve">диагон блок</t>
  </si>
  <si>
    <t xml:space="preserve">V блоков</t>
  </si>
  <si>
    <t xml:space="preserve">коэф</t>
  </si>
  <si>
    <t xml:space="preserve">м4</t>
  </si>
  <si>
    <t xml:space="preserve">Дом из пенобетона</t>
  </si>
  <si>
    <t xml:space="preserve">пенобетон стены</t>
  </si>
  <si>
    <t xml:space="preserve">цена 1 ед.изм</t>
  </si>
  <si>
    <t xml:space="preserve">ГАЗОБЕТОН/ПЕНОБЕТОН ДОМ</t>
  </si>
  <si>
    <t xml:space="preserve">Строительство дома из Кирпича</t>
  </si>
  <si>
    <t xml:space="preserve">кладочная сетка каждый 5 ряд</t>
  </si>
  <si>
    <t xml:space="preserve">рядов</t>
  </si>
  <si>
    <t xml:space="preserve">сейсмопояс перекрытий, высота</t>
  </si>
  <si>
    <t xml:space="preserve">сейсмопояс перекрытий, ширина</t>
  </si>
  <si>
    <t xml:space="preserve">итого материалы для коробки</t>
  </si>
  <si>
    <t xml:space="preserve">работа, изготовление коробки</t>
  </si>
  <si>
    <t xml:space="preserve">КИРПИЧНЫЙ ДОМ</t>
  </si>
  <si>
    <t xml:space="preserve">Строительство дома Брусового</t>
  </si>
  <si>
    <t xml:space="preserve">брус лиственница нижний венец</t>
  </si>
  <si>
    <t xml:space="preserve">брус наружние стены, высота</t>
  </si>
  <si>
    <t xml:space="preserve">брус наружние стены, ширина</t>
  </si>
  <si>
    <t xml:space="preserve">откосы</t>
  </si>
  <si>
    <t xml:space="preserve">брус несущие перегородки, высота</t>
  </si>
  <si>
    <t xml:space="preserve">двери</t>
  </si>
  <si>
    <t xml:space="preserve">брус несущие перегородки, ширина</t>
  </si>
  <si>
    <t xml:space="preserve">проемы</t>
  </si>
  <si>
    <t xml:space="preserve">брус перегородки, высота</t>
  </si>
  <si>
    <t xml:space="preserve">брус перегородки, ширина</t>
  </si>
  <si>
    <t xml:space="preserve">брусовой</t>
  </si>
  <si>
    <t xml:space="preserve">профил</t>
  </si>
  <si>
    <t xml:space="preserve">клееный</t>
  </si>
  <si>
    <t xml:space="preserve">оцилиндровка</t>
  </si>
  <si>
    <t xml:space="preserve">дикий</t>
  </si>
  <si>
    <t xml:space="preserve">окосячка окон, дверей наружние стены 1 эт</t>
  </si>
  <si>
    <t xml:space="preserve">окосячка окон, дверей наружние стены 2 эт</t>
  </si>
  <si>
    <t xml:space="preserve">окосячка проемов, дверей перегородки несущие 1 эт</t>
  </si>
  <si>
    <t xml:space="preserve">окосячка проемов, дверей перегородки простые 1 эт</t>
  </si>
  <si>
    <t xml:space="preserve">окосячка проемов, дверей перегородки несущие 2 эт</t>
  </si>
  <si>
    <t xml:space="preserve">окосячка проемов, дверей перегородки простые 2  эт</t>
  </si>
  <si>
    <t xml:space="preserve">различные выпуски по длине</t>
  </si>
  <si>
    <t xml:space="preserve">стандартные выпуски по длине</t>
  </si>
  <si>
    <t xml:space="preserve">площадь вся</t>
  </si>
  <si>
    <t xml:space="preserve">БРУСОВОЙ ДОМ</t>
  </si>
  <si>
    <t xml:space="preserve">Строительство дома из Профилированного Бруса</t>
  </si>
  <si>
    <t xml:space="preserve">объем на балкон</t>
  </si>
  <si>
    <t xml:space="preserve">S общая внутренних перегородок</t>
  </si>
  <si>
    <t xml:space="preserve">S несущих перегородок</t>
  </si>
  <si>
    <t xml:space="preserve">S перекрытий, 0-1-2 этажи</t>
  </si>
  <si>
    <t xml:space="preserve">профилированный брус</t>
  </si>
  <si>
    <t xml:space="preserve">Строительство дома из Клееного Бруса</t>
  </si>
  <si>
    <t xml:space="preserve">клееный брус</t>
  </si>
  <si>
    <t xml:space="preserve">Строительство дома из Оцилиндрованного бревна</t>
  </si>
  <si>
    <t xml:space="preserve">офилиндрованное бревно</t>
  </si>
  <si>
    <t xml:space="preserve">Строительство дома из Дикого Бруса</t>
  </si>
  <si>
    <t xml:space="preserve">дикий лес</t>
  </si>
  <si>
    <t xml:space="preserve">Терраса</t>
  </si>
  <si>
    <t xml:space="preserve">Считать террасу</t>
  </si>
  <si>
    <t xml:space="preserve">2 этажа</t>
  </si>
  <si>
    <t xml:space="preserve">Высота Н19, 1 эт</t>
  </si>
  <si>
    <t xml:space="preserve">Высота Н20, 2 эт</t>
  </si>
  <si>
    <t xml:space="preserve">монтаж веранды</t>
  </si>
  <si>
    <t xml:space="preserve">монтаж лаги, перекрытия</t>
  </si>
  <si>
    <t xml:space="preserve">высота первого этажа</t>
  </si>
  <si>
    <t xml:space="preserve">S террасы</t>
  </si>
  <si>
    <t xml:space="preserve">Периметр перил</t>
  </si>
  <si>
    <t xml:space="preserve">количество столбов основных</t>
  </si>
  <si>
    <t xml:space="preserve">Считать кровлю двускатную</t>
  </si>
  <si>
    <t xml:space="preserve">Высота 9</t>
  </si>
  <si>
    <t xml:space="preserve">высота 2 этажа</t>
  </si>
  <si>
    <t xml:space="preserve">материал</t>
  </si>
  <si>
    <t xml:space="preserve">водосточка</t>
  </si>
  <si>
    <t xml:space="preserve">Кровля двускатная терасса</t>
  </si>
  <si>
    <t xml:space="preserve">мауэрлат, ширина</t>
  </si>
  <si>
    <t xml:space="preserve">мауэрлат, толщина</t>
  </si>
  <si>
    <t xml:space="preserve">кровельное покрытие, металлочерепица</t>
  </si>
  <si>
    <t xml:space="preserve">кровельное покрытие, ондулин</t>
  </si>
  <si>
    <t xml:space="preserve">покрытие кровли на сип панели</t>
  </si>
  <si>
    <t xml:space="preserve">КРОВЛЯ ДВУСКАТНАЯ терасса</t>
  </si>
  <si>
    <t xml:space="preserve">выбор балкона</t>
  </si>
  <si>
    <t xml:space="preserve">Размеры балконов</t>
  </si>
  <si>
    <t xml:space="preserve">балкон 2</t>
  </si>
  <si>
    <t xml:space="preserve">Высота Н16</t>
  </si>
  <si>
    <t xml:space="preserve">сччитать балкон на первом этаже</t>
  </si>
  <si>
    <t xml:space="preserve">Двускат кровля</t>
  </si>
  <si>
    <t xml:space="preserve">вальмовая</t>
  </si>
  <si>
    <t xml:space="preserve">полувальмовая</t>
  </si>
  <si>
    <t xml:space="preserve">если</t>
  </si>
  <si>
    <t xml:space="preserve">ширина до конька дома</t>
  </si>
  <si>
    <t xml:space="preserve">разница стен от конька до аттиков стены</t>
  </si>
  <si>
    <t xml:space="preserve">разница от центра дома до стены балкона</t>
  </si>
  <si>
    <t xml:space="preserve">процент длины до конька</t>
  </si>
  <si>
    <t xml:space="preserve">процент на который уменьшилась длина</t>
  </si>
  <si>
    <t xml:space="preserve">высота стены балкона/дома на сколько уменьши</t>
  </si>
  <si>
    <t xml:space="preserve">высота от аттик стены до верха стены балкона</t>
  </si>
  <si>
    <t xml:space="preserve">S дополнительной стены дома</t>
  </si>
  <si>
    <t xml:space="preserve">Высота стойки каркаса которую нужно прибавить</t>
  </si>
  <si>
    <t xml:space="preserve">Высота стойки каркаса, которую нужно отнять</t>
  </si>
  <si>
    <t xml:space="preserve">Количество стоек, которые нужно отнять/прибав</t>
  </si>
  <si>
    <t xml:space="preserve">крыльцо</t>
  </si>
  <si>
    <t xml:space="preserve">двускатная</t>
  </si>
  <si>
    <t xml:space="preserve">длина ската с выпуском справа</t>
  </si>
  <si>
    <t xml:space="preserve">длина ската спереди</t>
  </si>
  <si>
    <t xml:space="preserve">длина грани между скатов</t>
  </si>
  <si>
    <t xml:space="preserve">материал для металлочереп</t>
  </si>
  <si>
    <t xml:space="preserve">матер мягкой кровли</t>
  </si>
  <si>
    <t xml:space="preserve">Желоб</t>
  </si>
  <si>
    <t xml:space="preserve">Труба водосточная</t>
  </si>
  <si>
    <t xml:space="preserve">планка примыкания</t>
  </si>
  <si>
    <t xml:space="preserve">стропило</t>
  </si>
  <si>
    <t xml:space="preserve">металл</t>
  </si>
  <si>
    <t xml:space="preserve">ондул</t>
  </si>
  <si>
    <t xml:space="preserve">мягкая</t>
  </si>
  <si>
    <t xml:space="preserve">каркас</t>
  </si>
  <si>
    <t xml:space="preserve">высота 2-го этажа, до перекрытий</t>
  </si>
  <si>
    <t xml:space="preserve">высота от аттиковой  до конька, Е</t>
  </si>
  <si>
    <t xml:space="preserve">считать фронтон</t>
  </si>
  <si>
    <t xml:space="preserve">Считать фронтон</t>
  </si>
  <si>
    <t xml:space="preserve">Итого, м2</t>
  </si>
  <si>
    <t xml:space="preserve">S, общ.наружних стен</t>
  </si>
  <si>
    <t xml:space="preserve">S, чистая наружних стен</t>
  </si>
  <si>
    <t xml:space="preserve">S, общ. Внутр стен</t>
  </si>
  <si>
    <t xml:space="preserve">Считать кровлю вальмовую</t>
  </si>
  <si>
    <t xml:space="preserve">Считать элементы кровли</t>
  </si>
  <si>
    <t xml:space="preserve">S кровли, вариант 2</t>
  </si>
  <si>
    <t xml:space="preserve">S материала для кровли, Вар 2</t>
  </si>
  <si>
    <t xml:space="preserve">Высота Н3</t>
  </si>
  <si>
    <t xml:space="preserve">Высота Н3.1</t>
  </si>
  <si>
    <t xml:space="preserve">Высота Н4</t>
  </si>
  <si>
    <t xml:space="preserve">Высота Н5</t>
  </si>
  <si>
    <t xml:space="preserve">Высота Н4.1</t>
  </si>
  <si>
    <t xml:space="preserve">Считать ворота</t>
  </si>
  <si>
    <t xml:space="preserve">S перегородок чистая</t>
  </si>
  <si>
    <t xml:space="preserve">S внутренних стен чистая</t>
  </si>
  <si>
    <t xml:space="preserve">Считать кровлю на пристройку</t>
  </si>
  <si>
    <t xml:space="preserve">выпуск по фронтону</t>
  </si>
  <si>
    <t xml:space="preserve">Высота Н9</t>
  </si>
  <si>
    <t xml:space="preserve">Длина Н13</t>
  </si>
  <si>
    <t xml:space="preserve">S,м2</t>
  </si>
  <si>
    <t xml:space="preserve">Проем</t>
  </si>
  <si>
    <t xml:space="preserve">S проемов</t>
  </si>
  <si>
    <t xml:space="preserve">Считать балкон</t>
  </si>
  <si>
    <t xml:space="preserve">Длина Н15</t>
  </si>
  <si>
    <t xml:space="preserve">S пола балкона</t>
  </si>
  <si>
    <t xml:space="preserve">S стен балкона</t>
  </si>
  <si>
    <t xml:space="preserve">Длина Н18</t>
  </si>
  <si>
    <t xml:space="preserve">S, лаги</t>
  </si>
  <si>
    <t xml:space="preserve">S, перекрытия 1 эт</t>
  </si>
  <si>
    <t xml:space="preserve">S, перекрытия 2 эт</t>
  </si>
  <si>
    <t xml:space="preserve">Цоколь</t>
  </si>
  <si>
    <t xml:space="preserve">Считать цокольный этаж</t>
  </si>
  <si>
    <t xml:space="preserve">Считать из блоков ФБС</t>
  </si>
  <si>
    <t xml:space="preserve">Монолит</t>
  </si>
  <si>
    <t xml:space="preserve">Считать монолит</t>
  </si>
  <si>
    <t xml:space="preserve">Считать сейсмопояс</t>
  </si>
  <si>
    <t xml:space="preserve">S, этажа</t>
  </si>
  <si>
    <t xml:space="preserve">V, цокольного этажа</t>
  </si>
  <si>
    <t xml:space="preserve">V стен цоколя общий</t>
  </si>
  <si>
    <t xml:space="preserve">Итого, длина перегородок, м.п.</t>
  </si>
  <si>
    <t xml:space="preserve">Итого, S проемов</t>
  </si>
  <si>
    <t xml:space="preserve">V проемов</t>
  </si>
  <si>
    <t xml:space="preserve">V стен цоколя чистый</t>
  </si>
  <si>
    <t xml:space="preserve">S перегородок по полу</t>
  </si>
  <si>
    <t xml:space="preserve">S цоколя чистая</t>
  </si>
  <si>
    <t xml:space="preserve">Значения для полного расчета стоимости строительства домов необходимо вводить в ячейки с цветом</t>
  </si>
  <si>
    <t xml:space="preserve">Дверь на балкон</t>
  </si>
  <si>
    <t xml:space="preserve">Итого, площадь дверей межкомнатных, м2</t>
  </si>
  <si>
    <t xml:space="preserve">высота до конька берем от аттиковой стены</t>
  </si>
  <si>
    <t xml:space="preserve">длина перегородки</t>
  </si>
  <si>
    <t xml:space="preserve">итого,м2</t>
  </si>
  <si>
    <t xml:space="preserve">S окон, вх. Дверей</t>
  </si>
  <si>
    <t xml:space="preserve">S межкомнатных дверей</t>
  </si>
  <si>
    <t xml:space="preserve">расодные материалы</t>
  </si>
  <si>
    <t xml:space="preserve">монтаж откосов вн</t>
  </si>
  <si>
    <t xml:space="preserve">монтаж направл вн</t>
  </si>
  <si>
    <t xml:space="preserve">монтаж уголков вн</t>
  </si>
  <si>
    <t xml:space="preserve">монтаж откосов</t>
  </si>
  <si>
    <t xml:space="preserve">монтаж направляющ</t>
  </si>
  <si>
    <t xml:space="preserve">монтаж уголков</t>
  </si>
  <si>
    <t xml:space="preserve">монтаж франццзских окон</t>
  </si>
  <si>
    <t xml:space="preserve">Анкер болт, 12*200</t>
  </si>
  <si>
    <t xml:space="preserve">ОКНА И ДВЕРИ В ДОМЕ</t>
  </si>
  <si>
    <t xml:space="preserve">Лестница двухмаршевая</t>
  </si>
  <si>
    <t xml:space="preserve">монтаж готовой лестницы</t>
  </si>
  <si>
    <t xml:space="preserve">итого, материалы отопления</t>
  </si>
  <si>
    <t xml:space="preserve">итого, работа отопления</t>
  </si>
  <si>
    <t xml:space="preserve">ЛЕСТНИЦА ДВУХМАРШЕВАЯ</t>
  </si>
  <si>
    <t xml:space="preserve">деревянная подсистема, брусок</t>
  </si>
  <si>
    <t xml:space="preserve">камень искуственный на все стены</t>
  </si>
  <si>
    <t xml:space="preserve">Декоративная штукатурка</t>
  </si>
  <si>
    <t xml:space="preserve">шифер плоский на все стены</t>
  </si>
  <si>
    <t xml:space="preserve">Блок хаус</t>
  </si>
  <si>
    <t xml:space="preserve">Софт лайн</t>
  </si>
  <si>
    <t xml:space="preserve">штиль</t>
  </si>
  <si>
    <t xml:space="preserve">Евровагонка</t>
  </si>
  <si>
    <t xml:space="preserve">планкен+камень</t>
  </si>
  <si>
    <t xml:space="preserve">углы дома камень, высота до кровли</t>
  </si>
  <si>
    <t xml:space="preserve">углы дома камень, площадь</t>
  </si>
  <si>
    <t xml:space="preserve">планкен, площадь</t>
  </si>
  <si>
    <t xml:space="preserve">плоский шифер под камень</t>
  </si>
  <si>
    <t xml:space="preserve">окрашивание деревянных поверхностей</t>
  </si>
  <si>
    <t xml:space="preserve">покрытие лаком деревянных поверхностей</t>
  </si>
  <si>
    <t xml:space="preserve">покрытие лаком камень</t>
  </si>
  <si>
    <t xml:space="preserve">периметр цоколя</t>
  </si>
  <si>
    <t xml:space="preserve">металлическая подсистема, профиль г-обр</t>
  </si>
  <si>
    <t xml:space="preserve">плоский шифер под искуственный камень</t>
  </si>
  <si>
    <t xml:space="preserve">кронштейн для крепления подсистемы</t>
  </si>
  <si>
    <t xml:space="preserve">кровля</t>
  </si>
  <si>
    <t xml:space="preserve">дом, стены</t>
  </si>
  <si>
    <t xml:space="preserve">кровля, подшивка свесов</t>
  </si>
  <si>
    <t xml:space="preserve">подсистема для гкл</t>
  </si>
  <si>
    <t xml:space="preserve">подсистема для деревянной отделки</t>
  </si>
  <si>
    <t xml:space="preserve">натяжной</t>
  </si>
  <si>
    <t xml:space="preserve">подсистема, брусок для деревянной отделки</t>
  </si>
  <si>
    <t xml:space="preserve">стеновые панели стены</t>
  </si>
  <si>
    <t xml:space="preserve">стеновые панели потолок</t>
  </si>
  <si>
    <t xml:space="preserve">двери межкомнатные</t>
  </si>
  <si>
    <t xml:space="preserve">Sпотолок</t>
  </si>
  <si>
    <t xml:space="preserve">Sпол</t>
  </si>
  <si>
    <t xml:space="preserve">потолок чистый</t>
  </si>
  <si>
    <t xml:space="preserve">S чистая внутр наружних стен</t>
  </si>
  <si>
    <t xml:space="preserve">устанвка дверей</t>
  </si>
  <si>
    <t xml:space="preserve">итого, материалы чистовой</t>
  </si>
  <si>
    <t xml:space="preserve">итого, работа чистовой</t>
  </si>
  <si>
    <t xml:space="preserve">ЧИСТОВАЯ ОТДЕЛКА ПОМЕЩЕНИЯ</t>
  </si>
  <si>
    <t xml:space="preserve">мансардные окна</t>
  </si>
  <si>
    <t xml:space="preserve">Лестница бетонная</t>
  </si>
  <si>
    <t xml:space="preserve">кол-во </t>
  </si>
  <si>
    <t xml:space="preserve">высота ступеней</t>
  </si>
  <si>
    <t xml:space="preserve">мп</t>
  </si>
  <si>
    <t xml:space="preserve">руб</t>
  </si>
  <si>
    <t xml:space="preserve">Монтаж лестницы</t>
  </si>
  <si>
    <t xml:space="preserve">ЖБИ перекрытие</t>
  </si>
  <si>
    <t xml:space="preserve">площадь</t>
  </si>
  <si>
    <t xml:space="preserve">перекрытие жби 0 этаж</t>
  </si>
  <si>
    <t xml:space="preserve">перкрытие жби 1 этаж</t>
  </si>
  <si>
    <t xml:space="preserve">перкрытие жби 2 этаж</t>
  </si>
  <si>
    <t xml:space="preserve">кран для плит перекрытий</t>
  </si>
  <si>
    <t xml:space="preserve">Монолит перекрытие</t>
  </si>
  <si>
    <t xml:space="preserve">перкрытие монолит, 0 этаж</t>
  </si>
  <si>
    <t xml:space="preserve">перкрытие монолит 1 этаж</t>
  </si>
  <si>
    <t xml:space="preserve">перкрытие монолит 2 этаж</t>
  </si>
  <si>
    <t xml:space="preserve">стойки под опалубку перекрытий</t>
  </si>
  <si>
    <t xml:space="preserve">бетононасос для заливки плиты</t>
  </si>
  <si>
    <t xml:space="preserve">Брус естественной влажности</t>
  </si>
  <si>
    <t xml:space="preserve">шаг для форм</t>
  </si>
  <si>
    <t xml:space="preserve">перекрытие деревянное, 0 этаж</t>
  </si>
  <si>
    <t xml:space="preserve">перекрытие деревянное 1 этаж</t>
  </si>
  <si>
    <t xml:space="preserve">перекрытие деревянное 2 этаж</t>
  </si>
  <si>
    <t xml:space="preserve">Контрлаги</t>
  </si>
  <si>
    <t xml:space="preserve">контрлаги</t>
  </si>
  <si>
    <t xml:space="preserve">Доска сухая доска перекрытие</t>
  </si>
  <si>
    <t xml:space="preserve">перекрытие деревянное сух, 0 этаж</t>
  </si>
  <si>
    <t xml:space="preserve">калиброванноедеревянное сух, 0 этаж</t>
  </si>
  <si>
    <t xml:space="preserve">Двутавровые балки перекрытие</t>
  </si>
  <si>
    <t xml:space="preserve">Сип панели перекрытие</t>
  </si>
  <si>
    <t xml:space="preserve">доска обв</t>
  </si>
  <si>
    <t xml:space="preserve">м.п.доски в панели</t>
  </si>
  <si>
    <t xml:space="preserve">пол 0-го этаж, сип, толщина</t>
  </si>
  <si>
    <t xml:space="preserve">м2 панель</t>
  </si>
  <si>
    <t xml:space="preserve">в 1м2 доски</t>
  </si>
  <si>
    <t xml:space="preserve">Плиты перекрытия ЖБИ</t>
  </si>
  <si>
    <t xml:space="preserve">Монолит, бетон, 300мм, 2 слоя</t>
  </si>
  <si>
    <t xml:space="preserve">Монолит, бетон, 300мм, 1 слой</t>
  </si>
  <si>
    <t xml:space="preserve">Монолит, бетон, 250мм, 2 слоя</t>
  </si>
  <si>
    <t xml:space="preserve">Монолит, бетон, 250мм, 1 слой</t>
  </si>
  <si>
    <t xml:space="preserve">Монолит, бетон, 200мм, 2 слоя</t>
  </si>
  <si>
    <t xml:space="preserve">Монолит, бетон, 200мм, 1 слой</t>
  </si>
  <si>
    <t xml:space="preserve">Монолит, бетон, 150мм, 2 слоя</t>
  </si>
  <si>
    <t xml:space="preserve">Монолит, бетон, 150мм, 1 слой</t>
  </si>
  <si>
    <t xml:space="preserve">доска для опалубки монолит перекрытий</t>
  </si>
  <si>
    <t xml:space="preserve">бетон, м350</t>
  </si>
  <si>
    <t xml:space="preserve">Брус естественной влажности, 200*100мм</t>
  </si>
  <si>
    <t xml:space="preserve">Брус естественной влажности, 150*100мм</t>
  </si>
  <si>
    <t xml:space="preserve">Доска естественной влажности, 150*50мм</t>
  </si>
  <si>
    <t xml:space="preserve">Доска сухая калиброванная, 145*45мм</t>
  </si>
  <si>
    <t xml:space="preserve">Плита перекрытия  ЖБИ</t>
  </si>
  <si>
    <t xml:space="preserve">Монтаж чернового пола 0 этажа</t>
  </si>
  <si>
    <t xml:space="preserve">Монтаж чернового пола 1 этажа</t>
  </si>
  <si>
    <t xml:space="preserve">Монтаж чернового пола 2 этажа</t>
  </si>
  <si>
    <t xml:space="preserve">S кровли по материалу</t>
  </si>
  <si>
    <t xml:space="preserve">S на  основной кровли</t>
  </si>
  <si>
    <t xml:space="preserve">Итого, длина перегородок</t>
  </si>
  <si>
    <t xml:space="preserve">Размеры дома </t>
  </si>
  <si>
    <t xml:space="preserve">количество свай</t>
  </si>
  <si>
    <t xml:space="preserve">разбивка осей</t>
  </si>
  <si>
    <t xml:space="preserve">монтаж свай</t>
  </si>
  <si>
    <t xml:space="preserve">заливка бетоном</t>
  </si>
  <si>
    <t xml:space="preserve">если винтовые сваи</t>
  </si>
  <si>
    <t xml:space="preserve">Материалы для фундамента под веранду</t>
  </si>
  <si>
    <t xml:space="preserve">Материалы для фундамента под крыльцо</t>
  </si>
  <si>
    <t xml:space="preserve">Ленточный фундамент</t>
  </si>
  <si>
    <t xml:space="preserve">длина перегородок</t>
  </si>
  <si>
    <t xml:space="preserve">колво</t>
  </si>
  <si>
    <t xml:space="preserve">Длина ленты фундамента, м.п.</t>
  </si>
  <si>
    <t xml:space="preserve">Объем ленточного фундамента</t>
  </si>
  <si>
    <t xml:space="preserve">Утепление снаружи</t>
  </si>
  <si>
    <t xml:space="preserve">Толщина утепления снаружи</t>
  </si>
  <si>
    <t xml:space="preserve">Площадь отмостки</t>
  </si>
  <si>
    <t xml:space="preserve">утепление толщина</t>
  </si>
  <si>
    <t xml:space="preserve">Объем отмостки</t>
  </si>
  <si>
    <t xml:space="preserve">армирование</t>
  </si>
  <si>
    <t xml:space="preserve">трамбовка</t>
  </si>
  <si>
    <t xml:space="preserve">итого, материалы, руб</t>
  </si>
  <si>
    <t xml:space="preserve">итого, работы, руб</t>
  </si>
  <si>
    <t xml:space="preserve">итого, руб</t>
  </si>
  <si>
    <t xml:space="preserve">ЛЕНТОЧНЫЙ ФУНДАМЕНТ</t>
  </si>
  <si>
    <t xml:space="preserve">Толщина утепления</t>
  </si>
  <si>
    <t xml:space="preserve">Сваи </t>
  </si>
  <si>
    <t xml:space="preserve">Сваи для свайного поля</t>
  </si>
  <si>
    <t xml:space="preserve">Объем бетона для свай</t>
  </si>
  <si>
    <t xml:space="preserve">СВАЙНОРОСТВЕРКОВЫЙ ФУНДАМЕНТ</t>
  </si>
  <si>
    <t xml:space="preserve">Длина ребер жесткости</t>
  </si>
  <si>
    <t xml:space="preserve">Объем ребер жесткости, бетон</t>
  </si>
  <si>
    <t xml:space="preserve">Количество прутков арм-ры в ребрах</t>
  </si>
  <si>
    <t xml:space="preserve">Объем плиты в доме, бетон</t>
  </si>
  <si>
    <t xml:space="preserve">Общий объем плиты, бетон</t>
  </si>
  <si>
    <t xml:space="preserve">ч</t>
  </si>
  <si>
    <t xml:space="preserve">Кладочная сетка для трубы теплого пола</t>
  </si>
  <si>
    <t xml:space="preserve">Труба теплого пола, водяное отоплен.</t>
  </si>
  <si>
    <t xml:space="preserve">Коллектор  </t>
  </si>
  <si>
    <t xml:space="preserve">Дренажная труба</t>
  </si>
  <si>
    <t xml:space="preserve">Дренажные колодцы</t>
  </si>
  <si>
    <t xml:space="preserve">теплый пол</t>
  </si>
  <si>
    <t xml:space="preserve">цена за 1</t>
  </si>
  <si>
    <t xml:space="preserve">Общ цена</t>
  </si>
  <si>
    <t xml:space="preserve">сборка/разборка опалубки</t>
  </si>
  <si>
    <t xml:space="preserve">укладка пленки</t>
  </si>
  <si>
    <t xml:space="preserve">армирование пол</t>
  </si>
  <si>
    <t xml:space="preserve">ПЛИТА УШП, ТЕХНОЛОГИЯ ДОРОСЕЛЛ</t>
  </si>
  <si>
    <t xml:space="preserve">коэффициент</t>
  </si>
  <si>
    <t xml:space="preserve"> стены наружние фбс</t>
  </si>
  <si>
    <t xml:space="preserve">стены внутренние фбс</t>
  </si>
  <si>
    <t xml:space="preserve">площадь стен фбс чистая</t>
  </si>
  <si>
    <t xml:space="preserve">сейсмопояс, обвязка монолитной стяжкой стен фбс</t>
  </si>
  <si>
    <t xml:space="preserve">бетон</t>
  </si>
  <si>
    <t xml:space="preserve">стены наружние монолит</t>
  </si>
  <si>
    <t xml:space="preserve">стены внутренние монолит</t>
  </si>
  <si>
    <t xml:space="preserve">площадь стен монолит чистая</t>
  </si>
  <si>
    <t xml:space="preserve">сейсмопояс, обвязка монолитной стяжкой стен монолит</t>
  </si>
  <si>
    <t xml:space="preserve">ширина Н22</t>
  </si>
  <si>
    <t xml:space="preserve">стяжка пол в цок этеже</t>
  </si>
  <si>
    <t xml:space="preserve">S, стен цокольного этажа  общая</t>
  </si>
  <si>
    <t xml:space="preserve">S, стен цокольного этажа  чистая</t>
  </si>
  <si>
    <t xml:space="preserve">толщина утеплителя наружние стены</t>
  </si>
  <si>
    <t xml:space="preserve">S, цокольного этажа</t>
  </si>
  <si>
    <t xml:space="preserve">S, стен цокольного этажа по полу</t>
  </si>
  <si>
    <t xml:space="preserve">S цокольного этажа общая</t>
  </si>
  <si>
    <t xml:space="preserve">S цокольного этажа чистая</t>
  </si>
  <si>
    <t xml:space="preserve">доставки материалов</t>
  </si>
  <si>
    <t xml:space="preserve">основные нити, арматурного каркаса</t>
  </si>
  <si>
    <t xml:space="preserve">хомуты арматурного каркаса</t>
  </si>
  <si>
    <t xml:space="preserve">Доставка материалов</t>
  </si>
  <si>
    <t xml:space="preserve">стяжяка цоколь</t>
  </si>
  <si>
    <t xml:space="preserve">Толщина утепления пол</t>
  </si>
  <si>
    <t xml:space="preserve">Объем плиты, бетон</t>
  </si>
  <si>
    <t xml:space="preserve">количество арматуры для арматурного</t>
  </si>
  <si>
    <t xml:space="preserve">дренажная труба</t>
  </si>
  <si>
    <t xml:space="preserve">дренажный колодец</t>
  </si>
  <si>
    <t xml:space="preserve">цоколь данные</t>
  </si>
  <si>
    <t xml:space="preserve">фундамент ленточный, подготовка основания под стены цоколя</t>
  </si>
  <si>
    <t xml:space="preserve">цена 1 ед.</t>
  </si>
  <si>
    <t xml:space="preserve">ленточный фундамент</t>
  </si>
  <si>
    <t xml:space="preserve">стяжка в цокольном этаже</t>
  </si>
  <si>
    <t xml:space="preserve">укладка карбона</t>
  </si>
  <si>
    <t xml:space="preserve">укладка сетки</t>
  </si>
  <si>
    <t xml:space="preserve">армирование </t>
  </si>
  <si>
    <t xml:space="preserve">монтаж дренажн труб</t>
  </si>
  <si>
    <t xml:space="preserve">монтаж дренаж колодец</t>
  </si>
  <si>
    <t xml:space="preserve">приемка бетона на пол</t>
  </si>
  <si>
    <t xml:space="preserve">демпферная лента</t>
  </si>
  <si>
    <t xml:space="preserve">стены в цокольном этаже из блоков ФБС</t>
  </si>
  <si>
    <t xml:space="preserve">стены в цокольном этаже монолитные (бетон)</t>
  </si>
  <si>
    <t xml:space="preserve">вязка арматуры</t>
  </si>
  <si>
    <t xml:space="preserve">монтаж мауэрлата</t>
  </si>
  <si>
    <t xml:space="preserve">стойка под конек</t>
  </si>
  <si>
    <t xml:space="preserve">Кровля четырехскатная</t>
  </si>
  <si>
    <t xml:space="preserve">а1</t>
  </si>
  <si>
    <t xml:space="preserve">б1</t>
  </si>
  <si>
    <t xml:space="preserve">мягкая кровля</t>
  </si>
  <si>
    <t xml:space="preserve">доска стропило, высота</t>
  </si>
  <si>
    <t xml:space="preserve">е</t>
  </si>
  <si>
    <t xml:space="preserve">доска стропило, толщина</t>
  </si>
  <si>
    <t xml:space="preserve">д</t>
  </si>
  <si>
    <t xml:space="preserve">длина конька кровли</t>
  </si>
  <si>
    <t xml:space="preserve">х</t>
  </si>
  <si>
    <t xml:space="preserve">высота от перекрытий до конька</t>
  </si>
  <si>
    <t xml:space="preserve">дж</t>
  </si>
  <si>
    <t xml:space="preserve">длина   </t>
  </si>
  <si>
    <t xml:space="preserve">S1</t>
  </si>
  <si>
    <t xml:space="preserve">S2</t>
  </si>
  <si>
    <t xml:space="preserve">внешний угол скатов, угол соединения</t>
  </si>
  <si>
    <t xml:space="preserve">скат перпендикулярно коньку</t>
  </si>
  <si>
    <t xml:space="preserve">капельник планка</t>
  </si>
  <si>
    <t xml:space="preserve">КРОВЛЯ ЧЕТЫРЕХСКАТНАЯ</t>
  </si>
  <si>
    <t xml:space="preserve">Кровля вальмовая ломаная</t>
  </si>
  <si>
    <t xml:space="preserve">шт0</t>
  </si>
  <si>
    <t xml:space="preserve">ендова верхняяя F</t>
  </si>
  <si>
    <t xml:space="preserve">ендова верхняяя F1</t>
  </si>
  <si>
    <t xml:space="preserve">скат по коньку</t>
  </si>
  <si>
    <t xml:space="preserve">ендова верхняя планка</t>
  </si>
  <si>
    <t xml:space="preserve">Элементы на кровле</t>
  </si>
  <si>
    <t xml:space="preserve">ендова наружняя</t>
  </si>
  <si>
    <t xml:space="preserve">ендова внутренняя</t>
  </si>
  <si>
    <t xml:space="preserve">кровля на эркере</t>
  </si>
  <si>
    <t xml:space="preserve">стропило на эркер</t>
  </si>
  <si>
    <t xml:space="preserve">высота от аттиковой стены до конька</t>
  </si>
  <si>
    <t xml:space="preserve">Материалы для  Строительства дома</t>
  </si>
  <si>
    <t xml:space="preserve">S дома общая, м2</t>
  </si>
  <si>
    <t xml:space="preserve">S дома чистая, м2</t>
  </si>
  <si>
    <t xml:space="preserve">L, м.п.</t>
  </si>
  <si>
    <t xml:space="preserve">Материал для Каркасного дома из бруса различных размеров 1 этаж</t>
  </si>
  <si>
    <t xml:space="preserve">Материал для Каркасного дома из бруса различных размеров 2 этаж</t>
  </si>
  <si>
    <t xml:space="preserve">Материал для Каркасной пристройки из бруса различных размеров №1 1 этаж</t>
  </si>
  <si>
    <t xml:space="preserve">Материал для Каркасной пристройки из бруса различных размеров №1 2 этаж</t>
  </si>
  <si>
    <t xml:space="preserve">Материал для Каркасной пристройки из бруса различных размеров №2 1 этаж</t>
  </si>
  <si>
    <t xml:space="preserve">Материал для Каркасной пристройки из бруса различных размеров №2 2 этаж</t>
  </si>
  <si>
    <t xml:space="preserve">Материал для Каркасной пристройки из бруса различных размеров №3 1 этаж</t>
  </si>
  <si>
    <t xml:space="preserve">Материал для Каркасной пристройки из бруса различных размеров №3 2 этаж</t>
  </si>
  <si>
    <t xml:space="preserve">Материал для Каркасной пристройки из бруса различных размеров №4 1 этаж</t>
  </si>
  <si>
    <t xml:space="preserve">Материал для Каркасной пристройки из бруса различных размеров №4 2 этаж</t>
  </si>
  <si>
    <t xml:space="preserve">Каркасная пристройка эркерного типа из бруса различных размеров 1 этаж</t>
  </si>
  <si>
    <t xml:space="preserve">Каркасная пристройка эркерного типа из бруса различных размеров 2 этаж</t>
  </si>
  <si>
    <t xml:space="preserve">Кол-во 6м палок</t>
  </si>
  <si>
    <t xml:space="preserve">V, м3</t>
  </si>
  <si>
    <t xml:space="preserve">Общая объем материала для наружних стен</t>
  </si>
  <si>
    <t xml:space="preserve">м.</t>
  </si>
  <si>
    <t xml:space="preserve">Общая объем материала для несущих перегородок</t>
  </si>
  <si>
    <t xml:space="preserve">Общая объем материала для перегородок</t>
  </si>
  <si>
    <t xml:space="preserve">Материал для дома из Газобетона</t>
  </si>
  <si>
    <t xml:space="preserve">штук</t>
  </si>
  <si>
    <t xml:space="preserve">Общая длина перемычек наружних стен</t>
  </si>
  <si>
    <t xml:space="preserve">Общая длина перемычек несущих перегородок</t>
  </si>
  <si>
    <t xml:space="preserve">Материал для дома из Пенобетона</t>
  </si>
  <si>
    <t xml:space="preserve">Материал для дома из Кирпича</t>
  </si>
  <si>
    <t xml:space="preserve">Материал для дома из SIP панелей</t>
  </si>
  <si>
    <t xml:space="preserve">Площадь стен</t>
  </si>
  <si>
    <t xml:space="preserve">кол-во листов</t>
  </si>
  <si>
    <t xml:space="preserve">размер стен каркас</t>
  </si>
  <si>
    <t xml:space="preserve">как считать </t>
  </si>
  <si>
    <t xml:space="preserve">Выбор материала первого этажа</t>
  </si>
  <si>
    <t xml:space="preserve">номер</t>
  </si>
  <si>
    <t xml:space="preserve">Считать по проекту, высотам</t>
  </si>
  <si>
    <t xml:space="preserve">подшивка карнизов</t>
  </si>
  <si>
    <t xml:space="preserve">Каркасный</t>
  </si>
  <si>
    <t xml:space="preserve">Выбор материала второго этажа</t>
  </si>
  <si>
    <t xml:space="preserve">Брус</t>
  </si>
  <si>
    <t xml:space="preserve">Сайдинг виниловый</t>
  </si>
  <si>
    <t xml:space="preserve">Перегородки первого этажа несущие и простые</t>
  </si>
  <si>
    <t xml:space="preserve">Ондулин кровля</t>
  </si>
  <si>
    <t xml:space="preserve">подсистема для ГКЛ</t>
  </si>
  <si>
    <t xml:space="preserve">Сиппанели</t>
  </si>
  <si>
    <t xml:space="preserve">Выбор материала несущих перегородок</t>
  </si>
  <si>
    <t xml:space="preserve">Сип панели 224мм</t>
  </si>
  <si>
    <t xml:space="preserve">Выбор типа несущих перегородок</t>
  </si>
  <si>
    <t xml:space="preserve">Подсистема из металло профиля</t>
  </si>
  <si>
    <t xml:space="preserve">Выбор материала перегородок</t>
  </si>
  <si>
    <t xml:space="preserve">Подсистема деревянный брусок</t>
  </si>
  <si>
    <t xml:space="preserve">Сип панели 174мм</t>
  </si>
  <si>
    <t xml:space="preserve">Выбор типа перегородок</t>
  </si>
  <si>
    <t xml:space="preserve">вент зазор</t>
  </si>
  <si>
    <t xml:space="preserve">Перегородки второго этажа несущие и простые</t>
  </si>
  <si>
    <t xml:space="preserve">нет подсистемы</t>
  </si>
  <si>
    <t xml:space="preserve">Кирпич</t>
  </si>
  <si>
    <t xml:space="preserve">Термоблок  фактурованный 200х290х390</t>
  </si>
  <si>
    <t xml:space="preserve">сип панели</t>
  </si>
  <si>
    <t xml:space="preserve">Линолеум</t>
  </si>
  <si>
    <t xml:space="preserve">отделка стен дома</t>
  </si>
  <si>
    <t xml:space="preserve">ШиферПлоский</t>
  </si>
  <si>
    <t xml:space="preserve">ОтделкаДеревом</t>
  </si>
  <si>
    <t xml:space="preserve">Планкен + камень</t>
  </si>
  <si>
    <t xml:space="preserve">Монолитные стены</t>
  </si>
  <si>
    <t xml:space="preserve">КаменьИскуственный</t>
  </si>
  <si>
    <t xml:space="preserve">шаг перекрытий</t>
  </si>
  <si>
    <t xml:space="preserve">Декоративнаяштукатурка</t>
  </si>
  <si>
    <t xml:space="preserve">Монтаж свай вручную</t>
  </si>
  <si>
    <t xml:space="preserve">Доставка</t>
  </si>
  <si>
    <t xml:space="preserve">санузел стены</t>
  </si>
  <si>
    <t xml:space="preserve">Дом из кирпича</t>
  </si>
  <si>
    <t xml:space="preserve">Дом из газобетона</t>
  </si>
  <si>
    <t xml:space="preserve">Стеновые панели на стены</t>
  </si>
  <si>
    <t xml:space="preserve">Дом из пенобеотона</t>
  </si>
  <si>
    <t xml:space="preserve">Дом из пенополистирольных блоков</t>
  </si>
  <si>
    <t xml:space="preserve">сан узел потолок</t>
  </si>
  <si>
    <t xml:space="preserve">толщина стен газобет</t>
  </si>
  <si>
    <t xml:space="preserve">деревянное перекрытие</t>
  </si>
  <si>
    <t xml:space="preserve">Стеновые панели потолок</t>
  </si>
  <si>
    <t xml:space="preserve">Перекрытие</t>
  </si>
  <si>
    <t xml:space="preserve">Натяжной потолок</t>
  </si>
  <si>
    <t xml:space="preserve">Деревянное перекрытие, брус</t>
  </si>
  <si>
    <t xml:space="preserve">пол санузел</t>
  </si>
  <si>
    <t xml:space="preserve">Монолитное бетонное перекрытие</t>
  </si>
  <si>
    <t xml:space="preserve">Двутавровые деревянные балки</t>
  </si>
  <si>
    <t xml:space="preserve">Контрлаги считать </t>
  </si>
  <si>
    <t xml:space="preserve">Контрлаги не считать</t>
  </si>
  <si>
    <t xml:space="preserve">Стены монолит бетон</t>
  </si>
  <si>
    <t xml:space="preserve">Не буду считать</t>
  </si>
  <si>
    <t xml:space="preserve">материал для балкона</t>
  </si>
  <si>
    <t xml:space="preserve">Дом из Профилированного бруса</t>
  </si>
  <si>
    <t xml:space="preserve">Нет материала</t>
  </si>
  <si>
    <t xml:space="preserve">Дом из Бруса</t>
  </si>
  <si>
    <t xml:space="preserve">бревно</t>
  </si>
  <si>
    <t xml:space="preserve">Дом из Клееного бруса</t>
  </si>
  <si>
    <t xml:space="preserve">брус</t>
  </si>
  <si>
    <t xml:space="preserve">блоки</t>
  </si>
  <si>
    <t xml:space="preserve">Дом из бревен</t>
  </si>
  <si>
    <t xml:space="preserve">Дом из Оцилиндрованного бревна</t>
  </si>
  <si>
    <t xml:space="preserve">перекрытие балкона</t>
  </si>
  <si>
    <t xml:space="preserve">Дом из Дикого леса</t>
  </si>
  <si>
    <t xml:space="preserve">Монолит бетон</t>
  </si>
  <si>
    <t xml:space="preserve">отопление</t>
  </si>
  <si>
    <t xml:space="preserve">Система отопления однотрубная</t>
  </si>
  <si>
    <t xml:space="preserve">Нет дна бетонного</t>
  </si>
  <si>
    <t xml:space="preserve">Нет колец бетонных</t>
  </si>
  <si>
    <t xml:space="preserve">Нет крышки бетонной</t>
  </si>
  <si>
    <t xml:space="preserve">1 эт + 2-ой мансарда с перекрытием</t>
  </si>
  <si>
    <t xml:space="preserve">выпуски</t>
  </si>
  <si>
    <t xml:space="preserve">Нет выпусков</t>
  </si>
  <si>
    <t xml:space="preserve">Стандартные выпуски по длине в доме</t>
  </si>
  <si>
    <t xml:space="preserve">кровля на пристройке</t>
  </si>
  <si>
    <t xml:space="preserve">место монтажа кровли</t>
  </si>
  <si>
    <t xml:space="preserve">ниже основной кровли</t>
  </si>
  <si>
    <t xml:space="preserve">слияние с основной кровлей</t>
  </si>
  <si>
    <t xml:space="preserve">выше основной кровли</t>
  </si>
  <si>
    <t xml:space="preserve">Место монтажа пристройки</t>
  </si>
  <si>
    <t xml:space="preserve">Пристройка к фр-ну, слияние с боковой стеной</t>
  </si>
  <si>
    <t xml:space="preserve">высота боковых стен дома</t>
  </si>
  <si>
    <t xml:space="preserve">Высота боковых стен дома разная</t>
  </si>
  <si>
    <t xml:space="preserve">Конек где находится</t>
  </si>
  <si>
    <t xml:space="preserve">Конек не по центру дома</t>
  </si>
  <si>
    <t xml:space="preserve">Перекрытие 0 этажа делать</t>
  </si>
  <si>
    <t xml:space="preserve">Перекрытие 0 этажа не делать</t>
  </si>
  <si>
    <t xml:space="preserve">Ширина А1</t>
  </si>
  <si>
    <t xml:space="preserve">Ширина А2</t>
  </si>
  <si>
    <t xml:space="preserve">Аттиковая стена левая</t>
  </si>
  <si>
    <t xml:space="preserve">Высота С1</t>
  </si>
  <si>
    <t xml:space="preserve">Высота С2</t>
  </si>
  <si>
    <t xml:space="preserve">Высота D1</t>
  </si>
  <si>
    <t xml:space="preserve">Высота D2</t>
  </si>
  <si>
    <t xml:space="preserve">стены перегородки 1 эт</t>
  </si>
  <si>
    <t xml:space="preserve">стены перегородки 2 эт</t>
  </si>
  <si>
    <t xml:space="preserve">нес перег</t>
  </si>
  <si>
    <t xml:space="preserve">прост перег</t>
  </si>
  <si>
    <t xml:space="preserve">наружние</t>
  </si>
  <si>
    <t xml:space="preserve">несущие</t>
  </si>
  <si>
    <t xml:space="preserve">простыне</t>
  </si>
  <si>
    <t xml:space="preserve">Дом не строить</t>
  </si>
  <si>
    <t xml:space="preserve">Каркасный дом. Брус</t>
  </si>
  <si>
    <t xml:space="preserve">Каркасный дом. ЛСТК</t>
  </si>
  <si>
    <t xml:space="preserve">Каркасный дом. Двутавр дерево</t>
  </si>
  <si>
    <t xml:space="preserve">Газобетон дом</t>
  </si>
  <si>
    <t xml:space="preserve">Пенобетон дом</t>
  </si>
  <si>
    <t xml:space="preserve">Брусовой дом</t>
  </si>
  <si>
    <t xml:space="preserve">Сип панели дом</t>
  </si>
  <si>
    <t xml:space="preserve">Клееный брус дом</t>
  </si>
  <si>
    <t xml:space="preserve">Профилированный брус дом</t>
  </si>
  <si>
    <t xml:space="preserve">из таблицы</t>
  </si>
  <si>
    <t xml:space="preserve">двускатная кровля 1</t>
  </si>
  <si>
    <t xml:space="preserve">второй скат</t>
  </si>
  <si>
    <t xml:space="preserve">Дикое бревно</t>
  </si>
  <si>
    <t xml:space="preserve">Оцилиндрованное бревно</t>
  </si>
  <si>
    <t xml:space="preserve">1-ый эт кирпич 2-ой эт пенобетон</t>
  </si>
  <si>
    <t xml:space="preserve">1-ый эт кирпич 2-ой эт брус</t>
  </si>
  <si>
    <t xml:space="preserve">1-ый эт кирпич 2-ой эт клееный брус</t>
  </si>
  <si>
    <t xml:space="preserve">1-ый эт кирпич 2-ой эт профилированый брус</t>
  </si>
  <si>
    <t xml:space="preserve">1-ый эт кирпич 2-ой эт дикое бревно</t>
  </si>
  <si>
    <t xml:space="preserve">1-ый эт кирпич 2-ой эт оцилиндр бревно</t>
  </si>
  <si>
    <t xml:space="preserve">1-ый эт кирпич 2-ой эт сип панели</t>
  </si>
  <si>
    <t xml:space="preserve">1-ый эт кирпич 2-ой эт каркасник</t>
  </si>
  <si>
    <t xml:space="preserve">1-ый эт кирпич 2-ой эт газобетон</t>
  </si>
  <si>
    <t xml:space="preserve">1-ый эт газобетон 2-ой эт брус</t>
  </si>
  <si>
    <t xml:space="preserve">1-ый эт газобетон 2-ой эт клееный брус</t>
  </si>
  <si>
    <t xml:space="preserve">1-ый эт газобетон 2-ой эт профилированый брус</t>
  </si>
  <si>
    <t xml:space="preserve">1-ый эт газобетон 2-ой эт дикое бревно</t>
  </si>
  <si>
    <t xml:space="preserve">1-ый эт газобетон 2-ой эт оцилиндр бревно</t>
  </si>
  <si>
    <t xml:space="preserve">1-ый эт газобетон 2-ой эт сип панели</t>
  </si>
  <si>
    <t xml:space="preserve">1-ый эт газобетон 2-ой эт каркасник</t>
  </si>
  <si>
    <t xml:space="preserve">1-ый эт газобетон 2-ой эт пенобетон</t>
  </si>
  <si>
    <t xml:space="preserve">1-ый эт пенобетон 2-ой эт газобетон</t>
  </si>
  <si>
    <t xml:space="preserve">1-ый эт пенобетон 2-ой эт брус</t>
  </si>
  <si>
    <t xml:space="preserve">1-ый эт пенобетон 2-ой эт профилированый брус</t>
  </si>
  <si>
    <t xml:space="preserve">1-ый эт пенобетон 2-ой эт оцилиндр бревно</t>
  </si>
  <si>
    <t xml:space="preserve">1-ый эт пенобетон 2-ой эт сип панели</t>
  </si>
  <si>
    <t xml:space="preserve">1-ый эт пенобетон 2-ой эт каркасник</t>
  </si>
  <si>
    <t xml:space="preserve">1-ый эт брус 2-ой эт каркасник</t>
  </si>
  <si>
    <t xml:space="preserve">наружн стены 1</t>
  </si>
  <si>
    <t xml:space="preserve">нес пер 1 эт</t>
  </si>
  <si>
    <t xml:space="preserve">прост пер 1 эт</t>
  </si>
  <si>
    <t xml:space="preserve">Вся площадь в доме используется</t>
  </si>
  <si>
    <t xml:space="preserve">наружн стены 2</t>
  </si>
  <si>
    <t xml:space="preserve">Площадь в доме не используется</t>
  </si>
  <si>
    <t xml:space="preserve">нес пер 2 эт</t>
  </si>
  <si>
    <t xml:space="preserve">Сделать террасу в середине дома</t>
  </si>
  <si>
    <t xml:space="preserve">прост пер 2 эт</t>
  </si>
  <si>
    <t xml:space="preserve">Сделать терассу с края дома</t>
  </si>
  <si>
    <t xml:space="preserve">Сделать балкон в середине дома</t>
  </si>
  <si>
    <t xml:space="preserve">Сделать балкон с края дома</t>
  </si>
  <si>
    <t xml:space="preserve">для перекрытия сип панели</t>
  </si>
  <si>
    <t xml:space="preserve">Аттиковая стена, мансардный 2 этаж</t>
  </si>
  <si>
    <t xml:space="preserve">Доска сырая, 100*50</t>
  </si>
  <si>
    <t xml:space="preserve">Доска сухая, 100*50</t>
  </si>
  <si>
    <t xml:space="preserve">Доска сухая калиброванная, 100*45</t>
  </si>
  <si>
    <t xml:space="preserve">Газобетон</t>
  </si>
  <si>
    <t xml:space="preserve">V одного блока</t>
  </si>
  <si>
    <t xml:space="preserve">цена за 1 м3</t>
  </si>
  <si>
    <t xml:space="preserve">работа за м2</t>
  </si>
  <si>
    <t xml:space="preserve">угловой внутренний</t>
  </si>
  <si>
    <t xml:space="preserve">угловой</t>
  </si>
  <si>
    <t xml:space="preserve">поясной блок</t>
  </si>
  <si>
    <t xml:space="preserve">Термоблок  фактурованный 200х390х390</t>
  </si>
  <si>
    <t xml:space="preserve">200х390х590 угловой внутренний</t>
  </si>
  <si>
    <t xml:space="preserve">200х390х590 угловой внешний</t>
  </si>
  <si>
    <t xml:space="preserve">Термоблок поясной фактурованный 200х390х390</t>
  </si>
  <si>
    <t xml:space="preserve">Поясной 198х340х538 угловой внутренний200х390х590 угловой внутренний</t>
  </si>
  <si>
    <t xml:space="preserve">Поясной 200х390х590 угловой внешний</t>
  </si>
  <si>
    <t xml:space="preserve">Термоблок  фактурованный 198х340х398 </t>
  </si>
  <si>
    <t xml:space="preserve">198х340х538 угловой внутренний</t>
  </si>
  <si>
    <t xml:space="preserve">198х340х538 угловой внешний</t>
  </si>
  <si>
    <t xml:space="preserve">Термоблок  поясной фактурованный 198х340х398 </t>
  </si>
  <si>
    <t xml:space="preserve">Поясной 198х340х538 угловой внутренний</t>
  </si>
  <si>
    <t xml:space="preserve">Поясной 198х340х538 угловой внешний</t>
  </si>
  <si>
    <t xml:space="preserve">200х290х490 угловой внутренний</t>
  </si>
  <si>
    <t xml:space="preserve">200х290х490 угловой внешний</t>
  </si>
  <si>
    <t xml:space="preserve">Термоблок  поясной фактурованный 200х290х390</t>
  </si>
  <si>
    <t xml:space="preserve">Поясной 200х290х490 угловой внутренний</t>
  </si>
  <si>
    <t xml:space="preserve">Поясной 200х290х490 угловой внешний</t>
  </si>
  <si>
    <t xml:space="preserve">Термоблок не фактурованный 200х400х390</t>
  </si>
  <si>
    <t xml:space="preserve">200х400х600 угловой внутренний</t>
  </si>
  <si>
    <t xml:space="preserve">200х400х600 угловой внешний</t>
  </si>
  <si>
    <t xml:space="preserve">Термоблок поясной  не фактурованный 200х400х390</t>
  </si>
  <si>
    <t xml:space="preserve">Поясной200х400х600 угловой внутренний</t>
  </si>
  <si>
    <t xml:space="preserve">Поясной 200х400х600 угловой внешний</t>
  </si>
  <si>
    <t xml:space="preserve">Термоблок не фактурованный 198х350х398</t>
  </si>
  <si>
    <t xml:space="preserve">198х350х548 угловой внутренний</t>
  </si>
  <si>
    <t xml:space="preserve">198х350х548 угловой внешний</t>
  </si>
  <si>
    <t xml:space="preserve">Термоблок поясной  не фактурованный 198х350х398</t>
  </si>
  <si>
    <t xml:space="preserve">Поясной 198х350х548 угловой внутренний</t>
  </si>
  <si>
    <t xml:space="preserve">Поясной 198х350х548 угловой внешний</t>
  </si>
  <si>
    <t xml:space="preserve">Термоблок не фактурованный 200х300х390</t>
  </si>
  <si>
    <t xml:space="preserve">200х300х500 угловой внутренний</t>
  </si>
  <si>
    <t xml:space="preserve">200х300х500 угловой внешний</t>
  </si>
  <si>
    <t xml:space="preserve">Термоблок поясной не фактурованный 200х300х390</t>
  </si>
  <si>
    <t xml:space="preserve">Поясной 200х300х500 угловой внутренний</t>
  </si>
  <si>
    <t xml:space="preserve">Поясной 200х300х500 угловой внешний</t>
  </si>
  <si>
    <t xml:space="preserve">Газоблок  фактурованный 200х390х390</t>
  </si>
  <si>
    <t xml:space="preserve">Газоблок  поясной фактурованный 200х390х390</t>
  </si>
  <si>
    <t xml:space="preserve">Поясной 200х390х590 угловой внутренний</t>
  </si>
  <si>
    <t xml:space="preserve">Газоблок  фактурованный 198х340х398</t>
  </si>
  <si>
    <t xml:space="preserve">Газоблок  поясной фактурованный 198х340х398</t>
  </si>
  <si>
    <t xml:space="preserve">Газоблок  фактурованный 200х290х390</t>
  </si>
  <si>
    <t xml:space="preserve">Газоблок  поясной фактурованный 200х290х390</t>
  </si>
  <si>
    <t xml:space="preserve">Газоблок поясной D1000 200х300х390 </t>
  </si>
  <si>
    <t xml:space="preserve">Газоблок поясной  D1000 200х400х390 </t>
  </si>
  <si>
    <t xml:space="preserve">Поясной 200х400х600 угловой внутренний</t>
  </si>
  <si>
    <t xml:space="preserve">200х100х600 угловой внутренний</t>
  </si>
  <si>
    <t xml:space="preserve">200х100х600 угловой внешний</t>
  </si>
  <si>
    <t xml:space="preserve">Газоблокпоясной  D400 200х100х390 </t>
  </si>
  <si>
    <t xml:space="preserve">Поясной 200х100х600 угловой внутренний</t>
  </si>
  <si>
    <t xml:space="preserve">Поясной 200х100х600 угловой внешний</t>
  </si>
  <si>
    <t xml:space="preserve">Газоблок D400 200х200х390 </t>
  </si>
  <si>
    <t xml:space="preserve">200х200х600 угловой внутренний</t>
  </si>
  <si>
    <t xml:space="preserve">200х200х600 угловой внешний</t>
  </si>
  <si>
    <t xml:space="preserve">Газоблок поясной  D400 200х200х390 </t>
  </si>
  <si>
    <t xml:space="preserve">Поясной 200х200х600 угловой внутренний</t>
  </si>
  <si>
    <t xml:space="preserve">Поясной 200х200х600 угловой внешний</t>
  </si>
  <si>
    <t xml:space="preserve">200х300х600 угловой внутренний</t>
  </si>
  <si>
    <t xml:space="preserve">200х300х600 угловой внешний</t>
  </si>
  <si>
    <t xml:space="preserve">Газоблок поясной D400 200х300х390 </t>
  </si>
  <si>
    <t xml:space="preserve">Поясной 200х300х600 угловой внутренний</t>
  </si>
  <si>
    <t xml:space="preserve">Поясной 200х300х600 угловой внешний</t>
  </si>
  <si>
    <t xml:space="preserve">Газоблок поясной D400 200х400х390 </t>
  </si>
  <si>
    <t xml:space="preserve">Газоблок поясной D500 200х100х390 </t>
  </si>
  <si>
    <t xml:space="preserve">Газоблок D500 200х200х390 </t>
  </si>
  <si>
    <t xml:space="preserve">Газоблок поясной D500 200х200х390 </t>
  </si>
  <si>
    <t xml:space="preserve">Газоблок поясной D500 200х300х390 </t>
  </si>
  <si>
    <t xml:space="preserve">Газоблок поясной D500 200х400х390 </t>
  </si>
  <si>
    <t xml:space="preserve">Газоблок D600 200х100х390 </t>
  </si>
  <si>
    <t xml:space="preserve">Газоблок поясной D600 200х100х390 </t>
  </si>
  <si>
    <t xml:space="preserve">Газоблок D600 200х200х390 </t>
  </si>
  <si>
    <t xml:space="preserve">Газоблок поясной D600 200х200х390 </t>
  </si>
  <si>
    <t xml:space="preserve">Газоблок поясной D600 200х300х390 </t>
  </si>
  <si>
    <t xml:space="preserve">Газоблок поясной D600 200х400х390 </t>
  </si>
  <si>
    <t xml:space="preserve">Газоблок D700 200х100х390 </t>
  </si>
  <si>
    <t xml:space="preserve">Газоблок поясной D700 200х100х390 </t>
  </si>
  <si>
    <t xml:space="preserve">Газоблок D700 200х200х390 </t>
  </si>
  <si>
    <t xml:space="preserve">Газоблок поясной D700 200х200х390 </t>
  </si>
  <si>
    <t xml:space="preserve">Газоблок поясной D700 200х300х390 </t>
  </si>
  <si>
    <t xml:space="preserve">Газоблок поясной D700 200х400х390 </t>
  </si>
  <si>
    <t xml:space="preserve">Блок Газобетонный D400 250*100*625 В 2,5</t>
  </si>
  <si>
    <t xml:space="preserve">250х100х625 угловой внутренний</t>
  </si>
  <si>
    <t xml:space="preserve">250х100х625 угловой внешний</t>
  </si>
  <si>
    <t xml:space="preserve">Газобетонный поясной D400 250*100*625 В 2,5</t>
  </si>
  <si>
    <t xml:space="preserve">Поясной 250х100х625 угловой внутренний</t>
  </si>
  <si>
    <t xml:space="preserve">Поясной 250х100х625 угловой внешний</t>
  </si>
  <si>
    <t xml:space="preserve">Блок Газобетонный D400 250*200*625 В 2,5</t>
  </si>
  <si>
    <t xml:space="preserve">250х200х625 угловой внутренний</t>
  </si>
  <si>
    <t xml:space="preserve">250х200х625 угловой внешний</t>
  </si>
  <si>
    <t xml:space="preserve">Газобетонный поясной D400 250*200*625 В 2,5</t>
  </si>
  <si>
    <t xml:space="preserve">Поясной 250х200х625 угловой внутренний</t>
  </si>
  <si>
    <t xml:space="preserve">Поясной 250х200х625 угловой внешний</t>
  </si>
  <si>
    <t xml:space="preserve">250*200*200</t>
  </si>
  <si>
    <t xml:space="preserve">Блок Газобетонный D400 250*240*625 В 2,5</t>
  </si>
  <si>
    <t xml:space="preserve">250х240х625 угловой внутренний</t>
  </si>
  <si>
    <t xml:space="preserve">250х240х625 угловой внешний</t>
  </si>
  <si>
    <t xml:space="preserve">Газобетонный поясной D400 250*240*625 В 2,5</t>
  </si>
  <si>
    <t xml:space="preserve">Поясной 250х240х625 угловой внутренний</t>
  </si>
  <si>
    <t xml:space="preserve">Поясной 250х240х625 угловой внешний</t>
  </si>
  <si>
    <t xml:space="preserve">250*240*200</t>
  </si>
  <si>
    <t xml:space="preserve">Блок Газобетонный D400 250*300*625 В 2,5</t>
  </si>
  <si>
    <t xml:space="preserve">250х300х625 угловой внутренний</t>
  </si>
  <si>
    <t xml:space="preserve">250х300х625 угловой внешний</t>
  </si>
  <si>
    <t xml:space="preserve">Газобетонный поясной D400 250*300*625 В 2,5</t>
  </si>
  <si>
    <t xml:space="preserve">Поясной 250х300х625 угловой внутренний</t>
  </si>
  <si>
    <t xml:space="preserve">Поясной 250х300х625 угловой внешний</t>
  </si>
  <si>
    <t xml:space="preserve">250*300*200</t>
  </si>
  <si>
    <t xml:space="preserve">Блок Газобетонный D400 250*400*625 В 2,5</t>
  </si>
  <si>
    <t xml:space="preserve">250х400х625 угловой внутренний</t>
  </si>
  <si>
    <t xml:space="preserve">250х400х625 угловой внешний</t>
  </si>
  <si>
    <t xml:space="preserve">Газобетонный поясной D400 250*400*625 В 2,5</t>
  </si>
  <si>
    <t xml:space="preserve">Поясной 250х400х625 угловой внутренний</t>
  </si>
  <si>
    <t xml:space="preserve">Поясной 250х400х625 угловой внешний</t>
  </si>
  <si>
    <t xml:space="preserve">250*400*200</t>
  </si>
  <si>
    <t xml:space="preserve">Блок Газобетонный D500 250*100*625 В 2,5</t>
  </si>
  <si>
    <t xml:space="preserve">Газобетонный поясной D500 250*100*625 В 2,5</t>
  </si>
  <si>
    <t xml:space="preserve">Блок Газобетонный D500 250*200*625 В 2,5</t>
  </si>
  <si>
    <t xml:space="preserve">Газобетонный поясной D500 250*200*625 В 2,5</t>
  </si>
  <si>
    <t xml:space="preserve">Блок Газобетонный D500 250*240*625 В 2,5</t>
  </si>
  <si>
    <t xml:space="preserve">Газобетонный поясной D500 250*240*625 В 2,5</t>
  </si>
  <si>
    <t xml:space="preserve">Блок Газобетонный D500 250*300*625 В 2,5</t>
  </si>
  <si>
    <t xml:space="preserve">Газобетонный поясной D500 250*300*625 В 2,5</t>
  </si>
  <si>
    <t xml:space="preserve">Блок Газобетонный D500 250*400*625 В 2,5</t>
  </si>
  <si>
    <t xml:space="preserve">Газобетонный поясной D500 250*400*625 В 2,5</t>
  </si>
  <si>
    <t xml:space="preserve">Блок Газобетонный D600 250*100*625 В 2,5</t>
  </si>
  <si>
    <t xml:space="preserve">Газобетонный поясной D600 250*100*625 В 2,5</t>
  </si>
  <si>
    <t xml:space="preserve">Блок Газобетонный D600 250*200*625 В 2,5</t>
  </si>
  <si>
    <t xml:space="preserve">Газобетонный поясной D600 250*200*625 В 2,5</t>
  </si>
  <si>
    <t xml:space="preserve">Блок Газобетонный D600 250*240*625 В 2,5</t>
  </si>
  <si>
    <t xml:space="preserve">Газобетонный поясной D600 250*240*625 В 2,5</t>
  </si>
  <si>
    <t xml:space="preserve">Блок Газобетонный D600 250*300*625 В 2,5</t>
  </si>
  <si>
    <t xml:space="preserve">Газобетонный поясной D600 250*300*625 В 2,5</t>
  </si>
  <si>
    <t xml:space="preserve">Блок Газобетонный D600 250*400*625 В 2,5</t>
  </si>
  <si>
    <t xml:space="preserve">Газобетонный поясной D600 250*400*625 В 2,5</t>
  </si>
  <si>
    <t xml:space="preserve">Раствор собственного изготовления</t>
  </si>
  <si>
    <t xml:space="preserve">Цемент, м250, 50 кг</t>
  </si>
  <si>
    <t xml:space="preserve">Песок,м3</t>
  </si>
  <si>
    <t xml:space="preserve">БрусПрофилированный</t>
  </si>
  <si>
    <t xml:space="preserve">БрусПрофилированныйсухой</t>
  </si>
  <si>
    <t xml:space="preserve">БрусКлееный</t>
  </si>
  <si>
    <t xml:space="preserve">ДикоеБревно</t>
  </si>
  <si>
    <t xml:space="preserve">ОцилиндрованноеБревно</t>
  </si>
  <si>
    <t xml:space="preserve">Окна, проемы</t>
  </si>
  <si>
    <t xml:space="preserve">длина перемычк</t>
  </si>
  <si>
    <t xml:space="preserve">цена 1м.п</t>
  </si>
  <si>
    <t xml:space="preserve">Перемычка оконная, 1-ый эт. Вариант 1</t>
  </si>
  <si>
    <t xml:space="preserve">Перемычка оконная, 1-ый эт. Вариант 2</t>
  </si>
  <si>
    <t xml:space="preserve">Перемычка оконная, 1-ый эт. Вариант 3</t>
  </si>
  <si>
    <t xml:space="preserve">Перемычка оконная, 1-ый эт. Вариант 4</t>
  </si>
  <si>
    <t xml:space="preserve">Перемычка оконная, 1-ый эт. Вариант 5</t>
  </si>
  <si>
    <t xml:space="preserve">Перемычка оконная, 2-ый эт. Вариант 6</t>
  </si>
  <si>
    <t xml:space="preserve">Перемычка оконная, 2-ый эт. Вариант 7</t>
  </si>
  <si>
    <t xml:space="preserve">Перемычка оконная, 2-ый эт. Вариант 8</t>
  </si>
  <si>
    <t xml:space="preserve">Перемычка оконная, 2-ый эт. Вариант 9</t>
  </si>
  <si>
    <t xml:space="preserve">Перемычка оконная, 2-ый эт. Вариант 10</t>
  </si>
  <si>
    <t xml:space="preserve">Перемычка дверная, 1-ый эт. Вариант 1</t>
  </si>
  <si>
    <t xml:space="preserve">Перемычка дверная, 2-ый эт. Вариант 2</t>
  </si>
  <si>
    <t xml:space="preserve">Перемычка оконная 1-ый эт, Вариант 11</t>
  </si>
  <si>
    <t xml:space="preserve">Перемычка оконная 1-ый эт, Вариант 12</t>
  </si>
  <si>
    <t xml:space="preserve">Перемычка дверная, 1-ый эт. Вариант 4</t>
  </si>
  <si>
    <t xml:space="preserve">Перемычка дверная, 1-ый эт. Вариант 5</t>
  </si>
  <si>
    <t xml:space="preserve">Перемычка дверная, 1-ый эт. Вариант 6</t>
  </si>
  <si>
    <t xml:space="preserve">Перемычка дверная, 2-ый эт. Вариант 7</t>
  </si>
  <si>
    <t xml:space="preserve">Перемычка дверная, 2-ый эт. Вариант 8</t>
  </si>
  <si>
    <t xml:space="preserve">Перемычка дверная, 2-ый эт. Вариант 9</t>
  </si>
  <si>
    <t xml:space="preserve">Перемычка проема, 1-ый эт. Вариант 10</t>
  </si>
  <si>
    <t xml:space="preserve">Перемычка проема, 1-ый эт. Вариант 11</t>
  </si>
  <si>
    <t xml:space="preserve">Перемычка проема, 2-ый эт. Вариант 12</t>
  </si>
  <si>
    <t xml:space="preserve">Перемычка проема, 2-ый эт. Вариант 13</t>
  </si>
  <si>
    <t xml:space="preserve">Перемычка дверная, 1-ый эт. Вариант 2</t>
  </si>
  <si>
    <t xml:space="preserve">Перемычка дверная, 1-ый эт. Вариант 3</t>
  </si>
  <si>
    <t xml:space="preserve">цена 1 м.п.</t>
  </si>
  <si>
    <t xml:space="preserve">Арматура М8 каждый 3-й ряд, 2 нити</t>
  </si>
  <si>
    <t xml:space="preserve">Арматура М10 каждый 3-й ряд, 2 нити</t>
  </si>
  <si>
    <t xml:space="preserve">Арматура М12 каждый 3-й ряд, 2 нити</t>
  </si>
  <si>
    <t xml:space="preserve">Арматура М14 каждый 3-й ряд, 2 нити</t>
  </si>
  <si>
    <t xml:space="preserve">Арматура М16 каждый 3-й ряд, 2 нити</t>
  </si>
  <si>
    <t xml:space="preserve">Арматура М18 каждый 3-й ряд, 2 нити</t>
  </si>
  <si>
    <t xml:space="preserve">Арматура М20 каждый 3-й ряд, 2 нити</t>
  </si>
  <si>
    <t xml:space="preserve">Сейсмопояс Арматура М6 4 нити</t>
  </si>
  <si>
    <t xml:space="preserve">Сейсмопояс Арматура М8 4 нити</t>
  </si>
  <si>
    <t xml:space="preserve">Сейсмопояс Арматура М12 4 нити</t>
  </si>
  <si>
    <t xml:space="preserve">Сейсмопояс Арматура М14 4 нити</t>
  </si>
  <si>
    <t xml:space="preserve">Сейсмопояс Арматура М16 4 нити</t>
  </si>
  <si>
    <t xml:space="preserve">Сейсмопояс Арматура М18 4 нити</t>
  </si>
  <si>
    <t xml:space="preserve">Сейсмопояс Арматура М20 4 нити</t>
  </si>
  <si>
    <t xml:space="preserve">Хомуты</t>
  </si>
  <si>
    <t xml:space="preserve">Хомут для сейсмопояса Арматура М6, шаг 600мм</t>
  </si>
  <si>
    <t xml:space="preserve">Хомут для сейсмопояса Арматура М6, шаг 300мм</t>
  </si>
  <si>
    <t xml:space="preserve">Хомут для сейсмопояса Арматура М8, шаг 600мм</t>
  </si>
  <si>
    <t xml:space="preserve">Хомут для сейсмопояса Арматура М8, шаг 400мм</t>
  </si>
  <si>
    <t xml:space="preserve">Хомут для сейсмопояса Арматура М8, шаг 300мм</t>
  </si>
  <si>
    <t xml:space="preserve">арматура для перекрытий</t>
  </si>
  <si>
    <t xml:space="preserve">Арматура М8 </t>
  </si>
  <si>
    <t xml:space="preserve">Арматура М14 </t>
  </si>
  <si>
    <t xml:space="preserve">Арматура М16</t>
  </si>
  <si>
    <t xml:space="preserve">Арматура М18</t>
  </si>
  <si>
    <t xml:space="preserve">Арматура М20</t>
  </si>
  <si>
    <t xml:space="preserve">Доска сырая, 200*50мм</t>
  </si>
  <si>
    <t xml:space="preserve">Доска сырая, 100*50мм</t>
  </si>
  <si>
    <t xml:space="preserve">Плитный,28кг/м3, технониколь</t>
  </si>
  <si>
    <t xml:space="preserve">Плитный,30кг/м3, роквулл </t>
  </si>
  <si>
    <t xml:space="preserve">Пенопласт ПСБ-С-15</t>
  </si>
  <si>
    <t xml:space="preserve">Пенопласт ПСБ-С-25</t>
  </si>
  <si>
    <t xml:space="preserve">Пенопласт ПСБ-С-35</t>
  </si>
  <si>
    <t xml:space="preserve">Пенополистирол,35кг/м3</t>
  </si>
  <si>
    <t xml:space="preserve">Пенополистирол,25кг/м3</t>
  </si>
  <si>
    <t xml:space="preserve">Для подсистемы наружней отделки</t>
  </si>
  <si>
    <t xml:space="preserve">МатериалБрус</t>
  </si>
  <si>
    <t xml:space="preserve">Лента ширина 0,2, высота 0,5</t>
  </si>
  <si>
    <t xml:space="preserve">Лента ширина 0,2, высота 0,6</t>
  </si>
  <si>
    <t xml:space="preserve">Лента ширина 0,3, высота 0,5</t>
  </si>
  <si>
    <t xml:space="preserve">Лента ширина 0,3, высота 0,6</t>
  </si>
  <si>
    <t xml:space="preserve">Лента ширина 0,4, высота 0,5</t>
  </si>
  <si>
    <t xml:space="preserve">Лента ширина 0,4, высота 0,6</t>
  </si>
  <si>
    <t xml:space="preserve">Считать конопатку дома</t>
  </si>
  <si>
    <t xml:space="preserve">Нет фундамента</t>
  </si>
  <si>
    <t xml:space="preserve">Фундамент как у дома</t>
  </si>
  <si>
    <t xml:space="preserve">Закрытый монтаж проводки</t>
  </si>
  <si>
    <t xml:space="preserve">Нет шлифовки стен дома снаружи</t>
  </si>
  <si>
    <t xml:space="preserve">Шлифовка стен дома внурти</t>
  </si>
  <si>
    <t xml:space="preserve">Аттиковая стена, мансарда, 2-го этажа</t>
  </si>
  <si>
    <t xml:space="preserve">выпуск по скату1</t>
  </si>
  <si>
    <t xml:space="preserve">выпуск по скату2</t>
  </si>
  <si>
    <t xml:space="preserve">Заборы</t>
  </si>
  <si>
    <t xml:space="preserve">цена по прайсу</t>
  </si>
  <si>
    <t xml:space="preserve">Необходимая длина забора</t>
  </si>
  <si>
    <t xml:space="preserve">3, Лаги проф. труба 40х20 мм (в 3 ряда)</t>
  </si>
  <si>
    <t xml:space="preserve">4, Лаги проф. труба 40х20 мм (в 4 ряда)</t>
  </si>
  <si>
    <t xml:space="preserve">др</t>
  </si>
  <si>
    <t xml:space="preserve">Дополнительные элементы</t>
  </si>
  <si>
    <t xml:space="preserve">Дополнительные материалы</t>
  </si>
  <si>
    <t xml:space="preserve">выключатели</t>
  </si>
  <si>
    <t xml:space="preserve">розетки</t>
  </si>
  <si>
    <t xml:space="preserve">доставки</t>
  </si>
  <si>
    <t xml:space="preserve">монтаж коробок распр</t>
  </si>
  <si>
    <t xml:space="preserve">монтаж коробок роз</t>
  </si>
  <si>
    <t xml:space="preserve">монтаж коробок выкл</t>
  </si>
  <si>
    <t xml:space="preserve">монтаж щитка</t>
  </si>
  <si>
    <t xml:space="preserve">Итого, материалы, рублей</t>
  </si>
  <si>
    <t xml:space="preserve">Итого, работы, рублей</t>
  </si>
  <si>
    <t xml:space="preserve">Итого, рублей</t>
  </si>
  <si>
    <t xml:space="preserve">система отопления, однотрубная</t>
  </si>
  <si>
    <t xml:space="preserve">система отопления, двутрубная</t>
  </si>
  <si>
    <t xml:space="preserve">скважина</t>
  </si>
  <si>
    <t xml:space="preserve">установка скваж адап</t>
  </si>
  <si>
    <t xml:space="preserve">установка гидроаккум</t>
  </si>
  <si>
    <t xml:space="preserve">прокладка пнд с утепл</t>
  </si>
  <si>
    <t xml:space="preserve">дно бетонное</t>
  </si>
  <si>
    <t xml:space="preserve">кольцо бетонное</t>
  </si>
  <si>
    <t xml:space="preserve">крышка бетонная  </t>
  </si>
  <si>
    <t xml:space="preserve">люк для крышки</t>
  </si>
  <si>
    <t xml:space="preserve">септик второй</t>
  </si>
  <si>
    <t xml:space="preserve">выгребная яма</t>
  </si>
  <si>
    <t xml:space="preserve">монтаж горловины</t>
  </si>
  <si>
    <t xml:space="preserve">м/ж ут-ной канал</t>
  </si>
  <si>
    <t xml:space="preserve">утепление для канализационной трубы</t>
  </si>
  <si>
    <t xml:space="preserve">раствор для бетонирования</t>
  </si>
  <si>
    <t xml:space="preserve">скотч для скорлупы утепления</t>
  </si>
  <si>
    <t xml:space="preserve">Приложение №3 </t>
  </si>
  <si>
    <t xml:space="preserve">от "22"07. 2017г.</t>
  </si>
  <si>
    <t xml:space="preserve">Длина дома, м.п.</t>
  </si>
  <si>
    <t xml:space="preserve">Ширина дома, м.п.</t>
  </si>
  <si>
    <t xml:space="preserve">S строения общая, м2</t>
  </si>
  <si>
    <t xml:space="preserve">S строения чистая, м2</t>
  </si>
  <si>
    <t xml:space="preserve">СМЕТНЫЙ РАСЧЕТ №4</t>
  </si>
  <si>
    <t xml:space="preserve">К договору №12 от "22"07. 2017г.</t>
  </si>
  <si>
    <t xml:space="preserve">Наименование работ и затрат</t>
  </si>
  <si>
    <t xml:space="preserve">Цена ед.изм.</t>
  </si>
  <si>
    <t xml:space="preserve">Цена с накруткой</t>
  </si>
  <si>
    <t xml:space="preserve">Общая цена</t>
  </si>
  <si>
    <t xml:space="preserve">Цена по прайсу</t>
  </si>
  <si>
    <t xml:space="preserve">Для закупа материала</t>
  </si>
  <si>
    <t xml:space="preserve">Фундамент ленточный, под стены цоколя</t>
  </si>
  <si>
    <t xml:space="preserve">Уже имеется</t>
  </si>
  <si>
    <t xml:space="preserve">закуп кол-во</t>
  </si>
  <si>
    <t xml:space="preserve">Итого материалы</t>
  </si>
  <si>
    <t xml:space="preserve">Итого работы</t>
  </si>
  <si>
    <t xml:space="preserve">Стяжка в цокольном этаже</t>
  </si>
  <si>
    <t xml:space="preserve">Цокольный этаж из блоков ФБС</t>
  </si>
  <si>
    <t xml:space="preserve">Цокольный этаж из Монолит (бетон)</t>
  </si>
  <si>
    <t xml:space="preserve">Винтовые сваи для дома</t>
  </si>
  <si>
    <t xml:space="preserve">Винтовые сваи для террасы</t>
  </si>
  <si>
    <t xml:space="preserve">Винтовые сваи для крыльца</t>
  </si>
  <si>
    <t xml:space="preserve">Плита УШП, технология Дороселл / Монолитная плита</t>
  </si>
  <si>
    <t xml:space="preserve">Сип-Панели</t>
  </si>
  <si>
    <t xml:space="preserve">Каркасный дом двутавровые балки</t>
  </si>
  <si>
    <t xml:space="preserve">Техника и дополнительные расходы</t>
  </si>
  <si>
    <t xml:space="preserve">Итого</t>
  </si>
  <si>
    <t xml:space="preserve">Каркасный дом ЛСТК</t>
  </si>
  <si>
    <t xml:space="preserve">Дом из Газобетона</t>
  </si>
  <si>
    <t xml:space="preserve">Дом из Пенобетона</t>
  </si>
  <si>
    <t xml:space="preserve">Итого материалы, рублей</t>
  </si>
  <si>
    <t xml:space="preserve">Итого работы, рублей</t>
  </si>
  <si>
    <t xml:space="preserve">Перекрытие 0-1-2 этажей</t>
  </si>
  <si>
    <t xml:space="preserve">Веранда/терасса деревянная</t>
  </si>
  <si>
    <t xml:space="preserve">Итого, работы</t>
  </si>
  <si>
    <t xml:space="preserve">Кровля Вальмовая ломаная</t>
  </si>
  <si>
    <t xml:space="preserve">Кровля на пристройке</t>
  </si>
  <si>
    <t xml:space="preserve">Кровля на Эркере</t>
  </si>
  <si>
    <t xml:space="preserve">Кровля на террасу/веранду</t>
  </si>
  <si>
    <t xml:space="preserve">Кровля на крыльцо</t>
  </si>
  <si>
    <t xml:space="preserve">Окна и двери</t>
  </si>
  <si>
    <t xml:space="preserve">сборка лестницы</t>
  </si>
  <si>
    <t xml:space="preserve">Лестница готовая</t>
  </si>
  <si>
    <t xml:space="preserve">Чистовая отделка</t>
  </si>
  <si>
    <t xml:space="preserve">Стены</t>
  </si>
  <si>
    <t xml:space="preserve">Пол</t>
  </si>
  <si>
    <t xml:space="preserve">Расходные материалы</t>
  </si>
  <si>
    <t xml:space="preserve">Всего материалов, рублей</t>
  </si>
  <si>
    <t xml:space="preserve">Всего работы, рублей</t>
  </si>
  <si>
    <t xml:space="preserve">Всего транспортные расходы, рублей</t>
  </si>
  <si>
    <t xml:space="preserve">Всего дополнительные расходные материалы</t>
  </si>
  <si>
    <t xml:space="preserve">Всего, командировочные расходы, рублей</t>
  </si>
  <si>
    <t xml:space="preserve">Всего работ и материалов, рублей</t>
  </si>
  <si>
    <t xml:space="preserve">Составил: Инженер             _________________</t>
  </si>
  <si>
    <t xml:space="preserve">С перечнем работ и материалов, ознакомлен, с итоговой стоимостью согласен.</t>
  </si>
  <si>
    <t xml:space="preserve">Подпись Заказчика              _________________</t>
  </si>
  <si>
    <t xml:space="preserve">Подпись Подрядчика          _________________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</si>
</sst>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0.00"/>
    <numFmt numFmtId="166" formatCode="0.000"/>
    <numFmt numFmtId="167" formatCode="0"/>
    <numFmt numFmtId="168" formatCode="0.0"/>
    <numFmt numFmtId="169" formatCode="#,##0"/>
    <numFmt numFmtId="170" formatCode="General"/>
    <numFmt numFmtId="171" formatCode="0.0000"/>
    <numFmt numFmtId="172" formatCode="0.00000"/>
    <numFmt numFmtId="173" formatCode="#,##0.00"/>
  </numFmts>
  <fonts count="63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 Cyr"/>
      <family val="0"/>
      <charset val="204"/>
    </font>
    <font>
      <sz val="18"/>
      <color rgb="FFFFFFFF"/>
      <name val="Calibri"/>
      <family val="2"/>
      <charset val="204"/>
    </font>
    <font>
      <sz val="14"/>
      <color rgb="FFFFFFFF"/>
      <name val="Calibri"/>
      <family val="2"/>
      <charset val="204"/>
    </font>
    <font>
      <sz val="12"/>
      <color rgb="FF000000"/>
      <name val="Calibri"/>
      <family val="2"/>
      <charset val="204"/>
    </font>
    <font>
      <b val="true"/>
      <sz val="12"/>
      <color rgb="FF000000"/>
      <name val="Calibri"/>
      <family val="2"/>
      <charset val="204"/>
    </font>
    <font>
      <b val="true"/>
      <sz val="12"/>
      <name val="Calibri"/>
      <family val="2"/>
      <charset val="204"/>
    </font>
    <font>
      <b val="true"/>
      <sz val="12"/>
      <color rgb="FFFFFFFF"/>
      <name val="Calibri"/>
      <family val="2"/>
      <charset val="204"/>
    </font>
    <font>
      <sz val="12"/>
      <color rgb="FFFFFFFF"/>
      <name val="Calibri"/>
      <family val="2"/>
      <charset val="204"/>
    </font>
    <font>
      <sz val="12"/>
      <name val="Calibri"/>
      <family val="2"/>
      <charset val="204"/>
    </font>
    <font>
      <sz val="11"/>
      <name val="Calibri"/>
      <family val="2"/>
      <charset val="204"/>
    </font>
    <font>
      <sz val="12"/>
      <name val="Arial"/>
      <family val="2"/>
      <charset val="204"/>
    </font>
    <font>
      <sz val="10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sz val="8"/>
      <color rgb="FF000000"/>
      <name val="Calibri"/>
      <family val="2"/>
      <charset val="204"/>
    </font>
    <font>
      <vertAlign val="superscript"/>
      <sz val="12"/>
      <color rgb="FF000000"/>
      <name val="Calibri"/>
      <family val="2"/>
      <charset val="204"/>
    </font>
    <font>
      <b val="true"/>
      <sz val="12"/>
      <color rgb="FFFF0000"/>
      <name val="Calibri"/>
      <family val="2"/>
      <charset val="204"/>
    </font>
    <font>
      <sz val="12"/>
      <color rgb="FFA6A6A6"/>
      <name val="Calibri"/>
      <family val="2"/>
      <charset val="204"/>
    </font>
    <font>
      <u val="single"/>
      <sz val="8.8"/>
      <color rgb="FF0000FF"/>
      <name val="Calibri"/>
      <family val="2"/>
      <charset val="204"/>
    </font>
    <font>
      <sz val="12"/>
      <color rgb="FF000000"/>
      <name val="Inherit"/>
      <family val="0"/>
      <charset val="204"/>
    </font>
    <font>
      <sz val="11"/>
      <color rgb="FF000000"/>
      <name val="HelveticaNeueCyr"/>
      <family val="0"/>
      <charset val="1"/>
    </font>
    <font>
      <b val="true"/>
      <sz val="11"/>
      <color rgb="FF000000"/>
      <name val="HelveticaNeueCyr"/>
      <family val="0"/>
      <charset val="1"/>
    </font>
    <font>
      <sz val="11"/>
      <color rgb="FFFFFFFF"/>
      <name val="Calibri"/>
      <family val="2"/>
      <charset val="204"/>
    </font>
    <font>
      <sz val="14"/>
      <color rgb="FF000000"/>
      <name val="Calibri"/>
      <family val="2"/>
      <charset val="204"/>
    </font>
    <font>
      <sz val="18"/>
      <color rgb="FF000000"/>
      <name val="Calibri"/>
      <family val="2"/>
      <charset val="204"/>
    </font>
    <font>
      <b val="true"/>
      <sz val="14"/>
      <color rgb="FFFFFFFF"/>
      <name val="Calibri"/>
      <family val="2"/>
      <charset val="204"/>
    </font>
    <font>
      <b val="true"/>
      <sz val="14"/>
      <color rgb="FFFF0000"/>
      <name val="Calibri"/>
      <family val="2"/>
      <charset val="204"/>
    </font>
    <font>
      <sz val="18"/>
      <name val="Calibri"/>
      <family val="2"/>
      <charset val="204"/>
    </font>
    <font>
      <sz val="22"/>
      <color rgb="FF000000"/>
      <name val="Calibri"/>
      <family val="2"/>
      <charset val="204"/>
    </font>
    <font>
      <b val="true"/>
      <sz val="11"/>
      <color rgb="FFFFFFFF"/>
      <name val="Calibri"/>
      <family val="2"/>
      <charset val="204"/>
    </font>
    <font>
      <b val="true"/>
      <sz val="10"/>
      <color rgb="FFFFFFFF"/>
      <name val="Calibri"/>
      <family val="2"/>
      <charset val="204"/>
    </font>
    <font>
      <sz val="10"/>
      <color rgb="FFFFFFFF"/>
      <name val="Calibri"/>
      <family val="2"/>
      <charset val="204"/>
    </font>
    <font>
      <sz val="16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sz val="22"/>
      <name val="Calibri"/>
      <family val="2"/>
      <charset val="204"/>
    </font>
    <font>
      <sz val="22"/>
      <color rgb="FFFFFFFF"/>
      <name val="Calibri"/>
      <family val="2"/>
      <charset val="204"/>
    </font>
    <font>
      <b val="true"/>
      <sz val="11"/>
      <color rgb="FF10243E"/>
      <name val="Calibri"/>
      <family val="2"/>
      <charset val="204"/>
    </font>
    <font>
      <b val="true"/>
      <sz val="18"/>
      <color rgb="FF000000"/>
      <name val="Calibri"/>
      <family val="2"/>
      <charset val="204"/>
    </font>
    <font>
      <sz val="12"/>
      <color rgb="FFFF0000"/>
      <name val="Calibri"/>
      <family val="2"/>
      <charset val="204"/>
    </font>
    <font>
      <sz val="11"/>
      <color rgb="FFFF0000"/>
      <name val="Calibri"/>
      <family val="2"/>
      <charset val="204"/>
    </font>
    <font>
      <b val="true"/>
      <sz val="18"/>
      <color rgb="FFFF0000"/>
      <name val="Calibri"/>
      <family val="2"/>
      <charset val="204"/>
    </font>
    <font>
      <sz val="14"/>
      <color rgb="FFFF0000"/>
      <name val="Calibri"/>
      <family val="2"/>
      <charset val="204"/>
    </font>
    <font>
      <b val="true"/>
      <sz val="18"/>
      <color rgb="FFFFFFFF"/>
      <name val="Calibri"/>
      <family val="2"/>
      <charset val="204"/>
    </font>
    <font>
      <sz val="14"/>
      <color rgb="FF444444"/>
      <name val="Arial"/>
      <family val="2"/>
      <charset val="204"/>
    </font>
    <font>
      <sz val="9"/>
      <color rgb="FFFFFFFF"/>
      <name val="Calibri"/>
      <family val="2"/>
      <charset val="204"/>
    </font>
    <font>
      <sz val="12"/>
      <color rgb="FF444444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sz val="11"/>
      <name val="Calibri"/>
      <family val="2"/>
      <charset val="204"/>
    </font>
    <font>
      <sz val="11"/>
      <color rgb="FF444444"/>
      <name val="Arial"/>
      <family val="2"/>
      <charset val="204"/>
    </font>
    <font>
      <sz val="11"/>
      <color rgb="FF444444"/>
      <name val="Calibri"/>
      <family val="2"/>
      <charset val="204"/>
    </font>
    <font>
      <b val="true"/>
      <sz val="18"/>
      <name val="Calibri"/>
      <family val="2"/>
      <charset val="204"/>
    </font>
    <font>
      <b val="true"/>
      <sz val="16"/>
      <color rgb="FF000000"/>
      <name val="Calibri"/>
      <family val="2"/>
      <charset val="204"/>
    </font>
    <font>
      <b val="true"/>
      <sz val="12"/>
      <color rgb="FF4A452A"/>
      <name val="Calibri"/>
      <family val="2"/>
      <charset val="204"/>
    </font>
    <font>
      <b val="true"/>
      <sz val="16"/>
      <color rgb="FFFFFFFF"/>
      <name val="Calibri"/>
      <family val="2"/>
      <charset val="204"/>
    </font>
    <font>
      <b val="true"/>
      <sz val="11"/>
      <color rgb="FF4A452A"/>
      <name val="Calibri"/>
      <family val="2"/>
      <charset val="204"/>
    </font>
    <font>
      <sz val="11"/>
      <color rgb="FF4A452A"/>
      <name val="Calibri"/>
      <family val="2"/>
      <charset val="204"/>
    </font>
    <font>
      <sz val="12"/>
      <color rgb="FF4A452A"/>
      <name val="Calibri"/>
      <family val="2"/>
      <charset val="204"/>
    </font>
    <font>
      <sz val="11"/>
      <color rgb="FF808080"/>
      <name val="Calibri"/>
      <family val="2"/>
      <charset val="204"/>
    </font>
    <font>
      <b val="true"/>
      <sz val="16"/>
      <name val="Calibri"/>
      <family val="2"/>
      <charset val="204"/>
    </font>
    <font>
      <sz val="14"/>
      <name val="Calibri"/>
      <family val="2"/>
      <charset val="204"/>
    </font>
  </fonts>
  <fills count="48">
    <fill>
      <patternFill patternType="none"/>
    </fill>
    <fill>
      <patternFill patternType="gray125"/>
    </fill>
    <fill>
      <patternFill patternType="solid">
        <fgColor rgb="FF0D0D0D"/>
        <bgColor rgb="FF000000"/>
      </patternFill>
    </fill>
    <fill>
      <patternFill patternType="solid">
        <fgColor rgb="FF000000"/>
        <bgColor rgb="FF0D0D0D"/>
      </patternFill>
    </fill>
    <fill>
      <patternFill patternType="solid">
        <fgColor rgb="FFFFFFFF"/>
        <bgColor rgb="FFFAFAE6"/>
      </patternFill>
    </fill>
    <fill>
      <patternFill patternType="solid">
        <fgColor rgb="FFD9D9D9"/>
        <bgColor rgb="FFDDD9C3"/>
      </patternFill>
    </fill>
    <fill>
      <patternFill patternType="solid">
        <fgColor rgb="FF4A452A"/>
        <bgColor rgb="FF444444"/>
      </patternFill>
    </fill>
    <fill>
      <patternFill patternType="solid">
        <fgColor rgb="FFFAFAE6"/>
        <bgColor rgb="FFF2F2F2"/>
      </patternFill>
    </fill>
    <fill>
      <patternFill patternType="solid">
        <fgColor rgb="FFC4BD97"/>
        <bgColor rgb="FFBFBFBF"/>
      </patternFill>
    </fill>
    <fill>
      <patternFill patternType="solid">
        <fgColor rgb="FF10243E"/>
        <bgColor rgb="FF1E1C11"/>
      </patternFill>
    </fill>
    <fill>
      <patternFill patternType="solid">
        <fgColor rgb="FFFAC090"/>
        <bgColor rgb="FFE6B9B8"/>
      </patternFill>
    </fill>
    <fill>
      <patternFill patternType="solid">
        <fgColor rgb="FFDCE6F2"/>
        <bgColor rgb="FFDBEEF4"/>
      </patternFill>
    </fill>
    <fill>
      <patternFill patternType="solid">
        <fgColor rgb="FF17375E"/>
        <bgColor rgb="FF10243E"/>
      </patternFill>
    </fill>
    <fill>
      <patternFill patternType="solid">
        <fgColor rgb="FFD99694"/>
        <bgColor rgb="FFB3A2C7"/>
      </patternFill>
    </fill>
    <fill>
      <patternFill patternType="solid">
        <fgColor rgb="FFF2F2F2"/>
        <bgColor rgb="FFEEECE1"/>
      </patternFill>
    </fill>
    <fill>
      <patternFill patternType="solid">
        <fgColor rgb="FFE6E0EC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BFBFBF"/>
        <bgColor rgb="FFCCC1DA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948A54"/>
        <bgColor rgb="FF77933C"/>
      </patternFill>
    </fill>
    <fill>
      <patternFill patternType="solid">
        <fgColor rgb="FFFF0000"/>
        <bgColor rgb="FF800000"/>
      </patternFill>
    </fill>
    <fill>
      <patternFill patternType="solid">
        <fgColor rgb="FFFDEADA"/>
        <bgColor rgb="FFEEECE1"/>
      </patternFill>
    </fill>
    <fill>
      <patternFill patternType="solid">
        <fgColor rgb="FF00B0F0"/>
        <bgColor rgb="FF0070C0"/>
      </patternFill>
    </fill>
    <fill>
      <patternFill patternType="solid">
        <fgColor rgb="FFFFC000"/>
        <bgColor rgb="FFFAC090"/>
      </patternFill>
    </fill>
    <fill>
      <patternFill patternType="solid">
        <fgColor rgb="FFC6D9F1"/>
        <bgColor rgb="FFB7DEE8"/>
      </patternFill>
    </fill>
    <fill>
      <patternFill patternType="solid">
        <fgColor rgb="FFC3D69B"/>
        <bgColor rgb="FFD7E4BD"/>
      </patternFill>
    </fill>
    <fill>
      <patternFill patternType="solid">
        <fgColor rgb="FFDDD9C3"/>
        <bgColor rgb="FFD9D9D9"/>
      </patternFill>
    </fill>
    <fill>
      <patternFill patternType="solid">
        <fgColor rgb="FF93CDDD"/>
        <bgColor rgb="FF8EB4E3"/>
      </patternFill>
    </fill>
    <fill>
      <patternFill patternType="solid">
        <fgColor rgb="FF1E1C11"/>
        <bgColor rgb="FF0D0D0D"/>
      </patternFill>
    </fill>
    <fill>
      <patternFill patternType="solid">
        <fgColor rgb="FFE46C0A"/>
        <bgColor rgb="FF948A54"/>
      </patternFill>
    </fill>
    <fill>
      <patternFill patternType="solid">
        <fgColor rgb="FFB3A2C7"/>
        <bgColor rgb="FFA6A6A6"/>
      </patternFill>
    </fill>
    <fill>
      <patternFill patternType="solid">
        <fgColor rgb="FFFFFF00"/>
        <bgColor rgb="FFFFC000"/>
      </patternFill>
    </fill>
    <fill>
      <patternFill patternType="solid">
        <fgColor rgb="FF95B3D7"/>
        <bgColor rgb="FF8EB4E3"/>
      </patternFill>
    </fill>
    <fill>
      <patternFill patternType="solid">
        <fgColor rgb="FF77933C"/>
        <bgColor rgb="FF948A54"/>
      </patternFill>
    </fill>
    <fill>
      <patternFill patternType="solid">
        <fgColor rgb="FFFCD5B5"/>
        <bgColor rgb="FFDDD9C3"/>
      </patternFill>
    </fill>
    <fill>
      <patternFill patternType="solid">
        <fgColor rgb="FFB7DEE8"/>
        <bgColor rgb="FFC6D9F1"/>
      </patternFill>
    </fill>
    <fill>
      <patternFill patternType="solid">
        <fgColor rgb="FFB9CDE5"/>
        <bgColor rgb="FFC6D9F1"/>
      </patternFill>
    </fill>
    <fill>
      <patternFill patternType="solid">
        <fgColor rgb="FFCCC1DA"/>
        <bgColor rgb="FFBFBFBF"/>
      </patternFill>
    </fill>
    <fill>
      <patternFill patternType="solid">
        <fgColor rgb="FF404040"/>
        <bgColor rgb="FF444444"/>
      </patternFill>
    </fill>
    <fill>
      <patternFill patternType="solid">
        <fgColor rgb="FF4F6228"/>
        <bgColor rgb="FF4A452A"/>
      </patternFill>
    </fill>
    <fill>
      <patternFill patternType="solid">
        <fgColor rgb="FF376092"/>
        <bgColor rgb="FF444444"/>
      </patternFill>
    </fill>
    <fill>
      <patternFill patternType="solid">
        <fgColor rgb="FFEEECE1"/>
        <bgColor rgb="FFF2F2F2"/>
      </patternFill>
    </fill>
    <fill>
      <patternFill patternType="solid">
        <fgColor rgb="FFA6A6A6"/>
        <bgColor rgb="FFB3A2C7"/>
      </patternFill>
    </fill>
    <fill>
      <patternFill patternType="solid">
        <fgColor rgb="FF8EB4E3"/>
        <bgColor rgb="FF95B3D7"/>
      </patternFill>
    </fill>
    <fill>
      <patternFill patternType="solid">
        <fgColor rgb="FF0070C0"/>
        <bgColor rgb="FF376092"/>
      </patternFill>
    </fill>
    <fill>
      <patternFill patternType="solid">
        <fgColor rgb="FF9BBB59"/>
        <bgColor rgb="FF92D050"/>
      </patternFill>
    </fill>
    <fill>
      <patternFill patternType="solid">
        <fgColor rgb="FFE6E3D2"/>
        <bgColor rgb="FFE6E0EC"/>
      </patternFill>
    </fill>
  </fills>
  <borders count="3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/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/>
      <right/>
      <top/>
      <bottom style="thin">
        <color rgb="FFFFFFFF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9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3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12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5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12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4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5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3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1" fillId="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3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7" fillId="4" borderId="1" xfId="2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7" fillId="4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4" borderId="1" xfId="21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7" fillId="4" borderId="1" xfId="21" applyFont="true" applyBorder="true" applyAlignment="true" applyProtection="false">
      <alignment horizontal="right" vertical="distributed" textRotation="0" wrapText="true" indent="0" shrinkToFit="false"/>
      <protection locked="true" hidden="false"/>
    </xf>
    <xf numFmtId="164" fontId="7" fillId="4" borderId="5" xfId="21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4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0" fillId="4" borderId="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5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2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4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3" borderId="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0" fillId="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0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4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4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4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3" borderId="1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1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justify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0" fillId="3" borderId="1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11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3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1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1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1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7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2" fillId="7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12" fillId="7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12" fillId="4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12" fillId="4" borderId="7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2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7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2" fillId="4" borderId="7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5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3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1" fillId="3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1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7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0" fillId="3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7" fillId="4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10" fillId="3" borderId="11" xfId="22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1" fillId="3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11" fillId="3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7" fillId="0" borderId="1" xfId="22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7" fillId="0" borderId="1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7" fillId="0" borderId="5" xfId="22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10" fillId="3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12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1" fillId="3" borderId="1" xfId="0" applyFont="true" applyBorder="true" applyAlignment="true" applyProtection="true">
      <alignment horizontal="right" vertical="bottom" textRotation="0" wrapText="true" indent="0" shrinkToFit="false"/>
      <protection locked="false" hidden="false"/>
    </xf>
    <xf numFmtId="164" fontId="12" fillId="4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5" fontId="12" fillId="0" borderId="1" xfId="0" applyFont="true" applyBorder="true" applyAlignment="true" applyProtection="true">
      <alignment horizontal="right" vertical="top" textRotation="0" wrapText="true" indent="0" shrinkToFit="false" readingOrder="1"/>
      <protection locked="false" hidden="false"/>
    </xf>
    <xf numFmtId="164" fontId="12" fillId="4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right" vertical="top" textRotation="0" wrapText="true" indent="0" shrinkToFit="false"/>
      <protection locked="false" hidden="false"/>
    </xf>
    <xf numFmtId="164" fontId="12" fillId="0" borderId="5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4" fontId="10" fillId="3" borderId="10" xfId="0" applyFont="true" applyBorder="true" applyAlignment="true" applyProtection="true">
      <alignment horizontal="left" vertical="center" textRotation="0" wrapText="true" indent="0" shrinkToFit="false" readingOrder="1"/>
      <protection locked="false" hidden="false"/>
    </xf>
    <xf numFmtId="164" fontId="12" fillId="4" borderId="13" xfId="0" applyFont="true" applyBorder="true" applyAlignment="true" applyProtection="true">
      <alignment horizontal="left" vertical="center" textRotation="0" wrapText="true" indent="0" shrinkToFit="false" readingOrder="1"/>
      <protection locked="false" hidden="false"/>
    </xf>
    <xf numFmtId="164" fontId="10" fillId="3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4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12" fillId="0" borderId="5" xfId="0" applyFont="true" applyBorder="true" applyAlignment="true" applyProtection="true">
      <alignment horizontal="right" vertical="top" textRotation="0" wrapText="true" indent="0" shrinkToFit="false"/>
      <protection locked="false" hidden="false"/>
    </xf>
    <xf numFmtId="164" fontId="7" fillId="0" borderId="1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5" fontId="7" fillId="0" borderId="1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5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true">
      <alignment horizontal="right" vertical="top" textRotation="0" wrapText="true" indent="0" shrinkToFit="false"/>
      <protection locked="false" hidden="false"/>
    </xf>
    <xf numFmtId="164" fontId="7" fillId="0" borderId="5" xfId="0" applyFont="true" applyBorder="true" applyAlignment="true" applyProtection="true">
      <alignment horizontal="general" vertical="top" textRotation="0" wrapText="true" indent="0" shrinkToFit="false" readingOrder="1"/>
      <protection locked="fals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1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2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12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9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2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7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0" fillId="3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7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1" xfId="2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1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7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1" xfId="2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2" fillId="4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4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7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0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9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11" fillId="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3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3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4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6" fillId="1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7" fillId="4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6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7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6" fillId="1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7" fillId="4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8" fillId="6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2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1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2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2" fillId="6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3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5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5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5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5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5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3" fillId="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5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1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4" fillId="6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6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4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6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1" fillId="6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5" fillId="5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12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5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4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3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4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5" fillId="6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5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5" fillId="6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1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25" fillId="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4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5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6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7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5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1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7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3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36" fillId="0" borderId="1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0" borderId="1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8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5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2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8" fontId="7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8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6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1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5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5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3" fillId="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3" fillId="6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5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8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6" borderId="9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6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6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4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34" fillId="6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11" fillId="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1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37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5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5" borderId="6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13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13" fillId="0" borderId="7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7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0" fillId="1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8" fillId="1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5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8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1" fillId="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32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34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4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1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6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4" fillId="6" borderId="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1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1" fillId="6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5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12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8" fillId="1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0" fillId="1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3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8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3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5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0" fillId="14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4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1" fillId="6" borderId="6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1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25" fillId="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0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3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6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6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4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5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4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4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1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7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1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1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6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1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5" fillId="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5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7" fillId="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8" fillId="1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0" fillId="1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4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26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6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7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48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6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6" fontId="7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left" vertical="center" textRotation="0" wrapText="false" indent="0" shrinkToFit="false"/>
      <protection locked="true" hidden="true"/>
    </xf>
    <xf numFmtId="165" fontId="11" fillId="6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0" fillId="17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7" borderId="0" xfId="0" applyFont="fals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1" fillId="6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5" borderId="3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13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5" borderId="13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5" borderId="13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5" borderId="12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5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0" fillId="5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1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5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7" fontId="7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5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2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1" fillId="6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1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7" fontId="7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4" fillId="6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5" borderId="4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2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9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5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5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5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11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25" fillId="6" borderId="6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7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6" borderId="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6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5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6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1" fillId="6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5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2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5" fontId="40" fillId="18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6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8" fillId="1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0" fillId="1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6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34" fillId="6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11" fillId="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7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5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0" fillId="19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12" fillId="0" borderId="7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8" fillId="19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4" fillId="6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2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0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2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5" fillId="2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0" borderId="5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21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2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0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3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3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1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1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1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4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16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3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4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2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1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9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6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6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2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2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5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3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1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8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2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29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2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5" fillId="2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2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32" fillId="2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32" fillId="2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6" fillId="11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1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7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8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9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1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0" fillId="2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4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1" xfId="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11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3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3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6" fillId="11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6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24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3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1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33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3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33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3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8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8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4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1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4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4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4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2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5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5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5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36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9" fillId="26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9" fillId="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2" fillId="11" borderId="1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2" fillId="11" borderId="7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2" fillId="11" borderId="1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2" fillId="11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8" fontId="0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2" fillId="0" borderId="7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12" fillId="22" borderId="7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12" fillId="22" borderId="1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12" fillId="0" borderId="1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7" fillId="2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36" fillId="19" borderId="1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3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37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37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9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37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1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2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26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7" fontId="0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34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4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4" borderId="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5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7" fontId="0" fillId="3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3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6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7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7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7" fontId="16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8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6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6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5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1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1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5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2" fillId="1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5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6" fillId="16" borderId="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1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7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17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2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7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1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2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8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8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3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6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1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3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6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6" fillId="16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6" borderId="7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9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6" borderId="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9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9" fillId="0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9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1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1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11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9" fillId="3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49" fillId="3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1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39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3" fillId="1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3" fillId="3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3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3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7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9" fillId="3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9" fillId="3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2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7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7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11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2" fillId="2" borderId="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2" borderId="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6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1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1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6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8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8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8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38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8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8" borderId="7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3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4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2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29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2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2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29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2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7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5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4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4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4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4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4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3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9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9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9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12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1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1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3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3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3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3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3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3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3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3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4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3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1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1" borderId="3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34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1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1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4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9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3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1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5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4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2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12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32" fillId="12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1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12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12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0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5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0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33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3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3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33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10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1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3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26" borderId="5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2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2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2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26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36" fillId="16" borderId="4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6" borderId="14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2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8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8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8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0" borderId="7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16" borderId="3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2" borderId="2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8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6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2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0" xfId="2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36" fillId="2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6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2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26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6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26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22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2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9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3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1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2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2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28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11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8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3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2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32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3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2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25" fillId="9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5" fillId="9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5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5" fillId="9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9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36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0" borderId="14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2" fillId="9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32" fillId="9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32" fillId="9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2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9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9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9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0" fillId="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9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9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2" fillId="9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9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25" fillId="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29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5" fillId="2" borderId="0" xfId="21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5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5" fillId="9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5" fillId="9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9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5" fillId="9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9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9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2" fillId="9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9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9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32" fillId="9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2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32" fillId="9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2" fillId="9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0" fillId="1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0" fillId="16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50" fillId="16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0" fillId="16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50" fillId="16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8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2" fillId="9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32" fillId="9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2" fillId="9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5" fillId="9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8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38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8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2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22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5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5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0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2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24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4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24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4" borderId="1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1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4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24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4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24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24" borderId="15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4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52" fillId="0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2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0" fillId="0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2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4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4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4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2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3" fillId="2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3" fillId="24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3" fillId="24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5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2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24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24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24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24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1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36" fillId="2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36" fillId="37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37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37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37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7" borderId="14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37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5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37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7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7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7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7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7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4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7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1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7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7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7" borderId="1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1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17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0" fillId="5" borderId="1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5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5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5" borderId="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5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5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5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3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19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19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19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19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9" borderId="14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19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2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3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13" fillId="22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3" fillId="0" borderId="5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13" fillId="0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0" fillId="19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9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9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9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19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9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6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9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0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49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7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9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9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9" borderId="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1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36" fillId="19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18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18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18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18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18" borderId="14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18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8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8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1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8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36" fillId="18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36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6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36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36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36" fillId="36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3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6" borderId="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6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6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3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6" borderId="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36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3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7" fontId="0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7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7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7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36" fillId="16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2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36" fillId="16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16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36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2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6" fillId="0" borderId="0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16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3" fillId="0" borderId="9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0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3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2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9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9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21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21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50" fillId="36" borderId="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0" fillId="36" borderId="1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50" fillId="36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0" fillId="36" borderId="13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0" fillId="36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0" fillId="0" borderId="0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5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3" fillId="0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22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3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13" fillId="0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25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0" borderId="13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36" fillId="2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6" fillId="0" borderId="13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16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6" fontId="0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2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1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5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36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36" fillId="4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4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51" fillId="4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0" borderId="6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0" fillId="4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4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4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4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4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4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1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16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8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3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3" fillId="16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13" fillId="1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6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3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0" fillId="22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6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16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36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6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2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3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6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2" fillId="0" borderId="7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13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1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0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13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12" fillId="22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53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0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3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13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9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6" fillId="16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2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36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8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6" fillId="1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0" fillId="2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0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36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6" fillId="16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16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6" fillId="16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16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9" fillId="16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38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38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8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22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5" fontId="8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8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8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5" fontId="7" fillId="38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8" fillId="22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8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1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15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15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15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7" fillId="22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8" fillId="0" borderId="0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0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8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7" fillId="24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left" vertical="bottom" textRotation="0" wrapText="true" indent="0" shrinkToFit="false"/>
      <protection locked="true" hidden="true"/>
    </xf>
    <xf numFmtId="165" fontId="12" fillId="24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35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5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24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22" borderId="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true"/>
    </xf>
    <xf numFmtId="165" fontId="40" fillId="24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6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3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40" fillId="36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3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7" fillId="0" borderId="7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3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40" fillId="26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6" fillId="3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32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3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0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32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26" borderId="1" xfId="0" applyFont="true" applyBorder="true" applyAlignment="true" applyProtection="true">
      <alignment horizontal="center" vertical="bottom" textRotation="0" wrapText="true" indent="0" shrinkToFit="false"/>
      <protection locked="true" hidden="true"/>
    </xf>
    <xf numFmtId="165" fontId="7" fillId="26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26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6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26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2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26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26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22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3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0" borderId="8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7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22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top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false" applyAlignment="true" applyProtection="true">
      <alignment horizontal="right" vertical="bottom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11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11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11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12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1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general" vertical="top" textRotation="0" wrapText="false" indent="0" shrinkToFit="false"/>
      <protection locked="true" hidden="true"/>
    </xf>
    <xf numFmtId="165" fontId="12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8" fillId="11" borderId="5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8" fillId="11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11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1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13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26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3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31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31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8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1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1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1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19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43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4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4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43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4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37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19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19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31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8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28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4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2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2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2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3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3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5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7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0" fillId="3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36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2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3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4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44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44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3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3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5" fillId="16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1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1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22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right" vertical="center" textRotation="90" wrapText="false" indent="0" shrinkToFit="false"/>
      <protection locked="true" hidden="false"/>
    </xf>
    <xf numFmtId="167" fontId="12" fillId="22" borderId="1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22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22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22" borderId="1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22" borderId="8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6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2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0" fillId="22" borderId="8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70" fontId="0" fillId="22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9" fillId="1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8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1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1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40" fillId="18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7" fontId="7" fillId="37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8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7" fontId="7" fillId="37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7" fillId="22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1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8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5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0" borderId="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1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8" fillId="18" borderId="7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22" borderId="7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0" fillId="15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0" fontId="26" fillId="3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70" fontId="0" fillId="22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2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70" fontId="0" fillId="45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40" fillId="27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22" borderId="7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7" fontId="0" fillId="22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11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2" borderId="7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2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0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0" fillId="11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2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8" fillId="27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7" fontId="0" fillId="22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2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2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7" fillId="11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11" borderId="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2" borderId="5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3" fillId="11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2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9" fillId="27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2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27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8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2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26" fillId="37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6" fillId="37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22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5" fontId="0" fillId="22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7" fillId="15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36" fillId="1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6" fillId="16" borderId="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8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8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8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18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8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4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4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4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44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4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44" borderId="1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44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4" borderId="7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0" fillId="22" borderId="7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5" fillId="3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27" borderId="6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15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46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8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1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6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8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8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7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12" fillId="16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12" fillId="1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6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22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6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2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7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16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16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6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2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7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" fillId="22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8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12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7" fillId="0" borderId="9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8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6" borderId="2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6" borderId="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9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8" fillId="16" borderId="2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16" borderId="8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2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8" fillId="16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1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1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6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7" fillId="2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5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6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6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7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16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7" fillId="1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36" borderId="3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9" fillId="36" borderId="13" xfId="0" applyFont="true" applyBorder="true" applyAlignment="true" applyProtection="true">
      <alignment horizontal="general" vertical="center" textRotation="0" wrapText="true" indent="0" shrinkToFit="false"/>
      <protection locked="true" hidden="true"/>
    </xf>
    <xf numFmtId="165" fontId="9" fillId="36" borderId="10" xfId="0" applyFont="true" applyBorder="true" applyAlignment="true" applyProtection="true">
      <alignment horizontal="general" vertical="center" textRotation="0" wrapText="true" indent="0" shrinkToFit="false"/>
      <protection locked="true" hidden="true"/>
    </xf>
    <xf numFmtId="170" fontId="7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2" fillId="0" borderId="1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2" fillId="0" borderId="7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2" fillId="22" borderId="1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5" fontId="12" fillId="0" borderId="0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12" fillId="0" borderId="0" xfId="0" applyFont="true" applyBorder="true" applyAlignment="true" applyProtection="true">
      <alignment horizontal="left" vertical="center" textRotation="0" wrapText="true" indent="0" shrinkToFit="false"/>
      <protection locked="true" hidden="true"/>
    </xf>
    <xf numFmtId="167" fontId="7" fillId="3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4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3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5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9" fillId="1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7" fillId="3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32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9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7" fillId="22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8" fontId="7" fillId="0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8" fontId="7" fillId="0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1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1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7" fillId="1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12" fillId="22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5" fontId="7" fillId="32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12" fillId="0" borderId="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22" borderId="7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1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1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7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3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6" fontId="7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6" fontId="7" fillId="22" borderId="1" xfId="0" applyFont="true" applyBorder="true" applyAlignment="true" applyProtection="true">
      <alignment horizontal="general" vertical="bottom" textRotation="0" wrapText="true" indent="0" shrinkToFit="false"/>
      <protection locked="true" hidden="true"/>
    </xf>
    <xf numFmtId="165" fontId="7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36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8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5" fillId="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8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8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8" fillId="2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8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6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6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5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6" fillId="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32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7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5" fillId="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8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8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7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6" fillId="6" borderId="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6" borderId="5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8" fillId="6" borderId="5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28" fillId="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1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5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1" fillId="6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5" fillId="0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11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11" fillId="6" borderId="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6" borderId="0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9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1" fillId="6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1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1" fillId="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6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9" fillId="6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6" fillId="6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5" fillId="6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6" borderId="1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32" fillId="6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6" fillId="11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32" fillId="6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32" fillId="6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32" fillId="6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6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5" borderId="1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18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9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5" borderId="20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2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17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17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17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17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2" fillId="3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3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7" fillId="4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7" fillId="4" borderId="1" xfId="21" applyFont="true" applyBorder="true" applyAlignment="true" applyProtection="false">
      <alignment horizontal="right" vertical="distributed" textRotation="0" wrapText="true" indent="0" shrinkToFit="false"/>
      <protection locked="true" hidden="false"/>
    </xf>
    <xf numFmtId="168" fontId="7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6" borderId="2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1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11" borderId="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2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1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2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12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" fillId="4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12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45" borderId="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0" fillId="45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7" fillId="45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2" borderId="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12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5" xfId="2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17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17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71" fontId="7" fillId="17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7" fontId="0" fillId="17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17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0" fillId="17" borderId="1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3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5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5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4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8" fillId="0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8" fillId="0" borderId="2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8" fillId="0" borderId="8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2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16" borderId="1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16" borderId="1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0" borderId="8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6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40" fillId="36" borderId="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40" fillId="36" borderId="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22" borderId="7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4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8" fillId="0" borderId="2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7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7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9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9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7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4" fillId="0" borderId="2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0" borderId="22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47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2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0" borderId="2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47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70" fontId="7" fillId="4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8" fillId="0" borderId="2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7" fillId="47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4" fillId="0" borderId="26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0" borderId="2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7" fillId="47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0" borderId="24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7" fillId="0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4" fillId="0" borderId="26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0" borderId="24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1" fillId="0" borderId="29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7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61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9" fillId="0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9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0" borderId="26" xfId="0" applyFont="true" applyBorder="true" applyAlignment="true" applyProtection="true">
      <alignment horizontal="general" vertical="center" textRotation="0" wrapText="false" indent="0" shrinkToFit="false"/>
      <protection locked="true" hidden="true"/>
    </xf>
    <xf numFmtId="168" fontId="8" fillId="0" borderId="24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1" fillId="0" borderId="24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7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2" fillId="0" borderId="2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1" fillId="0" borderId="3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4" fillId="0" borderId="26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8" fillId="0" borderId="24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70" fontId="7" fillId="47" borderId="3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8" fillId="0" borderId="2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2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4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25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9" fillId="0" borderId="1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25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1" fillId="4" borderId="0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1" fillId="4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7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11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9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4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8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11" fillId="4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4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4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1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1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26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9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9" fillId="0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7" fillId="0" borderId="2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5" fontId="12" fillId="0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1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1" fillId="4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47" borderId="2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1" xfId="2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54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8" fillId="0" borderId="27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8" fillId="0" borderId="0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61" fillId="0" borderId="26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61" fillId="0" borderId="26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12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12" fillId="0" borderId="1" xfId="0" applyFont="true" applyBorder="true" applyAlignment="true" applyProtection="true">
      <alignment horizontal="right" vertical="center" textRotation="0" wrapText="false" indent="0" shrinkToFit="false"/>
      <protection locked="true" hidden="true"/>
    </xf>
    <xf numFmtId="164" fontId="54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4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1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9" fillId="0" borderId="29" xfId="0" applyFont="true" applyBorder="true" applyAlignment="true" applyProtection="true">
      <alignment horizontal="left" vertical="bottom" textRotation="0" wrapText="false" indent="0" shrinkToFit="false"/>
      <protection locked="true" hidden="true"/>
    </xf>
    <xf numFmtId="168" fontId="9" fillId="0" borderId="29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8" fontId="9" fillId="0" borderId="0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0" borderId="1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5" fontId="7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1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7" fillId="0" borderId="2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1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24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7" fillId="0" borderId="1" xfId="0" applyFont="true" applyBorder="true" applyAlignment="true" applyProtection="true">
      <alignment horizontal="right" vertical="bottom" textRotation="0" wrapText="true" indent="0" shrinkToFit="false"/>
      <protection locked="true" hidden="true"/>
    </xf>
    <xf numFmtId="168" fontId="7" fillId="0" borderId="8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5" fontId="12" fillId="0" borderId="1" xfId="2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7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5" fontId="7" fillId="0" borderId="1" xfId="21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12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54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47" borderId="3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8" xfId="0" applyFont="true" applyBorder="true" applyAlignment="true" applyProtection="true">
      <alignment horizontal="right" vertical="bottom" textRotation="0" wrapText="false" indent="0" shrinkToFit="false"/>
      <protection locked="true" hidden="true"/>
    </xf>
    <xf numFmtId="164" fontId="7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3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3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2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12" fillId="0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2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3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3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0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25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2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4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0" fontId="0" fillId="4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62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3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4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6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26" fillId="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13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4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4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6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1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4" borderId="3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4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4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5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0" fillId="4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4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6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4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2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26" fillId="4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6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2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1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0" borderId="3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6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2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1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0" fillId="0" borderId="3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6" fillId="0" borderId="13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Обычный 2" xfId="21"/>
    <cellStyle name="Обычный 3" xfId="22"/>
    <cellStyle name="Обычный 6" xfId="23"/>
    <cellStyle name="*unknown*" xfId="20" builtinId="8"/>
  </cellStyles>
  <colors>
    <indexedColors>
      <rgbColor rgb="FF000000"/>
      <rgbColor rgb="FFFFFFFF"/>
      <rgbColor rgb="FFFF0000"/>
      <rgbColor rgb="FFDDD9C3"/>
      <rgbColor rgb="FF0000FF"/>
      <rgbColor rgb="FFFFFF00"/>
      <rgbColor rgb="FFE6E0EC"/>
      <rgbColor rgb="FFB7DEE8"/>
      <rgbColor rgb="FF800000"/>
      <rgbColor rgb="FFE6E3D2"/>
      <rgbColor rgb="FF0D0D0D"/>
      <rgbColor rgb="FF77933C"/>
      <rgbColor rgb="FFF2F2F2"/>
      <rgbColor rgb="FF9BBB59"/>
      <rgbColor rgb="FFBFBFBF"/>
      <rgbColor rgb="FF808080"/>
      <rgbColor rgb="FF8EB4E3"/>
      <rgbColor rgb="FF948A54"/>
      <rgbColor rgb="FFFAFAE6"/>
      <rgbColor rgb="FFDBEEF4"/>
      <rgbColor rgb="FF660066"/>
      <rgbColor rgb="FFD99694"/>
      <rgbColor rgb="FF0070C0"/>
      <rgbColor rgb="FFC6D9F1"/>
      <rgbColor rgb="FF000080"/>
      <rgbColor rgb="FFEEECE1"/>
      <rgbColor rgb="FFFCD5B5"/>
      <rgbColor rgb="FFC3D69B"/>
      <rgbColor rgb="FF800080"/>
      <rgbColor rgb="FF800000"/>
      <rgbColor rgb="FFD9D9D9"/>
      <rgbColor rgb="FF0000FF"/>
      <rgbColor rgb="FF00B0F0"/>
      <rgbColor rgb="FFDCE6F2"/>
      <rgbColor rgb="FFD7E4BD"/>
      <rgbColor rgb="FFFDEADA"/>
      <rgbColor rgb="FF93CDDD"/>
      <rgbColor rgb="FFE6B9B8"/>
      <rgbColor rgb="FFB3A2C7"/>
      <rgbColor rgb="FFFAC090"/>
      <rgbColor rgb="FFB9CDE5"/>
      <rgbColor rgb="FF95B3D7"/>
      <rgbColor rgb="FF92D050"/>
      <rgbColor rgb="FFFFC000"/>
      <rgbColor rgb="FFC4BD97"/>
      <rgbColor rgb="FFE46C0A"/>
      <rgbColor rgb="FF376092"/>
      <rgbColor rgb="FFA6A6A6"/>
      <rgbColor rgb="FF17375E"/>
      <rgbColor rgb="FF4F6228"/>
      <rgbColor rgb="FF10243E"/>
      <rgbColor rgb="FF1E1C11"/>
      <rgbColor rgb="FF4A452A"/>
      <rgbColor rgb="FFCCC1DA"/>
      <rgbColor rgb="FF444444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3.jpe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jpeg"/><Relationship Id="rId6" Type="http://schemas.openxmlformats.org/officeDocument/2006/relationships/image" Target="../media/image7.jpeg"/><Relationship Id="rId7" Type="http://schemas.openxmlformats.org/officeDocument/2006/relationships/image" Target="../media/image8.jpeg"/><Relationship Id="rId8" Type="http://schemas.openxmlformats.org/officeDocument/2006/relationships/image" Target="../media/image9.jpeg"/><Relationship Id="rId9" Type="http://schemas.openxmlformats.org/officeDocument/2006/relationships/image" Target="../media/image10.png"/><Relationship Id="rId10" Type="http://schemas.openxmlformats.org/officeDocument/2006/relationships/image" Target="../media/image1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0</xdr:colOff>
      <xdr:row>1</xdr:row>
      <xdr:rowOff>0</xdr:rowOff>
    </xdr:from>
    <xdr:to>
      <xdr:col>18</xdr:col>
      <xdr:colOff>493920</xdr:colOff>
      <xdr:row>23</xdr:row>
      <xdr:rowOff>46440</xdr:rowOff>
    </xdr:to>
    <xdr:pic>
      <xdr:nvPicPr>
        <xdr:cNvPr id="0" name="Рисунок 1" descr="Smetadom.com.png"/>
        <xdr:cNvPicPr/>
      </xdr:nvPicPr>
      <xdr:blipFill>
        <a:blip r:embed="rId1"/>
        <a:stretch/>
      </xdr:blipFill>
      <xdr:spPr>
        <a:xfrm>
          <a:off x="7124400" y="190440"/>
          <a:ext cx="5028120" cy="4742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38160</xdr:colOff>
      <xdr:row>47</xdr:row>
      <xdr:rowOff>0</xdr:rowOff>
    </xdr:from>
    <xdr:to>
      <xdr:col>0</xdr:col>
      <xdr:colOff>609120</xdr:colOff>
      <xdr:row>47</xdr:row>
      <xdr:rowOff>0</xdr:rowOff>
    </xdr:to>
    <xdr:pic>
      <xdr:nvPicPr>
        <xdr:cNvPr id="1" name="Рисунок 1" descr="IMG_0080_Спецблок 1.jpg"/>
        <xdr:cNvPicPr/>
      </xdr:nvPicPr>
      <xdr:blipFill>
        <a:blip r:embed="rId1"/>
        <a:stretch/>
      </xdr:blipFill>
      <xdr:spPr>
        <a:xfrm>
          <a:off x="38160" y="780840"/>
          <a:ext cx="57096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190440</xdr:colOff>
      <xdr:row>27</xdr:row>
      <xdr:rowOff>0</xdr:rowOff>
    </xdr:from>
    <xdr:to>
      <xdr:col>0</xdr:col>
      <xdr:colOff>608760</xdr:colOff>
      <xdr:row>27</xdr:row>
      <xdr:rowOff>0</xdr:rowOff>
    </xdr:to>
    <xdr:pic>
      <xdr:nvPicPr>
        <xdr:cNvPr id="2" name="Рисунок 3" descr="IMG_0079_Половинчатый 2.jpg"/>
        <xdr:cNvPicPr/>
      </xdr:nvPicPr>
      <xdr:blipFill>
        <a:blip r:embed="rId2"/>
        <a:stretch/>
      </xdr:blipFill>
      <xdr:spPr>
        <a:xfrm>
          <a:off x="190440" y="399960"/>
          <a:ext cx="41832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66600</xdr:colOff>
      <xdr:row>140</xdr:row>
      <xdr:rowOff>0</xdr:rowOff>
    </xdr:from>
    <xdr:to>
      <xdr:col>0</xdr:col>
      <xdr:colOff>608760</xdr:colOff>
      <xdr:row>140</xdr:row>
      <xdr:rowOff>0</xdr:rowOff>
    </xdr:to>
    <xdr:pic>
      <xdr:nvPicPr>
        <xdr:cNvPr id="3" name="Рисунок 4" descr="thbig-42882 (1).jpg"/>
        <xdr:cNvPicPr/>
      </xdr:nvPicPr>
      <xdr:blipFill>
        <a:blip r:embed="rId3"/>
        <a:stretch/>
      </xdr:blipFill>
      <xdr:spPr>
        <a:xfrm>
          <a:off x="66600" y="2876400"/>
          <a:ext cx="54216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114480</xdr:colOff>
      <xdr:row>140</xdr:row>
      <xdr:rowOff>0</xdr:rowOff>
    </xdr:from>
    <xdr:to>
      <xdr:col>0</xdr:col>
      <xdr:colOff>609120</xdr:colOff>
      <xdr:row>140</xdr:row>
      <xdr:rowOff>0</xdr:rowOff>
    </xdr:to>
    <xdr:pic>
      <xdr:nvPicPr>
        <xdr:cNvPr id="4" name="Рисунок 5" descr="thbig-42882.jpg"/>
        <xdr:cNvPicPr/>
      </xdr:nvPicPr>
      <xdr:blipFill>
        <a:blip r:embed="rId4"/>
        <a:stretch/>
      </xdr:blipFill>
      <xdr:spPr>
        <a:xfrm>
          <a:off x="114480" y="2876400"/>
          <a:ext cx="49464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76320</xdr:colOff>
      <xdr:row>27</xdr:row>
      <xdr:rowOff>0</xdr:rowOff>
    </xdr:from>
    <xdr:to>
      <xdr:col>0</xdr:col>
      <xdr:colOff>609120</xdr:colOff>
      <xdr:row>27</xdr:row>
      <xdr:rowOff>0</xdr:rowOff>
    </xdr:to>
    <xdr:pic>
      <xdr:nvPicPr>
        <xdr:cNvPr id="5" name="Рисунок 11" descr="IMG_0066_Угловой2 - копия.jpg"/>
        <xdr:cNvPicPr/>
      </xdr:nvPicPr>
      <xdr:blipFill>
        <a:blip r:embed="rId5"/>
        <a:stretch/>
      </xdr:blipFill>
      <xdr:spPr>
        <a:xfrm>
          <a:off x="76320" y="399960"/>
          <a:ext cx="53280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162000</xdr:colOff>
      <xdr:row>27</xdr:row>
      <xdr:rowOff>0</xdr:rowOff>
    </xdr:from>
    <xdr:to>
      <xdr:col>0</xdr:col>
      <xdr:colOff>609120</xdr:colOff>
      <xdr:row>27</xdr:row>
      <xdr:rowOff>0</xdr:rowOff>
    </xdr:to>
    <xdr:pic>
      <xdr:nvPicPr>
        <xdr:cNvPr id="6" name="Рисунок 12" descr="IMG_0079_Половинчатый 2.jpg"/>
        <xdr:cNvPicPr/>
      </xdr:nvPicPr>
      <xdr:blipFill>
        <a:blip r:embed="rId6"/>
        <a:stretch/>
      </xdr:blipFill>
      <xdr:spPr>
        <a:xfrm>
          <a:off x="162000" y="399960"/>
          <a:ext cx="44712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57240</xdr:colOff>
      <xdr:row>27</xdr:row>
      <xdr:rowOff>0</xdr:rowOff>
    </xdr:from>
    <xdr:to>
      <xdr:col>0</xdr:col>
      <xdr:colOff>609120</xdr:colOff>
      <xdr:row>27</xdr:row>
      <xdr:rowOff>0</xdr:rowOff>
    </xdr:to>
    <xdr:pic>
      <xdr:nvPicPr>
        <xdr:cNvPr id="7" name="Рисунок 14" descr="IMG_0066_Угловой2.jpg"/>
        <xdr:cNvPicPr/>
      </xdr:nvPicPr>
      <xdr:blipFill>
        <a:blip r:embed="rId7"/>
        <a:stretch/>
      </xdr:blipFill>
      <xdr:spPr>
        <a:xfrm>
          <a:off x="57240" y="399960"/>
          <a:ext cx="55188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162000</xdr:colOff>
      <xdr:row>27</xdr:row>
      <xdr:rowOff>0</xdr:rowOff>
    </xdr:from>
    <xdr:to>
      <xdr:col>0</xdr:col>
      <xdr:colOff>609120</xdr:colOff>
      <xdr:row>27</xdr:row>
      <xdr:rowOff>0</xdr:rowOff>
    </xdr:to>
    <xdr:pic>
      <xdr:nvPicPr>
        <xdr:cNvPr id="8" name="Рисунок 17" descr="IMG_0079_Половинчатый 2.jpg"/>
        <xdr:cNvPicPr/>
      </xdr:nvPicPr>
      <xdr:blipFill>
        <a:blip r:embed="rId8"/>
        <a:stretch/>
      </xdr:blipFill>
      <xdr:spPr>
        <a:xfrm>
          <a:off x="162000" y="399960"/>
          <a:ext cx="44712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66600</xdr:colOff>
      <xdr:row>105</xdr:row>
      <xdr:rowOff>0</xdr:rowOff>
    </xdr:from>
    <xdr:to>
      <xdr:col>0</xdr:col>
      <xdr:colOff>608760</xdr:colOff>
      <xdr:row>105</xdr:row>
      <xdr:rowOff>0</xdr:rowOff>
    </xdr:to>
    <xdr:pic>
      <xdr:nvPicPr>
        <xdr:cNvPr id="9" name="Рисунок 4" descr="thbig-42882 (1).jpg"/>
        <xdr:cNvPicPr/>
      </xdr:nvPicPr>
      <xdr:blipFill>
        <a:blip r:embed="rId9"/>
        <a:stretch/>
      </xdr:blipFill>
      <xdr:spPr>
        <a:xfrm>
          <a:off x="66600" y="2304720"/>
          <a:ext cx="542160" cy="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0</xdr:col>
      <xdr:colOff>114480</xdr:colOff>
      <xdr:row>105</xdr:row>
      <xdr:rowOff>0</xdr:rowOff>
    </xdr:from>
    <xdr:to>
      <xdr:col>0</xdr:col>
      <xdr:colOff>609120</xdr:colOff>
      <xdr:row>105</xdr:row>
      <xdr:rowOff>0</xdr:rowOff>
    </xdr:to>
    <xdr:pic>
      <xdr:nvPicPr>
        <xdr:cNvPr id="10" name="Рисунок 5" descr="thbig-42882.jpg"/>
        <xdr:cNvPicPr/>
      </xdr:nvPicPr>
      <xdr:blipFill>
        <a:blip r:embed="rId10"/>
        <a:stretch/>
      </xdr:blipFill>
      <xdr:spPr>
        <a:xfrm>
          <a:off x="114480" y="2304720"/>
          <a:ext cx="494640" cy="0"/>
        </a:xfrm>
        <a:prstGeom prst="rect">
          <a:avLst/>
        </a:prstGeom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18</xdr:col>
      <xdr:colOff>0</xdr:colOff>
      <xdr:row>415</xdr:row>
      <xdr:rowOff>19440</xdr:rowOff>
    </xdr:from>
    <xdr:to>
      <xdr:col>28</xdr:col>
      <xdr:colOff>171360</xdr:colOff>
      <xdr:row>415</xdr:row>
      <xdr:rowOff>38520</xdr:rowOff>
    </xdr:to>
    <xdr:sp>
      <xdr:nvSpPr>
        <xdr:cNvPr id="11" name="Прямая соединительная линия 1"/>
        <xdr:cNvSpPr/>
      </xdr:nvSpPr>
      <xdr:spPr>
        <a:xfrm flipH="1" flipV="1">
          <a:off x="9543240" y="8524800"/>
          <a:ext cx="21996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57960</xdr:colOff>
      <xdr:row>145</xdr:row>
      <xdr:rowOff>57240</xdr:rowOff>
    </xdr:from>
    <xdr:to>
      <xdr:col>31</xdr:col>
      <xdr:colOff>142920</xdr:colOff>
      <xdr:row>145</xdr:row>
      <xdr:rowOff>57600</xdr:rowOff>
    </xdr:to>
    <xdr:sp>
      <xdr:nvSpPr>
        <xdr:cNvPr id="12" name="Прямая со стрелкой 5"/>
        <xdr:cNvSpPr/>
      </xdr:nvSpPr>
      <xdr:spPr>
        <a:xfrm flipV="1">
          <a:off x="10286640" y="6404400"/>
          <a:ext cx="200268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162000</xdr:colOff>
      <xdr:row>145</xdr:row>
      <xdr:rowOff>57240</xdr:rowOff>
    </xdr:from>
    <xdr:to>
      <xdr:col>20</xdr:col>
      <xdr:colOff>227880</xdr:colOff>
      <xdr:row>145</xdr:row>
      <xdr:rowOff>57600</xdr:rowOff>
    </xdr:to>
    <xdr:sp>
      <xdr:nvSpPr>
        <xdr:cNvPr id="13" name="Прямая со стрелкой 7"/>
        <xdr:cNvSpPr/>
      </xdr:nvSpPr>
      <xdr:spPr>
        <a:xfrm flipH="1" flipV="1">
          <a:off x="8040960" y="6404400"/>
          <a:ext cx="211284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360</xdr:colOff>
      <xdr:row>415</xdr:row>
      <xdr:rowOff>133200</xdr:rowOff>
    </xdr:from>
    <xdr:to>
      <xdr:col>17</xdr:col>
      <xdr:colOff>162000</xdr:colOff>
      <xdr:row>415</xdr:row>
      <xdr:rowOff>142560</xdr:rowOff>
    </xdr:to>
    <xdr:sp>
      <xdr:nvSpPr>
        <xdr:cNvPr id="14" name="Прямая соединительная линия 9"/>
        <xdr:cNvSpPr/>
      </xdr:nvSpPr>
      <xdr:spPr>
        <a:xfrm flipH="1">
          <a:off x="8263440" y="8638920"/>
          <a:ext cx="112032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360</xdr:colOff>
      <xdr:row>415</xdr:row>
      <xdr:rowOff>85680</xdr:rowOff>
    </xdr:from>
    <xdr:to>
      <xdr:col>23</xdr:col>
      <xdr:colOff>17280</xdr:colOff>
      <xdr:row>415</xdr:row>
      <xdr:rowOff>85680</xdr:rowOff>
    </xdr:to>
    <xdr:sp>
      <xdr:nvSpPr>
        <xdr:cNvPr id="15" name="Прямая соединительная линия 10"/>
        <xdr:cNvSpPr/>
      </xdr:nvSpPr>
      <xdr:spPr>
        <a:xfrm flipH="1">
          <a:off x="8263080" y="8591400"/>
          <a:ext cx="236628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171360</xdr:colOff>
      <xdr:row>415</xdr:row>
      <xdr:rowOff>143280</xdr:rowOff>
    </xdr:from>
    <xdr:to>
      <xdr:col>28</xdr:col>
      <xdr:colOff>192240</xdr:colOff>
      <xdr:row>415</xdr:row>
      <xdr:rowOff>162360</xdr:rowOff>
    </xdr:to>
    <xdr:sp>
      <xdr:nvSpPr>
        <xdr:cNvPr id="16" name="Прямая соединительная линия 12"/>
        <xdr:cNvSpPr/>
      </xdr:nvSpPr>
      <xdr:spPr>
        <a:xfrm flipH="1">
          <a:off x="11742840" y="8648640"/>
          <a:ext cx="2088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360</xdr:colOff>
      <xdr:row>415</xdr:row>
      <xdr:rowOff>0</xdr:rowOff>
    </xdr:from>
    <xdr:to>
      <xdr:col>18</xdr:col>
      <xdr:colOff>19080</xdr:colOff>
      <xdr:row>415</xdr:row>
      <xdr:rowOff>142560</xdr:rowOff>
    </xdr:to>
    <xdr:sp>
      <xdr:nvSpPr>
        <xdr:cNvPr id="17" name="Прямая соединительная линия 13"/>
        <xdr:cNvSpPr/>
      </xdr:nvSpPr>
      <xdr:spPr>
        <a:xfrm flipH="1">
          <a:off x="7879680" y="8505720"/>
          <a:ext cx="1682280" cy="1425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37800</xdr:colOff>
      <xdr:row>415</xdr:row>
      <xdr:rowOff>86400</xdr:rowOff>
    </xdr:from>
    <xdr:to>
      <xdr:col>23</xdr:col>
      <xdr:colOff>1080</xdr:colOff>
      <xdr:row>415</xdr:row>
      <xdr:rowOff>105480</xdr:rowOff>
    </xdr:to>
    <xdr:sp>
      <xdr:nvSpPr>
        <xdr:cNvPr id="18" name="Прямая соединительная линия 14"/>
        <xdr:cNvSpPr/>
      </xdr:nvSpPr>
      <xdr:spPr>
        <a:xfrm flipH="1" flipV="1">
          <a:off x="8300880" y="8591760"/>
          <a:ext cx="231264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360</xdr:colOff>
      <xdr:row>415</xdr:row>
      <xdr:rowOff>38520</xdr:rowOff>
    </xdr:from>
    <xdr:to>
      <xdr:col>29</xdr:col>
      <xdr:colOff>9720</xdr:colOff>
      <xdr:row>415</xdr:row>
      <xdr:rowOff>95760</xdr:rowOff>
    </xdr:to>
    <xdr:sp>
      <xdr:nvSpPr>
        <xdr:cNvPr id="19" name="Прямая соединительная линия 16"/>
        <xdr:cNvSpPr/>
      </xdr:nvSpPr>
      <xdr:spPr>
        <a:xfrm flipV="1">
          <a:off x="10612440" y="8543880"/>
          <a:ext cx="116028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415</xdr:row>
      <xdr:rowOff>10080</xdr:rowOff>
    </xdr:from>
    <xdr:to>
      <xdr:col>23</xdr:col>
      <xdr:colOff>0</xdr:colOff>
      <xdr:row>415</xdr:row>
      <xdr:rowOff>153000</xdr:rowOff>
    </xdr:to>
    <xdr:sp>
      <xdr:nvSpPr>
        <xdr:cNvPr id="20" name="Прямая соединительная линия 17"/>
        <xdr:cNvSpPr/>
      </xdr:nvSpPr>
      <xdr:spPr>
        <a:xfrm>
          <a:off x="10612440" y="8515440"/>
          <a:ext cx="0" cy="142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0</xdr:colOff>
      <xdr:row>415</xdr:row>
      <xdr:rowOff>19440</xdr:rowOff>
    </xdr:from>
    <xdr:to>
      <xdr:col>18</xdr:col>
      <xdr:colOff>0</xdr:colOff>
      <xdr:row>415</xdr:row>
      <xdr:rowOff>162360</xdr:rowOff>
    </xdr:to>
    <xdr:sp>
      <xdr:nvSpPr>
        <xdr:cNvPr id="21" name="Прямая соединительная линия 19"/>
        <xdr:cNvSpPr/>
      </xdr:nvSpPr>
      <xdr:spPr>
        <a:xfrm>
          <a:off x="9543240" y="8524800"/>
          <a:ext cx="0" cy="142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28800</xdr:colOff>
      <xdr:row>415</xdr:row>
      <xdr:rowOff>37800</xdr:rowOff>
    </xdr:from>
    <xdr:to>
      <xdr:col>17</xdr:col>
      <xdr:colOff>152640</xdr:colOff>
      <xdr:row>415</xdr:row>
      <xdr:rowOff>75960</xdr:rowOff>
    </xdr:to>
    <xdr:sp>
      <xdr:nvSpPr>
        <xdr:cNvPr id="22" name="Прямая соединительная линия 21"/>
        <xdr:cNvSpPr/>
      </xdr:nvSpPr>
      <xdr:spPr>
        <a:xfrm flipH="1">
          <a:off x="8291520" y="8543520"/>
          <a:ext cx="10825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123840</xdr:colOff>
      <xdr:row>415</xdr:row>
      <xdr:rowOff>9360</xdr:rowOff>
    </xdr:from>
    <xdr:to>
      <xdr:col>21</xdr:col>
      <xdr:colOff>161280</xdr:colOff>
      <xdr:row>415</xdr:row>
      <xdr:rowOff>18000</xdr:rowOff>
    </xdr:to>
    <xdr:sp>
      <xdr:nvSpPr>
        <xdr:cNvPr id="23" name="Прямая со стрелкой 22"/>
        <xdr:cNvSpPr/>
      </xdr:nvSpPr>
      <xdr:spPr>
        <a:xfrm>
          <a:off x="8195040" y="8515080"/>
          <a:ext cx="2195280" cy="86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103320</xdr:colOff>
      <xdr:row>415</xdr:row>
      <xdr:rowOff>28440</xdr:rowOff>
    </xdr:from>
    <xdr:to>
      <xdr:col>18</xdr:col>
      <xdr:colOff>103680</xdr:colOff>
      <xdr:row>415</xdr:row>
      <xdr:rowOff>84960</xdr:rowOff>
    </xdr:to>
    <xdr:sp>
      <xdr:nvSpPr>
        <xdr:cNvPr id="24" name="Прямая со стрелкой 23"/>
        <xdr:cNvSpPr/>
      </xdr:nvSpPr>
      <xdr:spPr>
        <a:xfrm flipH="1">
          <a:off x="9646560" y="8534160"/>
          <a:ext cx="360" cy="565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115200</xdr:colOff>
      <xdr:row>415</xdr:row>
      <xdr:rowOff>152280</xdr:rowOff>
    </xdr:from>
    <xdr:to>
      <xdr:col>29</xdr:col>
      <xdr:colOff>66960</xdr:colOff>
      <xdr:row>415</xdr:row>
      <xdr:rowOff>160920</xdr:rowOff>
    </xdr:to>
    <xdr:sp>
      <xdr:nvSpPr>
        <xdr:cNvPr id="25" name="Прямая со стрелкой 24"/>
        <xdr:cNvSpPr/>
      </xdr:nvSpPr>
      <xdr:spPr>
        <a:xfrm flipV="1">
          <a:off x="10727280" y="8658000"/>
          <a:ext cx="1102680" cy="86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38160</xdr:colOff>
      <xdr:row>457</xdr:row>
      <xdr:rowOff>0</xdr:rowOff>
    </xdr:from>
    <xdr:to>
      <xdr:col>21</xdr:col>
      <xdr:colOff>19080</xdr:colOff>
      <xdr:row>457</xdr:row>
      <xdr:rowOff>18720</xdr:rowOff>
    </xdr:to>
    <xdr:sp>
      <xdr:nvSpPr>
        <xdr:cNvPr id="26" name="Прямая соединительная линия 25"/>
        <xdr:cNvSpPr/>
      </xdr:nvSpPr>
      <xdr:spPr>
        <a:xfrm flipH="1" flipV="1">
          <a:off x="8684280" y="8865000"/>
          <a:ext cx="156348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9360</xdr:colOff>
      <xdr:row>457</xdr:row>
      <xdr:rowOff>10080</xdr:rowOff>
    </xdr:from>
    <xdr:to>
      <xdr:col>14</xdr:col>
      <xdr:colOff>18720</xdr:colOff>
      <xdr:row>457</xdr:row>
      <xdr:rowOff>114840</xdr:rowOff>
    </xdr:to>
    <xdr:sp>
      <xdr:nvSpPr>
        <xdr:cNvPr id="27" name="Прямая соединительная линия 27"/>
        <xdr:cNvSpPr/>
      </xdr:nvSpPr>
      <xdr:spPr>
        <a:xfrm>
          <a:off x="8655840" y="8874720"/>
          <a:ext cx="936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720</xdr:colOff>
      <xdr:row>457</xdr:row>
      <xdr:rowOff>10080</xdr:rowOff>
    </xdr:from>
    <xdr:to>
      <xdr:col>23</xdr:col>
      <xdr:colOff>29160</xdr:colOff>
      <xdr:row>457</xdr:row>
      <xdr:rowOff>105480</xdr:rowOff>
    </xdr:to>
    <xdr:sp>
      <xdr:nvSpPr>
        <xdr:cNvPr id="28" name="Прямая соединительная линия 29"/>
        <xdr:cNvSpPr/>
      </xdr:nvSpPr>
      <xdr:spPr>
        <a:xfrm flipH="1">
          <a:off x="8838720" y="8874720"/>
          <a:ext cx="1802520" cy="95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457</xdr:row>
      <xdr:rowOff>720</xdr:rowOff>
    </xdr:from>
    <xdr:to>
      <xdr:col>13</xdr:col>
      <xdr:colOff>171360</xdr:colOff>
      <xdr:row>457</xdr:row>
      <xdr:rowOff>114840</xdr:rowOff>
    </xdr:to>
    <xdr:sp>
      <xdr:nvSpPr>
        <xdr:cNvPr id="29" name="Прямая соединительная линия 32"/>
        <xdr:cNvSpPr/>
      </xdr:nvSpPr>
      <xdr:spPr>
        <a:xfrm flipH="1" flipV="1">
          <a:off x="8473680" y="8865360"/>
          <a:ext cx="152640" cy="114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19080</xdr:colOff>
      <xdr:row>457</xdr:row>
      <xdr:rowOff>18720</xdr:rowOff>
    </xdr:from>
    <xdr:to>
      <xdr:col>32</xdr:col>
      <xdr:colOff>123840</xdr:colOff>
      <xdr:row>457</xdr:row>
      <xdr:rowOff>95040</xdr:rowOff>
    </xdr:to>
    <xdr:sp>
      <xdr:nvSpPr>
        <xdr:cNvPr id="30" name="Прямая соединительная линия 33"/>
        <xdr:cNvSpPr/>
      </xdr:nvSpPr>
      <xdr:spPr>
        <a:xfrm flipH="1" flipV="1">
          <a:off x="10631520" y="8883720"/>
          <a:ext cx="18309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18720</xdr:colOff>
      <xdr:row>457</xdr:row>
      <xdr:rowOff>85680</xdr:rowOff>
    </xdr:from>
    <xdr:to>
      <xdr:col>31</xdr:col>
      <xdr:colOff>75960</xdr:colOff>
      <xdr:row>457</xdr:row>
      <xdr:rowOff>85680</xdr:rowOff>
    </xdr:to>
    <xdr:sp>
      <xdr:nvSpPr>
        <xdr:cNvPr id="31" name="Прямая соединительная линия 34"/>
        <xdr:cNvSpPr/>
      </xdr:nvSpPr>
      <xdr:spPr>
        <a:xfrm>
          <a:off x="11590200" y="8950680"/>
          <a:ext cx="6325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171720</xdr:colOff>
      <xdr:row>457</xdr:row>
      <xdr:rowOff>95760</xdr:rowOff>
    </xdr:from>
    <xdr:to>
      <xdr:col>31</xdr:col>
      <xdr:colOff>86040</xdr:colOff>
      <xdr:row>457</xdr:row>
      <xdr:rowOff>162360</xdr:rowOff>
    </xdr:to>
    <xdr:sp>
      <xdr:nvSpPr>
        <xdr:cNvPr id="32" name="Прямая соединительная линия 35"/>
        <xdr:cNvSpPr/>
      </xdr:nvSpPr>
      <xdr:spPr>
        <a:xfrm flipH="1" flipV="1">
          <a:off x="9010080" y="8960400"/>
          <a:ext cx="322272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9360</xdr:colOff>
      <xdr:row>457</xdr:row>
      <xdr:rowOff>161640</xdr:rowOff>
    </xdr:from>
    <xdr:to>
      <xdr:col>31</xdr:col>
      <xdr:colOff>66600</xdr:colOff>
      <xdr:row>457</xdr:row>
      <xdr:rowOff>161640</xdr:rowOff>
    </xdr:to>
    <xdr:sp>
      <xdr:nvSpPr>
        <xdr:cNvPr id="33" name="Прямая соединительная линия 37"/>
        <xdr:cNvSpPr/>
      </xdr:nvSpPr>
      <xdr:spPr>
        <a:xfrm>
          <a:off x="11580840" y="9026640"/>
          <a:ext cx="632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19080</xdr:colOff>
      <xdr:row>457</xdr:row>
      <xdr:rowOff>142920</xdr:rowOff>
    </xdr:from>
    <xdr:to>
      <xdr:col>13</xdr:col>
      <xdr:colOff>38160</xdr:colOff>
      <xdr:row>457</xdr:row>
      <xdr:rowOff>142920</xdr:rowOff>
    </xdr:to>
    <xdr:sp>
      <xdr:nvSpPr>
        <xdr:cNvPr id="34" name="Прямая соединительная линия 39"/>
        <xdr:cNvSpPr/>
      </xdr:nvSpPr>
      <xdr:spPr>
        <a:xfrm>
          <a:off x="8474040" y="9007920"/>
          <a:ext cx="190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171720</xdr:colOff>
      <xdr:row>457</xdr:row>
      <xdr:rowOff>38520</xdr:rowOff>
    </xdr:from>
    <xdr:to>
      <xdr:col>31</xdr:col>
      <xdr:colOff>76320</xdr:colOff>
      <xdr:row>457</xdr:row>
      <xdr:rowOff>86400</xdr:rowOff>
    </xdr:to>
    <xdr:sp>
      <xdr:nvSpPr>
        <xdr:cNvPr id="35" name="Прямая соединительная линия 41"/>
        <xdr:cNvSpPr/>
      </xdr:nvSpPr>
      <xdr:spPr>
        <a:xfrm flipH="1" flipV="1">
          <a:off x="9009720" y="8903160"/>
          <a:ext cx="321300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145080</xdr:colOff>
      <xdr:row>457</xdr:row>
      <xdr:rowOff>95040</xdr:rowOff>
    </xdr:from>
    <xdr:to>
      <xdr:col>16</xdr:col>
      <xdr:colOff>47520</xdr:colOff>
      <xdr:row>457</xdr:row>
      <xdr:rowOff>95040</xdr:rowOff>
    </xdr:to>
    <xdr:sp>
      <xdr:nvSpPr>
        <xdr:cNvPr id="36" name="Прямая соединительная линия 42"/>
        <xdr:cNvSpPr/>
      </xdr:nvSpPr>
      <xdr:spPr>
        <a:xfrm>
          <a:off x="8983440" y="8960040"/>
          <a:ext cx="943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47520</xdr:colOff>
      <xdr:row>457</xdr:row>
      <xdr:rowOff>95040</xdr:rowOff>
    </xdr:from>
    <xdr:to>
      <xdr:col>15</xdr:col>
      <xdr:colOff>180720</xdr:colOff>
      <xdr:row>457</xdr:row>
      <xdr:rowOff>95040</xdr:rowOff>
    </xdr:to>
    <xdr:sp>
      <xdr:nvSpPr>
        <xdr:cNvPr id="37" name="Прямая соединительная линия 43"/>
        <xdr:cNvSpPr/>
      </xdr:nvSpPr>
      <xdr:spPr>
        <a:xfrm>
          <a:off x="8502480" y="8960040"/>
          <a:ext cx="51660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19440</xdr:colOff>
      <xdr:row>457</xdr:row>
      <xdr:rowOff>9360</xdr:rowOff>
    </xdr:from>
    <xdr:to>
      <xdr:col>28</xdr:col>
      <xdr:colOff>105480</xdr:colOff>
      <xdr:row>457</xdr:row>
      <xdr:rowOff>9360</xdr:rowOff>
    </xdr:to>
    <xdr:sp>
      <xdr:nvSpPr>
        <xdr:cNvPr id="38" name="Прямая соединительная линия 44"/>
        <xdr:cNvSpPr/>
      </xdr:nvSpPr>
      <xdr:spPr>
        <a:xfrm flipH="1">
          <a:off x="10631520" y="8874360"/>
          <a:ext cx="10450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133560</xdr:colOff>
      <xdr:row>457</xdr:row>
      <xdr:rowOff>19440</xdr:rowOff>
    </xdr:from>
    <xdr:to>
      <xdr:col>23</xdr:col>
      <xdr:colOff>38160</xdr:colOff>
      <xdr:row>457</xdr:row>
      <xdr:rowOff>114840</xdr:rowOff>
    </xdr:to>
    <xdr:sp>
      <xdr:nvSpPr>
        <xdr:cNvPr id="39" name="Прямая соединительная линия 45"/>
        <xdr:cNvSpPr/>
      </xdr:nvSpPr>
      <xdr:spPr>
        <a:xfrm flipV="1">
          <a:off x="8204760" y="8884080"/>
          <a:ext cx="2445840" cy="954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142560</xdr:colOff>
      <xdr:row>457</xdr:row>
      <xdr:rowOff>9360</xdr:rowOff>
    </xdr:from>
    <xdr:to>
      <xdr:col>23</xdr:col>
      <xdr:colOff>47520</xdr:colOff>
      <xdr:row>457</xdr:row>
      <xdr:rowOff>9360</xdr:rowOff>
    </xdr:to>
    <xdr:sp>
      <xdr:nvSpPr>
        <xdr:cNvPr id="40" name="Прямая соединительная линия 46"/>
        <xdr:cNvSpPr/>
      </xdr:nvSpPr>
      <xdr:spPr>
        <a:xfrm>
          <a:off x="8405640" y="8874360"/>
          <a:ext cx="22543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218880</xdr:colOff>
      <xdr:row>457</xdr:row>
      <xdr:rowOff>720</xdr:rowOff>
    </xdr:from>
    <xdr:to>
      <xdr:col>23</xdr:col>
      <xdr:colOff>37800</xdr:colOff>
      <xdr:row>457</xdr:row>
      <xdr:rowOff>76680</xdr:rowOff>
    </xdr:to>
    <xdr:sp>
      <xdr:nvSpPr>
        <xdr:cNvPr id="41" name="Прямая соединительная линия 47"/>
        <xdr:cNvSpPr/>
      </xdr:nvSpPr>
      <xdr:spPr>
        <a:xfrm flipV="1">
          <a:off x="10145520" y="8865360"/>
          <a:ext cx="50472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162000</xdr:colOff>
      <xdr:row>457</xdr:row>
      <xdr:rowOff>9360</xdr:rowOff>
    </xdr:from>
    <xdr:to>
      <xdr:col>20</xdr:col>
      <xdr:colOff>75600</xdr:colOff>
      <xdr:row>457</xdr:row>
      <xdr:rowOff>151560</xdr:rowOff>
    </xdr:to>
    <xdr:sp>
      <xdr:nvSpPr>
        <xdr:cNvPr id="42" name="Прямая со стрелкой 48"/>
        <xdr:cNvSpPr/>
      </xdr:nvSpPr>
      <xdr:spPr>
        <a:xfrm>
          <a:off x="8616960" y="8874360"/>
          <a:ext cx="1385280" cy="1422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85680</xdr:colOff>
      <xdr:row>457</xdr:row>
      <xdr:rowOff>123840</xdr:rowOff>
    </xdr:from>
    <xdr:to>
      <xdr:col>31</xdr:col>
      <xdr:colOff>161280</xdr:colOff>
      <xdr:row>457</xdr:row>
      <xdr:rowOff>151560</xdr:rowOff>
    </xdr:to>
    <xdr:sp>
      <xdr:nvSpPr>
        <xdr:cNvPr id="43" name="Прямая со стрелкой 52"/>
        <xdr:cNvSpPr/>
      </xdr:nvSpPr>
      <xdr:spPr>
        <a:xfrm flipH="1">
          <a:off x="11657160" y="8988840"/>
          <a:ext cx="650880" cy="27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9360</xdr:colOff>
      <xdr:row>457</xdr:row>
      <xdr:rowOff>85680</xdr:rowOff>
    </xdr:from>
    <xdr:to>
      <xdr:col>31</xdr:col>
      <xdr:colOff>84960</xdr:colOff>
      <xdr:row>457</xdr:row>
      <xdr:rowOff>86040</xdr:rowOff>
    </xdr:to>
    <xdr:sp>
      <xdr:nvSpPr>
        <xdr:cNvPr id="44" name="Прямая со стрелкой 54"/>
        <xdr:cNvSpPr/>
      </xdr:nvSpPr>
      <xdr:spPr>
        <a:xfrm>
          <a:off x="9039600" y="8950680"/>
          <a:ext cx="319212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9720</xdr:colOff>
      <xdr:row>457</xdr:row>
      <xdr:rowOff>66600</xdr:rowOff>
    </xdr:from>
    <xdr:to>
      <xdr:col>21</xdr:col>
      <xdr:colOff>9720</xdr:colOff>
      <xdr:row>457</xdr:row>
      <xdr:rowOff>75960</xdr:rowOff>
    </xdr:to>
    <xdr:sp>
      <xdr:nvSpPr>
        <xdr:cNvPr id="45" name="Прямая соединительная линия 60"/>
        <xdr:cNvSpPr/>
      </xdr:nvSpPr>
      <xdr:spPr>
        <a:xfrm flipH="1" flipV="1">
          <a:off x="8656200" y="8931600"/>
          <a:ext cx="15825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720</xdr:colOff>
      <xdr:row>457</xdr:row>
      <xdr:rowOff>19440</xdr:rowOff>
    </xdr:from>
    <xdr:to>
      <xdr:col>28</xdr:col>
      <xdr:colOff>19440</xdr:colOff>
      <xdr:row>457</xdr:row>
      <xdr:rowOff>67320</xdr:rowOff>
    </xdr:to>
    <xdr:sp>
      <xdr:nvSpPr>
        <xdr:cNvPr id="46" name="Прямая соединительная линия 61"/>
        <xdr:cNvSpPr/>
      </xdr:nvSpPr>
      <xdr:spPr>
        <a:xfrm flipH="1">
          <a:off x="10229400" y="8884080"/>
          <a:ext cx="136116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28440</xdr:colOff>
      <xdr:row>457</xdr:row>
      <xdr:rowOff>9360</xdr:rowOff>
    </xdr:from>
    <xdr:to>
      <xdr:col>31</xdr:col>
      <xdr:colOff>85680</xdr:colOff>
      <xdr:row>457</xdr:row>
      <xdr:rowOff>9360</xdr:rowOff>
    </xdr:to>
    <xdr:sp>
      <xdr:nvSpPr>
        <xdr:cNvPr id="47" name="Прямая соединительная линия 62"/>
        <xdr:cNvSpPr/>
      </xdr:nvSpPr>
      <xdr:spPr>
        <a:xfrm>
          <a:off x="11599920" y="8874360"/>
          <a:ext cx="632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9360</xdr:colOff>
      <xdr:row>457</xdr:row>
      <xdr:rowOff>133200</xdr:rowOff>
    </xdr:from>
    <xdr:to>
      <xdr:col>15</xdr:col>
      <xdr:colOff>161640</xdr:colOff>
      <xdr:row>457</xdr:row>
      <xdr:rowOff>133200</xdr:rowOff>
    </xdr:to>
    <xdr:sp>
      <xdr:nvSpPr>
        <xdr:cNvPr id="48" name="Прямая соединительная линия 65"/>
        <xdr:cNvSpPr/>
      </xdr:nvSpPr>
      <xdr:spPr>
        <a:xfrm>
          <a:off x="8464320" y="8998200"/>
          <a:ext cx="53568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32</xdr:col>
      <xdr:colOff>161280</xdr:colOff>
      <xdr:row>457</xdr:row>
      <xdr:rowOff>85680</xdr:rowOff>
    </xdr:from>
    <xdr:to>
      <xdr:col>32</xdr:col>
      <xdr:colOff>169920</xdr:colOff>
      <xdr:row>457</xdr:row>
      <xdr:rowOff>161280</xdr:rowOff>
    </xdr:to>
    <xdr:sp>
      <xdr:nvSpPr>
        <xdr:cNvPr id="49" name="Прямая со стрелкой 66"/>
        <xdr:cNvSpPr/>
      </xdr:nvSpPr>
      <xdr:spPr>
        <a:xfrm flipH="1">
          <a:off x="12499920" y="8950680"/>
          <a:ext cx="8640" cy="75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152280</xdr:colOff>
      <xdr:row>511</xdr:row>
      <xdr:rowOff>162000</xdr:rowOff>
    </xdr:from>
    <xdr:to>
      <xdr:col>14</xdr:col>
      <xdr:colOff>46800</xdr:colOff>
      <xdr:row>511</xdr:row>
      <xdr:rowOff>162360</xdr:rowOff>
    </xdr:to>
    <xdr:sp>
      <xdr:nvSpPr>
        <xdr:cNvPr id="50" name="Прямая со стрелкой 79"/>
        <xdr:cNvSpPr/>
      </xdr:nvSpPr>
      <xdr:spPr>
        <a:xfrm>
          <a:off x="7840080" y="9386640"/>
          <a:ext cx="8532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114120</xdr:colOff>
      <xdr:row>145</xdr:row>
      <xdr:rowOff>57600</xdr:rowOff>
    </xdr:from>
    <xdr:to>
      <xdr:col>9</xdr:col>
      <xdr:colOff>114120</xdr:colOff>
      <xdr:row>145</xdr:row>
      <xdr:rowOff>114840</xdr:rowOff>
    </xdr:to>
    <xdr:sp>
      <xdr:nvSpPr>
        <xdr:cNvPr id="51" name="Прямая соединительная линия 82"/>
        <xdr:cNvSpPr/>
      </xdr:nvSpPr>
      <xdr:spPr>
        <a:xfrm>
          <a:off x="7801920" y="640512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19440</xdr:colOff>
      <xdr:row>415</xdr:row>
      <xdr:rowOff>10080</xdr:rowOff>
    </xdr:from>
    <xdr:to>
      <xdr:col>22</xdr:col>
      <xdr:colOff>162360</xdr:colOff>
      <xdr:row>415</xdr:row>
      <xdr:rowOff>29160</xdr:rowOff>
    </xdr:to>
    <xdr:sp>
      <xdr:nvSpPr>
        <xdr:cNvPr id="52" name="Прямая соединительная линия 91"/>
        <xdr:cNvSpPr/>
      </xdr:nvSpPr>
      <xdr:spPr>
        <a:xfrm flipH="1" flipV="1">
          <a:off x="8282160" y="8515440"/>
          <a:ext cx="23007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415</xdr:row>
      <xdr:rowOff>152280</xdr:rowOff>
    </xdr:from>
    <xdr:to>
      <xdr:col>28</xdr:col>
      <xdr:colOff>192240</xdr:colOff>
      <xdr:row>415</xdr:row>
      <xdr:rowOff>161640</xdr:rowOff>
    </xdr:to>
    <xdr:sp>
      <xdr:nvSpPr>
        <xdr:cNvPr id="53" name="Прямая соединительная линия 92"/>
        <xdr:cNvSpPr/>
      </xdr:nvSpPr>
      <xdr:spPr>
        <a:xfrm flipV="1">
          <a:off x="10612440" y="8658000"/>
          <a:ext cx="115128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28800</xdr:colOff>
      <xdr:row>415</xdr:row>
      <xdr:rowOff>28440</xdr:rowOff>
    </xdr:from>
    <xdr:to>
      <xdr:col>18</xdr:col>
      <xdr:colOff>19080</xdr:colOff>
      <xdr:row>415</xdr:row>
      <xdr:rowOff>28440</xdr:rowOff>
    </xdr:to>
    <xdr:sp>
      <xdr:nvSpPr>
        <xdr:cNvPr id="54" name="Прямая соединительная линия 93"/>
        <xdr:cNvSpPr/>
      </xdr:nvSpPr>
      <xdr:spPr>
        <a:xfrm flipH="1">
          <a:off x="8291520" y="8534160"/>
          <a:ext cx="12704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889</xdr:row>
      <xdr:rowOff>75960</xdr:rowOff>
    </xdr:from>
    <xdr:to>
      <xdr:col>33</xdr:col>
      <xdr:colOff>47520</xdr:colOff>
      <xdr:row>889</xdr:row>
      <xdr:rowOff>114120</xdr:rowOff>
    </xdr:to>
    <xdr:sp>
      <xdr:nvSpPr>
        <xdr:cNvPr id="55" name="Прямая соединительная линия 95"/>
        <xdr:cNvSpPr/>
      </xdr:nvSpPr>
      <xdr:spPr>
        <a:xfrm flipV="1">
          <a:off x="10804320" y="11457000"/>
          <a:ext cx="177336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0</xdr:colOff>
      <xdr:row>889</xdr:row>
      <xdr:rowOff>18720</xdr:rowOff>
    </xdr:from>
    <xdr:to>
      <xdr:col>18</xdr:col>
      <xdr:colOff>9360</xdr:colOff>
      <xdr:row>889</xdr:row>
      <xdr:rowOff>18720</xdr:rowOff>
    </xdr:to>
    <xdr:sp>
      <xdr:nvSpPr>
        <xdr:cNvPr id="56" name="Прямая соединительная линия 96"/>
        <xdr:cNvSpPr/>
      </xdr:nvSpPr>
      <xdr:spPr>
        <a:xfrm flipH="1">
          <a:off x="9543240" y="11399760"/>
          <a:ext cx="93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152280</xdr:colOff>
      <xdr:row>889</xdr:row>
      <xdr:rowOff>28440</xdr:rowOff>
    </xdr:from>
    <xdr:to>
      <xdr:col>23</xdr:col>
      <xdr:colOff>170640</xdr:colOff>
      <xdr:row>889</xdr:row>
      <xdr:rowOff>94320</xdr:rowOff>
    </xdr:to>
    <xdr:sp>
      <xdr:nvSpPr>
        <xdr:cNvPr id="57" name="Прямая со стрелкой 97"/>
        <xdr:cNvSpPr/>
      </xdr:nvSpPr>
      <xdr:spPr>
        <a:xfrm>
          <a:off x="7334640" y="11409480"/>
          <a:ext cx="3448440" cy="65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36360</xdr:colOff>
      <xdr:row>889</xdr:row>
      <xdr:rowOff>114120</xdr:rowOff>
    </xdr:from>
    <xdr:to>
      <xdr:col>24</xdr:col>
      <xdr:colOff>45720</xdr:colOff>
      <xdr:row>889</xdr:row>
      <xdr:rowOff>123480</xdr:rowOff>
    </xdr:to>
    <xdr:sp>
      <xdr:nvSpPr>
        <xdr:cNvPr id="58" name="Прямая соединительная линия 99"/>
        <xdr:cNvSpPr/>
      </xdr:nvSpPr>
      <xdr:spPr>
        <a:xfrm>
          <a:off x="10840680" y="11495160"/>
          <a:ext cx="9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285480</xdr:colOff>
      <xdr:row>889</xdr:row>
      <xdr:rowOff>29160</xdr:rowOff>
    </xdr:from>
    <xdr:to>
      <xdr:col>7</xdr:col>
      <xdr:colOff>314280</xdr:colOff>
      <xdr:row>889</xdr:row>
      <xdr:rowOff>57600</xdr:rowOff>
    </xdr:to>
    <xdr:sp>
      <xdr:nvSpPr>
        <xdr:cNvPr id="59" name="Прямая соединительная линия 100"/>
        <xdr:cNvSpPr/>
      </xdr:nvSpPr>
      <xdr:spPr>
        <a:xfrm>
          <a:off x="7467840" y="11409840"/>
          <a:ext cx="2880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28440</xdr:colOff>
      <xdr:row>889</xdr:row>
      <xdr:rowOff>57600</xdr:rowOff>
    </xdr:from>
    <xdr:to>
      <xdr:col>33</xdr:col>
      <xdr:colOff>28440</xdr:colOff>
      <xdr:row>889</xdr:row>
      <xdr:rowOff>67320</xdr:rowOff>
    </xdr:to>
    <xdr:sp>
      <xdr:nvSpPr>
        <xdr:cNvPr id="60" name="Прямая соединительная линия 101"/>
        <xdr:cNvSpPr/>
      </xdr:nvSpPr>
      <xdr:spPr>
        <a:xfrm>
          <a:off x="12558600" y="11438280"/>
          <a:ext cx="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720</xdr:colOff>
      <xdr:row>889</xdr:row>
      <xdr:rowOff>37800</xdr:rowOff>
    </xdr:from>
    <xdr:to>
      <xdr:col>24</xdr:col>
      <xdr:colOff>1080</xdr:colOff>
      <xdr:row>889</xdr:row>
      <xdr:rowOff>114120</xdr:rowOff>
    </xdr:to>
    <xdr:sp>
      <xdr:nvSpPr>
        <xdr:cNvPr id="61" name="Прямая соединительная линия 102"/>
        <xdr:cNvSpPr/>
      </xdr:nvSpPr>
      <xdr:spPr>
        <a:xfrm flipH="1" flipV="1">
          <a:off x="7496280" y="11418840"/>
          <a:ext cx="33087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162000</xdr:colOff>
      <xdr:row>889</xdr:row>
      <xdr:rowOff>28440</xdr:rowOff>
    </xdr:from>
    <xdr:to>
      <xdr:col>33</xdr:col>
      <xdr:colOff>28800</xdr:colOff>
      <xdr:row>889</xdr:row>
      <xdr:rowOff>114120</xdr:rowOff>
    </xdr:to>
    <xdr:sp>
      <xdr:nvSpPr>
        <xdr:cNvPr id="62" name="Прямая соединительная линия 103"/>
        <xdr:cNvSpPr/>
      </xdr:nvSpPr>
      <xdr:spPr>
        <a:xfrm flipV="1">
          <a:off x="10774080" y="11409480"/>
          <a:ext cx="1784520" cy="85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19440</xdr:colOff>
      <xdr:row>889</xdr:row>
      <xdr:rowOff>9360</xdr:rowOff>
    </xdr:from>
    <xdr:to>
      <xdr:col>17</xdr:col>
      <xdr:colOff>321480</xdr:colOff>
      <xdr:row>889</xdr:row>
      <xdr:rowOff>18720</xdr:rowOff>
    </xdr:to>
    <xdr:sp>
      <xdr:nvSpPr>
        <xdr:cNvPr id="63" name="Прямая соединительная линия 104"/>
        <xdr:cNvSpPr/>
      </xdr:nvSpPr>
      <xdr:spPr>
        <a:xfrm flipH="1">
          <a:off x="7515000" y="11390400"/>
          <a:ext cx="202788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360</xdr:colOff>
      <xdr:row>889</xdr:row>
      <xdr:rowOff>28440</xdr:rowOff>
    </xdr:from>
    <xdr:to>
      <xdr:col>33</xdr:col>
      <xdr:colOff>38160</xdr:colOff>
      <xdr:row>889</xdr:row>
      <xdr:rowOff>37800</xdr:rowOff>
    </xdr:to>
    <xdr:sp>
      <xdr:nvSpPr>
        <xdr:cNvPr id="64" name="Прямая соединительная линия 105"/>
        <xdr:cNvSpPr/>
      </xdr:nvSpPr>
      <xdr:spPr>
        <a:xfrm flipH="1" flipV="1">
          <a:off x="9543600" y="11409480"/>
          <a:ext cx="302472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162000</xdr:colOff>
      <xdr:row>889</xdr:row>
      <xdr:rowOff>9360</xdr:rowOff>
    </xdr:from>
    <xdr:to>
      <xdr:col>20</xdr:col>
      <xdr:colOff>170640</xdr:colOff>
      <xdr:row>889</xdr:row>
      <xdr:rowOff>84960</xdr:rowOff>
    </xdr:to>
    <xdr:sp>
      <xdr:nvSpPr>
        <xdr:cNvPr id="65" name="Прямая со стрелкой 106"/>
        <xdr:cNvSpPr/>
      </xdr:nvSpPr>
      <xdr:spPr>
        <a:xfrm>
          <a:off x="10088640" y="11390400"/>
          <a:ext cx="8640" cy="75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720</xdr:colOff>
      <xdr:row>889</xdr:row>
      <xdr:rowOff>48240</xdr:rowOff>
    </xdr:from>
    <xdr:to>
      <xdr:col>24</xdr:col>
      <xdr:colOff>1080</xdr:colOff>
      <xdr:row>889</xdr:row>
      <xdr:rowOff>124200</xdr:rowOff>
    </xdr:to>
    <xdr:sp>
      <xdr:nvSpPr>
        <xdr:cNvPr id="66" name="Прямая соединительная линия 107"/>
        <xdr:cNvSpPr/>
      </xdr:nvSpPr>
      <xdr:spPr>
        <a:xfrm flipH="1" flipV="1">
          <a:off x="7496280" y="11428920"/>
          <a:ext cx="330876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9720</xdr:colOff>
      <xdr:row>889</xdr:row>
      <xdr:rowOff>9360</xdr:rowOff>
    </xdr:from>
    <xdr:to>
      <xdr:col>33</xdr:col>
      <xdr:colOff>47880</xdr:colOff>
      <xdr:row>889</xdr:row>
      <xdr:rowOff>56880</xdr:rowOff>
    </xdr:to>
    <xdr:sp>
      <xdr:nvSpPr>
        <xdr:cNvPr id="67" name="Прямая соединительная линия 108"/>
        <xdr:cNvSpPr/>
      </xdr:nvSpPr>
      <xdr:spPr>
        <a:xfrm flipH="1" flipV="1">
          <a:off x="9552600" y="11390400"/>
          <a:ext cx="302508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276840</xdr:colOff>
      <xdr:row>889</xdr:row>
      <xdr:rowOff>19440</xdr:rowOff>
    </xdr:from>
    <xdr:to>
      <xdr:col>18</xdr:col>
      <xdr:colOff>10080</xdr:colOff>
      <xdr:row>889</xdr:row>
      <xdr:rowOff>38520</xdr:rowOff>
    </xdr:to>
    <xdr:sp>
      <xdr:nvSpPr>
        <xdr:cNvPr id="68" name="Прямая соединительная линия 109"/>
        <xdr:cNvSpPr/>
      </xdr:nvSpPr>
      <xdr:spPr>
        <a:xfrm flipV="1">
          <a:off x="7458840" y="11400120"/>
          <a:ext cx="209412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9360</xdr:colOff>
      <xdr:row>889</xdr:row>
      <xdr:rowOff>0</xdr:rowOff>
    </xdr:from>
    <xdr:to>
      <xdr:col>18</xdr:col>
      <xdr:colOff>18720</xdr:colOff>
      <xdr:row>889</xdr:row>
      <xdr:rowOff>9360</xdr:rowOff>
    </xdr:to>
    <xdr:sp>
      <xdr:nvSpPr>
        <xdr:cNvPr id="69" name="Прямая соединительная линия 110"/>
        <xdr:cNvSpPr/>
      </xdr:nvSpPr>
      <xdr:spPr>
        <a:xfrm flipH="1">
          <a:off x="9552600" y="11381040"/>
          <a:ext cx="93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95400</xdr:colOff>
      <xdr:row>889</xdr:row>
      <xdr:rowOff>85680</xdr:rowOff>
    </xdr:from>
    <xdr:to>
      <xdr:col>21</xdr:col>
      <xdr:colOff>142200</xdr:colOff>
      <xdr:row>889</xdr:row>
      <xdr:rowOff>86040</xdr:rowOff>
    </xdr:to>
    <xdr:sp>
      <xdr:nvSpPr>
        <xdr:cNvPr id="70" name="Прямая со стрелкой 111"/>
        <xdr:cNvSpPr/>
      </xdr:nvSpPr>
      <xdr:spPr>
        <a:xfrm flipH="1" flipV="1">
          <a:off x="8166600" y="11466000"/>
          <a:ext cx="220464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5875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123840</xdr:colOff>
      <xdr:row>236</xdr:row>
      <xdr:rowOff>0</xdr:rowOff>
    </xdr:from>
    <xdr:to>
      <xdr:col>14</xdr:col>
      <xdr:colOff>6480</xdr:colOff>
      <xdr:row>236</xdr:row>
      <xdr:rowOff>142560</xdr:rowOff>
    </xdr:to>
    <xdr:sp>
      <xdr:nvSpPr>
        <xdr:cNvPr id="71" name="Прямая соединительная линия 113"/>
        <xdr:cNvSpPr/>
      </xdr:nvSpPr>
      <xdr:spPr>
        <a:xfrm flipH="1">
          <a:off x="7619760" y="7067880"/>
          <a:ext cx="103320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6120</xdr:colOff>
      <xdr:row>236</xdr:row>
      <xdr:rowOff>720</xdr:rowOff>
    </xdr:from>
    <xdr:to>
      <xdr:col>19</xdr:col>
      <xdr:colOff>66600</xdr:colOff>
      <xdr:row>236</xdr:row>
      <xdr:rowOff>67320</xdr:rowOff>
    </xdr:to>
    <xdr:sp>
      <xdr:nvSpPr>
        <xdr:cNvPr id="72" name="Прямая соединительная линия 115"/>
        <xdr:cNvSpPr/>
      </xdr:nvSpPr>
      <xdr:spPr>
        <a:xfrm flipH="1" flipV="1">
          <a:off x="8652600" y="7068240"/>
          <a:ext cx="114912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133560</xdr:colOff>
      <xdr:row>236</xdr:row>
      <xdr:rowOff>19440</xdr:rowOff>
    </xdr:from>
    <xdr:to>
      <xdr:col>33</xdr:col>
      <xdr:colOff>95400</xdr:colOff>
      <xdr:row>236</xdr:row>
      <xdr:rowOff>76680</xdr:rowOff>
    </xdr:to>
    <xdr:sp>
      <xdr:nvSpPr>
        <xdr:cNvPr id="73" name="Прямая соединительная линия 116"/>
        <xdr:cNvSpPr/>
      </xdr:nvSpPr>
      <xdr:spPr>
        <a:xfrm flipH="1" flipV="1">
          <a:off x="11513160" y="7086960"/>
          <a:ext cx="111240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123840</xdr:colOff>
      <xdr:row>236</xdr:row>
      <xdr:rowOff>28440</xdr:rowOff>
    </xdr:from>
    <xdr:to>
      <xdr:col>16</xdr:col>
      <xdr:colOff>171720</xdr:colOff>
      <xdr:row>236</xdr:row>
      <xdr:rowOff>104760</xdr:rowOff>
    </xdr:to>
    <xdr:sp>
      <xdr:nvSpPr>
        <xdr:cNvPr id="74" name="Прямая соединительная линия 118"/>
        <xdr:cNvSpPr/>
      </xdr:nvSpPr>
      <xdr:spPr>
        <a:xfrm flipH="1">
          <a:off x="7811640" y="7096320"/>
          <a:ext cx="139032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9720</xdr:colOff>
      <xdr:row>236</xdr:row>
      <xdr:rowOff>6840</xdr:rowOff>
    </xdr:from>
    <xdr:to>
      <xdr:col>27</xdr:col>
      <xdr:colOff>142920</xdr:colOff>
      <xdr:row>236</xdr:row>
      <xdr:rowOff>143280</xdr:rowOff>
    </xdr:to>
    <xdr:sp>
      <xdr:nvSpPr>
        <xdr:cNvPr id="75" name="Прямая соединительная линия 119"/>
        <xdr:cNvSpPr/>
      </xdr:nvSpPr>
      <xdr:spPr>
        <a:xfrm flipH="1">
          <a:off x="10430280" y="7074360"/>
          <a:ext cx="1091880" cy="136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114480</xdr:colOff>
      <xdr:row>236</xdr:row>
      <xdr:rowOff>67320</xdr:rowOff>
    </xdr:from>
    <xdr:to>
      <xdr:col>33</xdr:col>
      <xdr:colOff>57240</xdr:colOff>
      <xdr:row>236</xdr:row>
      <xdr:rowOff>95760</xdr:rowOff>
    </xdr:to>
    <xdr:sp>
      <xdr:nvSpPr>
        <xdr:cNvPr id="76" name="Прямая соединительная линия 121"/>
        <xdr:cNvSpPr/>
      </xdr:nvSpPr>
      <xdr:spPr>
        <a:xfrm flipH="1" flipV="1">
          <a:off x="11493720" y="7134840"/>
          <a:ext cx="109332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41400</xdr:colOff>
      <xdr:row>236</xdr:row>
      <xdr:rowOff>133200</xdr:rowOff>
    </xdr:from>
    <xdr:to>
      <xdr:col>22</xdr:col>
      <xdr:colOff>9720</xdr:colOff>
      <xdr:row>236</xdr:row>
      <xdr:rowOff>139680</xdr:rowOff>
    </xdr:to>
    <xdr:sp>
      <xdr:nvSpPr>
        <xdr:cNvPr id="77" name="Прямая соединительная линия 123"/>
        <xdr:cNvSpPr/>
      </xdr:nvSpPr>
      <xdr:spPr>
        <a:xfrm flipH="1">
          <a:off x="9262800" y="7201080"/>
          <a:ext cx="1167480" cy="6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112680</xdr:colOff>
      <xdr:row>236</xdr:row>
      <xdr:rowOff>9360</xdr:rowOff>
    </xdr:from>
    <xdr:to>
      <xdr:col>22</xdr:col>
      <xdr:colOff>3240</xdr:colOff>
      <xdr:row>236</xdr:row>
      <xdr:rowOff>18720</xdr:rowOff>
    </xdr:to>
    <xdr:sp>
      <xdr:nvSpPr>
        <xdr:cNvPr id="78" name="Прямая соединительная линия 125"/>
        <xdr:cNvSpPr/>
      </xdr:nvSpPr>
      <xdr:spPr>
        <a:xfrm flipH="1">
          <a:off x="9334080" y="7077240"/>
          <a:ext cx="108972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171720</xdr:colOff>
      <xdr:row>236</xdr:row>
      <xdr:rowOff>10080</xdr:rowOff>
    </xdr:from>
    <xdr:to>
      <xdr:col>19</xdr:col>
      <xdr:colOff>51120</xdr:colOff>
      <xdr:row>236</xdr:row>
      <xdr:rowOff>76680</xdr:rowOff>
    </xdr:to>
    <xdr:sp>
      <xdr:nvSpPr>
        <xdr:cNvPr id="79" name="Прямая соединительная линия 126"/>
        <xdr:cNvSpPr/>
      </xdr:nvSpPr>
      <xdr:spPr>
        <a:xfrm flipH="1" flipV="1">
          <a:off x="8626320" y="7077600"/>
          <a:ext cx="11595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56880</xdr:colOff>
      <xdr:row>236</xdr:row>
      <xdr:rowOff>57600</xdr:rowOff>
    </xdr:from>
    <xdr:to>
      <xdr:col>19</xdr:col>
      <xdr:colOff>56880</xdr:colOff>
      <xdr:row>236</xdr:row>
      <xdr:rowOff>105480</xdr:rowOff>
    </xdr:to>
    <xdr:sp>
      <xdr:nvSpPr>
        <xdr:cNvPr id="80" name="Прямая соединительная линия 128"/>
        <xdr:cNvSpPr/>
      </xdr:nvSpPr>
      <xdr:spPr>
        <a:xfrm>
          <a:off x="9792000" y="712512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85680</xdr:colOff>
      <xdr:row>236</xdr:row>
      <xdr:rowOff>66600</xdr:rowOff>
    </xdr:from>
    <xdr:to>
      <xdr:col>33</xdr:col>
      <xdr:colOff>85680</xdr:colOff>
      <xdr:row>236</xdr:row>
      <xdr:rowOff>114120</xdr:rowOff>
    </xdr:to>
    <xdr:sp>
      <xdr:nvSpPr>
        <xdr:cNvPr id="81" name="Прямая соединительная линия 129"/>
        <xdr:cNvSpPr/>
      </xdr:nvSpPr>
      <xdr:spPr>
        <a:xfrm>
          <a:off x="12615840" y="7134480"/>
          <a:ext cx="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57600</xdr:colOff>
      <xdr:row>236</xdr:row>
      <xdr:rowOff>75960</xdr:rowOff>
    </xdr:from>
    <xdr:to>
      <xdr:col>31</xdr:col>
      <xdr:colOff>146520</xdr:colOff>
      <xdr:row>236</xdr:row>
      <xdr:rowOff>75960</xdr:rowOff>
    </xdr:to>
    <xdr:sp>
      <xdr:nvSpPr>
        <xdr:cNvPr id="82" name="Прямая соединительная линия 134"/>
        <xdr:cNvSpPr/>
      </xdr:nvSpPr>
      <xdr:spPr>
        <a:xfrm flipH="1">
          <a:off x="11244960" y="7143840"/>
          <a:ext cx="10479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123480</xdr:colOff>
      <xdr:row>272</xdr:row>
      <xdr:rowOff>18720</xdr:rowOff>
    </xdr:from>
    <xdr:to>
      <xdr:col>17</xdr:col>
      <xdr:colOff>28440</xdr:colOff>
      <xdr:row>272</xdr:row>
      <xdr:rowOff>142560</xdr:rowOff>
    </xdr:to>
    <xdr:sp>
      <xdr:nvSpPr>
        <xdr:cNvPr id="83" name="Прямая соединительная линия 135"/>
        <xdr:cNvSpPr/>
      </xdr:nvSpPr>
      <xdr:spPr>
        <a:xfrm flipH="1">
          <a:off x="7619400" y="7446240"/>
          <a:ext cx="1630800" cy="123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9720</xdr:colOff>
      <xdr:row>272</xdr:row>
      <xdr:rowOff>37800</xdr:rowOff>
    </xdr:from>
    <xdr:to>
      <xdr:col>19</xdr:col>
      <xdr:colOff>66960</xdr:colOff>
      <xdr:row>272</xdr:row>
      <xdr:rowOff>66600</xdr:rowOff>
    </xdr:to>
    <xdr:sp>
      <xdr:nvSpPr>
        <xdr:cNvPr id="84" name="Прямая соединительная линия 137"/>
        <xdr:cNvSpPr/>
      </xdr:nvSpPr>
      <xdr:spPr>
        <a:xfrm flipH="1" flipV="1">
          <a:off x="9231120" y="7465320"/>
          <a:ext cx="57060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10080</xdr:colOff>
      <xdr:row>272</xdr:row>
      <xdr:rowOff>133200</xdr:rowOff>
    </xdr:from>
    <xdr:to>
      <xdr:col>24</xdr:col>
      <xdr:colOff>19440</xdr:colOff>
      <xdr:row>272</xdr:row>
      <xdr:rowOff>142560</xdr:rowOff>
    </xdr:to>
    <xdr:sp>
      <xdr:nvSpPr>
        <xdr:cNvPr id="85" name="Прямая соединительная линия 140"/>
        <xdr:cNvSpPr/>
      </xdr:nvSpPr>
      <xdr:spPr>
        <a:xfrm flipH="1">
          <a:off x="10430640" y="7560720"/>
          <a:ext cx="3927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133560</xdr:colOff>
      <xdr:row>272</xdr:row>
      <xdr:rowOff>133200</xdr:rowOff>
    </xdr:from>
    <xdr:to>
      <xdr:col>22</xdr:col>
      <xdr:colOff>9720</xdr:colOff>
      <xdr:row>272</xdr:row>
      <xdr:rowOff>142560</xdr:rowOff>
    </xdr:to>
    <xdr:sp>
      <xdr:nvSpPr>
        <xdr:cNvPr id="86" name="Прямая соединительная линия 142"/>
        <xdr:cNvSpPr/>
      </xdr:nvSpPr>
      <xdr:spPr>
        <a:xfrm flipH="1">
          <a:off x="7629120" y="7560720"/>
          <a:ext cx="28011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142920</xdr:colOff>
      <xdr:row>272</xdr:row>
      <xdr:rowOff>9360</xdr:rowOff>
    </xdr:from>
    <xdr:to>
      <xdr:col>22</xdr:col>
      <xdr:colOff>3240</xdr:colOff>
      <xdr:row>272</xdr:row>
      <xdr:rowOff>133200</xdr:rowOff>
    </xdr:to>
    <xdr:sp>
      <xdr:nvSpPr>
        <xdr:cNvPr id="87" name="Прямая соединительная линия 144"/>
        <xdr:cNvSpPr/>
      </xdr:nvSpPr>
      <xdr:spPr>
        <a:xfrm flipH="1">
          <a:off x="7638480" y="7436880"/>
          <a:ext cx="278532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56880</xdr:colOff>
      <xdr:row>272</xdr:row>
      <xdr:rowOff>57600</xdr:rowOff>
    </xdr:from>
    <xdr:to>
      <xdr:col>19</xdr:col>
      <xdr:colOff>56880</xdr:colOff>
      <xdr:row>272</xdr:row>
      <xdr:rowOff>105480</xdr:rowOff>
    </xdr:to>
    <xdr:sp>
      <xdr:nvSpPr>
        <xdr:cNvPr id="88" name="Прямая соединительная линия 146"/>
        <xdr:cNvSpPr/>
      </xdr:nvSpPr>
      <xdr:spPr>
        <a:xfrm>
          <a:off x="9792000" y="748476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85680</xdr:colOff>
      <xdr:row>272</xdr:row>
      <xdr:rowOff>66600</xdr:rowOff>
    </xdr:from>
    <xdr:to>
      <xdr:col>33</xdr:col>
      <xdr:colOff>85680</xdr:colOff>
      <xdr:row>272</xdr:row>
      <xdr:rowOff>114120</xdr:rowOff>
    </xdr:to>
    <xdr:sp>
      <xdr:nvSpPr>
        <xdr:cNvPr id="89" name="Прямая соединительная линия 147"/>
        <xdr:cNvSpPr/>
      </xdr:nvSpPr>
      <xdr:spPr>
        <a:xfrm>
          <a:off x="12615840" y="7494120"/>
          <a:ext cx="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18720</xdr:colOff>
      <xdr:row>272</xdr:row>
      <xdr:rowOff>12600</xdr:rowOff>
    </xdr:from>
    <xdr:to>
      <xdr:col>33</xdr:col>
      <xdr:colOff>75960</xdr:colOff>
      <xdr:row>272</xdr:row>
      <xdr:rowOff>66600</xdr:rowOff>
    </xdr:to>
    <xdr:sp>
      <xdr:nvSpPr>
        <xdr:cNvPr id="90" name="Прямая соединительная линия 151"/>
        <xdr:cNvSpPr/>
      </xdr:nvSpPr>
      <xdr:spPr>
        <a:xfrm flipH="1" flipV="1">
          <a:off x="10439640" y="7440120"/>
          <a:ext cx="216648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47880</xdr:colOff>
      <xdr:row>352</xdr:row>
      <xdr:rowOff>56880</xdr:rowOff>
    </xdr:from>
    <xdr:to>
      <xdr:col>23</xdr:col>
      <xdr:colOff>133560</xdr:colOff>
      <xdr:row>352</xdr:row>
      <xdr:rowOff>133200</xdr:rowOff>
    </xdr:to>
    <xdr:sp>
      <xdr:nvSpPr>
        <xdr:cNvPr id="91" name="Прямая соединительная линия 154"/>
        <xdr:cNvSpPr/>
      </xdr:nvSpPr>
      <xdr:spPr>
        <a:xfrm flipH="1">
          <a:off x="8310960" y="8202960"/>
          <a:ext cx="243504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56880</xdr:colOff>
      <xdr:row>352</xdr:row>
      <xdr:rowOff>47520</xdr:rowOff>
    </xdr:from>
    <xdr:to>
      <xdr:col>23</xdr:col>
      <xdr:colOff>104760</xdr:colOff>
      <xdr:row>352</xdr:row>
      <xdr:rowOff>56880</xdr:rowOff>
    </xdr:to>
    <xdr:sp>
      <xdr:nvSpPr>
        <xdr:cNvPr id="92" name="Прямая соединительная линия 156"/>
        <xdr:cNvSpPr/>
      </xdr:nvSpPr>
      <xdr:spPr>
        <a:xfrm flipH="1">
          <a:off x="8511840" y="8193600"/>
          <a:ext cx="22053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105120</xdr:colOff>
      <xdr:row>352</xdr:row>
      <xdr:rowOff>48240</xdr:rowOff>
    </xdr:from>
    <xdr:to>
      <xdr:col>13</xdr:col>
      <xdr:colOff>95400</xdr:colOff>
      <xdr:row>352</xdr:row>
      <xdr:rowOff>124200</xdr:rowOff>
    </xdr:to>
    <xdr:sp>
      <xdr:nvSpPr>
        <xdr:cNvPr id="93" name="Прямая соединительная линия 159"/>
        <xdr:cNvSpPr/>
      </xdr:nvSpPr>
      <xdr:spPr>
        <a:xfrm flipH="1">
          <a:off x="8368200" y="8193960"/>
          <a:ext cx="18216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171720</xdr:colOff>
      <xdr:row>352</xdr:row>
      <xdr:rowOff>76680</xdr:rowOff>
    </xdr:from>
    <xdr:to>
      <xdr:col>26</xdr:col>
      <xdr:colOff>57240</xdr:colOff>
      <xdr:row>352</xdr:row>
      <xdr:rowOff>133920</xdr:rowOff>
    </xdr:to>
    <xdr:sp>
      <xdr:nvSpPr>
        <xdr:cNvPr id="94" name="Прямая соединительная линия 160"/>
        <xdr:cNvSpPr/>
      </xdr:nvSpPr>
      <xdr:spPr>
        <a:xfrm flipH="1">
          <a:off x="10400400" y="8222400"/>
          <a:ext cx="84420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38520</xdr:colOff>
      <xdr:row>352</xdr:row>
      <xdr:rowOff>57600</xdr:rowOff>
    </xdr:from>
    <xdr:to>
      <xdr:col>33</xdr:col>
      <xdr:colOff>124200</xdr:colOff>
      <xdr:row>352</xdr:row>
      <xdr:rowOff>92520</xdr:rowOff>
    </xdr:to>
    <xdr:sp>
      <xdr:nvSpPr>
        <xdr:cNvPr id="95" name="Прямая соединительная линия 162"/>
        <xdr:cNvSpPr/>
      </xdr:nvSpPr>
      <xdr:spPr>
        <a:xfrm flipH="1">
          <a:off x="11225880" y="8203320"/>
          <a:ext cx="1428120" cy="34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171720</xdr:colOff>
      <xdr:row>352</xdr:row>
      <xdr:rowOff>56880</xdr:rowOff>
    </xdr:from>
    <xdr:to>
      <xdr:col>33</xdr:col>
      <xdr:colOff>95400</xdr:colOff>
      <xdr:row>352</xdr:row>
      <xdr:rowOff>133200</xdr:rowOff>
    </xdr:to>
    <xdr:sp>
      <xdr:nvSpPr>
        <xdr:cNvPr id="96" name="Прямая соединительная линия 164"/>
        <xdr:cNvSpPr/>
      </xdr:nvSpPr>
      <xdr:spPr>
        <a:xfrm flipH="1">
          <a:off x="10400760" y="8202960"/>
          <a:ext cx="222480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19440</xdr:colOff>
      <xdr:row>352</xdr:row>
      <xdr:rowOff>9360</xdr:rowOff>
    </xdr:from>
    <xdr:to>
      <xdr:col>20</xdr:col>
      <xdr:colOff>105480</xdr:colOff>
      <xdr:row>352</xdr:row>
      <xdr:rowOff>18720</xdr:rowOff>
    </xdr:to>
    <xdr:sp>
      <xdr:nvSpPr>
        <xdr:cNvPr id="97" name="Прямая соединительная линия 168"/>
        <xdr:cNvSpPr/>
      </xdr:nvSpPr>
      <xdr:spPr>
        <a:xfrm flipH="1">
          <a:off x="9240840" y="8155440"/>
          <a:ext cx="79092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48240</xdr:colOff>
      <xdr:row>352</xdr:row>
      <xdr:rowOff>123480</xdr:rowOff>
    </xdr:from>
    <xdr:to>
      <xdr:col>8</xdr:col>
      <xdr:colOff>162360</xdr:colOff>
      <xdr:row>352</xdr:row>
      <xdr:rowOff>161640</xdr:rowOff>
    </xdr:to>
    <xdr:sp>
      <xdr:nvSpPr>
        <xdr:cNvPr id="98" name="Прямая соединительная линия 169"/>
        <xdr:cNvSpPr/>
      </xdr:nvSpPr>
      <xdr:spPr>
        <a:xfrm flipH="1">
          <a:off x="7543800" y="8269560"/>
          <a:ext cx="1141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352</xdr:row>
      <xdr:rowOff>720</xdr:rowOff>
    </xdr:from>
    <xdr:to>
      <xdr:col>17</xdr:col>
      <xdr:colOff>0</xdr:colOff>
      <xdr:row>352</xdr:row>
      <xdr:rowOff>105480</xdr:rowOff>
    </xdr:to>
    <xdr:sp>
      <xdr:nvSpPr>
        <xdr:cNvPr id="99" name="Прямая соединительная линия 170"/>
        <xdr:cNvSpPr/>
      </xdr:nvSpPr>
      <xdr:spPr>
        <a:xfrm>
          <a:off x="9221760" y="814644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76680</xdr:colOff>
      <xdr:row>352</xdr:row>
      <xdr:rowOff>28440</xdr:rowOff>
    </xdr:from>
    <xdr:to>
      <xdr:col>20</xdr:col>
      <xdr:colOff>86400</xdr:colOff>
      <xdr:row>352</xdr:row>
      <xdr:rowOff>66600</xdr:rowOff>
    </xdr:to>
    <xdr:sp>
      <xdr:nvSpPr>
        <xdr:cNvPr id="100" name="Прямая соединительная линия 171"/>
        <xdr:cNvSpPr/>
      </xdr:nvSpPr>
      <xdr:spPr>
        <a:xfrm flipH="1">
          <a:off x="10002960" y="8174520"/>
          <a:ext cx="972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27360</xdr:colOff>
      <xdr:row>352</xdr:row>
      <xdr:rowOff>10080</xdr:rowOff>
    </xdr:from>
    <xdr:to>
      <xdr:col>20</xdr:col>
      <xdr:colOff>153000</xdr:colOff>
      <xdr:row>352</xdr:row>
      <xdr:rowOff>29160</xdr:rowOff>
    </xdr:to>
    <xdr:sp>
      <xdr:nvSpPr>
        <xdr:cNvPr id="101" name="Прямая соединительная линия 174"/>
        <xdr:cNvSpPr/>
      </xdr:nvSpPr>
      <xdr:spPr>
        <a:xfrm flipH="1">
          <a:off x="9248760" y="8155800"/>
          <a:ext cx="83052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19080</xdr:colOff>
      <xdr:row>352</xdr:row>
      <xdr:rowOff>86400</xdr:rowOff>
    </xdr:from>
    <xdr:to>
      <xdr:col>11</xdr:col>
      <xdr:colOff>171720</xdr:colOff>
      <xdr:row>352</xdr:row>
      <xdr:rowOff>92520</xdr:rowOff>
    </xdr:to>
    <xdr:sp>
      <xdr:nvSpPr>
        <xdr:cNvPr id="102" name="Прямая соединительная линия 175"/>
        <xdr:cNvSpPr/>
      </xdr:nvSpPr>
      <xdr:spPr>
        <a:xfrm flipH="1">
          <a:off x="7515000" y="8232120"/>
          <a:ext cx="727920" cy="6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9360</xdr:colOff>
      <xdr:row>352</xdr:row>
      <xdr:rowOff>124200</xdr:rowOff>
    </xdr:from>
    <xdr:to>
      <xdr:col>12</xdr:col>
      <xdr:colOff>133200</xdr:colOff>
      <xdr:row>352</xdr:row>
      <xdr:rowOff>133920</xdr:rowOff>
    </xdr:to>
    <xdr:sp>
      <xdr:nvSpPr>
        <xdr:cNvPr id="103" name="Прямая соединительная линия 176"/>
        <xdr:cNvSpPr/>
      </xdr:nvSpPr>
      <xdr:spPr>
        <a:xfrm flipH="1">
          <a:off x="7697160" y="8269920"/>
          <a:ext cx="69912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171360</xdr:colOff>
      <xdr:row>8</xdr:row>
      <xdr:rowOff>10080</xdr:rowOff>
    </xdr:from>
    <xdr:to>
      <xdr:col>14</xdr:col>
      <xdr:colOff>192240</xdr:colOff>
      <xdr:row>26</xdr:row>
      <xdr:rowOff>95760</xdr:rowOff>
    </xdr:to>
    <xdr:sp>
      <xdr:nvSpPr>
        <xdr:cNvPr id="104" name="Прямая соединительная линия 177"/>
        <xdr:cNvSpPr/>
      </xdr:nvSpPr>
      <xdr:spPr>
        <a:xfrm>
          <a:off x="8817840" y="1505520"/>
          <a:ext cx="20880" cy="33202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9720</xdr:colOff>
      <xdr:row>25</xdr:row>
      <xdr:rowOff>67320</xdr:rowOff>
    </xdr:from>
    <xdr:to>
      <xdr:col>33</xdr:col>
      <xdr:colOff>171720</xdr:colOff>
      <xdr:row>27</xdr:row>
      <xdr:rowOff>146520</xdr:rowOff>
    </xdr:to>
    <xdr:sp>
      <xdr:nvSpPr>
        <xdr:cNvPr id="105" name="Прямая соединительная линия 178"/>
        <xdr:cNvSpPr/>
      </xdr:nvSpPr>
      <xdr:spPr>
        <a:xfrm flipH="1">
          <a:off x="10621800" y="4617720"/>
          <a:ext cx="2079720" cy="438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9360</xdr:colOff>
      <xdr:row>23</xdr:row>
      <xdr:rowOff>142560</xdr:rowOff>
    </xdr:from>
    <xdr:to>
      <xdr:col>25</xdr:col>
      <xdr:colOff>18720</xdr:colOff>
      <xdr:row>26</xdr:row>
      <xdr:rowOff>50760</xdr:rowOff>
    </xdr:to>
    <xdr:sp>
      <xdr:nvSpPr>
        <xdr:cNvPr id="106" name="Прямая соединительная линия 179"/>
        <xdr:cNvSpPr/>
      </xdr:nvSpPr>
      <xdr:spPr>
        <a:xfrm flipH="1">
          <a:off x="8847720" y="4334040"/>
          <a:ext cx="2167200" cy="447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171720</xdr:colOff>
      <xdr:row>26</xdr:row>
      <xdr:rowOff>95040</xdr:rowOff>
    </xdr:from>
    <xdr:to>
      <xdr:col>23</xdr:col>
      <xdr:colOff>17280</xdr:colOff>
      <xdr:row>27</xdr:row>
      <xdr:rowOff>142560</xdr:rowOff>
    </xdr:to>
    <xdr:sp>
      <xdr:nvSpPr>
        <xdr:cNvPr id="107" name="Прямая соединительная линия 180"/>
        <xdr:cNvSpPr/>
      </xdr:nvSpPr>
      <xdr:spPr>
        <a:xfrm flipH="1" flipV="1">
          <a:off x="8818200" y="4825440"/>
          <a:ext cx="1811520" cy="22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172080</xdr:colOff>
      <xdr:row>23</xdr:row>
      <xdr:rowOff>153000</xdr:rowOff>
    </xdr:from>
    <xdr:to>
      <xdr:col>33</xdr:col>
      <xdr:colOff>162360</xdr:colOff>
      <xdr:row>25</xdr:row>
      <xdr:rowOff>48240</xdr:rowOff>
    </xdr:to>
    <xdr:sp>
      <xdr:nvSpPr>
        <xdr:cNvPr id="108" name="Прямая соединительная линия 181"/>
        <xdr:cNvSpPr/>
      </xdr:nvSpPr>
      <xdr:spPr>
        <a:xfrm flipH="1" flipV="1">
          <a:off x="10976040" y="4344120"/>
          <a:ext cx="1716120" cy="254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190440</xdr:colOff>
      <xdr:row>16</xdr:row>
      <xdr:rowOff>104760</xdr:rowOff>
    </xdr:from>
    <xdr:to>
      <xdr:col>33</xdr:col>
      <xdr:colOff>171360</xdr:colOff>
      <xdr:row>19</xdr:row>
      <xdr:rowOff>31680</xdr:rowOff>
    </xdr:to>
    <xdr:sp>
      <xdr:nvSpPr>
        <xdr:cNvPr id="109" name="Прямая соединительная линия 182"/>
        <xdr:cNvSpPr/>
      </xdr:nvSpPr>
      <xdr:spPr>
        <a:xfrm flipH="1">
          <a:off x="10611360" y="3038400"/>
          <a:ext cx="2090160" cy="465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162000</xdr:colOff>
      <xdr:row>17</xdr:row>
      <xdr:rowOff>133920</xdr:rowOff>
    </xdr:from>
    <xdr:to>
      <xdr:col>23</xdr:col>
      <xdr:colOff>7560</xdr:colOff>
      <xdr:row>19</xdr:row>
      <xdr:rowOff>29160</xdr:rowOff>
    </xdr:to>
    <xdr:sp>
      <xdr:nvSpPr>
        <xdr:cNvPr id="110" name="Прямая соединительная линия 183"/>
        <xdr:cNvSpPr/>
      </xdr:nvSpPr>
      <xdr:spPr>
        <a:xfrm flipH="1" flipV="1">
          <a:off x="8808480" y="3246840"/>
          <a:ext cx="1811520" cy="254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19800</xdr:colOff>
      <xdr:row>26</xdr:row>
      <xdr:rowOff>66600</xdr:rowOff>
    </xdr:from>
    <xdr:to>
      <xdr:col>34</xdr:col>
      <xdr:colOff>76320</xdr:colOff>
      <xdr:row>29</xdr:row>
      <xdr:rowOff>27720</xdr:rowOff>
    </xdr:to>
    <xdr:sp>
      <xdr:nvSpPr>
        <xdr:cNvPr id="111" name="Прямая со стрелкой 184"/>
        <xdr:cNvSpPr/>
      </xdr:nvSpPr>
      <xdr:spPr>
        <a:xfrm flipV="1">
          <a:off x="10631880" y="4796640"/>
          <a:ext cx="2295720" cy="5004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0</xdr:colOff>
      <xdr:row>27</xdr:row>
      <xdr:rowOff>123840</xdr:rowOff>
    </xdr:from>
    <xdr:to>
      <xdr:col>22</xdr:col>
      <xdr:colOff>84960</xdr:colOff>
      <xdr:row>29</xdr:row>
      <xdr:rowOff>37440</xdr:rowOff>
    </xdr:to>
    <xdr:sp>
      <xdr:nvSpPr>
        <xdr:cNvPr id="112" name="Прямая со стрелкой 185"/>
        <xdr:cNvSpPr/>
      </xdr:nvSpPr>
      <xdr:spPr>
        <a:xfrm>
          <a:off x="8838360" y="5034240"/>
          <a:ext cx="1667520" cy="272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360</xdr:colOff>
      <xdr:row>11</xdr:row>
      <xdr:rowOff>142920</xdr:rowOff>
    </xdr:from>
    <xdr:to>
      <xdr:col>19</xdr:col>
      <xdr:colOff>9000</xdr:colOff>
      <xdr:row>18</xdr:row>
      <xdr:rowOff>56520</xdr:rowOff>
    </xdr:to>
    <xdr:sp>
      <xdr:nvSpPr>
        <xdr:cNvPr id="113" name="Прямая со стрелкой 186"/>
        <xdr:cNvSpPr/>
      </xdr:nvSpPr>
      <xdr:spPr>
        <a:xfrm flipV="1">
          <a:off x="9735480" y="2178000"/>
          <a:ext cx="8640" cy="11714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0</xdr:colOff>
      <xdr:row>19</xdr:row>
      <xdr:rowOff>123840</xdr:rowOff>
    </xdr:from>
    <xdr:to>
      <xdr:col>19</xdr:col>
      <xdr:colOff>360</xdr:colOff>
      <xdr:row>26</xdr:row>
      <xdr:rowOff>18360</xdr:rowOff>
    </xdr:to>
    <xdr:sp>
      <xdr:nvSpPr>
        <xdr:cNvPr id="114" name="Прямая со стрелкой 187"/>
        <xdr:cNvSpPr/>
      </xdr:nvSpPr>
      <xdr:spPr>
        <a:xfrm flipH="1" flipV="1">
          <a:off x="9734400" y="3595680"/>
          <a:ext cx="360" cy="1152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66960</xdr:colOff>
      <xdr:row>272</xdr:row>
      <xdr:rowOff>75960</xdr:rowOff>
    </xdr:from>
    <xdr:to>
      <xdr:col>31</xdr:col>
      <xdr:colOff>38160</xdr:colOff>
      <xdr:row>272</xdr:row>
      <xdr:rowOff>129960</xdr:rowOff>
    </xdr:to>
    <xdr:sp>
      <xdr:nvSpPr>
        <xdr:cNvPr id="115" name="Прямая соединительная линия 188"/>
        <xdr:cNvSpPr/>
      </xdr:nvSpPr>
      <xdr:spPr>
        <a:xfrm flipH="1" flipV="1">
          <a:off x="9993240" y="7503480"/>
          <a:ext cx="219132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162000</xdr:colOff>
      <xdr:row>272</xdr:row>
      <xdr:rowOff>75960</xdr:rowOff>
    </xdr:from>
    <xdr:to>
      <xdr:col>21</xdr:col>
      <xdr:colOff>171720</xdr:colOff>
      <xdr:row>272</xdr:row>
      <xdr:rowOff>129960</xdr:rowOff>
    </xdr:to>
    <xdr:sp>
      <xdr:nvSpPr>
        <xdr:cNvPr id="116" name="Прямая соединительная линия 189"/>
        <xdr:cNvSpPr/>
      </xdr:nvSpPr>
      <xdr:spPr>
        <a:xfrm flipH="1" flipV="1">
          <a:off x="8041320" y="7503480"/>
          <a:ext cx="2359080" cy="54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133200</xdr:colOff>
      <xdr:row>272</xdr:row>
      <xdr:rowOff>28440</xdr:rowOff>
    </xdr:from>
    <xdr:to>
      <xdr:col>17</xdr:col>
      <xdr:colOff>18360</xdr:colOff>
      <xdr:row>272</xdr:row>
      <xdr:rowOff>37080</xdr:rowOff>
    </xdr:to>
    <xdr:sp>
      <xdr:nvSpPr>
        <xdr:cNvPr id="117" name="Прямая со стрелкой 193"/>
        <xdr:cNvSpPr/>
      </xdr:nvSpPr>
      <xdr:spPr>
        <a:xfrm flipH="1" flipV="1">
          <a:off x="8012160" y="7455960"/>
          <a:ext cx="1227240" cy="86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66600</xdr:colOff>
      <xdr:row>272</xdr:row>
      <xdr:rowOff>38160</xdr:rowOff>
    </xdr:from>
    <xdr:to>
      <xdr:col>19</xdr:col>
      <xdr:colOff>46800</xdr:colOff>
      <xdr:row>272</xdr:row>
      <xdr:rowOff>84960</xdr:rowOff>
    </xdr:to>
    <xdr:sp>
      <xdr:nvSpPr>
        <xdr:cNvPr id="118" name="Прямая со стрелкой 196"/>
        <xdr:cNvSpPr/>
      </xdr:nvSpPr>
      <xdr:spPr>
        <a:xfrm flipH="1" flipV="1">
          <a:off x="9287640" y="7465680"/>
          <a:ext cx="493560" cy="468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47520</xdr:colOff>
      <xdr:row>272</xdr:row>
      <xdr:rowOff>0</xdr:rowOff>
    </xdr:from>
    <xdr:to>
      <xdr:col>21</xdr:col>
      <xdr:colOff>180000</xdr:colOff>
      <xdr:row>272</xdr:row>
      <xdr:rowOff>75600</xdr:rowOff>
    </xdr:to>
    <xdr:sp>
      <xdr:nvSpPr>
        <xdr:cNvPr id="119" name="Прямая со стрелкой 197"/>
        <xdr:cNvSpPr/>
      </xdr:nvSpPr>
      <xdr:spPr>
        <a:xfrm flipV="1">
          <a:off x="9782640" y="7427520"/>
          <a:ext cx="626400" cy="75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142920</xdr:colOff>
      <xdr:row>272</xdr:row>
      <xdr:rowOff>9360</xdr:rowOff>
    </xdr:from>
    <xdr:to>
      <xdr:col>33</xdr:col>
      <xdr:colOff>161280</xdr:colOff>
      <xdr:row>272</xdr:row>
      <xdr:rowOff>84960</xdr:rowOff>
    </xdr:to>
    <xdr:sp>
      <xdr:nvSpPr>
        <xdr:cNvPr id="120" name="Прямая со стрелкой 199"/>
        <xdr:cNvSpPr/>
      </xdr:nvSpPr>
      <xdr:spPr>
        <a:xfrm flipH="1" flipV="1">
          <a:off x="10946520" y="7436880"/>
          <a:ext cx="1744200" cy="75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104760</xdr:colOff>
      <xdr:row>236</xdr:row>
      <xdr:rowOff>76320</xdr:rowOff>
    </xdr:from>
    <xdr:to>
      <xdr:col>21</xdr:col>
      <xdr:colOff>65880</xdr:colOff>
      <xdr:row>236</xdr:row>
      <xdr:rowOff>94680</xdr:rowOff>
    </xdr:to>
    <xdr:sp>
      <xdr:nvSpPr>
        <xdr:cNvPr id="121" name="Прямая со стрелкой 207"/>
        <xdr:cNvSpPr/>
      </xdr:nvSpPr>
      <xdr:spPr>
        <a:xfrm flipH="1" flipV="1">
          <a:off x="10031400" y="7143480"/>
          <a:ext cx="263520" cy="1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124560</xdr:colOff>
      <xdr:row>236</xdr:row>
      <xdr:rowOff>104760</xdr:rowOff>
    </xdr:from>
    <xdr:to>
      <xdr:col>27</xdr:col>
      <xdr:colOff>124920</xdr:colOff>
      <xdr:row>236</xdr:row>
      <xdr:rowOff>113400</xdr:rowOff>
    </xdr:to>
    <xdr:sp>
      <xdr:nvSpPr>
        <xdr:cNvPr id="122" name="Прямая со стрелкой 208"/>
        <xdr:cNvSpPr/>
      </xdr:nvSpPr>
      <xdr:spPr>
        <a:xfrm flipV="1">
          <a:off x="11503800" y="7172640"/>
          <a:ext cx="360" cy="86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124560</xdr:colOff>
      <xdr:row>352</xdr:row>
      <xdr:rowOff>114480</xdr:rowOff>
    </xdr:from>
    <xdr:to>
      <xdr:col>23</xdr:col>
      <xdr:colOff>66600</xdr:colOff>
      <xdr:row>352</xdr:row>
      <xdr:rowOff>142200</xdr:rowOff>
    </xdr:to>
    <xdr:sp>
      <xdr:nvSpPr>
        <xdr:cNvPr id="123" name="Прямая со стрелкой 213"/>
        <xdr:cNvSpPr/>
      </xdr:nvSpPr>
      <xdr:spPr>
        <a:xfrm flipV="1">
          <a:off x="8387280" y="8259840"/>
          <a:ext cx="2291400" cy="27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200880</xdr:colOff>
      <xdr:row>352</xdr:row>
      <xdr:rowOff>19080</xdr:rowOff>
    </xdr:from>
    <xdr:to>
      <xdr:col>11</xdr:col>
      <xdr:colOff>38160</xdr:colOff>
      <xdr:row>352</xdr:row>
      <xdr:rowOff>84960</xdr:rowOff>
    </xdr:to>
    <xdr:sp>
      <xdr:nvSpPr>
        <xdr:cNvPr id="124" name="Прямая со стрелкой 214"/>
        <xdr:cNvSpPr/>
      </xdr:nvSpPr>
      <xdr:spPr>
        <a:xfrm flipV="1">
          <a:off x="7382880" y="8164440"/>
          <a:ext cx="726120" cy="65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171360</xdr:colOff>
      <xdr:row>352</xdr:row>
      <xdr:rowOff>47520</xdr:rowOff>
    </xdr:from>
    <xdr:to>
      <xdr:col>12</xdr:col>
      <xdr:colOff>191520</xdr:colOff>
      <xdr:row>352</xdr:row>
      <xdr:rowOff>75240</xdr:rowOff>
    </xdr:to>
    <xdr:sp>
      <xdr:nvSpPr>
        <xdr:cNvPr id="125" name="Прямая со стрелкой 217"/>
        <xdr:cNvSpPr/>
      </xdr:nvSpPr>
      <xdr:spPr>
        <a:xfrm flipH="1" flipV="1">
          <a:off x="8434440" y="8192880"/>
          <a:ext cx="20160" cy="27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47520</xdr:colOff>
      <xdr:row>352</xdr:row>
      <xdr:rowOff>19080</xdr:rowOff>
    </xdr:from>
    <xdr:to>
      <xdr:col>17</xdr:col>
      <xdr:colOff>56160</xdr:colOff>
      <xdr:row>352</xdr:row>
      <xdr:rowOff>27720</xdr:rowOff>
    </xdr:to>
    <xdr:sp>
      <xdr:nvSpPr>
        <xdr:cNvPr id="126" name="Прямая со стрелкой 222"/>
        <xdr:cNvSpPr/>
      </xdr:nvSpPr>
      <xdr:spPr>
        <a:xfrm>
          <a:off x="7735320" y="8165160"/>
          <a:ext cx="1542600" cy="86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162000</xdr:colOff>
      <xdr:row>352</xdr:row>
      <xdr:rowOff>0</xdr:rowOff>
    </xdr:from>
    <xdr:to>
      <xdr:col>30</xdr:col>
      <xdr:colOff>94680</xdr:colOff>
      <xdr:row>352</xdr:row>
      <xdr:rowOff>46800</xdr:rowOff>
    </xdr:to>
    <xdr:sp>
      <xdr:nvSpPr>
        <xdr:cNvPr id="127" name="Прямая со стрелкой 223"/>
        <xdr:cNvSpPr/>
      </xdr:nvSpPr>
      <xdr:spPr>
        <a:xfrm>
          <a:off x="10391040" y="8146080"/>
          <a:ext cx="1658520" cy="468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9360</xdr:colOff>
      <xdr:row>1</xdr:row>
      <xdr:rowOff>57240</xdr:rowOff>
    </xdr:from>
    <xdr:to>
      <xdr:col>29</xdr:col>
      <xdr:colOff>27720</xdr:colOff>
      <xdr:row>2</xdr:row>
      <xdr:rowOff>18360</xdr:rowOff>
    </xdr:to>
    <xdr:sp>
      <xdr:nvSpPr>
        <xdr:cNvPr id="128" name="Стрелка вправо 224"/>
        <xdr:cNvSpPr/>
      </xdr:nvSpPr>
      <xdr:spPr>
        <a:xfrm>
          <a:off x="10813680" y="236880"/>
          <a:ext cx="977400" cy="140760"/>
        </a:xfrm>
        <a:prstGeom prst="rightArrow">
          <a:avLst>
            <a:gd name="adj1" fmla="val 50000"/>
            <a:gd name="adj2" fmla="val 50000"/>
          </a:avLst>
        </a:prstGeom>
        <a:solidFill>
          <a:srgbClr val="ffffff"/>
        </a:solidFill>
        <a:ln w="0">
          <a:solidFill>
            <a:srgbClr val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352</xdr:row>
      <xdr:rowOff>67320</xdr:rowOff>
    </xdr:from>
    <xdr:to>
      <xdr:col>17</xdr:col>
      <xdr:colOff>95040</xdr:colOff>
      <xdr:row>352</xdr:row>
      <xdr:rowOff>86400</xdr:rowOff>
    </xdr:to>
    <xdr:sp>
      <xdr:nvSpPr>
        <xdr:cNvPr id="129" name="Прямая соединительная линия 225"/>
        <xdr:cNvSpPr/>
      </xdr:nvSpPr>
      <xdr:spPr>
        <a:xfrm>
          <a:off x="9307440" y="8213040"/>
          <a:ext cx="93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86040</xdr:colOff>
      <xdr:row>352</xdr:row>
      <xdr:rowOff>85680</xdr:rowOff>
    </xdr:from>
    <xdr:to>
      <xdr:col>19</xdr:col>
      <xdr:colOff>142920</xdr:colOff>
      <xdr:row>352</xdr:row>
      <xdr:rowOff>85680</xdr:rowOff>
    </xdr:to>
    <xdr:sp>
      <xdr:nvSpPr>
        <xdr:cNvPr id="130" name="Прямая соединительная линия 226"/>
        <xdr:cNvSpPr/>
      </xdr:nvSpPr>
      <xdr:spPr>
        <a:xfrm flipH="1">
          <a:off x="9307800" y="8231760"/>
          <a:ext cx="5702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19080</xdr:colOff>
      <xdr:row>352</xdr:row>
      <xdr:rowOff>38160</xdr:rowOff>
    </xdr:from>
    <xdr:to>
      <xdr:col>15</xdr:col>
      <xdr:colOff>19440</xdr:colOff>
      <xdr:row>352</xdr:row>
      <xdr:rowOff>113760</xdr:rowOff>
    </xdr:to>
    <xdr:sp>
      <xdr:nvSpPr>
        <xdr:cNvPr id="131" name="Прямая со стрелкой 227"/>
        <xdr:cNvSpPr/>
      </xdr:nvSpPr>
      <xdr:spPr>
        <a:xfrm flipH="1" flipV="1">
          <a:off x="8856720" y="8184240"/>
          <a:ext cx="360" cy="75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720</xdr:colOff>
      <xdr:row>352</xdr:row>
      <xdr:rowOff>124200</xdr:rowOff>
    </xdr:from>
    <xdr:to>
      <xdr:col>12</xdr:col>
      <xdr:colOff>105480</xdr:colOff>
      <xdr:row>352</xdr:row>
      <xdr:rowOff>143280</xdr:rowOff>
    </xdr:to>
    <xdr:sp>
      <xdr:nvSpPr>
        <xdr:cNvPr id="132" name="Прямая соединительная линия 229"/>
        <xdr:cNvSpPr/>
      </xdr:nvSpPr>
      <xdr:spPr>
        <a:xfrm flipH="1">
          <a:off x="7688160" y="8269920"/>
          <a:ext cx="68004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171360</xdr:colOff>
      <xdr:row>352</xdr:row>
      <xdr:rowOff>9360</xdr:rowOff>
    </xdr:from>
    <xdr:to>
      <xdr:col>17</xdr:col>
      <xdr:colOff>85680</xdr:colOff>
      <xdr:row>352</xdr:row>
      <xdr:rowOff>47520</xdr:rowOff>
    </xdr:to>
    <xdr:sp>
      <xdr:nvSpPr>
        <xdr:cNvPr id="133" name="Прямая соединительная линия 230"/>
        <xdr:cNvSpPr/>
      </xdr:nvSpPr>
      <xdr:spPr>
        <a:xfrm flipH="1" flipV="1">
          <a:off x="7667280" y="8155440"/>
          <a:ext cx="164016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124200</xdr:colOff>
      <xdr:row>311</xdr:row>
      <xdr:rowOff>114840</xdr:rowOff>
    </xdr:from>
    <xdr:to>
      <xdr:col>16</xdr:col>
      <xdr:colOff>172080</xdr:colOff>
      <xdr:row>311</xdr:row>
      <xdr:rowOff>143280</xdr:rowOff>
    </xdr:to>
    <xdr:sp>
      <xdr:nvSpPr>
        <xdr:cNvPr id="134" name="Прямая соединительная линия 231"/>
        <xdr:cNvSpPr/>
      </xdr:nvSpPr>
      <xdr:spPr>
        <a:xfrm flipH="1">
          <a:off x="7619760" y="7901280"/>
          <a:ext cx="158220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171720</xdr:colOff>
      <xdr:row>311</xdr:row>
      <xdr:rowOff>18720</xdr:rowOff>
    </xdr:from>
    <xdr:to>
      <xdr:col>24</xdr:col>
      <xdr:colOff>19080</xdr:colOff>
      <xdr:row>311</xdr:row>
      <xdr:rowOff>95040</xdr:rowOff>
    </xdr:to>
    <xdr:sp>
      <xdr:nvSpPr>
        <xdr:cNvPr id="135" name="Прямая соединительная линия 232"/>
        <xdr:cNvSpPr/>
      </xdr:nvSpPr>
      <xdr:spPr>
        <a:xfrm flipH="1">
          <a:off x="9201960" y="7805520"/>
          <a:ext cx="162144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9360</xdr:colOff>
      <xdr:row>311</xdr:row>
      <xdr:rowOff>10080</xdr:rowOff>
    </xdr:from>
    <xdr:to>
      <xdr:col>33</xdr:col>
      <xdr:colOff>95040</xdr:colOff>
      <xdr:row>311</xdr:row>
      <xdr:rowOff>76680</xdr:rowOff>
    </xdr:to>
    <xdr:sp>
      <xdr:nvSpPr>
        <xdr:cNvPr id="136" name="Прямая соединительная линия 234"/>
        <xdr:cNvSpPr/>
      </xdr:nvSpPr>
      <xdr:spPr>
        <a:xfrm flipH="1" flipV="1">
          <a:off x="10813680" y="7796520"/>
          <a:ext cx="181152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10080</xdr:colOff>
      <xdr:row>311</xdr:row>
      <xdr:rowOff>18720</xdr:rowOff>
    </xdr:from>
    <xdr:to>
      <xdr:col>24</xdr:col>
      <xdr:colOff>10080</xdr:colOff>
      <xdr:row>311</xdr:row>
      <xdr:rowOff>142560</xdr:rowOff>
    </xdr:to>
    <xdr:sp>
      <xdr:nvSpPr>
        <xdr:cNvPr id="137" name="Прямая соединительная линия 236"/>
        <xdr:cNvSpPr/>
      </xdr:nvSpPr>
      <xdr:spPr>
        <a:xfrm flipH="1">
          <a:off x="10430640" y="7805520"/>
          <a:ext cx="38340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133560</xdr:colOff>
      <xdr:row>311</xdr:row>
      <xdr:rowOff>133200</xdr:rowOff>
    </xdr:from>
    <xdr:to>
      <xdr:col>22</xdr:col>
      <xdr:colOff>9720</xdr:colOff>
      <xdr:row>311</xdr:row>
      <xdr:rowOff>142560</xdr:rowOff>
    </xdr:to>
    <xdr:sp>
      <xdr:nvSpPr>
        <xdr:cNvPr id="138" name="Прямая соединительная линия 238"/>
        <xdr:cNvSpPr/>
      </xdr:nvSpPr>
      <xdr:spPr>
        <a:xfrm flipH="1">
          <a:off x="7629120" y="7920000"/>
          <a:ext cx="28011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219240</xdr:colOff>
      <xdr:row>311</xdr:row>
      <xdr:rowOff>9360</xdr:rowOff>
    </xdr:from>
    <xdr:to>
      <xdr:col>34</xdr:col>
      <xdr:colOff>171000</xdr:colOff>
      <xdr:row>311</xdr:row>
      <xdr:rowOff>75240</xdr:rowOff>
    </xdr:to>
    <xdr:sp>
      <xdr:nvSpPr>
        <xdr:cNvPr id="139" name="Прямая со стрелкой 240"/>
        <xdr:cNvSpPr/>
      </xdr:nvSpPr>
      <xdr:spPr>
        <a:xfrm flipH="1" flipV="1">
          <a:off x="12748680" y="7795440"/>
          <a:ext cx="273240" cy="65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86400</xdr:colOff>
      <xdr:row>311</xdr:row>
      <xdr:rowOff>19080</xdr:rowOff>
    </xdr:from>
    <xdr:to>
      <xdr:col>24</xdr:col>
      <xdr:colOff>19080</xdr:colOff>
      <xdr:row>311</xdr:row>
      <xdr:rowOff>84960</xdr:rowOff>
    </xdr:to>
    <xdr:sp>
      <xdr:nvSpPr>
        <xdr:cNvPr id="140" name="Прямая со стрелкой 241"/>
        <xdr:cNvSpPr/>
      </xdr:nvSpPr>
      <xdr:spPr>
        <a:xfrm flipV="1">
          <a:off x="9116280" y="7805160"/>
          <a:ext cx="1706760" cy="658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47880</xdr:colOff>
      <xdr:row>311</xdr:row>
      <xdr:rowOff>56880</xdr:rowOff>
    </xdr:from>
    <xdr:to>
      <xdr:col>20</xdr:col>
      <xdr:colOff>19080</xdr:colOff>
      <xdr:row>311</xdr:row>
      <xdr:rowOff>133200</xdr:rowOff>
    </xdr:to>
    <xdr:sp>
      <xdr:nvSpPr>
        <xdr:cNvPr id="141" name="Прямая соединительная линия 242"/>
        <xdr:cNvSpPr/>
      </xdr:nvSpPr>
      <xdr:spPr>
        <a:xfrm flipH="1" flipV="1">
          <a:off x="9783000" y="7843680"/>
          <a:ext cx="16272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67320</xdr:colOff>
      <xdr:row>311</xdr:row>
      <xdr:rowOff>75960</xdr:rowOff>
    </xdr:from>
    <xdr:to>
      <xdr:col>34</xdr:col>
      <xdr:colOff>124200</xdr:colOff>
      <xdr:row>311</xdr:row>
      <xdr:rowOff>152280</xdr:rowOff>
    </xdr:to>
    <xdr:sp>
      <xdr:nvSpPr>
        <xdr:cNvPr id="142" name="Прямая соединительная линия 243"/>
        <xdr:cNvSpPr/>
      </xdr:nvSpPr>
      <xdr:spPr>
        <a:xfrm flipH="1" flipV="1">
          <a:off x="12597120" y="7862760"/>
          <a:ext cx="37836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152640</xdr:colOff>
      <xdr:row>311</xdr:row>
      <xdr:rowOff>19440</xdr:rowOff>
    </xdr:from>
    <xdr:to>
      <xdr:col>21</xdr:col>
      <xdr:colOff>9720</xdr:colOff>
      <xdr:row>311</xdr:row>
      <xdr:rowOff>67320</xdr:rowOff>
    </xdr:to>
    <xdr:sp>
      <xdr:nvSpPr>
        <xdr:cNvPr id="143" name="Прямая соединительная линия 248"/>
        <xdr:cNvSpPr/>
      </xdr:nvSpPr>
      <xdr:spPr>
        <a:xfrm flipH="1">
          <a:off x="9887400" y="7805880"/>
          <a:ext cx="35100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324000</xdr:colOff>
      <xdr:row>311</xdr:row>
      <xdr:rowOff>38160</xdr:rowOff>
    </xdr:from>
    <xdr:to>
      <xdr:col>7</xdr:col>
      <xdr:colOff>9000</xdr:colOff>
      <xdr:row>311</xdr:row>
      <xdr:rowOff>104040</xdr:rowOff>
    </xdr:to>
    <xdr:sp>
      <xdr:nvSpPr>
        <xdr:cNvPr id="144" name="Соединительная линия уступом 249"/>
        <xdr:cNvSpPr/>
      </xdr:nvSpPr>
      <xdr:spPr>
        <a:xfrm>
          <a:off x="4819680" y="7824960"/>
          <a:ext cx="2371680" cy="65880"/>
        </a:xfrm>
        <a:prstGeom prst="bentConnector3">
          <a:avLst>
            <a:gd name="adj1" fmla="val 6352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590400</xdr:colOff>
      <xdr:row>311</xdr:row>
      <xdr:rowOff>47520</xdr:rowOff>
    </xdr:from>
    <xdr:to>
      <xdr:col>8</xdr:col>
      <xdr:colOff>56160</xdr:colOff>
      <xdr:row>311</xdr:row>
      <xdr:rowOff>56160</xdr:rowOff>
    </xdr:to>
    <xdr:sp>
      <xdr:nvSpPr>
        <xdr:cNvPr id="145" name="Соединительная линия уступом 250"/>
        <xdr:cNvSpPr/>
      </xdr:nvSpPr>
      <xdr:spPr>
        <a:xfrm>
          <a:off x="5086080" y="7834320"/>
          <a:ext cx="2466000" cy="8640"/>
        </a:xfrm>
        <a:prstGeom prst="bentConnector3">
          <a:avLst>
            <a:gd name="adj1" fmla="val 85349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133200</xdr:colOff>
      <xdr:row>311</xdr:row>
      <xdr:rowOff>28440</xdr:rowOff>
    </xdr:from>
    <xdr:to>
      <xdr:col>33</xdr:col>
      <xdr:colOff>94320</xdr:colOff>
      <xdr:row>311</xdr:row>
      <xdr:rowOff>84960</xdr:rowOff>
    </xdr:to>
    <xdr:sp>
      <xdr:nvSpPr>
        <xdr:cNvPr id="146" name="Прямая со стрелкой 252"/>
        <xdr:cNvSpPr/>
      </xdr:nvSpPr>
      <xdr:spPr>
        <a:xfrm>
          <a:off x="10937520" y="7815240"/>
          <a:ext cx="1686960" cy="565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85680</xdr:colOff>
      <xdr:row>10</xdr:row>
      <xdr:rowOff>38160</xdr:rowOff>
    </xdr:from>
    <xdr:to>
      <xdr:col>18</xdr:col>
      <xdr:colOff>27720</xdr:colOff>
      <xdr:row>11</xdr:row>
      <xdr:rowOff>113760</xdr:rowOff>
    </xdr:to>
    <xdr:sp>
      <xdr:nvSpPr>
        <xdr:cNvPr id="147" name="Соединительная линия уступом 253"/>
        <xdr:cNvSpPr/>
      </xdr:nvSpPr>
      <xdr:spPr>
        <a:xfrm>
          <a:off x="7268040" y="1893600"/>
          <a:ext cx="2302920" cy="2552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161640</xdr:colOff>
      <xdr:row>18</xdr:row>
      <xdr:rowOff>86400</xdr:rowOff>
    </xdr:from>
    <xdr:to>
      <xdr:col>22</xdr:col>
      <xdr:colOff>180720</xdr:colOff>
      <xdr:row>19</xdr:row>
      <xdr:rowOff>133920</xdr:rowOff>
    </xdr:to>
    <xdr:sp>
      <xdr:nvSpPr>
        <xdr:cNvPr id="148" name="Прямая соединительная линия 254"/>
        <xdr:cNvSpPr/>
      </xdr:nvSpPr>
      <xdr:spPr>
        <a:xfrm flipH="1" flipV="1">
          <a:off x="8808120" y="3378960"/>
          <a:ext cx="1793520" cy="227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0</xdr:colOff>
      <xdr:row>25</xdr:row>
      <xdr:rowOff>142560</xdr:rowOff>
    </xdr:from>
    <xdr:to>
      <xdr:col>23</xdr:col>
      <xdr:colOff>18720</xdr:colOff>
      <xdr:row>27</xdr:row>
      <xdr:rowOff>37800</xdr:rowOff>
    </xdr:to>
    <xdr:sp>
      <xdr:nvSpPr>
        <xdr:cNvPr id="149" name="Прямая соединительная линия 255"/>
        <xdr:cNvSpPr/>
      </xdr:nvSpPr>
      <xdr:spPr>
        <a:xfrm flipH="1" flipV="1">
          <a:off x="8838360" y="4693320"/>
          <a:ext cx="1792800" cy="254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19080</xdr:colOff>
      <xdr:row>24</xdr:row>
      <xdr:rowOff>133200</xdr:rowOff>
    </xdr:from>
    <xdr:to>
      <xdr:col>33</xdr:col>
      <xdr:colOff>190800</xdr:colOff>
      <xdr:row>27</xdr:row>
      <xdr:rowOff>31680</xdr:rowOff>
    </xdr:to>
    <xdr:sp>
      <xdr:nvSpPr>
        <xdr:cNvPr id="150" name="Прямая соединительная линия 256"/>
        <xdr:cNvSpPr/>
      </xdr:nvSpPr>
      <xdr:spPr>
        <a:xfrm flipH="1">
          <a:off x="10631520" y="4504320"/>
          <a:ext cx="2089440" cy="437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9720</xdr:colOff>
      <xdr:row>17</xdr:row>
      <xdr:rowOff>86400</xdr:rowOff>
    </xdr:from>
    <xdr:to>
      <xdr:col>33</xdr:col>
      <xdr:colOff>171720</xdr:colOff>
      <xdr:row>19</xdr:row>
      <xdr:rowOff>137160</xdr:rowOff>
    </xdr:to>
    <xdr:sp>
      <xdr:nvSpPr>
        <xdr:cNvPr id="151" name="Прямая соединительная линия 257"/>
        <xdr:cNvSpPr/>
      </xdr:nvSpPr>
      <xdr:spPr>
        <a:xfrm flipH="1">
          <a:off x="10621800" y="3199320"/>
          <a:ext cx="2079720" cy="4100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47520</xdr:colOff>
      <xdr:row>17</xdr:row>
      <xdr:rowOff>47520</xdr:rowOff>
    </xdr:from>
    <xdr:to>
      <xdr:col>14</xdr:col>
      <xdr:colOff>151560</xdr:colOff>
      <xdr:row>18</xdr:row>
      <xdr:rowOff>94320</xdr:rowOff>
    </xdr:to>
    <xdr:sp>
      <xdr:nvSpPr>
        <xdr:cNvPr id="152" name="Соединительная линия уступом 258"/>
        <xdr:cNvSpPr/>
      </xdr:nvSpPr>
      <xdr:spPr>
        <a:xfrm>
          <a:off x="7229880" y="3160800"/>
          <a:ext cx="1568160" cy="226440"/>
        </a:xfrm>
        <a:prstGeom prst="bentConnector3">
          <a:avLst>
            <a:gd name="adj1" fmla="val 33974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85680</xdr:colOff>
      <xdr:row>25</xdr:row>
      <xdr:rowOff>38160</xdr:rowOff>
    </xdr:from>
    <xdr:to>
      <xdr:col>14</xdr:col>
      <xdr:colOff>94320</xdr:colOff>
      <xdr:row>26</xdr:row>
      <xdr:rowOff>84960</xdr:rowOff>
    </xdr:to>
    <xdr:sp>
      <xdr:nvSpPr>
        <xdr:cNvPr id="153" name="Соединительная линия уступом 259"/>
        <xdr:cNvSpPr/>
      </xdr:nvSpPr>
      <xdr:spPr>
        <a:xfrm>
          <a:off x="7268040" y="4588920"/>
          <a:ext cx="1472760" cy="226440"/>
        </a:xfrm>
        <a:prstGeom prst="bentConnector3">
          <a:avLst>
            <a:gd name="adj1" fmla="val 3424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85680</xdr:colOff>
      <xdr:row>21</xdr:row>
      <xdr:rowOff>28440</xdr:rowOff>
    </xdr:from>
    <xdr:to>
      <xdr:col>14</xdr:col>
      <xdr:colOff>170640</xdr:colOff>
      <xdr:row>25</xdr:row>
      <xdr:rowOff>142200</xdr:rowOff>
    </xdr:to>
    <xdr:sp>
      <xdr:nvSpPr>
        <xdr:cNvPr id="154" name="Соединительная линия уступом 260"/>
        <xdr:cNvSpPr/>
      </xdr:nvSpPr>
      <xdr:spPr>
        <a:xfrm>
          <a:off x="7268040" y="3860640"/>
          <a:ext cx="1549080" cy="8323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399960</xdr:colOff>
      <xdr:row>236</xdr:row>
      <xdr:rowOff>9360</xdr:rowOff>
    </xdr:from>
    <xdr:to>
      <xdr:col>8</xdr:col>
      <xdr:colOff>94320</xdr:colOff>
      <xdr:row>236</xdr:row>
      <xdr:rowOff>113400</xdr:rowOff>
    </xdr:to>
    <xdr:sp>
      <xdr:nvSpPr>
        <xdr:cNvPr id="155" name="Соединительная линия уступом 262"/>
        <xdr:cNvSpPr/>
      </xdr:nvSpPr>
      <xdr:spPr>
        <a:xfrm>
          <a:off x="6261480" y="7077240"/>
          <a:ext cx="1328760" cy="104040"/>
        </a:xfrm>
        <a:prstGeom prst="bentConnector3">
          <a:avLst>
            <a:gd name="adj1" fmla="val 5307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76320</xdr:colOff>
      <xdr:row>272</xdr:row>
      <xdr:rowOff>28440</xdr:rowOff>
    </xdr:from>
    <xdr:to>
      <xdr:col>16</xdr:col>
      <xdr:colOff>75600</xdr:colOff>
      <xdr:row>272</xdr:row>
      <xdr:rowOff>46800</xdr:rowOff>
    </xdr:to>
    <xdr:sp>
      <xdr:nvSpPr>
        <xdr:cNvPr id="156" name="Соединительная линия уступом 263"/>
        <xdr:cNvSpPr/>
      </xdr:nvSpPr>
      <xdr:spPr>
        <a:xfrm>
          <a:off x="7258680" y="7455960"/>
          <a:ext cx="1847160" cy="18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257040</xdr:colOff>
      <xdr:row>272</xdr:row>
      <xdr:rowOff>57240</xdr:rowOff>
    </xdr:from>
    <xdr:to>
      <xdr:col>8</xdr:col>
      <xdr:colOff>46800</xdr:colOff>
      <xdr:row>272</xdr:row>
      <xdr:rowOff>142200</xdr:rowOff>
    </xdr:to>
    <xdr:sp>
      <xdr:nvSpPr>
        <xdr:cNvPr id="157" name="Соединительная линия уступом 264"/>
        <xdr:cNvSpPr/>
      </xdr:nvSpPr>
      <xdr:spPr>
        <a:xfrm>
          <a:off x="5445360" y="7484760"/>
          <a:ext cx="2097360" cy="84960"/>
        </a:xfrm>
        <a:prstGeom prst="bentConnector3">
          <a:avLst>
            <a:gd name="adj1" fmla="val 73494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371520</xdr:colOff>
      <xdr:row>352</xdr:row>
      <xdr:rowOff>47520</xdr:rowOff>
    </xdr:from>
    <xdr:to>
      <xdr:col>11</xdr:col>
      <xdr:colOff>161280</xdr:colOff>
      <xdr:row>352</xdr:row>
      <xdr:rowOff>123120</xdr:rowOff>
    </xdr:to>
    <xdr:sp>
      <xdr:nvSpPr>
        <xdr:cNvPr id="158" name="Соединительная линия уступом 265"/>
        <xdr:cNvSpPr/>
      </xdr:nvSpPr>
      <xdr:spPr>
        <a:xfrm>
          <a:off x="5559840" y="8193600"/>
          <a:ext cx="2672640" cy="756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352440</xdr:colOff>
      <xdr:row>352</xdr:row>
      <xdr:rowOff>47520</xdr:rowOff>
    </xdr:from>
    <xdr:to>
      <xdr:col>7</xdr:col>
      <xdr:colOff>313560</xdr:colOff>
      <xdr:row>352</xdr:row>
      <xdr:rowOff>151560</xdr:rowOff>
    </xdr:to>
    <xdr:sp>
      <xdr:nvSpPr>
        <xdr:cNvPr id="159" name="Соединительная линия уступом 266"/>
        <xdr:cNvSpPr/>
      </xdr:nvSpPr>
      <xdr:spPr>
        <a:xfrm>
          <a:off x="5540760" y="8193600"/>
          <a:ext cx="1955160" cy="104040"/>
        </a:xfrm>
        <a:prstGeom prst="bentConnector3">
          <a:avLst>
            <a:gd name="adj1" fmla="val 71192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57240</xdr:colOff>
      <xdr:row>352</xdr:row>
      <xdr:rowOff>28440</xdr:rowOff>
    </xdr:from>
    <xdr:to>
      <xdr:col>21</xdr:col>
      <xdr:colOff>123120</xdr:colOff>
      <xdr:row>352</xdr:row>
      <xdr:rowOff>113400</xdr:rowOff>
    </xdr:to>
    <xdr:sp>
      <xdr:nvSpPr>
        <xdr:cNvPr id="160" name="Соединительная линия уступом 267"/>
        <xdr:cNvSpPr/>
      </xdr:nvSpPr>
      <xdr:spPr>
        <a:xfrm>
          <a:off x="9279000" y="8174520"/>
          <a:ext cx="1073160" cy="84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152640</xdr:colOff>
      <xdr:row>415</xdr:row>
      <xdr:rowOff>19440</xdr:rowOff>
    </xdr:from>
    <xdr:to>
      <xdr:col>30</xdr:col>
      <xdr:colOff>133560</xdr:colOff>
      <xdr:row>415</xdr:row>
      <xdr:rowOff>105480</xdr:rowOff>
    </xdr:to>
    <xdr:sp>
      <xdr:nvSpPr>
        <xdr:cNvPr id="161" name="Прямая соединительная линия 269"/>
        <xdr:cNvSpPr/>
      </xdr:nvSpPr>
      <xdr:spPr>
        <a:xfrm flipH="1">
          <a:off x="10573560" y="8524800"/>
          <a:ext cx="1514880" cy="860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75960</xdr:colOff>
      <xdr:row>415</xdr:row>
      <xdr:rowOff>76680</xdr:rowOff>
    </xdr:from>
    <xdr:to>
      <xdr:col>16</xdr:col>
      <xdr:colOff>123480</xdr:colOff>
      <xdr:row>415</xdr:row>
      <xdr:rowOff>86400</xdr:rowOff>
    </xdr:to>
    <xdr:sp>
      <xdr:nvSpPr>
        <xdr:cNvPr id="162" name="Прямая соединительная линия 270"/>
        <xdr:cNvSpPr/>
      </xdr:nvSpPr>
      <xdr:spPr>
        <a:xfrm flipH="1">
          <a:off x="7571880" y="8582040"/>
          <a:ext cx="158184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180720</xdr:colOff>
      <xdr:row>415</xdr:row>
      <xdr:rowOff>10080</xdr:rowOff>
    </xdr:from>
    <xdr:to>
      <xdr:col>22</xdr:col>
      <xdr:colOff>180720</xdr:colOff>
      <xdr:row>415</xdr:row>
      <xdr:rowOff>114840</xdr:rowOff>
    </xdr:to>
    <xdr:sp>
      <xdr:nvSpPr>
        <xdr:cNvPr id="163" name="Прямая соединительная линия 273"/>
        <xdr:cNvSpPr/>
      </xdr:nvSpPr>
      <xdr:spPr>
        <a:xfrm>
          <a:off x="10601640" y="851544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66600</xdr:colOff>
      <xdr:row>415</xdr:row>
      <xdr:rowOff>29160</xdr:rowOff>
    </xdr:from>
    <xdr:to>
      <xdr:col>8</xdr:col>
      <xdr:colOff>66600</xdr:colOff>
      <xdr:row>415</xdr:row>
      <xdr:rowOff>133920</xdr:rowOff>
    </xdr:to>
    <xdr:sp>
      <xdr:nvSpPr>
        <xdr:cNvPr id="164" name="Прямая соединительная линия 274"/>
        <xdr:cNvSpPr/>
      </xdr:nvSpPr>
      <xdr:spPr>
        <a:xfrm>
          <a:off x="7562520" y="853452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415</xdr:row>
      <xdr:rowOff>10080</xdr:rowOff>
    </xdr:from>
    <xdr:to>
      <xdr:col>16</xdr:col>
      <xdr:colOff>85680</xdr:colOff>
      <xdr:row>415</xdr:row>
      <xdr:rowOff>114840</xdr:rowOff>
    </xdr:to>
    <xdr:sp>
      <xdr:nvSpPr>
        <xdr:cNvPr id="165" name="Прямая соединительная линия 275"/>
        <xdr:cNvSpPr/>
      </xdr:nvSpPr>
      <xdr:spPr>
        <a:xfrm>
          <a:off x="9115920" y="8515440"/>
          <a:ext cx="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66960</xdr:colOff>
      <xdr:row>415</xdr:row>
      <xdr:rowOff>19440</xdr:rowOff>
    </xdr:from>
    <xdr:to>
      <xdr:col>22</xdr:col>
      <xdr:colOff>181080</xdr:colOff>
      <xdr:row>415</xdr:row>
      <xdr:rowOff>29160</xdr:rowOff>
    </xdr:to>
    <xdr:sp>
      <xdr:nvSpPr>
        <xdr:cNvPr id="166" name="Прямая соединительная линия 277"/>
        <xdr:cNvSpPr/>
      </xdr:nvSpPr>
      <xdr:spPr>
        <a:xfrm flipH="1" flipV="1">
          <a:off x="7562880" y="8524800"/>
          <a:ext cx="303912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86400</xdr:colOff>
      <xdr:row>415</xdr:row>
      <xdr:rowOff>57600</xdr:rowOff>
    </xdr:from>
    <xdr:to>
      <xdr:col>30</xdr:col>
      <xdr:colOff>114840</xdr:colOff>
      <xdr:row>415</xdr:row>
      <xdr:rowOff>124200</xdr:rowOff>
    </xdr:to>
    <xdr:sp>
      <xdr:nvSpPr>
        <xdr:cNvPr id="167" name="Прямая соединительная линия 278"/>
        <xdr:cNvSpPr/>
      </xdr:nvSpPr>
      <xdr:spPr>
        <a:xfrm flipH="1" flipV="1">
          <a:off x="9116280" y="8562960"/>
          <a:ext cx="29530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47520</xdr:colOff>
      <xdr:row>415</xdr:row>
      <xdr:rowOff>38160</xdr:rowOff>
    </xdr:from>
    <xdr:to>
      <xdr:col>8</xdr:col>
      <xdr:colOff>65880</xdr:colOff>
      <xdr:row>415</xdr:row>
      <xdr:rowOff>38520</xdr:rowOff>
    </xdr:to>
    <xdr:sp>
      <xdr:nvSpPr>
        <xdr:cNvPr id="168" name="Соединительная линия уступом 282"/>
        <xdr:cNvSpPr/>
      </xdr:nvSpPr>
      <xdr:spPr>
        <a:xfrm>
          <a:off x="6582240" y="8543880"/>
          <a:ext cx="97956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38160</xdr:colOff>
      <xdr:row>415</xdr:row>
      <xdr:rowOff>76680</xdr:rowOff>
    </xdr:from>
    <xdr:to>
      <xdr:col>23</xdr:col>
      <xdr:colOff>19080</xdr:colOff>
      <xdr:row>415</xdr:row>
      <xdr:rowOff>95760</xdr:rowOff>
    </xdr:to>
    <xdr:sp>
      <xdr:nvSpPr>
        <xdr:cNvPr id="169" name="Прямая соединительная линия 285"/>
        <xdr:cNvSpPr/>
      </xdr:nvSpPr>
      <xdr:spPr>
        <a:xfrm flipH="1" flipV="1">
          <a:off x="8300880" y="8582040"/>
          <a:ext cx="233028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162000</xdr:colOff>
      <xdr:row>415</xdr:row>
      <xdr:rowOff>9360</xdr:rowOff>
    </xdr:from>
    <xdr:to>
      <xdr:col>28</xdr:col>
      <xdr:colOff>162000</xdr:colOff>
      <xdr:row>415</xdr:row>
      <xdr:rowOff>18720</xdr:rowOff>
    </xdr:to>
    <xdr:sp>
      <xdr:nvSpPr>
        <xdr:cNvPr id="170" name="Прямая соединительная линия 286"/>
        <xdr:cNvSpPr/>
      </xdr:nvSpPr>
      <xdr:spPr>
        <a:xfrm flipV="1">
          <a:off x="10582920" y="8515080"/>
          <a:ext cx="11505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18720</xdr:colOff>
      <xdr:row>415</xdr:row>
      <xdr:rowOff>66600</xdr:rowOff>
    </xdr:from>
    <xdr:to>
      <xdr:col>28</xdr:col>
      <xdr:colOff>171360</xdr:colOff>
      <xdr:row>415</xdr:row>
      <xdr:rowOff>114120</xdr:rowOff>
    </xdr:to>
    <xdr:sp>
      <xdr:nvSpPr>
        <xdr:cNvPr id="171" name="Прямая соединительная линия 287"/>
        <xdr:cNvSpPr/>
      </xdr:nvSpPr>
      <xdr:spPr>
        <a:xfrm flipV="1">
          <a:off x="10631160" y="8572320"/>
          <a:ext cx="1111680" cy="475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39</xdr:col>
      <xdr:colOff>109080</xdr:colOff>
      <xdr:row>416</xdr:row>
      <xdr:rowOff>66960</xdr:rowOff>
    </xdr:from>
    <xdr:to>
      <xdr:col>44</xdr:col>
      <xdr:colOff>217440</xdr:colOff>
      <xdr:row>457</xdr:row>
      <xdr:rowOff>10440</xdr:rowOff>
    </xdr:to>
    <xdr:sp>
      <xdr:nvSpPr>
        <xdr:cNvPr id="172" name="Соединительная линия уступом 290"/>
        <xdr:cNvSpPr/>
      </xdr:nvSpPr>
      <xdr:spPr>
        <a:xfrm flipV="1" rot="10800000">
          <a:off x="12852000" y="8629200"/>
          <a:ext cx="1067400" cy="1231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29</xdr:col>
      <xdr:colOff>20160</xdr:colOff>
      <xdr:row>415</xdr:row>
      <xdr:rowOff>360</xdr:rowOff>
    </xdr:from>
    <xdr:to>
      <xdr:col>33</xdr:col>
      <xdr:colOff>162360</xdr:colOff>
      <xdr:row>415</xdr:row>
      <xdr:rowOff>720</xdr:rowOff>
    </xdr:to>
    <xdr:sp>
      <xdr:nvSpPr>
        <xdr:cNvPr id="173" name="Соединительная линия уступом 291"/>
        <xdr:cNvSpPr/>
      </xdr:nvSpPr>
      <xdr:spPr>
        <a:xfrm rot="10800000">
          <a:off x="11783160" y="8505720"/>
          <a:ext cx="90900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39</xdr:col>
      <xdr:colOff>1440</xdr:colOff>
      <xdr:row>415</xdr:row>
      <xdr:rowOff>151560</xdr:rowOff>
    </xdr:from>
    <xdr:to>
      <xdr:col>44</xdr:col>
      <xdr:colOff>66600</xdr:colOff>
      <xdr:row>416</xdr:row>
      <xdr:rowOff>28440</xdr:rowOff>
    </xdr:to>
    <xdr:sp>
      <xdr:nvSpPr>
        <xdr:cNvPr id="174" name="Соединительная линия уступом 292"/>
        <xdr:cNvSpPr/>
      </xdr:nvSpPr>
      <xdr:spPr>
        <a:xfrm flipV="1" rot="10800000">
          <a:off x="12787560" y="8600760"/>
          <a:ext cx="1024200" cy="565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37</xdr:col>
      <xdr:colOff>166680</xdr:colOff>
      <xdr:row>416</xdr:row>
      <xdr:rowOff>143280</xdr:rowOff>
    </xdr:from>
    <xdr:to>
      <xdr:col>42</xdr:col>
      <xdr:colOff>118800</xdr:colOff>
      <xdr:row>457</xdr:row>
      <xdr:rowOff>124920</xdr:rowOff>
    </xdr:to>
    <xdr:sp>
      <xdr:nvSpPr>
        <xdr:cNvPr id="175" name="Соединительная линия уступом 294"/>
        <xdr:cNvSpPr/>
      </xdr:nvSpPr>
      <xdr:spPr>
        <a:xfrm flipV="1" rot="10800000">
          <a:off x="12682800" y="8667360"/>
          <a:ext cx="910800" cy="1612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74160</xdr:colOff>
      <xdr:row>352</xdr:row>
      <xdr:rowOff>56880</xdr:rowOff>
    </xdr:from>
    <xdr:to>
      <xdr:col>20</xdr:col>
      <xdr:colOff>85680</xdr:colOff>
      <xdr:row>352</xdr:row>
      <xdr:rowOff>85680</xdr:rowOff>
    </xdr:to>
    <xdr:sp>
      <xdr:nvSpPr>
        <xdr:cNvPr id="176" name="Прямая соединительная линия 295"/>
        <xdr:cNvSpPr/>
      </xdr:nvSpPr>
      <xdr:spPr>
        <a:xfrm flipH="1">
          <a:off x="9295920" y="8202960"/>
          <a:ext cx="71640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343080</xdr:colOff>
      <xdr:row>236</xdr:row>
      <xdr:rowOff>47520</xdr:rowOff>
    </xdr:from>
    <xdr:to>
      <xdr:col>8</xdr:col>
      <xdr:colOff>37440</xdr:colOff>
      <xdr:row>236</xdr:row>
      <xdr:rowOff>160920</xdr:rowOff>
    </xdr:to>
    <xdr:sp>
      <xdr:nvSpPr>
        <xdr:cNvPr id="177" name="Соединительная линия уступом 296"/>
        <xdr:cNvSpPr/>
      </xdr:nvSpPr>
      <xdr:spPr>
        <a:xfrm>
          <a:off x="6204600" y="7115400"/>
          <a:ext cx="1328760" cy="1134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314280</xdr:colOff>
      <xdr:row>272</xdr:row>
      <xdr:rowOff>38160</xdr:rowOff>
    </xdr:from>
    <xdr:to>
      <xdr:col>8</xdr:col>
      <xdr:colOff>75600</xdr:colOff>
      <xdr:row>272</xdr:row>
      <xdr:rowOff>151560</xdr:rowOff>
    </xdr:to>
    <xdr:sp>
      <xdr:nvSpPr>
        <xdr:cNvPr id="178" name="Соединительная линия уступом 297"/>
        <xdr:cNvSpPr/>
      </xdr:nvSpPr>
      <xdr:spPr>
        <a:xfrm>
          <a:off x="5502600" y="7465680"/>
          <a:ext cx="2068920" cy="1134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124200</xdr:colOff>
      <xdr:row>352</xdr:row>
      <xdr:rowOff>48240</xdr:rowOff>
    </xdr:from>
    <xdr:to>
      <xdr:col>12</xdr:col>
      <xdr:colOff>124200</xdr:colOff>
      <xdr:row>352</xdr:row>
      <xdr:rowOff>83160</xdr:rowOff>
    </xdr:to>
    <xdr:sp>
      <xdr:nvSpPr>
        <xdr:cNvPr id="179" name="Прямая соединительная линия 298"/>
        <xdr:cNvSpPr/>
      </xdr:nvSpPr>
      <xdr:spPr>
        <a:xfrm flipH="1">
          <a:off x="8195040" y="8193960"/>
          <a:ext cx="191880" cy="34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352</xdr:row>
      <xdr:rowOff>19440</xdr:rowOff>
    </xdr:from>
    <xdr:to>
      <xdr:col>17</xdr:col>
      <xdr:colOff>85680</xdr:colOff>
      <xdr:row>352</xdr:row>
      <xdr:rowOff>114840</xdr:rowOff>
    </xdr:to>
    <xdr:sp>
      <xdr:nvSpPr>
        <xdr:cNvPr id="180" name="Прямая соединительная линия 299"/>
        <xdr:cNvSpPr/>
      </xdr:nvSpPr>
      <xdr:spPr>
        <a:xfrm>
          <a:off x="9307440" y="8165160"/>
          <a:ext cx="0" cy="95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171720</xdr:colOff>
      <xdr:row>352</xdr:row>
      <xdr:rowOff>85680</xdr:rowOff>
    </xdr:from>
    <xdr:to>
      <xdr:col>17</xdr:col>
      <xdr:colOff>162000</xdr:colOff>
      <xdr:row>352</xdr:row>
      <xdr:rowOff>142560</xdr:rowOff>
    </xdr:to>
    <xdr:sp>
      <xdr:nvSpPr>
        <xdr:cNvPr id="181" name="Прямая соединительная линия 300"/>
        <xdr:cNvSpPr/>
      </xdr:nvSpPr>
      <xdr:spPr>
        <a:xfrm flipH="1" flipV="1">
          <a:off x="8434800" y="8231760"/>
          <a:ext cx="948960" cy="56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153000</xdr:colOff>
      <xdr:row>352</xdr:row>
      <xdr:rowOff>95760</xdr:rowOff>
    </xdr:from>
    <xdr:to>
      <xdr:col>13</xdr:col>
      <xdr:colOff>10080</xdr:colOff>
      <xdr:row>352</xdr:row>
      <xdr:rowOff>124200</xdr:rowOff>
    </xdr:to>
    <xdr:sp>
      <xdr:nvSpPr>
        <xdr:cNvPr id="182" name="Прямая соединительная линия 301"/>
        <xdr:cNvSpPr/>
      </xdr:nvSpPr>
      <xdr:spPr>
        <a:xfrm flipH="1">
          <a:off x="7648560" y="8241480"/>
          <a:ext cx="81612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9360</xdr:colOff>
      <xdr:row>352</xdr:row>
      <xdr:rowOff>66600</xdr:rowOff>
    </xdr:from>
    <xdr:to>
      <xdr:col>9</xdr:col>
      <xdr:colOff>9360</xdr:colOff>
      <xdr:row>352</xdr:row>
      <xdr:rowOff>75960</xdr:rowOff>
    </xdr:to>
    <xdr:sp>
      <xdr:nvSpPr>
        <xdr:cNvPr id="183" name="Прямая соединительная линия 302"/>
        <xdr:cNvSpPr/>
      </xdr:nvSpPr>
      <xdr:spPr>
        <a:xfrm>
          <a:off x="7697160" y="821268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295200</xdr:colOff>
      <xdr:row>352</xdr:row>
      <xdr:rowOff>47520</xdr:rowOff>
    </xdr:from>
    <xdr:to>
      <xdr:col>8</xdr:col>
      <xdr:colOff>8640</xdr:colOff>
      <xdr:row>352</xdr:row>
      <xdr:rowOff>113400</xdr:rowOff>
    </xdr:to>
    <xdr:sp>
      <xdr:nvSpPr>
        <xdr:cNvPr id="184" name="Соединительная линия уступом 303"/>
        <xdr:cNvSpPr/>
      </xdr:nvSpPr>
      <xdr:spPr>
        <a:xfrm>
          <a:off x="5483520" y="8193600"/>
          <a:ext cx="2021040" cy="65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228960</xdr:colOff>
      <xdr:row>352</xdr:row>
      <xdr:rowOff>38160</xdr:rowOff>
    </xdr:from>
    <xdr:to>
      <xdr:col>8</xdr:col>
      <xdr:colOff>191880</xdr:colOff>
      <xdr:row>352</xdr:row>
      <xdr:rowOff>151920</xdr:rowOff>
    </xdr:to>
    <xdr:sp>
      <xdr:nvSpPr>
        <xdr:cNvPr id="185" name="Соединительная линия уступом 304"/>
        <xdr:cNvSpPr/>
      </xdr:nvSpPr>
      <xdr:spPr>
        <a:xfrm flipV="1">
          <a:off x="5416920" y="8184240"/>
          <a:ext cx="2270520" cy="1137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75960</xdr:colOff>
      <xdr:row>311</xdr:row>
      <xdr:rowOff>10080</xdr:rowOff>
    </xdr:from>
    <xdr:to>
      <xdr:col>8</xdr:col>
      <xdr:colOff>171360</xdr:colOff>
      <xdr:row>311</xdr:row>
      <xdr:rowOff>29160</xdr:rowOff>
    </xdr:to>
    <xdr:sp>
      <xdr:nvSpPr>
        <xdr:cNvPr id="186" name="Прямая соединительная линия 306"/>
        <xdr:cNvSpPr/>
      </xdr:nvSpPr>
      <xdr:spPr>
        <a:xfrm flipV="1">
          <a:off x="7258320" y="7796520"/>
          <a:ext cx="40896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10080</xdr:colOff>
      <xdr:row>311</xdr:row>
      <xdr:rowOff>720</xdr:rowOff>
    </xdr:from>
    <xdr:to>
      <xdr:col>19</xdr:col>
      <xdr:colOff>48240</xdr:colOff>
      <xdr:row>311</xdr:row>
      <xdr:rowOff>76680</xdr:rowOff>
    </xdr:to>
    <xdr:sp>
      <xdr:nvSpPr>
        <xdr:cNvPr id="187" name="Прямая соединительная линия 307"/>
        <xdr:cNvSpPr/>
      </xdr:nvSpPr>
      <xdr:spPr>
        <a:xfrm flipH="1" flipV="1">
          <a:off x="7697520" y="7787160"/>
          <a:ext cx="208548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133560</xdr:colOff>
      <xdr:row>457</xdr:row>
      <xdr:rowOff>10080</xdr:rowOff>
    </xdr:from>
    <xdr:to>
      <xdr:col>20</xdr:col>
      <xdr:colOff>219240</xdr:colOff>
      <xdr:row>457</xdr:row>
      <xdr:rowOff>76680</xdr:rowOff>
    </xdr:to>
    <xdr:sp>
      <xdr:nvSpPr>
        <xdr:cNvPr id="188" name="Прямая соединительная линия 309"/>
        <xdr:cNvSpPr/>
      </xdr:nvSpPr>
      <xdr:spPr>
        <a:xfrm flipH="1" flipV="1">
          <a:off x="8396280" y="8874720"/>
          <a:ext cx="174924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142920</xdr:colOff>
      <xdr:row>457</xdr:row>
      <xdr:rowOff>76680</xdr:rowOff>
    </xdr:from>
    <xdr:to>
      <xdr:col>32</xdr:col>
      <xdr:colOff>133560</xdr:colOff>
      <xdr:row>457</xdr:row>
      <xdr:rowOff>133920</xdr:rowOff>
    </xdr:to>
    <xdr:sp>
      <xdr:nvSpPr>
        <xdr:cNvPr id="189" name="Прямая соединительная линия 311"/>
        <xdr:cNvSpPr/>
      </xdr:nvSpPr>
      <xdr:spPr>
        <a:xfrm flipV="1">
          <a:off x="11714040" y="8941320"/>
          <a:ext cx="75780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123480</xdr:colOff>
      <xdr:row>457</xdr:row>
      <xdr:rowOff>104760</xdr:rowOff>
    </xdr:from>
    <xdr:to>
      <xdr:col>15</xdr:col>
      <xdr:colOff>9360</xdr:colOff>
      <xdr:row>457</xdr:row>
      <xdr:rowOff>104760</xdr:rowOff>
    </xdr:to>
    <xdr:sp>
      <xdr:nvSpPr>
        <xdr:cNvPr id="190" name="Прямая соединительная линия 313"/>
        <xdr:cNvSpPr/>
      </xdr:nvSpPr>
      <xdr:spPr>
        <a:xfrm>
          <a:off x="8194680" y="8969760"/>
          <a:ext cx="6530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123840</xdr:colOff>
      <xdr:row>457</xdr:row>
      <xdr:rowOff>95760</xdr:rowOff>
    </xdr:from>
    <xdr:to>
      <xdr:col>23</xdr:col>
      <xdr:colOff>55080</xdr:colOff>
      <xdr:row>457</xdr:row>
      <xdr:rowOff>105480</xdr:rowOff>
    </xdr:to>
    <xdr:sp>
      <xdr:nvSpPr>
        <xdr:cNvPr id="191" name="Прямая соединительная линия 314"/>
        <xdr:cNvSpPr/>
      </xdr:nvSpPr>
      <xdr:spPr>
        <a:xfrm flipV="1">
          <a:off x="8386560" y="8960400"/>
          <a:ext cx="228060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123840</xdr:colOff>
      <xdr:row>457</xdr:row>
      <xdr:rowOff>10080</xdr:rowOff>
    </xdr:from>
    <xdr:to>
      <xdr:col>32</xdr:col>
      <xdr:colOff>114480</xdr:colOff>
      <xdr:row>457</xdr:row>
      <xdr:rowOff>67320</xdr:rowOff>
    </xdr:to>
    <xdr:sp>
      <xdr:nvSpPr>
        <xdr:cNvPr id="192" name="Прямая соединительная линия 317"/>
        <xdr:cNvSpPr/>
      </xdr:nvSpPr>
      <xdr:spPr>
        <a:xfrm flipV="1">
          <a:off x="11694960" y="8874720"/>
          <a:ext cx="75780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143280</xdr:colOff>
      <xdr:row>457</xdr:row>
      <xdr:rowOff>57600</xdr:rowOff>
    </xdr:from>
    <xdr:to>
      <xdr:col>12</xdr:col>
      <xdr:colOff>143280</xdr:colOff>
      <xdr:row>457</xdr:row>
      <xdr:rowOff>124200</xdr:rowOff>
    </xdr:to>
    <xdr:sp>
      <xdr:nvSpPr>
        <xdr:cNvPr id="193" name="Прямая соединительная линия 318"/>
        <xdr:cNvSpPr/>
      </xdr:nvSpPr>
      <xdr:spPr>
        <a:xfrm flipH="1" flipV="1">
          <a:off x="8214120" y="8922240"/>
          <a:ext cx="1918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218880</xdr:colOff>
      <xdr:row>457</xdr:row>
      <xdr:rowOff>75960</xdr:rowOff>
    </xdr:from>
    <xdr:to>
      <xdr:col>23</xdr:col>
      <xdr:colOff>37800</xdr:colOff>
      <xdr:row>457</xdr:row>
      <xdr:rowOff>152280</xdr:rowOff>
    </xdr:to>
    <xdr:sp>
      <xdr:nvSpPr>
        <xdr:cNvPr id="194" name="Прямая соединительная линия 324"/>
        <xdr:cNvSpPr/>
      </xdr:nvSpPr>
      <xdr:spPr>
        <a:xfrm flipV="1">
          <a:off x="10145520" y="8940960"/>
          <a:ext cx="50472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133200</xdr:colOff>
      <xdr:row>457</xdr:row>
      <xdr:rowOff>56880</xdr:rowOff>
    </xdr:from>
    <xdr:to>
      <xdr:col>15</xdr:col>
      <xdr:colOff>18720</xdr:colOff>
      <xdr:row>457</xdr:row>
      <xdr:rowOff>56880</xdr:rowOff>
    </xdr:to>
    <xdr:sp>
      <xdr:nvSpPr>
        <xdr:cNvPr id="195" name="Прямая соединительная линия 329"/>
        <xdr:cNvSpPr/>
      </xdr:nvSpPr>
      <xdr:spPr>
        <a:xfrm>
          <a:off x="8204400" y="8921880"/>
          <a:ext cx="65268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28440</xdr:colOff>
      <xdr:row>457</xdr:row>
      <xdr:rowOff>29160</xdr:rowOff>
    </xdr:from>
    <xdr:to>
      <xdr:col>23</xdr:col>
      <xdr:colOff>28440</xdr:colOff>
      <xdr:row>457</xdr:row>
      <xdr:rowOff>133920</xdr:rowOff>
    </xdr:to>
    <xdr:sp>
      <xdr:nvSpPr>
        <xdr:cNvPr id="196" name="Прямая соединительная линия 331"/>
        <xdr:cNvSpPr/>
      </xdr:nvSpPr>
      <xdr:spPr>
        <a:xfrm>
          <a:off x="10640880" y="8893800"/>
          <a:ext cx="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457</xdr:row>
      <xdr:rowOff>0</xdr:rowOff>
    </xdr:from>
    <xdr:to>
      <xdr:col>13</xdr:col>
      <xdr:colOff>18720</xdr:colOff>
      <xdr:row>457</xdr:row>
      <xdr:rowOff>9360</xdr:rowOff>
    </xdr:to>
    <xdr:sp>
      <xdr:nvSpPr>
        <xdr:cNvPr id="197" name="Прямая соединительная линия 336"/>
        <xdr:cNvSpPr/>
      </xdr:nvSpPr>
      <xdr:spPr>
        <a:xfrm>
          <a:off x="8473680" y="886500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152280</xdr:colOff>
      <xdr:row>457</xdr:row>
      <xdr:rowOff>9360</xdr:rowOff>
    </xdr:from>
    <xdr:to>
      <xdr:col>16</xdr:col>
      <xdr:colOff>26280</xdr:colOff>
      <xdr:row>457</xdr:row>
      <xdr:rowOff>9360</xdr:rowOff>
    </xdr:to>
    <xdr:sp>
      <xdr:nvSpPr>
        <xdr:cNvPr id="198" name="Прямая соединительная линия 337"/>
        <xdr:cNvSpPr/>
      </xdr:nvSpPr>
      <xdr:spPr>
        <a:xfrm>
          <a:off x="8415360" y="8874360"/>
          <a:ext cx="6411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360</xdr:colOff>
      <xdr:row>457</xdr:row>
      <xdr:rowOff>47520</xdr:rowOff>
    </xdr:from>
    <xdr:to>
      <xdr:col>20</xdr:col>
      <xdr:colOff>276480</xdr:colOff>
      <xdr:row>457</xdr:row>
      <xdr:rowOff>85680</xdr:rowOff>
    </xdr:to>
    <xdr:sp>
      <xdr:nvSpPr>
        <xdr:cNvPr id="199" name="Прямая соединительная линия 338"/>
        <xdr:cNvSpPr/>
      </xdr:nvSpPr>
      <xdr:spPr>
        <a:xfrm flipH="1" flipV="1">
          <a:off x="8646480" y="8912520"/>
          <a:ext cx="155628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38160</xdr:colOff>
      <xdr:row>457</xdr:row>
      <xdr:rowOff>38520</xdr:rowOff>
    </xdr:from>
    <xdr:to>
      <xdr:col>21</xdr:col>
      <xdr:colOff>28800</xdr:colOff>
      <xdr:row>457</xdr:row>
      <xdr:rowOff>57600</xdr:rowOff>
    </xdr:to>
    <xdr:sp>
      <xdr:nvSpPr>
        <xdr:cNvPr id="200" name="Прямая соединительная линия 339"/>
        <xdr:cNvSpPr/>
      </xdr:nvSpPr>
      <xdr:spPr>
        <a:xfrm flipH="1" flipV="1">
          <a:off x="8684640" y="8903160"/>
          <a:ext cx="157320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37800</xdr:colOff>
      <xdr:row>457</xdr:row>
      <xdr:rowOff>9360</xdr:rowOff>
    </xdr:from>
    <xdr:to>
      <xdr:col>31</xdr:col>
      <xdr:colOff>95040</xdr:colOff>
      <xdr:row>457</xdr:row>
      <xdr:rowOff>9360</xdr:rowOff>
    </xdr:to>
    <xdr:sp>
      <xdr:nvSpPr>
        <xdr:cNvPr id="201" name="Прямая соединительная линия 342"/>
        <xdr:cNvSpPr/>
      </xdr:nvSpPr>
      <xdr:spPr>
        <a:xfrm>
          <a:off x="11609280" y="8874360"/>
          <a:ext cx="632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9360</xdr:colOff>
      <xdr:row>457</xdr:row>
      <xdr:rowOff>9360</xdr:rowOff>
    </xdr:from>
    <xdr:to>
      <xdr:col>31</xdr:col>
      <xdr:colOff>66600</xdr:colOff>
      <xdr:row>457</xdr:row>
      <xdr:rowOff>9360</xdr:rowOff>
    </xdr:to>
    <xdr:sp>
      <xdr:nvSpPr>
        <xdr:cNvPr id="202" name="Прямая соединительная линия 343"/>
        <xdr:cNvSpPr/>
      </xdr:nvSpPr>
      <xdr:spPr>
        <a:xfrm>
          <a:off x="11580840" y="8874360"/>
          <a:ext cx="63252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457</xdr:row>
      <xdr:rowOff>114120</xdr:rowOff>
    </xdr:from>
    <xdr:to>
      <xdr:col>15</xdr:col>
      <xdr:colOff>171360</xdr:colOff>
      <xdr:row>457</xdr:row>
      <xdr:rowOff>114120</xdr:rowOff>
    </xdr:to>
    <xdr:sp>
      <xdr:nvSpPr>
        <xdr:cNvPr id="203" name="Прямая соединительная линия 347"/>
        <xdr:cNvSpPr/>
      </xdr:nvSpPr>
      <xdr:spPr>
        <a:xfrm>
          <a:off x="8473680" y="8979120"/>
          <a:ext cx="53604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76320</xdr:colOff>
      <xdr:row>457</xdr:row>
      <xdr:rowOff>66600</xdr:rowOff>
    </xdr:from>
    <xdr:to>
      <xdr:col>12</xdr:col>
      <xdr:colOff>171000</xdr:colOff>
      <xdr:row>457</xdr:row>
      <xdr:rowOff>94320</xdr:rowOff>
    </xdr:to>
    <xdr:sp>
      <xdr:nvSpPr>
        <xdr:cNvPr id="204" name="Соединительная линия уступом 351"/>
        <xdr:cNvSpPr/>
      </xdr:nvSpPr>
      <xdr:spPr>
        <a:xfrm>
          <a:off x="6611040" y="8931600"/>
          <a:ext cx="1823040" cy="27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57240</xdr:colOff>
      <xdr:row>457</xdr:row>
      <xdr:rowOff>28440</xdr:rowOff>
    </xdr:from>
    <xdr:to>
      <xdr:col>13</xdr:col>
      <xdr:colOff>28080</xdr:colOff>
      <xdr:row>457</xdr:row>
      <xdr:rowOff>94320</xdr:rowOff>
    </xdr:to>
    <xdr:sp>
      <xdr:nvSpPr>
        <xdr:cNvPr id="205" name="Соединительная линия уступом 353"/>
        <xdr:cNvSpPr/>
      </xdr:nvSpPr>
      <xdr:spPr>
        <a:xfrm>
          <a:off x="6591960" y="8893440"/>
          <a:ext cx="1891080" cy="65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47520</xdr:colOff>
      <xdr:row>457</xdr:row>
      <xdr:rowOff>47520</xdr:rowOff>
    </xdr:from>
    <xdr:to>
      <xdr:col>13</xdr:col>
      <xdr:colOff>142200</xdr:colOff>
      <xdr:row>457</xdr:row>
      <xdr:rowOff>123120</xdr:rowOff>
    </xdr:to>
    <xdr:sp>
      <xdr:nvSpPr>
        <xdr:cNvPr id="206" name="Соединительная линия уступом 354"/>
        <xdr:cNvSpPr/>
      </xdr:nvSpPr>
      <xdr:spPr>
        <a:xfrm>
          <a:off x="6582240" y="8912520"/>
          <a:ext cx="2014920" cy="756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38160</xdr:colOff>
      <xdr:row>457</xdr:row>
      <xdr:rowOff>28440</xdr:rowOff>
    </xdr:from>
    <xdr:to>
      <xdr:col>11</xdr:col>
      <xdr:colOff>123120</xdr:colOff>
      <xdr:row>457</xdr:row>
      <xdr:rowOff>94320</xdr:rowOff>
    </xdr:to>
    <xdr:sp>
      <xdr:nvSpPr>
        <xdr:cNvPr id="207" name="Соединительная линия уступом 355"/>
        <xdr:cNvSpPr/>
      </xdr:nvSpPr>
      <xdr:spPr>
        <a:xfrm>
          <a:off x="6572880" y="8893440"/>
          <a:ext cx="1621440" cy="65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272</xdr:row>
      <xdr:rowOff>57600</xdr:rowOff>
    </xdr:from>
    <xdr:to>
      <xdr:col>17</xdr:col>
      <xdr:colOff>0</xdr:colOff>
      <xdr:row>272</xdr:row>
      <xdr:rowOff>105480</xdr:rowOff>
    </xdr:to>
    <xdr:sp>
      <xdr:nvSpPr>
        <xdr:cNvPr id="208" name="Прямая соединительная линия 359"/>
        <xdr:cNvSpPr/>
      </xdr:nvSpPr>
      <xdr:spPr>
        <a:xfrm>
          <a:off x="9221760" y="7484760"/>
          <a:ext cx="0" cy="478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55440</xdr:colOff>
      <xdr:row>272</xdr:row>
      <xdr:rowOff>28440</xdr:rowOff>
    </xdr:from>
    <xdr:to>
      <xdr:col>24</xdr:col>
      <xdr:colOff>9720</xdr:colOff>
      <xdr:row>272</xdr:row>
      <xdr:rowOff>104760</xdr:rowOff>
    </xdr:to>
    <xdr:sp>
      <xdr:nvSpPr>
        <xdr:cNvPr id="209" name="Прямая соединительная линия 360"/>
        <xdr:cNvSpPr/>
      </xdr:nvSpPr>
      <xdr:spPr>
        <a:xfrm flipH="1">
          <a:off x="9276840" y="7455960"/>
          <a:ext cx="153684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272</xdr:row>
      <xdr:rowOff>720</xdr:rowOff>
    </xdr:from>
    <xdr:to>
      <xdr:col>33</xdr:col>
      <xdr:colOff>56880</xdr:colOff>
      <xdr:row>272</xdr:row>
      <xdr:rowOff>67320</xdr:rowOff>
    </xdr:to>
    <xdr:sp>
      <xdr:nvSpPr>
        <xdr:cNvPr id="210" name="Прямая соединительная линия 362"/>
        <xdr:cNvSpPr/>
      </xdr:nvSpPr>
      <xdr:spPr>
        <a:xfrm flipH="1" flipV="1">
          <a:off x="10804320" y="7427880"/>
          <a:ext cx="178272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55440</xdr:colOff>
      <xdr:row>272</xdr:row>
      <xdr:rowOff>86400</xdr:rowOff>
    </xdr:from>
    <xdr:to>
      <xdr:col>19</xdr:col>
      <xdr:colOff>38160</xdr:colOff>
      <xdr:row>272</xdr:row>
      <xdr:rowOff>114840</xdr:rowOff>
    </xdr:to>
    <xdr:sp>
      <xdr:nvSpPr>
        <xdr:cNvPr id="211" name="Прямая соединительная линия 363"/>
        <xdr:cNvSpPr/>
      </xdr:nvSpPr>
      <xdr:spPr>
        <a:xfrm flipH="1" flipV="1">
          <a:off x="9277200" y="7513560"/>
          <a:ext cx="49608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10080</xdr:colOff>
      <xdr:row>272</xdr:row>
      <xdr:rowOff>9360</xdr:rowOff>
    </xdr:from>
    <xdr:to>
      <xdr:col>24</xdr:col>
      <xdr:colOff>19440</xdr:colOff>
      <xdr:row>272</xdr:row>
      <xdr:rowOff>18720</xdr:rowOff>
    </xdr:to>
    <xdr:sp>
      <xdr:nvSpPr>
        <xdr:cNvPr id="212" name="Прямая соединительная линия 364"/>
        <xdr:cNvSpPr/>
      </xdr:nvSpPr>
      <xdr:spPr>
        <a:xfrm flipH="1">
          <a:off x="10430640" y="7436880"/>
          <a:ext cx="39276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66600</xdr:colOff>
      <xdr:row>272</xdr:row>
      <xdr:rowOff>47520</xdr:rowOff>
    </xdr:from>
    <xdr:to>
      <xdr:col>16</xdr:col>
      <xdr:colOff>151560</xdr:colOff>
      <xdr:row>272</xdr:row>
      <xdr:rowOff>113400</xdr:rowOff>
    </xdr:to>
    <xdr:sp>
      <xdr:nvSpPr>
        <xdr:cNvPr id="213" name="Соединительная линия уступом 365"/>
        <xdr:cNvSpPr/>
      </xdr:nvSpPr>
      <xdr:spPr>
        <a:xfrm>
          <a:off x="7248960" y="7475040"/>
          <a:ext cx="1932840" cy="65880"/>
        </a:xfrm>
        <a:prstGeom prst="bentConnector3">
          <a:avLst>
            <a:gd name="adj1" fmla="val 35938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34</xdr:col>
      <xdr:colOff>114120</xdr:colOff>
      <xdr:row>311</xdr:row>
      <xdr:rowOff>133920</xdr:rowOff>
    </xdr:from>
    <xdr:to>
      <xdr:col>34</xdr:col>
      <xdr:colOff>114120</xdr:colOff>
      <xdr:row>311</xdr:row>
      <xdr:rowOff>153000</xdr:rowOff>
    </xdr:to>
    <xdr:sp>
      <xdr:nvSpPr>
        <xdr:cNvPr id="214" name="Прямая соединительная линия 366"/>
        <xdr:cNvSpPr/>
      </xdr:nvSpPr>
      <xdr:spPr>
        <a:xfrm>
          <a:off x="12965760" y="792036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0</xdr:colOff>
      <xdr:row>311</xdr:row>
      <xdr:rowOff>0</xdr:rowOff>
    </xdr:from>
    <xdr:to>
      <xdr:col>21</xdr:col>
      <xdr:colOff>0</xdr:colOff>
      <xdr:row>311</xdr:row>
      <xdr:rowOff>18720</xdr:rowOff>
    </xdr:to>
    <xdr:sp>
      <xdr:nvSpPr>
        <xdr:cNvPr id="215" name="Прямая соединительная линия 367"/>
        <xdr:cNvSpPr/>
      </xdr:nvSpPr>
      <xdr:spPr>
        <a:xfrm>
          <a:off x="10229040" y="7786800"/>
          <a:ext cx="0" cy="18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56880</xdr:colOff>
      <xdr:row>311</xdr:row>
      <xdr:rowOff>0</xdr:rowOff>
    </xdr:from>
    <xdr:to>
      <xdr:col>7</xdr:col>
      <xdr:colOff>56880</xdr:colOff>
      <xdr:row>311</xdr:row>
      <xdr:rowOff>18720</xdr:rowOff>
    </xdr:to>
    <xdr:sp>
      <xdr:nvSpPr>
        <xdr:cNvPr id="216" name="Прямая соединительная линия 368"/>
        <xdr:cNvSpPr/>
      </xdr:nvSpPr>
      <xdr:spPr>
        <a:xfrm>
          <a:off x="7239240" y="7786800"/>
          <a:ext cx="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37800</xdr:colOff>
      <xdr:row>311</xdr:row>
      <xdr:rowOff>29160</xdr:rowOff>
    </xdr:from>
    <xdr:to>
      <xdr:col>19</xdr:col>
      <xdr:colOff>37800</xdr:colOff>
      <xdr:row>311</xdr:row>
      <xdr:rowOff>133920</xdr:rowOff>
    </xdr:to>
    <xdr:sp>
      <xdr:nvSpPr>
        <xdr:cNvPr id="217" name="Прямая соединительная линия 369"/>
        <xdr:cNvSpPr/>
      </xdr:nvSpPr>
      <xdr:spPr>
        <a:xfrm>
          <a:off x="9772920" y="7815600"/>
          <a:ext cx="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161640</xdr:colOff>
      <xdr:row>311</xdr:row>
      <xdr:rowOff>19440</xdr:rowOff>
    </xdr:from>
    <xdr:to>
      <xdr:col>8</xdr:col>
      <xdr:colOff>161640</xdr:colOff>
      <xdr:row>311</xdr:row>
      <xdr:rowOff>38520</xdr:rowOff>
    </xdr:to>
    <xdr:sp>
      <xdr:nvSpPr>
        <xdr:cNvPr id="218" name="Прямая соединительная линия 370"/>
        <xdr:cNvSpPr/>
      </xdr:nvSpPr>
      <xdr:spPr>
        <a:xfrm>
          <a:off x="7657560" y="7805880"/>
          <a:ext cx="0" cy="190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28800</xdr:colOff>
      <xdr:row>311</xdr:row>
      <xdr:rowOff>720</xdr:rowOff>
    </xdr:from>
    <xdr:to>
      <xdr:col>34</xdr:col>
      <xdr:colOff>120960</xdr:colOff>
      <xdr:row>311</xdr:row>
      <xdr:rowOff>146520</xdr:rowOff>
    </xdr:to>
    <xdr:sp>
      <xdr:nvSpPr>
        <xdr:cNvPr id="219" name="Прямая соединительная линия 371"/>
        <xdr:cNvSpPr/>
      </xdr:nvSpPr>
      <xdr:spPr>
        <a:xfrm flipH="1">
          <a:off x="9955080" y="7787160"/>
          <a:ext cx="3017160" cy="145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76320</xdr:colOff>
      <xdr:row>311</xdr:row>
      <xdr:rowOff>56880</xdr:rowOff>
    </xdr:from>
    <xdr:to>
      <xdr:col>19</xdr:col>
      <xdr:colOff>123840</xdr:colOff>
      <xdr:row>311</xdr:row>
      <xdr:rowOff>142560</xdr:rowOff>
    </xdr:to>
    <xdr:sp>
      <xdr:nvSpPr>
        <xdr:cNvPr id="220" name="Прямая соединительная линия 372"/>
        <xdr:cNvSpPr/>
      </xdr:nvSpPr>
      <xdr:spPr>
        <a:xfrm flipH="1">
          <a:off x="7258320" y="7843680"/>
          <a:ext cx="2600280" cy="85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133920</xdr:colOff>
      <xdr:row>311</xdr:row>
      <xdr:rowOff>29160</xdr:rowOff>
    </xdr:from>
    <xdr:to>
      <xdr:col>21</xdr:col>
      <xdr:colOff>19440</xdr:colOff>
      <xdr:row>311</xdr:row>
      <xdr:rowOff>86400</xdr:rowOff>
    </xdr:to>
    <xdr:sp>
      <xdr:nvSpPr>
        <xdr:cNvPr id="221" name="Прямая соединительная линия 373"/>
        <xdr:cNvSpPr/>
      </xdr:nvSpPr>
      <xdr:spPr>
        <a:xfrm flipH="1">
          <a:off x="9676800" y="7815600"/>
          <a:ext cx="571320" cy="57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56880</xdr:colOff>
      <xdr:row>311</xdr:row>
      <xdr:rowOff>114840</xdr:rowOff>
    </xdr:from>
    <xdr:to>
      <xdr:col>33</xdr:col>
      <xdr:colOff>56880</xdr:colOff>
      <xdr:row>311</xdr:row>
      <xdr:rowOff>133920</xdr:rowOff>
    </xdr:to>
    <xdr:sp>
      <xdr:nvSpPr>
        <xdr:cNvPr id="222" name="Прямая соединительная линия 374"/>
        <xdr:cNvSpPr/>
      </xdr:nvSpPr>
      <xdr:spPr>
        <a:xfrm>
          <a:off x="12587040" y="7901280"/>
          <a:ext cx="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152640</xdr:colOff>
      <xdr:row>311</xdr:row>
      <xdr:rowOff>104760</xdr:rowOff>
    </xdr:from>
    <xdr:to>
      <xdr:col>19</xdr:col>
      <xdr:colOff>38160</xdr:colOff>
      <xdr:row>311</xdr:row>
      <xdr:rowOff>114120</xdr:rowOff>
    </xdr:to>
    <xdr:sp>
      <xdr:nvSpPr>
        <xdr:cNvPr id="223" name="Прямая соединительная линия 375"/>
        <xdr:cNvSpPr/>
      </xdr:nvSpPr>
      <xdr:spPr>
        <a:xfrm flipH="1" flipV="1">
          <a:off x="9182880" y="7891560"/>
          <a:ext cx="59040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162360</xdr:colOff>
      <xdr:row>311</xdr:row>
      <xdr:rowOff>104760</xdr:rowOff>
    </xdr:from>
    <xdr:to>
      <xdr:col>16</xdr:col>
      <xdr:colOff>181440</xdr:colOff>
      <xdr:row>311</xdr:row>
      <xdr:rowOff>152280</xdr:rowOff>
    </xdr:to>
    <xdr:sp>
      <xdr:nvSpPr>
        <xdr:cNvPr id="224" name="Прямая соединительная линия 376"/>
        <xdr:cNvSpPr/>
      </xdr:nvSpPr>
      <xdr:spPr>
        <a:xfrm flipH="1">
          <a:off x="7657920" y="7891560"/>
          <a:ext cx="1553400" cy="4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142920</xdr:colOff>
      <xdr:row>311</xdr:row>
      <xdr:rowOff>48240</xdr:rowOff>
    </xdr:from>
    <xdr:to>
      <xdr:col>24</xdr:col>
      <xdr:colOff>9720</xdr:colOff>
      <xdr:row>311</xdr:row>
      <xdr:rowOff>114840</xdr:rowOff>
    </xdr:to>
    <xdr:sp>
      <xdr:nvSpPr>
        <xdr:cNvPr id="225" name="Прямая соединительная линия 377"/>
        <xdr:cNvSpPr/>
      </xdr:nvSpPr>
      <xdr:spPr>
        <a:xfrm flipH="1">
          <a:off x="9173160" y="7834680"/>
          <a:ext cx="1640880" cy="666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311</xdr:row>
      <xdr:rowOff>37800</xdr:rowOff>
    </xdr:from>
    <xdr:to>
      <xdr:col>33</xdr:col>
      <xdr:colOff>47520</xdr:colOff>
      <xdr:row>311</xdr:row>
      <xdr:rowOff>75960</xdr:rowOff>
    </xdr:to>
    <xdr:sp>
      <xdr:nvSpPr>
        <xdr:cNvPr id="226" name="Прямая соединительная линия 378"/>
        <xdr:cNvSpPr/>
      </xdr:nvSpPr>
      <xdr:spPr>
        <a:xfrm flipH="1" flipV="1">
          <a:off x="10804320" y="7824600"/>
          <a:ext cx="177336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37800</xdr:colOff>
      <xdr:row>311</xdr:row>
      <xdr:rowOff>75960</xdr:rowOff>
    </xdr:from>
    <xdr:to>
      <xdr:col>34</xdr:col>
      <xdr:colOff>95040</xdr:colOff>
      <xdr:row>311</xdr:row>
      <xdr:rowOff>152280</xdr:rowOff>
    </xdr:to>
    <xdr:sp>
      <xdr:nvSpPr>
        <xdr:cNvPr id="227" name="Прямая соединительная линия 379"/>
        <xdr:cNvSpPr/>
      </xdr:nvSpPr>
      <xdr:spPr>
        <a:xfrm flipH="1" flipV="1">
          <a:off x="12567960" y="7862760"/>
          <a:ext cx="378720" cy="763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0</xdr:colOff>
      <xdr:row>311</xdr:row>
      <xdr:rowOff>18720</xdr:rowOff>
    </xdr:from>
    <xdr:to>
      <xdr:col>24</xdr:col>
      <xdr:colOff>0</xdr:colOff>
      <xdr:row>311</xdr:row>
      <xdr:rowOff>47520</xdr:rowOff>
    </xdr:to>
    <xdr:sp>
      <xdr:nvSpPr>
        <xdr:cNvPr id="228" name="Прямая соединительная линия 380"/>
        <xdr:cNvSpPr/>
      </xdr:nvSpPr>
      <xdr:spPr>
        <a:xfrm>
          <a:off x="10804320" y="7805520"/>
          <a:ext cx="0" cy="28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161640</xdr:colOff>
      <xdr:row>311</xdr:row>
      <xdr:rowOff>105480</xdr:rowOff>
    </xdr:from>
    <xdr:to>
      <xdr:col>16</xdr:col>
      <xdr:colOff>161640</xdr:colOff>
      <xdr:row>311</xdr:row>
      <xdr:rowOff>133920</xdr:rowOff>
    </xdr:to>
    <xdr:sp>
      <xdr:nvSpPr>
        <xdr:cNvPr id="229" name="Прямая соединительная линия 381"/>
        <xdr:cNvSpPr/>
      </xdr:nvSpPr>
      <xdr:spPr>
        <a:xfrm>
          <a:off x="9191880" y="7891920"/>
          <a:ext cx="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18720</xdr:colOff>
      <xdr:row>311</xdr:row>
      <xdr:rowOff>720</xdr:rowOff>
    </xdr:from>
    <xdr:to>
      <xdr:col>22</xdr:col>
      <xdr:colOff>18720</xdr:colOff>
      <xdr:row>311</xdr:row>
      <xdr:rowOff>29160</xdr:rowOff>
    </xdr:to>
    <xdr:sp>
      <xdr:nvSpPr>
        <xdr:cNvPr id="230" name="Прямая соединительная линия 382"/>
        <xdr:cNvSpPr/>
      </xdr:nvSpPr>
      <xdr:spPr>
        <a:xfrm>
          <a:off x="10439640" y="7787160"/>
          <a:ext cx="0" cy="284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542880</xdr:colOff>
      <xdr:row>311</xdr:row>
      <xdr:rowOff>66600</xdr:rowOff>
    </xdr:from>
    <xdr:to>
      <xdr:col>8</xdr:col>
      <xdr:colOff>94320</xdr:colOff>
      <xdr:row>311</xdr:row>
      <xdr:rowOff>123120</xdr:rowOff>
    </xdr:to>
    <xdr:sp>
      <xdr:nvSpPr>
        <xdr:cNvPr id="231" name="Соединительная линия уступом 385"/>
        <xdr:cNvSpPr/>
      </xdr:nvSpPr>
      <xdr:spPr>
        <a:xfrm>
          <a:off x="5038560" y="7853400"/>
          <a:ext cx="2551680" cy="565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26640</xdr:colOff>
      <xdr:row>415</xdr:row>
      <xdr:rowOff>720</xdr:rowOff>
    </xdr:from>
    <xdr:to>
      <xdr:col>26</xdr:col>
      <xdr:colOff>95400</xdr:colOff>
      <xdr:row>415</xdr:row>
      <xdr:rowOff>124200</xdr:rowOff>
    </xdr:to>
    <xdr:sp>
      <xdr:nvSpPr>
        <xdr:cNvPr id="232" name="Прямая соединительная линия 389"/>
        <xdr:cNvSpPr/>
      </xdr:nvSpPr>
      <xdr:spPr>
        <a:xfrm flipH="1">
          <a:off x="10638720" y="8506080"/>
          <a:ext cx="644040" cy="123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360</xdr:colOff>
      <xdr:row>415</xdr:row>
      <xdr:rowOff>76680</xdr:rowOff>
    </xdr:from>
    <xdr:to>
      <xdr:col>18</xdr:col>
      <xdr:colOff>19080</xdr:colOff>
      <xdr:row>415</xdr:row>
      <xdr:rowOff>95760</xdr:rowOff>
    </xdr:to>
    <xdr:sp>
      <xdr:nvSpPr>
        <xdr:cNvPr id="233" name="Прямая соединительная линия 392"/>
        <xdr:cNvSpPr/>
      </xdr:nvSpPr>
      <xdr:spPr>
        <a:xfrm flipH="1">
          <a:off x="8263440" y="8582040"/>
          <a:ext cx="129888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55080</xdr:colOff>
      <xdr:row>311</xdr:row>
      <xdr:rowOff>9360</xdr:rowOff>
    </xdr:from>
    <xdr:to>
      <xdr:col>33</xdr:col>
      <xdr:colOff>47520</xdr:colOff>
      <xdr:row>311</xdr:row>
      <xdr:rowOff>95040</xdr:rowOff>
    </xdr:to>
    <xdr:sp>
      <xdr:nvSpPr>
        <xdr:cNvPr id="234" name="Прямая соединительная линия 395"/>
        <xdr:cNvSpPr/>
      </xdr:nvSpPr>
      <xdr:spPr>
        <a:xfrm flipH="1" flipV="1">
          <a:off x="10476000" y="7796160"/>
          <a:ext cx="2101680" cy="856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360</xdr:colOff>
      <xdr:row>415</xdr:row>
      <xdr:rowOff>47520</xdr:rowOff>
    </xdr:from>
    <xdr:to>
      <xdr:col>17</xdr:col>
      <xdr:colOff>123840</xdr:colOff>
      <xdr:row>415</xdr:row>
      <xdr:rowOff>85680</xdr:rowOff>
    </xdr:to>
    <xdr:sp>
      <xdr:nvSpPr>
        <xdr:cNvPr id="235" name="Прямая соединительная линия 397"/>
        <xdr:cNvSpPr/>
      </xdr:nvSpPr>
      <xdr:spPr>
        <a:xfrm flipH="1">
          <a:off x="8263440" y="8553240"/>
          <a:ext cx="108216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67320</xdr:colOff>
      <xdr:row>889</xdr:row>
      <xdr:rowOff>67320</xdr:rowOff>
    </xdr:from>
    <xdr:to>
      <xdr:col>19</xdr:col>
      <xdr:colOff>48240</xdr:colOff>
      <xdr:row>889</xdr:row>
      <xdr:rowOff>143280</xdr:rowOff>
    </xdr:to>
    <xdr:sp>
      <xdr:nvSpPr>
        <xdr:cNvPr id="236" name="Прямая соединительная линия 406"/>
        <xdr:cNvSpPr/>
      </xdr:nvSpPr>
      <xdr:spPr>
        <a:xfrm flipV="1">
          <a:off x="7946640" y="11448000"/>
          <a:ext cx="183636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86040</xdr:colOff>
      <xdr:row>889</xdr:row>
      <xdr:rowOff>9360</xdr:rowOff>
    </xdr:from>
    <xdr:to>
      <xdr:col>32</xdr:col>
      <xdr:colOff>66960</xdr:colOff>
      <xdr:row>889</xdr:row>
      <xdr:rowOff>18720</xdr:rowOff>
    </xdr:to>
    <xdr:sp>
      <xdr:nvSpPr>
        <xdr:cNvPr id="237" name="Прямая соединительная линия 408"/>
        <xdr:cNvSpPr/>
      </xdr:nvSpPr>
      <xdr:spPr>
        <a:xfrm flipH="1" flipV="1">
          <a:off x="9629280" y="11390400"/>
          <a:ext cx="277632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360</xdr:colOff>
      <xdr:row>889</xdr:row>
      <xdr:rowOff>104760</xdr:rowOff>
    </xdr:from>
    <xdr:to>
      <xdr:col>23</xdr:col>
      <xdr:colOff>114480</xdr:colOff>
      <xdr:row>889</xdr:row>
      <xdr:rowOff>123480</xdr:rowOff>
    </xdr:to>
    <xdr:sp>
      <xdr:nvSpPr>
        <xdr:cNvPr id="238" name="Прямая соединительная линия 409"/>
        <xdr:cNvSpPr/>
      </xdr:nvSpPr>
      <xdr:spPr>
        <a:xfrm flipH="1" flipV="1">
          <a:off x="7687800" y="11485800"/>
          <a:ext cx="3038760" cy="18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66600</xdr:colOff>
      <xdr:row>5</xdr:row>
      <xdr:rowOff>57240</xdr:rowOff>
    </xdr:from>
    <xdr:to>
      <xdr:col>14</xdr:col>
      <xdr:colOff>46800</xdr:colOff>
      <xdr:row>8</xdr:row>
      <xdr:rowOff>47160</xdr:rowOff>
    </xdr:to>
    <xdr:sp>
      <xdr:nvSpPr>
        <xdr:cNvPr id="239" name="Соединительная линия уступом 410"/>
        <xdr:cNvSpPr/>
      </xdr:nvSpPr>
      <xdr:spPr>
        <a:xfrm>
          <a:off x="7248960" y="1014120"/>
          <a:ext cx="1444320" cy="5288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76320</xdr:colOff>
      <xdr:row>13</xdr:row>
      <xdr:rowOff>19080</xdr:rowOff>
    </xdr:from>
    <xdr:to>
      <xdr:col>14</xdr:col>
      <xdr:colOff>94680</xdr:colOff>
      <xdr:row>17</xdr:row>
      <xdr:rowOff>123120</xdr:rowOff>
    </xdr:to>
    <xdr:sp>
      <xdr:nvSpPr>
        <xdr:cNvPr id="240" name="Соединительная линия уступом 411"/>
        <xdr:cNvSpPr/>
      </xdr:nvSpPr>
      <xdr:spPr>
        <a:xfrm>
          <a:off x="7258680" y="2413440"/>
          <a:ext cx="1482480" cy="8229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162000</xdr:colOff>
      <xdr:row>236</xdr:row>
      <xdr:rowOff>18720</xdr:rowOff>
    </xdr:from>
    <xdr:to>
      <xdr:col>19</xdr:col>
      <xdr:colOff>57240</xdr:colOff>
      <xdr:row>236</xdr:row>
      <xdr:rowOff>85680</xdr:rowOff>
    </xdr:to>
    <xdr:sp>
      <xdr:nvSpPr>
        <xdr:cNvPr id="241" name="Прямая соединительная линия 412"/>
        <xdr:cNvSpPr/>
      </xdr:nvSpPr>
      <xdr:spPr>
        <a:xfrm flipH="1" flipV="1">
          <a:off x="7657560" y="7086600"/>
          <a:ext cx="2134440" cy="669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9360</xdr:colOff>
      <xdr:row>236</xdr:row>
      <xdr:rowOff>28440</xdr:rowOff>
    </xdr:from>
    <xdr:to>
      <xdr:col>11</xdr:col>
      <xdr:colOff>160920</xdr:colOff>
      <xdr:row>236</xdr:row>
      <xdr:rowOff>104040</xdr:rowOff>
    </xdr:to>
    <xdr:sp>
      <xdr:nvSpPr>
        <xdr:cNvPr id="242" name="Дуга 413"/>
        <xdr:cNvSpPr/>
      </xdr:nvSpPr>
      <xdr:spPr>
        <a:xfrm>
          <a:off x="7505280" y="7096320"/>
          <a:ext cx="726840" cy="75600"/>
        </a:xfrm>
        <a:prstGeom prst="arc">
          <a:avLst>
            <a:gd name="adj1" fmla="val 16550924"/>
            <a:gd name="adj2" fmla="val 0"/>
          </a:avLst>
        </a:prstGeom>
        <a:noFill/>
        <a:ln w="31750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95400</xdr:colOff>
      <xdr:row>272</xdr:row>
      <xdr:rowOff>0</xdr:rowOff>
    </xdr:from>
    <xdr:to>
      <xdr:col>24</xdr:col>
      <xdr:colOff>66240</xdr:colOff>
      <xdr:row>272</xdr:row>
      <xdr:rowOff>75600</xdr:rowOff>
    </xdr:to>
    <xdr:sp>
      <xdr:nvSpPr>
        <xdr:cNvPr id="243" name="Дуга 415"/>
        <xdr:cNvSpPr/>
      </xdr:nvSpPr>
      <xdr:spPr>
        <a:xfrm>
          <a:off x="10022040" y="7427520"/>
          <a:ext cx="848520" cy="75600"/>
        </a:xfrm>
        <a:prstGeom prst="arc">
          <a:avLst>
            <a:gd name="adj1" fmla="val 16550924"/>
            <a:gd name="adj2" fmla="val 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18720</xdr:colOff>
      <xdr:row>457</xdr:row>
      <xdr:rowOff>142560</xdr:rowOff>
    </xdr:from>
    <xdr:to>
      <xdr:col>16</xdr:col>
      <xdr:colOff>73800</xdr:colOff>
      <xdr:row>457</xdr:row>
      <xdr:rowOff>142560</xdr:rowOff>
    </xdr:to>
    <xdr:sp>
      <xdr:nvSpPr>
        <xdr:cNvPr id="244" name="Прямая соединительная линия 418"/>
        <xdr:cNvSpPr/>
      </xdr:nvSpPr>
      <xdr:spPr>
        <a:xfrm>
          <a:off x="8473680" y="9007560"/>
          <a:ext cx="63036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9720</xdr:colOff>
      <xdr:row>457</xdr:row>
      <xdr:rowOff>86400</xdr:rowOff>
    </xdr:from>
    <xdr:to>
      <xdr:col>21</xdr:col>
      <xdr:colOff>47880</xdr:colOff>
      <xdr:row>457</xdr:row>
      <xdr:rowOff>124200</xdr:rowOff>
    </xdr:to>
    <xdr:sp>
      <xdr:nvSpPr>
        <xdr:cNvPr id="245" name="Прямая соединительная линия 420"/>
        <xdr:cNvSpPr/>
      </xdr:nvSpPr>
      <xdr:spPr>
        <a:xfrm flipH="1" flipV="1">
          <a:off x="8656200" y="8951040"/>
          <a:ext cx="1620720" cy="37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237960</xdr:colOff>
      <xdr:row>415</xdr:row>
      <xdr:rowOff>38160</xdr:rowOff>
    </xdr:from>
    <xdr:to>
      <xdr:col>16</xdr:col>
      <xdr:colOff>75240</xdr:colOff>
      <xdr:row>415</xdr:row>
      <xdr:rowOff>50040</xdr:rowOff>
    </xdr:to>
    <xdr:sp>
      <xdr:nvSpPr>
        <xdr:cNvPr id="246" name="Соединительная линия уступом 422"/>
        <xdr:cNvSpPr/>
      </xdr:nvSpPr>
      <xdr:spPr>
        <a:xfrm>
          <a:off x="6772680" y="8543880"/>
          <a:ext cx="2332800" cy="1188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47880</xdr:colOff>
      <xdr:row>272</xdr:row>
      <xdr:rowOff>0</xdr:rowOff>
    </xdr:from>
    <xdr:to>
      <xdr:col>16</xdr:col>
      <xdr:colOff>9000</xdr:colOff>
      <xdr:row>272</xdr:row>
      <xdr:rowOff>18360</xdr:rowOff>
    </xdr:to>
    <xdr:sp>
      <xdr:nvSpPr>
        <xdr:cNvPr id="247" name="Соединительная линия уступом 423"/>
        <xdr:cNvSpPr/>
      </xdr:nvSpPr>
      <xdr:spPr>
        <a:xfrm flipV="1">
          <a:off x="6582600" y="7426440"/>
          <a:ext cx="2456640" cy="18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86760</xdr:colOff>
      <xdr:row>457</xdr:row>
      <xdr:rowOff>28800</xdr:rowOff>
    </xdr:from>
    <xdr:to>
      <xdr:col>29</xdr:col>
      <xdr:colOff>720</xdr:colOff>
      <xdr:row>457</xdr:row>
      <xdr:rowOff>75600</xdr:rowOff>
    </xdr:to>
    <xdr:sp>
      <xdr:nvSpPr>
        <xdr:cNvPr id="248" name="Соединительная линия уступом 430"/>
        <xdr:cNvSpPr/>
      </xdr:nvSpPr>
      <xdr:spPr>
        <a:xfrm rot="5400000">
          <a:off x="11687760" y="8864280"/>
          <a:ext cx="46800" cy="1058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38160</xdr:colOff>
      <xdr:row>311</xdr:row>
      <xdr:rowOff>38160</xdr:rowOff>
    </xdr:from>
    <xdr:to>
      <xdr:col>8</xdr:col>
      <xdr:colOff>84960</xdr:colOff>
      <xdr:row>311</xdr:row>
      <xdr:rowOff>75600</xdr:rowOff>
    </xdr:to>
    <xdr:sp>
      <xdr:nvSpPr>
        <xdr:cNvPr id="249" name="Прямая со стрелкой 431"/>
        <xdr:cNvSpPr/>
      </xdr:nvSpPr>
      <xdr:spPr>
        <a:xfrm flipH="1" flipV="1">
          <a:off x="7219800" y="7824960"/>
          <a:ext cx="360360" cy="374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66960</xdr:colOff>
      <xdr:row>311</xdr:row>
      <xdr:rowOff>47520</xdr:rowOff>
    </xdr:from>
    <xdr:to>
      <xdr:col>23</xdr:col>
      <xdr:colOff>18720</xdr:colOff>
      <xdr:row>311</xdr:row>
      <xdr:rowOff>123120</xdr:rowOff>
    </xdr:to>
    <xdr:sp>
      <xdr:nvSpPr>
        <xdr:cNvPr id="250" name="Прямая со стрелкой 432"/>
        <xdr:cNvSpPr/>
      </xdr:nvSpPr>
      <xdr:spPr>
        <a:xfrm flipV="1">
          <a:off x="9993240" y="7834320"/>
          <a:ext cx="637560" cy="75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38160</xdr:colOff>
      <xdr:row>352</xdr:row>
      <xdr:rowOff>38160</xdr:rowOff>
    </xdr:from>
    <xdr:to>
      <xdr:col>27</xdr:col>
      <xdr:colOff>191880</xdr:colOff>
      <xdr:row>415</xdr:row>
      <xdr:rowOff>37440</xdr:rowOff>
    </xdr:to>
    <xdr:sp>
      <xdr:nvSpPr>
        <xdr:cNvPr id="251" name="Дуга 435"/>
        <xdr:cNvSpPr/>
      </xdr:nvSpPr>
      <xdr:spPr>
        <a:xfrm>
          <a:off x="9964800" y="8184240"/>
          <a:ext cx="1606680" cy="358920"/>
        </a:xfrm>
        <a:prstGeom prst="arc">
          <a:avLst>
            <a:gd name="adj1" fmla="val 16550924"/>
            <a:gd name="adj2" fmla="val 1868881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38160</xdr:colOff>
      <xdr:row>415</xdr:row>
      <xdr:rowOff>28440</xdr:rowOff>
    </xdr:from>
    <xdr:to>
      <xdr:col>16</xdr:col>
      <xdr:colOff>111600</xdr:colOff>
      <xdr:row>415</xdr:row>
      <xdr:rowOff>28800</xdr:rowOff>
    </xdr:to>
    <xdr:sp>
      <xdr:nvSpPr>
        <xdr:cNvPr id="252" name="Дуга 436"/>
        <xdr:cNvSpPr/>
      </xdr:nvSpPr>
      <xdr:spPr>
        <a:xfrm>
          <a:off x="8684640" y="8534160"/>
          <a:ext cx="457200" cy="36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247680</xdr:colOff>
      <xdr:row>616</xdr:row>
      <xdr:rowOff>38160</xdr:rowOff>
    </xdr:from>
    <xdr:to>
      <xdr:col>8</xdr:col>
      <xdr:colOff>94680</xdr:colOff>
      <xdr:row>616</xdr:row>
      <xdr:rowOff>113760</xdr:rowOff>
    </xdr:to>
    <xdr:sp>
      <xdr:nvSpPr>
        <xdr:cNvPr id="253" name="Соединительная линия уступом 439"/>
        <xdr:cNvSpPr/>
      </xdr:nvSpPr>
      <xdr:spPr>
        <a:xfrm>
          <a:off x="6782400" y="9622080"/>
          <a:ext cx="808200" cy="756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38160</xdr:colOff>
      <xdr:row>889</xdr:row>
      <xdr:rowOff>66600</xdr:rowOff>
    </xdr:from>
    <xdr:to>
      <xdr:col>19</xdr:col>
      <xdr:colOff>720</xdr:colOff>
      <xdr:row>889</xdr:row>
      <xdr:rowOff>114120</xdr:rowOff>
    </xdr:to>
    <xdr:sp>
      <xdr:nvSpPr>
        <xdr:cNvPr id="254" name="Прямая соединительная линия 441"/>
        <xdr:cNvSpPr/>
      </xdr:nvSpPr>
      <xdr:spPr>
        <a:xfrm flipH="1">
          <a:off x="7917840" y="11447640"/>
          <a:ext cx="1818000" cy="4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66960</xdr:colOff>
      <xdr:row>889</xdr:row>
      <xdr:rowOff>57600</xdr:rowOff>
    </xdr:from>
    <xdr:to>
      <xdr:col>30</xdr:col>
      <xdr:colOff>192600</xdr:colOff>
      <xdr:row>889</xdr:row>
      <xdr:rowOff>67320</xdr:rowOff>
    </xdr:to>
    <xdr:sp>
      <xdr:nvSpPr>
        <xdr:cNvPr id="255" name="Прямая соединительная линия 442"/>
        <xdr:cNvSpPr/>
      </xdr:nvSpPr>
      <xdr:spPr>
        <a:xfrm flipH="1">
          <a:off x="10487880" y="11438280"/>
          <a:ext cx="165960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28800</xdr:colOff>
      <xdr:row>889</xdr:row>
      <xdr:rowOff>10080</xdr:rowOff>
    </xdr:from>
    <xdr:to>
      <xdr:col>32</xdr:col>
      <xdr:colOff>47880</xdr:colOff>
      <xdr:row>889</xdr:row>
      <xdr:rowOff>114840</xdr:rowOff>
    </xdr:to>
    <xdr:sp>
      <xdr:nvSpPr>
        <xdr:cNvPr id="256" name="Прямая соединительная линия 443"/>
        <xdr:cNvSpPr/>
      </xdr:nvSpPr>
      <xdr:spPr>
        <a:xfrm flipH="1" flipV="1">
          <a:off x="9572040" y="11390760"/>
          <a:ext cx="2814480" cy="104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36720</xdr:colOff>
      <xdr:row>889</xdr:row>
      <xdr:rowOff>76680</xdr:rowOff>
    </xdr:from>
    <xdr:to>
      <xdr:col>23</xdr:col>
      <xdr:colOff>66960</xdr:colOff>
      <xdr:row>889</xdr:row>
      <xdr:rowOff>86400</xdr:rowOff>
    </xdr:to>
    <xdr:sp>
      <xdr:nvSpPr>
        <xdr:cNvPr id="257" name="Прямая соединительная линия 444"/>
        <xdr:cNvSpPr/>
      </xdr:nvSpPr>
      <xdr:spPr>
        <a:xfrm flipH="1" flipV="1">
          <a:off x="7724520" y="11457360"/>
          <a:ext cx="2954880" cy="9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152280</xdr:colOff>
      <xdr:row>889</xdr:row>
      <xdr:rowOff>76680</xdr:rowOff>
    </xdr:from>
    <xdr:to>
      <xdr:col>22</xdr:col>
      <xdr:colOff>152280</xdr:colOff>
      <xdr:row>889</xdr:row>
      <xdr:rowOff>86400</xdr:rowOff>
    </xdr:to>
    <xdr:sp>
      <xdr:nvSpPr>
        <xdr:cNvPr id="258" name="Прямая соединительная линия 449"/>
        <xdr:cNvSpPr/>
      </xdr:nvSpPr>
      <xdr:spPr>
        <a:xfrm>
          <a:off x="10573200" y="11457360"/>
          <a:ext cx="0" cy="97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9360</xdr:colOff>
      <xdr:row>889</xdr:row>
      <xdr:rowOff>9360</xdr:rowOff>
    </xdr:from>
    <xdr:to>
      <xdr:col>18</xdr:col>
      <xdr:colOff>9360</xdr:colOff>
      <xdr:row>889</xdr:row>
      <xdr:rowOff>18720</xdr:rowOff>
    </xdr:to>
    <xdr:sp>
      <xdr:nvSpPr>
        <xdr:cNvPr id="259" name="Прямая соединительная линия 451"/>
        <xdr:cNvSpPr/>
      </xdr:nvSpPr>
      <xdr:spPr>
        <a:xfrm>
          <a:off x="9552600" y="11390400"/>
          <a:ext cx="0" cy="93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162360</xdr:colOff>
      <xdr:row>23</xdr:row>
      <xdr:rowOff>56880</xdr:rowOff>
    </xdr:from>
    <xdr:to>
      <xdr:col>24</xdr:col>
      <xdr:colOff>172080</xdr:colOff>
      <xdr:row>25</xdr:row>
      <xdr:rowOff>117360</xdr:rowOff>
    </xdr:to>
    <xdr:sp>
      <xdr:nvSpPr>
        <xdr:cNvPr id="260" name="Прямая соединительная линия 452"/>
        <xdr:cNvSpPr/>
      </xdr:nvSpPr>
      <xdr:spPr>
        <a:xfrm flipH="1">
          <a:off x="8808480" y="4248360"/>
          <a:ext cx="2167560" cy="419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161640</xdr:colOff>
      <xdr:row>23</xdr:row>
      <xdr:rowOff>56880</xdr:rowOff>
    </xdr:from>
    <xdr:to>
      <xdr:col>33</xdr:col>
      <xdr:colOff>152280</xdr:colOff>
      <xdr:row>24</xdr:row>
      <xdr:rowOff>123480</xdr:rowOff>
    </xdr:to>
    <xdr:sp>
      <xdr:nvSpPr>
        <xdr:cNvPr id="261" name="Прямая соединительная линия 453"/>
        <xdr:cNvSpPr/>
      </xdr:nvSpPr>
      <xdr:spPr>
        <a:xfrm flipH="1" flipV="1">
          <a:off x="10965960" y="4248360"/>
          <a:ext cx="1716480" cy="246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25</xdr:col>
      <xdr:colOff>360</xdr:colOff>
      <xdr:row>16</xdr:row>
      <xdr:rowOff>29160</xdr:rowOff>
    </xdr:from>
    <xdr:to>
      <xdr:col>33</xdr:col>
      <xdr:colOff>162000</xdr:colOff>
      <xdr:row>17</xdr:row>
      <xdr:rowOff>76680</xdr:rowOff>
    </xdr:to>
    <xdr:sp>
      <xdr:nvSpPr>
        <xdr:cNvPr id="262" name="Прямая соединительная линия 454"/>
        <xdr:cNvSpPr/>
      </xdr:nvSpPr>
      <xdr:spPr>
        <a:xfrm flipH="1" flipV="1">
          <a:off x="10996560" y="2962440"/>
          <a:ext cx="1695600" cy="227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172080</xdr:colOff>
      <xdr:row>15</xdr:row>
      <xdr:rowOff>75960</xdr:rowOff>
    </xdr:from>
    <xdr:to>
      <xdr:col>33</xdr:col>
      <xdr:colOff>153000</xdr:colOff>
      <xdr:row>16</xdr:row>
      <xdr:rowOff>123480</xdr:rowOff>
    </xdr:to>
    <xdr:sp>
      <xdr:nvSpPr>
        <xdr:cNvPr id="263" name="Прямая соединительная линия 455"/>
        <xdr:cNvSpPr/>
      </xdr:nvSpPr>
      <xdr:spPr>
        <a:xfrm flipH="1" flipV="1">
          <a:off x="10976040" y="2829600"/>
          <a:ext cx="1706760" cy="2275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38160</xdr:colOff>
      <xdr:row>457</xdr:row>
      <xdr:rowOff>95400</xdr:rowOff>
    </xdr:from>
    <xdr:to>
      <xdr:col>21</xdr:col>
      <xdr:colOff>161280</xdr:colOff>
      <xdr:row>457</xdr:row>
      <xdr:rowOff>132840</xdr:rowOff>
    </xdr:to>
    <xdr:sp>
      <xdr:nvSpPr>
        <xdr:cNvPr id="264" name="Дуга 465"/>
        <xdr:cNvSpPr/>
      </xdr:nvSpPr>
      <xdr:spPr>
        <a:xfrm>
          <a:off x="9259920" y="8960400"/>
          <a:ext cx="1130400" cy="37440"/>
        </a:xfrm>
        <a:prstGeom prst="arc">
          <a:avLst>
            <a:gd name="adj1" fmla="val 16315971"/>
            <a:gd name="adj2" fmla="val 18118213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0</xdr:colOff>
      <xdr:row>457</xdr:row>
      <xdr:rowOff>85680</xdr:rowOff>
    </xdr:from>
    <xdr:to>
      <xdr:col>33</xdr:col>
      <xdr:colOff>75600</xdr:colOff>
      <xdr:row>457</xdr:row>
      <xdr:rowOff>104040</xdr:rowOff>
    </xdr:to>
    <xdr:sp>
      <xdr:nvSpPr>
        <xdr:cNvPr id="265" name="Дуга 466"/>
        <xdr:cNvSpPr/>
      </xdr:nvSpPr>
      <xdr:spPr>
        <a:xfrm flipH="1">
          <a:off x="11379600" y="8950680"/>
          <a:ext cx="1226160" cy="18360"/>
        </a:xfrm>
        <a:prstGeom prst="arc">
          <a:avLst>
            <a:gd name="adj1" fmla="val 16550924"/>
            <a:gd name="adj2" fmla="val 18688810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31</xdr:col>
      <xdr:colOff>0</xdr:colOff>
      <xdr:row>236</xdr:row>
      <xdr:rowOff>720</xdr:rowOff>
    </xdr:from>
    <xdr:to>
      <xdr:col>31</xdr:col>
      <xdr:colOff>0</xdr:colOff>
      <xdr:row>236</xdr:row>
      <xdr:rowOff>38520</xdr:rowOff>
    </xdr:to>
    <xdr:sp>
      <xdr:nvSpPr>
        <xdr:cNvPr id="266" name="Прямая соединительная линия 469"/>
        <xdr:cNvSpPr/>
      </xdr:nvSpPr>
      <xdr:spPr>
        <a:xfrm>
          <a:off x="12146760" y="7068240"/>
          <a:ext cx="0" cy="37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75960</xdr:colOff>
      <xdr:row>236</xdr:row>
      <xdr:rowOff>18720</xdr:rowOff>
    </xdr:from>
    <xdr:to>
      <xdr:col>11</xdr:col>
      <xdr:colOff>75960</xdr:colOff>
      <xdr:row>236</xdr:row>
      <xdr:rowOff>133200</xdr:rowOff>
    </xdr:to>
    <xdr:sp>
      <xdr:nvSpPr>
        <xdr:cNvPr id="267" name="Прямая соединительная линия 470"/>
        <xdr:cNvSpPr/>
      </xdr:nvSpPr>
      <xdr:spPr>
        <a:xfrm>
          <a:off x="8147160" y="7086600"/>
          <a:ext cx="0" cy="1144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381240</xdr:colOff>
      <xdr:row>236</xdr:row>
      <xdr:rowOff>0</xdr:rowOff>
    </xdr:from>
    <xdr:to>
      <xdr:col>17</xdr:col>
      <xdr:colOff>142560</xdr:colOff>
      <xdr:row>236</xdr:row>
      <xdr:rowOff>65880</xdr:rowOff>
    </xdr:to>
    <xdr:sp>
      <xdr:nvSpPr>
        <xdr:cNvPr id="268" name="Соединительная линия уступом 1570"/>
        <xdr:cNvSpPr/>
      </xdr:nvSpPr>
      <xdr:spPr>
        <a:xfrm flipV="1">
          <a:off x="6242400" y="7066800"/>
          <a:ext cx="3121560" cy="65880"/>
        </a:xfrm>
        <a:prstGeom prst="bentConnector3">
          <a:avLst>
            <a:gd name="adj1" fmla="val 88312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0</xdr:colOff>
      <xdr:row>9</xdr:row>
      <xdr:rowOff>56880</xdr:rowOff>
    </xdr:from>
    <xdr:to>
      <xdr:col>23</xdr:col>
      <xdr:colOff>18720</xdr:colOff>
      <xdr:row>27</xdr:row>
      <xdr:rowOff>142560</xdr:rowOff>
    </xdr:to>
    <xdr:sp>
      <xdr:nvSpPr>
        <xdr:cNvPr id="269" name="Прямая соединительная линия 474"/>
        <xdr:cNvSpPr/>
      </xdr:nvSpPr>
      <xdr:spPr>
        <a:xfrm>
          <a:off x="10612440" y="1732320"/>
          <a:ext cx="18720" cy="33206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162360</xdr:colOff>
      <xdr:row>7</xdr:row>
      <xdr:rowOff>720</xdr:rowOff>
    </xdr:from>
    <xdr:to>
      <xdr:col>33</xdr:col>
      <xdr:colOff>172080</xdr:colOff>
      <xdr:row>25</xdr:row>
      <xdr:rowOff>86400</xdr:rowOff>
    </xdr:to>
    <xdr:sp>
      <xdr:nvSpPr>
        <xdr:cNvPr id="270" name="Прямая соединительная линия 475"/>
        <xdr:cNvSpPr/>
      </xdr:nvSpPr>
      <xdr:spPr>
        <a:xfrm>
          <a:off x="12692160" y="1316520"/>
          <a:ext cx="9720" cy="33202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161640</xdr:colOff>
      <xdr:row>8</xdr:row>
      <xdr:rowOff>133920</xdr:rowOff>
    </xdr:from>
    <xdr:to>
      <xdr:col>22</xdr:col>
      <xdr:colOff>171360</xdr:colOff>
      <xdr:row>10</xdr:row>
      <xdr:rowOff>57600</xdr:rowOff>
    </xdr:to>
    <xdr:sp>
      <xdr:nvSpPr>
        <xdr:cNvPr id="271" name="Прямая соединительная линия 476"/>
        <xdr:cNvSpPr/>
      </xdr:nvSpPr>
      <xdr:spPr>
        <a:xfrm flipH="1" flipV="1">
          <a:off x="8808120" y="1629360"/>
          <a:ext cx="1784160" cy="283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171720</xdr:colOff>
      <xdr:row>8</xdr:row>
      <xdr:rowOff>29160</xdr:rowOff>
    </xdr:from>
    <xdr:to>
      <xdr:col>23</xdr:col>
      <xdr:colOff>19080</xdr:colOff>
      <xdr:row>9</xdr:row>
      <xdr:rowOff>76680</xdr:rowOff>
    </xdr:to>
    <xdr:sp>
      <xdr:nvSpPr>
        <xdr:cNvPr id="272" name="Прямая соединительная линия 477"/>
        <xdr:cNvSpPr/>
      </xdr:nvSpPr>
      <xdr:spPr>
        <a:xfrm flipH="1" flipV="1">
          <a:off x="8817840" y="1524600"/>
          <a:ext cx="1813320" cy="227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9720</xdr:colOff>
      <xdr:row>7</xdr:row>
      <xdr:rowOff>10080</xdr:rowOff>
    </xdr:from>
    <xdr:to>
      <xdr:col>33</xdr:col>
      <xdr:colOff>162000</xdr:colOff>
      <xdr:row>9</xdr:row>
      <xdr:rowOff>76680</xdr:rowOff>
    </xdr:to>
    <xdr:sp>
      <xdr:nvSpPr>
        <xdr:cNvPr id="273" name="Прямая соединительная линия 478"/>
        <xdr:cNvSpPr/>
      </xdr:nvSpPr>
      <xdr:spPr>
        <a:xfrm flipH="1">
          <a:off x="10622160" y="1325880"/>
          <a:ext cx="2070000" cy="425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19080</xdr:colOff>
      <xdr:row>7</xdr:row>
      <xdr:rowOff>124200</xdr:rowOff>
    </xdr:from>
    <xdr:to>
      <xdr:col>33</xdr:col>
      <xdr:colOff>133560</xdr:colOff>
      <xdr:row>10</xdr:row>
      <xdr:rowOff>57600</xdr:rowOff>
    </xdr:to>
    <xdr:sp>
      <xdr:nvSpPr>
        <xdr:cNvPr id="274" name="Прямая соединительная линия 479"/>
        <xdr:cNvSpPr/>
      </xdr:nvSpPr>
      <xdr:spPr>
        <a:xfrm flipH="1">
          <a:off x="10631160" y="1440000"/>
          <a:ext cx="2032200" cy="4726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171360</xdr:colOff>
      <xdr:row>5</xdr:row>
      <xdr:rowOff>86400</xdr:rowOff>
    </xdr:from>
    <xdr:to>
      <xdr:col>24</xdr:col>
      <xdr:colOff>171360</xdr:colOff>
      <xdr:row>24</xdr:row>
      <xdr:rowOff>29160</xdr:rowOff>
    </xdr:to>
    <xdr:sp>
      <xdr:nvSpPr>
        <xdr:cNvPr id="275" name="Прямая соединительная линия 480"/>
        <xdr:cNvSpPr/>
      </xdr:nvSpPr>
      <xdr:spPr>
        <a:xfrm>
          <a:off x="10975680" y="1042920"/>
          <a:ext cx="0" cy="33570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162360</xdr:colOff>
      <xdr:row>5</xdr:row>
      <xdr:rowOff>95040</xdr:rowOff>
    </xdr:from>
    <xdr:to>
      <xdr:col>33</xdr:col>
      <xdr:colOff>133920</xdr:colOff>
      <xdr:row>6</xdr:row>
      <xdr:rowOff>179640</xdr:rowOff>
    </xdr:to>
    <xdr:sp>
      <xdr:nvSpPr>
        <xdr:cNvPr id="276" name="Прямая соединительная линия 481"/>
        <xdr:cNvSpPr/>
      </xdr:nvSpPr>
      <xdr:spPr>
        <a:xfrm flipH="1" flipV="1">
          <a:off x="10966320" y="1051920"/>
          <a:ext cx="1697400" cy="264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172080</xdr:colOff>
      <xdr:row>5</xdr:row>
      <xdr:rowOff>104760</xdr:rowOff>
    </xdr:from>
    <xdr:to>
      <xdr:col>24</xdr:col>
      <xdr:colOff>153000</xdr:colOff>
      <xdr:row>8</xdr:row>
      <xdr:rowOff>41040</xdr:rowOff>
    </xdr:to>
    <xdr:sp>
      <xdr:nvSpPr>
        <xdr:cNvPr id="277" name="Прямая соединительная линия 482"/>
        <xdr:cNvSpPr/>
      </xdr:nvSpPr>
      <xdr:spPr>
        <a:xfrm flipH="1">
          <a:off x="8818200" y="1061640"/>
          <a:ext cx="2138760" cy="475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162360</xdr:colOff>
      <xdr:row>6</xdr:row>
      <xdr:rowOff>75960</xdr:rowOff>
    </xdr:from>
    <xdr:to>
      <xdr:col>24</xdr:col>
      <xdr:colOff>172080</xdr:colOff>
      <xdr:row>8</xdr:row>
      <xdr:rowOff>136440</xdr:rowOff>
    </xdr:to>
    <xdr:sp>
      <xdr:nvSpPr>
        <xdr:cNvPr id="278" name="Прямая соединительная линия 483"/>
        <xdr:cNvSpPr/>
      </xdr:nvSpPr>
      <xdr:spPr>
        <a:xfrm flipH="1">
          <a:off x="8808480" y="1212480"/>
          <a:ext cx="2167560" cy="419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0</xdr:colOff>
      <xdr:row>15</xdr:row>
      <xdr:rowOff>85680</xdr:rowOff>
    </xdr:from>
    <xdr:to>
      <xdr:col>25</xdr:col>
      <xdr:colOff>9360</xdr:colOff>
      <xdr:row>17</xdr:row>
      <xdr:rowOff>145800</xdr:rowOff>
    </xdr:to>
    <xdr:sp>
      <xdr:nvSpPr>
        <xdr:cNvPr id="279" name="Прямая соединительная линия 484"/>
        <xdr:cNvSpPr/>
      </xdr:nvSpPr>
      <xdr:spPr>
        <a:xfrm flipH="1">
          <a:off x="8838360" y="2839320"/>
          <a:ext cx="2167200" cy="419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152280</xdr:colOff>
      <xdr:row>16</xdr:row>
      <xdr:rowOff>29160</xdr:rowOff>
    </xdr:from>
    <xdr:to>
      <xdr:col>24</xdr:col>
      <xdr:colOff>161640</xdr:colOff>
      <xdr:row>18</xdr:row>
      <xdr:rowOff>89280</xdr:rowOff>
    </xdr:to>
    <xdr:sp>
      <xdr:nvSpPr>
        <xdr:cNvPr id="280" name="Прямая соединительная линия 485"/>
        <xdr:cNvSpPr/>
      </xdr:nvSpPr>
      <xdr:spPr>
        <a:xfrm flipH="1">
          <a:off x="8798760" y="2962440"/>
          <a:ext cx="2167200" cy="419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24</xdr:col>
      <xdr:colOff>153000</xdr:colOff>
      <xdr:row>6</xdr:row>
      <xdr:rowOff>75960</xdr:rowOff>
    </xdr:from>
    <xdr:to>
      <xdr:col>33</xdr:col>
      <xdr:colOff>181440</xdr:colOff>
      <xdr:row>7</xdr:row>
      <xdr:rowOff>142560</xdr:rowOff>
    </xdr:to>
    <xdr:sp>
      <xdr:nvSpPr>
        <xdr:cNvPr id="281" name="Прямая соединительная линия 486"/>
        <xdr:cNvSpPr/>
      </xdr:nvSpPr>
      <xdr:spPr>
        <a:xfrm flipH="1" flipV="1">
          <a:off x="10956960" y="1212480"/>
          <a:ext cx="1754280" cy="2462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31</xdr:col>
      <xdr:colOff>0</xdr:colOff>
      <xdr:row>236</xdr:row>
      <xdr:rowOff>18720</xdr:rowOff>
    </xdr:from>
    <xdr:to>
      <xdr:col>31</xdr:col>
      <xdr:colOff>0</xdr:colOff>
      <xdr:row>236</xdr:row>
      <xdr:rowOff>133200</xdr:rowOff>
    </xdr:to>
    <xdr:sp>
      <xdr:nvSpPr>
        <xdr:cNvPr id="282" name="Прямая соединительная линия 487"/>
        <xdr:cNvSpPr/>
      </xdr:nvSpPr>
      <xdr:spPr>
        <a:xfrm>
          <a:off x="12146760" y="7086600"/>
          <a:ext cx="0" cy="1144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124200</xdr:colOff>
      <xdr:row>616</xdr:row>
      <xdr:rowOff>0</xdr:rowOff>
    </xdr:from>
    <xdr:to>
      <xdr:col>13</xdr:col>
      <xdr:colOff>6840</xdr:colOff>
      <xdr:row>616</xdr:row>
      <xdr:rowOff>142560</xdr:rowOff>
    </xdr:to>
    <xdr:sp>
      <xdr:nvSpPr>
        <xdr:cNvPr id="283" name="Прямая соединительная линия 488"/>
        <xdr:cNvSpPr/>
      </xdr:nvSpPr>
      <xdr:spPr>
        <a:xfrm flipH="1">
          <a:off x="7306200" y="9583920"/>
          <a:ext cx="115524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6840</xdr:colOff>
      <xdr:row>616</xdr:row>
      <xdr:rowOff>720</xdr:rowOff>
    </xdr:from>
    <xdr:to>
      <xdr:col>18</xdr:col>
      <xdr:colOff>67320</xdr:colOff>
      <xdr:row>616</xdr:row>
      <xdr:rowOff>67320</xdr:rowOff>
    </xdr:to>
    <xdr:sp>
      <xdr:nvSpPr>
        <xdr:cNvPr id="284" name="Прямая соединительная линия 490"/>
        <xdr:cNvSpPr/>
      </xdr:nvSpPr>
      <xdr:spPr>
        <a:xfrm flipH="1" flipV="1">
          <a:off x="8461440" y="9584280"/>
          <a:ext cx="114876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21</xdr:col>
      <xdr:colOff>133560</xdr:colOff>
      <xdr:row>616</xdr:row>
      <xdr:rowOff>19440</xdr:rowOff>
    </xdr:from>
    <xdr:to>
      <xdr:col>26</xdr:col>
      <xdr:colOff>171720</xdr:colOff>
      <xdr:row>616</xdr:row>
      <xdr:rowOff>76680</xdr:rowOff>
    </xdr:to>
    <xdr:sp>
      <xdr:nvSpPr>
        <xdr:cNvPr id="285" name="Прямая соединительная линия 491"/>
        <xdr:cNvSpPr/>
      </xdr:nvSpPr>
      <xdr:spPr>
        <a:xfrm flipH="1" flipV="1">
          <a:off x="10362240" y="9603000"/>
          <a:ext cx="9968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285840</xdr:colOff>
      <xdr:row>616</xdr:row>
      <xdr:rowOff>19440</xdr:rowOff>
    </xdr:from>
    <xdr:to>
      <xdr:col>11</xdr:col>
      <xdr:colOff>1080</xdr:colOff>
      <xdr:row>616</xdr:row>
      <xdr:rowOff>124200</xdr:rowOff>
    </xdr:to>
    <xdr:sp>
      <xdr:nvSpPr>
        <xdr:cNvPr id="286" name="Прямая соединительная линия 493"/>
        <xdr:cNvSpPr/>
      </xdr:nvSpPr>
      <xdr:spPr>
        <a:xfrm flipH="1">
          <a:off x="7468200" y="9603000"/>
          <a:ext cx="60408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114120</xdr:colOff>
      <xdr:row>616</xdr:row>
      <xdr:rowOff>114840</xdr:rowOff>
    </xdr:from>
    <xdr:to>
      <xdr:col>19</xdr:col>
      <xdr:colOff>152280</xdr:colOff>
      <xdr:row>616</xdr:row>
      <xdr:rowOff>133920</xdr:rowOff>
    </xdr:to>
    <xdr:sp>
      <xdr:nvSpPr>
        <xdr:cNvPr id="287" name="Прямая соединительная линия 495"/>
        <xdr:cNvSpPr/>
      </xdr:nvSpPr>
      <xdr:spPr>
        <a:xfrm flipH="1" flipV="1">
          <a:off x="8760600" y="9698400"/>
          <a:ext cx="112680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162360</xdr:colOff>
      <xdr:row>616</xdr:row>
      <xdr:rowOff>29160</xdr:rowOff>
    </xdr:from>
    <xdr:to>
      <xdr:col>26</xdr:col>
      <xdr:colOff>1800</xdr:colOff>
      <xdr:row>616</xdr:row>
      <xdr:rowOff>143280</xdr:rowOff>
    </xdr:to>
    <xdr:sp>
      <xdr:nvSpPr>
        <xdr:cNvPr id="288" name="Прямая соединительная линия 496"/>
        <xdr:cNvSpPr/>
      </xdr:nvSpPr>
      <xdr:spPr>
        <a:xfrm flipH="1">
          <a:off x="9383760" y="9612720"/>
          <a:ext cx="1805400" cy="114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142920</xdr:colOff>
      <xdr:row>616</xdr:row>
      <xdr:rowOff>18720</xdr:rowOff>
    </xdr:from>
    <xdr:to>
      <xdr:col>16</xdr:col>
      <xdr:colOff>76320</xdr:colOff>
      <xdr:row>616</xdr:row>
      <xdr:rowOff>56880</xdr:rowOff>
    </xdr:to>
    <xdr:sp>
      <xdr:nvSpPr>
        <xdr:cNvPr id="289" name="Прямая соединительная линия 499"/>
        <xdr:cNvSpPr/>
      </xdr:nvSpPr>
      <xdr:spPr>
        <a:xfrm flipH="1">
          <a:off x="8022240" y="9602640"/>
          <a:ext cx="108396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74160</xdr:colOff>
      <xdr:row>616</xdr:row>
      <xdr:rowOff>48240</xdr:rowOff>
    </xdr:from>
    <xdr:to>
      <xdr:col>18</xdr:col>
      <xdr:colOff>50760</xdr:colOff>
      <xdr:row>616</xdr:row>
      <xdr:rowOff>76680</xdr:rowOff>
    </xdr:to>
    <xdr:sp>
      <xdr:nvSpPr>
        <xdr:cNvPr id="290" name="Прямая соединительная линия 500"/>
        <xdr:cNvSpPr/>
      </xdr:nvSpPr>
      <xdr:spPr>
        <a:xfrm flipH="1" flipV="1">
          <a:off x="8529120" y="9631800"/>
          <a:ext cx="106488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56880</xdr:colOff>
      <xdr:row>616</xdr:row>
      <xdr:rowOff>57600</xdr:rowOff>
    </xdr:from>
    <xdr:to>
      <xdr:col>18</xdr:col>
      <xdr:colOff>56880</xdr:colOff>
      <xdr:row>616</xdr:row>
      <xdr:rowOff>105480</xdr:rowOff>
    </xdr:to>
    <xdr:sp>
      <xdr:nvSpPr>
        <xdr:cNvPr id="291" name="Прямая соединительная линия 502"/>
        <xdr:cNvSpPr/>
      </xdr:nvSpPr>
      <xdr:spPr>
        <a:xfrm>
          <a:off x="9600120" y="964116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171360</xdr:colOff>
      <xdr:row>616</xdr:row>
      <xdr:rowOff>57600</xdr:rowOff>
    </xdr:from>
    <xdr:to>
      <xdr:col>26</xdr:col>
      <xdr:colOff>171360</xdr:colOff>
      <xdr:row>616</xdr:row>
      <xdr:rowOff>105480</xdr:rowOff>
    </xdr:to>
    <xdr:sp>
      <xdr:nvSpPr>
        <xdr:cNvPr id="292" name="Прямая соединительная линия 503"/>
        <xdr:cNvSpPr/>
      </xdr:nvSpPr>
      <xdr:spPr>
        <a:xfrm>
          <a:off x="11359080" y="9641160"/>
          <a:ext cx="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180720</xdr:colOff>
      <xdr:row>616</xdr:row>
      <xdr:rowOff>57600</xdr:rowOff>
    </xdr:from>
    <xdr:to>
      <xdr:col>18</xdr:col>
      <xdr:colOff>192240</xdr:colOff>
      <xdr:row>616</xdr:row>
      <xdr:rowOff>105480</xdr:rowOff>
    </xdr:to>
    <xdr:sp>
      <xdr:nvSpPr>
        <xdr:cNvPr id="293" name="Прямая соединительная линия 508"/>
        <xdr:cNvSpPr/>
      </xdr:nvSpPr>
      <xdr:spPr>
        <a:xfrm>
          <a:off x="9723960" y="9641160"/>
          <a:ext cx="11520" cy="47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720</xdr:colOff>
      <xdr:row>616</xdr:row>
      <xdr:rowOff>85680</xdr:rowOff>
    </xdr:from>
    <xdr:to>
      <xdr:col>26</xdr:col>
      <xdr:colOff>10080</xdr:colOff>
      <xdr:row>616</xdr:row>
      <xdr:rowOff>95040</xdr:rowOff>
    </xdr:to>
    <xdr:sp>
      <xdr:nvSpPr>
        <xdr:cNvPr id="294" name="Прямая соединительная линия 512"/>
        <xdr:cNvSpPr/>
      </xdr:nvSpPr>
      <xdr:spPr>
        <a:xfrm flipH="1">
          <a:off x="9735480" y="9669600"/>
          <a:ext cx="14619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104760</xdr:colOff>
      <xdr:row>616</xdr:row>
      <xdr:rowOff>19440</xdr:rowOff>
    </xdr:from>
    <xdr:to>
      <xdr:col>17</xdr:col>
      <xdr:colOff>104760</xdr:colOff>
      <xdr:row>616</xdr:row>
      <xdr:rowOff>114840</xdr:rowOff>
    </xdr:to>
    <xdr:sp>
      <xdr:nvSpPr>
        <xdr:cNvPr id="295" name="Прямая соединительная линия 513"/>
        <xdr:cNvSpPr/>
      </xdr:nvSpPr>
      <xdr:spPr>
        <a:xfrm>
          <a:off x="9326520" y="9603000"/>
          <a:ext cx="0" cy="95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25</xdr:col>
      <xdr:colOff>171360</xdr:colOff>
      <xdr:row>616</xdr:row>
      <xdr:rowOff>0</xdr:rowOff>
    </xdr:from>
    <xdr:to>
      <xdr:col>25</xdr:col>
      <xdr:colOff>171360</xdr:colOff>
      <xdr:row>616</xdr:row>
      <xdr:rowOff>133200</xdr:rowOff>
    </xdr:to>
    <xdr:sp>
      <xdr:nvSpPr>
        <xdr:cNvPr id="296" name="Прямая соединительная линия 517"/>
        <xdr:cNvSpPr/>
      </xdr:nvSpPr>
      <xdr:spPr>
        <a:xfrm>
          <a:off x="11167560" y="9583920"/>
          <a:ext cx="0" cy="133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360</xdr:colOff>
      <xdr:row>616</xdr:row>
      <xdr:rowOff>48240</xdr:rowOff>
    </xdr:from>
    <xdr:to>
      <xdr:col>25</xdr:col>
      <xdr:colOff>162000</xdr:colOff>
      <xdr:row>616</xdr:row>
      <xdr:rowOff>124200</xdr:rowOff>
    </xdr:to>
    <xdr:sp>
      <xdr:nvSpPr>
        <xdr:cNvPr id="297" name="Прямая соединительная линия 519"/>
        <xdr:cNvSpPr/>
      </xdr:nvSpPr>
      <xdr:spPr>
        <a:xfrm flipH="1">
          <a:off x="9735480" y="9631800"/>
          <a:ext cx="142272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86040</xdr:colOff>
      <xdr:row>616</xdr:row>
      <xdr:rowOff>28440</xdr:rowOff>
    </xdr:from>
    <xdr:to>
      <xdr:col>26</xdr:col>
      <xdr:colOff>19080</xdr:colOff>
      <xdr:row>616</xdr:row>
      <xdr:rowOff>152280</xdr:rowOff>
    </xdr:to>
    <xdr:sp>
      <xdr:nvSpPr>
        <xdr:cNvPr id="298" name="Прямая соединительная линия 522"/>
        <xdr:cNvSpPr/>
      </xdr:nvSpPr>
      <xdr:spPr>
        <a:xfrm flipH="1" flipV="1">
          <a:off x="9307440" y="9612360"/>
          <a:ext cx="1899000" cy="1238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180720</xdr:colOff>
      <xdr:row>616</xdr:row>
      <xdr:rowOff>104760</xdr:rowOff>
    </xdr:from>
    <xdr:to>
      <xdr:col>25</xdr:col>
      <xdr:colOff>180720</xdr:colOff>
      <xdr:row>616</xdr:row>
      <xdr:rowOff>114120</xdr:rowOff>
    </xdr:to>
    <xdr:sp>
      <xdr:nvSpPr>
        <xdr:cNvPr id="299" name="Прямая соединительная линия 529"/>
        <xdr:cNvSpPr/>
      </xdr:nvSpPr>
      <xdr:spPr>
        <a:xfrm flipH="1">
          <a:off x="9723960" y="9688680"/>
          <a:ext cx="1452960" cy="93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152640</xdr:colOff>
      <xdr:row>616</xdr:row>
      <xdr:rowOff>18720</xdr:rowOff>
    </xdr:from>
    <xdr:to>
      <xdr:col>17</xdr:col>
      <xdr:colOff>105120</xdr:colOff>
      <xdr:row>616</xdr:row>
      <xdr:rowOff>117360</xdr:rowOff>
    </xdr:to>
    <xdr:sp>
      <xdr:nvSpPr>
        <xdr:cNvPr id="300" name="Прямая соединительная линия 531"/>
        <xdr:cNvSpPr/>
      </xdr:nvSpPr>
      <xdr:spPr>
        <a:xfrm flipH="1">
          <a:off x="8032320" y="9602640"/>
          <a:ext cx="1294560" cy="98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152640</xdr:colOff>
      <xdr:row>616</xdr:row>
      <xdr:rowOff>56880</xdr:rowOff>
    </xdr:from>
    <xdr:to>
      <xdr:col>17</xdr:col>
      <xdr:colOff>105120</xdr:colOff>
      <xdr:row>616</xdr:row>
      <xdr:rowOff>155520</xdr:rowOff>
    </xdr:to>
    <xdr:sp>
      <xdr:nvSpPr>
        <xdr:cNvPr id="301" name="Прямая соединительная линия 532"/>
        <xdr:cNvSpPr/>
      </xdr:nvSpPr>
      <xdr:spPr>
        <a:xfrm flipH="1">
          <a:off x="8032320" y="9640800"/>
          <a:ext cx="1294560" cy="98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95400</xdr:colOff>
      <xdr:row>616</xdr:row>
      <xdr:rowOff>67320</xdr:rowOff>
    </xdr:from>
    <xdr:to>
      <xdr:col>26</xdr:col>
      <xdr:colOff>9720</xdr:colOff>
      <xdr:row>616</xdr:row>
      <xdr:rowOff>86400</xdr:rowOff>
    </xdr:to>
    <xdr:sp>
      <xdr:nvSpPr>
        <xdr:cNvPr id="302" name="Прямая соединительная линия 534"/>
        <xdr:cNvSpPr/>
      </xdr:nvSpPr>
      <xdr:spPr>
        <a:xfrm flipH="1" flipV="1">
          <a:off x="9316800" y="9650880"/>
          <a:ext cx="188028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114120</xdr:colOff>
      <xdr:row>616</xdr:row>
      <xdr:rowOff>29160</xdr:rowOff>
    </xdr:from>
    <xdr:to>
      <xdr:col>25</xdr:col>
      <xdr:colOff>171360</xdr:colOff>
      <xdr:row>616</xdr:row>
      <xdr:rowOff>48240</xdr:rowOff>
    </xdr:to>
    <xdr:sp>
      <xdr:nvSpPr>
        <xdr:cNvPr id="303" name="Прямая соединительная линия 535"/>
        <xdr:cNvSpPr/>
      </xdr:nvSpPr>
      <xdr:spPr>
        <a:xfrm flipH="1" flipV="1">
          <a:off x="9335880" y="9612720"/>
          <a:ext cx="183168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34</xdr:col>
      <xdr:colOff>25560</xdr:colOff>
      <xdr:row>616</xdr:row>
      <xdr:rowOff>122760</xdr:rowOff>
    </xdr:from>
    <xdr:to>
      <xdr:col>37</xdr:col>
      <xdr:colOff>180360</xdr:colOff>
      <xdr:row>616</xdr:row>
      <xdr:rowOff>179280</xdr:rowOff>
    </xdr:to>
    <xdr:sp>
      <xdr:nvSpPr>
        <xdr:cNvPr id="304" name="Соединительная линия уступом 543"/>
        <xdr:cNvSpPr/>
      </xdr:nvSpPr>
      <xdr:spPr>
        <a:xfrm flipV="1" rot="10800000">
          <a:off x="12147120" y="9650160"/>
          <a:ext cx="730080" cy="565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142920</xdr:colOff>
      <xdr:row>616</xdr:row>
      <xdr:rowOff>38160</xdr:rowOff>
    </xdr:from>
    <xdr:to>
      <xdr:col>18</xdr:col>
      <xdr:colOff>142200</xdr:colOff>
      <xdr:row>616</xdr:row>
      <xdr:rowOff>56520</xdr:rowOff>
    </xdr:to>
    <xdr:sp>
      <xdr:nvSpPr>
        <xdr:cNvPr id="305" name="Соединительная линия уступом 545"/>
        <xdr:cNvSpPr/>
      </xdr:nvSpPr>
      <xdr:spPr>
        <a:xfrm>
          <a:off x="7325280" y="9622080"/>
          <a:ext cx="2360160" cy="18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95400</xdr:colOff>
      <xdr:row>616</xdr:row>
      <xdr:rowOff>104760</xdr:rowOff>
    </xdr:from>
    <xdr:to>
      <xdr:col>20</xdr:col>
      <xdr:colOff>18360</xdr:colOff>
      <xdr:row>616</xdr:row>
      <xdr:rowOff>142200</xdr:rowOff>
    </xdr:to>
    <xdr:sp>
      <xdr:nvSpPr>
        <xdr:cNvPr id="306" name="Дуга 546"/>
        <xdr:cNvSpPr/>
      </xdr:nvSpPr>
      <xdr:spPr>
        <a:xfrm>
          <a:off x="9125640" y="9688680"/>
          <a:ext cx="819360" cy="37440"/>
        </a:xfrm>
        <a:prstGeom prst="arc">
          <a:avLst>
            <a:gd name="adj1" fmla="val 16315971"/>
            <a:gd name="adj2" fmla="val 18118213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46800</xdr:colOff>
      <xdr:row>311</xdr:row>
      <xdr:rowOff>57240</xdr:rowOff>
    </xdr:from>
    <xdr:to>
      <xdr:col>32</xdr:col>
      <xdr:colOff>122400</xdr:colOff>
      <xdr:row>311</xdr:row>
      <xdr:rowOff>113760</xdr:rowOff>
    </xdr:to>
    <xdr:sp>
      <xdr:nvSpPr>
        <xdr:cNvPr id="307" name="Дуга 548"/>
        <xdr:cNvSpPr/>
      </xdr:nvSpPr>
      <xdr:spPr>
        <a:xfrm flipH="1">
          <a:off x="11234520" y="7844040"/>
          <a:ext cx="1226520" cy="5652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41</xdr:col>
      <xdr:colOff>118440</xdr:colOff>
      <xdr:row>311</xdr:row>
      <xdr:rowOff>113400</xdr:rowOff>
    </xdr:from>
    <xdr:to>
      <xdr:col>45</xdr:col>
      <xdr:colOff>346680</xdr:colOff>
      <xdr:row>311</xdr:row>
      <xdr:rowOff>169920</xdr:rowOff>
    </xdr:to>
    <xdr:sp>
      <xdr:nvSpPr>
        <xdr:cNvPr id="308" name="Соединительная линия уступом 549"/>
        <xdr:cNvSpPr/>
      </xdr:nvSpPr>
      <xdr:spPr>
        <a:xfrm flipV="1" rot="10800000">
          <a:off x="12861360" y="7843680"/>
          <a:ext cx="1451160" cy="565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9360</xdr:colOff>
      <xdr:row>352</xdr:row>
      <xdr:rowOff>56880</xdr:rowOff>
    </xdr:from>
    <xdr:to>
      <xdr:col>30</xdr:col>
      <xdr:colOff>192240</xdr:colOff>
      <xdr:row>352</xdr:row>
      <xdr:rowOff>142560</xdr:rowOff>
    </xdr:to>
    <xdr:sp>
      <xdr:nvSpPr>
        <xdr:cNvPr id="309" name="Прямая соединительная линия 551"/>
        <xdr:cNvSpPr/>
      </xdr:nvSpPr>
      <xdr:spPr>
        <a:xfrm flipH="1" flipV="1">
          <a:off x="11388960" y="8202960"/>
          <a:ext cx="758160" cy="856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66600</xdr:colOff>
      <xdr:row>352</xdr:row>
      <xdr:rowOff>47520</xdr:rowOff>
    </xdr:from>
    <xdr:to>
      <xdr:col>27</xdr:col>
      <xdr:colOff>9360</xdr:colOff>
      <xdr:row>352</xdr:row>
      <xdr:rowOff>85680</xdr:rowOff>
    </xdr:to>
    <xdr:sp>
      <xdr:nvSpPr>
        <xdr:cNvPr id="310" name="Прямая соединительная линия 552"/>
        <xdr:cNvSpPr/>
      </xdr:nvSpPr>
      <xdr:spPr>
        <a:xfrm flipV="1">
          <a:off x="10679040" y="8193600"/>
          <a:ext cx="709920" cy="38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23</xdr:col>
      <xdr:colOff>95760</xdr:colOff>
      <xdr:row>352</xdr:row>
      <xdr:rowOff>86400</xdr:rowOff>
    </xdr:from>
    <xdr:to>
      <xdr:col>30</xdr:col>
      <xdr:colOff>172080</xdr:colOff>
      <xdr:row>352</xdr:row>
      <xdr:rowOff>124200</xdr:rowOff>
    </xdr:to>
    <xdr:sp>
      <xdr:nvSpPr>
        <xdr:cNvPr id="311" name="Прямая соединительная линия 553"/>
        <xdr:cNvSpPr/>
      </xdr:nvSpPr>
      <xdr:spPr>
        <a:xfrm flipH="1" flipV="1">
          <a:off x="10707840" y="8232120"/>
          <a:ext cx="1418760" cy="378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86040</xdr:colOff>
      <xdr:row>415</xdr:row>
      <xdr:rowOff>28440</xdr:rowOff>
    </xdr:from>
    <xdr:to>
      <xdr:col>13</xdr:col>
      <xdr:colOff>123480</xdr:colOff>
      <xdr:row>415</xdr:row>
      <xdr:rowOff>37080</xdr:rowOff>
    </xdr:to>
    <xdr:sp>
      <xdr:nvSpPr>
        <xdr:cNvPr id="312" name="Соединительная линия уступом 554"/>
        <xdr:cNvSpPr/>
      </xdr:nvSpPr>
      <xdr:spPr>
        <a:xfrm flipV="1">
          <a:off x="7268040" y="8534160"/>
          <a:ext cx="1310040" cy="86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95760</xdr:colOff>
      <xdr:row>145</xdr:row>
      <xdr:rowOff>95040</xdr:rowOff>
    </xdr:from>
    <xdr:to>
      <xdr:col>19</xdr:col>
      <xdr:colOff>133920</xdr:colOff>
      <xdr:row>145</xdr:row>
      <xdr:rowOff>95040</xdr:rowOff>
    </xdr:to>
    <xdr:sp>
      <xdr:nvSpPr>
        <xdr:cNvPr id="313" name="Прямая соединительная линия 556"/>
        <xdr:cNvSpPr/>
      </xdr:nvSpPr>
      <xdr:spPr>
        <a:xfrm flipH="1">
          <a:off x="7783200" y="6442920"/>
          <a:ext cx="20854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141480</xdr:colOff>
      <xdr:row>193</xdr:row>
      <xdr:rowOff>30600</xdr:rowOff>
    </xdr:from>
    <xdr:to>
      <xdr:col>28</xdr:col>
      <xdr:colOff>174960</xdr:colOff>
      <xdr:row>193</xdr:row>
      <xdr:rowOff>95760</xdr:rowOff>
    </xdr:to>
    <xdr:sp>
      <xdr:nvSpPr>
        <xdr:cNvPr id="314" name="Прямая соединительная линия 660"/>
        <xdr:cNvSpPr/>
      </xdr:nvSpPr>
      <xdr:spPr>
        <a:xfrm flipH="1" flipV="1">
          <a:off x="8787960" y="6738840"/>
          <a:ext cx="2958480" cy="65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42840</xdr:colOff>
      <xdr:row>193</xdr:row>
      <xdr:rowOff>0</xdr:rowOff>
    </xdr:from>
    <xdr:to>
      <xdr:col>17</xdr:col>
      <xdr:colOff>43200</xdr:colOff>
      <xdr:row>193</xdr:row>
      <xdr:rowOff>56520</xdr:rowOff>
    </xdr:to>
    <xdr:sp>
      <xdr:nvSpPr>
        <xdr:cNvPr id="315" name="Прямая со стрелкой 665"/>
        <xdr:cNvSpPr/>
      </xdr:nvSpPr>
      <xdr:spPr>
        <a:xfrm flipH="1">
          <a:off x="9264600" y="6708600"/>
          <a:ext cx="360" cy="565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149040</xdr:colOff>
      <xdr:row>193</xdr:row>
      <xdr:rowOff>71280</xdr:rowOff>
    </xdr:from>
    <xdr:to>
      <xdr:col>28</xdr:col>
      <xdr:colOff>149040</xdr:colOff>
      <xdr:row>193</xdr:row>
      <xdr:rowOff>141120</xdr:rowOff>
    </xdr:to>
    <xdr:sp>
      <xdr:nvSpPr>
        <xdr:cNvPr id="316" name="Прямая соединительная линия 669"/>
        <xdr:cNvSpPr/>
      </xdr:nvSpPr>
      <xdr:spPr>
        <a:xfrm>
          <a:off x="11720520" y="677988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7920</xdr:colOff>
      <xdr:row>193</xdr:row>
      <xdr:rowOff>9360</xdr:rowOff>
    </xdr:from>
    <xdr:to>
      <xdr:col>7</xdr:col>
      <xdr:colOff>9360</xdr:colOff>
      <xdr:row>193</xdr:row>
      <xdr:rowOff>9360</xdr:rowOff>
    </xdr:to>
    <xdr:sp>
      <xdr:nvSpPr>
        <xdr:cNvPr id="317" name="Прямая соединительная линия 671"/>
        <xdr:cNvSpPr/>
      </xdr:nvSpPr>
      <xdr:spPr>
        <a:xfrm flipH="1">
          <a:off x="7190280" y="671796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151200</xdr:colOff>
      <xdr:row>193</xdr:row>
      <xdr:rowOff>38520</xdr:rowOff>
    </xdr:from>
    <xdr:to>
      <xdr:col>14</xdr:col>
      <xdr:colOff>153000</xdr:colOff>
      <xdr:row>193</xdr:row>
      <xdr:rowOff>79920</xdr:rowOff>
    </xdr:to>
    <xdr:sp>
      <xdr:nvSpPr>
        <xdr:cNvPr id="318" name="Прямая соединительная линия 672"/>
        <xdr:cNvSpPr/>
      </xdr:nvSpPr>
      <xdr:spPr>
        <a:xfrm flipH="1">
          <a:off x="8797320" y="674676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133560</xdr:colOff>
      <xdr:row>193</xdr:row>
      <xdr:rowOff>18720</xdr:rowOff>
    </xdr:from>
    <xdr:to>
      <xdr:col>28</xdr:col>
      <xdr:colOff>162000</xdr:colOff>
      <xdr:row>193</xdr:row>
      <xdr:rowOff>85680</xdr:rowOff>
    </xdr:to>
    <xdr:sp>
      <xdr:nvSpPr>
        <xdr:cNvPr id="319" name="Прямая соединительная линия 675"/>
        <xdr:cNvSpPr/>
      </xdr:nvSpPr>
      <xdr:spPr>
        <a:xfrm flipH="1" flipV="1">
          <a:off x="8780040" y="6727320"/>
          <a:ext cx="2953440" cy="66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257760</xdr:colOff>
      <xdr:row>193</xdr:row>
      <xdr:rowOff>84600</xdr:rowOff>
    </xdr:from>
    <xdr:to>
      <xdr:col>28</xdr:col>
      <xdr:colOff>135360</xdr:colOff>
      <xdr:row>193</xdr:row>
      <xdr:rowOff>173520</xdr:rowOff>
    </xdr:to>
    <xdr:sp>
      <xdr:nvSpPr>
        <xdr:cNvPr id="320" name="Прямая соединительная линия 676"/>
        <xdr:cNvSpPr/>
      </xdr:nvSpPr>
      <xdr:spPr>
        <a:xfrm flipH="1">
          <a:off x="10184040" y="6792840"/>
          <a:ext cx="1522440" cy="88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188640</xdr:colOff>
      <xdr:row>193</xdr:row>
      <xdr:rowOff>123480</xdr:rowOff>
    </xdr:from>
    <xdr:to>
      <xdr:col>20</xdr:col>
      <xdr:colOff>188640</xdr:colOff>
      <xdr:row>193</xdr:row>
      <xdr:rowOff>174600</xdr:rowOff>
    </xdr:to>
    <xdr:sp>
      <xdr:nvSpPr>
        <xdr:cNvPr id="321" name="Прямая соединительная линия 677"/>
        <xdr:cNvSpPr/>
      </xdr:nvSpPr>
      <xdr:spPr>
        <a:xfrm>
          <a:off x="10115280" y="683208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6480</xdr:colOff>
      <xdr:row>193</xdr:row>
      <xdr:rowOff>37080</xdr:rowOff>
    </xdr:from>
    <xdr:to>
      <xdr:col>27</xdr:col>
      <xdr:colOff>167040</xdr:colOff>
      <xdr:row>193</xdr:row>
      <xdr:rowOff>143280</xdr:rowOff>
    </xdr:to>
    <xdr:sp>
      <xdr:nvSpPr>
        <xdr:cNvPr id="322" name="Прямая соединительная линия 690"/>
        <xdr:cNvSpPr/>
      </xdr:nvSpPr>
      <xdr:spPr>
        <a:xfrm flipH="1" flipV="1">
          <a:off x="8652960" y="6745320"/>
          <a:ext cx="289368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55800</xdr:colOff>
      <xdr:row>193</xdr:row>
      <xdr:rowOff>148320</xdr:rowOff>
    </xdr:from>
    <xdr:to>
      <xdr:col>15</xdr:col>
      <xdr:colOff>74880</xdr:colOff>
      <xdr:row>193</xdr:row>
      <xdr:rowOff>167400</xdr:rowOff>
    </xdr:to>
    <xdr:sp>
      <xdr:nvSpPr>
        <xdr:cNvPr id="323" name="Прямая соединительная линия 691"/>
        <xdr:cNvSpPr/>
      </xdr:nvSpPr>
      <xdr:spPr>
        <a:xfrm flipH="1">
          <a:off x="7743240" y="6856560"/>
          <a:ext cx="11696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193</xdr:row>
      <xdr:rowOff>28440</xdr:rowOff>
    </xdr:from>
    <xdr:to>
      <xdr:col>14</xdr:col>
      <xdr:colOff>8640</xdr:colOff>
      <xdr:row>193</xdr:row>
      <xdr:rowOff>84960</xdr:rowOff>
    </xdr:to>
    <xdr:sp>
      <xdr:nvSpPr>
        <xdr:cNvPr id="324" name="Дуга 697"/>
        <xdr:cNvSpPr/>
      </xdr:nvSpPr>
      <xdr:spPr>
        <a:xfrm>
          <a:off x="8051040" y="6737040"/>
          <a:ext cx="604080" cy="5652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119160</xdr:colOff>
      <xdr:row>193</xdr:row>
      <xdr:rowOff>39600</xdr:rowOff>
    </xdr:from>
    <xdr:to>
      <xdr:col>27</xdr:col>
      <xdr:colOff>19080</xdr:colOff>
      <xdr:row>193</xdr:row>
      <xdr:rowOff>63360</xdr:rowOff>
    </xdr:to>
    <xdr:sp>
      <xdr:nvSpPr>
        <xdr:cNvPr id="325" name="Прямая соединительная линия 711"/>
        <xdr:cNvSpPr/>
      </xdr:nvSpPr>
      <xdr:spPr>
        <a:xfrm flipH="1">
          <a:off x="9854280" y="6748200"/>
          <a:ext cx="1544400" cy="23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181080</xdr:colOff>
      <xdr:row>193</xdr:row>
      <xdr:rowOff>37800</xdr:rowOff>
    </xdr:from>
    <xdr:to>
      <xdr:col>26</xdr:col>
      <xdr:colOff>38160</xdr:colOff>
      <xdr:row>193</xdr:row>
      <xdr:rowOff>37800</xdr:rowOff>
    </xdr:to>
    <xdr:sp>
      <xdr:nvSpPr>
        <xdr:cNvPr id="326" name="Прямая соединительная линия 727"/>
        <xdr:cNvSpPr/>
      </xdr:nvSpPr>
      <xdr:spPr>
        <a:xfrm flipH="1">
          <a:off x="10107720" y="6746400"/>
          <a:ext cx="1118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38160</xdr:colOff>
      <xdr:row>193</xdr:row>
      <xdr:rowOff>38520</xdr:rowOff>
    </xdr:from>
    <xdr:to>
      <xdr:col>15</xdr:col>
      <xdr:colOff>57240</xdr:colOff>
      <xdr:row>193</xdr:row>
      <xdr:rowOff>57600</xdr:rowOff>
    </xdr:to>
    <xdr:sp>
      <xdr:nvSpPr>
        <xdr:cNvPr id="327" name="Прямая соединительная линия 733"/>
        <xdr:cNvSpPr/>
      </xdr:nvSpPr>
      <xdr:spPr>
        <a:xfrm flipH="1">
          <a:off x="7725600" y="6746760"/>
          <a:ext cx="11696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141480</xdr:colOff>
      <xdr:row>193</xdr:row>
      <xdr:rowOff>30600</xdr:rowOff>
    </xdr:from>
    <xdr:to>
      <xdr:col>28</xdr:col>
      <xdr:colOff>174960</xdr:colOff>
      <xdr:row>193</xdr:row>
      <xdr:rowOff>95760</xdr:rowOff>
    </xdr:to>
    <xdr:sp>
      <xdr:nvSpPr>
        <xdr:cNvPr id="328" name="Прямая соединительная линия 742"/>
        <xdr:cNvSpPr/>
      </xdr:nvSpPr>
      <xdr:spPr>
        <a:xfrm flipH="1" flipV="1">
          <a:off x="8787960" y="6738840"/>
          <a:ext cx="2958480" cy="651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42840</xdr:colOff>
      <xdr:row>193</xdr:row>
      <xdr:rowOff>0</xdr:rowOff>
    </xdr:from>
    <xdr:to>
      <xdr:col>17</xdr:col>
      <xdr:colOff>43200</xdr:colOff>
      <xdr:row>193</xdr:row>
      <xdr:rowOff>56520</xdr:rowOff>
    </xdr:to>
    <xdr:sp>
      <xdr:nvSpPr>
        <xdr:cNvPr id="329" name="Прямая со стрелкой 744"/>
        <xdr:cNvSpPr/>
      </xdr:nvSpPr>
      <xdr:spPr>
        <a:xfrm flipH="1">
          <a:off x="9264600" y="6708600"/>
          <a:ext cx="360" cy="565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28</xdr:col>
      <xdr:colOff>149040</xdr:colOff>
      <xdr:row>193</xdr:row>
      <xdr:rowOff>71280</xdr:rowOff>
    </xdr:from>
    <xdr:to>
      <xdr:col>28</xdr:col>
      <xdr:colOff>149040</xdr:colOff>
      <xdr:row>193</xdr:row>
      <xdr:rowOff>141120</xdr:rowOff>
    </xdr:to>
    <xdr:sp>
      <xdr:nvSpPr>
        <xdr:cNvPr id="330" name="Прямая соединительная линия 748"/>
        <xdr:cNvSpPr/>
      </xdr:nvSpPr>
      <xdr:spPr>
        <a:xfrm>
          <a:off x="11720520" y="677988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17280</xdr:colOff>
      <xdr:row>193</xdr:row>
      <xdr:rowOff>37800</xdr:rowOff>
    </xdr:from>
    <xdr:to>
      <xdr:col>7</xdr:col>
      <xdr:colOff>18720</xdr:colOff>
      <xdr:row>193</xdr:row>
      <xdr:rowOff>37800</xdr:rowOff>
    </xdr:to>
    <xdr:sp>
      <xdr:nvSpPr>
        <xdr:cNvPr id="331" name="Прямая соединительная линия 750"/>
        <xdr:cNvSpPr/>
      </xdr:nvSpPr>
      <xdr:spPr>
        <a:xfrm flipH="1">
          <a:off x="7199640" y="674640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151200</xdr:colOff>
      <xdr:row>193</xdr:row>
      <xdr:rowOff>38520</xdr:rowOff>
    </xdr:from>
    <xdr:to>
      <xdr:col>14</xdr:col>
      <xdr:colOff>153000</xdr:colOff>
      <xdr:row>193</xdr:row>
      <xdr:rowOff>79920</xdr:rowOff>
    </xdr:to>
    <xdr:sp>
      <xdr:nvSpPr>
        <xdr:cNvPr id="332" name="Прямая соединительная линия 751"/>
        <xdr:cNvSpPr/>
      </xdr:nvSpPr>
      <xdr:spPr>
        <a:xfrm flipH="1">
          <a:off x="8797320" y="674676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133560</xdr:colOff>
      <xdr:row>193</xdr:row>
      <xdr:rowOff>18720</xdr:rowOff>
    </xdr:from>
    <xdr:to>
      <xdr:col>28</xdr:col>
      <xdr:colOff>162000</xdr:colOff>
      <xdr:row>193</xdr:row>
      <xdr:rowOff>85680</xdr:rowOff>
    </xdr:to>
    <xdr:sp>
      <xdr:nvSpPr>
        <xdr:cNvPr id="333" name="Прямая соединительная линия 754"/>
        <xdr:cNvSpPr/>
      </xdr:nvSpPr>
      <xdr:spPr>
        <a:xfrm flipH="1" flipV="1">
          <a:off x="8780040" y="6727320"/>
          <a:ext cx="2953440" cy="66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257760</xdr:colOff>
      <xdr:row>193</xdr:row>
      <xdr:rowOff>84600</xdr:rowOff>
    </xdr:from>
    <xdr:to>
      <xdr:col>28</xdr:col>
      <xdr:colOff>135360</xdr:colOff>
      <xdr:row>193</xdr:row>
      <xdr:rowOff>173520</xdr:rowOff>
    </xdr:to>
    <xdr:sp>
      <xdr:nvSpPr>
        <xdr:cNvPr id="334" name="Прямая соединительная линия 755"/>
        <xdr:cNvSpPr/>
      </xdr:nvSpPr>
      <xdr:spPr>
        <a:xfrm flipH="1">
          <a:off x="10184040" y="6792840"/>
          <a:ext cx="1522440" cy="889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188640</xdr:colOff>
      <xdr:row>193</xdr:row>
      <xdr:rowOff>123480</xdr:rowOff>
    </xdr:from>
    <xdr:to>
      <xdr:col>20</xdr:col>
      <xdr:colOff>188640</xdr:colOff>
      <xdr:row>193</xdr:row>
      <xdr:rowOff>174600</xdr:rowOff>
    </xdr:to>
    <xdr:sp>
      <xdr:nvSpPr>
        <xdr:cNvPr id="335" name="Прямая соединительная линия 756"/>
        <xdr:cNvSpPr/>
      </xdr:nvSpPr>
      <xdr:spPr>
        <a:xfrm>
          <a:off x="10115280" y="683208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6480</xdr:colOff>
      <xdr:row>193</xdr:row>
      <xdr:rowOff>37080</xdr:rowOff>
    </xdr:from>
    <xdr:to>
      <xdr:col>27</xdr:col>
      <xdr:colOff>167040</xdr:colOff>
      <xdr:row>193</xdr:row>
      <xdr:rowOff>143280</xdr:rowOff>
    </xdr:to>
    <xdr:sp>
      <xdr:nvSpPr>
        <xdr:cNvPr id="336" name="Прямая соединительная линия 759"/>
        <xdr:cNvSpPr/>
      </xdr:nvSpPr>
      <xdr:spPr>
        <a:xfrm flipH="1" flipV="1">
          <a:off x="8652960" y="6745320"/>
          <a:ext cx="289368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55800</xdr:colOff>
      <xdr:row>193</xdr:row>
      <xdr:rowOff>148320</xdr:rowOff>
    </xdr:from>
    <xdr:to>
      <xdr:col>15</xdr:col>
      <xdr:colOff>74880</xdr:colOff>
      <xdr:row>193</xdr:row>
      <xdr:rowOff>167400</xdr:rowOff>
    </xdr:to>
    <xdr:sp>
      <xdr:nvSpPr>
        <xdr:cNvPr id="337" name="Прямая соединительная линия 760"/>
        <xdr:cNvSpPr/>
      </xdr:nvSpPr>
      <xdr:spPr>
        <a:xfrm flipH="1">
          <a:off x="7743240" y="6856560"/>
          <a:ext cx="11696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193</xdr:row>
      <xdr:rowOff>28440</xdr:rowOff>
    </xdr:from>
    <xdr:to>
      <xdr:col>14</xdr:col>
      <xdr:colOff>8640</xdr:colOff>
      <xdr:row>193</xdr:row>
      <xdr:rowOff>84960</xdr:rowOff>
    </xdr:to>
    <xdr:sp>
      <xdr:nvSpPr>
        <xdr:cNvPr id="338" name="Дуга 762"/>
        <xdr:cNvSpPr/>
      </xdr:nvSpPr>
      <xdr:spPr>
        <a:xfrm>
          <a:off x="8051040" y="6737040"/>
          <a:ext cx="604080" cy="5652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119160</xdr:colOff>
      <xdr:row>193</xdr:row>
      <xdr:rowOff>39600</xdr:rowOff>
    </xdr:from>
    <xdr:to>
      <xdr:col>27</xdr:col>
      <xdr:colOff>19080</xdr:colOff>
      <xdr:row>193</xdr:row>
      <xdr:rowOff>63360</xdr:rowOff>
    </xdr:to>
    <xdr:sp>
      <xdr:nvSpPr>
        <xdr:cNvPr id="339" name="Прямая соединительная линия 764"/>
        <xdr:cNvSpPr/>
      </xdr:nvSpPr>
      <xdr:spPr>
        <a:xfrm flipH="1">
          <a:off x="9854280" y="6748200"/>
          <a:ext cx="1544400" cy="2376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181080</xdr:colOff>
      <xdr:row>193</xdr:row>
      <xdr:rowOff>37800</xdr:rowOff>
    </xdr:from>
    <xdr:to>
      <xdr:col>26</xdr:col>
      <xdr:colOff>38160</xdr:colOff>
      <xdr:row>193</xdr:row>
      <xdr:rowOff>37800</xdr:rowOff>
    </xdr:to>
    <xdr:sp>
      <xdr:nvSpPr>
        <xdr:cNvPr id="340" name="Прямая соединительная линия 769"/>
        <xdr:cNvSpPr/>
      </xdr:nvSpPr>
      <xdr:spPr>
        <a:xfrm flipH="1">
          <a:off x="10107720" y="6746400"/>
          <a:ext cx="1118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38160</xdr:colOff>
      <xdr:row>193</xdr:row>
      <xdr:rowOff>38520</xdr:rowOff>
    </xdr:from>
    <xdr:to>
      <xdr:col>15</xdr:col>
      <xdr:colOff>57240</xdr:colOff>
      <xdr:row>193</xdr:row>
      <xdr:rowOff>57600</xdr:rowOff>
    </xdr:to>
    <xdr:sp>
      <xdr:nvSpPr>
        <xdr:cNvPr id="341" name="Прямая соединительная линия 770"/>
        <xdr:cNvSpPr/>
      </xdr:nvSpPr>
      <xdr:spPr>
        <a:xfrm flipH="1">
          <a:off x="7725600" y="6746760"/>
          <a:ext cx="11696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38520</xdr:colOff>
      <xdr:row>352</xdr:row>
      <xdr:rowOff>9360</xdr:rowOff>
    </xdr:from>
    <xdr:to>
      <xdr:col>25</xdr:col>
      <xdr:colOff>171000</xdr:colOff>
      <xdr:row>352</xdr:row>
      <xdr:rowOff>84960</xdr:rowOff>
    </xdr:to>
    <xdr:sp>
      <xdr:nvSpPr>
        <xdr:cNvPr id="342" name="Соединительная линия уступом 811"/>
        <xdr:cNvSpPr/>
      </xdr:nvSpPr>
      <xdr:spPr>
        <a:xfrm flipV="1">
          <a:off x="9259920" y="8155440"/>
          <a:ext cx="1906920" cy="7560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95760</xdr:colOff>
      <xdr:row>145</xdr:row>
      <xdr:rowOff>75960</xdr:rowOff>
    </xdr:from>
    <xdr:to>
      <xdr:col>19</xdr:col>
      <xdr:colOff>133920</xdr:colOff>
      <xdr:row>145</xdr:row>
      <xdr:rowOff>75960</xdr:rowOff>
    </xdr:to>
    <xdr:sp>
      <xdr:nvSpPr>
        <xdr:cNvPr id="343" name="Прямая соединительная линия 607"/>
        <xdr:cNvSpPr/>
      </xdr:nvSpPr>
      <xdr:spPr>
        <a:xfrm flipH="1">
          <a:off x="7783200" y="6423840"/>
          <a:ext cx="208548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28440</xdr:colOff>
      <xdr:row>145</xdr:row>
      <xdr:rowOff>66600</xdr:rowOff>
    </xdr:from>
    <xdr:to>
      <xdr:col>22</xdr:col>
      <xdr:colOff>28440</xdr:colOff>
      <xdr:row>145</xdr:row>
      <xdr:rowOff>123480</xdr:rowOff>
    </xdr:to>
    <xdr:sp>
      <xdr:nvSpPr>
        <xdr:cNvPr id="344" name="Прямая соединительная линия 611"/>
        <xdr:cNvSpPr/>
      </xdr:nvSpPr>
      <xdr:spPr>
        <a:xfrm>
          <a:off x="10449360" y="6414480"/>
          <a:ext cx="0" cy="568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33</xdr:col>
      <xdr:colOff>18720</xdr:colOff>
      <xdr:row>145</xdr:row>
      <xdr:rowOff>57600</xdr:rowOff>
    </xdr:from>
    <xdr:to>
      <xdr:col>33</xdr:col>
      <xdr:colOff>18720</xdr:colOff>
      <xdr:row>145</xdr:row>
      <xdr:rowOff>114840</xdr:rowOff>
    </xdr:to>
    <xdr:sp>
      <xdr:nvSpPr>
        <xdr:cNvPr id="345" name="Прямая соединительная линия 612"/>
        <xdr:cNvSpPr/>
      </xdr:nvSpPr>
      <xdr:spPr>
        <a:xfrm>
          <a:off x="12548880" y="640512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123480</xdr:colOff>
      <xdr:row>145</xdr:row>
      <xdr:rowOff>57600</xdr:rowOff>
    </xdr:from>
    <xdr:to>
      <xdr:col>19</xdr:col>
      <xdr:colOff>123480</xdr:colOff>
      <xdr:row>145</xdr:row>
      <xdr:rowOff>114840</xdr:rowOff>
    </xdr:to>
    <xdr:sp>
      <xdr:nvSpPr>
        <xdr:cNvPr id="346" name="Прямая соединительная линия 613"/>
        <xdr:cNvSpPr/>
      </xdr:nvSpPr>
      <xdr:spPr>
        <a:xfrm>
          <a:off x="9858600" y="6405120"/>
          <a:ext cx="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28440</xdr:colOff>
      <xdr:row>145</xdr:row>
      <xdr:rowOff>75960</xdr:rowOff>
    </xdr:from>
    <xdr:to>
      <xdr:col>33</xdr:col>
      <xdr:colOff>9360</xdr:colOff>
      <xdr:row>145</xdr:row>
      <xdr:rowOff>75960</xdr:rowOff>
    </xdr:to>
    <xdr:sp>
      <xdr:nvSpPr>
        <xdr:cNvPr id="347" name="Прямая соединительная линия 614"/>
        <xdr:cNvSpPr/>
      </xdr:nvSpPr>
      <xdr:spPr>
        <a:xfrm flipH="1">
          <a:off x="10449360" y="6423840"/>
          <a:ext cx="2090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47520</xdr:colOff>
      <xdr:row>145</xdr:row>
      <xdr:rowOff>104760</xdr:rowOff>
    </xdr:from>
    <xdr:to>
      <xdr:col>33</xdr:col>
      <xdr:colOff>28440</xdr:colOff>
      <xdr:row>145</xdr:row>
      <xdr:rowOff>104760</xdr:rowOff>
    </xdr:to>
    <xdr:sp>
      <xdr:nvSpPr>
        <xdr:cNvPr id="348" name="Прямая соединительная линия 615"/>
        <xdr:cNvSpPr/>
      </xdr:nvSpPr>
      <xdr:spPr>
        <a:xfrm flipH="1">
          <a:off x="10468440" y="6452640"/>
          <a:ext cx="2090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57240</xdr:colOff>
      <xdr:row>616</xdr:row>
      <xdr:rowOff>76320</xdr:rowOff>
    </xdr:from>
    <xdr:to>
      <xdr:col>17</xdr:col>
      <xdr:colOff>57600</xdr:colOff>
      <xdr:row>616</xdr:row>
      <xdr:rowOff>76680</xdr:rowOff>
    </xdr:to>
    <xdr:sp>
      <xdr:nvSpPr>
        <xdr:cNvPr id="349" name="Прямая со стрелкой 646"/>
        <xdr:cNvSpPr/>
      </xdr:nvSpPr>
      <xdr:spPr>
        <a:xfrm>
          <a:off x="9279000" y="9660240"/>
          <a:ext cx="36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27</xdr:col>
      <xdr:colOff>139680</xdr:colOff>
      <xdr:row>616</xdr:row>
      <xdr:rowOff>99720</xdr:rowOff>
    </xdr:from>
    <xdr:to>
      <xdr:col>27</xdr:col>
      <xdr:colOff>139680</xdr:colOff>
      <xdr:row>616</xdr:row>
      <xdr:rowOff>169560</xdr:rowOff>
    </xdr:to>
    <xdr:sp>
      <xdr:nvSpPr>
        <xdr:cNvPr id="350" name="Прямая соединительная линия 650"/>
        <xdr:cNvSpPr/>
      </xdr:nvSpPr>
      <xdr:spPr>
        <a:xfrm>
          <a:off x="11519280" y="9683640"/>
          <a:ext cx="0" cy="698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27000</xdr:colOff>
      <xdr:row>616</xdr:row>
      <xdr:rowOff>0</xdr:rowOff>
    </xdr:from>
    <xdr:to>
      <xdr:col>7</xdr:col>
      <xdr:colOff>28440</xdr:colOff>
      <xdr:row>616</xdr:row>
      <xdr:rowOff>0</xdr:rowOff>
    </xdr:to>
    <xdr:sp>
      <xdr:nvSpPr>
        <xdr:cNvPr id="351" name="Прямая соединительная линия 652"/>
        <xdr:cNvSpPr/>
      </xdr:nvSpPr>
      <xdr:spPr>
        <a:xfrm flipH="1">
          <a:off x="7209360" y="9583920"/>
          <a:ext cx="144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151200</xdr:colOff>
      <xdr:row>616</xdr:row>
      <xdr:rowOff>38520</xdr:rowOff>
    </xdr:from>
    <xdr:to>
      <xdr:col>13</xdr:col>
      <xdr:colOff>153000</xdr:colOff>
      <xdr:row>616</xdr:row>
      <xdr:rowOff>79920</xdr:rowOff>
    </xdr:to>
    <xdr:sp>
      <xdr:nvSpPr>
        <xdr:cNvPr id="352" name="Прямая соединительная линия 653"/>
        <xdr:cNvSpPr/>
      </xdr:nvSpPr>
      <xdr:spPr>
        <a:xfrm flipH="1">
          <a:off x="8605800" y="9622080"/>
          <a:ext cx="1800" cy="414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133920</xdr:colOff>
      <xdr:row>616</xdr:row>
      <xdr:rowOff>67320</xdr:rowOff>
    </xdr:from>
    <xdr:to>
      <xdr:col>27</xdr:col>
      <xdr:colOff>162360</xdr:colOff>
      <xdr:row>616</xdr:row>
      <xdr:rowOff>133920</xdr:rowOff>
    </xdr:to>
    <xdr:sp>
      <xdr:nvSpPr>
        <xdr:cNvPr id="353" name="Прямая соединительная линия 657"/>
        <xdr:cNvSpPr/>
      </xdr:nvSpPr>
      <xdr:spPr>
        <a:xfrm flipH="1" flipV="1">
          <a:off x="8588520" y="9650880"/>
          <a:ext cx="29530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188640</xdr:colOff>
      <xdr:row>616</xdr:row>
      <xdr:rowOff>123480</xdr:rowOff>
    </xdr:from>
    <xdr:to>
      <xdr:col>20</xdr:col>
      <xdr:colOff>188640</xdr:colOff>
      <xdr:row>616</xdr:row>
      <xdr:rowOff>174600</xdr:rowOff>
    </xdr:to>
    <xdr:sp>
      <xdr:nvSpPr>
        <xdr:cNvPr id="354" name="Прямая соединительная линия 661"/>
        <xdr:cNvSpPr/>
      </xdr:nvSpPr>
      <xdr:spPr>
        <a:xfrm>
          <a:off x="10115280" y="9707400"/>
          <a:ext cx="0" cy="511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6480</xdr:colOff>
      <xdr:row>616</xdr:row>
      <xdr:rowOff>37080</xdr:rowOff>
    </xdr:from>
    <xdr:to>
      <xdr:col>27</xdr:col>
      <xdr:colOff>167040</xdr:colOff>
      <xdr:row>616</xdr:row>
      <xdr:rowOff>143280</xdr:rowOff>
    </xdr:to>
    <xdr:sp>
      <xdr:nvSpPr>
        <xdr:cNvPr id="355" name="Прямая соединительная линия 679"/>
        <xdr:cNvSpPr/>
      </xdr:nvSpPr>
      <xdr:spPr>
        <a:xfrm flipH="1" flipV="1">
          <a:off x="8652960" y="9620640"/>
          <a:ext cx="2893680" cy="10620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55800</xdr:colOff>
      <xdr:row>616</xdr:row>
      <xdr:rowOff>148320</xdr:rowOff>
    </xdr:from>
    <xdr:to>
      <xdr:col>15</xdr:col>
      <xdr:colOff>74880</xdr:colOff>
      <xdr:row>616</xdr:row>
      <xdr:rowOff>167400</xdr:rowOff>
    </xdr:to>
    <xdr:sp>
      <xdr:nvSpPr>
        <xdr:cNvPr id="356" name="Прямая соединительная линия 680"/>
        <xdr:cNvSpPr/>
      </xdr:nvSpPr>
      <xdr:spPr>
        <a:xfrm flipH="1">
          <a:off x="7743240" y="9731880"/>
          <a:ext cx="1169640" cy="1908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171360</xdr:colOff>
      <xdr:row>616</xdr:row>
      <xdr:rowOff>28440</xdr:rowOff>
    </xdr:from>
    <xdr:to>
      <xdr:col>14</xdr:col>
      <xdr:colOff>8640</xdr:colOff>
      <xdr:row>616</xdr:row>
      <xdr:rowOff>84960</xdr:rowOff>
    </xdr:to>
    <xdr:sp>
      <xdr:nvSpPr>
        <xdr:cNvPr id="357" name="Дуга 682"/>
        <xdr:cNvSpPr/>
      </xdr:nvSpPr>
      <xdr:spPr>
        <a:xfrm>
          <a:off x="8051040" y="9612360"/>
          <a:ext cx="604080" cy="56520"/>
        </a:xfrm>
        <a:prstGeom prst="arc">
          <a:avLst>
            <a:gd name="adj1" fmla="val 16550924"/>
            <a:gd name="adj2" fmla="val 20190086"/>
          </a:avLst>
        </a:prstGeom>
        <a:noFill/>
        <a:ln w="28575">
          <a:solidFill>
            <a:srgbClr val="ff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76320</xdr:colOff>
      <xdr:row>616</xdr:row>
      <xdr:rowOff>66600</xdr:rowOff>
    </xdr:from>
    <xdr:to>
      <xdr:col>26</xdr:col>
      <xdr:colOff>1440</xdr:colOff>
      <xdr:row>616</xdr:row>
      <xdr:rowOff>66600</xdr:rowOff>
    </xdr:to>
    <xdr:sp>
      <xdr:nvSpPr>
        <xdr:cNvPr id="358" name="Прямая соединительная линия 684"/>
        <xdr:cNvSpPr/>
      </xdr:nvSpPr>
      <xdr:spPr>
        <a:xfrm flipH="1">
          <a:off x="9811080" y="9650520"/>
          <a:ext cx="1377720" cy="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20</xdr:col>
      <xdr:colOff>171720</xdr:colOff>
      <xdr:row>616</xdr:row>
      <xdr:rowOff>9360</xdr:rowOff>
    </xdr:from>
    <xdr:to>
      <xdr:col>26</xdr:col>
      <xdr:colOff>28800</xdr:colOff>
      <xdr:row>616</xdr:row>
      <xdr:rowOff>9360</xdr:rowOff>
    </xdr:to>
    <xdr:sp>
      <xdr:nvSpPr>
        <xdr:cNvPr id="359" name="Прямая соединительная линия 693"/>
        <xdr:cNvSpPr/>
      </xdr:nvSpPr>
      <xdr:spPr>
        <a:xfrm flipH="1">
          <a:off x="10098360" y="9593280"/>
          <a:ext cx="1118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47880</xdr:colOff>
      <xdr:row>616</xdr:row>
      <xdr:rowOff>0</xdr:rowOff>
    </xdr:from>
    <xdr:to>
      <xdr:col>15</xdr:col>
      <xdr:colOff>66960</xdr:colOff>
      <xdr:row>616</xdr:row>
      <xdr:rowOff>18720</xdr:rowOff>
    </xdr:to>
    <xdr:sp>
      <xdr:nvSpPr>
        <xdr:cNvPr id="360" name="Прямая соединительная линия 694"/>
        <xdr:cNvSpPr/>
      </xdr:nvSpPr>
      <xdr:spPr>
        <a:xfrm flipH="1">
          <a:off x="7735320" y="9583920"/>
          <a:ext cx="1169640" cy="187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47880</xdr:colOff>
      <xdr:row>616</xdr:row>
      <xdr:rowOff>720</xdr:rowOff>
    </xdr:from>
    <xdr:to>
      <xdr:col>26</xdr:col>
      <xdr:colOff>9720</xdr:colOff>
      <xdr:row>616</xdr:row>
      <xdr:rowOff>162360</xdr:rowOff>
    </xdr:to>
    <xdr:sp>
      <xdr:nvSpPr>
        <xdr:cNvPr id="361" name="Прямая соединительная линия 695"/>
        <xdr:cNvSpPr/>
      </xdr:nvSpPr>
      <xdr:spPr>
        <a:xfrm flipH="1" flipV="1">
          <a:off x="8886240" y="9584280"/>
          <a:ext cx="2311200" cy="16164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172080</xdr:colOff>
      <xdr:row>616</xdr:row>
      <xdr:rowOff>28440</xdr:rowOff>
    </xdr:from>
    <xdr:to>
      <xdr:col>10</xdr:col>
      <xdr:colOff>172440</xdr:colOff>
      <xdr:row>616</xdr:row>
      <xdr:rowOff>46800</xdr:rowOff>
    </xdr:to>
    <xdr:sp>
      <xdr:nvSpPr>
        <xdr:cNvPr id="362" name="Прямая со стрелкой 732"/>
        <xdr:cNvSpPr/>
      </xdr:nvSpPr>
      <xdr:spPr>
        <a:xfrm flipV="1">
          <a:off x="8051400" y="9611640"/>
          <a:ext cx="360" cy="1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18720</xdr:colOff>
      <xdr:row>692</xdr:row>
      <xdr:rowOff>29160</xdr:rowOff>
    </xdr:from>
    <xdr:to>
      <xdr:col>11</xdr:col>
      <xdr:colOff>18720</xdr:colOff>
      <xdr:row>692</xdr:row>
      <xdr:rowOff>143280</xdr:rowOff>
    </xdr:to>
    <xdr:sp>
      <xdr:nvSpPr>
        <xdr:cNvPr id="363" name="Прямая соединительная линия 781"/>
        <xdr:cNvSpPr/>
      </xdr:nvSpPr>
      <xdr:spPr>
        <a:xfrm>
          <a:off x="8089920" y="997200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18720</xdr:colOff>
      <xdr:row>692</xdr:row>
      <xdr:rowOff>720</xdr:rowOff>
    </xdr:from>
    <xdr:to>
      <xdr:col>18</xdr:col>
      <xdr:colOff>18720</xdr:colOff>
      <xdr:row>692</xdr:row>
      <xdr:rowOff>76680</xdr:rowOff>
    </xdr:to>
    <xdr:sp>
      <xdr:nvSpPr>
        <xdr:cNvPr id="364" name="Прямая соединительная линия 783"/>
        <xdr:cNvSpPr/>
      </xdr:nvSpPr>
      <xdr:spPr>
        <a:xfrm>
          <a:off x="9561960" y="994356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114840</xdr:colOff>
      <xdr:row>692</xdr:row>
      <xdr:rowOff>19440</xdr:rowOff>
    </xdr:from>
    <xdr:to>
      <xdr:col>23</xdr:col>
      <xdr:colOff>29160</xdr:colOff>
      <xdr:row>692</xdr:row>
      <xdr:rowOff>105480</xdr:rowOff>
    </xdr:to>
    <xdr:sp>
      <xdr:nvSpPr>
        <xdr:cNvPr id="365" name="Прямая соединительная линия 784"/>
        <xdr:cNvSpPr/>
      </xdr:nvSpPr>
      <xdr:spPr>
        <a:xfrm flipH="1">
          <a:off x="9144720" y="9962280"/>
          <a:ext cx="1496520" cy="860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171360</xdr:colOff>
      <xdr:row>692</xdr:row>
      <xdr:rowOff>75960</xdr:rowOff>
    </xdr:from>
    <xdr:to>
      <xdr:col>16</xdr:col>
      <xdr:colOff>133200</xdr:colOff>
      <xdr:row>692</xdr:row>
      <xdr:rowOff>161640</xdr:rowOff>
    </xdr:to>
    <xdr:sp>
      <xdr:nvSpPr>
        <xdr:cNvPr id="366" name="Прямая соединительная линия 786"/>
        <xdr:cNvSpPr/>
      </xdr:nvSpPr>
      <xdr:spPr>
        <a:xfrm flipH="1">
          <a:off x="7667280" y="10019160"/>
          <a:ext cx="149616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171720</xdr:colOff>
      <xdr:row>692</xdr:row>
      <xdr:rowOff>37800</xdr:rowOff>
    </xdr:from>
    <xdr:to>
      <xdr:col>18</xdr:col>
      <xdr:colOff>9720</xdr:colOff>
      <xdr:row>692</xdr:row>
      <xdr:rowOff>152280</xdr:rowOff>
    </xdr:to>
    <xdr:sp>
      <xdr:nvSpPr>
        <xdr:cNvPr id="367" name="Прямая соединительная линия 789"/>
        <xdr:cNvSpPr/>
      </xdr:nvSpPr>
      <xdr:spPr>
        <a:xfrm flipH="1" flipV="1">
          <a:off x="8051040" y="9981000"/>
          <a:ext cx="1501560" cy="1144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692</xdr:row>
      <xdr:rowOff>0</xdr:rowOff>
    </xdr:from>
    <xdr:to>
      <xdr:col>16</xdr:col>
      <xdr:colOff>95040</xdr:colOff>
      <xdr:row>692</xdr:row>
      <xdr:rowOff>133200</xdr:rowOff>
    </xdr:to>
    <xdr:sp>
      <xdr:nvSpPr>
        <xdr:cNvPr id="368" name="Прямая соединительная линия 799"/>
        <xdr:cNvSpPr/>
      </xdr:nvSpPr>
      <xdr:spPr>
        <a:xfrm flipH="1">
          <a:off x="9115920" y="9943200"/>
          <a:ext cx="9360" cy="13320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286200</xdr:colOff>
      <xdr:row>692</xdr:row>
      <xdr:rowOff>123480</xdr:rowOff>
    </xdr:from>
    <xdr:to>
      <xdr:col>15</xdr:col>
      <xdr:colOff>48240</xdr:colOff>
      <xdr:row>692</xdr:row>
      <xdr:rowOff>161640</xdr:rowOff>
    </xdr:to>
    <xdr:sp>
      <xdr:nvSpPr>
        <xdr:cNvPr id="369" name="Прямая соединительная линия 803"/>
        <xdr:cNvSpPr/>
      </xdr:nvSpPr>
      <xdr:spPr>
        <a:xfrm flipH="1">
          <a:off x="7468200" y="10066680"/>
          <a:ext cx="141804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152280</xdr:colOff>
      <xdr:row>692</xdr:row>
      <xdr:rowOff>56880</xdr:rowOff>
    </xdr:from>
    <xdr:to>
      <xdr:col>25</xdr:col>
      <xdr:colOff>104760</xdr:colOff>
      <xdr:row>692</xdr:row>
      <xdr:rowOff>95040</xdr:rowOff>
    </xdr:to>
    <xdr:sp>
      <xdr:nvSpPr>
        <xdr:cNvPr id="370" name="Прямая соединительная линия 806"/>
        <xdr:cNvSpPr/>
      </xdr:nvSpPr>
      <xdr:spPr>
        <a:xfrm flipH="1">
          <a:off x="9695520" y="10000080"/>
          <a:ext cx="140544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9720</xdr:colOff>
      <xdr:row>692</xdr:row>
      <xdr:rowOff>720</xdr:rowOff>
    </xdr:from>
    <xdr:to>
      <xdr:col>19</xdr:col>
      <xdr:colOff>9720</xdr:colOff>
      <xdr:row>692</xdr:row>
      <xdr:rowOff>114840</xdr:rowOff>
    </xdr:to>
    <xdr:sp>
      <xdr:nvSpPr>
        <xdr:cNvPr id="371" name="Прямая соединительная линия 812"/>
        <xdr:cNvSpPr/>
      </xdr:nvSpPr>
      <xdr:spPr>
        <a:xfrm flipH="1" flipV="1">
          <a:off x="7505640" y="9943560"/>
          <a:ext cx="223920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152280</xdr:colOff>
      <xdr:row>692</xdr:row>
      <xdr:rowOff>18720</xdr:rowOff>
    </xdr:from>
    <xdr:to>
      <xdr:col>25</xdr:col>
      <xdr:colOff>104760</xdr:colOff>
      <xdr:row>692</xdr:row>
      <xdr:rowOff>56880</xdr:rowOff>
    </xdr:to>
    <xdr:sp>
      <xdr:nvSpPr>
        <xdr:cNvPr id="372" name="Прямая соединительная линия 817"/>
        <xdr:cNvSpPr/>
      </xdr:nvSpPr>
      <xdr:spPr>
        <a:xfrm flipH="1">
          <a:off x="9695520" y="9961920"/>
          <a:ext cx="140544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720</xdr:colOff>
      <xdr:row>692</xdr:row>
      <xdr:rowOff>66600</xdr:rowOff>
    </xdr:from>
    <xdr:to>
      <xdr:col>15</xdr:col>
      <xdr:colOff>57600</xdr:colOff>
      <xdr:row>692</xdr:row>
      <xdr:rowOff>104760</xdr:rowOff>
    </xdr:to>
    <xdr:sp>
      <xdr:nvSpPr>
        <xdr:cNvPr id="373" name="Прямая соединительная линия 818"/>
        <xdr:cNvSpPr/>
      </xdr:nvSpPr>
      <xdr:spPr>
        <a:xfrm flipH="1">
          <a:off x="7496280" y="10009800"/>
          <a:ext cx="1399320" cy="3816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692</xdr:row>
      <xdr:rowOff>123480</xdr:rowOff>
    </xdr:from>
    <xdr:to>
      <xdr:col>16</xdr:col>
      <xdr:colOff>85680</xdr:colOff>
      <xdr:row>692</xdr:row>
      <xdr:rowOff>152280</xdr:rowOff>
    </xdr:to>
    <xdr:sp>
      <xdr:nvSpPr>
        <xdr:cNvPr id="374" name="Прямая соединительная линия 821"/>
        <xdr:cNvSpPr/>
      </xdr:nvSpPr>
      <xdr:spPr>
        <a:xfrm>
          <a:off x="9115920" y="10066680"/>
          <a:ext cx="0" cy="288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172080</xdr:colOff>
      <xdr:row>692</xdr:row>
      <xdr:rowOff>38520</xdr:rowOff>
    </xdr:from>
    <xdr:to>
      <xdr:col>23</xdr:col>
      <xdr:colOff>1800</xdr:colOff>
      <xdr:row>692</xdr:row>
      <xdr:rowOff>95760</xdr:rowOff>
    </xdr:to>
    <xdr:sp>
      <xdr:nvSpPr>
        <xdr:cNvPr id="375" name="Прямая соединительная линия 822"/>
        <xdr:cNvSpPr/>
      </xdr:nvSpPr>
      <xdr:spPr>
        <a:xfrm flipH="1">
          <a:off x="10592640" y="9981360"/>
          <a:ext cx="212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47880</xdr:colOff>
      <xdr:row>692</xdr:row>
      <xdr:rowOff>123480</xdr:rowOff>
    </xdr:from>
    <xdr:to>
      <xdr:col>16</xdr:col>
      <xdr:colOff>105120</xdr:colOff>
      <xdr:row>692</xdr:row>
      <xdr:rowOff>161640</xdr:rowOff>
    </xdr:to>
    <xdr:sp>
      <xdr:nvSpPr>
        <xdr:cNvPr id="376" name="Прямая соединительная линия 825"/>
        <xdr:cNvSpPr/>
      </xdr:nvSpPr>
      <xdr:spPr>
        <a:xfrm flipH="1">
          <a:off x="7735680" y="10066680"/>
          <a:ext cx="1399680" cy="3816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142920</xdr:colOff>
      <xdr:row>692</xdr:row>
      <xdr:rowOff>95760</xdr:rowOff>
    </xdr:from>
    <xdr:to>
      <xdr:col>23</xdr:col>
      <xdr:colOff>1440</xdr:colOff>
      <xdr:row>692</xdr:row>
      <xdr:rowOff>105480</xdr:rowOff>
    </xdr:to>
    <xdr:sp>
      <xdr:nvSpPr>
        <xdr:cNvPr id="377" name="Прямая соединительная линия 826"/>
        <xdr:cNvSpPr/>
      </xdr:nvSpPr>
      <xdr:spPr>
        <a:xfrm flipH="1">
          <a:off x="9173160" y="10038600"/>
          <a:ext cx="1440720" cy="97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18720</xdr:colOff>
      <xdr:row>692</xdr:row>
      <xdr:rowOff>29160</xdr:rowOff>
    </xdr:from>
    <xdr:to>
      <xdr:col>11</xdr:col>
      <xdr:colOff>18720</xdr:colOff>
      <xdr:row>692</xdr:row>
      <xdr:rowOff>143280</xdr:rowOff>
    </xdr:to>
    <xdr:sp>
      <xdr:nvSpPr>
        <xdr:cNvPr id="378" name="Прямая соединительная линия 841"/>
        <xdr:cNvSpPr/>
      </xdr:nvSpPr>
      <xdr:spPr>
        <a:xfrm>
          <a:off x="8089920" y="997200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18720</xdr:colOff>
      <xdr:row>692</xdr:row>
      <xdr:rowOff>720</xdr:rowOff>
    </xdr:from>
    <xdr:to>
      <xdr:col>18</xdr:col>
      <xdr:colOff>18720</xdr:colOff>
      <xdr:row>692</xdr:row>
      <xdr:rowOff>76680</xdr:rowOff>
    </xdr:to>
    <xdr:sp>
      <xdr:nvSpPr>
        <xdr:cNvPr id="379" name="Прямая соединительная линия 842"/>
        <xdr:cNvSpPr/>
      </xdr:nvSpPr>
      <xdr:spPr>
        <a:xfrm>
          <a:off x="9561960" y="994356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10080</xdr:colOff>
      <xdr:row>692</xdr:row>
      <xdr:rowOff>19440</xdr:rowOff>
    </xdr:from>
    <xdr:to>
      <xdr:col>23</xdr:col>
      <xdr:colOff>29160</xdr:colOff>
      <xdr:row>692</xdr:row>
      <xdr:rowOff>162360</xdr:rowOff>
    </xdr:to>
    <xdr:sp>
      <xdr:nvSpPr>
        <xdr:cNvPr id="380" name="Прямая соединительная линия 843"/>
        <xdr:cNvSpPr/>
      </xdr:nvSpPr>
      <xdr:spPr>
        <a:xfrm flipH="1">
          <a:off x="9552960" y="9962280"/>
          <a:ext cx="1088280" cy="1429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15</xdr:col>
      <xdr:colOff>10080</xdr:colOff>
      <xdr:row>692</xdr:row>
      <xdr:rowOff>28440</xdr:rowOff>
    </xdr:from>
    <xdr:to>
      <xdr:col>25</xdr:col>
      <xdr:colOff>67320</xdr:colOff>
      <xdr:row>692</xdr:row>
      <xdr:rowOff>114120</xdr:rowOff>
    </xdr:to>
    <xdr:sp>
      <xdr:nvSpPr>
        <xdr:cNvPr id="381" name="Прямая соединительная линия 845"/>
        <xdr:cNvSpPr/>
      </xdr:nvSpPr>
      <xdr:spPr>
        <a:xfrm flipH="1" flipV="1">
          <a:off x="8848080" y="9971640"/>
          <a:ext cx="221508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85680</xdr:colOff>
      <xdr:row>692</xdr:row>
      <xdr:rowOff>76680</xdr:rowOff>
    </xdr:from>
    <xdr:to>
      <xdr:col>16</xdr:col>
      <xdr:colOff>85680</xdr:colOff>
      <xdr:row>692</xdr:row>
      <xdr:rowOff>133920</xdr:rowOff>
    </xdr:to>
    <xdr:sp>
      <xdr:nvSpPr>
        <xdr:cNvPr id="382" name="Прямая соединительная линия 851"/>
        <xdr:cNvSpPr/>
      </xdr:nvSpPr>
      <xdr:spPr>
        <a:xfrm>
          <a:off x="9115920" y="10019520"/>
          <a:ext cx="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16</xdr:col>
      <xdr:colOff>85680</xdr:colOff>
      <xdr:row>692</xdr:row>
      <xdr:rowOff>152280</xdr:rowOff>
    </xdr:from>
    <xdr:to>
      <xdr:col>16</xdr:col>
      <xdr:colOff>86040</xdr:colOff>
      <xdr:row>692</xdr:row>
      <xdr:rowOff>152640</xdr:rowOff>
    </xdr:to>
    <xdr:sp>
      <xdr:nvSpPr>
        <xdr:cNvPr id="383" name="Прямая соединительная линия 864" hidden="1"/>
        <xdr:cNvSpPr/>
      </xdr:nvSpPr>
      <xdr:spPr>
        <a:xfrm>
          <a:off x="9115920" y="10095480"/>
          <a:ext cx="360" cy="360"/>
        </a:xfrm>
        <a:custGeom>
          <a:avLst/>
          <a:gdLst/>
          <a:ahLst/>
          <a:rect l="l" t="t" r="r" b="b"/>
          <a:pathLst>
            <a:path w="1" h="1">
              <a:moveTo>
                <a:pt x="0" y="0"/>
              </a:moveTo>
              <a:lnTo>
                <a:pt x="0" y="0"/>
              </a:lnTo>
            </a:path>
          </a:pathLst>
        </a:custGeom>
        <a:noFill/>
        <a:ln w="3810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22</xdr:col>
      <xdr:colOff>172080</xdr:colOff>
      <xdr:row>692</xdr:row>
      <xdr:rowOff>38520</xdr:rowOff>
    </xdr:from>
    <xdr:to>
      <xdr:col>23</xdr:col>
      <xdr:colOff>1800</xdr:colOff>
      <xdr:row>692</xdr:row>
      <xdr:rowOff>95760</xdr:rowOff>
    </xdr:to>
    <xdr:sp>
      <xdr:nvSpPr>
        <xdr:cNvPr id="384" name="Прямая соединительная линия 865"/>
        <xdr:cNvSpPr/>
      </xdr:nvSpPr>
      <xdr:spPr>
        <a:xfrm flipH="1">
          <a:off x="10592640" y="9981360"/>
          <a:ext cx="2124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85680</xdr:colOff>
      <xdr:row>692</xdr:row>
      <xdr:rowOff>75960</xdr:rowOff>
    </xdr:from>
    <xdr:to>
      <xdr:col>25</xdr:col>
      <xdr:colOff>18720</xdr:colOff>
      <xdr:row>692</xdr:row>
      <xdr:rowOff>114120</xdr:rowOff>
    </xdr:to>
    <xdr:sp>
      <xdr:nvSpPr>
        <xdr:cNvPr id="385" name="Прямая соединительная линия 893"/>
        <xdr:cNvSpPr/>
      </xdr:nvSpPr>
      <xdr:spPr>
        <a:xfrm flipH="1">
          <a:off x="9628920" y="10019160"/>
          <a:ext cx="138600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95760</xdr:colOff>
      <xdr:row>692</xdr:row>
      <xdr:rowOff>28440</xdr:rowOff>
    </xdr:from>
    <xdr:to>
      <xdr:col>25</xdr:col>
      <xdr:colOff>29160</xdr:colOff>
      <xdr:row>692</xdr:row>
      <xdr:rowOff>66600</xdr:rowOff>
    </xdr:to>
    <xdr:sp>
      <xdr:nvSpPr>
        <xdr:cNvPr id="386" name="Прямая соединительная линия 894"/>
        <xdr:cNvSpPr/>
      </xdr:nvSpPr>
      <xdr:spPr>
        <a:xfrm flipH="1">
          <a:off x="9638640" y="9971640"/>
          <a:ext cx="1386360" cy="381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257760</xdr:colOff>
      <xdr:row>692</xdr:row>
      <xdr:rowOff>38520</xdr:rowOff>
    </xdr:from>
    <xdr:to>
      <xdr:col>15</xdr:col>
      <xdr:colOff>38520</xdr:colOff>
      <xdr:row>692</xdr:row>
      <xdr:rowOff>95760</xdr:rowOff>
    </xdr:to>
    <xdr:sp>
      <xdr:nvSpPr>
        <xdr:cNvPr id="387" name="Прямая соединительная линия 895"/>
        <xdr:cNvSpPr/>
      </xdr:nvSpPr>
      <xdr:spPr>
        <a:xfrm flipH="1">
          <a:off x="7439760" y="9981360"/>
          <a:ext cx="143676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9360</xdr:colOff>
      <xdr:row>145</xdr:row>
      <xdr:rowOff>720</xdr:rowOff>
    </xdr:from>
    <xdr:to>
      <xdr:col>8</xdr:col>
      <xdr:colOff>9360</xdr:colOff>
      <xdr:row>145</xdr:row>
      <xdr:rowOff>153000</xdr:rowOff>
    </xdr:to>
    <xdr:sp>
      <xdr:nvSpPr>
        <xdr:cNvPr id="388" name="Прямая соединительная линия 714"/>
        <xdr:cNvSpPr/>
      </xdr:nvSpPr>
      <xdr:spPr>
        <a:xfrm>
          <a:off x="7505280" y="634824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9360</xdr:colOff>
      <xdr:row>145</xdr:row>
      <xdr:rowOff>10080</xdr:rowOff>
    </xdr:from>
    <xdr:to>
      <xdr:col>14</xdr:col>
      <xdr:colOff>9360</xdr:colOff>
      <xdr:row>145</xdr:row>
      <xdr:rowOff>162360</xdr:rowOff>
    </xdr:to>
    <xdr:sp>
      <xdr:nvSpPr>
        <xdr:cNvPr id="389" name="Прямая соединительная линия 715"/>
        <xdr:cNvSpPr/>
      </xdr:nvSpPr>
      <xdr:spPr>
        <a:xfrm>
          <a:off x="8655840" y="635760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360</xdr:colOff>
      <xdr:row>145</xdr:row>
      <xdr:rowOff>142560</xdr:rowOff>
    </xdr:from>
    <xdr:to>
      <xdr:col>14</xdr:col>
      <xdr:colOff>9720</xdr:colOff>
      <xdr:row>145</xdr:row>
      <xdr:rowOff>142560</xdr:rowOff>
    </xdr:to>
    <xdr:sp>
      <xdr:nvSpPr>
        <xdr:cNvPr id="390" name="Прямая соединительная линия 716"/>
        <xdr:cNvSpPr/>
      </xdr:nvSpPr>
      <xdr:spPr>
        <a:xfrm flipH="1">
          <a:off x="7496280" y="6490440"/>
          <a:ext cx="115992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22</xdr:col>
      <xdr:colOff>171360</xdr:colOff>
      <xdr:row>145</xdr:row>
      <xdr:rowOff>720</xdr:rowOff>
    </xdr:from>
    <xdr:to>
      <xdr:col>22</xdr:col>
      <xdr:colOff>171360</xdr:colOff>
      <xdr:row>145</xdr:row>
      <xdr:rowOff>153000</xdr:rowOff>
    </xdr:to>
    <xdr:sp>
      <xdr:nvSpPr>
        <xdr:cNvPr id="391" name="Прямая соединительная линия 722"/>
        <xdr:cNvSpPr/>
      </xdr:nvSpPr>
      <xdr:spPr>
        <a:xfrm>
          <a:off x="10592280" y="634824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19440</xdr:colOff>
      <xdr:row>145</xdr:row>
      <xdr:rowOff>133200</xdr:rowOff>
    </xdr:from>
    <xdr:to>
      <xdr:col>23</xdr:col>
      <xdr:colOff>10080</xdr:colOff>
      <xdr:row>145</xdr:row>
      <xdr:rowOff>133200</xdr:rowOff>
    </xdr:to>
    <xdr:sp>
      <xdr:nvSpPr>
        <xdr:cNvPr id="392" name="Прямая соединительная линия 723"/>
        <xdr:cNvSpPr/>
      </xdr:nvSpPr>
      <xdr:spPr>
        <a:xfrm flipH="1">
          <a:off x="9240840" y="6481080"/>
          <a:ext cx="138132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152280</xdr:colOff>
      <xdr:row>145</xdr:row>
      <xdr:rowOff>18720</xdr:rowOff>
    </xdr:from>
    <xdr:to>
      <xdr:col>22</xdr:col>
      <xdr:colOff>171360</xdr:colOff>
      <xdr:row>145</xdr:row>
      <xdr:rowOff>18720</xdr:rowOff>
    </xdr:to>
    <xdr:sp>
      <xdr:nvSpPr>
        <xdr:cNvPr id="393" name="Прямая соединительная линия 724"/>
        <xdr:cNvSpPr/>
      </xdr:nvSpPr>
      <xdr:spPr>
        <a:xfrm flipH="1">
          <a:off x="9887400" y="6366600"/>
          <a:ext cx="7048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9720</xdr:colOff>
      <xdr:row>145</xdr:row>
      <xdr:rowOff>19440</xdr:rowOff>
    </xdr:from>
    <xdr:to>
      <xdr:col>19</xdr:col>
      <xdr:colOff>171720</xdr:colOff>
      <xdr:row>145</xdr:row>
      <xdr:rowOff>162360</xdr:rowOff>
    </xdr:to>
    <xdr:sp>
      <xdr:nvSpPr>
        <xdr:cNvPr id="394" name="Прямая соединительная линия 726"/>
        <xdr:cNvSpPr/>
      </xdr:nvSpPr>
      <xdr:spPr>
        <a:xfrm flipH="1">
          <a:off x="9231480" y="6366960"/>
          <a:ext cx="675360" cy="14292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9360</xdr:colOff>
      <xdr:row>145</xdr:row>
      <xdr:rowOff>10080</xdr:rowOff>
    </xdr:from>
    <xdr:to>
      <xdr:col>26</xdr:col>
      <xdr:colOff>9360</xdr:colOff>
      <xdr:row>145</xdr:row>
      <xdr:rowOff>162360</xdr:rowOff>
    </xdr:to>
    <xdr:sp>
      <xdr:nvSpPr>
        <xdr:cNvPr id="395" name="Прямая соединительная линия 729"/>
        <xdr:cNvSpPr/>
      </xdr:nvSpPr>
      <xdr:spPr>
        <a:xfrm>
          <a:off x="11197080" y="6357600"/>
          <a:ext cx="0" cy="15228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10080</xdr:colOff>
      <xdr:row>145</xdr:row>
      <xdr:rowOff>28440</xdr:rowOff>
    </xdr:from>
    <xdr:to>
      <xdr:col>32</xdr:col>
      <xdr:colOff>19440</xdr:colOff>
      <xdr:row>145</xdr:row>
      <xdr:rowOff>28440</xdr:rowOff>
    </xdr:to>
    <xdr:sp>
      <xdr:nvSpPr>
        <xdr:cNvPr id="396" name="Прямая соединительная линия 730"/>
        <xdr:cNvSpPr/>
      </xdr:nvSpPr>
      <xdr:spPr>
        <a:xfrm flipH="1">
          <a:off x="11197440" y="6376320"/>
          <a:ext cx="11602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26</xdr:col>
      <xdr:colOff>10080</xdr:colOff>
      <xdr:row>145</xdr:row>
      <xdr:rowOff>152280</xdr:rowOff>
    </xdr:from>
    <xdr:to>
      <xdr:col>32</xdr:col>
      <xdr:colOff>19440</xdr:colOff>
      <xdr:row>145</xdr:row>
      <xdr:rowOff>152280</xdr:rowOff>
    </xdr:to>
    <xdr:sp>
      <xdr:nvSpPr>
        <xdr:cNvPr id="397" name="Прямая соединительная линия 731"/>
        <xdr:cNvSpPr/>
      </xdr:nvSpPr>
      <xdr:spPr>
        <a:xfrm flipH="1">
          <a:off x="11197440" y="6500160"/>
          <a:ext cx="1160280" cy="0"/>
        </a:xfrm>
        <a:prstGeom prst="line">
          <a:avLst/>
        </a:prstGeom>
        <a:ln w="254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18720</xdr:colOff>
      <xdr:row>692</xdr:row>
      <xdr:rowOff>29160</xdr:rowOff>
    </xdr:from>
    <xdr:to>
      <xdr:col>12</xdr:col>
      <xdr:colOff>18720</xdr:colOff>
      <xdr:row>692</xdr:row>
      <xdr:rowOff>143280</xdr:rowOff>
    </xdr:to>
    <xdr:sp>
      <xdr:nvSpPr>
        <xdr:cNvPr id="398" name="Прямая соединительная линия 734"/>
        <xdr:cNvSpPr/>
      </xdr:nvSpPr>
      <xdr:spPr>
        <a:xfrm>
          <a:off x="8281800" y="9972000"/>
          <a:ext cx="0" cy="1141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18720</xdr:colOff>
      <xdr:row>692</xdr:row>
      <xdr:rowOff>720</xdr:rowOff>
    </xdr:from>
    <xdr:to>
      <xdr:col>19</xdr:col>
      <xdr:colOff>18720</xdr:colOff>
      <xdr:row>692</xdr:row>
      <xdr:rowOff>76680</xdr:rowOff>
    </xdr:to>
    <xdr:sp>
      <xdr:nvSpPr>
        <xdr:cNvPr id="399" name="Прямая соединительная линия 736"/>
        <xdr:cNvSpPr/>
      </xdr:nvSpPr>
      <xdr:spPr>
        <a:xfrm>
          <a:off x="9753840" y="9943560"/>
          <a:ext cx="0" cy="759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19</xdr:col>
      <xdr:colOff>10080</xdr:colOff>
      <xdr:row>692</xdr:row>
      <xdr:rowOff>19440</xdr:rowOff>
    </xdr:from>
    <xdr:to>
      <xdr:col>24</xdr:col>
      <xdr:colOff>29160</xdr:colOff>
      <xdr:row>692</xdr:row>
      <xdr:rowOff>162360</xdr:rowOff>
    </xdr:to>
    <xdr:sp>
      <xdr:nvSpPr>
        <xdr:cNvPr id="400" name="Прямая соединительная линия 737"/>
        <xdr:cNvSpPr/>
      </xdr:nvSpPr>
      <xdr:spPr>
        <a:xfrm flipH="1">
          <a:off x="9744840" y="9962280"/>
          <a:ext cx="1088280" cy="14292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9720</xdr:colOff>
      <xdr:row>692</xdr:row>
      <xdr:rowOff>28440</xdr:rowOff>
    </xdr:from>
    <xdr:to>
      <xdr:col>26</xdr:col>
      <xdr:colOff>66960</xdr:colOff>
      <xdr:row>692</xdr:row>
      <xdr:rowOff>114120</xdr:rowOff>
    </xdr:to>
    <xdr:sp>
      <xdr:nvSpPr>
        <xdr:cNvPr id="401" name="Прямая соединительная линия 739"/>
        <xdr:cNvSpPr/>
      </xdr:nvSpPr>
      <xdr:spPr>
        <a:xfrm flipH="1" flipV="1">
          <a:off x="9039960" y="9971640"/>
          <a:ext cx="2214720" cy="8568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360</xdr:colOff>
      <xdr:row>692</xdr:row>
      <xdr:rowOff>28440</xdr:rowOff>
    </xdr:from>
    <xdr:to>
      <xdr:col>17</xdr:col>
      <xdr:colOff>1080</xdr:colOff>
      <xdr:row>692</xdr:row>
      <xdr:rowOff>104760</xdr:rowOff>
    </xdr:to>
    <xdr:sp>
      <xdr:nvSpPr>
        <xdr:cNvPr id="402" name="Прямая соединительная линия 776"/>
        <xdr:cNvSpPr/>
      </xdr:nvSpPr>
      <xdr:spPr>
        <a:xfrm flipH="1">
          <a:off x="7687800" y="9971640"/>
          <a:ext cx="153468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85680</xdr:colOff>
      <xdr:row>692</xdr:row>
      <xdr:rowOff>76680</xdr:rowOff>
    </xdr:from>
    <xdr:to>
      <xdr:col>17</xdr:col>
      <xdr:colOff>85680</xdr:colOff>
      <xdr:row>692</xdr:row>
      <xdr:rowOff>133920</xdr:rowOff>
    </xdr:to>
    <xdr:sp>
      <xdr:nvSpPr>
        <xdr:cNvPr id="403" name="Прямая соединительная линия 777"/>
        <xdr:cNvSpPr/>
      </xdr:nvSpPr>
      <xdr:spPr>
        <a:xfrm>
          <a:off x="9307440" y="10019520"/>
          <a:ext cx="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17</xdr:col>
      <xdr:colOff>85680</xdr:colOff>
      <xdr:row>692</xdr:row>
      <xdr:rowOff>152280</xdr:rowOff>
    </xdr:from>
    <xdr:to>
      <xdr:col>17</xdr:col>
      <xdr:colOff>86040</xdr:colOff>
      <xdr:row>692</xdr:row>
      <xdr:rowOff>152640</xdr:rowOff>
    </xdr:to>
    <xdr:sp>
      <xdr:nvSpPr>
        <xdr:cNvPr id="404" name="Прямая соединительная линия 788" hidden="1"/>
        <xdr:cNvSpPr/>
      </xdr:nvSpPr>
      <xdr:spPr>
        <a:xfrm>
          <a:off x="9307440" y="10095480"/>
          <a:ext cx="360" cy="360"/>
        </a:xfrm>
        <a:custGeom>
          <a:avLst/>
          <a:gdLst/>
          <a:ahLst/>
          <a:rect l="l" t="t" r="r" b="b"/>
          <a:pathLst>
            <a:path w="1" h="1">
              <a:moveTo>
                <a:pt x="0" y="0"/>
              </a:moveTo>
              <a:lnTo>
                <a:pt x="0" y="0"/>
              </a:lnTo>
            </a:path>
          </a:pathLst>
        </a:custGeom>
        <a:noFill/>
        <a:ln w="3810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twoCell">
    <xdr:from>
      <xdr:col>23</xdr:col>
      <xdr:colOff>171360</xdr:colOff>
      <xdr:row>692</xdr:row>
      <xdr:rowOff>38520</xdr:rowOff>
    </xdr:from>
    <xdr:to>
      <xdr:col>23</xdr:col>
      <xdr:colOff>192240</xdr:colOff>
      <xdr:row>692</xdr:row>
      <xdr:rowOff>95760</xdr:rowOff>
    </xdr:to>
    <xdr:sp>
      <xdr:nvSpPr>
        <xdr:cNvPr id="405" name="Прямая соединительная линия 793"/>
        <xdr:cNvSpPr/>
      </xdr:nvSpPr>
      <xdr:spPr>
        <a:xfrm flipH="1">
          <a:off x="10783800" y="9981360"/>
          <a:ext cx="20880" cy="572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16</xdr:col>
      <xdr:colOff>172080</xdr:colOff>
      <xdr:row>692</xdr:row>
      <xdr:rowOff>37800</xdr:rowOff>
    </xdr:from>
    <xdr:to>
      <xdr:col>18</xdr:col>
      <xdr:colOff>133920</xdr:colOff>
      <xdr:row>692</xdr:row>
      <xdr:rowOff>152280</xdr:rowOff>
    </xdr:to>
    <xdr:sp>
      <xdr:nvSpPr>
        <xdr:cNvPr id="406" name="Прямая соединительная линия 809"/>
        <xdr:cNvSpPr/>
      </xdr:nvSpPr>
      <xdr:spPr>
        <a:xfrm flipH="1" flipV="1">
          <a:off x="9201960" y="9981000"/>
          <a:ext cx="474840" cy="11448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123840</xdr:colOff>
      <xdr:row>692</xdr:row>
      <xdr:rowOff>75960</xdr:rowOff>
    </xdr:from>
    <xdr:to>
      <xdr:col>26</xdr:col>
      <xdr:colOff>19080</xdr:colOff>
      <xdr:row>692</xdr:row>
      <xdr:rowOff>152280</xdr:rowOff>
    </xdr:to>
    <xdr:sp>
      <xdr:nvSpPr>
        <xdr:cNvPr id="407" name="Прямая соединительная линия 814"/>
        <xdr:cNvSpPr/>
      </xdr:nvSpPr>
      <xdr:spPr>
        <a:xfrm flipH="1">
          <a:off x="9666720" y="10019160"/>
          <a:ext cx="1539720" cy="7632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105120</xdr:colOff>
      <xdr:row>692</xdr:row>
      <xdr:rowOff>29160</xdr:rowOff>
    </xdr:from>
    <xdr:to>
      <xdr:col>26</xdr:col>
      <xdr:colOff>28800</xdr:colOff>
      <xdr:row>692</xdr:row>
      <xdr:rowOff>133920</xdr:rowOff>
    </xdr:to>
    <xdr:sp>
      <xdr:nvSpPr>
        <xdr:cNvPr id="408" name="Прямая соединительная линия 815"/>
        <xdr:cNvSpPr/>
      </xdr:nvSpPr>
      <xdr:spPr>
        <a:xfrm flipH="1">
          <a:off x="9648360" y="9972000"/>
          <a:ext cx="1568160" cy="1047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65160</xdr:colOff>
      <xdr:row>692</xdr:row>
      <xdr:rowOff>38520</xdr:rowOff>
    </xdr:from>
    <xdr:to>
      <xdr:col>16</xdr:col>
      <xdr:colOff>38160</xdr:colOff>
      <xdr:row>692</xdr:row>
      <xdr:rowOff>95760</xdr:rowOff>
    </xdr:to>
    <xdr:sp>
      <xdr:nvSpPr>
        <xdr:cNvPr id="409" name="Прямая соединительная линия 823"/>
        <xdr:cNvSpPr/>
      </xdr:nvSpPr>
      <xdr:spPr>
        <a:xfrm flipH="1">
          <a:off x="7752960" y="9981360"/>
          <a:ext cx="1315440" cy="57240"/>
        </a:xfrm>
        <a:prstGeom prst="line">
          <a:avLst/>
        </a:prstGeom>
        <a:ln w="1905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28800</xdr:colOff>
      <xdr:row>692</xdr:row>
      <xdr:rowOff>67320</xdr:rowOff>
    </xdr:from>
    <xdr:to>
      <xdr:col>18</xdr:col>
      <xdr:colOff>152640</xdr:colOff>
      <xdr:row>692</xdr:row>
      <xdr:rowOff>133920</xdr:rowOff>
    </xdr:to>
    <xdr:sp>
      <xdr:nvSpPr>
        <xdr:cNvPr id="410" name="Прямая соединительная линия 824"/>
        <xdr:cNvSpPr/>
      </xdr:nvSpPr>
      <xdr:spPr>
        <a:xfrm flipH="1" flipV="1">
          <a:off x="7716600" y="10010160"/>
          <a:ext cx="1979280" cy="666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360</xdr:colOff>
      <xdr:row>692</xdr:row>
      <xdr:rowOff>114840</xdr:rowOff>
    </xdr:from>
    <xdr:to>
      <xdr:col>18</xdr:col>
      <xdr:colOff>114480</xdr:colOff>
      <xdr:row>692</xdr:row>
      <xdr:rowOff>143280</xdr:rowOff>
    </xdr:to>
    <xdr:sp>
      <xdr:nvSpPr>
        <xdr:cNvPr id="411" name="Прямая соединительная линия 827"/>
        <xdr:cNvSpPr/>
      </xdr:nvSpPr>
      <xdr:spPr>
        <a:xfrm flipH="1" flipV="1">
          <a:off x="7687800" y="10057680"/>
          <a:ext cx="1969560" cy="2844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511</xdr:row>
      <xdr:rowOff>0</xdr:rowOff>
    </xdr:from>
    <xdr:to>
      <xdr:col>7</xdr:col>
      <xdr:colOff>9360</xdr:colOff>
      <xdr:row>511</xdr:row>
      <xdr:rowOff>133200</xdr:rowOff>
    </xdr:to>
    <xdr:sp>
      <xdr:nvSpPr>
        <xdr:cNvPr id="412" name="Прямая соединительная линия 828"/>
        <xdr:cNvSpPr/>
      </xdr:nvSpPr>
      <xdr:spPr>
        <a:xfrm>
          <a:off x="7191720" y="9224640"/>
          <a:ext cx="0" cy="133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511</xdr:row>
      <xdr:rowOff>0</xdr:rowOff>
    </xdr:from>
    <xdr:to>
      <xdr:col>17</xdr:col>
      <xdr:colOff>0</xdr:colOff>
      <xdr:row>511</xdr:row>
      <xdr:rowOff>142560</xdr:rowOff>
    </xdr:to>
    <xdr:sp>
      <xdr:nvSpPr>
        <xdr:cNvPr id="413" name="Прямая соединительная линия 830"/>
        <xdr:cNvSpPr/>
      </xdr:nvSpPr>
      <xdr:spPr>
        <a:xfrm>
          <a:off x="9221760" y="922464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10080</xdr:colOff>
      <xdr:row>511</xdr:row>
      <xdr:rowOff>18720</xdr:rowOff>
    </xdr:from>
    <xdr:to>
      <xdr:col>17</xdr:col>
      <xdr:colOff>1440</xdr:colOff>
      <xdr:row>511</xdr:row>
      <xdr:rowOff>18720</xdr:rowOff>
    </xdr:to>
    <xdr:sp>
      <xdr:nvSpPr>
        <xdr:cNvPr id="414" name="Прямая соединительная линия 831"/>
        <xdr:cNvSpPr/>
      </xdr:nvSpPr>
      <xdr:spPr>
        <a:xfrm flipH="1">
          <a:off x="7192080" y="9243360"/>
          <a:ext cx="20307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360</xdr:colOff>
      <xdr:row>511</xdr:row>
      <xdr:rowOff>152280</xdr:rowOff>
    </xdr:from>
    <xdr:to>
      <xdr:col>11</xdr:col>
      <xdr:colOff>9720</xdr:colOff>
      <xdr:row>511</xdr:row>
      <xdr:rowOff>152280</xdr:rowOff>
    </xdr:to>
    <xdr:sp>
      <xdr:nvSpPr>
        <xdr:cNvPr id="415" name="Прямая соединительная линия 837"/>
        <xdr:cNvSpPr/>
      </xdr:nvSpPr>
      <xdr:spPr>
        <a:xfrm flipH="1">
          <a:off x="7182360" y="9376920"/>
          <a:ext cx="89820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162000</xdr:colOff>
      <xdr:row>511</xdr:row>
      <xdr:rowOff>123480</xdr:rowOff>
    </xdr:from>
    <xdr:to>
      <xdr:col>17</xdr:col>
      <xdr:colOff>1080</xdr:colOff>
      <xdr:row>511</xdr:row>
      <xdr:rowOff>123480</xdr:rowOff>
    </xdr:to>
    <xdr:sp>
      <xdr:nvSpPr>
        <xdr:cNvPr id="416" name="Прямая соединительная линия 854"/>
        <xdr:cNvSpPr/>
      </xdr:nvSpPr>
      <xdr:spPr>
        <a:xfrm flipH="1">
          <a:off x="8041320" y="9348120"/>
          <a:ext cx="1181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511</xdr:row>
      <xdr:rowOff>19440</xdr:rowOff>
    </xdr:from>
    <xdr:to>
      <xdr:col>6</xdr:col>
      <xdr:colOff>419040</xdr:colOff>
      <xdr:row>511</xdr:row>
      <xdr:rowOff>153000</xdr:rowOff>
    </xdr:to>
    <xdr:sp>
      <xdr:nvSpPr>
        <xdr:cNvPr id="417" name="Прямая соединительная линия 860"/>
        <xdr:cNvSpPr/>
      </xdr:nvSpPr>
      <xdr:spPr>
        <a:xfrm>
          <a:off x="6953760" y="9243720"/>
          <a:ext cx="0" cy="13356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209520</xdr:colOff>
      <xdr:row>511</xdr:row>
      <xdr:rowOff>28440</xdr:rowOff>
    </xdr:from>
    <xdr:to>
      <xdr:col>17</xdr:col>
      <xdr:colOff>209520</xdr:colOff>
      <xdr:row>511</xdr:row>
      <xdr:rowOff>161640</xdr:rowOff>
    </xdr:to>
    <xdr:sp>
      <xdr:nvSpPr>
        <xdr:cNvPr id="418" name="Прямая соединительная линия 867"/>
        <xdr:cNvSpPr/>
      </xdr:nvSpPr>
      <xdr:spPr>
        <a:xfrm>
          <a:off x="9431280" y="9253080"/>
          <a:ext cx="0" cy="13320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409320</xdr:colOff>
      <xdr:row>511</xdr:row>
      <xdr:rowOff>28440</xdr:rowOff>
    </xdr:from>
    <xdr:to>
      <xdr:col>17</xdr:col>
      <xdr:colOff>218880</xdr:colOff>
      <xdr:row>511</xdr:row>
      <xdr:rowOff>28440</xdr:rowOff>
    </xdr:to>
    <xdr:sp>
      <xdr:nvSpPr>
        <xdr:cNvPr id="419" name="Прямая соединительная линия 874"/>
        <xdr:cNvSpPr/>
      </xdr:nvSpPr>
      <xdr:spPr>
        <a:xfrm>
          <a:off x="6944040" y="9253080"/>
          <a:ext cx="2496600" cy="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511</xdr:row>
      <xdr:rowOff>142560</xdr:rowOff>
    </xdr:from>
    <xdr:to>
      <xdr:col>17</xdr:col>
      <xdr:colOff>228600</xdr:colOff>
      <xdr:row>511</xdr:row>
      <xdr:rowOff>142560</xdr:rowOff>
    </xdr:to>
    <xdr:sp>
      <xdr:nvSpPr>
        <xdr:cNvPr id="420" name="Прямая соединительная линия 877"/>
        <xdr:cNvSpPr/>
      </xdr:nvSpPr>
      <xdr:spPr>
        <a:xfrm>
          <a:off x="6953760" y="9367200"/>
          <a:ext cx="2496600" cy="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511</xdr:row>
      <xdr:rowOff>28440</xdr:rowOff>
    </xdr:from>
    <xdr:to>
      <xdr:col>11</xdr:col>
      <xdr:colOff>142560</xdr:colOff>
      <xdr:row>511</xdr:row>
      <xdr:rowOff>161640</xdr:rowOff>
    </xdr:to>
    <xdr:sp>
      <xdr:nvSpPr>
        <xdr:cNvPr id="421" name="Прямая соединительная линия 879"/>
        <xdr:cNvSpPr/>
      </xdr:nvSpPr>
      <xdr:spPr>
        <a:xfrm>
          <a:off x="8213760" y="9253080"/>
          <a:ext cx="0" cy="13320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17640</xdr:colOff>
      <xdr:row>511</xdr:row>
      <xdr:rowOff>0</xdr:rowOff>
    </xdr:from>
    <xdr:to>
      <xdr:col>19</xdr:col>
      <xdr:colOff>121680</xdr:colOff>
      <xdr:row>511</xdr:row>
      <xdr:rowOff>360</xdr:rowOff>
    </xdr:to>
    <xdr:sp>
      <xdr:nvSpPr>
        <xdr:cNvPr id="422" name="Прямая со стрелкой 882"/>
        <xdr:cNvSpPr/>
      </xdr:nvSpPr>
      <xdr:spPr>
        <a:xfrm flipH="1">
          <a:off x="9239400" y="9224640"/>
          <a:ext cx="6174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228600</xdr:colOff>
      <xdr:row>511</xdr:row>
      <xdr:rowOff>57240</xdr:rowOff>
    </xdr:from>
    <xdr:to>
      <xdr:col>19</xdr:col>
      <xdr:colOff>104040</xdr:colOff>
      <xdr:row>511</xdr:row>
      <xdr:rowOff>57600</xdr:rowOff>
    </xdr:to>
    <xdr:sp>
      <xdr:nvSpPr>
        <xdr:cNvPr id="423" name="Прямая со стрелкой 884"/>
        <xdr:cNvSpPr/>
      </xdr:nvSpPr>
      <xdr:spPr>
        <a:xfrm flipH="1">
          <a:off x="9450360" y="9281880"/>
          <a:ext cx="3888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511</xdr:row>
      <xdr:rowOff>0</xdr:rowOff>
    </xdr:from>
    <xdr:to>
      <xdr:col>7</xdr:col>
      <xdr:colOff>9360</xdr:colOff>
      <xdr:row>511</xdr:row>
      <xdr:rowOff>142560</xdr:rowOff>
    </xdr:to>
    <xdr:sp>
      <xdr:nvSpPr>
        <xdr:cNvPr id="424" name="Прямая соединительная линия 918"/>
        <xdr:cNvSpPr/>
      </xdr:nvSpPr>
      <xdr:spPr>
        <a:xfrm>
          <a:off x="7191720" y="922464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511</xdr:row>
      <xdr:rowOff>0</xdr:rowOff>
    </xdr:from>
    <xdr:to>
      <xdr:col>17</xdr:col>
      <xdr:colOff>0</xdr:colOff>
      <xdr:row>511</xdr:row>
      <xdr:rowOff>142560</xdr:rowOff>
    </xdr:to>
    <xdr:sp>
      <xdr:nvSpPr>
        <xdr:cNvPr id="425" name="Прямая соединительная линия 919"/>
        <xdr:cNvSpPr/>
      </xdr:nvSpPr>
      <xdr:spPr>
        <a:xfrm>
          <a:off x="9221760" y="922464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10080</xdr:colOff>
      <xdr:row>511</xdr:row>
      <xdr:rowOff>18720</xdr:rowOff>
    </xdr:from>
    <xdr:to>
      <xdr:col>17</xdr:col>
      <xdr:colOff>1440</xdr:colOff>
      <xdr:row>511</xdr:row>
      <xdr:rowOff>18720</xdr:rowOff>
    </xdr:to>
    <xdr:sp>
      <xdr:nvSpPr>
        <xdr:cNvPr id="426" name="Прямая соединительная линия 920"/>
        <xdr:cNvSpPr/>
      </xdr:nvSpPr>
      <xdr:spPr>
        <a:xfrm flipH="1">
          <a:off x="7192080" y="9243360"/>
          <a:ext cx="20307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152280</xdr:colOff>
      <xdr:row>511</xdr:row>
      <xdr:rowOff>66600</xdr:rowOff>
    </xdr:from>
    <xdr:to>
      <xdr:col>14</xdr:col>
      <xdr:colOff>95040</xdr:colOff>
      <xdr:row>511</xdr:row>
      <xdr:rowOff>66600</xdr:rowOff>
    </xdr:to>
    <xdr:sp>
      <xdr:nvSpPr>
        <xdr:cNvPr id="427" name="Прямая соединительная линия 921"/>
        <xdr:cNvSpPr/>
      </xdr:nvSpPr>
      <xdr:spPr>
        <a:xfrm flipH="1">
          <a:off x="7840080" y="9291240"/>
          <a:ext cx="901440" cy="0"/>
        </a:xfrm>
        <a:prstGeom prst="line">
          <a:avLst/>
        </a:prstGeom>
        <a:ln w="38100">
          <a:solidFill>
            <a:srgbClr val="558ed5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10080</xdr:colOff>
      <xdr:row>511</xdr:row>
      <xdr:rowOff>123480</xdr:rowOff>
    </xdr:from>
    <xdr:to>
      <xdr:col>17</xdr:col>
      <xdr:colOff>1440</xdr:colOff>
      <xdr:row>511</xdr:row>
      <xdr:rowOff>123480</xdr:rowOff>
    </xdr:to>
    <xdr:sp>
      <xdr:nvSpPr>
        <xdr:cNvPr id="428" name="Прямая соединительная линия 922"/>
        <xdr:cNvSpPr/>
      </xdr:nvSpPr>
      <xdr:spPr>
        <a:xfrm flipH="1">
          <a:off x="7192080" y="9348120"/>
          <a:ext cx="20307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511</xdr:row>
      <xdr:rowOff>19440</xdr:rowOff>
    </xdr:from>
    <xdr:to>
      <xdr:col>6</xdr:col>
      <xdr:colOff>419040</xdr:colOff>
      <xdr:row>511</xdr:row>
      <xdr:rowOff>153000</xdr:rowOff>
    </xdr:to>
    <xdr:sp>
      <xdr:nvSpPr>
        <xdr:cNvPr id="429" name="Прямая соединительная линия 924"/>
        <xdr:cNvSpPr/>
      </xdr:nvSpPr>
      <xdr:spPr>
        <a:xfrm>
          <a:off x="6953760" y="9243720"/>
          <a:ext cx="0" cy="13356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209520</xdr:colOff>
      <xdr:row>511</xdr:row>
      <xdr:rowOff>28440</xdr:rowOff>
    </xdr:from>
    <xdr:to>
      <xdr:col>17</xdr:col>
      <xdr:colOff>209520</xdr:colOff>
      <xdr:row>511</xdr:row>
      <xdr:rowOff>161640</xdr:rowOff>
    </xdr:to>
    <xdr:sp>
      <xdr:nvSpPr>
        <xdr:cNvPr id="430" name="Прямая соединительная линия 925"/>
        <xdr:cNvSpPr/>
      </xdr:nvSpPr>
      <xdr:spPr>
        <a:xfrm>
          <a:off x="9431280" y="9253080"/>
          <a:ext cx="0" cy="13320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409320</xdr:colOff>
      <xdr:row>511</xdr:row>
      <xdr:rowOff>28440</xdr:rowOff>
    </xdr:from>
    <xdr:to>
      <xdr:col>17</xdr:col>
      <xdr:colOff>218880</xdr:colOff>
      <xdr:row>511</xdr:row>
      <xdr:rowOff>28440</xdr:rowOff>
    </xdr:to>
    <xdr:sp>
      <xdr:nvSpPr>
        <xdr:cNvPr id="431" name="Прямая соединительная линия 926"/>
        <xdr:cNvSpPr/>
      </xdr:nvSpPr>
      <xdr:spPr>
        <a:xfrm>
          <a:off x="6944040" y="9253080"/>
          <a:ext cx="2496600" cy="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511</xdr:row>
      <xdr:rowOff>142560</xdr:rowOff>
    </xdr:from>
    <xdr:to>
      <xdr:col>17</xdr:col>
      <xdr:colOff>228600</xdr:colOff>
      <xdr:row>511</xdr:row>
      <xdr:rowOff>142560</xdr:rowOff>
    </xdr:to>
    <xdr:sp>
      <xdr:nvSpPr>
        <xdr:cNvPr id="432" name="Прямая соединительная линия 927"/>
        <xdr:cNvSpPr/>
      </xdr:nvSpPr>
      <xdr:spPr>
        <a:xfrm>
          <a:off x="6953760" y="9367200"/>
          <a:ext cx="2496600" cy="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511</xdr:row>
      <xdr:rowOff>28440</xdr:rowOff>
    </xdr:from>
    <xdr:to>
      <xdr:col>11</xdr:col>
      <xdr:colOff>142560</xdr:colOff>
      <xdr:row>511</xdr:row>
      <xdr:rowOff>161640</xdr:rowOff>
    </xdr:to>
    <xdr:sp>
      <xdr:nvSpPr>
        <xdr:cNvPr id="433" name="Прямая соединительная линия 928"/>
        <xdr:cNvSpPr/>
      </xdr:nvSpPr>
      <xdr:spPr>
        <a:xfrm>
          <a:off x="8213760" y="9253080"/>
          <a:ext cx="0" cy="13320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17640</xdr:colOff>
      <xdr:row>511</xdr:row>
      <xdr:rowOff>0</xdr:rowOff>
    </xdr:from>
    <xdr:to>
      <xdr:col>19</xdr:col>
      <xdr:colOff>121680</xdr:colOff>
      <xdr:row>511</xdr:row>
      <xdr:rowOff>360</xdr:rowOff>
    </xdr:to>
    <xdr:sp>
      <xdr:nvSpPr>
        <xdr:cNvPr id="434" name="Прямая со стрелкой 929"/>
        <xdr:cNvSpPr/>
      </xdr:nvSpPr>
      <xdr:spPr>
        <a:xfrm flipH="1">
          <a:off x="9239400" y="9224640"/>
          <a:ext cx="6174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228600</xdr:colOff>
      <xdr:row>511</xdr:row>
      <xdr:rowOff>57240</xdr:rowOff>
    </xdr:from>
    <xdr:to>
      <xdr:col>19</xdr:col>
      <xdr:colOff>104040</xdr:colOff>
      <xdr:row>511</xdr:row>
      <xdr:rowOff>57600</xdr:rowOff>
    </xdr:to>
    <xdr:sp>
      <xdr:nvSpPr>
        <xdr:cNvPr id="435" name="Прямая со стрелкой 930"/>
        <xdr:cNvSpPr/>
      </xdr:nvSpPr>
      <xdr:spPr>
        <a:xfrm flipH="1">
          <a:off x="9450360" y="9281880"/>
          <a:ext cx="3888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600120</xdr:colOff>
      <xdr:row>511</xdr:row>
      <xdr:rowOff>123480</xdr:rowOff>
    </xdr:from>
    <xdr:to>
      <xdr:col>11</xdr:col>
      <xdr:colOff>1080</xdr:colOff>
      <xdr:row>511</xdr:row>
      <xdr:rowOff>123480</xdr:rowOff>
    </xdr:to>
    <xdr:sp>
      <xdr:nvSpPr>
        <xdr:cNvPr id="436" name="Прямая соединительная линия 937"/>
        <xdr:cNvSpPr/>
      </xdr:nvSpPr>
      <xdr:spPr>
        <a:xfrm flipH="1">
          <a:off x="7134840" y="9348120"/>
          <a:ext cx="937440" cy="0"/>
        </a:xfrm>
        <a:prstGeom prst="line">
          <a:avLst/>
        </a:prstGeom>
        <a:ln w="38100">
          <a:solidFill>
            <a:srgbClr val="558ed5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511</xdr:row>
      <xdr:rowOff>0</xdr:rowOff>
    </xdr:from>
    <xdr:to>
      <xdr:col>7</xdr:col>
      <xdr:colOff>9360</xdr:colOff>
      <xdr:row>511</xdr:row>
      <xdr:rowOff>133200</xdr:rowOff>
    </xdr:to>
    <xdr:sp>
      <xdr:nvSpPr>
        <xdr:cNvPr id="437" name="Прямая соединительная линия 938"/>
        <xdr:cNvSpPr/>
      </xdr:nvSpPr>
      <xdr:spPr>
        <a:xfrm>
          <a:off x="7191720" y="9224640"/>
          <a:ext cx="0" cy="133200"/>
        </a:xfrm>
        <a:prstGeom prst="line">
          <a:avLst/>
        </a:prstGeom>
        <a:ln w="38100">
          <a:solidFill>
            <a:srgbClr val="558ed5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362520</xdr:colOff>
      <xdr:row>511</xdr:row>
      <xdr:rowOff>0</xdr:rowOff>
    </xdr:from>
    <xdr:to>
      <xdr:col>6</xdr:col>
      <xdr:colOff>362880</xdr:colOff>
      <xdr:row>511</xdr:row>
      <xdr:rowOff>75600</xdr:rowOff>
    </xdr:to>
    <xdr:sp>
      <xdr:nvSpPr>
        <xdr:cNvPr id="438" name="Прямая со стрелкой 942"/>
        <xdr:cNvSpPr/>
      </xdr:nvSpPr>
      <xdr:spPr>
        <a:xfrm flipV="1">
          <a:off x="6896880" y="9224640"/>
          <a:ext cx="360" cy="75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590400</xdr:colOff>
      <xdr:row>511</xdr:row>
      <xdr:rowOff>76320</xdr:rowOff>
    </xdr:from>
    <xdr:to>
      <xdr:col>10</xdr:col>
      <xdr:colOff>123120</xdr:colOff>
      <xdr:row>511</xdr:row>
      <xdr:rowOff>76680</xdr:rowOff>
    </xdr:to>
    <xdr:sp>
      <xdr:nvSpPr>
        <xdr:cNvPr id="439" name="Прямая со стрелкой 944"/>
        <xdr:cNvSpPr/>
      </xdr:nvSpPr>
      <xdr:spPr>
        <a:xfrm>
          <a:off x="7125120" y="9300960"/>
          <a:ext cx="87768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616</xdr:row>
      <xdr:rowOff>0</xdr:rowOff>
    </xdr:from>
    <xdr:to>
      <xdr:col>7</xdr:col>
      <xdr:colOff>9360</xdr:colOff>
      <xdr:row>616</xdr:row>
      <xdr:rowOff>133200</xdr:rowOff>
    </xdr:to>
    <xdr:sp>
      <xdr:nvSpPr>
        <xdr:cNvPr id="440" name="Прямая соединительная линия 950"/>
        <xdr:cNvSpPr/>
      </xdr:nvSpPr>
      <xdr:spPr>
        <a:xfrm>
          <a:off x="7191720" y="9583920"/>
          <a:ext cx="0" cy="13320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0</xdr:colOff>
      <xdr:row>616</xdr:row>
      <xdr:rowOff>0</xdr:rowOff>
    </xdr:from>
    <xdr:to>
      <xdr:col>17</xdr:col>
      <xdr:colOff>0</xdr:colOff>
      <xdr:row>616</xdr:row>
      <xdr:rowOff>142560</xdr:rowOff>
    </xdr:to>
    <xdr:sp>
      <xdr:nvSpPr>
        <xdr:cNvPr id="441" name="Прямая соединительная линия 951"/>
        <xdr:cNvSpPr/>
      </xdr:nvSpPr>
      <xdr:spPr>
        <a:xfrm>
          <a:off x="9221760" y="9583920"/>
          <a:ext cx="0" cy="14256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10080</xdr:colOff>
      <xdr:row>616</xdr:row>
      <xdr:rowOff>18720</xdr:rowOff>
    </xdr:from>
    <xdr:to>
      <xdr:col>17</xdr:col>
      <xdr:colOff>1440</xdr:colOff>
      <xdr:row>616</xdr:row>
      <xdr:rowOff>18720</xdr:rowOff>
    </xdr:to>
    <xdr:sp>
      <xdr:nvSpPr>
        <xdr:cNvPr id="442" name="Прямая соединительная линия 952"/>
        <xdr:cNvSpPr/>
      </xdr:nvSpPr>
      <xdr:spPr>
        <a:xfrm flipH="1">
          <a:off x="7192080" y="9602640"/>
          <a:ext cx="20307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360</xdr:colOff>
      <xdr:row>616</xdr:row>
      <xdr:rowOff>152280</xdr:rowOff>
    </xdr:from>
    <xdr:to>
      <xdr:col>11</xdr:col>
      <xdr:colOff>9720</xdr:colOff>
      <xdr:row>616</xdr:row>
      <xdr:rowOff>152280</xdr:rowOff>
    </xdr:to>
    <xdr:sp>
      <xdr:nvSpPr>
        <xdr:cNvPr id="443" name="Прямая соединительная линия 953"/>
        <xdr:cNvSpPr/>
      </xdr:nvSpPr>
      <xdr:spPr>
        <a:xfrm flipH="1">
          <a:off x="7182360" y="9736200"/>
          <a:ext cx="89820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162000</xdr:colOff>
      <xdr:row>616</xdr:row>
      <xdr:rowOff>123480</xdr:rowOff>
    </xdr:from>
    <xdr:to>
      <xdr:col>17</xdr:col>
      <xdr:colOff>1080</xdr:colOff>
      <xdr:row>616</xdr:row>
      <xdr:rowOff>123480</xdr:rowOff>
    </xdr:to>
    <xdr:sp>
      <xdr:nvSpPr>
        <xdr:cNvPr id="444" name="Прямая соединительная линия 954"/>
        <xdr:cNvSpPr/>
      </xdr:nvSpPr>
      <xdr:spPr>
        <a:xfrm flipH="1">
          <a:off x="8041320" y="9707400"/>
          <a:ext cx="1181160" cy="0"/>
        </a:xfrm>
        <a:prstGeom prst="line">
          <a:avLst/>
        </a:prstGeom>
        <a:ln w="381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616</xdr:row>
      <xdr:rowOff>19440</xdr:rowOff>
    </xdr:from>
    <xdr:to>
      <xdr:col>6</xdr:col>
      <xdr:colOff>419040</xdr:colOff>
      <xdr:row>616</xdr:row>
      <xdr:rowOff>153000</xdr:rowOff>
    </xdr:to>
    <xdr:sp>
      <xdr:nvSpPr>
        <xdr:cNvPr id="445" name="Прямая соединительная линия 956"/>
        <xdr:cNvSpPr/>
      </xdr:nvSpPr>
      <xdr:spPr>
        <a:xfrm>
          <a:off x="6953760" y="9603000"/>
          <a:ext cx="0" cy="13356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209520</xdr:colOff>
      <xdr:row>616</xdr:row>
      <xdr:rowOff>28440</xdr:rowOff>
    </xdr:from>
    <xdr:to>
      <xdr:col>17</xdr:col>
      <xdr:colOff>209520</xdr:colOff>
      <xdr:row>616</xdr:row>
      <xdr:rowOff>161640</xdr:rowOff>
    </xdr:to>
    <xdr:sp>
      <xdr:nvSpPr>
        <xdr:cNvPr id="446" name="Прямая соединительная линия 957"/>
        <xdr:cNvSpPr/>
      </xdr:nvSpPr>
      <xdr:spPr>
        <a:xfrm>
          <a:off x="9431280" y="9612360"/>
          <a:ext cx="0" cy="13320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409320</xdr:colOff>
      <xdr:row>616</xdr:row>
      <xdr:rowOff>28440</xdr:rowOff>
    </xdr:from>
    <xdr:to>
      <xdr:col>17</xdr:col>
      <xdr:colOff>218880</xdr:colOff>
      <xdr:row>616</xdr:row>
      <xdr:rowOff>28440</xdr:rowOff>
    </xdr:to>
    <xdr:sp>
      <xdr:nvSpPr>
        <xdr:cNvPr id="447" name="Прямая соединительная линия 958"/>
        <xdr:cNvSpPr/>
      </xdr:nvSpPr>
      <xdr:spPr>
        <a:xfrm>
          <a:off x="6944040" y="9612360"/>
          <a:ext cx="2496600" cy="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419040</xdr:colOff>
      <xdr:row>616</xdr:row>
      <xdr:rowOff>142560</xdr:rowOff>
    </xdr:from>
    <xdr:to>
      <xdr:col>17</xdr:col>
      <xdr:colOff>228600</xdr:colOff>
      <xdr:row>616</xdr:row>
      <xdr:rowOff>142560</xdr:rowOff>
    </xdr:to>
    <xdr:sp>
      <xdr:nvSpPr>
        <xdr:cNvPr id="448" name="Прямая соединительная линия 959"/>
        <xdr:cNvSpPr/>
      </xdr:nvSpPr>
      <xdr:spPr>
        <a:xfrm>
          <a:off x="6953760" y="9726480"/>
          <a:ext cx="2496600" cy="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142560</xdr:colOff>
      <xdr:row>616</xdr:row>
      <xdr:rowOff>28440</xdr:rowOff>
    </xdr:from>
    <xdr:to>
      <xdr:col>11</xdr:col>
      <xdr:colOff>142560</xdr:colOff>
      <xdr:row>616</xdr:row>
      <xdr:rowOff>161640</xdr:rowOff>
    </xdr:to>
    <xdr:sp>
      <xdr:nvSpPr>
        <xdr:cNvPr id="449" name="Прямая соединительная линия 960"/>
        <xdr:cNvSpPr/>
      </xdr:nvSpPr>
      <xdr:spPr>
        <a:xfrm>
          <a:off x="8213760" y="9612360"/>
          <a:ext cx="0" cy="133200"/>
        </a:xfrm>
        <a:prstGeom prst="line">
          <a:avLst/>
        </a:prstGeom>
        <a:ln w="19050">
          <a:solidFill>
            <a:srgbClr val="948a54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17640</xdr:colOff>
      <xdr:row>616</xdr:row>
      <xdr:rowOff>0</xdr:rowOff>
    </xdr:from>
    <xdr:to>
      <xdr:col>19</xdr:col>
      <xdr:colOff>121680</xdr:colOff>
      <xdr:row>616</xdr:row>
      <xdr:rowOff>360</xdr:rowOff>
    </xdr:to>
    <xdr:sp>
      <xdr:nvSpPr>
        <xdr:cNvPr id="450" name="Прямая со стрелкой 961"/>
        <xdr:cNvSpPr/>
      </xdr:nvSpPr>
      <xdr:spPr>
        <a:xfrm flipH="1">
          <a:off x="9239400" y="9583920"/>
          <a:ext cx="6174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228600</xdr:colOff>
      <xdr:row>616</xdr:row>
      <xdr:rowOff>57240</xdr:rowOff>
    </xdr:from>
    <xdr:to>
      <xdr:col>19</xdr:col>
      <xdr:colOff>104040</xdr:colOff>
      <xdr:row>616</xdr:row>
      <xdr:rowOff>57600</xdr:rowOff>
    </xdr:to>
    <xdr:sp>
      <xdr:nvSpPr>
        <xdr:cNvPr id="451" name="Прямая со стрелкой 962"/>
        <xdr:cNvSpPr/>
      </xdr:nvSpPr>
      <xdr:spPr>
        <a:xfrm flipH="1">
          <a:off x="9450360" y="9641160"/>
          <a:ext cx="3888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38100">
          <a:solidFill>
            <a:srgbClr val="4a7ebb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600120</xdr:colOff>
      <xdr:row>616</xdr:row>
      <xdr:rowOff>123480</xdr:rowOff>
    </xdr:from>
    <xdr:to>
      <xdr:col>11</xdr:col>
      <xdr:colOff>1080</xdr:colOff>
      <xdr:row>616</xdr:row>
      <xdr:rowOff>123480</xdr:rowOff>
    </xdr:to>
    <xdr:sp>
      <xdr:nvSpPr>
        <xdr:cNvPr id="452" name="Прямая соединительная линия 963"/>
        <xdr:cNvSpPr/>
      </xdr:nvSpPr>
      <xdr:spPr>
        <a:xfrm flipH="1">
          <a:off x="7134840" y="9707400"/>
          <a:ext cx="937440" cy="0"/>
        </a:xfrm>
        <a:prstGeom prst="line">
          <a:avLst/>
        </a:prstGeom>
        <a:ln w="38100">
          <a:solidFill>
            <a:srgbClr val="558ed5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9360</xdr:colOff>
      <xdr:row>616</xdr:row>
      <xdr:rowOff>0</xdr:rowOff>
    </xdr:from>
    <xdr:to>
      <xdr:col>7</xdr:col>
      <xdr:colOff>9360</xdr:colOff>
      <xdr:row>616</xdr:row>
      <xdr:rowOff>133200</xdr:rowOff>
    </xdr:to>
    <xdr:sp>
      <xdr:nvSpPr>
        <xdr:cNvPr id="453" name="Прямая соединительная линия 964"/>
        <xdr:cNvSpPr/>
      </xdr:nvSpPr>
      <xdr:spPr>
        <a:xfrm>
          <a:off x="7191720" y="9583920"/>
          <a:ext cx="0" cy="133200"/>
        </a:xfrm>
        <a:prstGeom prst="line">
          <a:avLst/>
        </a:prstGeom>
        <a:ln w="38100">
          <a:solidFill>
            <a:srgbClr val="558ed5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362520</xdr:colOff>
      <xdr:row>616</xdr:row>
      <xdr:rowOff>0</xdr:rowOff>
    </xdr:from>
    <xdr:to>
      <xdr:col>6</xdr:col>
      <xdr:colOff>362880</xdr:colOff>
      <xdr:row>616</xdr:row>
      <xdr:rowOff>75600</xdr:rowOff>
    </xdr:to>
    <xdr:sp>
      <xdr:nvSpPr>
        <xdr:cNvPr id="454" name="Прямая со стрелкой 965"/>
        <xdr:cNvSpPr/>
      </xdr:nvSpPr>
      <xdr:spPr>
        <a:xfrm flipV="1">
          <a:off x="6896880" y="9583920"/>
          <a:ext cx="360" cy="756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590400</xdr:colOff>
      <xdr:row>616</xdr:row>
      <xdr:rowOff>76320</xdr:rowOff>
    </xdr:from>
    <xdr:to>
      <xdr:col>10</xdr:col>
      <xdr:colOff>123120</xdr:colOff>
      <xdr:row>616</xdr:row>
      <xdr:rowOff>76680</xdr:rowOff>
    </xdr:to>
    <xdr:sp>
      <xdr:nvSpPr>
        <xdr:cNvPr id="455" name="Прямая со стрелкой 966"/>
        <xdr:cNvSpPr/>
      </xdr:nvSpPr>
      <xdr:spPr>
        <a:xfrm>
          <a:off x="7125120" y="9660240"/>
          <a:ext cx="87768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000000"/>
          </a:solidFill>
          <a:round/>
          <a:headEnd len="med" type="arrow" w="med"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143280</xdr:colOff>
      <xdr:row>990</xdr:row>
      <xdr:rowOff>9360</xdr:rowOff>
    </xdr:from>
    <xdr:to>
      <xdr:col>6</xdr:col>
      <xdr:colOff>580680</xdr:colOff>
      <xdr:row>990</xdr:row>
      <xdr:rowOff>27720</xdr:rowOff>
    </xdr:to>
    <xdr:sp>
      <xdr:nvSpPr>
        <xdr:cNvPr id="456" name="Соединительная линия уступом 853"/>
        <xdr:cNvSpPr/>
      </xdr:nvSpPr>
      <xdr:spPr>
        <a:xfrm flipV="1">
          <a:off x="5331240" y="11748960"/>
          <a:ext cx="1783800" cy="18360"/>
        </a:xfrm>
        <a:prstGeom prst="bentConnector3">
          <a:avLst>
            <a:gd name="adj1" fmla="val 71667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276480</xdr:colOff>
      <xdr:row>990</xdr:row>
      <xdr:rowOff>9360</xdr:rowOff>
    </xdr:from>
    <xdr:to>
      <xdr:col>6</xdr:col>
      <xdr:colOff>513720</xdr:colOff>
      <xdr:row>990</xdr:row>
      <xdr:rowOff>46800</xdr:rowOff>
    </xdr:to>
    <xdr:sp>
      <xdr:nvSpPr>
        <xdr:cNvPr id="457" name="Соединительная линия уступом 858"/>
        <xdr:cNvSpPr/>
      </xdr:nvSpPr>
      <xdr:spPr>
        <a:xfrm flipV="1">
          <a:off x="5464440" y="11749680"/>
          <a:ext cx="1583640" cy="3744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352440</xdr:colOff>
      <xdr:row>990</xdr:row>
      <xdr:rowOff>28440</xdr:rowOff>
    </xdr:from>
    <xdr:to>
      <xdr:col>6</xdr:col>
      <xdr:colOff>589680</xdr:colOff>
      <xdr:row>990</xdr:row>
      <xdr:rowOff>28800</xdr:rowOff>
    </xdr:to>
    <xdr:sp>
      <xdr:nvSpPr>
        <xdr:cNvPr id="458" name="Соединительная линия уступом 861"/>
        <xdr:cNvSpPr/>
      </xdr:nvSpPr>
      <xdr:spPr>
        <a:xfrm>
          <a:off x="5540760" y="11768760"/>
          <a:ext cx="1583640" cy="36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380880</xdr:colOff>
      <xdr:row>990</xdr:row>
      <xdr:rowOff>0</xdr:rowOff>
    </xdr:from>
    <xdr:to>
      <xdr:col>11</xdr:col>
      <xdr:colOff>94320</xdr:colOff>
      <xdr:row>990</xdr:row>
      <xdr:rowOff>27720</xdr:rowOff>
    </xdr:to>
    <xdr:sp>
      <xdr:nvSpPr>
        <xdr:cNvPr id="459" name="Соединительная линия уступом 863"/>
        <xdr:cNvSpPr/>
      </xdr:nvSpPr>
      <xdr:spPr>
        <a:xfrm flipV="1">
          <a:off x="5569200" y="11739240"/>
          <a:ext cx="2596320" cy="27720"/>
        </a:xfrm>
        <a:prstGeom prst="bentConnector3">
          <a:avLst>
            <a:gd name="adj1" fmla="val 50000"/>
          </a:avLst>
        </a:prstGeom>
        <a:noFill/>
        <a:ln w="12700">
          <a:solidFill>
            <a:srgbClr val="00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162360</xdr:colOff>
      <xdr:row>131</xdr:row>
      <xdr:rowOff>105480</xdr:rowOff>
    </xdr:from>
    <xdr:to>
      <xdr:col>10</xdr:col>
      <xdr:colOff>162360</xdr:colOff>
      <xdr:row>131</xdr:row>
      <xdr:rowOff>140400</xdr:rowOff>
    </xdr:to>
    <xdr:sp>
      <xdr:nvSpPr>
        <xdr:cNvPr id="460" name="Прямая соединительная линия 1"/>
        <xdr:cNvSpPr/>
      </xdr:nvSpPr>
      <xdr:spPr>
        <a:xfrm flipH="1">
          <a:off x="9018720" y="26095320"/>
          <a:ext cx="600840" cy="34920"/>
        </a:xfrm>
        <a:prstGeom prst="line">
          <a:avLst/>
        </a:prstGeom>
        <a:ln w="127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0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E16" activeCellId="0" sqref="E16"/>
    </sheetView>
  </sheetViews>
  <sheetFormatPr defaultColWidth="9.19140625" defaultRowHeight="14.5" zeroHeight="false" outlineLevelRow="0" outlineLevelCol="0"/>
  <cols>
    <col collapsed="false" customWidth="false" hidden="false" outlineLevel="0" max="1024" min="1" style="1" width="9.18"/>
  </cols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customFormat="false" ht="15" hidden="false" customHeight="tru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customFormat="false" ht="15" hidden="false" customHeight="true" outlineLevel="0" collapsed="false">
      <c r="A3" s="3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customFormat="false" ht="15" hidden="false" customHeight="true" outlineLevel="0" collapsed="false">
      <c r="A4" s="3"/>
      <c r="B4" s="3"/>
      <c r="C4" s="3"/>
      <c r="D4" s="3"/>
      <c r="E4" s="3"/>
      <c r="F4" s="3"/>
      <c r="G4" s="3"/>
      <c r="H4" s="3"/>
      <c r="I4" s="3"/>
      <c r="J4" s="3"/>
      <c r="K4" s="3"/>
    </row>
    <row r="5" customFormat="false" ht="18.75" hidden="false" customHeight="true" outlineLevel="0" collapsed="false">
      <c r="A5" s="3"/>
      <c r="B5" s="3"/>
      <c r="C5" s="3"/>
      <c r="D5" s="3"/>
      <c r="E5" s="3"/>
      <c r="F5" s="3"/>
      <c r="G5" s="3"/>
      <c r="H5" s="3"/>
      <c r="I5" s="3"/>
      <c r="J5" s="3"/>
      <c r="K5" s="3"/>
    </row>
    <row r="6" customFormat="false" ht="15" hidden="false" customHeight="true" outlineLevel="0" collapsed="false">
      <c r="A6" s="3" t="s">
        <v>2</v>
      </c>
      <c r="B6" s="3"/>
      <c r="C6" s="3"/>
      <c r="D6" s="3"/>
      <c r="E6" s="3"/>
      <c r="F6" s="3"/>
      <c r="G6" s="3"/>
      <c r="H6" s="3"/>
      <c r="I6" s="3"/>
      <c r="J6" s="3"/>
      <c r="K6" s="3"/>
    </row>
    <row r="7" customFormat="false" ht="15" hidden="false" customHeight="true" outlineLevel="0" collapsed="false">
      <c r="A7" s="3"/>
      <c r="B7" s="3"/>
      <c r="C7" s="3"/>
      <c r="D7" s="3"/>
      <c r="E7" s="3"/>
      <c r="F7" s="3"/>
      <c r="G7" s="3"/>
      <c r="H7" s="3"/>
      <c r="I7" s="3"/>
      <c r="J7" s="3"/>
      <c r="K7" s="3"/>
    </row>
    <row r="8" customFormat="false" ht="18.75" hidden="false" customHeight="true" outlineLevel="0" collapsed="false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 customFormat="false" ht="18.75" hidden="false" customHeight="true" outlineLevel="0" collapsed="false">
      <c r="A9" s="3" t="s">
        <v>3</v>
      </c>
      <c r="B9" s="3"/>
      <c r="C9" s="3"/>
      <c r="D9" s="3"/>
      <c r="E9" s="3"/>
      <c r="F9" s="3"/>
      <c r="G9" s="3"/>
      <c r="H9" s="3"/>
      <c r="I9" s="3"/>
      <c r="J9" s="3"/>
      <c r="K9" s="3"/>
    </row>
    <row r="10" customFormat="false" ht="18.75" hidden="false" customHeight="true" outlineLevel="0" collapsed="false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</row>
    <row r="11" customFormat="false" ht="18.75" hidden="false" customHeight="true" outlineLevel="0" collapsed="false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 customFormat="false" ht="18.75" hidden="false" customHeight="true" outlineLevel="0" collapsed="false"/>
    <row r="13" customFormat="false" ht="18.75" hidden="false" customHeight="true" outlineLevel="0" collapsed="false"/>
    <row r="14" customFormat="false" ht="18.75" hidden="false" customHeight="true" outlineLevel="0" collapsed="false"/>
    <row r="15" customFormat="false" ht="18.75" hidden="false" customHeight="true" outlineLevel="0" collapsed="false"/>
    <row r="16" customFormat="false" ht="18.75" hidden="false" customHeight="true" outlineLevel="0" collapsed="false"/>
    <row r="17" customFormat="false" ht="18.75" hidden="false" customHeight="true" outlineLevel="0" collapsed="false"/>
    <row r="18" customFormat="false" ht="15" hidden="false" customHeight="true" outlineLevel="0" collapsed="false"/>
    <row r="19" customFormat="false" ht="15" hidden="false" customHeight="true" outlineLevel="0" collapsed="false"/>
    <row r="20" customFormat="false" ht="15" hidden="false" customHeight="true" outlineLevel="0" collapsed="false"/>
  </sheetData>
  <sheetProtection sheet="true" password="ebed" objects="true" scenarios="true"/>
  <mergeCells count="4">
    <mergeCell ref="A1:K2"/>
    <mergeCell ref="A3:K5"/>
    <mergeCell ref="A6:K8"/>
    <mergeCell ref="A9:K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F00"/>
    <pageSetUpPr fitToPage="false"/>
  </sheetPr>
  <dimension ref="A1:Q3045"/>
  <sheetViews>
    <sheetView showFormulas="false" showGridLines="true" showRowColHeaders="true" showZeros="true" rightToLeft="false" tabSelected="false" showOutlineSymbols="true" defaultGridColor="true" view="normal" topLeftCell="A68" colorId="64" zoomScale="60" zoomScaleNormal="60" zoomScalePageLayoutView="100" workbookViewId="0">
      <selection pane="topLeft" activeCell="F1274" activeCellId="0" sqref="F1274"/>
    </sheetView>
  </sheetViews>
  <sheetFormatPr defaultColWidth="9.19140625" defaultRowHeight="15" zeroHeight="false" outlineLevelRow="1" outlineLevelCol="0"/>
  <cols>
    <col collapsed="false" customWidth="true" hidden="false" outlineLevel="0" max="1" min="1" style="4" width="19.99"/>
    <col collapsed="false" customWidth="true" hidden="false" outlineLevel="0" max="2" min="2" style="5" width="65.81"/>
    <col collapsed="false" customWidth="true" hidden="false" outlineLevel="0" max="3" min="3" style="6" width="10.73"/>
    <col collapsed="false" customWidth="true" hidden="false" outlineLevel="0" max="4" min="4" style="7" width="26.54"/>
    <col collapsed="false" customWidth="true" hidden="false" outlineLevel="0" max="5" min="5" style="7" width="11.18"/>
    <col collapsed="false" customWidth="true" hidden="false" outlineLevel="0" max="6" min="6" style="8" width="12.71"/>
    <col collapsed="false" customWidth="true" hidden="false" outlineLevel="0" max="7" min="7" style="8" width="15.27"/>
    <col collapsed="false" customWidth="true" hidden="false" outlineLevel="0" max="8" min="8" style="4" width="18.27"/>
    <col collapsed="false" customWidth="true" hidden="false" outlineLevel="0" max="9" min="9" style="4" width="16.18"/>
    <col collapsed="false" customWidth="false" hidden="false" outlineLevel="0" max="1024" min="10" style="4" width="9.18"/>
  </cols>
  <sheetData>
    <row r="1" customFormat="false" ht="31.5" hidden="false" customHeight="true" outlineLevel="0" collapsed="false">
      <c r="A1" s="9" t="s">
        <v>4</v>
      </c>
      <c r="B1" s="10" t="s">
        <v>5</v>
      </c>
      <c r="C1" s="11" t="s">
        <v>6</v>
      </c>
      <c r="D1" s="12" t="s">
        <v>7</v>
      </c>
      <c r="E1" s="12" t="s">
        <v>8</v>
      </c>
      <c r="F1" s="13" t="s">
        <v>9</v>
      </c>
      <c r="G1" s="13" t="s">
        <v>10</v>
      </c>
    </row>
    <row r="2" customFormat="false" ht="15.75" hidden="true" customHeight="true" outlineLevel="1" collapsed="false">
      <c r="A2" s="14" t="s">
        <v>11</v>
      </c>
      <c r="B2" s="15"/>
      <c r="C2" s="16" t="s">
        <v>12</v>
      </c>
      <c r="D2" s="17"/>
      <c r="E2" s="17"/>
      <c r="F2" s="18"/>
      <c r="G2" s="18"/>
    </row>
    <row r="3" customFormat="false" ht="15" hidden="true" customHeight="true" outlineLevel="1" collapsed="false">
      <c r="A3" s="19"/>
      <c r="B3" s="20" t="s">
        <v>13</v>
      </c>
      <c r="C3" s="21" t="n">
        <v>0.031</v>
      </c>
      <c r="D3" s="22" t="n">
        <v>32.25</v>
      </c>
      <c r="E3" s="22" t="n">
        <v>217</v>
      </c>
      <c r="F3" s="22" t="n">
        <v>7000</v>
      </c>
      <c r="G3" s="23"/>
    </row>
    <row r="4" customFormat="false" ht="15" hidden="true" customHeight="true" outlineLevel="1" collapsed="false">
      <c r="A4" s="19"/>
      <c r="B4" s="20" t="s">
        <v>14</v>
      </c>
      <c r="C4" s="21" t="n">
        <v>0.047</v>
      </c>
      <c r="D4" s="22" t="n">
        <v>21.27</v>
      </c>
      <c r="E4" s="22" t="n">
        <v>370</v>
      </c>
      <c r="F4" s="22" t="n">
        <v>7872.34</v>
      </c>
      <c r="G4" s="23" t="n">
        <v>2582</v>
      </c>
    </row>
    <row r="5" customFormat="false" ht="15" hidden="true" customHeight="true" outlineLevel="1" collapsed="false">
      <c r="A5" s="19"/>
      <c r="B5" s="20" t="s">
        <v>15</v>
      </c>
      <c r="C5" s="21" t="n">
        <v>0.016</v>
      </c>
      <c r="D5" s="22" t="n">
        <v>62.5</v>
      </c>
      <c r="E5" s="22" t="n">
        <v>125</v>
      </c>
      <c r="F5" s="22" t="n">
        <v>7812.5</v>
      </c>
      <c r="G5" s="23"/>
    </row>
    <row r="6" customFormat="false" ht="15" hidden="true" customHeight="true" outlineLevel="1" collapsed="false">
      <c r="A6" s="19"/>
      <c r="B6" s="24" t="s">
        <v>16</v>
      </c>
      <c r="C6" s="21" t="n">
        <v>0.047</v>
      </c>
      <c r="D6" s="22" t="n">
        <v>21.27</v>
      </c>
      <c r="E6" s="22" t="n">
        <v>370</v>
      </c>
      <c r="F6" s="22" t="n">
        <v>7872.34</v>
      </c>
      <c r="G6" s="23" t="s">
        <v>17</v>
      </c>
    </row>
    <row r="7" customFormat="false" ht="15" hidden="true" customHeight="true" outlineLevel="1" collapsed="false">
      <c r="A7" s="19"/>
      <c r="B7" s="5" t="s">
        <v>18</v>
      </c>
      <c r="C7" s="21" t="n">
        <v>0.027</v>
      </c>
      <c r="D7" s="22" t="n">
        <v>37.03</v>
      </c>
      <c r="E7" s="8" t="n">
        <v>191</v>
      </c>
      <c r="F7" s="8" t="n">
        <v>7074.07</v>
      </c>
      <c r="G7" s="23"/>
    </row>
    <row r="8" customFormat="false" ht="15" hidden="true" customHeight="true" outlineLevel="1" collapsed="false">
      <c r="A8" s="19"/>
      <c r="B8" s="5" t="s">
        <v>19</v>
      </c>
      <c r="C8" s="21" t="n">
        <v>0.036</v>
      </c>
      <c r="D8" s="22" t="n">
        <v>27.77</v>
      </c>
      <c r="E8" s="8" t="n">
        <v>298</v>
      </c>
      <c r="F8" s="8" t="n">
        <v>8277.77</v>
      </c>
      <c r="G8" s="23" t="n">
        <v>2273</v>
      </c>
    </row>
    <row r="9" customFormat="false" ht="15" hidden="true" customHeight="true" outlineLevel="1" collapsed="false">
      <c r="A9" s="19"/>
      <c r="B9" s="5" t="s">
        <v>20</v>
      </c>
      <c r="C9" s="21" t="n">
        <v>0.014</v>
      </c>
      <c r="D9" s="22" t="n">
        <v>71.43</v>
      </c>
      <c r="E9" s="8" t="n">
        <v>118</v>
      </c>
      <c r="F9" s="8" t="n">
        <v>8428.57</v>
      </c>
      <c r="G9" s="23"/>
    </row>
    <row r="10" customFormat="false" ht="15" hidden="true" customHeight="true" outlineLevel="1" collapsed="false">
      <c r="A10" s="19"/>
      <c r="B10" s="20" t="s">
        <v>21</v>
      </c>
      <c r="C10" s="21" t="n">
        <v>0.023</v>
      </c>
      <c r="D10" s="22" t="n">
        <v>43.47</v>
      </c>
      <c r="E10" s="8" t="n">
        <v>165</v>
      </c>
      <c r="F10" s="8" t="n">
        <v>7173.91</v>
      </c>
      <c r="G10" s="25"/>
    </row>
    <row r="11" customFormat="false" ht="15" hidden="true" customHeight="true" outlineLevel="1" collapsed="false">
      <c r="A11" s="19"/>
      <c r="B11" s="20" t="s">
        <v>22</v>
      </c>
      <c r="C11" s="21" t="n">
        <v>0.029</v>
      </c>
      <c r="D11" s="22" t="n">
        <v>34.48</v>
      </c>
      <c r="E11" s="8" t="n">
        <v>244</v>
      </c>
      <c r="F11" s="8" t="n">
        <v>8413.79</v>
      </c>
      <c r="G11" s="26" t="n">
        <v>1964</v>
      </c>
    </row>
    <row r="12" customFormat="false" ht="15" hidden="true" customHeight="true" outlineLevel="1" collapsed="false">
      <c r="A12" s="19"/>
      <c r="B12" s="20" t="s">
        <v>23</v>
      </c>
      <c r="C12" s="21" t="n">
        <v>0.012</v>
      </c>
      <c r="D12" s="22" t="n">
        <v>83.33</v>
      </c>
      <c r="E12" s="8" t="n">
        <v>105</v>
      </c>
      <c r="F12" s="8" t="n">
        <v>8750</v>
      </c>
      <c r="G12" s="26"/>
    </row>
    <row r="13" customFormat="false" ht="15" hidden="true" customHeight="true" outlineLevel="1" collapsed="false">
      <c r="A13" s="19"/>
      <c r="B13" s="20"/>
      <c r="C13" s="21"/>
      <c r="D13" s="22"/>
      <c r="E13" s="8"/>
      <c r="G13" s="26"/>
    </row>
    <row r="14" customFormat="false" ht="15" hidden="true" customHeight="true" outlineLevel="1" collapsed="false">
      <c r="A14" s="19"/>
      <c r="B14" s="20"/>
      <c r="C14" s="21"/>
      <c r="D14" s="22"/>
      <c r="E14" s="8"/>
      <c r="G14" s="26"/>
    </row>
    <row r="15" customFormat="false" ht="15" hidden="true" customHeight="true" outlineLevel="1" collapsed="false">
      <c r="A15" s="19"/>
      <c r="B15" s="20"/>
      <c r="C15" s="21"/>
      <c r="D15" s="22"/>
      <c r="E15" s="8"/>
      <c r="G15" s="26"/>
    </row>
    <row r="16" customFormat="false" ht="15" hidden="true" customHeight="true" outlineLevel="1" collapsed="false">
      <c r="A16" s="27" t="s">
        <v>24</v>
      </c>
      <c r="B16" s="28"/>
      <c r="C16" s="16" t="s">
        <v>12</v>
      </c>
      <c r="D16" s="29"/>
      <c r="E16" s="29"/>
      <c r="F16" s="29"/>
      <c r="G16" s="29"/>
    </row>
    <row r="17" customFormat="false" ht="15" hidden="true" customHeight="true" outlineLevel="1" collapsed="false">
      <c r="A17" s="30"/>
      <c r="B17" s="20" t="s">
        <v>25</v>
      </c>
      <c r="C17" s="21" t="n">
        <v>0.032</v>
      </c>
      <c r="D17" s="22" t="n">
        <v>31.25</v>
      </c>
      <c r="E17" s="8" t="n">
        <v>196</v>
      </c>
      <c r="F17" s="8" t="n">
        <v>6125</v>
      </c>
      <c r="G17" s="23"/>
    </row>
    <row r="18" customFormat="false" ht="15" hidden="true" customHeight="true" outlineLevel="1" collapsed="false">
      <c r="A18" s="31"/>
      <c r="B18" s="20" t="s">
        <v>26</v>
      </c>
      <c r="C18" s="21" t="n">
        <v>0.048</v>
      </c>
      <c r="D18" s="22" t="n">
        <v>20.83</v>
      </c>
      <c r="E18" s="8" t="n">
        <v>331</v>
      </c>
      <c r="F18" s="8" t="n">
        <v>6895.83</v>
      </c>
      <c r="G18" s="23" t="n">
        <v>2332.4</v>
      </c>
    </row>
    <row r="19" customFormat="false" ht="15" hidden="true" customHeight="true" outlineLevel="1" collapsed="false">
      <c r="A19" s="31"/>
      <c r="B19" s="20" t="s">
        <v>27</v>
      </c>
      <c r="C19" s="21" t="n">
        <v>0.016</v>
      </c>
      <c r="D19" s="22" t="n">
        <v>62.5</v>
      </c>
      <c r="E19" s="8" t="n">
        <v>106</v>
      </c>
      <c r="F19" s="8" t="n">
        <v>6625</v>
      </c>
      <c r="G19" s="23"/>
    </row>
    <row r="20" customFormat="false" ht="15" hidden="true" customHeight="true" outlineLevel="1" collapsed="false">
      <c r="A20" s="31"/>
      <c r="B20" s="20" t="s">
        <v>28</v>
      </c>
      <c r="C20" s="21" t="n">
        <v>0.028</v>
      </c>
      <c r="D20" s="22" t="n">
        <v>35.71</v>
      </c>
      <c r="E20" s="22" t="n">
        <v>160</v>
      </c>
      <c r="F20" s="22" t="n">
        <v>5713.6</v>
      </c>
      <c r="G20" s="23"/>
    </row>
    <row r="21" customFormat="false" ht="15" hidden="true" customHeight="true" outlineLevel="1" collapsed="false">
      <c r="A21" s="31"/>
      <c r="B21" s="20" t="s">
        <v>29</v>
      </c>
      <c r="C21" s="21" t="n">
        <v>0.038</v>
      </c>
      <c r="D21" s="22" t="n">
        <v>26.31</v>
      </c>
      <c r="E21" s="22" t="n">
        <v>254</v>
      </c>
      <c r="F21" s="22" t="n">
        <v>6682.74</v>
      </c>
      <c r="G21" s="23" t="n">
        <v>2000</v>
      </c>
    </row>
    <row r="22" customFormat="false" ht="15" hidden="true" customHeight="true" outlineLevel="1" collapsed="false">
      <c r="A22" s="31"/>
      <c r="B22" s="20" t="s">
        <v>30</v>
      </c>
      <c r="C22" s="21" t="n">
        <v>0.14</v>
      </c>
      <c r="D22" s="22" t="n">
        <v>71.43</v>
      </c>
      <c r="E22" s="22" t="n">
        <v>88</v>
      </c>
      <c r="F22" s="22" t="n">
        <v>5714.4</v>
      </c>
      <c r="G22" s="23"/>
    </row>
    <row r="23" customFormat="false" ht="15" hidden="true" customHeight="true" outlineLevel="1" collapsed="false">
      <c r="A23" s="31"/>
      <c r="B23" s="20" t="s">
        <v>31</v>
      </c>
      <c r="C23" s="21" t="n">
        <v>0.024</v>
      </c>
      <c r="D23" s="22" t="n">
        <v>41.66</v>
      </c>
      <c r="E23" s="8" t="n">
        <v>150</v>
      </c>
      <c r="F23" s="8" t="n">
        <v>6250</v>
      </c>
      <c r="G23" s="23"/>
    </row>
    <row r="24" customFormat="false" ht="15" hidden="true" customHeight="true" outlineLevel="1" collapsed="false">
      <c r="A24" s="31"/>
      <c r="B24" s="20" t="s">
        <v>32</v>
      </c>
      <c r="C24" s="21" t="n">
        <v>0.03</v>
      </c>
      <c r="D24" s="22" t="n">
        <v>33.33</v>
      </c>
      <c r="E24" s="8" t="n">
        <v>210</v>
      </c>
      <c r="F24" s="8" t="n">
        <v>7000</v>
      </c>
      <c r="G24" s="32" t="n">
        <v>1785</v>
      </c>
    </row>
    <row r="25" customFormat="false" ht="15" hidden="true" customHeight="true" outlineLevel="1" collapsed="false">
      <c r="A25" s="31"/>
      <c r="B25" s="20" t="s">
        <v>33</v>
      </c>
      <c r="C25" s="21" t="n">
        <v>0.012</v>
      </c>
      <c r="D25" s="22" t="n">
        <v>83.33</v>
      </c>
      <c r="E25" s="8" t="n">
        <v>84</v>
      </c>
      <c r="F25" s="8" t="n">
        <v>7000</v>
      </c>
      <c r="G25" s="32"/>
    </row>
    <row r="26" customFormat="false" ht="15" hidden="true" customHeight="true" outlineLevel="1" collapsed="false">
      <c r="A26" s="31"/>
      <c r="B26" s="20"/>
      <c r="C26" s="21"/>
      <c r="D26" s="22"/>
      <c r="E26" s="8"/>
      <c r="G26" s="32"/>
    </row>
    <row r="27" customFormat="false" ht="15" hidden="true" customHeight="true" outlineLevel="1" collapsed="false">
      <c r="A27" s="31"/>
      <c r="B27" s="20"/>
      <c r="C27" s="21"/>
      <c r="D27" s="22"/>
      <c r="E27" s="8"/>
      <c r="G27" s="32"/>
    </row>
    <row r="28" customFormat="false" ht="15" hidden="false" customHeight="true" outlineLevel="0" collapsed="false">
      <c r="A28" s="33" t="s">
        <v>24</v>
      </c>
      <c r="B28" s="34"/>
      <c r="C28" s="21"/>
      <c r="D28" s="22"/>
      <c r="E28" s="8"/>
      <c r="G28" s="32"/>
    </row>
    <row r="29" customFormat="false" ht="15" hidden="true" customHeight="true" outlineLevel="1" collapsed="false">
      <c r="A29" s="35" t="s">
        <v>34</v>
      </c>
      <c r="B29" s="28"/>
      <c r="C29" s="16" t="s">
        <v>12</v>
      </c>
      <c r="D29" s="29"/>
      <c r="E29" s="29"/>
      <c r="F29" s="29"/>
      <c r="G29" s="29"/>
    </row>
    <row r="30" customFormat="false" ht="15" hidden="true" customHeight="true" outlineLevel="1" collapsed="false">
      <c r="A30" s="30"/>
      <c r="B30" s="20" t="s">
        <v>13</v>
      </c>
      <c r="C30" s="21" t="n">
        <v>0.031</v>
      </c>
      <c r="D30" s="22" t="n">
        <v>32.25</v>
      </c>
      <c r="E30" s="22" t="n">
        <v>137</v>
      </c>
      <c r="F30" s="22" t="n">
        <v>4419.35</v>
      </c>
      <c r="G30" s="23"/>
    </row>
    <row r="31" customFormat="false" ht="15" hidden="true" customHeight="true" outlineLevel="1" collapsed="false">
      <c r="A31" s="31"/>
      <c r="B31" s="20" t="s">
        <v>14</v>
      </c>
      <c r="C31" s="21" t="n">
        <v>0.047</v>
      </c>
      <c r="D31" s="22" t="n">
        <v>21.27</v>
      </c>
      <c r="E31" s="22" t="n">
        <v>209</v>
      </c>
      <c r="F31" s="22" t="n">
        <v>4446.8</v>
      </c>
      <c r="G31" s="23" t="n">
        <v>1630.3</v>
      </c>
    </row>
    <row r="32" customFormat="false" ht="15" hidden="true" customHeight="true" outlineLevel="1" collapsed="false">
      <c r="A32" s="31"/>
      <c r="B32" s="20" t="s">
        <v>15</v>
      </c>
      <c r="C32" s="21" t="n">
        <v>0.016</v>
      </c>
      <c r="D32" s="22" t="n">
        <v>62.5</v>
      </c>
      <c r="E32" s="22" t="n">
        <v>71</v>
      </c>
      <c r="F32" s="22" t="n">
        <v>4434.78</v>
      </c>
      <c r="G32" s="23"/>
    </row>
    <row r="33" customFormat="false" ht="15" hidden="true" customHeight="true" outlineLevel="1" collapsed="false">
      <c r="A33" s="31"/>
      <c r="B33" s="5" t="s">
        <v>18</v>
      </c>
      <c r="C33" s="21" t="n">
        <v>0.027</v>
      </c>
      <c r="D33" s="22" t="n">
        <v>37.03</v>
      </c>
      <c r="E33" s="22" t="n">
        <v>119</v>
      </c>
      <c r="F33" s="22" t="n">
        <v>4407.41</v>
      </c>
      <c r="G33" s="23"/>
    </row>
    <row r="34" customFormat="false" ht="15" hidden="true" customHeight="true" outlineLevel="1" collapsed="false">
      <c r="A34" s="31"/>
      <c r="B34" s="5" t="s">
        <v>19</v>
      </c>
      <c r="C34" s="21" t="n">
        <v>0.036</v>
      </c>
      <c r="D34" s="22" t="n">
        <v>27.77</v>
      </c>
      <c r="E34" s="22" t="n">
        <v>162</v>
      </c>
      <c r="F34" s="22" t="n">
        <v>4498.74</v>
      </c>
      <c r="G34" s="23" t="n">
        <v>1416.1</v>
      </c>
    </row>
    <row r="35" customFormat="false" ht="15" hidden="true" customHeight="true" outlineLevel="1" collapsed="false">
      <c r="A35" s="31"/>
      <c r="B35" s="5" t="s">
        <v>20</v>
      </c>
      <c r="C35" s="21" t="n">
        <v>0.014</v>
      </c>
      <c r="D35" s="22" t="n">
        <v>71.43</v>
      </c>
      <c r="E35" s="22" t="n">
        <v>70</v>
      </c>
      <c r="F35" s="22" t="n">
        <v>5000.1</v>
      </c>
      <c r="G35" s="23"/>
    </row>
    <row r="36" customFormat="false" ht="15" hidden="true" customHeight="true" outlineLevel="1" collapsed="false">
      <c r="A36" s="31"/>
      <c r="B36" s="20" t="s">
        <v>21</v>
      </c>
      <c r="C36" s="21" t="n">
        <v>0.023</v>
      </c>
      <c r="D36" s="22" t="n">
        <v>43.47</v>
      </c>
      <c r="E36" s="22" t="n">
        <v>102</v>
      </c>
      <c r="F36" s="22" t="n">
        <v>4434.78</v>
      </c>
      <c r="G36" s="23"/>
    </row>
    <row r="37" customFormat="false" ht="15" hidden="true" customHeight="true" outlineLevel="1" collapsed="false">
      <c r="A37" s="31"/>
      <c r="B37" s="20" t="s">
        <v>22</v>
      </c>
      <c r="C37" s="21" t="n">
        <v>0.029</v>
      </c>
      <c r="D37" s="22" t="n">
        <v>34.48</v>
      </c>
      <c r="E37" s="22" t="n">
        <v>131</v>
      </c>
      <c r="F37" s="22" t="n">
        <v>4517.24</v>
      </c>
      <c r="G37" s="23" t="n">
        <v>1213.8</v>
      </c>
    </row>
    <row r="38" customFormat="false" ht="15" hidden="true" customHeight="true" outlineLevel="1" collapsed="false">
      <c r="A38" s="31"/>
      <c r="B38" s="20" t="s">
        <v>23</v>
      </c>
      <c r="C38" s="21" t="n">
        <v>0.012</v>
      </c>
      <c r="D38" s="22" t="n">
        <v>83.33</v>
      </c>
      <c r="E38" s="22" t="n">
        <v>55</v>
      </c>
      <c r="F38" s="22" t="n">
        <v>4583.33</v>
      </c>
      <c r="G38" s="32"/>
    </row>
    <row r="39" customFormat="false" ht="15" hidden="true" customHeight="true" outlineLevel="1" collapsed="false">
      <c r="A39" s="31"/>
      <c r="B39" s="20"/>
      <c r="C39" s="21"/>
      <c r="D39" s="22"/>
      <c r="E39" s="22"/>
      <c r="F39" s="22"/>
      <c r="G39" s="32"/>
    </row>
    <row r="40" customFormat="false" ht="15" hidden="true" customHeight="true" outlineLevel="1" collapsed="false">
      <c r="A40" s="31"/>
      <c r="B40" s="20"/>
      <c r="C40" s="21"/>
      <c r="D40" s="22"/>
      <c r="E40" s="22"/>
      <c r="F40" s="22"/>
      <c r="G40" s="32"/>
    </row>
    <row r="41" customFormat="false" ht="15" hidden="false" customHeight="true" outlineLevel="0" collapsed="false">
      <c r="A41" s="33" t="s">
        <v>34</v>
      </c>
      <c r="B41" s="34"/>
      <c r="C41" s="21"/>
      <c r="D41" s="22"/>
      <c r="E41" s="22"/>
      <c r="F41" s="22"/>
      <c r="G41" s="32"/>
    </row>
    <row r="42" customFormat="false" ht="15" hidden="true" customHeight="true" outlineLevel="1" collapsed="false">
      <c r="A42" s="36" t="s">
        <v>35</v>
      </c>
      <c r="B42" s="37"/>
      <c r="C42" s="16" t="s">
        <v>12</v>
      </c>
      <c r="D42" s="38"/>
      <c r="E42" s="38"/>
      <c r="F42" s="38"/>
      <c r="G42" s="38"/>
    </row>
    <row r="43" customFormat="false" ht="15" hidden="true" customHeight="true" outlineLevel="1" collapsed="false">
      <c r="A43" s="30"/>
      <c r="B43" s="20" t="s">
        <v>36</v>
      </c>
      <c r="C43" s="21" t="n">
        <v>0.031</v>
      </c>
      <c r="D43" s="22" t="n">
        <v>32.25</v>
      </c>
      <c r="E43" s="8" t="n">
        <v>160</v>
      </c>
      <c r="F43" s="8" t="n">
        <v>5161.3</v>
      </c>
      <c r="G43" s="22"/>
    </row>
    <row r="44" customFormat="false" ht="15" hidden="true" customHeight="true" outlineLevel="1" collapsed="false">
      <c r="A44" s="31"/>
      <c r="B44" s="20" t="s">
        <v>14</v>
      </c>
      <c r="C44" s="21" t="n">
        <v>0.047</v>
      </c>
      <c r="D44" s="22" t="n">
        <v>21.27</v>
      </c>
      <c r="E44" s="8" t="n">
        <v>310</v>
      </c>
      <c r="F44" s="8" t="n">
        <v>6595.74</v>
      </c>
      <c r="G44" s="22"/>
    </row>
    <row r="45" customFormat="false" ht="15" hidden="true" customHeight="true" outlineLevel="1" collapsed="false">
      <c r="A45" s="31"/>
      <c r="B45" s="20" t="s">
        <v>37</v>
      </c>
      <c r="C45" s="21" t="n">
        <v>0.036</v>
      </c>
      <c r="D45" s="22" t="n">
        <v>27.77</v>
      </c>
      <c r="E45" s="22" t="n">
        <v>242</v>
      </c>
      <c r="F45" s="22" t="n">
        <v>6720.34</v>
      </c>
      <c r="G45" s="22"/>
    </row>
    <row r="46" customFormat="false" ht="15" hidden="true" customHeight="true" outlineLevel="1" collapsed="false">
      <c r="A46" s="31"/>
      <c r="B46" s="20" t="s">
        <v>22</v>
      </c>
      <c r="C46" s="21" t="n">
        <v>0.029</v>
      </c>
      <c r="D46" s="22" t="n">
        <v>34.48</v>
      </c>
      <c r="E46" s="8" t="n">
        <v>205</v>
      </c>
      <c r="F46" s="8" t="n">
        <v>7068.96</v>
      </c>
      <c r="G46" s="22"/>
    </row>
    <row r="47" customFormat="false" ht="15" hidden="true" customHeight="true" outlineLevel="1" collapsed="false">
      <c r="A47" s="31"/>
      <c r="B47" s="39"/>
      <c r="C47" s="21"/>
      <c r="D47" s="22"/>
      <c r="E47" s="8"/>
      <c r="G47" s="22"/>
    </row>
    <row r="48" customFormat="false" ht="15" hidden="false" customHeight="true" outlineLevel="0" collapsed="false">
      <c r="A48" s="40" t="s">
        <v>35</v>
      </c>
      <c r="B48" s="41"/>
      <c r="C48" s="42"/>
      <c r="D48" s="22"/>
      <c r="E48" s="8"/>
      <c r="G48" s="22"/>
    </row>
    <row r="49" customFormat="false" ht="15" hidden="true" customHeight="true" outlineLevel="1" collapsed="false">
      <c r="A49" s="43" t="s">
        <v>38</v>
      </c>
      <c r="B49" s="44"/>
      <c r="C49" s="16" t="s">
        <v>12</v>
      </c>
      <c r="D49" s="38"/>
      <c r="E49" s="38"/>
      <c r="F49" s="38"/>
      <c r="G49" s="38"/>
    </row>
    <row r="50" customFormat="false" ht="15" hidden="true" customHeight="true" outlineLevel="1" collapsed="false">
      <c r="A50" s="30"/>
      <c r="B50" s="20" t="s">
        <v>39</v>
      </c>
      <c r="C50" s="21" t="n">
        <v>0.024</v>
      </c>
      <c r="D50" s="22"/>
      <c r="E50" s="22" t="n">
        <v>100.8</v>
      </c>
      <c r="F50" s="22" t="n">
        <v>4200</v>
      </c>
      <c r="G50" s="22"/>
    </row>
    <row r="51" customFormat="false" ht="15" hidden="true" customHeight="true" outlineLevel="1" collapsed="false">
      <c r="A51" s="31"/>
      <c r="B51" s="20" t="s">
        <v>40</v>
      </c>
      <c r="C51" s="21" t="n">
        <v>0.032</v>
      </c>
      <c r="D51" s="22"/>
      <c r="E51" s="22" t="n">
        <v>134.4</v>
      </c>
      <c r="F51" s="22" t="n">
        <v>4200</v>
      </c>
      <c r="G51" s="22"/>
    </row>
    <row r="52" customFormat="false" ht="15" hidden="true" customHeight="true" outlineLevel="1" collapsed="false">
      <c r="A52" s="31"/>
      <c r="B52" s="39"/>
      <c r="C52" s="21"/>
      <c r="D52" s="22"/>
      <c r="E52" s="22"/>
      <c r="F52" s="22"/>
      <c r="G52" s="22"/>
    </row>
    <row r="53" customFormat="false" ht="15" hidden="false" customHeight="true" outlineLevel="0" collapsed="false">
      <c r="A53" s="45" t="s">
        <v>38</v>
      </c>
      <c r="B53" s="41"/>
      <c r="C53" s="42"/>
      <c r="D53" s="22"/>
      <c r="E53" s="22"/>
      <c r="F53" s="22"/>
      <c r="G53" s="22"/>
    </row>
    <row r="54" customFormat="false" ht="15" hidden="true" customHeight="true" outlineLevel="1" collapsed="false">
      <c r="A54" s="43" t="s">
        <v>41</v>
      </c>
      <c r="B54" s="44"/>
      <c r="C54" s="16" t="s">
        <v>12</v>
      </c>
      <c r="D54" s="38"/>
      <c r="E54" s="38"/>
      <c r="F54" s="38"/>
      <c r="G54" s="38"/>
    </row>
    <row r="55" customFormat="false" ht="15" hidden="true" customHeight="true" outlineLevel="1" collapsed="false">
      <c r="A55" s="30"/>
      <c r="B55" s="20" t="s">
        <v>42</v>
      </c>
      <c r="C55" s="21" t="n">
        <v>0.024</v>
      </c>
      <c r="D55" s="22"/>
      <c r="E55" s="22" t="n">
        <v>100.8</v>
      </c>
      <c r="F55" s="22" t="n">
        <v>4200</v>
      </c>
      <c r="G55" s="22"/>
    </row>
    <row r="56" customFormat="false" ht="15" hidden="true" customHeight="true" outlineLevel="1" collapsed="false">
      <c r="A56" s="31"/>
      <c r="B56" s="20" t="s">
        <v>43</v>
      </c>
      <c r="C56" s="21" t="n">
        <v>0.032</v>
      </c>
      <c r="D56" s="22"/>
      <c r="E56" s="22" t="n">
        <v>134.4</v>
      </c>
      <c r="F56" s="22" t="n">
        <v>4200</v>
      </c>
      <c r="G56" s="22"/>
    </row>
    <row r="57" customFormat="false" ht="15" hidden="true" customHeight="true" outlineLevel="1" collapsed="false">
      <c r="A57" s="31"/>
      <c r="B57" s="39"/>
      <c r="C57" s="21"/>
      <c r="D57" s="22"/>
      <c r="E57" s="22"/>
      <c r="F57" s="22"/>
      <c r="G57" s="22"/>
    </row>
    <row r="58" customFormat="false" ht="15" hidden="false" customHeight="true" outlineLevel="0" collapsed="false">
      <c r="A58" s="45" t="s">
        <v>41</v>
      </c>
      <c r="B58" s="41"/>
      <c r="C58" s="42"/>
      <c r="D58" s="22"/>
      <c r="E58" s="22"/>
      <c r="F58" s="22"/>
      <c r="G58" s="22"/>
    </row>
    <row r="59" customFormat="false" ht="15" hidden="true" customHeight="true" outlineLevel="1" collapsed="false">
      <c r="A59" s="43" t="s">
        <v>44</v>
      </c>
      <c r="B59" s="44"/>
      <c r="C59" s="16" t="s">
        <v>12</v>
      </c>
      <c r="D59" s="38"/>
      <c r="E59" s="38"/>
      <c r="F59" s="38"/>
      <c r="G59" s="38"/>
    </row>
    <row r="60" customFormat="false" ht="15" hidden="true" customHeight="true" outlineLevel="1" collapsed="false">
      <c r="A60" s="30"/>
      <c r="B60" s="20" t="s">
        <v>45</v>
      </c>
      <c r="C60" s="21" t="n">
        <v>0.024</v>
      </c>
      <c r="D60" s="22"/>
      <c r="E60" s="22" t="n">
        <v>100.8</v>
      </c>
      <c r="F60" s="22" t="n">
        <v>4200</v>
      </c>
      <c r="G60" s="22"/>
    </row>
    <row r="61" customFormat="false" ht="15" hidden="true" customHeight="true" outlineLevel="1" collapsed="false">
      <c r="A61" s="31"/>
      <c r="B61" s="20" t="s">
        <v>46</v>
      </c>
      <c r="C61" s="21" t="n">
        <v>0.032</v>
      </c>
      <c r="D61" s="22"/>
      <c r="E61" s="22" t="n">
        <v>134.4</v>
      </c>
      <c r="F61" s="22" t="n">
        <v>4200</v>
      </c>
      <c r="G61" s="22"/>
    </row>
    <row r="62" customFormat="false" ht="15" hidden="true" customHeight="true" outlineLevel="1" collapsed="false">
      <c r="A62" s="31"/>
      <c r="B62" s="39"/>
      <c r="C62" s="21"/>
      <c r="D62" s="22"/>
      <c r="E62" s="22"/>
      <c r="F62" s="22"/>
      <c r="G62" s="22"/>
    </row>
    <row r="63" customFormat="false" ht="15" hidden="false" customHeight="true" outlineLevel="0" collapsed="false">
      <c r="A63" s="45" t="s">
        <v>44</v>
      </c>
      <c r="B63" s="41"/>
      <c r="C63" s="42"/>
      <c r="D63" s="22"/>
      <c r="E63" s="22"/>
      <c r="F63" s="22"/>
      <c r="G63" s="22"/>
    </row>
    <row r="64" customFormat="false" ht="15" hidden="true" customHeight="true" outlineLevel="1" collapsed="false">
      <c r="A64" s="43" t="s">
        <v>47</v>
      </c>
      <c r="B64" s="44"/>
      <c r="C64" s="16" t="s">
        <v>12</v>
      </c>
      <c r="D64" s="38"/>
      <c r="E64" s="38"/>
      <c r="F64" s="38"/>
      <c r="G64" s="38"/>
    </row>
    <row r="65" customFormat="false" ht="15" hidden="true" customHeight="true" outlineLevel="1" collapsed="false">
      <c r="A65" s="30"/>
      <c r="B65" s="20" t="s">
        <v>48</v>
      </c>
      <c r="C65" s="21" t="n">
        <v>0.024</v>
      </c>
      <c r="D65" s="22"/>
      <c r="E65" s="22" t="n">
        <v>100.8</v>
      </c>
      <c r="F65" s="22" t="n">
        <v>4200</v>
      </c>
      <c r="G65" s="22"/>
    </row>
    <row r="66" customFormat="false" ht="15" hidden="true" customHeight="true" outlineLevel="1" collapsed="false">
      <c r="A66" s="31"/>
      <c r="B66" s="20" t="s">
        <v>49</v>
      </c>
      <c r="C66" s="21" t="n">
        <v>0.032</v>
      </c>
      <c r="D66" s="22"/>
      <c r="E66" s="22" t="n">
        <v>134.4</v>
      </c>
      <c r="F66" s="22" t="n">
        <v>4200</v>
      </c>
      <c r="G66" s="22"/>
    </row>
    <row r="67" customFormat="false" ht="15" hidden="true" customHeight="true" outlineLevel="1" collapsed="false">
      <c r="A67" s="31"/>
      <c r="B67" s="39"/>
      <c r="C67" s="21"/>
      <c r="D67" s="22"/>
      <c r="E67" s="22"/>
      <c r="F67" s="22"/>
      <c r="G67" s="22"/>
    </row>
    <row r="68" customFormat="false" ht="15" hidden="false" customHeight="true" outlineLevel="0" collapsed="false">
      <c r="A68" s="45" t="s">
        <v>47</v>
      </c>
      <c r="B68" s="41"/>
      <c r="C68" s="42"/>
      <c r="D68" s="22"/>
      <c r="E68" s="22"/>
      <c r="F68" s="22"/>
      <c r="G68" s="22"/>
    </row>
    <row r="69" customFormat="false" ht="15" hidden="true" customHeight="true" outlineLevel="1" collapsed="false">
      <c r="A69" s="46" t="s">
        <v>50</v>
      </c>
      <c r="B69" s="44"/>
      <c r="C69" s="16" t="s">
        <v>12</v>
      </c>
      <c r="D69" s="38"/>
      <c r="E69" s="38"/>
      <c r="F69" s="38"/>
      <c r="G69" s="38"/>
    </row>
    <row r="70" customFormat="false" ht="15" hidden="true" customHeight="true" outlineLevel="1" collapsed="false">
      <c r="A70" s="30"/>
      <c r="B70" s="20" t="s">
        <v>51</v>
      </c>
      <c r="C70" s="21" t="n">
        <v>0.024</v>
      </c>
      <c r="D70" s="22"/>
      <c r="E70" s="22" t="n">
        <v>92.4</v>
      </c>
      <c r="F70" s="22" t="n">
        <v>4050</v>
      </c>
      <c r="G70" s="22"/>
    </row>
    <row r="71" customFormat="false" ht="15" hidden="true" customHeight="true" outlineLevel="1" collapsed="false">
      <c r="A71" s="31"/>
      <c r="B71" s="20" t="s">
        <v>52</v>
      </c>
      <c r="C71" s="21" t="n">
        <v>0.032</v>
      </c>
      <c r="D71" s="22"/>
      <c r="E71" s="22" t="n">
        <v>123.2</v>
      </c>
      <c r="F71" s="22" t="n">
        <v>4050</v>
      </c>
      <c r="G71" s="22"/>
    </row>
    <row r="72" customFormat="false" ht="15" hidden="true" customHeight="true" outlineLevel="1" collapsed="false">
      <c r="A72" s="31"/>
      <c r="B72" s="39"/>
      <c r="C72" s="21"/>
      <c r="D72" s="22"/>
      <c r="E72" s="22"/>
      <c r="F72" s="22"/>
      <c r="G72" s="22"/>
    </row>
    <row r="73" customFormat="false" ht="15" hidden="false" customHeight="true" outlineLevel="0" collapsed="false">
      <c r="A73" s="47" t="s">
        <v>50</v>
      </c>
      <c r="B73" s="47"/>
      <c r="C73" s="21"/>
      <c r="D73" s="22"/>
      <c r="E73" s="22"/>
      <c r="F73" s="22"/>
      <c r="G73" s="22"/>
    </row>
    <row r="74" customFormat="false" ht="15" hidden="true" customHeight="true" outlineLevel="1" collapsed="false">
      <c r="A74" s="48" t="s">
        <v>53</v>
      </c>
      <c r="B74" s="49"/>
      <c r="C74" s="16" t="s">
        <v>12</v>
      </c>
      <c r="D74" s="50" t="s">
        <v>54</v>
      </c>
      <c r="E74" s="50" t="s">
        <v>55</v>
      </c>
      <c r="F74" s="50" t="s">
        <v>56</v>
      </c>
      <c r="G74" s="50" t="s">
        <v>57</v>
      </c>
    </row>
    <row r="75" customFormat="false" ht="15" hidden="true" customHeight="true" outlineLevel="1" collapsed="false">
      <c r="A75" s="51"/>
      <c r="B75" s="52" t="s">
        <v>58</v>
      </c>
      <c r="C75" s="53" t="n">
        <f aca="false">D75*E75*F75/1000000000</f>
        <v>0.015625</v>
      </c>
      <c r="D75" s="54" t="n">
        <v>625</v>
      </c>
      <c r="E75" s="8" t="n">
        <v>100</v>
      </c>
      <c r="F75" s="8" t="n">
        <v>250</v>
      </c>
      <c r="G75" s="8" t="n">
        <v>4100</v>
      </c>
    </row>
    <row r="76" customFormat="false" ht="15" hidden="true" customHeight="true" outlineLevel="1" collapsed="false">
      <c r="A76" s="55"/>
      <c r="B76" s="52" t="s">
        <v>58</v>
      </c>
      <c r="C76" s="53" t="n">
        <f aca="false">D76*E76*F76/1000000000</f>
        <v>0.03125</v>
      </c>
      <c r="D76" s="54" t="n">
        <v>625</v>
      </c>
      <c r="E76" s="8" t="n">
        <v>200</v>
      </c>
      <c r="F76" s="8" t="n">
        <v>250</v>
      </c>
      <c r="G76" s="8" t="n">
        <v>4100</v>
      </c>
    </row>
    <row r="77" customFormat="false" ht="15" hidden="true" customHeight="true" outlineLevel="1" collapsed="false">
      <c r="A77" s="55"/>
      <c r="B77" s="52" t="s">
        <v>58</v>
      </c>
      <c r="C77" s="53" t="n">
        <f aca="false">D77*E77*F77/1000000000</f>
        <v>0.0375</v>
      </c>
      <c r="D77" s="54" t="n">
        <v>625</v>
      </c>
      <c r="E77" s="8" t="n">
        <v>240</v>
      </c>
      <c r="F77" s="8" t="n">
        <v>250</v>
      </c>
      <c r="G77" s="8" t="n">
        <v>4100</v>
      </c>
    </row>
    <row r="78" customFormat="false" ht="15" hidden="true" customHeight="true" outlineLevel="1" collapsed="false">
      <c r="A78" s="55"/>
      <c r="B78" s="52" t="s">
        <v>58</v>
      </c>
      <c r="C78" s="53" t="n">
        <f aca="false">D78*E78*F78/1000000000</f>
        <v>0.046875</v>
      </c>
      <c r="D78" s="54" t="n">
        <v>625</v>
      </c>
      <c r="E78" s="8" t="n">
        <v>300</v>
      </c>
      <c r="F78" s="8" t="n">
        <v>250</v>
      </c>
      <c r="G78" s="8" t="n">
        <v>4100</v>
      </c>
    </row>
    <row r="79" customFormat="false" ht="15" hidden="true" customHeight="true" outlineLevel="1" collapsed="false">
      <c r="A79" s="55"/>
      <c r="B79" s="52" t="s">
        <v>58</v>
      </c>
      <c r="C79" s="53" t="n">
        <f aca="false">D79*E79*F79/1000000000</f>
        <v>0.0625</v>
      </c>
      <c r="D79" s="54" t="n">
        <v>625</v>
      </c>
      <c r="E79" s="8" t="n">
        <v>400</v>
      </c>
      <c r="F79" s="8" t="n">
        <v>250</v>
      </c>
      <c r="G79" s="8" t="n">
        <v>4100</v>
      </c>
    </row>
    <row r="80" customFormat="false" ht="15" hidden="true" customHeight="true" outlineLevel="1" collapsed="false">
      <c r="A80" s="55"/>
      <c r="B80" s="52" t="s">
        <v>59</v>
      </c>
      <c r="C80" s="53" t="n">
        <f aca="false">D80*E80*F80/1000000000</f>
        <v>0.015625</v>
      </c>
      <c r="D80" s="54" t="n">
        <v>625</v>
      </c>
      <c r="E80" s="8" t="n">
        <v>100</v>
      </c>
      <c r="F80" s="8" t="n">
        <v>250</v>
      </c>
      <c r="G80" s="8" t="n">
        <v>4200</v>
      </c>
    </row>
    <row r="81" customFormat="false" ht="15" hidden="true" customHeight="true" outlineLevel="1" collapsed="false">
      <c r="A81" s="55"/>
      <c r="B81" s="52" t="s">
        <v>59</v>
      </c>
      <c r="C81" s="53" t="n">
        <f aca="false">D81*E81*F81/1000000000</f>
        <v>0.03125</v>
      </c>
      <c r="D81" s="54" t="n">
        <v>625</v>
      </c>
      <c r="E81" s="8" t="n">
        <v>200</v>
      </c>
      <c r="F81" s="8" t="n">
        <v>250</v>
      </c>
      <c r="G81" s="8" t="n">
        <v>4200</v>
      </c>
    </row>
    <row r="82" customFormat="false" ht="15" hidden="true" customHeight="true" outlineLevel="1" collapsed="false">
      <c r="A82" s="55"/>
      <c r="B82" s="52" t="s">
        <v>59</v>
      </c>
      <c r="C82" s="53" t="n">
        <f aca="false">D82*E82*F82/1000000000</f>
        <v>0.0375</v>
      </c>
      <c r="D82" s="54" t="n">
        <v>625</v>
      </c>
      <c r="E82" s="8" t="n">
        <v>240</v>
      </c>
      <c r="F82" s="8" t="n">
        <v>250</v>
      </c>
      <c r="G82" s="8" t="n">
        <v>4200</v>
      </c>
    </row>
    <row r="83" customFormat="false" ht="15" hidden="true" customHeight="true" outlineLevel="1" collapsed="false">
      <c r="A83" s="55"/>
      <c r="B83" s="52" t="s">
        <v>59</v>
      </c>
      <c r="C83" s="53" t="n">
        <f aca="false">D83*E83*F83/1000000000</f>
        <v>0.046875</v>
      </c>
      <c r="D83" s="54" t="n">
        <v>625</v>
      </c>
      <c r="E83" s="8" t="n">
        <v>300</v>
      </c>
      <c r="F83" s="8" t="n">
        <v>250</v>
      </c>
      <c r="G83" s="8" t="n">
        <v>4200</v>
      </c>
    </row>
    <row r="84" customFormat="false" ht="15" hidden="true" customHeight="true" outlineLevel="1" collapsed="false">
      <c r="A84" s="55"/>
      <c r="B84" s="52" t="s">
        <v>59</v>
      </c>
      <c r="C84" s="53" t="n">
        <f aca="false">D84*E84*F84/1000000000</f>
        <v>0.0625</v>
      </c>
      <c r="D84" s="54" t="n">
        <v>625</v>
      </c>
      <c r="E84" s="8" t="n">
        <v>400</v>
      </c>
      <c r="F84" s="8" t="n">
        <v>250</v>
      </c>
      <c r="G84" s="8" t="n">
        <v>4200</v>
      </c>
    </row>
    <row r="85" customFormat="false" ht="15" hidden="true" customHeight="true" outlineLevel="1" collapsed="false">
      <c r="A85" s="55"/>
      <c r="B85" s="52" t="s">
        <v>60</v>
      </c>
      <c r="C85" s="53" t="n">
        <f aca="false">D85*E85*F85/1000000000</f>
        <v>0.015625</v>
      </c>
      <c r="D85" s="54" t="n">
        <v>625</v>
      </c>
      <c r="E85" s="8" t="n">
        <v>100</v>
      </c>
      <c r="F85" s="8" t="n">
        <v>250</v>
      </c>
      <c r="G85" s="8" t="n">
        <v>4350</v>
      </c>
    </row>
    <row r="86" customFormat="false" ht="15" hidden="true" customHeight="true" outlineLevel="1" collapsed="false">
      <c r="A86" s="55"/>
      <c r="B86" s="52" t="s">
        <v>60</v>
      </c>
      <c r="C86" s="53" t="n">
        <f aca="false">D86*E86*F86/1000000000</f>
        <v>0.03125</v>
      </c>
      <c r="D86" s="54" t="n">
        <v>625</v>
      </c>
      <c r="E86" s="8" t="n">
        <v>200</v>
      </c>
      <c r="F86" s="8" t="n">
        <v>250</v>
      </c>
      <c r="G86" s="8" t="n">
        <v>4350</v>
      </c>
    </row>
    <row r="87" customFormat="false" ht="15" hidden="true" customHeight="true" outlineLevel="1" collapsed="false">
      <c r="A87" s="55"/>
      <c r="B87" s="52" t="s">
        <v>60</v>
      </c>
      <c r="C87" s="53" t="n">
        <f aca="false">D87*E87*F87/1000000000</f>
        <v>0.0375</v>
      </c>
      <c r="D87" s="54" t="n">
        <v>625</v>
      </c>
      <c r="E87" s="8" t="n">
        <v>240</v>
      </c>
      <c r="F87" s="8" t="n">
        <v>250</v>
      </c>
      <c r="G87" s="8" t="n">
        <v>4350</v>
      </c>
    </row>
    <row r="88" customFormat="false" ht="15" hidden="true" customHeight="true" outlineLevel="1" collapsed="false">
      <c r="A88" s="55"/>
      <c r="B88" s="52" t="s">
        <v>60</v>
      </c>
      <c r="C88" s="53" t="n">
        <f aca="false">D88*E88*F88/1000000000</f>
        <v>0.046875</v>
      </c>
      <c r="D88" s="54" t="n">
        <v>625</v>
      </c>
      <c r="E88" s="8" t="n">
        <v>300</v>
      </c>
      <c r="F88" s="8" t="n">
        <v>250</v>
      </c>
      <c r="G88" s="8" t="n">
        <v>4350</v>
      </c>
    </row>
    <row r="89" customFormat="false" ht="15" hidden="true" customHeight="true" outlineLevel="1" collapsed="false">
      <c r="A89" s="55"/>
      <c r="B89" s="52" t="s">
        <v>60</v>
      </c>
      <c r="C89" s="53" t="n">
        <f aca="false">D89*E89*F89/1000000000</f>
        <v>0.0625</v>
      </c>
      <c r="D89" s="54" t="n">
        <v>625</v>
      </c>
      <c r="E89" s="8" t="n">
        <v>400</v>
      </c>
      <c r="F89" s="8" t="n">
        <v>250</v>
      </c>
      <c r="G89" s="8" t="n">
        <v>4350</v>
      </c>
    </row>
    <row r="90" customFormat="false" ht="15" hidden="true" customHeight="true" outlineLevel="1" collapsed="false">
      <c r="A90" s="55"/>
      <c r="B90" s="56"/>
      <c r="C90" s="53"/>
      <c r="D90" s="54"/>
      <c r="E90" s="8"/>
    </row>
    <row r="91" customFormat="false" ht="15" hidden="false" customHeight="true" outlineLevel="0" collapsed="false">
      <c r="A91" s="34" t="s">
        <v>53</v>
      </c>
      <c r="B91" s="34"/>
      <c r="C91" s="53"/>
      <c r="D91" s="54"/>
      <c r="E91" s="8"/>
    </row>
    <row r="92" customFormat="false" ht="15" hidden="true" customHeight="true" outlineLevel="1" collapsed="false">
      <c r="A92" s="57" t="s">
        <v>61</v>
      </c>
      <c r="B92" s="58"/>
      <c r="C92" s="16" t="s">
        <v>12</v>
      </c>
      <c r="D92" s="59"/>
      <c r="E92" s="59"/>
      <c r="F92" s="59"/>
      <c r="G92" s="59"/>
    </row>
    <row r="93" customFormat="false" ht="15" hidden="true" customHeight="true" outlineLevel="1" collapsed="false">
      <c r="A93" s="30"/>
      <c r="B93" s="20" t="s">
        <v>62</v>
      </c>
      <c r="C93" s="21" t="n">
        <v>0.012</v>
      </c>
      <c r="D93" s="22" t="n">
        <v>83.3</v>
      </c>
      <c r="E93" s="22" t="n">
        <v>200</v>
      </c>
      <c r="F93" s="22" t="n">
        <f aca="false">1/C93*E93</f>
        <v>16666.6666666667</v>
      </c>
      <c r="G93" s="22"/>
    </row>
    <row r="94" customFormat="false" ht="15" hidden="true" customHeight="true" outlineLevel="1" collapsed="false">
      <c r="A94" s="31"/>
      <c r="B94" s="20" t="s">
        <v>63</v>
      </c>
      <c r="C94" s="21" t="n">
        <v>0.032</v>
      </c>
      <c r="D94" s="22"/>
      <c r="E94" s="22" t="n">
        <v>250</v>
      </c>
      <c r="F94" s="22" t="n">
        <v>7812.5</v>
      </c>
    </row>
    <row r="95" customFormat="false" ht="15" hidden="true" customHeight="true" outlineLevel="1" collapsed="false">
      <c r="A95" s="31"/>
      <c r="B95" s="39"/>
      <c r="C95" s="21"/>
      <c r="D95" s="22"/>
      <c r="E95" s="22"/>
      <c r="F95" s="22"/>
    </row>
    <row r="96" customFormat="false" ht="15" hidden="false" customHeight="true" outlineLevel="0" collapsed="false">
      <c r="A96" s="47" t="s">
        <v>61</v>
      </c>
      <c r="B96" s="47"/>
      <c r="C96" s="21"/>
      <c r="D96" s="22"/>
      <c r="E96" s="22"/>
      <c r="F96" s="22"/>
    </row>
    <row r="97" customFormat="false" ht="15" hidden="true" customHeight="true" outlineLevel="1" collapsed="false">
      <c r="A97" s="60" t="s">
        <v>64</v>
      </c>
      <c r="B97" s="60"/>
      <c r="C97" s="16" t="s">
        <v>12</v>
      </c>
      <c r="D97" s="50" t="s">
        <v>54</v>
      </c>
      <c r="E97" s="50" t="s">
        <v>55</v>
      </c>
      <c r="F97" s="50" t="s">
        <v>56</v>
      </c>
      <c r="G97" s="50" t="s">
        <v>57</v>
      </c>
    </row>
    <row r="98" customFormat="false" ht="15" hidden="true" customHeight="true" outlineLevel="1" collapsed="false">
      <c r="A98" s="30"/>
      <c r="B98" s="20" t="s">
        <v>65</v>
      </c>
      <c r="C98" s="21"/>
      <c r="D98" s="22"/>
      <c r="E98" s="8"/>
      <c r="F98" s="22"/>
      <c r="G98" s="22" t="n">
        <v>7150</v>
      </c>
    </row>
    <row r="99" customFormat="false" ht="15" hidden="true" customHeight="true" outlineLevel="1" collapsed="false">
      <c r="A99" s="31"/>
      <c r="B99" s="20" t="s">
        <v>66</v>
      </c>
      <c r="C99" s="21"/>
      <c r="D99" s="22"/>
      <c r="E99" s="8"/>
      <c r="F99" s="22"/>
      <c r="G99" s="22" t="n">
        <v>6580</v>
      </c>
    </row>
    <row r="100" customFormat="false" ht="15" hidden="true" customHeight="true" outlineLevel="1" collapsed="false">
      <c r="A100" s="31"/>
      <c r="B100" s="20" t="s">
        <v>67</v>
      </c>
      <c r="C100" s="21"/>
      <c r="D100" s="22"/>
      <c r="E100" s="8"/>
      <c r="F100" s="22"/>
      <c r="G100" s="22" t="n">
        <v>5300</v>
      </c>
    </row>
    <row r="101" customFormat="false" ht="15" hidden="true" customHeight="true" outlineLevel="1" collapsed="false">
      <c r="A101" s="31"/>
      <c r="B101" s="20" t="s">
        <v>68</v>
      </c>
      <c r="C101" s="21"/>
      <c r="D101" s="22"/>
      <c r="E101" s="8"/>
      <c r="F101" s="22"/>
      <c r="G101" s="22" t="n">
        <v>2670</v>
      </c>
    </row>
    <row r="102" customFormat="false" ht="15" hidden="true" customHeight="true" outlineLevel="1" collapsed="false">
      <c r="A102" s="31"/>
      <c r="B102" s="20" t="s">
        <v>69</v>
      </c>
      <c r="C102" s="21"/>
      <c r="D102" s="22"/>
      <c r="E102" s="8"/>
      <c r="F102" s="22"/>
      <c r="G102" s="22" t="n">
        <v>2300</v>
      </c>
    </row>
    <row r="103" customFormat="false" ht="15" hidden="true" customHeight="true" outlineLevel="1" collapsed="false">
      <c r="A103" s="31"/>
      <c r="B103" s="20" t="s">
        <v>70</v>
      </c>
      <c r="C103" s="21"/>
      <c r="D103" s="22"/>
      <c r="E103" s="8"/>
      <c r="F103" s="22"/>
      <c r="G103" s="22" t="n">
        <v>1900</v>
      </c>
    </row>
    <row r="104" customFormat="false" ht="15" hidden="true" customHeight="true" outlineLevel="1" collapsed="false">
      <c r="A104" s="31"/>
      <c r="B104" s="20" t="s">
        <v>71</v>
      </c>
      <c r="C104" s="21"/>
      <c r="D104" s="22"/>
      <c r="E104" s="8"/>
      <c r="F104" s="22"/>
      <c r="G104" s="22"/>
    </row>
    <row r="105" customFormat="false" ht="15" hidden="true" customHeight="true" outlineLevel="1" collapsed="false">
      <c r="A105" s="61"/>
      <c r="B105" s="20" t="s">
        <v>72</v>
      </c>
      <c r="C105" s="21"/>
      <c r="D105" s="22"/>
      <c r="E105" s="8"/>
      <c r="F105" s="22"/>
      <c r="G105" s="22"/>
    </row>
    <row r="106" customFormat="false" ht="15" hidden="false" customHeight="true" outlineLevel="0" collapsed="false">
      <c r="A106" s="47" t="s">
        <v>64</v>
      </c>
      <c r="B106" s="47"/>
      <c r="C106" s="21"/>
      <c r="D106" s="22"/>
      <c r="E106" s="8"/>
      <c r="F106" s="22"/>
      <c r="G106" s="22"/>
    </row>
    <row r="107" customFormat="false" ht="15" hidden="true" customHeight="true" outlineLevel="1" collapsed="false">
      <c r="A107" s="60" t="s">
        <v>73</v>
      </c>
      <c r="B107" s="60"/>
      <c r="C107" s="16" t="s">
        <v>12</v>
      </c>
      <c r="D107" s="50"/>
      <c r="E107" s="50"/>
      <c r="F107" s="50" t="s">
        <v>56</v>
      </c>
      <c r="G107" s="50" t="s">
        <v>57</v>
      </c>
    </row>
    <row r="108" customFormat="false" ht="22.5" hidden="true" customHeight="true" outlineLevel="1" collapsed="false">
      <c r="A108" s="30"/>
      <c r="B108" s="20" t="s">
        <v>74</v>
      </c>
      <c r="C108" s="21" t="n">
        <v>0.014</v>
      </c>
      <c r="D108" s="22" t="n">
        <v>71.42</v>
      </c>
      <c r="E108" s="22" t="n">
        <v>51</v>
      </c>
      <c r="G108" s="22" t="n">
        <v>3642.85</v>
      </c>
    </row>
    <row r="109" customFormat="false" ht="21" hidden="true" customHeight="true" outlineLevel="1" collapsed="false">
      <c r="A109" s="31"/>
      <c r="B109" s="20" t="s">
        <v>75</v>
      </c>
      <c r="C109" s="21" t="n">
        <v>0.009</v>
      </c>
      <c r="D109" s="22" t="n">
        <v>111.11</v>
      </c>
      <c r="E109" s="22" t="n">
        <v>41</v>
      </c>
      <c r="G109" s="22" t="n">
        <v>4555.55</v>
      </c>
    </row>
    <row r="110" customFormat="false" ht="15" hidden="true" customHeight="true" outlineLevel="1" collapsed="false">
      <c r="A110" s="31"/>
      <c r="B110" s="20" t="s">
        <v>76</v>
      </c>
      <c r="C110" s="21" t="s">
        <v>77</v>
      </c>
      <c r="D110" s="22"/>
      <c r="E110" s="22" t="s">
        <v>78</v>
      </c>
      <c r="F110" s="22"/>
    </row>
    <row r="111" customFormat="false" ht="15" hidden="true" customHeight="true" outlineLevel="1" collapsed="false">
      <c r="A111" s="31"/>
      <c r="B111" s="20"/>
      <c r="C111" s="21"/>
      <c r="D111" s="22"/>
      <c r="E111" s="22"/>
      <c r="F111" s="22"/>
    </row>
    <row r="112" customFormat="false" ht="15" hidden="true" customHeight="true" outlineLevel="1" collapsed="false">
      <c r="A112" s="31"/>
      <c r="B112" s="39"/>
      <c r="C112" s="21"/>
      <c r="D112" s="22"/>
      <c r="E112" s="22"/>
      <c r="F112" s="22"/>
    </row>
    <row r="113" customFormat="false" ht="15" hidden="false" customHeight="true" outlineLevel="0" collapsed="false">
      <c r="A113" s="47" t="s">
        <v>73</v>
      </c>
      <c r="B113" s="47"/>
      <c r="C113" s="21"/>
      <c r="D113" s="22"/>
      <c r="E113" s="22"/>
      <c r="F113" s="22"/>
    </row>
    <row r="114" customFormat="false" ht="15" hidden="true" customHeight="true" outlineLevel="1" collapsed="false">
      <c r="A114" s="62" t="s">
        <v>79</v>
      </c>
      <c r="B114" s="62"/>
      <c r="C114" s="63"/>
      <c r="D114" s="38"/>
      <c r="E114" s="38"/>
      <c r="F114" s="38" t="s">
        <v>80</v>
      </c>
      <c r="G114" s="50" t="s">
        <v>81</v>
      </c>
    </row>
    <row r="115" customFormat="false" ht="15" hidden="true" customHeight="true" outlineLevel="1" collapsed="false">
      <c r="A115" s="30"/>
      <c r="B115" s="5" t="s">
        <v>82</v>
      </c>
      <c r="C115" s="5"/>
      <c r="D115" s="5"/>
      <c r="E115" s="5"/>
      <c r="F115" s="5" t="n">
        <v>0</v>
      </c>
      <c r="G115" s="5" t="n">
        <v>0</v>
      </c>
    </row>
    <row r="116" customFormat="false" ht="15" hidden="true" customHeight="true" outlineLevel="1" collapsed="false">
      <c r="A116" s="31"/>
      <c r="B116" s="20" t="s">
        <v>83</v>
      </c>
      <c r="C116" s="21"/>
      <c r="D116" s="22"/>
      <c r="E116" s="22"/>
      <c r="F116" s="8" t="n">
        <v>5000</v>
      </c>
      <c r="G116" s="22" t="n">
        <v>19000</v>
      </c>
    </row>
    <row r="117" customFormat="false" ht="15" hidden="true" customHeight="true" outlineLevel="1" collapsed="false">
      <c r="A117" s="31"/>
      <c r="B117" s="20" t="s">
        <v>84</v>
      </c>
      <c r="C117" s="21"/>
      <c r="D117" s="22"/>
      <c r="E117" s="22"/>
      <c r="G117" s="22" t="n">
        <v>30000</v>
      </c>
    </row>
    <row r="118" customFormat="false" ht="15" hidden="true" customHeight="true" outlineLevel="1" collapsed="false">
      <c r="A118" s="31"/>
      <c r="B118" s="20" t="s">
        <v>85</v>
      </c>
      <c r="C118" s="21"/>
      <c r="D118" s="22"/>
      <c r="E118" s="22"/>
      <c r="G118" s="22" t="n">
        <v>50000</v>
      </c>
    </row>
    <row r="119" customFormat="false" ht="15" hidden="true" customHeight="true" outlineLevel="1" collapsed="false">
      <c r="A119" s="31"/>
      <c r="B119" s="20" t="s">
        <v>86</v>
      </c>
      <c r="C119" s="21"/>
      <c r="D119" s="22"/>
      <c r="E119" s="22"/>
      <c r="G119" s="22" t="n">
        <v>90000</v>
      </c>
    </row>
    <row r="120" customFormat="false" ht="15" hidden="true" customHeight="true" outlineLevel="1" collapsed="false">
      <c r="A120" s="31"/>
      <c r="B120" s="20" t="s">
        <v>87</v>
      </c>
      <c r="C120" s="21"/>
      <c r="D120" s="22"/>
      <c r="E120" s="22"/>
      <c r="G120" s="22" t="n">
        <v>120000</v>
      </c>
    </row>
    <row r="121" customFormat="false" ht="15" hidden="true" customHeight="true" outlineLevel="1" collapsed="false">
      <c r="A121" s="31"/>
      <c r="B121" s="20" t="s">
        <v>88</v>
      </c>
      <c r="D121" s="8"/>
      <c r="E121" s="8"/>
      <c r="G121" s="8" t="n">
        <v>5000</v>
      </c>
    </row>
    <row r="122" customFormat="false" ht="15" hidden="true" customHeight="true" outlineLevel="1" collapsed="false">
      <c r="A122" s="31"/>
      <c r="B122" s="20" t="s">
        <v>89</v>
      </c>
      <c r="D122" s="8"/>
      <c r="E122" s="8"/>
      <c r="G122" s="8" t="n">
        <v>7000</v>
      </c>
    </row>
    <row r="123" customFormat="false" ht="15" hidden="true" customHeight="true" outlineLevel="1" collapsed="false">
      <c r="A123" s="31"/>
      <c r="B123" s="20" t="s">
        <v>90</v>
      </c>
      <c r="D123" s="8"/>
      <c r="E123" s="8"/>
      <c r="G123" s="8" t="n">
        <v>10000</v>
      </c>
    </row>
    <row r="124" customFormat="false" ht="15" hidden="true" customHeight="true" outlineLevel="1" collapsed="false">
      <c r="A124" s="61"/>
      <c r="B124" s="20" t="s">
        <v>91</v>
      </c>
      <c r="D124" s="8"/>
      <c r="E124" s="8"/>
      <c r="G124" s="8" t="n">
        <v>12000</v>
      </c>
    </row>
    <row r="125" customFormat="false" ht="15" hidden="false" customHeight="true" outlineLevel="0" collapsed="false">
      <c r="A125" s="47" t="s">
        <v>79</v>
      </c>
      <c r="B125" s="47"/>
      <c r="D125" s="8"/>
      <c r="E125" s="8"/>
    </row>
    <row r="126" customFormat="false" ht="15" hidden="true" customHeight="true" outlineLevel="1" collapsed="false">
      <c r="A126" s="62" t="s">
        <v>92</v>
      </c>
      <c r="B126" s="62"/>
      <c r="C126" s="16" t="s">
        <v>12</v>
      </c>
      <c r="D126" s="64" t="s">
        <v>54</v>
      </c>
      <c r="E126" s="38"/>
      <c r="F126" s="38"/>
      <c r="G126" s="50" t="s">
        <v>81</v>
      </c>
    </row>
    <row r="127" customFormat="false" ht="15" hidden="true" customHeight="true" outlineLevel="1" collapsed="false">
      <c r="A127" s="51"/>
      <c r="B127" s="65" t="s">
        <v>93</v>
      </c>
      <c r="C127" s="66"/>
      <c r="D127" s="8"/>
      <c r="E127" s="26"/>
      <c r="G127" s="26" t="n">
        <v>0</v>
      </c>
    </row>
    <row r="128" customFormat="false" ht="15" hidden="true" customHeight="true" outlineLevel="1" collapsed="false">
      <c r="A128" s="55"/>
      <c r="B128" s="20" t="s">
        <v>94</v>
      </c>
      <c r="C128" s="21" t="n">
        <v>0.101</v>
      </c>
      <c r="D128" s="22" t="n">
        <v>2600</v>
      </c>
      <c r="E128" s="8"/>
      <c r="G128" s="22" t="n">
        <v>2500</v>
      </c>
    </row>
    <row r="129" customFormat="false" ht="15" hidden="true" customHeight="true" outlineLevel="1" collapsed="false">
      <c r="A129" s="55"/>
      <c r="B129" s="20" t="s">
        <v>95</v>
      </c>
      <c r="C129" s="21" t="n">
        <v>0.101</v>
      </c>
      <c r="D129" s="22" t="n">
        <v>2600</v>
      </c>
      <c r="E129" s="8"/>
      <c r="G129" s="22" t="n">
        <v>2500</v>
      </c>
    </row>
    <row r="130" customFormat="false" ht="15" hidden="true" customHeight="true" outlineLevel="1" collapsed="false">
      <c r="A130" s="55"/>
      <c r="B130" s="20" t="s">
        <v>96</v>
      </c>
      <c r="C130" s="21" t="n">
        <v>0.093</v>
      </c>
      <c r="D130" s="22" t="n">
        <v>2400</v>
      </c>
      <c r="E130" s="8"/>
      <c r="G130" s="22" t="n">
        <v>2100</v>
      </c>
    </row>
    <row r="131" customFormat="false" ht="15" hidden="true" customHeight="true" outlineLevel="1" collapsed="false">
      <c r="A131" s="55"/>
      <c r="B131" s="20" t="s">
        <v>97</v>
      </c>
      <c r="C131" s="21" t="n">
        <v>0.093</v>
      </c>
      <c r="D131" s="22" t="n">
        <v>2400</v>
      </c>
      <c r="E131" s="8"/>
      <c r="G131" s="22" t="n">
        <v>2100</v>
      </c>
    </row>
    <row r="132" customFormat="false" ht="15" hidden="true" customHeight="true" outlineLevel="1" collapsed="false">
      <c r="A132" s="55"/>
      <c r="B132" s="20" t="s">
        <v>98</v>
      </c>
      <c r="C132" s="21" t="n">
        <v>0.085</v>
      </c>
      <c r="D132" s="22" t="n">
        <v>2200</v>
      </c>
      <c r="E132" s="8"/>
      <c r="G132" s="22" t="n">
        <v>1760</v>
      </c>
    </row>
    <row r="133" customFormat="false" ht="15" hidden="true" customHeight="true" outlineLevel="1" collapsed="false">
      <c r="A133" s="55"/>
      <c r="B133" s="20" t="s">
        <v>99</v>
      </c>
      <c r="C133" s="21" t="n">
        <v>0.085</v>
      </c>
      <c r="D133" s="22" t="n">
        <v>2200</v>
      </c>
      <c r="E133" s="8"/>
      <c r="G133" s="22" t="n">
        <v>1865</v>
      </c>
    </row>
    <row r="134" customFormat="false" ht="15" hidden="true" customHeight="true" outlineLevel="1" collapsed="false">
      <c r="A134" s="55"/>
      <c r="B134" s="20" t="s">
        <v>100</v>
      </c>
      <c r="C134" s="21" t="n">
        <v>0.077</v>
      </c>
      <c r="D134" s="22" t="n">
        <v>2000</v>
      </c>
      <c r="E134" s="8"/>
      <c r="G134" s="22" t="n">
        <v>1645</v>
      </c>
    </row>
    <row r="135" customFormat="false" ht="15" hidden="true" customHeight="true" outlineLevel="1" collapsed="false">
      <c r="A135" s="55"/>
      <c r="B135" s="20" t="s">
        <v>101</v>
      </c>
      <c r="C135" s="21" t="n">
        <v>0.077</v>
      </c>
      <c r="D135" s="22" t="n">
        <v>2000</v>
      </c>
      <c r="E135" s="8"/>
      <c r="G135" s="22" t="n">
        <v>1750</v>
      </c>
    </row>
    <row r="136" customFormat="false" ht="15" hidden="true" customHeight="true" outlineLevel="1" collapsed="false">
      <c r="A136" s="55"/>
      <c r="B136" s="20" t="s">
        <v>102</v>
      </c>
      <c r="C136" s="21" t="n">
        <v>0.054</v>
      </c>
      <c r="D136" s="22" t="n">
        <v>1400</v>
      </c>
      <c r="E136" s="8"/>
      <c r="G136" s="22" t="n">
        <v>1308</v>
      </c>
    </row>
    <row r="137" customFormat="false" ht="15" hidden="true" customHeight="true" outlineLevel="1" collapsed="false">
      <c r="A137" s="55"/>
      <c r="B137" s="20" t="s">
        <v>103</v>
      </c>
      <c r="C137" s="21" t="n">
        <v>0.054</v>
      </c>
      <c r="D137" s="22" t="n">
        <v>1400</v>
      </c>
      <c r="E137" s="8"/>
      <c r="G137" s="22" t="n">
        <v>1350</v>
      </c>
    </row>
    <row r="138" customFormat="false" ht="15" hidden="true" customHeight="true" outlineLevel="1" collapsed="false">
      <c r="A138" s="55"/>
      <c r="B138" s="5" t="s">
        <v>104</v>
      </c>
      <c r="C138" s="21" t="n">
        <v>0.126</v>
      </c>
      <c r="D138" s="22" t="n">
        <v>2200</v>
      </c>
      <c r="E138" s="8"/>
      <c r="G138" s="22" t="n">
        <v>3200</v>
      </c>
    </row>
    <row r="139" customFormat="false" ht="15" hidden="true" customHeight="true" outlineLevel="1" collapsed="false">
      <c r="A139" s="55"/>
      <c r="B139" s="5" t="s">
        <v>105</v>
      </c>
      <c r="C139" s="21" t="n">
        <v>0.115</v>
      </c>
      <c r="D139" s="22" t="n">
        <v>2000</v>
      </c>
      <c r="E139" s="8"/>
      <c r="G139" s="22" t="n">
        <v>2700</v>
      </c>
    </row>
    <row r="140" customFormat="false" ht="15" hidden="true" customHeight="true" outlineLevel="1" collapsed="false">
      <c r="A140" s="67"/>
      <c r="B140" s="5" t="s">
        <v>106</v>
      </c>
      <c r="C140" s="21" t="n">
        <v>0.08</v>
      </c>
      <c r="D140" s="22" t="n">
        <v>1400</v>
      </c>
      <c r="E140" s="8"/>
      <c r="G140" s="22" t="n">
        <v>2400</v>
      </c>
    </row>
    <row r="141" s="4" customFormat="true" ht="15" hidden="false" customHeight="true" outlineLevel="0" collapsed="false">
      <c r="A141" s="47" t="s">
        <v>107</v>
      </c>
      <c r="B141" s="47"/>
    </row>
    <row r="142" customFormat="false" ht="17.25" hidden="true" customHeight="true" outlineLevel="1" collapsed="false">
      <c r="A142" s="68" t="s">
        <v>108</v>
      </c>
      <c r="B142" s="68"/>
      <c r="C142" s="16" t="s">
        <v>12</v>
      </c>
      <c r="D142" s="50" t="s">
        <v>54</v>
      </c>
      <c r="E142" s="50" t="s">
        <v>55</v>
      </c>
      <c r="F142" s="50" t="s">
        <v>56</v>
      </c>
      <c r="G142" s="50" t="s">
        <v>81</v>
      </c>
    </row>
    <row r="143" customFormat="false" ht="15" hidden="true" customHeight="true" outlineLevel="1" collapsed="false">
      <c r="A143" s="69"/>
      <c r="B143" s="52" t="s">
        <v>109</v>
      </c>
      <c r="C143" s="70" t="n">
        <f aca="false">D143*E143*F143/1000000000</f>
        <v>0.1875</v>
      </c>
      <c r="D143" s="54" t="n">
        <v>2500</v>
      </c>
      <c r="E143" s="54" t="n">
        <v>300</v>
      </c>
      <c r="F143" s="8" t="n">
        <v>250</v>
      </c>
      <c r="G143" s="54" t="n">
        <v>2850</v>
      </c>
      <c r="J143" s="71"/>
    </row>
    <row r="144" customFormat="false" ht="15" hidden="true" customHeight="true" outlineLevel="1" collapsed="false">
      <c r="A144" s="72"/>
      <c r="B144" s="52" t="s">
        <v>110</v>
      </c>
      <c r="C144" s="70" t="n">
        <f aca="false">D144*E144*F144/1000000000</f>
        <v>0.15</v>
      </c>
      <c r="D144" s="54" t="n">
        <v>2000</v>
      </c>
      <c r="E144" s="54" t="n">
        <v>300</v>
      </c>
      <c r="F144" s="8" t="n">
        <v>250</v>
      </c>
      <c r="G144" s="54" t="n">
        <v>2350</v>
      </c>
    </row>
    <row r="145" customFormat="false" ht="15" hidden="true" customHeight="true" outlineLevel="1" collapsed="false">
      <c r="A145" s="72"/>
      <c r="B145" s="52" t="s">
        <v>111</v>
      </c>
      <c r="C145" s="70" t="n">
        <f aca="false">D145*E145*F145/1000000000</f>
        <v>0.1125</v>
      </c>
      <c r="D145" s="54" t="n">
        <v>1500</v>
      </c>
      <c r="E145" s="54" t="n">
        <v>300</v>
      </c>
      <c r="F145" s="8" t="n">
        <v>250</v>
      </c>
      <c r="G145" s="54" t="n">
        <v>1750</v>
      </c>
    </row>
    <row r="146" customFormat="false" ht="15" hidden="true" customHeight="true" outlineLevel="1" collapsed="false">
      <c r="A146" s="72"/>
      <c r="B146" s="52" t="s">
        <v>112</v>
      </c>
      <c r="C146" s="70" t="n">
        <f aca="false">D146*E146*F146/1000000000</f>
        <v>0.125</v>
      </c>
      <c r="D146" s="54" t="n">
        <v>2500</v>
      </c>
      <c r="E146" s="54" t="n">
        <v>200</v>
      </c>
      <c r="F146" s="8" t="n">
        <v>250</v>
      </c>
      <c r="G146" s="54" t="n">
        <v>1850</v>
      </c>
    </row>
    <row r="147" customFormat="false" ht="15" hidden="true" customHeight="true" outlineLevel="1" collapsed="false">
      <c r="A147" s="72"/>
      <c r="B147" s="52" t="s">
        <v>113</v>
      </c>
      <c r="C147" s="70" t="n">
        <f aca="false">D147*E147*F147/1000000000</f>
        <v>0.1</v>
      </c>
      <c r="D147" s="54" t="n">
        <v>2000</v>
      </c>
      <c r="E147" s="54" t="n">
        <v>200</v>
      </c>
      <c r="F147" s="8" t="n">
        <v>250</v>
      </c>
      <c r="G147" s="54" t="n">
        <v>1650</v>
      </c>
    </row>
    <row r="148" customFormat="false" ht="15" hidden="true" customHeight="true" outlineLevel="1" collapsed="false">
      <c r="A148" s="72"/>
      <c r="B148" s="52" t="s">
        <v>114</v>
      </c>
      <c r="C148" s="70" t="n">
        <f aca="false">D148*E148*F148/1000000000</f>
        <v>0.075</v>
      </c>
      <c r="D148" s="54" t="n">
        <v>1500</v>
      </c>
      <c r="E148" s="54" t="n">
        <v>200</v>
      </c>
      <c r="F148" s="8" t="n">
        <v>250</v>
      </c>
      <c r="G148" s="54" t="n">
        <v>1450</v>
      </c>
    </row>
    <row r="149" customFormat="false" ht="15" hidden="true" customHeight="true" outlineLevel="1" collapsed="false">
      <c r="A149" s="72"/>
      <c r="B149" s="52" t="s">
        <v>115</v>
      </c>
      <c r="C149" s="70" t="n">
        <f aca="false">D149*E149*F149/1000000000</f>
        <v>0.09375</v>
      </c>
      <c r="D149" s="54" t="n">
        <v>2500</v>
      </c>
      <c r="E149" s="54" t="n">
        <v>150</v>
      </c>
      <c r="F149" s="8" t="n">
        <v>250</v>
      </c>
      <c r="G149" s="54" t="n">
        <v>1600</v>
      </c>
    </row>
    <row r="150" customFormat="false" ht="15" hidden="true" customHeight="true" outlineLevel="1" collapsed="false">
      <c r="A150" s="72"/>
      <c r="B150" s="52" t="s">
        <v>116</v>
      </c>
      <c r="C150" s="70" t="n">
        <f aca="false">D150*E150*F150/1000000000</f>
        <v>0.0703125</v>
      </c>
      <c r="D150" s="54" t="n">
        <v>1875</v>
      </c>
      <c r="E150" s="54" t="n">
        <v>150</v>
      </c>
      <c r="F150" s="8" t="n">
        <v>250</v>
      </c>
      <c r="G150" s="54" t="n">
        <v>1450</v>
      </c>
    </row>
    <row r="151" customFormat="false" ht="15" hidden="true" customHeight="true" outlineLevel="1" collapsed="false">
      <c r="A151" s="72"/>
      <c r="B151" s="52" t="s">
        <v>117</v>
      </c>
      <c r="C151" s="70" t="n">
        <f aca="false">D151*E151*F151/1000000000</f>
        <v>0.0625</v>
      </c>
      <c r="D151" s="54" t="n">
        <v>2500</v>
      </c>
      <c r="E151" s="54" t="n">
        <v>100</v>
      </c>
      <c r="F151" s="8" t="n">
        <v>250</v>
      </c>
      <c r="G151" s="54" t="n">
        <v>1450</v>
      </c>
    </row>
    <row r="152" customFormat="false" ht="15" hidden="true" customHeight="true" outlineLevel="1" collapsed="false">
      <c r="A152" s="72"/>
      <c r="B152" s="52" t="s">
        <v>118</v>
      </c>
      <c r="C152" s="70" t="n">
        <f aca="false">D152*E152*F152/1000000000</f>
        <v>0.046875</v>
      </c>
      <c r="D152" s="54" t="n">
        <v>1875</v>
      </c>
      <c r="E152" s="54" t="n">
        <v>100</v>
      </c>
      <c r="F152" s="8" t="n">
        <v>250</v>
      </c>
      <c r="G152" s="54" t="n">
        <v>1300</v>
      </c>
    </row>
    <row r="153" customFormat="false" ht="15" hidden="true" customHeight="true" outlineLevel="1" collapsed="false">
      <c r="A153" s="72"/>
      <c r="B153" s="56"/>
      <c r="C153" s="70"/>
      <c r="D153" s="54"/>
      <c r="E153" s="54"/>
      <c r="G153" s="54"/>
    </row>
    <row r="154" customFormat="false" ht="15" hidden="false" customHeight="true" outlineLevel="0" collapsed="false">
      <c r="A154" s="73" t="s">
        <v>108</v>
      </c>
      <c r="B154" s="73"/>
      <c r="C154" s="70"/>
      <c r="D154" s="54"/>
      <c r="E154" s="54"/>
      <c r="G154" s="54"/>
    </row>
    <row r="155" customFormat="false" ht="15" hidden="true" customHeight="true" outlineLevel="1" collapsed="false">
      <c r="A155" s="74" t="s">
        <v>119</v>
      </c>
      <c r="B155" s="74"/>
      <c r="C155" s="75" t="s">
        <v>120</v>
      </c>
      <c r="D155" s="76" t="s">
        <v>121</v>
      </c>
      <c r="E155" s="38" t="s">
        <v>122</v>
      </c>
      <c r="F155" s="38" t="s">
        <v>123</v>
      </c>
      <c r="G155" s="38" t="s">
        <v>124</v>
      </c>
    </row>
    <row r="156" customFormat="false" ht="15" hidden="true" customHeight="true" outlineLevel="1" collapsed="false">
      <c r="A156" s="30"/>
      <c r="B156" s="77" t="s">
        <v>125</v>
      </c>
      <c r="C156" s="78" t="s">
        <v>126</v>
      </c>
      <c r="D156" s="79" t="n">
        <v>25</v>
      </c>
      <c r="E156" s="79" t="s">
        <v>127</v>
      </c>
      <c r="F156" s="79" t="s">
        <v>128</v>
      </c>
      <c r="G156" s="80" t="n">
        <v>185</v>
      </c>
    </row>
    <row r="157" customFormat="false" ht="15" hidden="true" customHeight="true" outlineLevel="1" collapsed="false">
      <c r="A157" s="31"/>
      <c r="B157" s="77" t="s">
        <v>129</v>
      </c>
      <c r="C157" s="78" t="s">
        <v>126</v>
      </c>
      <c r="D157" s="79" t="n">
        <v>25</v>
      </c>
      <c r="E157" s="79" t="s">
        <v>130</v>
      </c>
      <c r="F157" s="79" t="s">
        <v>128</v>
      </c>
      <c r="G157" s="80" t="n">
        <v>215</v>
      </c>
    </row>
    <row r="158" customFormat="false" ht="15" hidden="true" customHeight="true" outlineLevel="1" collapsed="false">
      <c r="A158" s="31"/>
      <c r="B158" s="81"/>
      <c r="C158" s="78"/>
      <c r="D158" s="79"/>
      <c r="E158" s="79"/>
      <c r="F158" s="79"/>
      <c r="G158" s="80"/>
    </row>
    <row r="159" customFormat="false" ht="15" hidden="false" customHeight="true" outlineLevel="0" collapsed="false">
      <c r="A159" s="47" t="s">
        <v>119</v>
      </c>
      <c r="B159" s="47"/>
      <c r="C159" s="78"/>
      <c r="D159" s="79"/>
      <c r="E159" s="79"/>
      <c r="F159" s="79"/>
      <c r="G159" s="80"/>
    </row>
    <row r="160" customFormat="false" ht="15" hidden="true" customHeight="true" outlineLevel="1" collapsed="false">
      <c r="A160" s="82" t="s">
        <v>131</v>
      </c>
      <c r="B160" s="82"/>
      <c r="C160" s="63" t="s">
        <v>120</v>
      </c>
      <c r="D160" s="76"/>
      <c r="E160" s="38"/>
      <c r="F160" s="38"/>
      <c r="G160" s="38" t="s">
        <v>132</v>
      </c>
    </row>
    <row r="161" customFormat="false" ht="15" hidden="true" customHeight="true" outlineLevel="1" collapsed="false">
      <c r="A161" s="31"/>
      <c r="B161" s="77" t="s">
        <v>131</v>
      </c>
      <c r="C161" s="78" t="s">
        <v>133</v>
      </c>
      <c r="D161" s="79"/>
      <c r="E161" s="79"/>
      <c r="F161" s="79"/>
      <c r="G161" s="80" t="n">
        <v>1400</v>
      </c>
    </row>
    <row r="162" customFormat="false" ht="15" hidden="true" customHeight="true" outlineLevel="1" collapsed="false">
      <c r="A162" s="31"/>
      <c r="B162" s="81" t="s">
        <v>134</v>
      </c>
      <c r="C162" s="78" t="s">
        <v>135</v>
      </c>
      <c r="D162" s="79"/>
      <c r="E162" s="79"/>
      <c r="F162" s="79"/>
      <c r="G162" s="80" t="n">
        <v>1200</v>
      </c>
    </row>
    <row r="163" customFormat="false" ht="15" hidden="false" customHeight="true" outlineLevel="0" collapsed="false">
      <c r="A163" s="47" t="s">
        <v>131</v>
      </c>
      <c r="B163" s="47"/>
      <c r="C163" s="78"/>
      <c r="D163" s="79"/>
      <c r="E163" s="79"/>
      <c r="F163" s="79"/>
      <c r="G163" s="80"/>
    </row>
    <row r="164" customFormat="false" ht="15" hidden="true" customHeight="true" outlineLevel="1" collapsed="false">
      <c r="A164" s="74" t="s">
        <v>136</v>
      </c>
      <c r="B164" s="74"/>
      <c r="C164" s="63" t="s">
        <v>120</v>
      </c>
      <c r="D164" s="76"/>
      <c r="E164" s="38"/>
      <c r="F164" s="38"/>
      <c r="G164" s="38" t="s">
        <v>137</v>
      </c>
    </row>
    <row r="165" customFormat="false" ht="15" hidden="true" customHeight="true" outlineLevel="1" collapsed="false">
      <c r="A165" s="83"/>
      <c r="B165" s="84" t="s">
        <v>138</v>
      </c>
      <c r="C165" s="21" t="s">
        <v>135</v>
      </c>
      <c r="D165" s="85"/>
      <c r="E165" s="22"/>
      <c r="F165" s="22"/>
      <c r="G165" s="22" t="n">
        <v>250</v>
      </c>
    </row>
    <row r="166" customFormat="false" ht="15" hidden="true" customHeight="true" outlineLevel="1" collapsed="false">
      <c r="A166" s="86"/>
      <c r="B166" s="84" t="s">
        <v>139</v>
      </c>
      <c r="C166" s="21" t="s">
        <v>140</v>
      </c>
      <c r="D166" s="85"/>
      <c r="E166" s="22"/>
      <c r="F166" s="22"/>
      <c r="G166" s="22" t="n">
        <v>5000</v>
      </c>
    </row>
    <row r="167" customFormat="false" ht="15" hidden="true" customHeight="true" outlineLevel="1" collapsed="false">
      <c r="A167" s="86"/>
      <c r="B167" s="87" t="s">
        <v>141</v>
      </c>
      <c r="C167" s="88" t="s">
        <v>140</v>
      </c>
      <c r="D167" s="8"/>
      <c r="E167" s="8"/>
      <c r="G167" s="89" t="n">
        <v>10000</v>
      </c>
    </row>
    <row r="168" customFormat="false" ht="15" hidden="true" customHeight="true" outlineLevel="1" collapsed="false">
      <c r="A168" s="86"/>
      <c r="B168" s="87" t="s">
        <v>142</v>
      </c>
      <c r="C168" s="88" t="s">
        <v>140</v>
      </c>
      <c r="D168" s="8"/>
      <c r="E168" s="8"/>
      <c r="G168" s="89" t="n">
        <v>6000</v>
      </c>
    </row>
    <row r="169" customFormat="false" ht="15" hidden="true" customHeight="true" outlineLevel="1" collapsed="false">
      <c r="A169" s="86"/>
      <c r="B169" s="87" t="s">
        <v>143</v>
      </c>
      <c r="C169" s="88" t="s">
        <v>140</v>
      </c>
      <c r="D169" s="8"/>
      <c r="E169" s="8"/>
      <c r="G169" s="89" t="n">
        <v>15000</v>
      </c>
    </row>
    <row r="170" customFormat="false" ht="15" hidden="true" customHeight="true" outlineLevel="1" collapsed="false">
      <c r="A170" s="86"/>
      <c r="B170" s="87" t="s">
        <v>144</v>
      </c>
      <c r="C170" s="88" t="s">
        <v>140</v>
      </c>
      <c r="D170" s="8"/>
      <c r="E170" s="8"/>
      <c r="G170" s="89" t="n">
        <v>7500</v>
      </c>
    </row>
    <row r="171" customFormat="false" ht="15" hidden="true" customHeight="true" outlineLevel="1" collapsed="false">
      <c r="A171" s="86"/>
      <c r="B171" s="87" t="s">
        <v>145</v>
      </c>
      <c r="C171" s="88" t="s">
        <v>140</v>
      </c>
      <c r="D171" s="8"/>
      <c r="E171" s="8"/>
      <c r="G171" s="89" t="n">
        <v>12000</v>
      </c>
    </row>
    <row r="172" customFormat="false" ht="15" hidden="true" customHeight="true" outlineLevel="1" collapsed="false">
      <c r="A172" s="86"/>
      <c r="B172" s="87" t="s">
        <v>146</v>
      </c>
      <c r="C172" s="88" t="s">
        <v>140</v>
      </c>
      <c r="D172" s="89"/>
      <c r="E172" s="8"/>
      <c r="G172" s="8" t="n">
        <v>7000</v>
      </c>
    </row>
    <row r="173" customFormat="false" ht="15" hidden="true" customHeight="true" outlineLevel="1" collapsed="false">
      <c r="A173" s="86"/>
      <c r="B173" s="87" t="s">
        <v>147</v>
      </c>
      <c r="C173" s="88" t="s">
        <v>140</v>
      </c>
      <c r="D173" s="89"/>
      <c r="E173" s="8"/>
      <c r="G173" s="8" t="n">
        <v>16000</v>
      </c>
    </row>
    <row r="174" customFormat="false" ht="15" hidden="true" customHeight="true" outlineLevel="1" collapsed="false">
      <c r="A174" s="86"/>
      <c r="B174" s="87" t="s">
        <v>148</v>
      </c>
      <c r="C174" s="88" t="s">
        <v>140</v>
      </c>
      <c r="D174" s="89"/>
      <c r="E174" s="8"/>
      <c r="G174" s="8" t="n">
        <v>8000</v>
      </c>
    </row>
    <row r="175" customFormat="false" ht="15" hidden="true" customHeight="true" outlineLevel="1" collapsed="false">
      <c r="A175" s="86"/>
      <c r="B175" s="87" t="s">
        <v>149</v>
      </c>
      <c r="C175" s="88" t="s">
        <v>150</v>
      </c>
      <c r="D175" s="89"/>
      <c r="E175" s="8"/>
      <c r="G175" s="8" t="n">
        <v>250</v>
      </c>
    </row>
    <row r="176" customFormat="false" ht="15" hidden="true" customHeight="true" outlineLevel="1" collapsed="false">
      <c r="A176" s="86"/>
      <c r="B176" s="87"/>
      <c r="C176" s="88"/>
      <c r="D176" s="89"/>
      <c r="E176" s="8"/>
    </row>
    <row r="177" customFormat="false" ht="15" hidden="true" customHeight="true" outlineLevel="1" collapsed="false">
      <c r="A177" s="86"/>
      <c r="B177" s="90"/>
      <c r="C177" s="88"/>
      <c r="D177" s="89"/>
      <c r="E177" s="8"/>
    </row>
    <row r="178" customFormat="false" ht="15" hidden="false" customHeight="true" outlineLevel="0" collapsed="false">
      <c r="A178" s="91" t="s">
        <v>136</v>
      </c>
      <c r="B178" s="91"/>
      <c r="C178" s="88"/>
      <c r="D178" s="89"/>
      <c r="E178" s="8"/>
    </row>
    <row r="179" customFormat="false" ht="15" hidden="true" customHeight="true" outlineLevel="1" collapsed="false">
      <c r="A179" s="74" t="s">
        <v>151</v>
      </c>
      <c r="B179" s="74"/>
      <c r="C179" s="63" t="s">
        <v>120</v>
      </c>
      <c r="D179" s="76"/>
      <c r="E179" s="38"/>
      <c r="F179" s="38"/>
      <c r="G179" s="38" t="s">
        <v>137</v>
      </c>
    </row>
    <row r="180" customFormat="false" ht="15" hidden="true" customHeight="true" outlineLevel="1" collapsed="false">
      <c r="A180" s="83"/>
      <c r="B180" s="92" t="s">
        <v>152</v>
      </c>
      <c r="C180" s="21"/>
      <c r="D180" s="85"/>
      <c r="E180" s="22"/>
      <c r="F180" s="22"/>
      <c r="G180" s="22" t="n">
        <v>0</v>
      </c>
    </row>
    <row r="181" customFormat="false" ht="15" hidden="true" customHeight="true" outlineLevel="1" collapsed="false">
      <c r="A181" s="86"/>
      <c r="B181" s="87" t="s">
        <v>153</v>
      </c>
      <c r="C181" s="88" t="s">
        <v>154</v>
      </c>
      <c r="D181" s="8"/>
      <c r="E181" s="8"/>
      <c r="G181" s="89" t="n">
        <v>2200</v>
      </c>
    </row>
    <row r="182" customFormat="false" ht="15" hidden="true" customHeight="true" outlineLevel="1" collapsed="false">
      <c r="A182" s="86"/>
      <c r="B182" s="87" t="s">
        <v>155</v>
      </c>
      <c r="C182" s="88" t="s">
        <v>156</v>
      </c>
      <c r="D182" s="8"/>
      <c r="E182" s="8"/>
      <c r="G182" s="89" t="n">
        <v>300</v>
      </c>
    </row>
    <row r="183" customFormat="false" ht="15" hidden="true" customHeight="true" outlineLevel="1" collapsed="false">
      <c r="A183" s="86"/>
      <c r="B183" s="87" t="s">
        <v>157</v>
      </c>
      <c r="C183" s="88" t="s">
        <v>156</v>
      </c>
      <c r="D183" s="8"/>
      <c r="E183" s="8"/>
      <c r="G183" s="89" t="n">
        <v>1700</v>
      </c>
    </row>
    <row r="184" customFormat="false" ht="15" hidden="true" customHeight="true" outlineLevel="1" collapsed="false">
      <c r="A184" s="86"/>
      <c r="B184" s="87" t="s">
        <v>158</v>
      </c>
      <c r="C184" s="88" t="s">
        <v>159</v>
      </c>
      <c r="D184" s="8"/>
      <c r="E184" s="8"/>
      <c r="G184" s="89" t="n">
        <v>2500</v>
      </c>
    </row>
    <row r="185" customFormat="false" ht="15" hidden="true" customHeight="true" outlineLevel="1" collapsed="false">
      <c r="A185" s="86"/>
      <c r="B185" s="87" t="s">
        <v>160</v>
      </c>
      <c r="C185" s="88" t="s">
        <v>159</v>
      </c>
      <c r="D185" s="8"/>
      <c r="E185" s="8"/>
      <c r="G185" s="89" t="n">
        <v>2000</v>
      </c>
    </row>
    <row r="186" customFormat="false" ht="15" hidden="true" customHeight="true" outlineLevel="1" collapsed="false">
      <c r="A186" s="86"/>
      <c r="B186" s="87" t="s">
        <v>161</v>
      </c>
      <c r="C186" s="88" t="s">
        <v>159</v>
      </c>
      <c r="D186" s="8"/>
      <c r="E186" s="8"/>
      <c r="G186" s="89" t="n">
        <v>2500</v>
      </c>
    </row>
    <row r="187" customFormat="false" ht="15" hidden="true" customHeight="true" outlineLevel="1" collapsed="false">
      <c r="A187" s="86"/>
      <c r="B187" s="87" t="s">
        <v>162</v>
      </c>
      <c r="C187" s="88" t="s">
        <v>159</v>
      </c>
      <c r="D187" s="8"/>
      <c r="E187" s="8"/>
      <c r="G187" s="89" t="n">
        <v>500</v>
      </c>
    </row>
    <row r="188" customFormat="false" ht="15" hidden="true" customHeight="true" outlineLevel="1" collapsed="false">
      <c r="A188" s="86"/>
      <c r="B188" s="87" t="s">
        <v>163</v>
      </c>
      <c r="C188" s="88" t="s">
        <v>154</v>
      </c>
      <c r="D188" s="8"/>
      <c r="E188" s="8"/>
      <c r="G188" s="89" t="n">
        <v>3500</v>
      </c>
    </row>
    <row r="189" customFormat="false" ht="15" hidden="true" customHeight="true" outlineLevel="1" collapsed="false">
      <c r="A189" s="86"/>
      <c r="B189" s="87" t="s">
        <v>164</v>
      </c>
      <c r="C189" s="88" t="s">
        <v>154</v>
      </c>
      <c r="D189" s="8"/>
      <c r="E189" s="8"/>
      <c r="G189" s="89" t="n">
        <v>1700</v>
      </c>
    </row>
    <row r="190" customFormat="false" ht="15" hidden="true" customHeight="true" outlineLevel="1" collapsed="false">
      <c r="A190" s="86"/>
      <c r="B190" s="87" t="s">
        <v>165</v>
      </c>
      <c r="C190" s="88" t="s">
        <v>159</v>
      </c>
      <c r="D190" s="8"/>
      <c r="E190" s="8"/>
      <c r="G190" s="89" t="n">
        <v>2500</v>
      </c>
    </row>
    <row r="191" customFormat="false" ht="15" hidden="true" customHeight="true" outlineLevel="1" collapsed="false">
      <c r="A191" s="86"/>
      <c r="B191" s="87" t="s">
        <v>166</v>
      </c>
      <c r="C191" s="88" t="s">
        <v>154</v>
      </c>
      <c r="D191" s="8"/>
      <c r="E191" s="8"/>
      <c r="G191" s="89" t="n">
        <v>1200</v>
      </c>
    </row>
    <row r="192" customFormat="false" ht="15" hidden="true" customHeight="true" outlineLevel="1" collapsed="false">
      <c r="A192" s="86"/>
      <c r="B192" s="87" t="s">
        <v>167</v>
      </c>
      <c r="C192" s="88" t="s">
        <v>154</v>
      </c>
      <c r="D192" s="8"/>
      <c r="E192" s="8"/>
      <c r="G192" s="89" t="n">
        <v>500</v>
      </c>
    </row>
    <row r="193" customFormat="false" ht="15" hidden="true" customHeight="true" outlineLevel="1" collapsed="false">
      <c r="A193" s="86"/>
      <c r="B193" s="87" t="s">
        <v>168</v>
      </c>
      <c r="C193" s="88" t="s">
        <v>159</v>
      </c>
      <c r="D193" s="8"/>
      <c r="E193" s="8"/>
      <c r="G193" s="89" t="n">
        <v>15000</v>
      </c>
    </row>
    <row r="194" customFormat="false" ht="15" hidden="true" customHeight="true" outlineLevel="1" collapsed="false">
      <c r="A194" s="86"/>
      <c r="B194" s="87" t="s">
        <v>169</v>
      </c>
      <c r="C194" s="88" t="s">
        <v>159</v>
      </c>
      <c r="D194" s="8"/>
      <c r="E194" s="8"/>
      <c r="G194" s="89" t="n">
        <v>5000</v>
      </c>
    </row>
    <row r="195" customFormat="false" ht="15" hidden="true" customHeight="true" outlineLevel="1" collapsed="false">
      <c r="A195" s="86"/>
      <c r="B195" s="87"/>
      <c r="C195" s="88"/>
      <c r="D195" s="8"/>
      <c r="E195" s="8"/>
      <c r="G195" s="89"/>
    </row>
    <row r="196" customFormat="false" ht="15" hidden="true" customHeight="true" outlineLevel="1" collapsed="false">
      <c r="A196" s="86"/>
      <c r="B196" s="90"/>
      <c r="C196" s="88"/>
      <c r="D196" s="8"/>
      <c r="E196" s="8"/>
      <c r="G196" s="89"/>
    </row>
    <row r="197" customFormat="false" ht="15" hidden="false" customHeight="true" outlineLevel="0" collapsed="false">
      <c r="A197" s="91" t="s">
        <v>151</v>
      </c>
      <c r="B197" s="91"/>
      <c r="C197" s="88"/>
      <c r="D197" s="8"/>
      <c r="E197" s="8"/>
      <c r="G197" s="89"/>
    </row>
    <row r="198" customFormat="false" ht="15" hidden="true" customHeight="true" outlineLevel="1" collapsed="false">
      <c r="A198" s="74" t="s">
        <v>170</v>
      </c>
      <c r="B198" s="74"/>
      <c r="C198" s="63" t="s">
        <v>120</v>
      </c>
      <c r="D198" s="38"/>
      <c r="E198" s="38" t="s">
        <v>171</v>
      </c>
      <c r="F198" s="38" t="s">
        <v>172</v>
      </c>
      <c r="G198" s="38" t="s">
        <v>137</v>
      </c>
    </row>
    <row r="199" customFormat="false" ht="15" hidden="true" customHeight="true" outlineLevel="1" collapsed="false">
      <c r="A199" s="30"/>
      <c r="B199" s="93" t="s">
        <v>173</v>
      </c>
      <c r="C199" s="94" t="s">
        <v>156</v>
      </c>
      <c r="D199" s="54"/>
      <c r="E199" s="54" t="n">
        <v>0</v>
      </c>
      <c r="F199" s="54" t="n">
        <v>0</v>
      </c>
      <c r="G199" s="54" t="n">
        <v>0</v>
      </c>
    </row>
    <row r="200" customFormat="false" ht="15" hidden="true" customHeight="true" outlineLevel="1" collapsed="false">
      <c r="A200" s="31"/>
      <c r="B200" s="5" t="s">
        <v>174</v>
      </c>
      <c r="C200" s="94" t="s">
        <v>156</v>
      </c>
      <c r="D200" s="95" t="s">
        <v>175</v>
      </c>
      <c r="E200" s="54" t="n">
        <v>43500</v>
      </c>
      <c r="F200" s="54" t="n">
        <v>0.222</v>
      </c>
      <c r="G200" s="54" t="n">
        <f aca="false">E200/(1000/F200)</f>
        <v>9.657</v>
      </c>
    </row>
    <row r="201" customFormat="false" ht="15" hidden="true" customHeight="true" outlineLevel="1" collapsed="false">
      <c r="A201" s="31"/>
      <c r="B201" s="5" t="s">
        <v>176</v>
      </c>
      <c r="C201" s="94" t="s">
        <v>156</v>
      </c>
      <c r="D201" s="95"/>
      <c r="E201" s="54" t="n">
        <v>44400</v>
      </c>
      <c r="F201" s="54" t="n">
        <v>0.395</v>
      </c>
      <c r="G201" s="54" t="n">
        <f aca="false">E201/(1000/F201)</f>
        <v>17.538</v>
      </c>
    </row>
    <row r="202" customFormat="false" ht="15" hidden="true" customHeight="true" outlineLevel="1" collapsed="false">
      <c r="A202" s="31"/>
      <c r="B202" s="5" t="s">
        <v>177</v>
      </c>
      <c r="C202" s="94" t="s">
        <v>156</v>
      </c>
      <c r="D202" s="95"/>
      <c r="E202" s="54" t="n">
        <v>42500</v>
      </c>
      <c r="F202" s="54" t="n">
        <v>0.617</v>
      </c>
      <c r="G202" s="54" t="n">
        <f aca="false">E202/(1000/F202)</f>
        <v>26.2225</v>
      </c>
    </row>
    <row r="203" customFormat="false" ht="15" hidden="true" customHeight="true" outlineLevel="1" collapsed="false">
      <c r="A203" s="31"/>
      <c r="B203" s="93" t="s">
        <v>178</v>
      </c>
      <c r="C203" s="94" t="s">
        <v>156</v>
      </c>
      <c r="D203" s="95"/>
      <c r="E203" s="54" t="n">
        <v>40600</v>
      </c>
      <c r="F203" s="54" t="n">
        <v>0.222</v>
      </c>
      <c r="G203" s="54" t="n">
        <f aca="false">E203/(1000/F203)</f>
        <v>9.0132</v>
      </c>
    </row>
    <row r="204" customFormat="false" ht="15" hidden="true" customHeight="true" outlineLevel="1" collapsed="false">
      <c r="A204" s="31"/>
      <c r="B204" s="93" t="s">
        <v>179</v>
      </c>
      <c r="C204" s="94" t="s">
        <v>156</v>
      </c>
      <c r="D204" s="95"/>
      <c r="E204" s="54" t="n">
        <v>40600</v>
      </c>
      <c r="F204" s="54" t="n">
        <v>0.395</v>
      </c>
      <c r="G204" s="54" t="n">
        <f aca="false">E204/(1000/F204)</f>
        <v>16.037</v>
      </c>
    </row>
    <row r="205" customFormat="false" ht="15" hidden="true" customHeight="true" outlineLevel="1" collapsed="false">
      <c r="A205" s="31"/>
      <c r="B205" s="93" t="s">
        <v>180</v>
      </c>
      <c r="C205" s="94" t="s">
        <v>156</v>
      </c>
      <c r="D205" s="95"/>
      <c r="E205" s="54" t="n">
        <v>34100</v>
      </c>
      <c r="F205" s="54" t="n">
        <v>0.617</v>
      </c>
      <c r="G205" s="54" t="n">
        <f aca="false">E205/(1000/F205)</f>
        <v>21.0397</v>
      </c>
    </row>
    <row r="206" customFormat="false" ht="15" hidden="true" customHeight="true" outlineLevel="1" collapsed="false">
      <c r="A206" s="31"/>
      <c r="B206" s="93" t="s">
        <v>181</v>
      </c>
      <c r="C206" s="94" t="s">
        <v>156</v>
      </c>
      <c r="D206" s="95"/>
      <c r="E206" s="54" t="n">
        <v>32900</v>
      </c>
      <c r="F206" s="54" t="n">
        <v>0.888</v>
      </c>
      <c r="G206" s="54" t="n">
        <f aca="false">E206/(1000/F206)</f>
        <v>29.2152</v>
      </c>
    </row>
    <row r="207" customFormat="false" ht="15" hidden="true" customHeight="true" outlineLevel="1" collapsed="false">
      <c r="A207" s="31"/>
      <c r="B207" s="93" t="s">
        <v>182</v>
      </c>
      <c r="C207" s="94" t="s">
        <v>156</v>
      </c>
      <c r="D207" s="95"/>
      <c r="E207" s="54" t="n">
        <v>32400</v>
      </c>
      <c r="F207" s="54" t="n">
        <v>1.21</v>
      </c>
      <c r="G207" s="54" t="n">
        <f aca="false">E207/(1000/F207)</f>
        <v>39.204</v>
      </c>
    </row>
    <row r="208" customFormat="false" ht="15" hidden="true" customHeight="true" outlineLevel="1" collapsed="false">
      <c r="A208" s="31"/>
      <c r="B208" s="93" t="s">
        <v>183</v>
      </c>
      <c r="C208" s="94" t="s">
        <v>156</v>
      </c>
      <c r="D208" s="95"/>
      <c r="E208" s="54" t="n">
        <v>32400</v>
      </c>
      <c r="F208" s="54" t="n">
        <v>1.58</v>
      </c>
      <c r="G208" s="54" t="n">
        <f aca="false">E208/(1000/F208)</f>
        <v>51.192</v>
      </c>
    </row>
    <row r="209" customFormat="false" ht="15" hidden="true" customHeight="true" outlineLevel="1" collapsed="false">
      <c r="A209" s="31"/>
      <c r="B209" s="93" t="s">
        <v>184</v>
      </c>
      <c r="C209" s="94" t="s">
        <v>156</v>
      </c>
      <c r="D209" s="95"/>
      <c r="E209" s="54" t="n">
        <v>32400</v>
      </c>
      <c r="F209" s="54" t="n">
        <v>2</v>
      </c>
      <c r="G209" s="54" t="n">
        <f aca="false">E209/(1000/F209)</f>
        <v>64.8</v>
      </c>
    </row>
    <row r="210" customFormat="false" ht="15" hidden="true" customHeight="true" outlineLevel="1" collapsed="false">
      <c r="A210" s="31"/>
      <c r="B210" s="93" t="s">
        <v>185</v>
      </c>
      <c r="C210" s="94" t="s">
        <v>156</v>
      </c>
      <c r="D210" s="95"/>
      <c r="E210" s="54" t="n">
        <v>32400</v>
      </c>
      <c r="F210" s="54" t="n">
        <v>2.47</v>
      </c>
      <c r="G210" s="54" t="n">
        <f aca="false">E210/(1000/F210)</f>
        <v>80.028</v>
      </c>
    </row>
    <row r="211" customFormat="false" ht="15" hidden="true" customHeight="true" outlineLevel="1" collapsed="false">
      <c r="A211" s="31"/>
      <c r="B211" s="93" t="s">
        <v>186</v>
      </c>
      <c r="C211" s="94" t="s">
        <v>133</v>
      </c>
      <c r="D211" s="54"/>
      <c r="E211" s="54"/>
      <c r="F211" s="54"/>
      <c r="G211" s="54" t="n">
        <v>70</v>
      </c>
    </row>
    <row r="212" customFormat="false" ht="15" hidden="true" customHeight="true" outlineLevel="1" collapsed="false">
      <c r="A212" s="31"/>
      <c r="B212" s="93" t="s">
        <v>187</v>
      </c>
      <c r="C212" s="94" t="s">
        <v>188</v>
      </c>
      <c r="D212" s="54"/>
      <c r="E212" s="54"/>
      <c r="F212" s="54"/>
      <c r="G212" s="54" t="n">
        <v>80</v>
      </c>
    </row>
    <row r="213" customFormat="false" ht="15" hidden="true" customHeight="true" outlineLevel="1" collapsed="false">
      <c r="A213" s="31"/>
      <c r="B213" s="93" t="s">
        <v>189</v>
      </c>
      <c r="C213" s="94" t="s">
        <v>159</v>
      </c>
      <c r="D213" s="54"/>
      <c r="E213" s="54"/>
      <c r="F213" s="54"/>
      <c r="G213" s="54" t="n">
        <v>2</v>
      </c>
    </row>
    <row r="214" customFormat="false" ht="15" hidden="true" customHeight="true" outlineLevel="1" collapsed="false">
      <c r="A214" s="31"/>
      <c r="B214" s="93" t="s">
        <v>190</v>
      </c>
      <c r="C214" s="94" t="s">
        <v>159</v>
      </c>
      <c r="D214" s="54"/>
      <c r="E214" s="54"/>
      <c r="F214" s="54"/>
      <c r="G214" s="54" t="n">
        <v>5</v>
      </c>
    </row>
    <row r="215" customFormat="false" ht="15" hidden="true" customHeight="true" outlineLevel="1" collapsed="false">
      <c r="A215" s="31"/>
      <c r="B215" s="93" t="s">
        <v>191</v>
      </c>
      <c r="C215" s="94" t="s">
        <v>133</v>
      </c>
      <c r="D215" s="54"/>
      <c r="E215" s="54"/>
      <c r="F215" s="54"/>
      <c r="G215" s="54" t="n">
        <v>15</v>
      </c>
    </row>
    <row r="216" customFormat="false" ht="15" hidden="true" customHeight="true" outlineLevel="1" collapsed="false">
      <c r="A216" s="31"/>
      <c r="B216" s="93" t="s">
        <v>192</v>
      </c>
      <c r="C216" s="94" t="s">
        <v>156</v>
      </c>
      <c r="D216" s="54"/>
      <c r="E216" s="54"/>
      <c r="F216" s="54"/>
      <c r="G216" s="54" t="n">
        <v>500</v>
      </c>
    </row>
    <row r="217" customFormat="false" ht="15" hidden="true" customHeight="true" outlineLevel="1" collapsed="false">
      <c r="A217" s="31"/>
      <c r="B217" s="93" t="s">
        <v>193</v>
      </c>
      <c r="C217" s="94" t="s">
        <v>156</v>
      </c>
      <c r="D217" s="54"/>
      <c r="E217" s="54"/>
      <c r="F217" s="54"/>
      <c r="G217" s="54" t="n">
        <v>50</v>
      </c>
    </row>
    <row r="218" customFormat="false" ht="15" hidden="true" customHeight="true" outlineLevel="1" collapsed="false">
      <c r="A218" s="31"/>
      <c r="B218" s="93" t="s">
        <v>194</v>
      </c>
      <c r="C218" s="94" t="s">
        <v>188</v>
      </c>
      <c r="D218" s="54"/>
      <c r="E218" s="54"/>
      <c r="F218" s="54"/>
      <c r="G218" s="54" t="n">
        <v>100</v>
      </c>
    </row>
    <row r="219" customFormat="false" ht="15" hidden="true" customHeight="true" outlineLevel="1" collapsed="false">
      <c r="A219" s="31"/>
      <c r="B219" s="93" t="s">
        <v>195</v>
      </c>
      <c r="C219" s="94" t="s">
        <v>188</v>
      </c>
      <c r="D219" s="54"/>
      <c r="E219" s="54"/>
      <c r="F219" s="54"/>
      <c r="G219" s="54" t="n">
        <v>100</v>
      </c>
    </row>
    <row r="220" customFormat="false" ht="15" hidden="true" customHeight="true" outlineLevel="1" collapsed="false">
      <c r="A220" s="31"/>
      <c r="B220" s="93" t="s">
        <v>196</v>
      </c>
      <c r="C220" s="94" t="s">
        <v>159</v>
      </c>
      <c r="D220" s="54"/>
      <c r="E220" s="54"/>
      <c r="F220" s="54"/>
      <c r="G220" s="54" t="n">
        <v>20</v>
      </c>
    </row>
    <row r="221" customFormat="false" ht="15" hidden="true" customHeight="true" outlineLevel="1" collapsed="false">
      <c r="A221" s="31"/>
      <c r="B221" s="93" t="s">
        <v>197</v>
      </c>
      <c r="C221" s="94" t="s">
        <v>159</v>
      </c>
      <c r="D221" s="54"/>
      <c r="E221" s="54"/>
      <c r="F221" s="54"/>
      <c r="G221" s="54" t="n">
        <v>10</v>
      </c>
    </row>
    <row r="222" customFormat="false" ht="15" hidden="true" customHeight="true" outlineLevel="1" collapsed="false">
      <c r="A222" s="31"/>
      <c r="B222" s="96"/>
      <c r="C222" s="94"/>
      <c r="D222" s="54"/>
      <c r="E222" s="54"/>
      <c r="F222" s="54"/>
      <c r="G222" s="54"/>
    </row>
    <row r="223" customFormat="false" ht="15" hidden="false" customHeight="true" outlineLevel="0" collapsed="false">
      <c r="A223" s="47" t="s">
        <v>170</v>
      </c>
      <c r="B223" s="47"/>
      <c r="C223" s="94"/>
      <c r="D223" s="54"/>
      <c r="E223" s="54"/>
      <c r="F223" s="54"/>
      <c r="G223" s="54"/>
    </row>
    <row r="224" customFormat="false" ht="15" hidden="true" customHeight="true" outlineLevel="1" collapsed="false">
      <c r="A224" s="97" t="s">
        <v>198</v>
      </c>
      <c r="B224" s="98"/>
      <c r="C224" s="63" t="s">
        <v>120</v>
      </c>
      <c r="D224" s="76"/>
      <c r="E224" s="38"/>
      <c r="F224" s="38"/>
      <c r="G224" s="38" t="s">
        <v>137</v>
      </c>
    </row>
    <row r="225" customFormat="false" ht="15" hidden="true" customHeight="true" outlineLevel="1" collapsed="false">
      <c r="A225" s="30"/>
      <c r="B225" s="87" t="s">
        <v>199</v>
      </c>
      <c r="C225" s="88" t="s">
        <v>135</v>
      </c>
      <c r="D225" s="89"/>
      <c r="E225" s="8"/>
      <c r="G225" s="8" t="n">
        <v>2500</v>
      </c>
    </row>
    <row r="226" customFormat="false" ht="15" hidden="true" customHeight="true" outlineLevel="1" collapsed="false">
      <c r="A226" s="31"/>
      <c r="B226" s="87" t="s">
        <v>200</v>
      </c>
      <c r="C226" s="88" t="s">
        <v>135</v>
      </c>
      <c r="D226" s="89"/>
      <c r="E226" s="8"/>
      <c r="G226" s="8" t="n">
        <v>2750</v>
      </c>
    </row>
    <row r="227" customFormat="false" ht="15" hidden="true" customHeight="true" outlineLevel="1" collapsed="false">
      <c r="A227" s="31"/>
      <c r="B227" s="87" t="s">
        <v>201</v>
      </c>
      <c r="C227" s="88" t="s">
        <v>135</v>
      </c>
      <c r="D227" s="89"/>
      <c r="E227" s="8"/>
      <c r="G227" s="8" t="n">
        <v>3000</v>
      </c>
    </row>
    <row r="228" customFormat="false" ht="15" hidden="true" customHeight="true" outlineLevel="1" collapsed="false">
      <c r="A228" s="31"/>
      <c r="B228" s="87" t="s">
        <v>202</v>
      </c>
      <c r="C228" s="88" t="s">
        <v>135</v>
      </c>
      <c r="D228" s="89"/>
      <c r="E228" s="8"/>
      <c r="G228" s="8" t="n">
        <v>3500</v>
      </c>
    </row>
    <row r="229" customFormat="false" ht="15" hidden="true" customHeight="true" outlineLevel="1" collapsed="false">
      <c r="A229" s="31"/>
      <c r="B229" s="87" t="s">
        <v>203</v>
      </c>
      <c r="C229" s="88" t="s">
        <v>135</v>
      </c>
      <c r="D229" s="8"/>
      <c r="E229" s="8"/>
      <c r="G229" s="8" t="n">
        <v>2100</v>
      </c>
    </row>
    <row r="230" customFormat="false" ht="15" hidden="true" customHeight="true" outlineLevel="1" collapsed="false">
      <c r="A230" s="31"/>
      <c r="B230" s="87" t="s">
        <v>204</v>
      </c>
      <c r="C230" s="88" t="s">
        <v>135</v>
      </c>
      <c r="D230" s="8"/>
      <c r="E230" s="8"/>
      <c r="G230" s="8" t="n">
        <v>2500</v>
      </c>
    </row>
    <row r="231" customFormat="false" ht="15" hidden="true" customHeight="true" outlineLevel="1" collapsed="false">
      <c r="A231" s="31"/>
      <c r="B231" s="87" t="s">
        <v>205</v>
      </c>
      <c r="C231" s="88" t="s">
        <v>135</v>
      </c>
      <c r="D231" s="8"/>
      <c r="E231" s="8"/>
      <c r="G231" s="8" t="n">
        <v>3000</v>
      </c>
    </row>
    <row r="232" customFormat="false" ht="15" hidden="true" customHeight="true" outlineLevel="1" collapsed="false">
      <c r="A232" s="31"/>
      <c r="B232" s="87" t="s">
        <v>206</v>
      </c>
      <c r="C232" s="88" t="s">
        <v>135</v>
      </c>
      <c r="D232" s="8"/>
      <c r="E232" s="8"/>
      <c r="G232" s="8" t="n">
        <v>3500</v>
      </c>
    </row>
    <row r="233" customFormat="false" ht="15" hidden="true" customHeight="true" outlineLevel="1" collapsed="false">
      <c r="A233" s="31"/>
      <c r="B233" s="90"/>
      <c r="C233" s="88"/>
      <c r="D233" s="8"/>
      <c r="E233" s="8"/>
    </row>
    <row r="234" customFormat="false" ht="15" hidden="false" customHeight="true" outlineLevel="0" collapsed="false">
      <c r="A234" s="47" t="s">
        <v>198</v>
      </c>
      <c r="B234" s="47"/>
      <c r="C234" s="88"/>
      <c r="D234" s="8"/>
      <c r="E234" s="8"/>
    </row>
    <row r="235" customFormat="false" ht="15" hidden="true" customHeight="true" outlineLevel="1" collapsed="false">
      <c r="A235" s="99" t="s">
        <v>207</v>
      </c>
      <c r="B235" s="100"/>
      <c r="C235" s="63" t="s">
        <v>208</v>
      </c>
      <c r="D235" s="64" t="s">
        <v>56</v>
      </c>
      <c r="E235" s="64" t="s">
        <v>55</v>
      </c>
      <c r="F235" s="64" t="s">
        <v>209</v>
      </c>
      <c r="G235" s="64" t="s">
        <v>57</v>
      </c>
    </row>
    <row r="236" customFormat="false" ht="15" hidden="true" customHeight="true" outlineLevel="1" collapsed="false">
      <c r="A236" s="101"/>
      <c r="B236" s="102" t="s">
        <v>210</v>
      </c>
      <c r="C236" s="103" t="s">
        <v>135</v>
      </c>
      <c r="D236" s="8" t="n">
        <v>200</v>
      </c>
      <c r="E236" s="104" t="n">
        <v>400</v>
      </c>
      <c r="F236" s="104" t="n">
        <v>600</v>
      </c>
      <c r="G236" s="104" t="n">
        <v>3950</v>
      </c>
    </row>
    <row r="237" customFormat="false" ht="15" hidden="true" customHeight="true" outlineLevel="1" collapsed="false">
      <c r="A237" s="105"/>
      <c r="B237" s="102" t="s">
        <v>211</v>
      </c>
      <c r="C237" s="103" t="s">
        <v>135</v>
      </c>
      <c r="D237" s="8" t="n">
        <v>200</v>
      </c>
      <c r="E237" s="104" t="n">
        <v>300</v>
      </c>
      <c r="F237" s="104" t="n">
        <v>600</v>
      </c>
      <c r="G237" s="104" t="n">
        <v>3650</v>
      </c>
    </row>
    <row r="238" customFormat="false" ht="15" hidden="true" customHeight="true" outlineLevel="1" collapsed="false">
      <c r="A238" s="105"/>
      <c r="B238" s="102" t="s">
        <v>212</v>
      </c>
      <c r="C238" s="103" t="s">
        <v>135</v>
      </c>
      <c r="D238" s="8" t="n">
        <v>200</v>
      </c>
      <c r="E238" s="104" t="n">
        <v>200</v>
      </c>
      <c r="F238" s="104" t="n">
        <v>600</v>
      </c>
      <c r="G238" s="104" t="n">
        <v>3950</v>
      </c>
    </row>
    <row r="239" customFormat="false" ht="15" hidden="true" customHeight="true" outlineLevel="1" collapsed="false">
      <c r="A239" s="105"/>
      <c r="B239" s="102" t="s">
        <v>213</v>
      </c>
      <c r="C239" s="103" t="s">
        <v>135</v>
      </c>
      <c r="D239" s="8" t="n">
        <v>200</v>
      </c>
      <c r="E239" s="104" t="n">
        <v>150</v>
      </c>
      <c r="F239" s="104" t="n">
        <v>600</v>
      </c>
      <c r="G239" s="104" t="n">
        <v>3950</v>
      </c>
    </row>
    <row r="240" customFormat="false" ht="15" hidden="true" customHeight="true" outlineLevel="1" collapsed="false">
      <c r="A240" s="105"/>
      <c r="B240" s="102" t="s">
        <v>214</v>
      </c>
      <c r="C240" s="103" t="s">
        <v>135</v>
      </c>
      <c r="D240" s="8" t="n">
        <v>200</v>
      </c>
      <c r="E240" s="104" t="n">
        <v>100</v>
      </c>
      <c r="F240" s="104" t="n">
        <v>600</v>
      </c>
      <c r="G240" s="104" t="n">
        <v>3950</v>
      </c>
    </row>
    <row r="241" customFormat="false" ht="15" hidden="true" customHeight="true" outlineLevel="1" collapsed="false">
      <c r="A241" s="105"/>
      <c r="B241" s="102" t="s">
        <v>215</v>
      </c>
      <c r="C241" s="103" t="s">
        <v>135</v>
      </c>
      <c r="D241" s="8" t="n">
        <v>200</v>
      </c>
      <c r="E241" s="104" t="n">
        <v>400</v>
      </c>
      <c r="F241" s="104" t="n">
        <v>600</v>
      </c>
      <c r="G241" s="104" t="n">
        <v>3950</v>
      </c>
    </row>
    <row r="242" customFormat="false" ht="15" hidden="true" customHeight="true" outlineLevel="1" collapsed="false">
      <c r="A242" s="105"/>
      <c r="B242" s="102" t="s">
        <v>216</v>
      </c>
      <c r="C242" s="103" t="s">
        <v>135</v>
      </c>
      <c r="D242" s="8" t="n">
        <v>150</v>
      </c>
      <c r="E242" s="104" t="n">
        <v>300</v>
      </c>
      <c r="F242" s="104" t="n">
        <v>600</v>
      </c>
      <c r="G242" s="104" t="n">
        <v>3750</v>
      </c>
    </row>
    <row r="243" customFormat="false" ht="15" hidden="true" customHeight="true" outlineLevel="1" collapsed="false">
      <c r="A243" s="105"/>
      <c r="B243" s="102" t="s">
        <v>217</v>
      </c>
      <c r="C243" s="103" t="s">
        <v>135</v>
      </c>
      <c r="D243" s="8" t="n">
        <v>150</v>
      </c>
      <c r="E243" s="104" t="n">
        <v>200</v>
      </c>
      <c r="F243" s="104" t="n">
        <v>600</v>
      </c>
      <c r="G243" s="104" t="n">
        <v>3750</v>
      </c>
    </row>
    <row r="244" customFormat="false" ht="15" hidden="true" customHeight="true" outlineLevel="1" collapsed="false">
      <c r="A244" s="105"/>
      <c r="B244" s="102" t="s">
        <v>218</v>
      </c>
      <c r="C244" s="103" t="s">
        <v>135</v>
      </c>
      <c r="D244" s="8" t="n">
        <v>150</v>
      </c>
      <c r="E244" s="104" t="n">
        <v>150</v>
      </c>
      <c r="F244" s="104" t="n">
        <v>600</v>
      </c>
      <c r="G244" s="104" t="n">
        <v>3750</v>
      </c>
    </row>
    <row r="245" customFormat="false" ht="15" hidden="true" customHeight="true" outlineLevel="1" collapsed="false">
      <c r="A245" s="105"/>
      <c r="B245" s="102" t="s">
        <v>219</v>
      </c>
      <c r="C245" s="103" t="s">
        <v>135</v>
      </c>
      <c r="D245" s="8" t="n">
        <v>150</v>
      </c>
      <c r="E245" s="104" t="n">
        <v>100</v>
      </c>
      <c r="F245" s="104" t="n">
        <v>600</v>
      </c>
      <c r="G245" s="104" t="n">
        <v>3750</v>
      </c>
    </row>
    <row r="246" customFormat="false" ht="15" hidden="true" customHeight="true" outlineLevel="1" collapsed="false">
      <c r="A246" s="105"/>
      <c r="B246" s="102" t="s">
        <v>220</v>
      </c>
      <c r="C246" s="103" t="s">
        <v>135</v>
      </c>
      <c r="D246" s="8" t="n">
        <v>100</v>
      </c>
      <c r="E246" s="104" t="n">
        <v>400</v>
      </c>
      <c r="F246" s="104" t="n">
        <v>600</v>
      </c>
      <c r="G246" s="104" t="n">
        <v>3750</v>
      </c>
    </row>
    <row r="247" customFormat="false" ht="15" hidden="true" customHeight="true" outlineLevel="1" collapsed="false">
      <c r="A247" s="105"/>
      <c r="B247" s="102" t="s">
        <v>221</v>
      </c>
      <c r="C247" s="103" t="s">
        <v>135</v>
      </c>
      <c r="D247" s="8" t="n">
        <v>100</v>
      </c>
      <c r="E247" s="104" t="n">
        <v>300</v>
      </c>
      <c r="F247" s="104" t="n">
        <v>600</v>
      </c>
      <c r="G247" s="104" t="n">
        <v>3950</v>
      </c>
    </row>
    <row r="248" customFormat="false" ht="15" hidden="true" customHeight="true" outlineLevel="1" collapsed="false">
      <c r="A248" s="105"/>
      <c r="B248" s="102" t="s">
        <v>222</v>
      </c>
      <c r="C248" s="103" t="s">
        <v>135</v>
      </c>
      <c r="D248" s="8" t="n">
        <v>100</v>
      </c>
      <c r="E248" s="104" t="n">
        <v>200</v>
      </c>
      <c r="F248" s="104" t="n">
        <v>600</v>
      </c>
      <c r="G248" s="104" t="n">
        <v>3950</v>
      </c>
    </row>
    <row r="249" customFormat="false" ht="15" hidden="true" customHeight="true" outlineLevel="1" collapsed="false">
      <c r="A249" s="105"/>
      <c r="B249" s="102" t="s">
        <v>223</v>
      </c>
      <c r="C249" s="103" t="s">
        <v>135</v>
      </c>
      <c r="D249" s="8" t="n">
        <v>100</v>
      </c>
      <c r="E249" s="104" t="n">
        <v>150</v>
      </c>
      <c r="F249" s="104" t="n">
        <v>600</v>
      </c>
      <c r="G249" s="104" t="n">
        <v>3950</v>
      </c>
    </row>
    <row r="250" customFormat="false" ht="15" hidden="true" customHeight="true" outlineLevel="1" collapsed="false">
      <c r="A250" s="106"/>
      <c r="B250" s="102" t="s">
        <v>224</v>
      </c>
      <c r="C250" s="103" t="s">
        <v>135</v>
      </c>
      <c r="D250" s="8" t="n">
        <v>100</v>
      </c>
      <c r="E250" s="104" t="n">
        <v>100</v>
      </c>
      <c r="F250" s="104" t="n">
        <v>600</v>
      </c>
      <c r="G250" s="104" t="n">
        <v>3950</v>
      </c>
    </row>
    <row r="251" customFormat="false" ht="15" hidden="true" customHeight="true" outlineLevel="1" collapsed="false">
      <c r="A251" s="106"/>
      <c r="B251" s="107" t="s">
        <v>225</v>
      </c>
      <c r="C251" s="103" t="s">
        <v>135</v>
      </c>
      <c r="D251" s="8" t="n">
        <v>188</v>
      </c>
      <c r="E251" s="104" t="n">
        <v>190</v>
      </c>
      <c r="F251" s="104" t="n">
        <v>390</v>
      </c>
      <c r="G251" s="104" t="n">
        <v>3200</v>
      </c>
    </row>
    <row r="252" customFormat="false" ht="15" hidden="true" customHeight="true" outlineLevel="1" collapsed="false">
      <c r="A252" s="106"/>
      <c r="B252" s="107" t="s">
        <v>226</v>
      </c>
      <c r="C252" s="103" t="s">
        <v>135</v>
      </c>
      <c r="D252" s="8" t="n">
        <v>188</v>
      </c>
      <c r="E252" s="104" t="n">
        <v>290</v>
      </c>
      <c r="F252" s="104" t="n">
        <v>390</v>
      </c>
      <c r="G252" s="104" t="n">
        <v>3200</v>
      </c>
    </row>
    <row r="253" customFormat="false" ht="15" hidden="true" customHeight="true" outlineLevel="1" collapsed="false">
      <c r="A253" s="106"/>
      <c r="B253" s="107" t="s">
        <v>227</v>
      </c>
      <c r="C253" s="103" t="s">
        <v>135</v>
      </c>
      <c r="D253" s="8" t="n">
        <v>188</v>
      </c>
      <c r="E253" s="104" t="n">
        <v>90</v>
      </c>
      <c r="F253" s="104" t="n">
        <v>390</v>
      </c>
      <c r="G253" s="104" t="n">
        <v>3200</v>
      </c>
    </row>
    <row r="254" customFormat="false" ht="15" hidden="true" customHeight="true" outlineLevel="1" collapsed="false">
      <c r="A254" s="106"/>
      <c r="B254" s="102"/>
      <c r="C254" s="103"/>
      <c r="D254" s="8"/>
      <c r="E254" s="104"/>
      <c r="F254" s="104"/>
      <c r="G254" s="104"/>
    </row>
    <row r="255" customFormat="false" ht="15" hidden="true" customHeight="true" outlineLevel="1" collapsed="false">
      <c r="A255" s="106"/>
      <c r="B255" s="108"/>
      <c r="C255" s="103"/>
      <c r="D255" s="8"/>
      <c r="E255" s="104"/>
      <c r="F255" s="104"/>
      <c r="G255" s="104"/>
    </row>
    <row r="256" customFormat="false" ht="15" hidden="false" customHeight="true" outlineLevel="0" collapsed="false">
      <c r="A256" s="47" t="s">
        <v>207</v>
      </c>
      <c r="B256" s="47"/>
      <c r="C256" s="103"/>
      <c r="D256" s="8"/>
      <c r="E256" s="104"/>
      <c r="F256" s="104"/>
      <c r="G256" s="104"/>
    </row>
    <row r="257" customFormat="false" ht="15" hidden="true" customHeight="true" outlineLevel="1" collapsed="false">
      <c r="A257" s="109" t="s">
        <v>228</v>
      </c>
      <c r="B257" s="110"/>
      <c r="C257" s="63" t="s">
        <v>208</v>
      </c>
      <c r="D257" s="64" t="s">
        <v>229</v>
      </c>
      <c r="E257" s="64"/>
      <c r="F257" s="38"/>
      <c r="G257" s="64" t="s">
        <v>57</v>
      </c>
    </row>
    <row r="258" customFormat="false" ht="15" hidden="true" customHeight="true" outlineLevel="1" collapsed="false">
      <c r="A258" s="111"/>
      <c r="B258" s="112" t="s">
        <v>82</v>
      </c>
      <c r="C258" s="21" t="s">
        <v>133</v>
      </c>
      <c r="D258" s="25" t="n">
        <v>0</v>
      </c>
      <c r="E258" s="25" t="n">
        <v>0</v>
      </c>
      <c r="F258" s="22" t="n">
        <v>0</v>
      </c>
      <c r="G258" s="25" t="n">
        <v>0</v>
      </c>
    </row>
    <row r="259" customFormat="false" ht="15" hidden="true" customHeight="true" outlineLevel="1" collapsed="false">
      <c r="A259" s="111"/>
      <c r="B259" s="102" t="s">
        <v>230</v>
      </c>
      <c r="C259" s="103" t="s">
        <v>133</v>
      </c>
      <c r="D259" s="104" t="n">
        <v>3</v>
      </c>
      <c r="E259" s="104"/>
      <c r="G259" s="104" t="n">
        <v>800</v>
      </c>
    </row>
    <row r="260" customFormat="false" ht="15" hidden="true" customHeight="true" outlineLevel="1" collapsed="false">
      <c r="A260" s="111"/>
      <c r="B260" s="102" t="s">
        <v>231</v>
      </c>
      <c r="C260" s="103" t="s">
        <v>133</v>
      </c>
      <c r="D260" s="104" t="n">
        <v>3</v>
      </c>
      <c r="E260" s="104"/>
      <c r="G260" s="104" t="n">
        <v>1200</v>
      </c>
    </row>
    <row r="261" customFormat="false" ht="15" hidden="true" customHeight="true" outlineLevel="1" collapsed="false">
      <c r="A261" s="111"/>
      <c r="B261" s="102" t="s">
        <v>232</v>
      </c>
      <c r="C261" s="103" t="s">
        <v>133</v>
      </c>
      <c r="D261" s="104" t="n">
        <v>3</v>
      </c>
      <c r="E261" s="104"/>
      <c r="G261" s="104" t="n">
        <v>1400</v>
      </c>
    </row>
    <row r="262" customFormat="false" ht="15" hidden="true" customHeight="true" outlineLevel="1" collapsed="false">
      <c r="A262" s="111"/>
      <c r="B262" s="102" t="s">
        <v>233</v>
      </c>
      <c r="C262" s="103" t="s">
        <v>133</v>
      </c>
      <c r="D262" s="104" t="n">
        <v>3.5</v>
      </c>
      <c r="E262" s="104"/>
      <c r="G262" s="104" t="n">
        <v>800</v>
      </c>
    </row>
    <row r="263" customFormat="false" ht="15" hidden="true" customHeight="true" outlineLevel="1" collapsed="false">
      <c r="A263" s="111"/>
      <c r="B263" s="102" t="s">
        <v>234</v>
      </c>
      <c r="C263" s="103" t="s">
        <v>133</v>
      </c>
      <c r="D263" s="104" t="n">
        <v>3.5</v>
      </c>
      <c r="E263" s="104"/>
      <c r="G263" s="104" t="n">
        <v>1200</v>
      </c>
    </row>
    <row r="264" customFormat="false" ht="15" hidden="true" customHeight="true" outlineLevel="1" collapsed="false">
      <c r="A264" s="111"/>
      <c r="B264" s="102" t="s">
        <v>235</v>
      </c>
      <c r="C264" s="103" t="s">
        <v>133</v>
      </c>
      <c r="D264" s="104" t="n">
        <v>3.5</v>
      </c>
      <c r="E264" s="104"/>
      <c r="G264" s="104" t="n">
        <v>1400</v>
      </c>
    </row>
    <row r="265" customFormat="false" ht="15" hidden="true" customHeight="true" outlineLevel="1" collapsed="false">
      <c r="A265" s="111"/>
      <c r="B265" s="102" t="s">
        <v>236</v>
      </c>
      <c r="C265" s="103" t="s">
        <v>133</v>
      </c>
      <c r="D265" s="104" t="n">
        <v>3.75</v>
      </c>
      <c r="E265" s="104"/>
      <c r="G265" s="104" t="n">
        <v>800</v>
      </c>
    </row>
    <row r="266" customFormat="false" ht="15" hidden="true" customHeight="true" outlineLevel="1" collapsed="false">
      <c r="A266" s="111"/>
      <c r="B266" s="102" t="s">
        <v>237</v>
      </c>
      <c r="C266" s="103" t="s">
        <v>133</v>
      </c>
      <c r="D266" s="104" t="n">
        <v>3.75</v>
      </c>
      <c r="E266" s="104"/>
      <c r="G266" s="104" t="n">
        <v>1200</v>
      </c>
    </row>
    <row r="267" customFormat="false" ht="15" hidden="true" customHeight="true" outlineLevel="1" collapsed="false">
      <c r="A267" s="111"/>
      <c r="B267" s="102" t="s">
        <v>238</v>
      </c>
      <c r="C267" s="103" t="s">
        <v>133</v>
      </c>
      <c r="D267" s="104" t="n">
        <v>3.75</v>
      </c>
      <c r="E267" s="104"/>
      <c r="G267" s="104" t="n">
        <v>1400</v>
      </c>
    </row>
    <row r="268" customFormat="false" ht="15" hidden="true" customHeight="true" outlineLevel="1" collapsed="false">
      <c r="A268" s="111"/>
      <c r="B268" s="102" t="s">
        <v>239</v>
      </c>
      <c r="C268" s="103" t="s">
        <v>133</v>
      </c>
      <c r="D268" s="104" t="n">
        <v>1.5</v>
      </c>
      <c r="E268" s="104"/>
      <c r="G268" s="104" t="n">
        <v>800</v>
      </c>
    </row>
    <row r="269" customFormat="false" ht="15" hidden="true" customHeight="true" outlineLevel="1" collapsed="false">
      <c r="A269" s="111"/>
      <c r="B269" s="102" t="s">
        <v>240</v>
      </c>
      <c r="C269" s="103" t="s">
        <v>133</v>
      </c>
      <c r="D269" s="104" t="n">
        <v>1.5</v>
      </c>
      <c r="E269" s="104"/>
      <c r="G269" s="104" t="n">
        <v>1200</v>
      </c>
    </row>
    <row r="270" customFormat="false" ht="15" hidden="true" customHeight="true" outlineLevel="1" collapsed="false">
      <c r="A270" s="111"/>
      <c r="B270" s="102" t="s">
        <v>241</v>
      </c>
      <c r="C270" s="103" t="s">
        <v>133</v>
      </c>
      <c r="D270" s="104" t="n">
        <v>1.5</v>
      </c>
      <c r="E270" s="104"/>
      <c r="G270" s="104" t="n">
        <v>1400</v>
      </c>
    </row>
    <row r="271" customFormat="false" ht="15" hidden="true" customHeight="true" outlineLevel="1" collapsed="false">
      <c r="A271" s="111"/>
      <c r="B271" s="108"/>
      <c r="C271" s="103"/>
      <c r="D271" s="104"/>
      <c r="E271" s="104"/>
      <c r="G271" s="104"/>
    </row>
    <row r="272" customFormat="false" ht="15" hidden="false" customHeight="true" outlineLevel="0" collapsed="false">
      <c r="A272" s="34" t="s">
        <v>228</v>
      </c>
      <c r="B272" s="34"/>
      <c r="C272" s="103"/>
      <c r="D272" s="104"/>
      <c r="E272" s="104"/>
      <c r="G272" s="104"/>
    </row>
    <row r="273" customFormat="false" ht="15" hidden="true" customHeight="true" outlineLevel="1" collapsed="false">
      <c r="A273" s="113" t="s">
        <v>242</v>
      </c>
      <c r="B273" s="110"/>
      <c r="C273" s="63" t="s">
        <v>208</v>
      </c>
      <c r="D273" s="64"/>
      <c r="E273" s="64"/>
      <c r="F273" s="38"/>
      <c r="G273" s="64" t="s">
        <v>57</v>
      </c>
    </row>
    <row r="274" customFormat="false" ht="15" hidden="true" customHeight="true" outlineLevel="1" collapsed="false">
      <c r="A274" s="105"/>
      <c r="B274" s="114" t="s">
        <v>243</v>
      </c>
      <c r="C274" s="103" t="s">
        <v>156</v>
      </c>
      <c r="D274" s="104"/>
      <c r="E274" s="104"/>
      <c r="G274" s="104" t="n">
        <v>303</v>
      </c>
    </row>
    <row r="275" customFormat="false" ht="15" hidden="true" customHeight="true" outlineLevel="1" collapsed="false">
      <c r="A275" s="105"/>
      <c r="B275" s="114" t="s">
        <v>244</v>
      </c>
      <c r="C275" s="103" t="s">
        <v>156</v>
      </c>
      <c r="D275" s="104"/>
      <c r="E275" s="104"/>
      <c r="G275" s="104" t="n">
        <v>355</v>
      </c>
    </row>
    <row r="276" customFormat="false" ht="15" hidden="true" customHeight="true" outlineLevel="1" collapsed="false">
      <c r="A276" s="105"/>
      <c r="B276" s="114" t="s">
        <v>245</v>
      </c>
      <c r="C276" s="103" t="s">
        <v>156</v>
      </c>
      <c r="D276" s="104"/>
      <c r="E276" s="104"/>
      <c r="G276" s="104" t="n">
        <v>287</v>
      </c>
    </row>
    <row r="277" customFormat="false" ht="15" hidden="true" customHeight="true" outlineLevel="1" collapsed="false">
      <c r="A277" s="105"/>
      <c r="B277" s="114" t="s">
        <v>246</v>
      </c>
      <c r="C277" s="103" t="s">
        <v>156</v>
      </c>
      <c r="D277" s="104"/>
      <c r="E277" s="104"/>
      <c r="G277" s="104" t="n">
        <v>315</v>
      </c>
    </row>
    <row r="278" customFormat="false" ht="15" hidden="true" customHeight="true" outlineLevel="1" collapsed="false">
      <c r="A278" s="105"/>
      <c r="B278" s="114" t="s">
        <v>247</v>
      </c>
      <c r="C278" s="103" t="s">
        <v>156</v>
      </c>
      <c r="D278" s="104"/>
      <c r="E278" s="104"/>
      <c r="G278" s="104" t="n">
        <v>273</v>
      </c>
    </row>
    <row r="279" customFormat="false" ht="15" hidden="true" customHeight="true" outlineLevel="1" collapsed="false">
      <c r="A279" s="105"/>
      <c r="B279" s="114" t="s">
        <v>248</v>
      </c>
      <c r="C279" s="103" t="s">
        <v>156</v>
      </c>
      <c r="D279" s="104"/>
      <c r="E279" s="104"/>
      <c r="G279" s="104" t="n">
        <v>315</v>
      </c>
    </row>
    <row r="280" customFormat="false" ht="15" hidden="true" customHeight="true" outlineLevel="1" collapsed="false">
      <c r="A280" s="105"/>
      <c r="B280" s="114" t="s">
        <v>249</v>
      </c>
      <c r="C280" s="103" t="s">
        <v>156</v>
      </c>
      <c r="D280" s="104"/>
      <c r="E280" s="104"/>
      <c r="G280" s="104" t="n">
        <v>263</v>
      </c>
    </row>
    <row r="281" customFormat="false" ht="15" hidden="true" customHeight="true" outlineLevel="1" collapsed="false">
      <c r="A281" s="105"/>
      <c r="B281" s="114" t="s">
        <v>250</v>
      </c>
      <c r="C281" s="103" t="s">
        <v>156</v>
      </c>
      <c r="D281" s="104"/>
      <c r="E281" s="104"/>
      <c r="G281" s="104" t="n">
        <v>291</v>
      </c>
    </row>
    <row r="282" customFormat="false" ht="15" hidden="true" customHeight="true" outlineLevel="1" collapsed="false">
      <c r="A282" s="105"/>
      <c r="B282" s="114" t="s">
        <v>251</v>
      </c>
      <c r="C282" s="103" t="s">
        <v>156</v>
      </c>
      <c r="D282" s="104"/>
      <c r="E282" s="104"/>
      <c r="G282" s="104" t="n">
        <v>250</v>
      </c>
    </row>
    <row r="283" customFormat="false" ht="15" hidden="true" customHeight="true" outlineLevel="1" collapsed="false">
      <c r="A283" s="105"/>
      <c r="B283" s="114" t="s">
        <v>252</v>
      </c>
      <c r="C283" s="103" t="s">
        <v>156</v>
      </c>
      <c r="D283" s="104"/>
      <c r="E283" s="104"/>
      <c r="G283" s="104" t="n">
        <v>280</v>
      </c>
    </row>
    <row r="284" customFormat="false" ht="15" hidden="true" customHeight="true" outlineLevel="1" collapsed="false">
      <c r="A284" s="105"/>
      <c r="B284" s="114" t="s">
        <v>253</v>
      </c>
      <c r="C284" s="103" t="s">
        <v>156</v>
      </c>
      <c r="D284" s="104"/>
      <c r="E284" s="104"/>
      <c r="G284" s="104" t="n">
        <v>220</v>
      </c>
    </row>
    <row r="285" customFormat="false" ht="15" hidden="true" customHeight="true" outlineLevel="1" collapsed="false">
      <c r="A285" s="105"/>
      <c r="B285" s="114" t="s">
        <v>254</v>
      </c>
      <c r="C285" s="103" t="s">
        <v>156</v>
      </c>
      <c r="D285" s="104"/>
      <c r="E285" s="104"/>
      <c r="G285" s="104" t="n">
        <v>250</v>
      </c>
    </row>
    <row r="286" customFormat="false" ht="15" hidden="true" customHeight="true" outlineLevel="1" collapsed="false">
      <c r="A286" s="105"/>
    </row>
    <row r="287" customFormat="false" ht="15" hidden="true" customHeight="true" outlineLevel="1" collapsed="false">
      <c r="A287" s="105"/>
    </row>
    <row r="288" customFormat="false" ht="15" hidden="true" customHeight="true" outlineLevel="1" collapsed="false">
      <c r="A288" s="105"/>
      <c r="B288" s="115"/>
    </row>
    <row r="289" customFormat="false" ht="15" hidden="false" customHeight="true" outlineLevel="0" collapsed="false">
      <c r="A289" s="47" t="s">
        <v>242</v>
      </c>
      <c r="B289" s="47"/>
    </row>
    <row r="290" customFormat="false" ht="15" hidden="true" customHeight="true" outlineLevel="1" collapsed="false">
      <c r="A290" s="116" t="s">
        <v>255</v>
      </c>
      <c r="B290" s="116"/>
      <c r="C290" s="63" t="s">
        <v>208</v>
      </c>
      <c r="D290" s="117" t="s">
        <v>256</v>
      </c>
      <c r="E290" s="117" t="s">
        <v>257</v>
      </c>
      <c r="F290" s="64" t="s">
        <v>258</v>
      </c>
      <c r="G290" s="64" t="s">
        <v>57</v>
      </c>
    </row>
    <row r="291" customFormat="false" ht="15" hidden="true" customHeight="true" outlineLevel="1" collapsed="false">
      <c r="A291" s="105"/>
      <c r="B291" s="87" t="s">
        <v>259</v>
      </c>
      <c r="C291" s="6" t="s">
        <v>135</v>
      </c>
      <c r="D291" s="89"/>
      <c r="E291" s="7" t="n">
        <v>0.05</v>
      </c>
      <c r="G291" s="8" t="n">
        <v>6500</v>
      </c>
    </row>
    <row r="292" customFormat="false" ht="15" hidden="true" customHeight="true" outlineLevel="1" collapsed="false">
      <c r="A292" s="105"/>
      <c r="B292" s="87" t="s">
        <v>260</v>
      </c>
      <c r="C292" s="6" t="s">
        <v>135</v>
      </c>
      <c r="D292" s="89"/>
      <c r="E292" s="7" t="n">
        <v>0.05</v>
      </c>
      <c r="G292" s="8" t="n">
        <v>6500</v>
      </c>
    </row>
    <row r="293" customFormat="false" ht="15" hidden="true" customHeight="true" outlineLevel="1" collapsed="false">
      <c r="A293" s="105"/>
      <c r="B293" s="87" t="s">
        <v>261</v>
      </c>
      <c r="C293" s="6" t="s">
        <v>135</v>
      </c>
      <c r="D293" s="89"/>
      <c r="E293" s="7" t="n">
        <v>0.05</v>
      </c>
      <c r="G293" s="8" t="n">
        <v>6500</v>
      </c>
    </row>
    <row r="294" customFormat="false" ht="15" hidden="true" customHeight="true" outlineLevel="1" collapsed="false">
      <c r="A294" s="105"/>
      <c r="B294" s="87" t="s">
        <v>262</v>
      </c>
      <c r="C294" s="6" t="s">
        <v>135</v>
      </c>
      <c r="D294" s="89"/>
      <c r="E294" s="7" t="n">
        <v>0.05</v>
      </c>
      <c r="G294" s="8" t="n">
        <v>6500</v>
      </c>
    </row>
    <row r="295" customFormat="false" ht="15" hidden="true" customHeight="true" outlineLevel="1" collapsed="false">
      <c r="A295" s="105"/>
      <c r="B295" s="87" t="s">
        <v>263</v>
      </c>
      <c r="C295" s="6" t="s">
        <v>135</v>
      </c>
      <c r="D295" s="89"/>
      <c r="E295" s="7" t="n">
        <v>0.04</v>
      </c>
      <c r="G295" s="8" t="n">
        <v>6500</v>
      </c>
    </row>
    <row r="296" customFormat="false" ht="15" hidden="true" customHeight="true" outlineLevel="1" collapsed="false">
      <c r="A296" s="105"/>
      <c r="B296" s="87" t="s">
        <v>264</v>
      </c>
      <c r="C296" s="6" t="s">
        <v>135</v>
      </c>
      <c r="D296" s="89"/>
      <c r="E296" s="7" t="n">
        <v>0.04</v>
      </c>
      <c r="G296" s="8" t="n">
        <v>6500</v>
      </c>
    </row>
    <row r="297" customFormat="false" ht="15" hidden="true" customHeight="true" outlineLevel="1" collapsed="false">
      <c r="A297" s="105"/>
      <c r="B297" s="87" t="s">
        <v>265</v>
      </c>
      <c r="C297" s="6" t="s">
        <v>135</v>
      </c>
      <c r="D297" s="89"/>
      <c r="E297" s="7" t="n">
        <v>0.04</v>
      </c>
      <c r="G297" s="8" t="n">
        <v>6500</v>
      </c>
    </row>
    <row r="298" customFormat="false" ht="15" hidden="true" customHeight="true" outlineLevel="1" collapsed="false">
      <c r="A298" s="105"/>
      <c r="B298" s="87" t="s">
        <v>266</v>
      </c>
      <c r="C298" s="6" t="s">
        <v>135</v>
      </c>
      <c r="D298" s="89"/>
      <c r="E298" s="7" t="n">
        <v>0.04</v>
      </c>
      <c r="G298" s="8" t="n">
        <v>6500</v>
      </c>
    </row>
    <row r="299" customFormat="false" ht="15" hidden="true" customHeight="true" outlineLevel="1" collapsed="false">
      <c r="A299" s="105"/>
      <c r="B299" s="87" t="s">
        <v>267</v>
      </c>
      <c r="C299" s="6" t="s">
        <v>135</v>
      </c>
      <c r="D299" s="89"/>
      <c r="E299" s="7" t="n">
        <v>0.025</v>
      </c>
      <c r="G299" s="8" t="n">
        <v>6500</v>
      </c>
    </row>
    <row r="300" customFormat="false" ht="15" hidden="true" customHeight="true" outlineLevel="1" collapsed="false">
      <c r="A300" s="105"/>
      <c r="B300" s="87" t="s">
        <v>268</v>
      </c>
      <c r="C300" s="6" t="s">
        <v>135</v>
      </c>
      <c r="D300" s="89"/>
      <c r="E300" s="7" t="n">
        <v>0.025</v>
      </c>
      <c r="G300" s="8" t="n">
        <v>6500</v>
      </c>
    </row>
    <row r="301" customFormat="false" ht="15" hidden="true" customHeight="true" outlineLevel="1" collapsed="false">
      <c r="A301" s="105"/>
      <c r="B301" s="87" t="s">
        <v>269</v>
      </c>
      <c r="C301" s="6" t="s">
        <v>135</v>
      </c>
      <c r="D301" s="89"/>
      <c r="E301" s="7" t="n">
        <v>0.025</v>
      </c>
      <c r="G301" s="8" t="n">
        <v>6500</v>
      </c>
    </row>
    <row r="302" customFormat="false" ht="15" hidden="true" customHeight="true" outlineLevel="1" collapsed="false">
      <c r="A302" s="105"/>
      <c r="B302" s="87" t="s">
        <v>270</v>
      </c>
      <c r="C302" s="6" t="s">
        <v>135</v>
      </c>
      <c r="D302" s="89"/>
      <c r="E302" s="7" t="n">
        <v>0.025</v>
      </c>
      <c r="F302" s="8" t="n">
        <v>12</v>
      </c>
      <c r="G302" s="8" t="n">
        <v>6500</v>
      </c>
    </row>
    <row r="303" customFormat="false" ht="15" hidden="true" customHeight="true" outlineLevel="1" collapsed="false">
      <c r="A303" s="105"/>
      <c r="B303" s="87" t="s">
        <v>271</v>
      </c>
      <c r="C303" s="6" t="s">
        <v>135</v>
      </c>
      <c r="D303" s="89"/>
      <c r="E303" s="7" t="n">
        <v>0.05</v>
      </c>
      <c r="F303" s="8" t="n">
        <v>15</v>
      </c>
      <c r="G303" s="8" t="n">
        <v>6500</v>
      </c>
    </row>
    <row r="304" customFormat="false" ht="15" hidden="true" customHeight="true" outlineLevel="1" collapsed="false">
      <c r="A304" s="105"/>
      <c r="B304" s="87"/>
      <c r="D304" s="89"/>
    </row>
    <row r="305" customFormat="false" ht="15" hidden="true" customHeight="true" outlineLevel="1" collapsed="false">
      <c r="A305" s="105"/>
      <c r="B305" s="90"/>
      <c r="D305" s="89"/>
    </row>
    <row r="306" customFormat="false" ht="15" hidden="false" customHeight="true" outlineLevel="0" collapsed="false">
      <c r="A306" s="47" t="s">
        <v>255</v>
      </c>
      <c r="B306" s="47"/>
      <c r="D306" s="89"/>
    </row>
    <row r="307" customFormat="false" ht="15" hidden="true" customHeight="true" outlineLevel="1" collapsed="false">
      <c r="A307" s="116" t="s">
        <v>272</v>
      </c>
      <c r="B307" s="116"/>
      <c r="C307" s="63" t="s">
        <v>208</v>
      </c>
      <c r="D307" s="117" t="s">
        <v>256</v>
      </c>
      <c r="E307" s="117" t="s">
        <v>273</v>
      </c>
      <c r="F307" s="64" t="s">
        <v>258</v>
      </c>
      <c r="G307" s="64" t="s">
        <v>57</v>
      </c>
    </row>
    <row r="308" customFormat="false" ht="15" hidden="true" customHeight="true" outlineLevel="1" collapsed="false">
      <c r="A308" s="30"/>
      <c r="B308" s="87" t="s">
        <v>274</v>
      </c>
      <c r="C308" s="6" t="s">
        <v>135</v>
      </c>
      <c r="D308" s="8"/>
      <c r="G308" s="8" t="n">
        <v>12500</v>
      </c>
    </row>
    <row r="309" customFormat="false" ht="15" hidden="true" customHeight="true" outlineLevel="1" collapsed="false">
      <c r="A309" s="31"/>
      <c r="B309" s="87" t="s">
        <v>275</v>
      </c>
      <c r="C309" s="6" t="s">
        <v>135</v>
      </c>
      <c r="D309" s="89"/>
      <c r="G309" s="8" t="n">
        <v>12500</v>
      </c>
    </row>
    <row r="310" customFormat="false" ht="15" hidden="true" customHeight="true" outlineLevel="1" collapsed="false">
      <c r="A310" s="31"/>
      <c r="B310" s="87" t="s">
        <v>276</v>
      </c>
      <c r="C310" s="6" t="s">
        <v>135</v>
      </c>
      <c r="D310" s="8"/>
      <c r="G310" s="8" t="n">
        <v>12500</v>
      </c>
    </row>
    <row r="311" customFormat="false" ht="15" hidden="true" customHeight="true" outlineLevel="1" collapsed="false">
      <c r="A311" s="31"/>
      <c r="B311" s="87" t="s">
        <v>277</v>
      </c>
      <c r="C311" s="6" t="s">
        <v>135</v>
      </c>
      <c r="D311" s="89"/>
      <c r="F311" s="8" t="n">
        <v>17</v>
      </c>
      <c r="G311" s="8" t="n">
        <v>12500</v>
      </c>
    </row>
    <row r="312" customFormat="false" ht="15" hidden="true" customHeight="true" outlineLevel="1" collapsed="false">
      <c r="A312" s="31"/>
      <c r="B312" s="87"/>
      <c r="D312" s="89"/>
    </row>
    <row r="313" customFormat="false" ht="15" hidden="true" customHeight="true" outlineLevel="1" collapsed="false">
      <c r="A313" s="31"/>
      <c r="B313" s="90"/>
      <c r="D313" s="89"/>
    </row>
    <row r="314" customFormat="false" ht="15" hidden="false" customHeight="true" outlineLevel="0" collapsed="false">
      <c r="A314" s="47" t="s">
        <v>272</v>
      </c>
      <c r="B314" s="47"/>
      <c r="D314" s="89"/>
    </row>
    <row r="315" customFormat="false" ht="15" hidden="true" customHeight="true" outlineLevel="1" collapsed="false">
      <c r="A315" s="116" t="s">
        <v>278</v>
      </c>
      <c r="B315" s="116"/>
      <c r="C315" s="63" t="s">
        <v>208</v>
      </c>
      <c r="D315" s="117" t="s">
        <v>256</v>
      </c>
      <c r="E315" s="117" t="s">
        <v>273</v>
      </c>
      <c r="F315" s="64" t="s">
        <v>258</v>
      </c>
      <c r="G315" s="64" t="s">
        <v>57</v>
      </c>
    </row>
    <row r="316" customFormat="false" ht="15" hidden="true" customHeight="true" outlineLevel="1" collapsed="false">
      <c r="A316" s="30"/>
      <c r="B316" s="87" t="s">
        <v>279</v>
      </c>
      <c r="C316" s="6" t="s">
        <v>135</v>
      </c>
      <c r="D316" s="89" t="n">
        <v>0.2</v>
      </c>
      <c r="E316" s="7" t="n">
        <v>0.05</v>
      </c>
      <c r="F316" s="8" t="n">
        <f aca="false">G316/(1/D316/E316)</f>
        <v>90</v>
      </c>
      <c r="G316" s="8" t="n">
        <v>9000</v>
      </c>
    </row>
    <row r="317" customFormat="false" ht="15" hidden="true" customHeight="true" outlineLevel="1" collapsed="false">
      <c r="A317" s="31"/>
      <c r="B317" s="87" t="s">
        <v>280</v>
      </c>
      <c r="C317" s="6" t="s">
        <v>135</v>
      </c>
      <c r="D317" s="89" t="n">
        <v>0.18</v>
      </c>
      <c r="E317" s="7" t="n">
        <v>0.05</v>
      </c>
      <c r="F317" s="8" t="n">
        <f aca="false">G317/(1/D317/E317)</f>
        <v>81</v>
      </c>
      <c r="G317" s="8" t="n">
        <v>9000</v>
      </c>
    </row>
    <row r="318" customFormat="false" ht="15" hidden="true" customHeight="true" outlineLevel="1" collapsed="false">
      <c r="A318" s="31"/>
      <c r="B318" s="87" t="s">
        <v>281</v>
      </c>
      <c r="C318" s="6" t="s">
        <v>135</v>
      </c>
      <c r="D318" s="89" t="n">
        <v>0.15</v>
      </c>
      <c r="E318" s="7" t="n">
        <v>0.05</v>
      </c>
      <c r="F318" s="8" t="n">
        <f aca="false">G318/(1/D318/E318)</f>
        <v>67.5</v>
      </c>
      <c r="G318" s="8" t="n">
        <v>9000</v>
      </c>
    </row>
    <row r="319" customFormat="false" ht="15" hidden="true" customHeight="true" outlineLevel="1" collapsed="false">
      <c r="A319" s="31"/>
      <c r="B319" s="87" t="s">
        <v>282</v>
      </c>
      <c r="C319" s="6" t="s">
        <v>135</v>
      </c>
      <c r="D319" s="89" t="n">
        <v>0.1</v>
      </c>
      <c r="E319" s="7" t="n">
        <v>0.05</v>
      </c>
      <c r="F319" s="8" t="n">
        <f aca="false">G319/(1/D319/E319)</f>
        <v>45</v>
      </c>
      <c r="G319" s="8" t="n">
        <v>9000</v>
      </c>
    </row>
    <row r="320" customFormat="false" ht="15" hidden="true" customHeight="true" outlineLevel="1" collapsed="false">
      <c r="A320" s="31"/>
      <c r="B320" s="87" t="s">
        <v>283</v>
      </c>
      <c r="C320" s="6" t="s">
        <v>135</v>
      </c>
      <c r="D320" s="89" t="n">
        <v>0.2</v>
      </c>
      <c r="E320" s="7" t="n">
        <v>0.04</v>
      </c>
      <c r="F320" s="8" t="n">
        <f aca="false">G320/(1/D320/E320)</f>
        <v>72</v>
      </c>
      <c r="G320" s="8" t="n">
        <v>9000</v>
      </c>
    </row>
    <row r="321" customFormat="false" ht="15" hidden="true" customHeight="true" outlineLevel="1" collapsed="false">
      <c r="A321" s="31"/>
      <c r="B321" s="87" t="s">
        <v>284</v>
      </c>
      <c r="C321" s="6" t="s">
        <v>135</v>
      </c>
      <c r="D321" s="89" t="n">
        <v>0.18</v>
      </c>
      <c r="E321" s="7" t="n">
        <v>0.04</v>
      </c>
      <c r="F321" s="8" t="n">
        <f aca="false">G321/(1/D321/E321)</f>
        <v>64.8</v>
      </c>
      <c r="G321" s="8" t="n">
        <v>9000</v>
      </c>
    </row>
    <row r="322" customFormat="false" ht="15" hidden="true" customHeight="true" outlineLevel="1" collapsed="false">
      <c r="A322" s="31"/>
      <c r="B322" s="87" t="s">
        <v>285</v>
      </c>
      <c r="C322" s="6" t="s">
        <v>135</v>
      </c>
      <c r="D322" s="89" t="n">
        <v>0.15</v>
      </c>
      <c r="E322" s="7" t="n">
        <v>0.04</v>
      </c>
      <c r="F322" s="8" t="n">
        <f aca="false">G322/(1/D322/E322)</f>
        <v>54</v>
      </c>
      <c r="G322" s="8" t="n">
        <v>9000</v>
      </c>
    </row>
    <row r="323" customFormat="false" ht="15" hidden="true" customHeight="true" outlineLevel="1" collapsed="false">
      <c r="A323" s="31"/>
      <c r="B323" s="87" t="s">
        <v>286</v>
      </c>
      <c r="C323" s="6" t="s">
        <v>135</v>
      </c>
      <c r="D323" s="89" t="n">
        <v>0.1</v>
      </c>
      <c r="E323" s="7" t="n">
        <v>0.04</v>
      </c>
      <c r="F323" s="8" t="n">
        <f aca="false">G323/(1/D323/E323)</f>
        <v>36</v>
      </c>
      <c r="G323" s="8" t="n">
        <v>9000</v>
      </c>
    </row>
    <row r="324" customFormat="false" ht="15" hidden="true" customHeight="true" outlineLevel="1" collapsed="false">
      <c r="A324" s="31"/>
      <c r="B324" s="87" t="s">
        <v>287</v>
      </c>
      <c r="C324" s="6" t="s">
        <v>135</v>
      </c>
      <c r="D324" s="89" t="n">
        <v>0.2</v>
      </c>
      <c r="E324" s="7" t="n">
        <v>0.025</v>
      </c>
      <c r="F324" s="8" t="n">
        <f aca="false">G324/(1/D324/E324)</f>
        <v>45</v>
      </c>
      <c r="G324" s="8" t="n">
        <v>9000</v>
      </c>
    </row>
    <row r="325" customFormat="false" ht="15" hidden="true" customHeight="true" outlineLevel="1" collapsed="false">
      <c r="A325" s="31"/>
      <c r="B325" s="87" t="s">
        <v>288</v>
      </c>
      <c r="C325" s="6" t="s">
        <v>135</v>
      </c>
      <c r="D325" s="89" t="n">
        <v>0.18</v>
      </c>
      <c r="E325" s="7" t="n">
        <v>0.025</v>
      </c>
      <c r="F325" s="8" t="n">
        <f aca="false">G325/(1/D325/E325)</f>
        <v>40.5</v>
      </c>
      <c r="G325" s="8" t="n">
        <v>9000</v>
      </c>
    </row>
    <row r="326" customFormat="false" ht="15" hidden="true" customHeight="true" outlineLevel="1" collapsed="false">
      <c r="A326" s="31"/>
      <c r="B326" s="87" t="s">
        <v>289</v>
      </c>
      <c r="C326" s="6" t="s">
        <v>135</v>
      </c>
      <c r="D326" s="89" t="n">
        <v>0.15</v>
      </c>
      <c r="E326" s="7" t="n">
        <v>0.025</v>
      </c>
      <c r="F326" s="8" t="n">
        <f aca="false">G326/(1/D326/E326)</f>
        <v>33.75</v>
      </c>
      <c r="G326" s="8" t="n">
        <v>9000</v>
      </c>
    </row>
    <row r="327" customFormat="false" ht="15" hidden="true" customHeight="true" outlineLevel="1" collapsed="false">
      <c r="A327" s="31"/>
      <c r="B327" s="87" t="s">
        <v>290</v>
      </c>
      <c r="C327" s="6" t="s">
        <v>135</v>
      </c>
      <c r="D327" s="89" t="n">
        <v>0.1</v>
      </c>
      <c r="E327" s="7" t="n">
        <v>0.025</v>
      </c>
      <c r="F327" s="8" t="n">
        <f aca="false">G327/(1/D327/E327)</f>
        <v>22.5</v>
      </c>
      <c r="G327" s="8" t="n">
        <v>9000</v>
      </c>
    </row>
    <row r="328" customFormat="false" ht="15" hidden="true" customHeight="true" outlineLevel="1" collapsed="false">
      <c r="A328" s="31"/>
      <c r="B328" s="87" t="s">
        <v>291</v>
      </c>
      <c r="C328" s="6" t="s">
        <v>135</v>
      </c>
      <c r="D328" s="8" t="n">
        <v>0.05</v>
      </c>
      <c r="E328" s="7" t="n">
        <v>0.05</v>
      </c>
      <c r="F328" s="8" t="n">
        <f aca="false">G328/(1/D328/E328)</f>
        <v>22.5</v>
      </c>
      <c r="G328" s="8" t="n">
        <v>9000</v>
      </c>
    </row>
    <row r="329" customFormat="false" ht="15" hidden="true" customHeight="true" outlineLevel="1" collapsed="false">
      <c r="A329" s="31"/>
      <c r="B329" s="87"/>
      <c r="D329" s="8"/>
    </row>
    <row r="330" customFormat="false" ht="15" hidden="true" customHeight="true" outlineLevel="1" collapsed="false">
      <c r="A330" s="31"/>
      <c r="B330" s="90"/>
      <c r="D330" s="8"/>
    </row>
    <row r="331" customFormat="false" ht="15" hidden="false" customHeight="true" outlineLevel="0" collapsed="false">
      <c r="A331" s="47" t="s">
        <v>278</v>
      </c>
      <c r="B331" s="47"/>
      <c r="D331" s="8"/>
    </row>
    <row r="332" customFormat="false" ht="15" hidden="true" customHeight="true" outlineLevel="1" collapsed="false">
      <c r="A332" s="116" t="s">
        <v>292</v>
      </c>
      <c r="B332" s="116"/>
      <c r="C332" s="63" t="s">
        <v>208</v>
      </c>
      <c r="D332" s="117" t="s">
        <v>293</v>
      </c>
      <c r="E332" s="117" t="s">
        <v>273</v>
      </c>
      <c r="F332" s="64" t="s">
        <v>257</v>
      </c>
      <c r="G332" s="64" t="s">
        <v>57</v>
      </c>
    </row>
    <row r="333" customFormat="false" ht="15" hidden="true" customHeight="true" outlineLevel="1" collapsed="false">
      <c r="A333" s="83"/>
      <c r="B333" s="87" t="s">
        <v>294</v>
      </c>
      <c r="C333" s="6" t="s">
        <v>135</v>
      </c>
      <c r="D333" s="118" t="n">
        <v>1</v>
      </c>
      <c r="E333" s="118" t="n">
        <v>1</v>
      </c>
      <c r="F333" s="26" t="n">
        <v>1</v>
      </c>
      <c r="G333" s="26" t="n">
        <v>0</v>
      </c>
    </row>
    <row r="334" customFormat="false" ht="15" hidden="true" customHeight="true" outlineLevel="1" collapsed="false">
      <c r="A334" s="86"/>
      <c r="B334" s="87" t="s">
        <v>295</v>
      </c>
      <c r="C334" s="6" t="s">
        <v>135</v>
      </c>
      <c r="D334" s="89" t="n">
        <v>0.2</v>
      </c>
      <c r="E334" s="89" t="n">
        <v>0.2</v>
      </c>
      <c r="F334" s="8" t="n">
        <f aca="false">D334*E334</f>
        <v>0.04</v>
      </c>
      <c r="G334" s="8" t="n">
        <v>9000</v>
      </c>
    </row>
    <row r="335" customFormat="false" ht="15" hidden="true" customHeight="true" outlineLevel="1" collapsed="false">
      <c r="A335" s="86"/>
      <c r="B335" s="87" t="s">
        <v>296</v>
      </c>
      <c r="C335" s="6" t="s">
        <v>135</v>
      </c>
      <c r="D335" s="89" t="n">
        <v>0.2</v>
      </c>
      <c r="E335" s="89" t="n">
        <v>0.18</v>
      </c>
      <c r="F335" s="8" t="n">
        <f aca="false">D335*E335</f>
        <v>0.036</v>
      </c>
      <c r="G335" s="8" t="n">
        <v>8500</v>
      </c>
    </row>
    <row r="336" customFormat="false" ht="15" hidden="true" customHeight="true" outlineLevel="1" collapsed="false">
      <c r="A336" s="86"/>
      <c r="B336" s="87" t="s">
        <v>297</v>
      </c>
      <c r="C336" s="6" t="s">
        <v>135</v>
      </c>
      <c r="D336" s="89" t="n">
        <v>0.2</v>
      </c>
      <c r="E336" s="89" t="n">
        <v>0.15</v>
      </c>
      <c r="F336" s="8" t="n">
        <f aca="false">D336*E336</f>
        <v>0.03</v>
      </c>
      <c r="G336" s="8" t="n">
        <v>8500</v>
      </c>
    </row>
    <row r="337" customFormat="false" ht="15" hidden="true" customHeight="true" outlineLevel="1" collapsed="false">
      <c r="A337" s="86"/>
      <c r="B337" s="87" t="s">
        <v>298</v>
      </c>
      <c r="C337" s="6" t="s">
        <v>135</v>
      </c>
      <c r="D337" s="89" t="n">
        <v>0.2</v>
      </c>
      <c r="E337" s="89" t="n">
        <v>0.1</v>
      </c>
      <c r="F337" s="8" t="n">
        <f aca="false">D337*E337</f>
        <v>0.02</v>
      </c>
      <c r="G337" s="8" t="n">
        <v>8500</v>
      </c>
    </row>
    <row r="338" customFormat="false" ht="15" hidden="true" customHeight="true" outlineLevel="1" collapsed="false">
      <c r="A338" s="86"/>
      <c r="B338" s="87" t="s">
        <v>299</v>
      </c>
      <c r="C338" s="6" t="s">
        <v>135</v>
      </c>
      <c r="D338" s="89" t="n">
        <v>0.18</v>
      </c>
      <c r="E338" s="89" t="n">
        <v>0.18</v>
      </c>
      <c r="F338" s="8" t="n">
        <f aca="false">D338*E338</f>
        <v>0.0324</v>
      </c>
      <c r="G338" s="8" t="n">
        <v>8500</v>
      </c>
    </row>
    <row r="339" customFormat="false" ht="15" hidden="true" customHeight="true" outlineLevel="1" collapsed="false">
      <c r="A339" s="86"/>
      <c r="B339" s="87" t="s">
        <v>300</v>
      </c>
      <c r="C339" s="6" t="s">
        <v>135</v>
      </c>
      <c r="D339" s="89" t="n">
        <v>0.18</v>
      </c>
      <c r="E339" s="89" t="n">
        <v>0.15</v>
      </c>
      <c r="F339" s="8" t="n">
        <f aca="false">D339*E339</f>
        <v>0.027</v>
      </c>
      <c r="G339" s="8" t="n">
        <v>8500</v>
      </c>
    </row>
    <row r="340" customFormat="false" ht="15" hidden="true" customHeight="true" outlineLevel="1" collapsed="false">
      <c r="A340" s="86"/>
      <c r="B340" s="87" t="s">
        <v>301</v>
      </c>
      <c r="C340" s="6" t="s">
        <v>135</v>
      </c>
      <c r="D340" s="89" t="n">
        <v>0.18</v>
      </c>
      <c r="E340" s="89" t="n">
        <v>0.1</v>
      </c>
      <c r="F340" s="8" t="n">
        <f aca="false">D340*E340</f>
        <v>0.018</v>
      </c>
      <c r="G340" s="8" t="n">
        <v>8500</v>
      </c>
    </row>
    <row r="341" customFormat="false" ht="15" hidden="true" customHeight="true" outlineLevel="1" collapsed="false">
      <c r="A341" s="86"/>
      <c r="B341" s="87" t="s">
        <v>302</v>
      </c>
      <c r="C341" s="6" t="s">
        <v>135</v>
      </c>
      <c r="D341" s="89" t="n">
        <v>0.15</v>
      </c>
      <c r="E341" s="89" t="n">
        <v>0.15</v>
      </c>
      <c r="F341" s="8" t="n">
        <f aca="false">D341*E341</f>
        <v>0.0225</v>
      </c>
      <c r="G341" s="8" t="n">
        <v>8500</v>
      </c>
    </row>
    <row r="342" customFormat="false" ht="15" hidden="true" customHeight="true" outlineLevel="1" collapsed="false">
      <c r="A342" s="86"/>
      <c r="B342" s="87" t="s">
        <v>303</v>
      </c>
      <c r="C342" s="6" t="s">
        <v>135</v>
      </c>
      <c r="D342" s="89" t="n">
        <v>0.15</v>
      </c>
      <c r="E342" s="89" t="n">
        <v>0.1</v>
      </c>
      <c r="F342" s="8" t="n">
        <f aca="false">D342*E342</f>
        <v>0.015</v>
      </c>
      <c r="G342" s="8" t="n">
        <v>8500</v>
      </c>
    </row>
    <row r="343" customFormat="false" ht="15" hidden="true" customHeight="true" outlineLevel="1" collapsed="false">
      <c r="A343" s="86"/>
      <c r="B343" s="87" t="s">
        <v>304</v>
      </c>
      <c r="C343" s="6" t="s">
        <v>135</v>
      </c>
      <c r="D343" s="89" t="n">
        <v>0.1</v>
      </c>
      <c r="E343" s="89" t="n">
        <v>0.1</v>
      </c>
      <c r="F343" s="8" t="n">
        <f aca="false">D343*E343</f>
        <v>0.01</v>
      </c>
      <c r="G343" s="8" t="n">
        <v>8500</v>
      </c>
    </row>
    <row r="344" customFormat="false" ht="15" hidden="true" customHeight="true" outlineLevel="1" collapsed="false">
      <c r="A344" s="86"/>
      <c r="B344" s="87" t="s">
        <v>305</v>
      </c>
      <c r="C344" s="6" t="s">
        <v>135</v>
      </c>
      <c r="D344" s="89" t="n">
        <v>0.2</v>
      </c>
      <c r="E344" s="89" t="n">
        <v>0.2</v>
      </c>
      <c r="F344" s="8" t="n">
        <f aca="false">D344*E344</f>
        <v>0.04</v>
      </c>
      <c r="G344" s="8" t="n">
        <v>6500</v>
      </c>
    </row>
    <row r="345" customFormat="false" ht="15" hidden="true" customHeight="true" outlineLevel="1" collapsed="false">
      <c r="A345" s="86"/>
      <c r="B345" s="87" t="s">
        <v>306</v>
      </c>
      <c r="C345" s="6" t="s">
        <v>135</v>
      </c>
      <c r="D345" s="89" t="n">
        <v>0.2</v>
      </c>
      <c r="E345" s="89" t="n">
        <v>0.18</v>
      </c>
      <c r="F345" s="8" t="n">
        <f aca="false">D345*E345</f>
        <v>0.036</v>
      </c>
      <c r="G345" s="8" t="n">
        <v>6500</v>
      </c>
    </row>
    <row r="346" customFormat="false" ht="15" hidden="true" customHeight="true" outlineLevel="1" collapsed="false">
      <c r="A346" s="86"/>
      <c r="B346" s="87" t="s">
        <v>307</v>
      </c>
      <c r="C346" s="6" t="s">
        <v>135</v>
      </c>
      <c r="D346" s="89" t="n">
        <v>0.2</v>
      </c>
      <c r="E346" s="89" t="n">
        <v>0.15</v>
      </c>
      <c r="F346" s="8" t="n">
        <f aca="false">D346*E346</f>
        <v>0.03</v>
      </c>
      <c r="G346" s="8" t="n">
        <v>6500</v>
      </c>
    </row>
    <row r="347" customFormat="false" ht="15" hidden="true" customHeight="true" outlineLevel="1" collapsed="false">
      <c r="A347" s="86"/>
      <c r="B347" s="87" t="s">
        <v>308</v>
      </c>
      <c r="C347" s="6" t="s">
        <v>135</v>
      </c>
      <c r="D347" s="89" t="n">
        <v>0.2</v>
      </c>
      <c r="E347" s="89" t="n">
        <v>0.1</v>
      </c>
      <c r="F347" s="8" t="n">
        <f aca="false">D347*E347</f>
        <v>0.02</v>
      </c>
      <c r="G347" s="8" t="n">
        <v>6500</v>
      </c>
    </row>
    <row r="348" customFormat="false" ht="15" hidden="true" customHeight="true" outlineLevel="1" collapsed="false">
      <c r="A348" s="86"/>
      <c r="B348" s="87" t="s">
        <v>309</v>
      </c>
      <c r="C348" s="6" t="s">
        <v>135</v>
      </c>
      <c r="D348" s="89" t="n">
        <v>0.18</v>
      </c>
      <c r="E348" s="89" t="n">
        <v>0.18</v>
      </c>
      <c r="F348" s="8" t="n">
        <f aca="false">D348*E348</f>
        <v>0.0324</v>
      </c>
      <c r="G348" s="8" t="n">
        <v>6500</v>
      </c>
    </row>
    <row r="349" customFormat="false" ht="15" hidden="true" customHeight="true" outlineLevel="1" collapsed="false">
      <c r="A349" s="86"/>
      <c r="B349" s="87" t="s">
        <v>310</v>
      </c>
      <c r="C349" s="6" t="s">
        <v>135</v>
      </c>
      <c r="D349" s="89" t="n">
        <v>0.18</v>
      </c>
      <c r="E349" s="89" t="n">
        <v>0.15</v>
      </c>
      <c r="F349" s="8" t="n">
        <f aca="false">D349*E349</f>
        <v>0.027</v>
      </c>
      <c r="G349" s="8" t="n">
        <v>6500</v>
      </c>
    </row>
    <row r="350" customFormat="false" ht="15" hidden="true" customHeight="true" outlineLevel="1" collapsed="false">
      <c r="A350" s="86"/>
      <c r="B350" s="87" t="s">
        <v>311</v>
      </c>
      <c r="C350" s="6" t="s">
        <v>135</v>
      </c>
      <c r="D350" s="89" t="n">
        <v>0.18</v>
      </c>
      <c r="E350" s="89" t="n">
        <v>0.1</v>
      </c>
      <c r="F350" s="8" t="n">
        <f aca="false">D350*E350</f>
        <v>0.018</v>
      </c>
      <c r="G350" s="8" t="n">
        <v>6500</v>
      </c>
    </row>
    <row r="351" customFormat="false" ht="15" hidden="true" customHeight="true" outlineLevel="1" collapsed="false">
      <c r="A351" s="86"/>
      <c r="B351" s="87" t="s">
        <v>312</v>
      </c>
      <c r="C351" s="6" t="s">
        <v>135</v>
      </c>
      <c r="D351" s="89" t="n">
        <v>0.15</v>
      </c>
      <c r="E351" s="89" t="n">
        <v>0.15</v>
      </c>
      <c r="F351" s="8" t="n">
        <f aca="false">D351*E351</f>
        <v>0.0225</v>
      </c>
      <c r="G351" s="8" t="n">
        <v>6500</v>
      </c>
    </row>
    <row r="352" customFormat="false" ht="15" hidden="true" customHeight="true" outlineLevel="1" collapsed="false">
      <c r="A352" s="86"/>
      <c r="B352" s="87" t="s">
        <v>313</v>
      </c>
      <c r="C352" s="6" t="s">
        <v>135</v>
      </c>
      <c r="D352" s="89" t="n">
        <v>0.15</v>
      </c>
      <c r="E352" s="89" t="n">
        <v>0.1</v>
      </c>
      <c r="F352" s="8" t="n">
        <f aca="false">D352*E352</f>
        <v>0.015</v>
      </c>
      <c r="G352" s="8" t="n">
        <v>6500</v>
      </c>
    </row>
    <row r="353" customFormat="false" ht="15" hidden="true" customHeight="true" outlineLevel="1" collapsed="false">
      <c r="A353" s="86"/>
      <c r="B353" s="87" t="s">
        <v>314</v>
      </c>
      <c r="C353" s="6" t="s">
        <v>135</v>
      </c>
      <c r="D353" s="89" t="n">
        <v>0.1</v>
      </c>
      <c r="E353" s="89" t="n">
        <v>0.1</v>
      </c>
      <c r="F353" s="8" t="n">
        <f aca="false">D353*E353</f>
        <v>0.01</v>
      </c>
      <c r="G353" s="8" t="n">
        <v>6500</v>
      </c>
    </row>
    <row r="354" customFormat="false" ht="15" hidden="true" customHeight="true" outlineLevel="1" collapsed="false">
      <c r="A354" s="86"/>
      <c r="B354" s="87" t="s">
        <v>315</v>
      </c>
      <c r="C354" s="88" t="s">
        <v>135</v>
      </c>
      <c r="D354" s="89" t="n">
        <v>0.27</v>
      </c>
      <c r="E354" s="7" t="n">
        <v>0.24</v>
      </c>
      <c r="F354" s="8" t="n">
        <f aca="false">D354*E354</f>
        <v>0.0648</v>
      </c>
      <c r="G354" s="8" t="n">
        <v>24000</v>
      </c>
    </row>
    <row r="355" customFormat="false" ht="15" hidden="true" customHeight="true" outlineLevel="1" collapsed="false">
      <c r="A355" s="86"/>
      <c r="B355" s="87" t="s">
        <v>316</v>
      </c>
      <c r="C355" s="88" t="s">
        <v>135</v>
      </c>
      <c r="D355" s="89" t="n">
        <v>0.27</v>
      </c>
      <c r="E355" s="7" t="n">
        <v>0.2</v>
      </c>
      <c r="F355" s="8" t="n">
        <f aca="false">D355*E355</f>
        <v>0.054</v>
      </c>
      <c r="G355" s="8" t="n">
        <v>24000</v>
      </c>
    </row>
    <row r="356" customFormat="false" ht="15" hidden="true" customHeight="true" outlineLevel="1" collapsed="false">
      <c r="A356" s="86"/>
      <c r="B356" s="87" t="s">
        <v>317</v>
      </c>
      <c r="C356" s="88" t="s">
        <v>135</v>
      </c>
      <c r="D356" s="89" t="n">
        <v>0.27</v>
      </c>
      <c r="E356" s="7" t="n">
        <v>0.16</v>
      </c>
      <c r="F356" s="8" t="n">
        <f aca="false">D356*E356</f>
        <v>0.0432</v>
      </c>
      <c r="G356" s="8" t="n">
        <v>24000</v>
      </c>
    </row>
    <row r="357" customFormat="false" ht="15" hidden="true" customHeight="true" outlineLevel="1" collapsed="false">
      <c r="A357" s="86"/>
      <c r="B357" s="87" t="s">
        <v>318</v>
      </c>
      <c r="C357" s="88" t="s">
        <v>135</v>
      </c>
      <c r="D357" s="89" t="n">
        <v>0.27</v>
      </c>
      <c r="E357" s="7" t="n">
        <v>0.12</v>
      </c>
      <c r="F357" s="8" t="n">
        <f aca="false">D357*E357</f>
        <v>0.0324</v>
      </c>
      <c r="G357" s="8" t="n">
        <v>24000</v>
      </c>
    </row>
    <row r="358" customFormat="false" ht="15" hidden="true" customHeight="true" outlineLevel="1" collapsed="false">
      <c r="A358" s="86"/>
      <c r="B358" s="87" t="s">
        <v>319</v>
      </c>
      <c r="C358" s="88" t="s">
        <v>135</v>
      </c>
      <c r="D358" s="89" t="n">
        <v>0.23</v>
      </c>
      <c r="E358" s="7" t="n">
        <v>0.24</v>
      </c>
      <c r="F358" s="8" t="n">
        <f aca="false">D358*E358</f>
        <v>0.0552</v>
      </c>
      <c r="G358" s="8" t="n">
        <v>24000</v>
      </c>
    </row>
    <row r="359" customFormat="false" ht="15" hidden="true" customHeight="true" outlineLevel="1" collapsed="false">
      <c r="A359" s="86"/>
      <c r="B359" s="87" t="s">
        <v>320</v>
      </c>
      <c r="C359" s="88" t="s">
        <v>135</v>
      </c>
      <c r="D359" s="89" t="n">
        <v>0.23</v>
      </c>
      <c r="E359" s="7" t="n">
        <v>0.2</v>
      </c>
      <c r="F359" s="8" t="n">
        <f aca="false">D359*E359</f>
        <v>0.046</v>
      </c>
      <c r="G359" s="8" t="n">
        <v>24000</v>
      </c>
    </row>
    <row r="360" customFormat="false" ht="15" hidden="true" customHeight="true" outlineLevel="1" collapsed="false">
      <c r="A360" s="86"/>
      <c r="B360" s="87" t="s">
        <v>321</v>
      </c>
      <c r="C360" s="88" t="s">
        <v>135</v>
      </c>
      <c r="D360" s="89" t="n">
        <v>0.23</v>
      </c>
      <c r="E360" s="7" t="n">
        <v>0.16</v>
      </c>
      <c r="F360" s="8" t="n">
        <f aca="false">D360*E360</f>
        <v>0.0368</v>
      </c>
      <c r="G360" s="8" t="n">
        <v>24000</v>
      </c>
    </row>
    <row r="361" customFormat="false" ht="15" hidden="true" customHeight="true" outlineLevel="1" collapsed="false">
      <c r="A361" s="86"/>
      <c r="B361" s="87" t="s">
        <v>322</v>
      </c>
      <c r="C361" s="88" t="s">
        <v>135</v>
      </c>
      <c r="D361" s="89" t="n">
        <v>0.23</v>
      </c>
      <c r="E361" s="7" t="n">
        <v>0.12</v>
      </c>
      <c r="F361" s="8" t="n">
        <f aca="false">D361*E361</f>
        <v>0.0276</v>
      </c>
      <c r="G361" s="8" t="n">
        <v>24000</v>
      </c>
    </row>
    <row r="362" customFormat="false" ht="15" hidden="true" customHeight="true" outlineLevel="1" collapsed="false">
      <c r="A362" s="86"/>
      <c r="B362" s="87" t="s">
        <v>323</v>
      </c>
      <c r="C362" s="88" t="s">
        <v>135</v>
      </c>
      <c r="D362" s="89" t="n">
        <v>0.185</v>
      </c>
      <c r="E362" s="7" t="n">
        <v>0.24</v>
      </c>
      <c r="F362" s="8" t="n">
        <f aca="false">D362*E362</f>
        <v>0.0444</v>
      </c>
      <c r="G362" s="8" t="n">
        <v>24000</v>
      </c>
    </row>
    <row r="363" customFormat="false" ht="15" hidden="true" customHeight="true" outlineLevel="1" collapsed="false">
      <c r="A363" s="86"/>
      <c r="B363" s="87" t="s">
        <v>324</v>
      </c>
      <c r="C363" s="88" t="s">
        <v>135</v>
      </c>
      <c r="D363" s="89" t="n">
        <v>0.185</v>
      </c>
      <c r="E363" s="7" t="n">
        <v>0.2</v>
      </c>
      <c r="F363" s="8" t="n">
        <f aca="false">D363*E363</f>
        <v>0.037</v>
      </c>
      <c r="G363" s="8" t="n">
        <v>24000</v>
      </c>
    </row>
    <row r="364" customFormat="false" ht="15" hidden="true" customHeight="true" outlineLevel="1" collapsed="false">
      <c r="A364" s="86"/>
      <c r="B364" s="87" t="s">
        <v>325</v>
      </c>
      <c r="C364" s="88" t="s">
        <v>135</v>
      </c>
      <c r="D364" s="89" t="n">
        <v>0.185</v>
      </c>
      <c r="E364" s="7" t="n">
        <v>0.16</v>
      </c>
      <c r="F364" s="8" t="n">
        <f aca="false">D364*E364</f>
        <v>0.0296</v>
      </c>
      <c r="G364" s="8" t="n">
        <v>24000</v>
      </c>
    </row>
    <row r="365" customFormat="false" ht="15" hidden="true" customHeight="true" outlineLevel="1" collapsed="false">
      <c r="A365" s="86"/>
      <c r="B365" s="87" t="s">
        <v>326</v>
      </c>
      <c r="C365" s="88" t="s">
        <v>135</v>
      </c>
      <c r="D365" s="89" t="n">
        <v>0.185</v>
      </c>
      <c r="E365" s="7" t="n">
        <v>0.12</v>
      </c>
      <c r="F365" s="8" t="n">
        <f aca="false">D365*E365</f>
        <v>0.0222</v>
      </c>
      <c r="G365" s="8" t="n">
        <v>24000</v>
      </c>
    </row>
    <row r="366" customFormat="false" ht="15" hidden="true" customHeight="true" outlineLevel="1" collapsed="false">
      <c r="A366" s="86"/>
      <c r="B366" s="87" t="s">
        <v>327</v>
      </c>
      <c r="C366" s="88" t="s">
        <v>135</v>
      </c>
      <c r="D366" s="89" t="n">
        <v>0.18</v>
      </c>
      <c r="E366" s="7" t="n">
        <v>0.24</v>
      </c>
      <c r="F366" s="8" t="n">
        <f aca="false">D366*E366</f>
        <v>0.0432</v>
      </c>
      <c r="G366" s="8" t="n">
        <v>24000</v>
      </c>
    </row>
    <row r="367" customFormat="false" ht="15" hidden="true" customHeight="true" outlineLevel="1" collapsed="false">
      <c r="A367" s="86"/>
      <c r="B367" s="87" t="s">
        <v>328</v>
      </c>
      <c r="C367" s="88" t="s">
        <v>135</v>
      </c>
      <c r="D367" s="89" t="n">
        <v>0.18</v>
      </c>
      <c r="E367" s="7" t="n">
        <v>0.2</v>
      </c>
      <c r="F367" s="8" t="n">
        <f aca="false">D367*E367</f>
        <v>0.036</v>
      </c>
      <c r="G367" s="8" t="n">
        <v>24000</v>
      </c>
    </row>
    <row r="368" customFormat="false" ht="15" hidden="true" customHeight="true" outlineLevel="1" collapsed="false">
      <c r="A368" s="86"/>
      <c r="B368" s="87" t="s">
        <v>329</v>
      </c>
      <c r="C368" s="88" t="s">
        <v>135</v>
      </c>
      <c r="D368" s="89" t="n">
        <v>0.18</v>
      </c>
      <c r="E368" s="7" t="n">
        <v>0.16</v>
      </c>
      <c r="F368" s="8" t="n">
        <f aca="false">D368*E368</f>
        <v>0.0288</v>
      </c>
      <c r="G368" s="8" t="n">
        <v>24000</v>
      </c>
    </row>
    <row r="369" customFormat="false" ht="15" hidden="true" customHeight="true" outlineLevel="1" collapsed="false">
      <c r="A369" s="86"/>
      <c r="B369" s="87" t="s">
        <v>330</v>
      </c>
      <c r="C369" s="88" t="s">
        <v>135</v>
      </c>
      <c r="D369" s="89" t="n">
        <v>0.18</v>
      </c>
      <c r="E369" s="7" t="n">
        <v>0.12</v>
      </c>
      <c r="F369" s="8" t="n">
        <f aca="false">D369*E369</f>
        <v>0.0216</v>
      </c>
      <c r="G369" s="8" t="n">
        <v>24000</v>
      </c>
    </row>
    <row r="370" customFormat="false" ht="15" hidden="true" customHeight="true" outlineLevel="1" collapsed="false">
      <c r="A370" s="86"/>
      <c r="B370" s="87" t="s">
        <v>331</v>
      </c>
      <c r="C370" s="88" t="s">
        <v>135</v>
      </c>
      <c r="D370" s="89" t="n">
        <v>0.16</v>
      </c>
      <c r="E370" s="7" t="n">
        <v>0.24</v>
      </c>
      <c r="F370" s="8" t="n">
        <f aca="false">D370*E370</f>
        <v>0.0384</v>
      </c>
      <c r="G370" s="8" t="n">
        <v>24000</v>
      </c>
    </row>
    <row r="371" customFormat="false" ht="15" hidden="true" customHeight="true" outlineLevel="1" collapsed="false">
      <c r="A371" s="86"/>
      <c r="B371" s="87" t="s">
        <v>332</v>
      </c>
      <c r="C371" s="88" t="s">
        <v>135</v>
      </c>
      <c r="D371" s="89" t="n">
        <v>0.16</v>
      </c>
      <c r="E371" s="7" t="n">
        <v>0.2</v>
      </c>
      <c r="F371" s="8" t="n">
        <f aca="false">D371*E371</f>
        <v>0.032</v>
      </c>
      <c r="G371" s="8" t="n">
        <v>24000</v>
      </c>
    </row>
    <row r="372" customFormat="false" ht="15" hidden="true" customHeight="true" outlineLevel="1" collapsed="false">
      <c r="A372" s="86"/>
      <c r="B372" s="87" t="s">
        <v>333</v>
      </c>
      <c r="C372" s="88" t="s">
        <v>135</v>
      </c>
      <c r="D372" s="89" t="n">
        <v>0.16</v>
      </c>
      <c r="E372" s="7" t="n">
        <v>0.16</v>
      </c>
      <c r="F372" s="8" t="n">
        <f aca="false">D372*E372</f>
        <v>0.0256</v>
      </c>
      <c r="G372" s="8" t="n">
        <v>24000</v>
      </c>
    </row>
    <row r="373" customFormat="false" ht="15" hidden="true" customHeight="true" outlineLevel="1" collapsed="false">
      <c r="A373" s="86"/>
      <c r="B373" s="87" t="s">
        <v>334</v>
      </c>
      <c r="C373" s="88" t="s">
        <v>135</v>
      </c>
      <c r="D373" s="89" t="n">
        <v>0.16</v>
      </c>
      <c r="E373" s="7" t="n">
        <v>0.12</v>
      </c>
      <c r="F373" s="8" t="n">
        <f aca="false">D373*E373</f>
        <v>0.0192</v>
      </c>
      <c r="G373" s="8" t="n">
        <v>24000</v>
      </c>
    </row>
    <row r="374" customFormat="false" ht="15" hidden="true" customHeight="true" outlineLevel="1" collapsed="false">
      <c r="A374" s="86"/>
      <c r="B374" s="87" t="s">
        <v>335</v>
      </c>
      <c r="C374" s="88" t="s">
        <v>135</v>
      </c>
      <c r="D374" s="89" t="n">
        <v>0.145</v>
      </c>
      <c r="E374" s="7" t="n">
        <v>0.24</v>
      </c>
      <c r="F374" s="8" t="n">
        <f aca="false">D374*E374</f>
        <v>0.0348</v>
      </c>
      <c r="G374" s="8" t="n">
        <v>24000</v>
      </c>
    </row>
    <row r="375" customFormat="false" ht="15" hidden="true" customHeight="true" outlineLevel="1" collapsed="false">
      <c r="A375" s="86"/>
      <c r="B375" s="87" t="s">
        <v>336</v>
      </c>
      <c r="C375" s="88" t="s">
        <v>135</v>
      </c>
      <c r="D375" s="89" t="n">
        <v>0.145</v>
      </c>
      <c r="E375" s="7" t="n">
        <v>0.2</v>
      </c>
      <c r="F375" s="8" t="n">
        <f aca="false">D375*E375</f>
        <v>0.029</v>
      </c>
      <c r="G375" s="8" t="n">
        <v>24000</v>
      </c>
    </row>
    <row r="376" customFormat="false" ht="15" hidden="true" customHeight="true" outlineLevel="1" collapsed="false">
      <c r="A376" s="86"/>
      <c r="B376" s="87" t="s">
        <v>337</v>
      </c>
      <c r="C376" s="88" t="s">
        <v>135</v>
      </c>
      <c r="D376" s="89" t="n">
        <v>0.145</v>
      </c>
      <c r="E376" s="7" t="n">
        <v>0.16</v>
      </c>
      <c r="F376" s="8" t="n">
        <f aca="false">D376*E376</f>
        <v>0.0232</v>
      </c>
      <c r="G376" s="8" t="n">
        <v>24000</v>
      </c>
    </row>
    <row r="377" customFormat="false" ht="15" hidden="true" customHeight="true" outlineLevel="1" collapsed="false">
      <c r="A377" s="86"/>
      <c r="B377" s="87" t="s">
        <v>338</v>
      </c>
      <c r="C377" s="88" t="s">
        <v>135</v>
      </c>
      <c r="D377" s="89" t="n">
        <v>0.145</v>
      </c>
      <c r="E377" s="7" t="n">
        <v>0.12</v>
      </c>
      <c r="F377" s="8" t="n">
        <f aca="false">D377*E377</f>
        <v>0.0174</v>
      </c>
      <c r="G377" s="8" t="n">
        <v>24000</v>
      </c>
    </row>
    <row r="378" customFormat="false" ht="15" hidden="true" customHeight="true" outlineLevel="1" collapsed="false">
      <c r="A378" s="86"/>
      <c r="B378" s="87" t="s">
        <v>339</v>
      </c>
      <c r="C378" s="88" t="s">
        <v>135</v>
      </c>
      <c r="D378" s="89" t="n">
        <v>0.14</v>
      </c>
      <c r="E378" s="7" t="n">
        <v>0.24</v>
      </c>
      <c r="F378" s="8" t="n">
        <f aca="false">D378*E378</f>
        <v>0.0336</v>
      </c>
      <c r="G378" s="8" t="n">
        <v>24000</v>
      </c>
    </row>
    <row r="379" customFormat="false" ht="15" hidden="true" customHeight="true" outlineLevel="1" collapsed="false">
      <c r="A379" s="86"/>
      <c r="B379" s="87" t="s">
        <v>340</v>
      </c>
      <c r="C379" s="88" t="s">
        <v>135</v>
      </c>
      <c r="D379" s="89" t="n">
        <v>0.14</v>
      </c>
      <c r="E379" s="7" t="n">
        <v>0.2</v>
      </c>
      <c r="F379" s="8" t="n">
        <f aca="false">D379*E379</f>
        <v>0.028</v>
      </c>
      <c r="G379" s="8" t="n">
        <v>24000</v>
      </c>
    </row>
    <row r="380" customFormat="false" ht="15" hidden="true" customHeight="true" outlineLevel="1" collapsed="false">
      <c r="A380" s="86"/>
      <c r="B380" s="87" t="s">
        <v>341</v>
      </c>
      <c r="C380" s="88" t="s">
        <v>135</v>
      </c>
      <c r="D380" s="89" t="n">
        <v>0.14</v>
      </c>
      <c r="E380" s="7" t="n">
        <v>0.16</v>
      </c>
      <c r="F380" s="8" t="n">
        <f aca="false">D380*E380</f>
        <v>0.0224</v>
      </c>
      <c r="G380" s="8" t="n">
        <v>24000</v>
      </c>
    </row>
    <row r="381" customFormat="false" ht="15" hidden="true" customHeight="true" outlineLevel="1" collapsed="false">
      <c r="A381" s="86"/>
      <c r="B381" s="87" t="s">
        <v>342</v>
      </c>
      <c r="C381" s="88" t="s">
        <v>135</v>
      </c>
      <c r="D381" s="89" t="n">
        <v>0.14</v>
      </c>
      <c r="E381" s="7" t="n">
        <v>0.12</v>
      </c>
      <c r="F381" s="8" t="n">
        <f aca="false">D381*E381</f>
        <v>0.0168</v>
      </c>
      <c r="G381" s="8" t="n">
        <v>24000</v>
      </c>
    </row>
    <row r="382" customFormat="false" ht="15" hidden="true" customHeight="true" outlineLevel="1" collapsed="false">
      <c r="A382" s="86"/>
      <c r="B382" s="87" t="s">
        <v>343</v>
      </c>
      <c r="C382" s="88" t="s">
        <v>135</v>
      </c>
      <c r="D382" s="89" t="n">
        <v>0.14</v>
      </c>
      <c r="E382" s="7" t="n">
        <v>0.24</v>
      </c>
      <c r="F382" s="8" t="n">
        <f aca="false">D382*E382</f>
        <v>0.0336</v>
      </c>
      <c r="G382" s="8" t="n">
        <v>24000</v>
      </c>
    </row>
    <row r="383" customFormat="false" ht="15" hidden="true" customHeight="true" outlineLevel="1" collapsed="false">
      <c r="A383" s="86"/>
      <c r="B383" s="87" t="s">
        <v>344</v>
      </c>
      <c r="C383" s="88" t="s">
        <v>135</v>
      </c>
      <c r="D383" s="89" t="n">
        <v>0.14</v>
      </c>
      <c r="E383" s="7" t="n">
        <v>0.2</v>
      </c>
      <c r="F383" s="8" t="n">
        <f aca="false">D383*E383</f>
        <v>0.028</v>
      </c>
      <c r="G383" s="8" t="n">
        <v>24000</v>
      </c>
    </row>
    <row r="384" customFormat="false" ht="15" hidden="true" customHeight="true" outlineLevel="1" collapsed="false">
      <c r="A384" s="86"/>
      <c r="B384" s="87" t="s">
        <v>345</v>
      </c>
      <c r="C384" s="88" t="s">
        <v>135</v>
      </c>
      <c r="D384" s="89" t="n">
        <v>0.14</v>
      </c>
      <c r="E384" s="7" t="n">
        <v>0.16</v>
      </c>
      <c r="F384" s="8" t="n">
        <f aca="false">D384*E384</f>
        <v>0.0224</v>
      </c>
      <c r="G384" s="8" t="n">
        <v>24000</v>
      </c>
    </row>
    <row r="385" customFormat="false" ht="15" hidden="true" customHeight="true" outlineLevel="1" collapsed="false">
      <c r="A385" s="86"/>
      <c r="B385" s="87" t="s">
        <v>346</v>
      </c>
      <c r="C385" s="88" t="s">
        <v>135</v>
      </c>
      <c r="D385" s="89" t="n">
        <v>0.14</v>
      </c>
      <c r="E385" s="7" t="n">
        <v>0.12</v>
      </c>
      <c r="F385" s="8" t="n">
        <f aca="false">D385*E385</f>
        <v>0.0168</v>
      </c>
      <c r="G385" s="8" t="n">
        <v>24000</v>
      </c>
    </row>
    <row r="386" customFormat="false" ht="15" hidden="true" customHeight="true" outlineLevel="1" collapsed="false">
      <c r="A386" s="86"/>
      <c r="B386" s="87" t="s">
        <v>347</v>
      </c>
      <c r="C386" s="88" t="s">
        <v>135</v>
      </c>
      <c r="D386" s="89" t="n">
        <v>0.14</v>
      </c>
      <c r="E386" s="7" t="n">
        <v>0.24</v>
      </c>
      <c r="F386" s="8" t="n">
        <f aca="false">D386*E386</f>
        <v>0.0336</v>
      </c>
      <c r="G386" s="8" t="n">
        <v>35000</v>
      </c>
    </row>
    <row r="387" customFormat="false" ht="15" hidden="true" customHeight="true" outlineLevel="1" collapsed="false">
      <c r="A387" s="86"/>
      <c r="B387" s="87" t="s">
        <v>348</v>
      </c>
      <c r="C387" s="88" t="s">
        <v>135</v>
      </c>
      <c r="D387" s="89" t="n">
        <v>0.14</v>
      </c>
      <c r="E387" s="7" t="n">
        <v>0.2</v>
      </c>
      <c r="F387" s="8" t="n">
        <f aca="false">D387*E387</f>
        <v>0.028</v>
      </c>
      <c r="G387" s="8" t="n">
        <v>35000</v>
      </c>
    </row>
    <row r="388" customFormat="false" ht="15" hidden="true" customHeight="true" outlineLevel="1" collapsed="false">
      <c r="A388" s="86"/>
      <c r="B388" s="87" t="s">
        <v>349</v>
      </c>
      <c r="C388" s="88" t="s">
        <v>135</v>
      </c>
      <c r="D388" s="89" t="n">
        <v>0.14</v>
      </c>
      <c r="E388" s="7" t="n">
        <v>0.16</v>
      </c>
      <c r="F388" s="8" t="n">
        <f aca="false">D388*E388</f>
        <v>0.0224</v>
      </c>
      <c r="G388" s="8" t="n">
        <v>35000</v>
      </c>
    </row>
    <row r="389" customFormat="false" ht="15" hidden="true" customHeight="true" outlineLevel="1" collapsed="false">
      <c r="A389" s="86"/>
      <c r="B389" s="87" t="s">
        <v>350</v>
      </c>
      <c r="C389" s="88" t="s">
        <v>135</v>
      </c>
      <c r="D389" s="89" t="n">
        <v>0.14</v>
      </c>
      <c r="E389" s="7" t="n">
        <v>0.12</v>
      </c>
      <c r="F389" s="8" t="n">
        <f aca="false">D389*E389</f>
        <v>0.0168</v>
      </c>
      <c r="G389" s="8" t="n">
        <v>35000</v>
      </c>
    </row>
    <row r="390" customFormat="false" ht="15" hidden="true" customHeight="true" outlineLevel="1" collapsed="false">
      <c r="A390" s="86"/>
      <c r="B390" s="87" t="s">
        <v>351</v>
      </c>
      <c r="C390" s="6" t="s">
        <v>135</v>
      </c>
      <c r="D390" s="119" t="n">
        <v>0.8</v>
      </c>
      <c r="E390" s="119" t="n">
        <v>0.1</v>
      </c>
      <c r="F390" s="8" t="n">
        <f aca="false">D390*E390</f>
        <v>0.08</v>
      </c>
      <c r="G390" s="119" t="n">
        <v>11000</v>
      </c>
    </row>
    <row r="391" customFormat="false" ht="15" hidden="true" customHeight="true" outlineLevel="1" collapsed="false">
      <c r="A391" s="86"/>
      <c r="B391" s="87" t="s">
        <v>352</v>
      </c>
      <c r="C391" s="6" t="s">
        <v>135</v>
      </c>
      <c r="D391" s="119" t="n">
        <v>0.8</v>
      </c>
      <c r="E391" s="119" t="n">
        <v>0.15</v>
      </c>
      <c r="F391" s="8" t="n">
        <f aca="false">D391*E391</f>
        <v>0.12</v>
      </c>
      <c r="G391" s="119" t="n">
        <v>11000</v>
      </c>
    </row>
    <row r="392" customFormat="false" ht="15" hidden="true" customHeight="true" outlineLevel="1" collapsed="false">
      <c r="A392" s="86"/>
      <c r="B392" s="87" t="s">
        <v>353</v>
      </c>
      <c r="C392" s="6" t="s">
        <v>135</v>
      </c>
      <c r="D392" s="119" t="n">
        <v>0.1</v>
      </c>
      <c r="E392" s="119" t="n">
        <v>0.1</v>
      </c>
      <c r="F392" s="8" t="n">
        <f aca="false">D392*E392</f>
        <v>0.01</v>
      </c>
      <c r="G392" s="119" t="n">
        <v>11000</v>
      </c>
    </row>
    <row r="393" customFormat="false" ht="15" hidden="true" customHeight="true" outlineLevel="1" collapsed="false">
      <c r="A393" s="86"/>
      <c r="B393" s="87" t="s">
        <v>354</v>
      </c>
      <c r="C393" s="6" t="s">
        <v>135</v>
      </c>
      <c r="D393" s="119" t="n">
        <v>0.1</v>
      </c>
      <c r="E393" s="119" t="n">
        <v>0.15</v>
      </c>
      <c r="F393" s="8" t="n">
        <f aca="false">D393*E393</f>
        <v>0.015</v>
      </c>
      <c r="G393" s="119" t="n">
        <v>11000</v>
      </c>
    </row>
    <row r="394" customFormat="false" ht="15" hidden="true" customHeight="true" outlineLevel="1" collapsed="false">
      <c r="A394" s="86"/>
      <c r="B394" s="87" t="s">
        <v>355</v>
      </c>
      <c r="C394" s="6" t="s">
        <v>135</v>
      </c>
      <c r="D394" s="119" t="n">
        <v>0.14</v>
      </c>
      <c r="E394" s="119" t="n">
        <v>0.12</v>
      </c>
      <c r="F394" s="8" t="n">
        <f aca="false">D394*E394</f>
        <v>0.0168</v>
      </c>
      <c r="G394" s="119" t="n">
        <v>11000</v>
      </c>
    </row>
    <row r="395" customFormat="false" ht="15" hidden="true" customHeight="true" outlineLevel="1" collapsed="false">
      <c r="A395" s="86"/>
      <c r="B395" s="87" t="s">
        <v>356</v>
      </c>
      <c r="C395" s="6" t="s">
        <v>135</v>
      </c>
      <c r="D395" s="119" t="n">
        <v>0.14</v>
      </c>
      <c r="E395" s="119" t="n">
        <v>0.14</v>
      </c>
      <c r="F395" s="8" t="n">
        <f aca="false">D395*E395</f>
        <v>0.0196</v>
      </c>
      <c r="G395" s="119" t="n">
        <v>11000</v>
      </c>
    </row>
    <row r="396" customFormat="false" ht="15" hidden="true" customHeight="true" outlineLevel="1" collapsed="false">
      <c r="A396" s="86"/>
      <c r="B396" s="87" t="s">
        <v>357</v>
      </c>
      <c r="C396" s="6" t="s">
        <v>135</v>
      </c>
      <c r="D396" s="119" t="n">
        <v>0.14</v>
      </c>
      <c r="E396" s="119" t="n">
        <v>0.19</v>
      </c>
      <c r="F396" s="8" t="n">
        <f aca="false">D396*E396</f>
        <v>0.0266</v>
      </c>
      <c r="G396" s="119" t="n">
        <v>11000</v>
      </c>
    </row>
    <row r="397" customFormat="false" ht="15" hidden="true" customHeight="true" outlineLevel="1" collapsed="false">
      <c r="A397" s="86"/>
      <c r="B397" s="87" t="s">
        <v>358</v>
      </c>
      <c r="C397" s="6" t="s">
        <v>135</v>
      </c>
      <c r="D397" s="119" t="n">
        <v>0.15</v>
      </c>
      <c r="E397" s="119" t="n">
        <v>0.1</v>
      </c>
      <c r="F397" s="8" t="n">
        <f aca="false">D397*E397</f>
        <v>0.015</v>
      </c>
      <c r="G397" s="119" t="n">
        <v>11200</v>
      </c>
    </row>
    <row r="398" customFormat="false" ht="15" hidden="true" customHeight="true" outlineLevel="1" collapsed="false">
      <c r="A398" s="86"/>
      <c r="B398" s="87" t="s">
        <v>359</v>
      </c>
      <c r="C398" s="6" t="s">
        <v>135</v>
      </c>
      <c r="D398" s="119" t="n">
        <v>0.15</v>
      </c>
      <c r="E398" s="119" t="n">
        <v>0.15</v>
      </c>
      <c r="F398" s="8" t="n">
        <f aca="false">D398*E398</f>
        <v>0.0225</v>
      </c>
      <c r="G398" s="119" t="n">
        <v>11200</v>
      </c>
    </row>
    <row r="399" customFormat="false" ht="15" hidden="true" customHeight="true" outlineLevel="1" collapsed="false">
      <c r="A399" s="86"/>
      <c r="B399" s="87" t="s">
        <v>360</v>
      </c>
      <c r="C399" s="6" t="s">
        <v>135</v>
      </c>
      <c r="D399" s="119" t="n">
        <v>0.15</v>
      </c>
      <c r="E399" s="8" t="n">
        <v>0.18</v>
      </c>
      <c r="F399" s="8" t="n">
        <f aca="false">D399*E399</f>
        <v>0.027</v>
      </c>
      <c r="G399" s="119" t="n">
        <v>11200</v>
      </c>
    </row>
    <row r="400" customFormat="false" ht="15" hidden="true" customHeight="true" outlineLevel="1" collapsed="false">
      <c r="A400" s="86"/>
      <c r="B400" s="87" t="s">
        <v>361</v>
      </c>
      <c r="C400" s="6" t="s">
        <v>135</v>
      </c>
      <c r="D400" s="119" t="n">
        <v>0.2</v>
      </c>
      <c r="E400" s="119" t="n">
        <v>0.1</v>
      </c>
      <c r="F400" s="8" t="n">
        <f aca="false">D400*E400</f>
        <v>0.02</v>
      </c>
      <c r="G400" s="119" t="n">
        <v>11300</v>
      </c>
    </row>
    <row r="401" customFormat="false" ht="15" hidden="true" customHeight="true" outlineLevel="1" collapsed="false">
      <c r="A401" s="86"/>
      <c r="B401" s="87" t="s">
        <v>362</v>
      </c>
      <c r="C401" s="6" t="s">
        <v>135</v>
      </c>
      <c r="D401" s="119" t="n">
        <v>0.2</v>
      </c>
      <c r="E401" s="119" t="n">
        <v>0.15</v>
      </c>
      <c r="F401" s="8" t="n">
        <f aca="false">D401*E401</f>
        <v>0.03</v>
      </c>
      <c r="G401" s="119" t="n">
        <v>11300</v>
      </c>
    </row>
    <row r="402" customFormat="false" ht="15" hidden="true" customHeight="true" outlineLevel="1" collapsed="false">
      <c r="A402" s="86"/>
      <c r="B402" s="87" t="s">
        <v>363</v>
      </c>
      <c r="C402" s="6" t="s">
        <v>135</v>
      </c>
      <c r="D402" s="119" t="n">
        <v>0.2</v>
      </c>
      <c r="E402" s="8" t="n">
        <v>0.18</v>
      </c>
      <c r="F402" s="8" t="n">
        <f aca="false">D402*E402</f>
        <v>0.036</v>
      </c>
      <c r="G402" s="119" t="n">
        <v>11300</v>
      </c>
    </row>
    <row r="403" customFormat="false" ht="15" hidden="true" customHeight="true" outlineLevel="1" collapsed="false">
      <c r="A403" s="86"/>
      <c r="B403" s="87" t="s">
        <v>364</v>
      </c>
      <c r="C403" s="6" t="s">
        <v>135</v>
      </c>
      <c r="D403" s="119" t="n">
        <v>0.8</v>
      </c>
      <c r="E403" s="119" t="n">
        <v>0.1</v>
      </c>
      <c r="F403" s="8" t="n">
        <f aca="false">D403*E403</f>
        <v>0.08</v>
      </c>
      <c r="G403" s="8" t="n">
        <v>9000</v>
      </c>
    </row>
    <row r="404" customFormat="false" ht="15" hidden="true" customHeight="true" outlineLevel="1" collapsed="false">
      <c r="A404" s="86"/>
      <c r="B404" s="87" t="s">
        <v>365</v>
      </c>
      <c r="C404" s="6" t="s">
        <v>135</v>
      </c>
      <c r="D404" s="119" t="n">
        <v>0.8</v>
      </c>
      <c r="E404" s="119" t="n">
        <v>0.15</v>
      </c>
      <c r="F404" s="8" t="n">
        <f aca="false">D404*E404</f>
        <v>0.12</v>
      </c>
      <c r="G404" s="8" t="n">
        <v>9000</v>
      </c>
    </row>
    <row r="405" customFormat="false" ht="15" hidden="true" customHeight="true" outlineLevel="1" collapsed="false">
      <c r="A405" s="86"/>
      <c r="B405" s="87" t="s">
        <v>366</v>
      </c>
      <c r="C405" s="6" t="s">
        <v>135</v>
      </c>
      <c r="D405" s="119" t="n">
        <v>0.1</v>
      </c>
      <c r="E405" s="119" t="n">
        <v>0.1</v>
      </c>
      <c r="F405" s="8" t="n">
        <f aca="false">D405*E405</f>
        <v>0.01</v>
      </c>
      <c r="G405" s="8" t="n">
        <v>9000</v>
      </c>
    </row>
    <row r="406" customFormat="false" ht="15" hidden="true" customHeight="true" outlineLevel="1" collapsed="false">
      <c r="A406" s="86"/>
      <c r="B406" s="87" t="s">
        <v>367</v>
      </c>
      <c r="C406" s="6" t="s">
        <v>135</v>
      </c>
      <c r="D406" s="119" t="n">
        <v>0.1</v>
      </c>
      <c r="E406" s="119" t="n">
        <v>0.15</v>
      </c>
      <c r="F406" s="8" t="n">
        <f aca="false">D406*E406</f>
        <v>0.015</v>
      </c>
      <c r="G406" s="8" t="n">
        <v>9000</v>
      </c>
    </row>
    <row r="407" customFormat="false" ht="15" hidden="true" customHeight="true" outlineLevel="1" collapsed="false">
      <c r="A407" s="86"/>
      <c r="B407" s="87" t="s">
        <v>368</v>
      </c>
      <c r="C407" s="6" t="s">
        <v>135</v>
      </c>
      <c r="D407" s="119" t="n">
        <v>0.14</v>
      </c>
      <c r="E407" s="119" t="n">
        <v>0.14</v>
      </c>
      <c r="F407" s="8" t="n">
        <f aca="false">D407*E407</f>
        <v>0.0196</v>
      </c>
      <c r="G407" s="8" t="n">
        <v>9000</v>
      </c>
    </row>
    <row r="408" customFormat="false" ht="15" hidden="true" customHeight="true" outlineLevel="1" collapsed="false">
      <c r="A408" s="86"/>
      <c r="B408" s="87" t="s">
        <v>369</v>
      </c>
      <c r="C408" s="6" t="s">
        <v>135</v>
      </c>
      <c r="D408" s="119" t="n">
        <v>0.14</v>
      </c>
      <c r="E408" s="119" t="n">
        <v>0.19</v>
      </c>
      <c r="F408" s="8" t="n">
        <f aca="false">D408*E408</f>
        <v>0.0266</v>
      </c>
      <c r="G408" s="8" t="n">
        <v>9000</v>
      </c>
    </row>
    <row r="409" customFormat="false" ht="15" hidden="true" customHeight="true" outlineLevel="1" collapsed="false">
      <c r="A409" s="86"/>
      <c r="B409" s="87" t="s">
        <v>370</v>
      </c>
      <c r="C409" s="6" t="s">
        <v>135</v>
      </c>
      <c r="D409" s="119" t="n">
        <v>0.14</v>
      </c>
      <c r="E409" s="119" t="n">
        <v>0.23</v>
      </c>
      <c r="F409" s="8" t="n">
        <f aca="false">D409*E409</f>
        <v>0.0322</v>
      </c>
      <c r="G409" s="8" t="n">
        <v>9000</v>
      </c>
    </row>
    <row r="410" customFormat="false" ht="15" hidden="true" customHeight="true" outlineLevel="1" collapsed="false">
      <c r="A410" s="86"/>
      <c r="B410" s="87" t="s">
        <v>371</v>
      </c>
      <c r="C410" s="6" t="s">
        <v>135</v>
      </c>
      <c r="D410" s="119" t="n">
        <v>0.14</v>
      </c>
      <c r="E410" s="119" t="n">
        <v>0.25</v>
      </c>
      <c r="F410" s="8" t="n">
        <f aca="false">D410*E410</f>
        <v>0.035</v>
      </c>
      <c r="G410" s="8" t="n">
        <v>9000</v>
      </c>
    </row>
    <row r="411" customFormat="false" ht="15" hidden="true" customHeight="true" outlineLevel="1" collapsed="false">
      <c r="A411" s="86"/>
      <c r="B411" s="87" t="s">
        <v>372</v>
      </c>
      <c r="C411" s="6" t="s">
        <v>135</v>
      </c>
      <c r="D411" s="119" t="n">
        <v>0.15</v>
      </c>
      <c r="E411" s="119" t="n">
        <v>0.1</v>
      </c>
      <c r="F411" s="8" t="n">
        <f aca="false">D411*E411</f>
        <v>0.015</v>
      </c>
      <c r="G411" s="8" t="n">
        <v>9200</v>
      </c>
    </row>
    <row r="412" customFormat="false" ht="15" hidden="true" customHeight="true" outlineLevel="1" collapsed="false">
      <c r="A412" s="86"/>
      <c r="B412" s="87" t="s">
        <v>373</v>
      </c>
      <c r="C412" s="6" t="s">
        <v>135</v>
      </c>
      <c r="D412" s="119" t="n">
        <v>0.15</v>
      </c>
      <c r="E412" s="119" t="n">
        <v>0.15</v>
      </c>
      <c r="F412" s="8" t="n">
        <f aca="false">D412*E412</f>
        <v>0.0225</v>
      </c>
      <c r="G412" s="8" t="n">
        <v>9200</v>
      </c>
    </row>
    <row r="413" customFormat="false" ht="15" hidden="true" customHeight="true" outlineLevel="1" collapsed="false">
      <c r="A413" s="86"/>
      <c r="B413" s="87" t="s">
        <v>374</v>
      </c>
      <c r="C413" s="6" t="s">
        <v>135</v>
      </c>
      <c r="D413" s="119" t="n">
        <v>0.15</v>
      </c>
      <c r="E413" s="8" t="n">
        <v>0.18</v>
      </c>
      <c r="F413" s="8" t="n">
        <f aca="false">D413*E413</f>
        <v>0.027</v>
      </c>
      <c r="G413" s="8" t="n">
        <v>9200</v>
      </c>
    </row>
    <row r="414" customFormat="false" ht="15" hidden="true" customHeight="true" outlineLevel="1" collapsed="false">
      <c r="A414" s="86"/>
      <c r="B414" s="87" t="s">
        <v>375</v>
      </c>
      <c r="C414" s="6" t="s">
        <v>135</v>
      </c>
      <c r="D414" s="119" t="n">
        <v>0.19</v>
      </c>
      <c r="E414" s="119" t="n">
        <v>0.19</v>
      </c>
      <c r="F414" s="8" t="n">
        <f aca="false">D414*E414</f>
        <v>0.0361</v>
      </c>
      <c r="G414" s="8" t="n">
        <v>9200</v>
      </c>
    </row>
    <row r="415" customFormat="false" ht="15" hidden="true" customHeight="true" outlineLevel="1" collapsed="false">
      <c r="A415" s="86"/>
      <c r="B415" s="87" t="s">
        <v>376</v>
      </c>
      <c r="C415" s="6" t="s">
        <v>135</v>
      </c>
      <c r="D415" s="119" t="n">
        <v>0.19</v>
      </c>
      <c r="E415" s="119" t="n">
        <v>0.23</v>
      </c>
      <c r="F415" s="8" t="n">
        <f aca="false">D415*E415</f>
        <v>0.0437</v>
      </c>
      <c r="G415" s="8" t="n">
        <v>9200</v>
      </c>
    </row>
    <row r="416" customFormat="false" ht="15" hidden="true" customHeight="true" outlineLevel="1" collapsed="false">
      <c r="A416" s="86"/>
      <c r="B416" s="87" t="s">
        <v>377</v>
      </c>
      <c r="C416" s="6" t="s">
        <v>135</v>
      </c>
      <c r="D416" s="119" t="n">
        <v>0.19</v>
      </c>
      <c r="E416" s="119" t="n">
        <v>0.25</v>
      </c>
      <c r="F416" s="8" t="n">
        <f aca="false">D416*E416</f>
        <v>0.0475</v>
      </c>
      <c r="G416" s="8" t="n">
        <v>9200</v>
      </c>
    </row>
    <row r="417" customFormat="false" ht="15" hidden="true" customHeight="true" outlineLevel="1" collapsed="false">
      <c r="A417" s="86"/>
      <c r="B417" s="87" t="s">
        <v>378</v>
      </c>
      <c r="C417" s="6" t="s">
        <v>135</v>
      </c>
      <c r="D417" s="119" t="n">
        <v>0.2</v>
      </c>
      <c r="E417" s="119" t="n">
        <v>0.1</v>
      </c>
      <c r="F417" s="8" t="n">
        <f aca="false">D417*E417</f>
        <v>0.02</v>
      </c>
      <c r="G417" s="8" t="n">
        <v>9300</v>
      </c>
    </row>
    <row r="418" customFormat="false" ht="15" hidden="true" customHeight="true" outlineLevel="1" collapsed="false">
      <c r="A418" s="86"/>
      <c r="B418" s="87" t="s">
        <v>379</v>
      </c>
      <c r="C418" s="6" t="s">
        <v>135</v>
      </c>
      <c r="D418" s="119" t="n">
        <v>0.2</v>
      </c>
      <c r="E418" s="119" t="n">
        <v>0.15</v>
      </c>
      <c r="F418" s="8" t="n">
        <f aca="false">D418*E418</f>
        <v>0.03</v>
      </c>
      <c r="G418" s="8" t="n">
        <v>9300</v>
      </c>
    </row>
    <row r="419" customFormat="false" ht="15" hidden="true" customHeight="true" outlineLevel="1" collapsed="false">
      <c r="A419" s="86"/>
      <c r="B419" s="87" t="s">
        <v>380</v>
      </c>
      <c r="C419" s="6" t="s">
        <v>135</v>
      </c>
      <c r="D419" s="119" t="n">
        <v>0.2</v>
      </c>
      <c r="E419" s="8" t="n">
        <v>0.18</v>
      </c>
      <c r="F419" s="8" t="n">
        <f aca="false">D419*E419</f>
        <v>0.036</v>
      </c>
      <c r="G419" s="8" t="n">
        <v>9300</v>
      </c>
    </row>
    <row r="420" customFormat="false" ht="15" hidden="true" customHeight="true" outlineLevel="1" collapsed="false">
      <c r="A420" s="86"/>
      <c r="B420" s="87" t="s">
        <v>381</v>
      </c>
      <c r="C420" s="6" t="s">
        <v>156</v>
      </c>
      <c r="D420" s="119"/>
      <c r="E420" s="8"/>
      <c r="G420" s="8" t="n">
        <v>0</v>
      </c>
    </row>
    <row r="421" customFormat="false" ht="15" hidden="true" customHeight="true" outlineLevel="1" collapsed="false">
      <c r="A421" s="86"/>
      <c r="B421" s="87" t="s">
        <v>382</v>
      </c>
      <c r="C421" s="6" t="s">
        <v>156</v>
      </c>
      <c r="D421" s="119"/>
      <c r="E421" s="7" t="n">
        <v>0.24</v>
      </c>
      <c r="G421" s="8" t="n">
        <v>400</v>
      </c>
    </row>
    <row r="422" customFormat="false" ht="15" hidden="true" customHeight="true" outlineLevel="1" collapsed="false">
      <c r="A422" s="86"/>
      <c r="B422" s="87" t="s">
        <v>383</v>
      </c>
      <c r="C422" s="6" t="s">
        <v>156</v>
      </c>
      <c r="D422" s="119"/>
      <c r="E422" s="7" t="n">
        <v>0.2</v>
      </c>
      <c r="G422" s="8" t="n">
        <v>350</v>
      </c>
    </row>
    <row r="423" customFormat="false" ht="15" hidden="true" customHeight="true" outlineLevel="1" collapsed="false">
      <c r="A423" s="86"/>
      <c r="B423" s="87" t="s">
        <v>384</v>
      </c>
      <c r="C423" s="6" t="s">
        <v>156</v>
      </c>
      <c r="D423" s="119"/>
      <c r="E423" s="7" t="n">
        <v>0.16</v>
      </c>
      <c r="G423" s="8" t="n">
        <v>300</v>
      </c>
    </row>
    <row r="424" customFormat="false" ht="15" hidden="true" customHeight="true" outlineLevel="1" collapsed="false">
      <c r="A424" s="86"/>
      <c r="B424" s="87" t="s">
        <v>385</v>
      </c>
      <c r="C424" s="6" t="s">
        <v>156</v>
      </c>
      <c r="D424" s="119"/>
      <c r="E424" s="7" t="n">
        <v>0.12</v>
      </c>
      <c r="G424" s="8" t="n">
        <v>250</v>
      </c>
    </row>
    <row r="425" customFormat="false" ht="15" hidden="true" customHeight="true" outlineLevel="1" collapsed="false">
      <c r="A425" s="86"/>
      <c r="B425" s="87" t="s">
        <v>386</v>
      </c>
      <c r="C425" s="6" t="s">
        <v>159</v>
      </c>
      <c r="D425" s="89"/>
      <c r="G425" s="8" t="n">
        <v>6</v>
      </c>
    </row>
    <row r="426" customFormat="false" ht="15" hidden="true" customHeight="true" outlineLevel="1" collapsed="false">
      <c r="A426" s="86"/>
      <c r="B426" s="87" t="s">
        <v>387</v>
      </c>
      <c r="C426" s="88" t="s">
        <v>388</v>
      </c>
      <c r="D426" s="89"/>
      <c r="G426" s="8" t="n">
        <v>130</v>
      </c>
    </row>
    <row r="427" customFormat="false" ht="15" hidden="true" customHeight="true" outlineLevel="1" collapsed="false">
      <c r="A427" s="86"/>
      <c r="B427" s="87" t="s">
        <v>389</v>
      </c>
      <c r="C427" s="88" t="s">
        <v>159</v>
      </c>
      <c r="D427" s="89"/>
      <c r="G427" s="8" t="n">
        <v>54</v>
      </c>
    </row>
    <row r="428" customFormat="false" ht="15" hidden="true" customHeight="true" outlineLevel="1" collapsed="false">
      <c r="A428" s="86"/>
      <c r="B428" s="120" t="s">
        <v>390</v>
      </c>
      <c r="C428" s="94" t="s">
        <v>388</v>
      </c>
      <c r="D428" s="85" t="n">
        <v>0.1</v>
      </c>
      <c r="E428" s="84" t="n">
        <v>0.05</v>
      </c>
      <c r="F428" s="121" t="n">
        <v>20</v>
      </c>
      <c r="G428" s="25" t="n">
        <v>110</v>
      </c>
    </row>
    <row r="429" customFormat="false" ht="15" hidden="true" customHeight="true" outlineLevel="1" collapsed="false">
      <c r="A429" s="86"/>
      <c r="B429" s="120" t="s">
        <v>391</v>
      </c>
      <c r="C429" s="94" t="s">
        <v>388</v>
      </c>
      <c r="D429" s="85" t="n">
        <v>0.15</v>
      </c>
      <c r="E429" s="84" t="n">
        <v>0.05</v>
      </c>
      <c r="F429" s="121" t="n">
        <v>20</v>
      </c>
      <c r="G429" s="25" t="n">
        <v>140</v>
      </c>
    </row>
    <row r="430" customFormat="false" ht="15" hidden="true" customHeight="true" outlineLevel="1" collapsed="false">
      <c r="A430" s="86"/>
      <c r="B430" s="120" t="s">
        <v>392</v>
      </c>
      <c r="C430" s="94" t="s">
        <v>388</v>
      </c>
      <c r="D430" s="85" t="n">
        <v>0.2</v>
      </c>
      <c r="E430" s="84" t="n">
        <v>0.05</v>
      </c>
      <c r="F430" s="121" t="n">
        <v>20</v>
      </c>
      <c r="G430" s="25" t="n">
        <v>175</v>
      </c>
    </row>
    <row r="431" customFormat="false" ht="15" hidden="true" customHeight="true" outlineLevel="1" collapsed="false">
      <c r="A431" s="86"/>
      <c r="B431" s="120" t="s">
        <v>393</v>
      </c>
      <c r="C431" s="94" t="s">
        <v>388</v>
      </c>
      <c r="D431" s="85" t="n">
        <v>0.8</v>
      </c>
      <c r="E431" s="84" t="n">
        <v>0.05</v>
      </c>
      <c r="F431" s="121" t="n">
        <v>20</v>
      </c>
      <c r="G431" s="25" t="n">
        <v>750</v>
      </c>
    </row>
    <row r="432" customFormat="false" ht="15" hidden="true" customHeight="true" outlineLevel="1" collapsed="false">
      <c r="A432" s="86"/>
      <c r="B432" s="120" t="s">
        <v>394</v>
      </c>
      <c r="C432" s="94" t="s">
        <v>388</v>
      </c>
      <c r="D432" s="85" t="n">
        <v>0.16</v>
      </c>
      <c r="E432" s="84" t="n">
        <v>0.05</v>
      </c>
      <c r="F432" s="121" t="n">
        <v>20</v>
      </c>
      <c r="G432" s="25" t="n">
        <v>1500</v>
      </c>
    </row>
    <row r="433" customFormat="false" ht="15" hidden="true" customHeight="true" outlineLevel="1" collapsed="false">
      <c r="A433" s="86"/>
      <c r="B433" s="122" t="s">
        <v>395</v>
      </c>
      <c r="C433" s="88" t="s">
        <v>396</v>
      </c>
      <c r="D433" s="89"/>
      <c r="G433" s="8" t="n">
        <v>40</v>
      </c>
    </row>
    <row r="434" customFormat="false" ht="15" hidden="true" customHeight="true" outlineLevel="1" collapsed="false">
      <c r="A434" s="86"/>
      <c r="B434" s="122" t="s">
        <v>397</v>
      </c>
      <c r="C434" s="88" t="s">
        <v>396</v>
      </c>
      <c r="D434" s="89"/>
      <c r="G434" s="8" t="n">
        <v>250</v>
      </c>
    </row>
    <row r="435" customFormat="false" ht="15" hidden="true" customHeight="true" outlineLevel="1" collapsed="false">
      <c r="A435" s="86"/>
      <c r="B435" s="122" t="s">
        <v>398</v>
      </c>
      <c r="C435" s="88" t="s">
        <v>159</v>
      </c>
      <c r="D435" s="89"/>
      <c r="G435" s="8" t="n">
        <v>800</v>
      </c>
    </row>
    <row r="436" customFormat="false" ht="15" hidden="true" customHeight="true" outlineLevel="1" collapsed="false">
      <c r="A436" s="86"/>
      <c r="B436" s="87"/>
      <c r="C436" s="88"/>
      <c r="D436" s="89"/>
    </row>
    <row r="437" customFormat="false" ht="15" hidden="true" customHeight="true" outlineLevel="1" collapsed="false">
      <c r="A437" s="86"/>
      <c r="B437" s="87"/>
      <c r="C437" s="88"/>
      <c r="D437" s="89"/>
    </row>
    <row r="438" customFormat="false" ht="15" hidden="true" customHeight="true" outlineLevel="1" collapsed="false">
      <c r="A438" s="86"/>
      <c r="B438" s="90"/>
      <c r="C438" s="88"/>
      <c r="D438" s="89"/>
    </row>
    <row r="439" customFormat="false" ht="15" hidden="false" customHeight="true" outlineLevel="0" collapsed="false">
      <c r="A439" s="91" t="s">
        <v>292</v>
      </c>
      <c r="B439" s="91"/>
      <c r="C439" s="88"/>
      <c r="D439" s="89"/>
    </row>
    <row r="440" customFormat="false" ht="15" hidden="true" customHeight="true" outlineLevel="1" collapsed="false">
      <c r="A440" s="123" t="s">
        <v>399</v>
      </c>
      <c r="B440" s="123"/>
      <c r="C440" s="124" t="s">
        <v>208</v>
      </c>
      <c r="D440" s="117" t="s">
        <v>400</v>
      </c>
      <c r="E440" s="117" t="s">
        <v>273</v>
      </c>
      <c r="F440" s="64" t="s">
        <v>57</v>
      </c>
      <c r="G440" s="64"/>
    </row>
    <row r="441" customFormat="false" ht="15" hidden="true" customHeight="true" outlineLevel="1" collapsed="false">
      <c r="A441" s="125"/>
      <c r="B441" s="93" t="s">
        <v>401</v>
      </c>
      <c r="C441" s="103" t="s">
        <v>135</v>
      </c>
      <c r="D441" s="22" t="n">
        <v>0.2</v>
      </c>
      <c r="E441" s="126"/>
      <c r="F441" s="54"/>
      <c r="G441" s="22" t="n">
        <v>8000</v>
      </c>
    </row>
    <row r="442" customFormat="false" ht="15" hidden="true" customHeight="true" outlineLevel="1" collapsed="false">
      <c r="A442" s="127"/>
      <c r="B442" s="93" t="s">
        <v>402</v>
      </c>
      <c r="C442" s="103" t="s">
        <v>135</v>
      </c>
      <c r="D442" s="22" t="n">
        <v>0.22</v>
      </c>
      <c r="E442" s="126"/>
      <c r="F442" s="54"/>
      <c r="G442" s="22" t="n">
        <v>8000</v>
      </c>
    </row>
    <row r="443" customFormat="false" ht="15" hidden="true" customHeight="true" outlineLevel="1" collapsed="false">
      <c r="A443" s="127"/>
      <c r="B443" s="93" t="s">
        <v>403</v>
      </c>
      <c r="C443" s="103" t="s">
        <v>135</v>
      </c>
      <c r="D443" s="22" t="n">
        <v>0.24</v>
      </c>
      <c r="E443" s="126"/>
      <c r="F443" s="54"/>
      <c r="G443" s="22" t="n">
        <v>8500</v>
      </c>
    </row>
    <row r="444" customFormat="false" ht="15" hidden="true" customHeight="true" outlineLevel="1" collapsed="false">
      <c r="A444" s="127"/>
      <c r="B444" s="93" t="s">
        <v>404</v>
      </c>
      <c r="C444" s="103" t="s">
        <v>135</v>
      </c>
      <c r="D444" s="22" t="n">
        <v>0.26</v>
      </c>
      <c r="E444" s="126"/>
      <c r="F444" s="54"/>
      <c r="G444" s="22" t="n">
        <v>8500</v>
      </c>
    </row>
    <row r="445" customFormat="false" ht="15" hidden="true" customHeight="true" outlineLevel="1" collapsed="false">
      <c r="A445" s="127"/>
      <c r="B445" s="93" t="s">
        <v>405</v>
      </c>
      <c r="C445" s="103" t="s">
        <v>135</v>
      </c>
      <c r="D445" s="54" t="n">
        <v>0.28</v>
      </c>
      <c r="E445" s="128"/>
      <c r="F445" s="54"/>
      <c r="G445" s="54" t="n">
        <v>9000</v>
      </c>
    </row>
    <row r="446" customFormat="false" ht="15" hidden="true" customHeight="true" outlineLevel="1" collapsed="false">
      <c r="A446" s="127"/>
      <c r="B446" s="93" t="s">
        <v>406</v>
      </c>
      <c r="C446" s="103" t="s">
        <v>135</v>
      </c>
      <c r="D446" s="54" t="n">
        <v>0.3</v>
      </c>
      <c r="E446" s="128"/>
      <c r="F446" s="54"/>
      <c r="G446" s="54" t="n">
        <v>9000</v>
      </c>
    </row>
    <row r="447" customFormat="false" ht="15" hidden="true" customHeight="true" outlineLevel="1" collapsed="false">
      <c r="A447" s="127"/>
      <c r="B447" s="93" t="s">
        <v>407</v>
      </c>
      <c r="C447" s="103" t="s">
        <v>135</v>
      </c>
      <c r="D447" s="54" t="n">
        <v>0.32</v>
      </c>
      <c r="E447" s="128"/>
      <c r="F447" s="54"/>
      <c r="G447" s="54" t="n">
        <v>9500</v>
      </c>
    </row>
    <row r="448" customFormat="false" ht="15" hidden="true" customHeight="true" outlineLevel="1" collapsed="false">
      <c r="A448" s="127"/>
      <c r="B448" s="93" t="s">
        <v>408</v>
      </c>
      <c r="C448" s="103" t="s">
        <v>135</v>
      </c>
      <c r="D448" s="54" t="n">
        <v>0.34</v>
      </c>
      <c r="E448" s="128"/>
      <c r="F448" s="54"/>
      <c r="G448" s="54" t="n">
        <v>9500</v>
      </c>
    </row>
    <row r="449" customFormat="false" ht="15" hidden="true" customHeight="true" outlineLevel="1" collapsed="false">
      <c r="A449" s="127"/>
      <c r="B449" s="93" t="s">
        <v>409</v>
      </c>
      <c r="C449" s="103" t="s">
        <v>135</v>
      </c>
      <c r="D449" s="54" t="n">
        <v>0.36</v>
      </c>
      <c r="E449" s="128"/>
      <c r="F449" s="54"/>
      <c r="G449" s="54" t="n">
        <v>10500</v>
      </c>
    </row>
    <row r="450" customFormat="false" ht="15" hidden="true" customHeight="true" outlineLevel="1" collapsed="false">
      <c r="A450" s="127"/>
      <c r="B450" s="93" t="s">
        <v>410</v>
      </c>
      <c r="C450" s="103" t="s">
        <v>135</v>
      </c>
      <c r="D450" s="54" t="n">
        <v>0.38</v>
      </c>
      <c r="E450" s="128"/>
      <c r="F450" s="54"/>
      <c r="G450" s="54" t="n">
        <v>10500</v>
      </c>
    </row>
    <row r="451" customFormat="false" ht="15" hidden="true" customHeight="true" outlineLevel="1" collapsed="false">
      <c r="A451" s="127"/>
      <c r="B451" s="93" t="s">
        <v>411</v>
      </c>
      <c r="C451" s="103" t="s">
        <v>135</v>
      </c>
      <c r="D451" s="54" t="n">
        <v>0.4</v>
      </c>
      <c r="E451" s="128"/>
      <c r="F451" s="54"/>
      <c r="G451" s="54" t="n">
        <v>11000</v>
      </c>
    </row>
    <row r="452" customFormat="false" ht="15" hidden="true" customHeight="true" outlineLevel="1" collapsed="false">
      <c r="A452" s="127"/>
      <c r="B452" s="93" t="s">
        <v>412</v>
      </c>
      <c r="C452" s="103" t="s">
        <v>135</v>
      </c>
      <c r="D452" s="54" t="n">
        <v>0.42</v>
      </c>
      <c r="E452" s="128"/>
      <c r="F452" s="54"/>
      <c r="G452" s="54" t="n">
        <v>11000</v>
      </c>
    </row>
    <row r="453" customFormat="false" ht="15" hidden="true" customHeight="true" outlineLevel="1" collapsed="false">
      <c r="A453" s="127"/>
      <c r="B453" s="93" t="s">
        <v>413</v>
      </c>
      <c r="C453" s="103" t="s">
        <v>135</v>
      </c>
      <c r="D453" s="54" t="n">
        <v>0.44</v>
      </c>
      <c r="E453" s="128"/>
      <c r="F453" s="54"/>
      <c r="G453" s="54" t="n">
        <v>11500</v>
      </c>
    </row>
    <row r="454" customFormat="false" ht="15" hidden="true" customHeight="true" outlineLevel="1" collapsed="false">
      <c r="A454" s="127"/>
      <c r="B454" s="93" t="s">
        <v>414</v>
      </c>
      <c r="C454" s="103" t="s">
        <v>135</v>
      </c>
      <c r="D454" s="54" t="n">
        <v>0.46</v>
      </c>
      <c r="E454" s="128"/>
      <c r="F454" s="54"/>
      <c r="G454" s="54" t="n">
        <v>11500</v>
      </c>
    </row>
    <row r="455" customFormat="false" ht="15" hidden="true" customHeight="true" outlineLevel="1" collapsed="false">
      <c r="A455" s="127"/>
      <c r="B455" s="93" t="s">
        <v>415</v>
      </c>
      <c r="C455" s="103" t="s">
        <v>135</v>
      </c>
      <c r="D455" s="54" t="n">
        <v>0.48</v>
      </c>
      <c r="E455" s="128"/>
      <c r="F455" s="54"/>
      <c r="G455" s="54" t="n">
        <v>12000</v>
      </c>
    </row>
    <row r="456" customFormat="false" ht="15" hidden="true" customHeight="true" outlineLevel="1" collapsed="false">
      <c r="A456" s="127"/>
      <c r="B456" s="93" t="s">
        <v>416</v>
      </c>
      <c r="C456" s="103" t="s">
        <v>135</v>
      </c>
      <c r="D456" s="54" t="n">
        <v>0.5</v>
      </c>
      <c r="E456" s="128"/>
      <c r="F456" s="54"/>
      <c r="G456" s="54" t="n">
        <v>12000</v>
      </c>
    </row>
    <row r="457" customFormat="false" ht="15" hidden="true" customHeight="true" outlineLevel="1" collapsed="false">
      <c r="A457" s="127"/>
      <c r="B457" s="93" t="s">
        <v>417</v>
      </c>
      <c r="C457" s="103" t="s">
        <v>135</v>
      </c>
      <c r="D457" s="22" t="n">
        <v>0.2</v>
      </c>
      <c r="E457" s="128"/>
      <c r="F457" s="54"/>
      <c r="G457" s="54" t="n">
        <v>10000</v>
      </c>
    </row>
    <row r="458" customFormat="false" ht="15" hidden="true" customHeight="true" outlineLevel="1" collapsed="false">
      <c r="A458" s="127"/>
      <c r="B458" s="93" t="s">
        <v>418</v>
      </c>
      <c r="C458" s="103" t="s">
        <v>135</v>
      </c>
      <c r="D458" s="22" t="n">
        <v>0.22</v>
      </c>
      <c r="E458" s="128"/>
      <c r="F458" s="54"/>
      <c r="G458" s="54" t="n">
        <v>10000</v>
      </c>
    </row>
    <row r="459" customFormat="false" ht="15" hidden="true" customHeight="true" outlineLevel="1" collapsed="false">
      <c r="A459" s="127"/>
      <c r="B459" s="93" t="s">
        <v>419</v>
      </c>
      <c r="C459" s="103" t="s">
        <v>135</v>
      </c>
      <c r="D459" s="22" t="n">
        <v>0.24</v>
      </c>
      <c r="E459" s="128"/>
      <c r="F459" s="54"/>
      <c r="G459" s="54" t="n">
        <v>10500</v>
      </c>
    </row>
    <row r="460" customFormat="false" ht="15" hidden="true" customHeight="true" outlineLevel="1" collapsed="false">
      <c r="A460" s="127"/>
      <c r="B460" s="93" t="s">
        <v>420</v>
      </c>
      <c r="C460" s="103" t="s">
        <v>135</v>
      </c>
      <c r="D460" s="22" t="n">
        <v>0.26</v>
      </c>
      <c r="E460" s="128"/>
      <c r="F460" s="54"/>
      <c r="G460" s="54" t="n">
        <v>10500</v>
      </c>
    </row>
    <row r="461" customFormat="false" ht="15" hidden="true" customHeight="true" outlineLevel="1" collapsed="false">
      <c r="A461" s="127"/>
      <c r="B461" s="93" t="s">
        <v>421</v>
      </c>
      <c r="C461" s="103" t="s">
        <v>135</v>
      </c>
      <c r="D461" s="54" t="n">
        <v>0.28</v>
      </c>
      <c r="E461" s="128"/>
      <c r="F461" s="54"/>
      <c r="G461" s="54" t="n">
        <v>11000</v>
      </c>
    </row>
    <row r="462" customFormat="false" ht="15" hidden="true" customHeight="true" outlineLevel="1" collapsed="false">
      <c r="A462" s="127"/>
      <c r="B462" s="93" t="s">
        <v>422</v>
      </c>
      <c r="C462" s="103" t="s">
        <v>135</v>
      </c>
      <c r="D462" s="54" t="n">
        <v>0.3</v>
      </c>
      <c r="E462" s="128"/>
      <c r="F462" s="54"/>
      <c r="G462" s="54" t="n">
        <v>11000</v>
      </c>
    </row>
    <row r="463" customFormat="false" ht="15" hidden="true" customHeight="true" outlineLevel="1" collapsed="false">
      <c r="A463" s="127"/>
      <c r="B463" s="93" t="s">
        <v>423</v>
      </c>
      <c r="C463" s="103" t="s">
        <v>135</v>
      </c>
      <c r="D463" s="54" t="n">
        <v>0.32</v>
      </c>
      <c r="E463" s="128"/>
      <c r="F463" s="54"/>
      <c r="G463" s="54" t="n">
        <v>11500</v>
      </c>
    </row>
    <row r="464" customFormat="false" ht="15" hidden="true" customHeight="true" outlineLevel="1" collapsed="false">
      <c r="A464" s="127"/>
      <c r="B464" s="93" t="s">
        <v>424</v>
      </c>
      <c r="C464" s="103" t="s">
        <v>135</v>
      </c>
      <c r="D464" s="54" t="n">
        <v>0.34</v>
      </c>
      <c r="E464" s="128"/>
      <c r="F464" s="54"/>
      <c r="G464" s="54" t="n">
        <v>11500</v>
      </c>
    </row>
    <row r="465" customFormat="false" ht="15" hidden="true" customHeight="true" outlineLevel="1" collapsed="false">
      <c r="A465" s="127"/>
      <c r="B465" s="93" t="s">
        <v>425</v>
      </c>
      <c r="C465" s="103" t="s">
        <v>135</v>
      </c>
      <c r="D465" s="54" t="n">
        <v>0.36</v>
      </c>
      <c r="E465" s="128"/>
      <c r="F465" s="54"/>
      <c r="G465" s="54" t="n">
        <v>12500</v>
      </c>
    </row>
    <row r="466" customFormat="false" ht="15" hidden="true" customHeight="true" outlineLevel="1" collapsed="false">
      <c r="A466" s="127"/>
      <c r="B466" s="93" t="s">
        <v>426</v>
      </c>
      <c r="C466" s="103" t="s">
        <v>135</v>
      </c>
      <c r="D466" s="54" t="n">
        <v>0.38</v>
      </c>
      <c r="E466" s="128"/>
      <c r="F466" s="54"/>
      <c r="G466" s="54" t="n">
        <v>12500</v>
      </c>
    </row>
    <row r="467" customFormat="false" ht="15" hidden="true" customHeight="true" outlineLevel="1" collapsed="false">
      <c r="A467" s="127"/>
      <c r="B467" s="93" t="s">
        <v>427</v>
      </c>
      <c r="C467" s="103" t="s">
        <v>135</v>
      </c>
      <c r="D467" s="54" t="n">
        <v>0.4</v>
      </c>
      <c r="E467" s="128"/>
      <c r="F467" s="54"/>
      <c r="G467" s="54" t="n">
        <v>13000</v>
      </c>
    </row>
    <row r="468" customFormat="false" ht="15" hidden="true" customHeight="true" outlineLevel="1" collapsed="false">
      <c r="A468" s="127"/>
      <c r="B468" s="93" t="s">
        <v>428</v>
      </c>
      <c r="C468" s="103" t="s">
        <v>135</v>
      </c>
      <c r="D468" s="54" t="n">
        <v>0.42</v>
      </c>
      <c r="E468" s="128"/>
      <c r="F468" s="54"/>
      <c r="G468" s="54" t="n">
        <v>13000</v>
      </c>
    </row>
    <row r="469" customFormat="false" ht="15" hidden="true" customHeight="true" outlineLevel="1" collapsed="false">
      <c r="A469" s="127"/>
      <c r="B469" s="93" t="s">
        <v>429</v>
      </c>
      <c r="C469" s="103" t="s">
        <v>135</v>
      </c>
      <c r="D469" s="54" t="n">
        <v>0.44</v>
      </c>
      <c r="E469" s="128"/>
      <c r="F469" s="54"/>
      <c r="G469" s="54" t="n">
        <v>13500</v>
      </c>
    </row>
    <row r="470" customFormat="false" ht="15" hidden="true" customHeight="true" outlineLevel="1" collapsed="false">
      <c r="A470" s="127"/>
      <c r="B470" s="93" t="s">
        <v>430</v>
      </c>
      <c r="C470" s="103" t="s">
        <v>135</v>
      </c>
      <c r="D470" s="54" t="n">
        <v>0.46</v>
      </c>
      <c r="E470" s="128"/>
      <c r="F470" s="54"/>
      <c r="G470" s="54" t="n">
        <v>13500</v>
      </c>
    </row>
    <row r="471" customFormat="false" ht="15" hidden="true" customHeight="true" outlineLevel="1" collapsed="false">
      <c r="A471" s="127"/>
      <c r="B471" s="93" t="s">
        <v>431</v>
      </c>
      <c r="C471" s="103" t="s">
        <v>135</v>
      </c>
      <c r="D471" s="54" t="n">
        <v>0.48</v>
      </c>
      <c r="E471" s="128"/>
      <c r="F471" s="54"/>
      <c r="G471" s="54" t="n">
        <v>14000</v>
      </c>
    </row>
    <row r="472" customFormat="false" ht="15" hidden="true" customHeight="true" outlineLevel="1" collapsed="false">
      <c r="A472" s="127"/>
      <c r="B472" s="93" t="s">
        <v>432</v>
      </c>
      <c r="C472" s="103" t="s">
        <v>135</v>
      </c>
      <c r="D472" s="54" t="n">
        <v>0.5</v>
      </c>
      <c r="E472" s="128"/>
      <c r="F472" s="54"/>
      <c r="G472" s="54" t="n">
        <v>14000</v>
      </c>
    </row>
    <row r="473" customFormat="false" ht="15" hidden="true" customHeight="true" outlineLevel="1" collapsed="false">
      <c r="A473" s="127"/>
      <c r="B473" s="93" t="s">
        <v>433</v>
      </c>
      <c r="C473" s="103" t="s">
        <v>135</v>
      </c>
      <c r="D473" s="54" t="n">
        <v>0.28</v>
      </c>
      <c r="E473" s="128"/>
      <c r="F473" s="54"/>
      <c r="G473" s="54" t="n">
        <v>10000</v>
      </c>
    </row>
    <row r="474" customFormat="false" ht="15" hidden="true" customHeight="true" outlineLevel="1" collapsed="false">
      <c r="A474" s="127"/>
      <c r="B474" s="93" t="s">
        <v>434</v>
      </c>
      <c r="C474" s="103" t="s">
        <v>135</v>
      </c>
      <c r="D474" s="54" t="n">
        <v>0.3</v>
      </c>
      <c r="E474" s="128"/>
      <c r="F474" s="54"/>
      <c r="G474" s="54" t="n">
        <v>10000</v>
      </c>
    </row>
    <row r="475" customFormat="false" ht="15" hidden="true" customHeight="true" outlineLevel="1" collapsed="false">
      <c r="A475" s="127"/>
      <c r="B475" s="93" t="s">
        <v>435</v>
      </c>
      <c r="C475" s="103" t="s">
        <v>135</v>
      </c>
      <c r="D475" s="54" t="n">
        <v>0.32</v>
      </c>
      <c r="E475" s="126"/>
      <c r="F475" s="54"/>
      <c r="G475" s="54" t="n">
        <v>10500</v>
      </c>
    </row>
    <row r="476" customFormat="false" ht="15" hidden="true" customHeight="true" outlineLevel="1" collapsed="false">
      <c r="A476" s="127"/>
      <c r="B476" s="93" t="s">
        <v>436</v>
      </c>
      <c r="C476" s="103" t="s">
        <v>135</v>
      </c>
      <c r="D476" s="54" t="n">
        <v>0.34</v>
      </c>
      <c r="E476" s="126"/>
      <c r="F476" s="54"/>
      <c r="G476" s="54" t="n">
        <v>10500</v>
      </c>
    </row>
    <row r="477" customFormat="false" ht="15" hidden="true" customHeight="true" outlineLevel="1" collapsed="false">
      <c r="A477" s="127"/>
      <c r="B477" s="93" t="s">
        <v>437</v>
      </c>
      <c r="C477" s="103" t="s">
        <v>135</v>
      </c>
      <c r="D477" s="54" t="n">
        <v>0.36</v>
      </c>
      <c r="E477" s="126"/>
      <c r="F477" s="54"/>
      <c r="G477" s="54" t="n">
        <v>11000</v>
      </c>
    </row>
    <row r="478" customFormat="false" ht="15" hidden="true" customHeight="true" outlineLevel="1" collapsed="false">
      <c r="A478" s="127"/>
      <c r="B478" s="93" t="s">
        <v>438</v>
      </c>
      <c r="C478" s="103" t="s">
        <v>135</v>
      </c>
      <c r="D478" s="54" t="n">
        <v>0.38</v>
      </c>
      <c r="E478" s="126"/>
      <c r="F478" s="54"/>
      <c r="G478" s="54" t="n">
        <v>11000</v>
      </c>
    </row>
    <row r="479" customFormat="false" ht="15" hidden="true" customHeight="true" outlineLevel="1" collapsed="false">
      <c r="A479" s="127"/>
      <c r="B479" s="93" t="s">
        <v>439</v>
      </c>
      <c r="C479" s="103" t="s">
        <v>135</v>
      </c>
      <c r="D479" s="54" t="n">
        <v>0.4</v>
      </c>
      <c r="E479" s="126"/>
      <c r="F479" s="54"/>
      <c r="G479" s="54" t="n">
        <v>11500</v>
      </c>
    </row>
    <row r="480" customFormat="false" ht="15" hidden="true" customHeight="true" outlineLevel="1" collapsed="false">
      <c r="A480" s="127"/>
      <c r="B480" s="93" t="s">
        <v>440</v>
      </c>
      <c r="C480" s="103" t="s">
        <v>135</v>
      </c>
      <c r="D480" s="54" t="n">
        <v>0.42</v>
      </c>
      <c r="E480" s="126"/>
      <c r="F480" s="54"/>
      <c r="G480" s="54" t="n">
        <v>11500</v>
      </c>
    </row>
    <row r="481" customFormat="false" ht="15" hidden="true" customHeight="true" outlineLevel="1" collapsed="false">
      <c r="A481" s="127"/>
      <c r="B481" s="93" t="s">
        <v>441</v>
      </c>
      <c r="C481" s="103" t="s">
        <v>135</v>
      </c>
      <c r="D481" s="54" t="n">
        <v>0.44</v>
      </c>
      <c r="E481" s="126"/>
      <c r="F481" s="54"/>
      <c r="G481" s="54" t="n">
        <v>12000</v>
      </c>
    </row>
    <row r="482" customFormat="false" ht="15" hidden="true" customHeight="true" outlineLevel="1" collapsed="false">
      <c r="A482" s="127"/>
      <c r="B482" s="93" t="s">
        <v>442</v>
      </c>
      <c r="C482" s="103" t="s">
        <v>135</v>
      </c>
      <c r="D482" s="54" t="n">
        <v>0.46</v>
      </c>
      <c r="E482" s="126"/>
      <c r="F482" s="54"/>
      <c r="G482" s="54" t="n">
        <v>12000</v>
      </c>
    </row>
    <row r="483" customFormat="false" ht="15" hidden="true" customHeight="true" outlineLevel="1" collapsed="false">
      <c r="A483" s="127"/>
      <c r="B483" s="93" t="s">
        <v>443</v>
      </c>
      <c r="C483" s="103" t="s">
        <v>135</v>
      </c>
      <c r="D483" s="54" t="n">
        <v>0.48</v>
      </c>
      <c r="E483" s="126"/>
      <c r="F483" s="54"/>
      <c r="G483" s="54" t="n">
        <v>12500</v>
      </c>
    </row>
    <row r="484" customFormat="false" ht="15" hidden="true" customHeight="true" outlineLevel="1" collapsed="false">
      <c r="A484" s="127"/>
      <c r="B484" s="93" t="s">
        <v>444</v>
      </c>
      <c r="C484" s="103" t="s">
        <v>135</v>
      </c>
      <c r="D484" s="54" t="n">
        <v>0.5</v>
      </c>
      <c r="E484" s="126"/>
      <c r="F484" s="54"/>
      <c r="G484" s="54" t="n">
        <v>12500</v>
      </c>
    </row>
    <row r="485" customFormat="false" ht="15" hidden="true" customHeight="true" outlineLevel="1" collapsed="false">
      <c r="A485" s="127"/>
      <c r="B485" s="93" t="s">
        <v>445</v>
      </c>
      <c r="C485" s="103" t="s">
        <v>135</v>
      </c>
      <c r="D485" s="22" t="n">
        <v>0.2</v>
      </c>
      <c r="E485" s="126"/>
      <c r="F485" s="54"/>
      <c r="G485" s="22" t="n">
        <v>5000</v>
      </c>
    </row>
    <row r="486" customFormat="false" ht="15" hidden="true" customHeight="true" outlineLevel="1" collapsed="false">
      <c r="A486" s="127"/>
      <c r="B486" s="93" t="s">
        <v>446</v>
      </c>
      <c r="C486" s="103" t="s">
        <v>135</v>
      </c>
      <c r="D486" s="22" t="n">
        <v>0.22</v>
      </c>
      <c r="E486" s="126"/>
      <c r="F486" s="54"/>
      <c r="G486" s="22" t="n">
        <v>5000</v>
      </c>
    </row>
    <row r="487" customFormat="false" ht="15" hidden="true" customHeight="true" outlineLevel="1" collapsed="false">
      <c r="A487" s="127"/>
      <c r="B487" s="93" t="s">
        <v>447</v>
      </c>
      <c r="C487" s="103" t="s">
        <v>135</v>
      </c>
      <c r="D487" s="22" t="n">
        <v>0.24</v>
      </c>
      <c r="E487" s="126"/>
      <c r="F487" s="54"/>
      <c r="G487" s="22" t="n">
        <v>5000</v>
      </c>
    </row>
    <row r="488" customFormat="false" ht="15" hidden="true" customHeight="true" outlineLevel="1" collapsed="false">
      <c r="A488" s="127"/>
      <c r="B488" s="93" t="s">
        <v>448</v>
      </c>
      <c r="C488" s="103" t="s">
        <v>135</v>
      </c>
      <c r="D488" s="22" t="n">
        <v>0.26</v>
      </c>
      <c r="E488" s="126"/>
      <c r="F488" s="54"/>
      <c r="G488" s="22" t="n">
        <v>5000</v>
      </c>
    </row>
    <row r="489" customFormat="false" ht="15" hidden="true" customHeight="true" outlineLevel="1" collapsed="false">
      <c r="A489" s="127"/>
      <c r="B489" s="93" t="s">
        <v>449</v>
      </c>
      <c r="C489" s="103" t="s">
        <v>135</v>
      </c>
      <c r="D489" s="54" t="n">
        <v>0.28</v>
      </c>
      <c r="E489" s="128"/>
      <c r="F489" s="54"/>
      <c r="G489" s="22" t="n">
        <v>5000</v>
      </c>
    </row>
    <row r="490" customFormat="false" ht="15" hidden="true" customHeight="true" outlineLevel="1" collapsed="false">
      <c r="A490" s="127"/>
      <c r="B490" s="93" t="s">
        <v>450</v>
      </c>
      <c r="C490" s="103" t="s">
        <v>135</v>
      </c>
      <c r="D490" s="54" t="n">
        <v>0.3</v>
      </c>
      <c r="E490" s="128"/>
      <c r="F490" s="54"/>
      <c r="G490" s="22" t="n">
        <v>5000</v>
      </c>
    </row>
    <row r="491" customFormat="false" ht="15" hidden="true" customHeight="true" outlineLevel="1" collapsed="false">
      <c r="A491" s="127"/>
      <c r="B491" s="93" t="s">
        <v>451</v>
      </c>
      <c r="C491" s="103" t="s">
        <v>135</v>
      </c>
      <c r="D491" s="54" t="n">
        <v>0.32</v>
      </c>
      <c r="E491" s="128"/>
      <c r="F491" s="54"/>
      <c r="G491" s="22" t="n">
        <v>5000</v>
      </c>
    </row>
    <row r="492" customFormat="false" ht="15" hidden="true" customHeight="true" outlineLevel="1" collapsed="false">
      <c r="A492" s="127"/>
      <c r="B492" s="93" t="s">
        <v>452</v>
      </c>
      <c r="C492" s="103" t="s">
        <v>135</v>
      </c>
      <c r="D492" s="54" t="n">
        <v>0.34</v>
      </c>
      <c r="E492" s="128"/>
      <c r="F492" s="54"/>
      <c r="G492" s="22" t="n">
        <v>5000</v>
      </c>
    </row>
    <row r="493" customFormat="false" ht="15" hidden="true" customHeight="true" outlineLevel="1" collapsed="false">
      <c r="A493" s="127"/>
      <c r="B493" s="93" t="s">
        <v>453</v>
      </c>
      <c r="C493" s="103" t="s">
        <v>135</v>
      </c>
      <c r="D493" s="54" t="n">
        <v>0.36</v>
      </c>
      <c r="E493" s="128"/>
      <c r="F493" s="54"/>
      <c r="G493" s="22" t="n">
        <v>5000</v>
      </c>
    </row>
    <row r="494" customFormat="false" ht="15" hidden="true" customHeight="true" outlineLevel="1" collapsed="false">
      <c r="A494" s="127"/>
      <c r="B494" s="93" t="s">
        <v>454</v>
      </c>
      <c r="C494" s="103" t="s">
        <v>135</v>
      </c>
      <c r="D494" s="54" t="n">
        <v>0.38</v>
      </c>
      <c r="E494" s="128"/>
      <c r="F494" s="54"/>
      <c r="G494" s="22" t="n">
        <v>5000</v>
      </c>
    </row>
    <row r="495" customFormat="false" ht="15" hidden="true" customHeight="true" outlineLevel="1" collapsed="false">
      <c r="A495" s="127"/>
      <c r="B495" s="93" t="s">
        <v>455</v>
      </c>
      <c r="C495" s="103" t="s">
        <v>135</v>
      </c>
      <c r="D495" s="54" t="n">
        <v>0.4</v>
      </c>
      <c r="E495" s="128"/>
      <c r="F495" s="54"/>
      <c r="G495" s="22" t="n">
        <v>5000</v>
      </c>
    </row>
    <row r="496" customFormat="false" ht="15" hidden="true" customHeight="true" outlineLevel="1" collapsed="false">
      <c r="A496" s="127"/>
      <c r="B496" s="93" t="s">
        <v>456</v>
      </c>
      <c r="C496" s="103" t="s">
        <v>135</v>
      </c>
      <c r="D496" s="54" t="n">
        <v>0.42</v>
      </c>
      <c r="E496" s="128"/>
      <c r="F496" s="54"/>
      <c r="G496" s="22" t="n">
        <v>5000</v>
      </c>
    </row>
    <row r="497" customFormat="false" ht="15" hidden="true" customHeight="true" outlineLevel="1" collapsed="false">
      <c r="A497" s="127"/>
      <c r="B497" s="93" t="s">
        <v>457</v>
      </c>
      <c r="C497" s="103" t="s">
        <v>135</v>
      </c>
      <c r="D497" s="54" t="n">
        <v>0.44</v>
      </c>
      <c r="E497" s="128"/>
      <c r="F497" s="54"/>
      <c r="G497" s="22" t="n">
        <v>5000</v>
      </c>
    </row>
    <row r="498" customFormat="false" ht="15" hidden="true" customHeight="true" outlineLevel="1" collapsed="false">
      <c r="A498" s="127"/>
      <c r="B498" s="93" t="s">
        <v>458</v>
      </c>
      <c r="C498" s="103" t="s">
        <v>135</v>
      </c>
      <c r="D498" s="54" t="n">
        <v>0.46</v>
      </c>
      <c r="E498" s="128"/>
      <c r="F498" s="54"/>
      <c r="G498" s="22" t="n">
        <v>5000</v>
      </c>
    </row>
    <row r="499" customFormat="false" ht="15" hidden="true" customHeight="true" outlineLevel="1" collapsed="false">
      <c r="A499" s="127"/>
      <c r="B499" s="93" t="s">
        <v>459</v>
      </c>
      <c r="C499" s="103" t="s">
        <v>135</v>
      </c>
      <c r="D499" s="54" t="n">
        <v>0.48</v>
      </c>
      <c r="E499" s="128"/>
      <c r="F499" s="54"/>
      <c r="G499" s="22" t="n">
        <v>5000</v>
      </c>
    </row>
    <row r="500" customFormat="false" ht="15" hidden="true" customHeight="true" outlineLevel="1" collapsed="false">
      <c r="A500" s="127"/>
      <c r="B500" s="93" t="s">
        <v>460</v>
      </c>
      <c r="C500" s="103" t="s">
        <v>135</v>
      </c>
      <c r="D500" s="54" t="n">
        <v>0.5</v>
      </c>
      <c r="E500" s="128"/>
      <c r="F500" s="54"/>
      <c r="G500" s="22" t="n">
        <v>5000</v>
      </c>
    </row>
    <row r="501" customFormat="false" ht="15" hidden="true" customHeight="true" outlineLevel="1" collapsed="false">
      <c r="A501" s="127"/>
      <c r="B501" s="93" t="s">
        <v>461</v>
      </c>
      <c r="C501" s="103" t="s">
        <v>135</v>
      </c>
      <c r="D501" s="22" t="n">
        <v>0.2</v>
      </c>
      <c r="E501" s="128"/>
      <c r="F501" s="54"/>
      <c r="G501" s="54" t="n">
        <v>6500</v>
      </c>
    </row>
    <row r="502" customFormat="false" ht="15" hidden="true" customHeight="true" outlineLevel="1" collapsed="false">
      <c r="A502" s="127"/>
      <c r="B502" s="93" t="s">
        <v>462</v>
      </c>
      <c r="C502" s="103" t="s">
        <v>135</v>
      </c>
      <c r="D502" s="22" t="n">
        <v>0.22</v>
      </c>
      <c r="E502" s="128"/>
      <c r="F502" s="54"/>
      <c r="G502" s="54" t="n">
        <v>6500</v>
      </c>
    </row>
    <row r="503" customFormat="false" ht="15" hidden="true" customHeight="true" outlineLevel="1" collapsed="false">
      <c r="A503" s="127"/>
      <c r="B503" s="93" t="s">
        <v>463</v>
      </c>
      <c r="C503" s="103" t="s">
        <v>135</v>
      </c>
      <c r="D503" s="22" t="n">
        <v>0.24</v>
      </c>
      <c r="E503" s="128"/>
      <c r="F503" s="54"/>
      <c r="G503" s="54" t="n">
        <v>6500</v>
      </c>
    </row>
    <row r="504" customFormat="false" ht="15" hidden="true" customHeight="true" outlineLevel="1" collapsed="false">
      <c r="A504" s="127"/>
      <c r="B504" s="93" t="s">
        <v>464</v>
      </c>
      <c r="C504" s="103" t="s">
        <v>135</v>
      </c>
      <c r="D504" s="22" t="n">
        <v>0.26</v>
      </c>
      <c r="E504" s="128"/>
      <c r="F504" s="54"/>
      <c r="G504" s="54" t="n">
        <v>6500</v>
      </c>
    </row>
    <row r="505" customFormat="false" ht="15" hidden="true" customHeight="true" outlineLevel="1" collapsed="false">
      <c r="A505" s="127"/>
      <c r="B505" s="93" t="s">
        <v>465</v>
      </c>
      <c r="C505" s="103" t="s">
        <v>135</v>
      </c>
      <c r="D505" s="54" t="n">
        <v>0.28</v>
      </c>
      <c r="E505" s="128"/>
      <c r="F505" s="54"/>
      <c r="G505" s="54" t="n">
        <v>6500</v>
      </c>
    </row>
    <row r="506" customFormat="false" ht="15" hidden="true" customHeight="true" outlineLevel="1" collapsed="false">
      <c r="A506" s="127"/>
      <c r="B506" s="93" t="s">
        <v>466</v>
      </c>
      <c r="C506" s="103" t="s">
        <v>135</v>
      </c>
      <c r="D506" s="54" t="n">
        <v>0.3</v>
      </c>
      <c r="E506" s="128"/>
      <c r="F506" s="54"/>
      <c r="G506" s="54" t="n">
        <v>6500</v>
      </c>
    </row>
    <row r="507" customFormat="false" ht="15" hidden="true" customHeight="true" outlineLevel="1" collapsed="false">
      <c r="A507" s="127"/>
      <c r="B507" s="93" t="s">
        <v>467</v>
      </c>
      <c r="C507" s="103" t="s">
        <v>135</v>
      </c>
      <c r="D507" s="54" t="n">
        <v>0.32</v>
      </c>
      <c r="E507" s="128"/>
      <c r="F507" s="54"/>
      <c r="G507" s="54" t="n">
        <v>6500</v>
      </c>
    </row>
    <row r="508" customFormat="false" ht="15" hidden="true" customHeight="true" outlineLevel="1" collapsed="false">
      <c r="A508" s="127"/>
      <c r="B508" s="93" t="s">
        <v>468</v>
      </c>
      <c r="C508" s="103" t="s">
        <v>135</v>
      </c>
      <c r="D508" s="54" t="n">
        <v>0.34</v>
      </c>
      <c r="E508" s="128"/>
      <c r="F508" s="54"/>
      <c r="G508" s="54" t="n">
        <v>6500</v>
      </c>
    </row>
    <row r="509" customFormat="false" ht="15" hidden="true" customHeight="true" outlineLevel="1" collapsed="false">
      <c r="A509" s="127"/>
      <c r="B509" s="93" t="s">
        <v>469</v>
      </c>
      <c r="C509" s="103" t="s">
        <v>135</v>
      </c>
      <c r="D509" s="54" t="n">
        <v>0.36</v>
      </c>
      <c r="E509" s="128"/>
      <c r="F509" s="54"/>
      <c r="G509" s="54" t="n">
        <v>6500</v>
      </c>
    </row>
    <row r="510" customFormat="false" ht="15" hidden="true" customHeight="true" outlineLevel="1" collapsed="false">
      <c r="A510" s="127"/>
      <c r="B510" s="93" t="s">
        <v>470</v>
      </c>
      <c r="C510" s="103" t="s">
        <v>135</v>
      </c>
      <c r="D510" s="54" t="n">
        <v>0.38</v>
      </c>
      <c r="E510" s="128"/>
      <c r="F510" s="54"/>
      <c r="G510" s="54" t="n">
        <v>6500</v>
      </c>
    </row>
    <row r="511" customFormat="false" ht="15" hidden="true" customHeight="true" outlineLevel="1" collapsed="false">
      <c r="A511" s="127"/>
      <c r="B511" s="93" t="s">
        <v>471</v>
      </c>
      <c r="C511" s="103" t="s">
        <v>135</v>
      </c>
      <c r="D511" s="54" t="n">
        <v>0.4</v>
      </c>
      <c r="E511" s="128"/>
      <c r="F511" s="54"/>
      <c r="G511" s="54" t="n">
        <v>6500</v>
      </c>
    </row>
    <row r="512" customFormat="false" ht="15" hidden="true" customHeight="true" outlineLevel="1" collapsed="false">
      <c r="A512" s="127"/>
      <c r="B512" s="93" t="s">
        <v>472</v>
      </c>
      <c r="C512" s="103" t="s">
        <v>135</v>
      </c>
      <c r="D512" s="54" t="n">
        <v>0.42</v>
      </c>
      <c r="E512" s="128"/>
      <c r="F512" s="54"/>
      <c r="G512" s="54" t="n">
        <v>6500</v>
      </c>
    </row>
    <row r="513" customFormat="false" ht="15" hidden="true" customHeight="true" outlineLevel="1" collapsed="false">
      <c r="A513" s="127"/>
      <c r="B513" s="93" t="s">
        <v>473</v>
      </c>
      <c r="C513" s="103" t="s">
        <v>135</v>
      </c>
      <c r="D513" s="54" t="n">
        <v>0.44</v>
      </c>
      <c r="E513" s="128"/>
      <c r="F513" s="54"/>
      <c r="G513" s="54" t="n">
        <v>6500</v>
      </c>
    </row>
    <row r="514" customFormat="false" ht="15" hidden="true" customHeight="true" outlineLevel="1" collapsed="false">
      <c r="A514" s="127"/>
      <c r="B514" s="93" t="s">
        <v>474</v>
      </c>
      <c r="C514" s="103" t="s">
        <v>135</v>
      </c>
      <c r="D514" s="54" t="n">
        <v>0.46</v>
      </c>
      <c r="E514" s="128"/>
      <c r="F514" s="54"/>
      <c r="G514" s="54" t="n">
        <v>6500</v>
      </c>
    </row>
    <row r="515" customFormat="false" ht="15" hidden="true" customHeight="true" outlineLevel="1" collapsed="false">
      <c r="A515" s="127"/>
      <c r="B515" s="93" t="s">
        <v>475</v>
      </c>
      <c r="C515" s="103" t="s">
        <v>135</v>
      </c>
      <c r="D515" s="54" t="n">
        <v>0.48</v>
      </c>
      <c r="E515" s="128"/>
      <c r="F515" s="54"/>
      <c r="G515" s="54" t="n">
        <v>6500</v>
      </c>
    </row>
    <row r="516" customFormat="false" ht="15" hidden="true" customHeight="true" outlineLevel="1" collapsed="false">
      <c r="A516" s="127"/>
      <c r="B516" s="93" t="s">
        <v>476</v>
      </c>
      <c r="C516" s="103" t="s">
        <v>135</v>
      </c>
      <c r="D516" s="54" t="n">
        <v>0.5</v>
      </c>
      <c r="E516" s="128"/>
      <c r="F516" s="54"/>
      <c r="G516" s="54" t="n">
        <v>6500</v>
      </c>
    </row>
    <row r="517" customFormat="false" ht="15" hidden="true" customHeight="true" outlineLevel="1" collapsed="false">
      <c r="A517" s="127"/>
      <c r="B517" s="93" t="s">
        <v>477</v>
      </c>
      <c r="C517" s="103" t="s">
        <v>135</v>
      </c>
      <c r="D517" s="54" t="n">
        <v>0.28</v>
      </c>
      <c r="E517" s="128"/>
      <c r="F517" s="54"/>
      <c r="G517" s="54" t="n">
        <v>6000</v>
      </c>
    </row>
    <row r="518" customFormat="false" ht="15" hidden="true" customHeight="true" outlineLevel="1" collapsed="false">
      <c r="A518" s="127"/>
      <c r="B518" s="93" t="s">
        <v>478</v>
      </c>
      <c r="C518" s="103" t="s">
        <v>135</v>
      </c>
      <c r="D518" s="54" t="n">
        <v>0.3</v>
      </c>
      <c r="E518" s="128"/>
      <c r="F518" s="54"/>
      <c r="G518" s="54" t="n">
        <v>6000</v>
      </c>
    </row>
    <row r="519" customFormat="false" ht="15" hidden="true" customHeight="true" outlineLevel="1" collapsed="false">
      <c r="A519" s="127"/>
      <c r="B519" s="93" t="s">
        <v>479</v>
      </c>
      <c r="C519" s="103" t="s">
        <v>135</v>
      </c>
      <c r="D519" s="54" t="n">
        <v>0.32</v>
      </c>
      <c r="E519" s="126"/>
      <c r="F519" s="54"/>
      <c r="G519" s="54" t="n">
        <v>6000</v>
      </c>
    </row>
    <row r="520" customFormat="false" ht="15" hidden="true" customHeight="true" outlineLevel="1" collapsed="false">
      <c r="A520" s="127"/>
      <c r="B520" s="93" t="s">
        <v>480</v>
      </c>
      <c r="C520" s="103" t="s">
        <v>135</v>
      </c>
      <c r="D520" s="54" t="n">
        <v>0.34</v>
      </c>
      <c r="E520" s="126"/>
      <c r="F520" s="54"/>
      <c r="G520" s="54" t="n">
        <v>6000</v>
      </c>
    </row>
    <row r="521" customFormat="false" ht="15" hidden="true" customHeight="true" outlineLevel="1" collapsed="false">
      <c r="A521" s="127"/>
      <c r="B521" s="93" t="s">
        <v>481</v>
      </c>
      <c r="C521" s="103" t="s">
        <v>135</v>
      </c>
      <c r="D521" s="54" t="n">
        <v>0.36</v>
      </c>
      <c r="E521" s="126"/>
      <c r="F521" s="54"/>
      <c r="G521" s="54" t="n">
        <v>6000</v>
      </c>
    </row>
    <row r="522" customFormat="false" ht="15" hidden="true" customHeight="true" outlineLevel="1" collapsed="false">
      <c r="A522" s="127"/>
      <c r="B522" s="93" t="s">
        <v>482</v>
      </c>
      <c r="C522" s="103" t="s">
        <v>135</v>
      </c>
      <c r="D522" s="54" t="n">
        <v>0.38</v>
      </c>
      <c r="E522" s="126"/>
      <c r="F522" s="54"/>
      <c r="G522" s="54" t="n">
        <v>6000</v>
      </c>
    </row>
    <row r="523" customFormat="false" ht="15" hidden="true" customHeight="true" outlineLevel="1" collapsed="false">
      <c r="A523" s="127"/>
      <c r="B523" s="93" t="s">
        <v>483</v>
      </c>
      <c r="C523" s="103" t="s">
        <v>135</v>
      </c>
      <c r="D523" s="54" t="n">
        <v>0.4</v>
      </c>
      <c r="E523" s="126"/>
      <c r="F523" s="54"/>
      <c r="G523" s="54" t="n">
        <v>6000</v>
      </c>
    </row>
    <row r="524" customFormat="false" ht="15" hidden="true" customHeight="true" outlineLevel="1" collapsed="false">
      <c r="A524" s="127"/>
      <c r="B524" s="93" t="s">
        <v>484</v>
      </c>
      <c r="C524" s="103" t="s">
        <v>135</v>
      </c>
      <c r="D524" s="54" t="n">
        <v>0.42</v>
      </c>
      <c r="E524" s="126"/>
      <c r="F524" s="54"/>
      <c r="G524" s="54" t="n">
        <v>6000</v>
      </c>
    </row>
    <row r="525" customFormat="false" ht="15" hidden="true" customHeight="true" outlineLevel="1" collapsed="false">
      <c r="A525" s="127"/>
      <c r="B525" s="93" t="s">
        <v>485</v>
      </c>
      <c r="C525" s="103" t="s">
        <v>135</v>
      </c>
      <c r="D525" s="54" t="n">
        <v>0.44</v>
      </c>
      <c r="E525" s="126"/>
      <c r="F525" s="54"/>
      <c r="G525" s="54" t="n">
        <v>6000</v>
      </c>
    </row>
    <row r="526" customFormat="false" ht="15" hidden="true" customHeight="true" outlineLevel="1" collapsed="false">
      <c r="A526" s="127"/>
      <c r="B526" s="93" t="s">
        <v>486</v>
      </c>
      <c r="C526" s="103" t="s">
        <v>135</v>
      </c>
      <c r="D526" s="54" t="n">
        <v>0.46</v>
      </c>
      <c r="E526" s="126"/>
      <c r="F526" s="54"/>
      <c r="G526" s="54" t="n">
        <v>6000</v>
      </c>
    </row>
    <row r="527" customFormat="false" ht="15" hidden="true" customHeight="true" outlineLevel="1" collapsed="false">
      <c r="A527" s="127"/>
      <c r="B527" s="93" t="s">
        <v>487</v>
      </c>
      <c r="C527" s="103" t="s">
        <v>135</v>
      </c>
      <c r="D527" s="54" t="n">
        <v>0.48</v>
      </c>
      <c r="E527" s="126"/>
      <c r="F527" s="54"/>
      <c r="G527" s="54" t="n">
        <v>6000</v>
      </c>
    </row>
    <row r="528" customFormat="false" ht="15" hidden="true" customHeight="true" outlineLevel="1" collapsed="false">
      <c r="A528" s="127"/>
      <c r="B528" s="93" t="s">
        <v>488</v>
      </c>
      <c r="C528" s="103" t="s">
        <v>135</v>
      </c>
      <c r="D528" s="54" t="n">
        <v>0.5</v>
      </c>
      <c r="E528" s="126"/>
      <c r="F528" s="54"/>
      <c r="G528" s="54" t="n">
        <v>6000</v>
      </c>
    </row>
    <row r="529" customFormat="false" ht="15" hidden="true" customHeight="true" outlineLevel="1" collapsed="false">
      <c r="A529" s="127"/>
      <c r="B529" s="93" t="s">
        <v>489</v>
      </c>
      <c r="C529" s="103" t="s">
        <v>159</v>
      </c>
      <c r="D529" s="54"/>
      <c r="E529" s="126"/>
      <c r="F529" s="54"/>
      <c r="G529" s="54" t="n">
        <v>50</v>
      </c>
    </row>
    <row r="530" customFormat="false" ht="15" hidden="true" customHeight="true" outlineLevel="1" collapsed="false">
      <c r="A530" s="127"/>
      <c r="B530" s="93" t="s">
        <v>490</v>
      </c>
      <c r="C530" s="103" t="s">
        <v>159</v>
      </c>
      <c r="D530" s="54"/>
      <c r="E530" s="126"/>
      <c r="F530" s="54"/>
      <c r="G530" s="54" t="n">
        <v>450</v>
      </c>
    </row>
    <row r="531" customFormat="false" ht="15" hidden="true" customHeight="true" outlineLevel="1" collapsed="false">
      <c r="A531" s="127"/>
      <c r="B531" s="93" t="s">
        <v>491</v>
      </c>
      <c r="C531" s="103" t="s">
        <v>159</v>
      </c>
      <c r="D531" s="54"/>
      <c r="E531" s="126"/>
      <c r="F531" s="54"/>
      <c r="G531" s="54" t="n">
        <v>51</v>
      </c>
    </row>
    <row r="532" customFormat="false" ht="15" hidden="true" customHeight="true" outlineLevel="1" collapsed="false">
      <c r="A532" s="127"/>
      <c r="B532" s="93"/>
      <c r="C532" s="103"/>
      <c r="D532" s="54"/>
      <c r="E532" s="126"/>
      <c r="F532" s="54"/>
      <c r="G532" s="54"/>
    </row>
    <row r="533" customFormat="false" ht="15" hidden="true" customHeight="true" outlineLevel="1" collapsed="false">
      <c r="A533" s="127"/>
      <c r="B533" s="96"/>
      <c r="C533" s="103"/>
      <c r="D533" s="54"/>
      <c r="E533" s="126"/>
      <c r="F533" s="54"/>
      <c r="G533" s="54"/>
    </row>
    <row r="534" customFormat="false" ht="15" hidden="false" customHeight="true" outlineLevel="0" collapsed="false">
      <c r="A534" s="47" t="s">
        <v>399</v>
      </c>
      <c r="B534" s="47"/>
      <c r="C534" s="103"/>
      <c r="D534" s="54"/>
      <c r="E534" s="126"/>
      <c r="F534" s="54"/>
      <c r="G534" s="54"/>
    </row>
    <row r="535" customFormat="false" ht="15" hidden="true" customHeight="true" outlineLevel="1" collapsed="false">
      <c r="A535" s="129" t="s">
        <v>492</v>
      </c>
      <c r="B535" s="129"/>
      <c r="C535" s="63" t="s">
        <v>120</v>
      </c>
      <c r="D535" s="100"/>
      <c r="E535" s="130" t="s">
        <v>171</v>
      </c>
      <c r="F535" s="130" t="s">
        <v>172</v>
      </c>
      <c r="G535" s="131" t="s">
        <v>137</v>
      </c>
    </row>
    <row r="536" customFormat="false" ht="15" hidden="true" customHeight="true" outlineLevel="1" collapsed="false">
      <c r="A536" s="132"/>
      <c r="B536" s="133" t="s">
        <v>493</v>
      </c>
      <c r="C536" s="6" t="s">
        <v>133</v>
      </c>
      <c r="D536" s="5"/>
      <c r="E536" s="134"/>
      <c r="F536" s="134"/>
      <c r="G536" s="135" t="n">
        <v>0</v>
      </c>
    </row>
    <row r="537" customFormat="false" ht="15" hidden="true" customHeight="true" outlineLevel="1" collapsed="false">
      <c r="A537" s="132"/>
      <c r="B537" s="133" t="s">
        <v>494</v>
      </c>
      <c r="C537" s="6" t="s">
        <v>133</v>
      </c>
      <c r="D537" s="5"/>
      <c r="E537" s="134" t="n">
        <v>1200</v>
      </c>
      <c r="F537" s="134" t="s">
        <v>495</v>
      </c>
      <c r="G537" s="135" t="n">
        <v>154</v>
      </c>
    </row>
    <row r="538" customFormat="false" ht="15" hidden="true" customHeight="true" outlineLevel="1" collapsed="false">
      <c r="A538" s="132"/>
      <c r="B538" s="133" t="s">
        <v>496</v>
      </c>
      <c r="C538" s="6" t="s">
        <v>133</v>
      </c>
      <c r="D538" s="5"/>
      <c r="E538" s="134" t="n">
        <v>1200</v>
      </c>
      <c r="F538" s="134" t="s">
        <v>497</v>
      </c>
      <c r="G538" s="135" t="n">
        <v>178</v>
      </c>
    </row>
    <row r="539" customFormat="false" ht="15" hidden="true" customHeight="true" outlineLevel="1" collapsed="false">
      <c r="A539" s="132"/>
      <c r="B539" s="133" t="s">
        <v>498</v>
      </c>
      <c r="C539" s="6" t="s">
        <v>133</v>
      </c>
      <c r="D539" s="5"/>
      <c r="E539" s="134" t="n">
        <v>1200</v>
      </c>
      <c r="F539" s="134" t="n">
        <v>0.55</v>
      </c>
      <c r="G539" s="135" t="n">
        <v>214</v>
      </c>
    </row>
    <row r="540" customFormat="false" ht="15" hidden="true" customHeight="true" outlineLevel="1" collapsed="false">
      <c r="A540" s="132"/>
      <c r="B540" s="133" t="s">
        <v>499</v>
      </c>
      <c r="C540" s="6" t="s">
        <v>133</v>
      </c>
      <c r="D540" s="5"/>
      <c r="E540" s="134" t="n">
        <v>1200</v>
      </c>
      <c r="F540" s="134" t="n">
        <v>0.65</v>
      </c>
      <c r="G540" s="135" t="n">
        <v>249</v>
      </c>
    </row>
    <row r="541" customFormat="false" ht="15" hidden="true" customHeight="true" outlineLevel="1" collapsed="false">
      <c r="A541" s="132"/>
      <c r="B541" s="133" t="s">
        <v>500</v>
      </c>
      <c r="C541" s="6" t="s">
        <v>133</v>
      </c>
      <c r="D541" s="5"/>
      <c r="E541" s="134" t="n">
        <v>1200</v>
      </c>
      <c r="F541" s="134" t="n">
        <v>0.7</v>
      </c>
      <c r="G541" s="135" t="n">
        <v>265</v>
      </c>
    </row>
    <row r="542" customFormat="false" ht="15" hidden="true" customHeight="true" outlineLevel="1" collapsed="false">
      <c r="A542" s="132"/>
      <c r="B542" s="133" t="s">
        <v>501</v>
      </c>
      <c r="C542" s="6" t="s">
        <v>133</v>
      </c>
      <c r="D542" s="5"/>
      <c r="E542" s="134" t="n">
        <v>1051</v>
      </c>
      <c r="F542" s="134" t="s">
        <v>495</v>
      </c>
      <c r="G542" s="135" t="n">
        <v>177</v>
      </c>
    </row>
    <row r="543" customFormat="false" ht="15" hidden="true" customHeight="true" outlineLevel="1" collapsed="false">
      <c r="A543" s="132"/>
      <c r="B543" s="133" t="s">
        <v>502</v>
      </c>
      <c r="C543" s="6" t="s">
        <v>133</v>
      </c>
      <c r="D543" s="5"/>
      <c r="E543" s="134" t="n">
        <v>1051</v>
      </c>
      <c r="F543" s="134" t="n">
        <v>0.55</v>
      </c>
      <c r="G543" s="135" t="n">
        <v>244</v>
      </c>
    </row>
    <row r="544" customFormat="false" ht="15" hidden="true" customHeight="true" outlineLevel="1" collapsed="false">
      <c r="A544" s="132"/>
      <c r="B544" s="133" t="s">
        <v>503</v>
      </c>
      <c r="C544" s="6" t="s">
        <v>133</v>
      </c>
      <c r="D544" s="5"/>
      <c r="E544" s="134" t="n">
        <v>1051</v>
      </c>
      <c r="F544" s="134" t="n">
        <v>0.65</v>
      </c>
      <c r="G544" s="135" t="n">
        <v>284</v>
      </c>
    </row>
    <row r="545" customFormat="false" ht="15" hidden="true" customHeight="true" outlineLevel="1" collapsed="false">
      <c r="A545" s="132"/>
      <c r="B545" s="133" t="s">
        <v>504</v>
      </c>
      <c r="C545" s="6" t="s">
        <v>133</v>
      </c>
      <c r="D545" s="5"/>
      <c r="E545" s="134" t="n">
        <v>1051</v>
      </c>
      <c r="F545" s="134" t="n">
        <v>0.7</v>
      </c>
      <c r="G545" s="135" t="n">
        <v>302</v>
      </c>
    </row>
    <row r="546" customFormat="false" ht="15" hidden="true" customHeight="true" outlineLevel="1" collapsed="false">
      <c r="A546" s="132"/>
      <c r="B546" s="133" t="s">
        <v>505</v>
      </c>
      <c r="C546" s="6" t="s">
        <v>133</v>
      </c>
      <c r="D546" s="5"/>
      <c r="E546" s="134" t="n">
        <v>1051</v>
      </c>
      <c r="F546" s="134" t="n">
        <v>0.75</v>
      </c>
      <c r="G546" s="135" t="n">
        <v>323</v>
      </c>
    </row>
    <row r="547" customFormat="false" ht="15" hidden="true" customHeight="true" outlineLevel="1" collapsed="false">
      <c r="A547" s="132"/>
      <c r="B547" s="133" t="s">
        <v>501</v>
      </c>
      <c r="C547" s="6" t="s">
        <v>133</v>
      </c>
      <c r="D547" s="5"/>
      <c r="E547" s="134" t="n">
        <v>1051</v>
      </c>
      <c r="F547" s="134" t="s">
        <v>497</v>
      </c>
      <c r="G547" s="135" t="n">
        <v>203</v>
      </c>
    </row>
    <row r="548" customFormat="false" ht="15" hidden="true" customHeight="true" outlineLevel="1" collapsed="false">
      <c r="A548" s="132"/>
      <c r="B548" s="133" t="s">
        <v>506</v>
      </c>
      <c r="C548" s="6" t="s">
        <v>133</v>
      </c>
      <c r="D548" s="5"/>
      <c r="E548" s="134" t="n">
        <v>1047</v>
      </c>
      <c r="F548" s="134" t="n">
        <v>0.65</v>
      </c>
      <c r="G548" s="135" t="n">
        <v>286</v>
      </c>
    </row>
    <row r="549" customFormat="false" ht="15" hidden="true" customHeight="true" outlineLevel="1" collapsed="false">
      <c r="A549" s="132"/>
      <c r="B549" s="133" t="s">
        <v>507</v>
      </c>
      <c r="C549" s="6" t="s">
        <v>133</v>
      </c>
      <c r="D549" s="5"/>
      <c r="E549" s="134" t="n">
        <v>1047</v>
      </c>
      <c r="F549" s="134" t="n">
        <v>0.7</v>
      </c>
      <c r="G549" s="135" t="n">
        <v>304</v>
      </c>
    </row>
    <row r="550" customFormat="false" ht="15" hidden="true" customHeight="true" outlineLevel="1" collapsed="false">
      <c r="A550" s="132"/>
      <c r="B550" s="133" t="s">
        <v>508</v>
      </c>
      <c r="C550" s="6" t="s">
        <v>133</v>
      </c>
      <c r="D550" s="5"/>
      <c r="E550" s="134" t="n">
        <v>1047</v>
      </c>
      <c r="F550" s="134" t="n">
        <v>0.75</v>
      </c>
      <c r="G550" s="135" t="n">
        <v>324</v>
      </c>
    </row>
    <row r="551" customFormat="false" ht="15" hidden="true" customHeight="true" outlineLevel="1" collapsed="false">
      <c r="A551" s="132"/>
      <c r="B551" s="133" t="s">
        <v>509</v>
      </c>
      <c r="C551" s="6" t="s">
        <v>133</v>
      </c>
      <c r="D551" s="5"/>
      <c r="E551" s="134" t="n">
        <v>1047</v>
      </c>
      <c r="F551" s="134" t="n">
        <v>0.8</v>
      </c>
      <c r="G551" s="135" t="n">
        <v>342</v>
      </c>
    </row>
    <row r="552" customFormat="false" ht="15" hidden="true" customHeight="true" outlineLevel="1" collapsed="false">
      <c r="A552" s="132"/>
      <c r="B552" s="133" t="s">
        <v>510</v>
      </c>
      <c r="C552" s="6" t="s">
        <v>133</v>
      </c>
      <c r="D552" s="5"/>
      <c r="E552" s="134" t="n">
        <v>1047</v>
      </c>
      <c r="F552" s="134" t="s">
        <v>497</v>
      </c>
      <c r="G552" s="135" t="n">
        <v>204</v>
      </c>
    </row>
    <row r="553" customFormat="false" ht="15" hidden="true" customHeight="true" outlineLevel="1" collapsed="false">
      <c r="A553" s="132"/>
      <c r="B553" s="133"/>
      <c r="D553" s="5"/>
      <c r="E553" s="134"/>
      <c r="F553" s="134"/>
      <c r="G553" s="135"/>
    </row>
    <row r="554" customFormat="false" ht="15" hidden="true" customHeight="true" outlineLevel="1" collapsed="false">
      <c r="A554" s="132"/>
      <c r="B554" s="136"/>
      <c r="D554" s="5"/>
      <c r="E554" s="134"/>
      <c r="F554" s="134"/>
      <c r="G554" s="135"/>
    </row>
    <row r="555" customFormat="false" ht="15" hidden="false" customHeight="true" outlineLevel="0" collapsed="false">
      <c r="A555" s="47" t="s">
        <v>492</v>
      </c>
      <c r="B555" s="47"/>
      <c r="D555" s="5"/>
      <c r="E555" s="134"/>
      <c r="F555" s="134"/>
      <c r="G555" s="135"/>
    </row>
    <row r="556" customFormat="false" ht="15" hidden="true" customHeight="true" outlineLevel="1" collapsed="false">
      <c r="A556" s="137" t="s">
        <v>511</v>
      </c>
      <c r="B556" s="137"/>
      <c r="C556" s="63" t="s">
        <v>120</v>
      </c>
      <c r="D556" s="100" t="s">
        <v>512</v>
      </c>
      <c r="E556" s="130" t="s">
        <v>513</v>
      </c>
      <c r="F556" s="130"/>
      <c r="G556" s="131" t="s">
        <v>137</v>
      </c>
    </row>
    <row r="557" customFormat="false" ht="15" hidden="true" customHeight="true" outlineLevel="1" collapsed="false">
      <c r="A557" s="138"/>
      <c r="B557" s="139"/>
      <c r="C557" s="140"/>
      <c r="D557" s="141"/>
      <c r="E557" s="142"/>
      <c r="F557" s="142"/>
      <c r="G557" s="143"/>
    </row>
    <row r="558" customFormat="false" ht="15" hidden="true" customHeight="true" outlineLevel="1" collapsed="false">
      <c r="A558" s="66" t="s">
        <v>514</v>
      </c>
      <c r="B558" s="5" t="s">
        <v>515</v>
      </c>
      <c r="C558" s="6" t="s">
        <v>156</v>
      </c>
      <c r="D558" s="5" t="n">
        <v>2.59</v>
      </c>
      <c r="E558" s="134" t="n">
        <v>2.15</v>
      </c>
      <c r="F558" s="135" t="n">
        <f aca="false">G558</f>
        <v>163</v>
      </c>
      <c r="G558" s="135" t="n">
        <v>163</v>
      </c>
    </row>
    <row r="559" customFormat="false" ht="15" hidden="true" customHeight="true" outlineLevel="1" collapsed="false">
      <c r="A559" s="66"/>
      <c r="B559" s="5" t="s">
        <v>516</v>
      </c>
      <c r="C559" s="6" t="s">
        <v>156</v>
      </c>
      <c r="D559" s="5" t="n">
        <v>3.21</v>
      </c>
      <c r="E559" s="134" t="n">
        <v>2.69</v>
      </c>
      <c r="F559" s="135" t="n">
        <f aca="false">G559</f>
        <v>204</v>
      </c>
      <c r="G559" s="135" t="n">
        <v>204</v>
      </c>
    </row>
    <row r="560" customFormat="false" ht="15" hidden="true" customHeight="true" outlineLevel="1" collapsed="false">
      <c r="A560" s="66"/>
      <c r="B560" s="5" t="s">
        <v>517</v>
      </c>
      <c r="C560" s="6" t="s">
        <v>156</v>
      </c>
      <c r="D560" s="5" t="n">
        <v>4.23</v>
      </c>
      <c r="E560" s="134" t="n">
        <v>3.58</v>
      </c>
      <c r="F560" s="135" t="n">
        <f aca="false">G560</f>
        <v>272</v>
      </c>
      <c r="G560" s="135" t="n">
        <v>272</v>
      </c>
    </row>
    <row r="561" customFormat="false" ht="15" hidden="true" customHeight="true" outlineLevel="1" collapsed="false">
      <c r="A561" s="66"/>
      <c r="B561" s="5" t="s">
        <v>518</v>
      </c>
      <c r="C561" s="6" t="s">
        <v>156</v>
      </c>
      <c r="D561" s="5" t="n">
        <v>2.7</v>
      </c>
      <c r="E561" s="134" t="n">
        <v>2.36</v>
      </c>
      <c r="F561" s="135" t="n">
        <f aca="false">G561</f>
        <v>179</v>
      </c>
      <c r="G561" s="135" t="n">
        <v>179</v>
      </c>
    </row>
    <row r="562" customFormat="false" ht="15" hidden="true" customHeight="true" outlineLevel="1" collapsed="false">
      <c r="A562" s="66"/>
      <c r="B562" s="5" t="s">
        <v>519</v>
      </c>
      <c r="C562" s="6" t="s">
        <v>156</v>
      </c>
      <c r="D562" s="5" t="n">
        <v>3.4</v>
      </c>
      <c r="E562" s="134" t="n">
        <v>2.95</v>
      </c>
      <c r="F562" s="135" t="n">
        <f aca="false">G562</f>
        <v>224</v>
      </c>
      <c r="G562" s="135" t="n">
        <v>224</v>
      </c>
    </row>
    <row r="563" customFormat="false" ht="15" hidden="true" customHeight="true" outlineLevel="1" collapsed="false">
      <c r="A563" s="66"/>
      <c r="B563" s="5" t="s">
        <v>520</v>
      </c>
      <c r="C563" s="6" t="s">
        <v>156</v>
      </c>
      <c r="D563" s="5" t="n">
        <v>4.56</v>
      </c>
      <c r="E563" s="134" t="n">
        <v>3.93</v>
      </c>
      <c r="F563" s="135" t="n">
        <f aca="false">G563</f>
        <v>299</v>
      </c>
      <c r="G563" s="135" t="n">
        <v>299</v>
      </c>
    </row>
    <row r="564" customFormat="false" ht="15" hidden="true" customHeight="true" outlineLevel="1" collapsed="false">
      <c r="A564" s="66"/>
      <c r="B564" s="5" t="s">
        <v>521</v>
      </c>
      <c r="C564" s="6" t="s">
        <v>156</v>
      </c>
      <c r="D564" s="5" t="n">
        <v>3.19</v>
      </c>
      <c r="E564" s="134" t="n">
        <v>2.64</v>
      </c>
      <c r="F564" s="135" t="n">
        <f aca="false">G564</f>
        <v>201</v>
      </c>
      <c r="G564" s="135" t="n">
        <v>201</v>
      </c>
    </row>
    <row r="565" customFormat="false" ht="15" hidden="true" customHeight="true" outlineLevel="1" collapsed="false">
      <c r="A565" s="66"/>
      <c r="B565" s="5" t="s">
        <v>522</v>
      </c>
      <c r="C565" s="6" t="s">
        <v>156</v>
      </c>
      <c r="D565" s="5" t="n">
        <v>3.96</v>
      </c>
      <c r="E565" s="134" t="n">
        <v>3.31</v>
      </c>
      <c r="F565" s="135" t="n">
        <f aca="false">G565</f>
        <v>252</v>
      </c>
      <c r="G565" s="135" t="n">
        <v>252</v>
      </c>
    </row>
    <row r="566" customFormat="false" ht="15" hidden="true" customHeight="true" outlineLevel="1" collapsed="false">
      <c r="A566" s="66"/>
      <c r="B566" s="5" t="s">
        <v>523</v>
      </c>
      <c r="C566" s="6" t="s">
        <v>156</v>
      </c>
      <c r="D566" s="5" t="n">
        <v>5.23</v>
      </c>
      <c r="E566" s="134" t="n">
        <v>4.34</v>
      </c>
      <c r="F566" s="135" t="n">
        <f aca="false">G566</f>
        <v>330</v>
      </c>
      <c r="G566" s="135" t="n">
        <v>330</v>
      </c>
    </row>
    <row r="567" customFormat="false" ht="15" hidden="true" customHeight="true" outlineLevel="1" collapsed="false">
      <c r="A567" s="66"/>
      <c r="B567" s="5" t="s">
        <v>524</v>
      </c>
      <c r="C567" s="6" t="s">
        <v>156</v>
      </c>
      <c r="D567" s="5" t="n">
        <v>3.26</v>
      </c>
      <c r="E567" s="134" t="n">
        <v>2.83</v>
      </c>
      <c r="F567" s="135" t="n">
        <f aca="false">G567</f>
        <v>215</v>
      </c>
      <c r="G567" s="135" t="n">
        <v>215</v>
      </c>
    </row>
    <row r="568" customFormat="false" ht="15" hidden="true" customHeight="true" outlineLevel="1" collapsed="false">
      <c r="A568" s="66"/>
      <c r="B568" s="5" t="s">
        <v>525</v>
      </c>
      <c r="C568" s="6" t="s">
        <v>156</v>
      </c>
      <c r="D568" s="5" t="n">
        <v>4.1</v>
      </c>
      <c r="E568" s="134" t="n">
        <v>3.54</v>
      </c>
      <c r="F568" s="135" t="n">
        <f aca="false">G568</f>
        <v>269</v>
      </c>
      <c r="G568" s="135" t="n">
        <v>269</v>
      </c>
    </row>
    <row r="569" customFormat="false" ht="15" hidden="true" customHeight="true" outlineLevel="1" collapsed="false">
      <c r="A569" s="66"/>
      <c r="B569" s="5" t="s">
        <v>526</v>
      </c>
      <c r="C569" s="6" t="s">
        <v>156</v>
      </c>
      <c r="D569" s="5" t="n">
        <v>5.5</v>
      </c>
      <c r="E569" s="134" t="n">
        <v>4.71</v>
      </c>
      <c r="F569" s="135" t="n">
        <f aca="false">G569</f>
        <v>358</v>
      </c>
      <c r="G569" s="135" t="n">
        <v>358</v>
      </c>
    </row>
    <row r="570" customFormat="false" ht="15" hidden="true" customHeight="true" outlineLevel="1" collapsed="false">
      <c r="A570" s="66"/>
      <c r="B570" s="5" t="s">
        <v>527</v>
      </c>
      <c r="C570" s="6" t="s">
        <v>156</v>
      </c>
      <c r="D570" s="5" t="n">
        <v>3.79</v>
      </c>
      <c r="E570" s="134" t="n">
        <v>3.15</v>
      </c>
      <c r="F570" s="135" t="n">
        <f aca="false">G570</f>
        <v>239</v>
      </c>
      <c r="G570" s="135" t="n">
        <v>239</v>
      </c>
    </row>
    <row r="571" customFormat="false" ht="15" hidden="true" customHeight="true" outlineLevel="1" collapsed="false">
      <c r="A571" s="66"/>
      <c r="B571" s="5" t="s">
        <v>528</v>
      </c>
      <c r="C571" s="6" t="s">
        <v>156</v>
      </c>
      <c r="D571" s="5" t="n">
        <v>4.71</v>
      </c>
      <c r="E571" s="134" t="n">
        <v>3.93</v>
      </c>
      <c r="F571" s="135" t="n">
        <f aca="false">G571</f>
        <v>299</v>
      </c>
      <c r="G571" s="135" t="n">
        <v>299</v>
      </c>
    </row>
    <row r="572" customFormat="false" ht="15" hidden="true" customHeight="true" outlineLevel="1" collapsed="false">
      <c r="A572" s="66"/>
      <c r="B572" s="5" t="s">
        <v>529</v>
      </c>
      <c r="C572" s="6" t="s">
        <v>156</v>
      </c>
      <c r="D572" s="5" t="n">
        <v>6.23</v>
      </c>
      <c r="E572" s="134" t="n">
        <v>5.22</v>
      </c>
      <c r="F572" s="135" t="n">
        <f aca="false">G572</f>
        <v>397</v>
      </c>
      <c r="G572" s="135" t="n">
        <v>397</v>
      </c>
    </row>
    <row r="573" customFormat="false" ht="15" hidden="true" customHeight="true" outlineLevel="1" collapsed="false">
      <c r="A573" s="66"/>
      <c r="B573" s="5" t="s">
        <v>530</v>
      </c>
      <c r="C573" s="6" t="s">
        <v>156</v>
      </c>
      <c r="D573" s="5" t="n">
        <v>4.47</v>
      </c>
      <c r="E573" s="134" t="n">
        <v>3.61</v>
      </c>
      <c r="F573" s="135" t="n">
        <f aca="false">G573</f>
        <v>274</v>
      </c>
      <c r="G573" s="135" t="n">
        <v>274</v>
      </c>
    </row>
    <row r="574" customFormat="false" ht="15" hidden="true" customHeight="true" outlineLevel="1" collapsed="false">
      <c r="A574" s="66"/>
      <c r="B574" s="5" t="s">
        <v>531</v>
      </c>
      <c r="C574" s="6" t="s">
        <v>156</v>
      </c>
      <c r="D574" s="5" t="n">
        <v>5.25</v>
      </c>
      <c r="E574" s="134" t="n">
        <v>4.52</v>
      </c>
      <c r="F574" s="135" t="n">
        <f aca="false">G574</f>
        <v>344</v>
      </c>
      <c r="G574" s="135" t="n">
        <v>344</v>
      </c>
    </row>
    <row r="575" customFormat="false" ht="15" hidden="true" customHeight="true" outlineLevel="1" collapsed="false">
      <c r="A575" s="66"/>
      <c r="B575" s="5" t="s">
        <v>532</v>
      </c>
      <c r="C575" s="6" t="s">
        <v>156</v>
      </c>
      <c r="D575" s="5" t="n">
        <v>7.36</v>
      </c>
      <c r="E575" s="134" t="n">
        <v>5.92</v>
      </c>
      <c r="F575" s="135" t="n">
        <f aca="false">G575</f>
        <v>450</v>
      </c>
      <c r="G575" s="135" t="n">
        <v>450</v>
      </c>
    </row>
    <row r="576" customFormat="false" ht="15" hidden="true" customHeight="true" outlineLevel="1" collapsed="false">
      <c r="A576" s="66"/>
      <c r="B576" s="5" t="s">
        <v>533</v>
      </c>
      <c r="C576" s="6" t="s">
        <v>156</v>
      </c>
      <c r="D576" s="5" t="n">
        <v>4.52</v>
      </c>
      <c r="E576" s="134" t="n">
        <v>3.86</v>
      </c>
      <c r="F576" s="135" t="n">
        <f aca="false">G576</f>
        <v>293</v>
      </c>
      <c r="G576" s="135" t="n">
        <v>293</v>
      </c>
    </row>
    <row r="577" customFormat="false" ht="15" hidden="true" customHeight="true" outlineLevel="1" collapsed="false">
      <c r="A577" s="66"/>
      <c r="B577" s="5" t="s">
        <v>534</v>
      </c>
      <c r="C577" s="6" t="s">
        <v>156</v>
      </c>
      <c r="D577" s="5" t="n">
        <v>5.66</v>
      </c>
      <c r="E577" s="134" t="n">
        <v>4.83</v>
      </c>
      <c r="F577" s="135" t="n">
        <f aca="false">G577</f>
        <v>367</v>
      </c>
      <c r="G577" s="135" t="n">
        <v>367</v>
      </c>
    </row>
    <row r="578" customFormat="false" ht="15" hidden="true" customHeight="true" outlineLevel="1" collapsed="false">
      <c r="A578" s="66"/>
      <c r="B578" s="5" t="s">
        <v>535</v>
      </c>
      <c r="C578" s="6" t="s">
        <v>156</v>
      </c>
      <c r="D578" s="5" t="n">
        <v>7.62</v>
      </c>
      <c r="E578" s="134" t="n">
        <v>6.44</v>
      </c>
      <c r="F578" s="135" t="n">
        <f aca="false">G578</f>
        <v>489</v>
      </c>
      <c r="G578" s="135" t="n">
        <v>489</v>
      </c>
    </row>
    <row r="579" customFormat="false" ht="15" hidden="true" customHeight="true" outlineLevel="1" collapsed="false">
      <c r="A579" s="66" t="s">
        <v>536</v>
      </c>
      <c r="B579" s="5" t="s">
        <v>537</v>
      </c>
      <c r="C579" s="6" t="s">
        <v>156</v>
      </c>
      <c r="D579" s="5" t="n">
        <v>1.98</v>
      </c>
      <c r="E579" s="134" t="n">
        <v>1.67</v>
      </c>
      <c r="F579" s="135" t="n">
        <f aca="false">G579</f>
        <v>127</v>
      </c>
      <c r="G579" s="135" t="n">
        <v>127</v>
      </c>
    </row>
    <row r="580" customFormat="false" ht="15" hidden="true" customHeight="true" outlineLevel="1" collapsed="false">
      <c r="A580" s="66"/>
      <c r="B580" s="5" t="s">
        <v>538</v>
      </c>
      <c r="C580" s="6" t="s">
        <v>156</v>
      </c>
      <c r="D580" s="5" t="n">
        <v>2.46</v>
      </c>
      <c r="E580" s="134" t="n">
        <v>2.08</v>
      </c>
      <c r="F580" s="135" t="n">
        <f aca="false">G580</f>
        <v>158</v>
      </c>
      <c r="G580" s="135" t="n">
        <v>158</v>
      </c>
    </row>
    <row r="581" customFormat="false" ht="15" hidden="true" customHeight="true" outlineLevel="1" collapsed="false">
      <c r="A581" s="66"/>
      <c r="B581" s="5" t="s">
        <v>539</v>
      </c>
      <c r="C581" s="6" t="s">
        <v>156</v>
      </c>
      <c r="D581" s="5" t="n">
        <v>3.34</v>
      </c>
      <c r="E581" s="134" t="n">
        <v>2.62</v>
      </c>
      <c r="F581" s="135" t="n">
        <f aca="false">G581</f>
        <v>199</v>
      </c>
      <c r="G581" s="135" t="n">
        <v>199</v>
      </c>
    </row>
    <row r="582" customFormat="false" ht="15" hidden="true" customHeight="true" outlineLevel="1" collapsed="false">
      <c r="A582" s="66"/>
      <c r="B582" s="5" t="s">
        <v>540</v>
      </c>
      <c r="C582" s="6" t="s">
        <v>156</v>
      </c>
      <c r="D582" s="5" t="n">
        <v>2.19</v>
      </c>
      <c r="E582" s="134" t="n">
        <v>1.72</v>
      </c>
      <c r="F582" s="135" t="n">
        <f aca="false">G582</f>
        <v>131</v>
      </c>
      <c r="G582" s="135" t="n">
        <v>131</v>
      </c>
    </row>
    <row r="583" customFormat="false" ht="15" hidden="true" customHeight="true" outlineLevel="1" collapsed="false">
      <c r="A583" s="66"/>
      <c r="B583" s="5" t="s">
        <v>541</v>
      </c>
      <c r="C583" s="6" t="s">
        <v>156</v>
      </c>
      <c r="D583" s="5" t="n">
        <v>2.72</v>
      </c>
      <c r="E583" s="134" t="n">
        <v>2.14</v>
      </c>
      <c r="F583" s="135" t="n">
        <f aca="false">G583</f>
        <v>163</v>
      </c>
      <c r="G583" s="135" t="n">
        <v>163</v>
      </c>
    </row>
    <row r="584" customFormat="false" ht="15" hidden="true" customHeight="true" outlineLevel="1" collapsed="false">
      <c r="A584" s="66"/>
      <c r="B584" s="5" t="s">
        <v>542</v>
      </c>
      <c r="C584" s="6" t="s">
        <v>156</v>
      </c>
      <c r="D584" s="5" t="n">
        <v>3.62</v>
      </c>
      <c r="E584" s="134" t="n">
        <v>2.84</v>
      </c>
      <c r="F584" s="135" t="n">
        <f aca="false">G584</f>
        <v>216</v>
      </c>
      <c r="G584" s="135" t="n">
        <v>216</v>
      </c>
    </row>
    <row r="585" customFormat="false" ht="15" hidden="true" customHeight="true" outlineLevel="1" collapsed="false">
      <c r="A585" s="66"/>
      <c r="B585" s="5" t="s">
        <v>543</v>
      </c>
      <c r="C585" s="6" t="s">
        <v>156</v>
      </c>
      <c r="D585" s="5" t="n">
        <v>2.58</v>
      </c>
      <c r="E585" s="134" t="n">
        <v>2.15</v>
      </c>
      <c r="F585" s="135" t="n">
        <f aca="false">G585</f>
        <v>163</v>
      </c>
      <c r="G585" s="135" t="n">
        <v>163</v>
      </c>
    </row>
    <row r="586" customFormat="false" ht="15" hidden="true" customHeight="true" outlineLevel="1" collapsed="false">
      <c r="A586" s="66"/>
      <c r="B586" s="5" t="s">
        <v>544</v>
      </c>
      <c r="C586" s="6" t="s">
        <v>156</v>
      </c>
      <c r="D586" s="5" t="n">
        <v>3.21</v>
      </c>
      <c r="E586" s="134" t="n">
        <v>2.67</v>
      </c>
      <c r="F586" s="135" t="n">
        <f aca="false">G586</f>
        <v>203</v>
      </c>
      <c r="G586" s="135" t="n">
        <v>203</v>
      </c>
    </row>
    <row r="587" customFormat="false" ht="15" hidden="true" customHeight="true" outlineLevel="1" collapsed="false">
      <c r="A587" s="66"/>
      <c r="B587" s="5" t="s">
        <v>545</v>
      </c>
      <c r="C587" s="6" t="s">
        <v>156</v>
      </c>
      <c r="D587" s="5" t="n">
        <v>4.34</v>
      </c>
      <c r="E587" s="134" t="n">
        <v>3.41</v>
      </c>
      <c r="F587" s="135" t="n">
        <f aca="false">G587</f>
        <v>259</v>
      </c>
      <c r="G587" s="135" t="n">
        <v>259</v>
      </c>
    </row>
    <row r="588" customFormat="false" ht="15" hidden="true" customHeight="true" outlineLevel="1" collapsed="false">
      <c r="A588" s="66"/>
      <c r="B588" s="5" t="s">
        <v>546</v>
      </c>
      <c r="C588" s="6" t="s">
        <v>156</v>
      </c>
      <c r="D588" s="5" t="n">
        <v>2.79</v>
      </c>
      <c r="E588" s="134" t="n">
        <v>2.19</v>
      </c>
      <c r="F588" s="135" t="n">
        <f aca="false">G588</f>
        <v>166</v>
      </c>
      <c r="G588" s="135" t="n">
        <v>166</v>
      </c>
    </row>
    <row r="589" customFormat="false" ht="15" hidden="true" customHeight="true" outlineLevel="1" collapsed="false">
      <c r="A589" s="66"/>
      <c r="B589" s="5" t="s">
        <v>547</v>
      </c>
      <c r="C589" s="6" t="s">
        <v>156</v>
      </c>
      <c r="D589" s="5" t="n">
        <v>3.47</v>
      </c>
      <c r="E589" s="134" t="n">
        <v>2.72</v>
      </c>
      <c r="F589" s="135" t="n">
        <f aca="false">G589</f>
        <v>207</v>
      </c>
      <c r="G589" s="135" t="n">
        <v>207</v>
      </c>
    </row>
    <row r="590" customFormat="false" ht="15" hidden="true" customHeight="true" outlineLevel="1" collapsed="false">
      <c r="A590" s="66"/>
      <c r="B590" s="5" t="s">
        <v>548</v>
      </c>
      <c r="C590" s="6" t="s">
        <v>156</v>
      </c>
      <c r="D590" s="5" t="n">
        <v>4.61</v>
      </c>
      <c r="E590" s="134" t="n">
        <v>3.61</v>
      </c>
      <c r="F590" s="135" t="n">
        <f aca="false">G590</f>
        <v>274</v>
      </c>
      <c r="G590" s="135" t="n">
        <v>274</v>
      </c>
    </row>
    <row r="591" customFormat="false" ht="15" hidden="true" customHeight="true" outlineLevel="1" collapsed="false">
      <c r="A591" s="66"/>
      <c r="B591" s="5" t="s">
        <v>549</v>
      </c>
      <c r="C591" s="6" t="s">
        <v>156</v>
      </c>
      <c r="D591" s="5" t="n">
        <v>3.18</v>
      </c>
      <c r="E591" s="134" t="n">
        <v>2.64</v>
      </c>
      <c r="F591" s="135" t="n">
        <f aca="false">G591</f>
        <v>201</v>
      </c>
      <c r="G591" s="135" t="n">
        <v>201</v>
      </c>
    </row>
    <row r="592" customFormat="false" ht="15" hidden="true" customHeight="true" outlineLevel="1" collapsed="false">
      <c r="A592" s="66"/>
      <c r="B592" s="5" t="s">
        <v>550</v>
      </c>
      <c r="C592" s="6" t="s">
        <v>156</v>
      </c>
      <c r="D592" s="5" t="n">
        <v>3.96</v>
      </c>
      <c r="E592" s="134" t="n">
        <v>3.31</v>
      </c>
      <c r="F592" s="135" t="n">
        <f aca="false">G592</f>
        <v>252</v>
      </c>
      <c r="G592" s="135" t="n">
        <v>252</v>
      </c>
    </row>
    <row r="593" customFormat="false" ht="15" hidden="true" customHeight="true" outlineLevel="1" collapsed="false">
      <c r="A593" s="66"/>
      <c r="B593" s="5" t="s">
        <v>551</v>
      </c>
      <c r="C593" s="6" t="s">
        <v>156</v>
      </c>
      <c r="D593" s="5" t="n">
        <v>5.34</v>
      </c>
      <c r="E593" s="134" t="n">
        <v>4.19</v>
      </c>
      <c r="F593" s="135" t="n">
        <f aca="false">G593</f>
        <v>318</v>
      </c>
      <c r="G593" s="135" t="n">
        <v>318</v>
      </c>
    </row>
    <row r="594" customFormat="false" ht="15" hidden="true" customHeight="true" outlineLevel="1" collapsed="false">
      <c r="A594" s="66"/>
      <c r="B594" s="5" t="s">
        <v>552</v>
      </c>
      <c r="C594" s="6" t="s">
        <v>156</v>
      </c>
      <c r="D594" s="5" t="n">
        <v>3.8</v>
      </c>
      <c r="E594" s="134" t="n">
        <v>2.98</v>
      </c>
      <c r="F594" s="135" t="n">
        <f aca="false">G594</f>
        <v>226</v>
      </c>
      <c r="G594" s="135" t="n">
        <v>226</v>
      </c>
    </row>
    <row r="595" customFormat="false" ht="15" hidden="true" customHeight="true" outlineLevel="1" collapsed="false">
      <c r="A595" s="66"/>
      <c r="B595" s="5" t="s">
        <v>553</v>
      </c>
      <c r="C595" s="6" t="s">
        <v>156</v>
      </c>
      <c r="D595" s="5" t="n">
        <v>4.75</v>
      </c>
      <c r="E595" s="134" t="n">
        <v>3.73</v>
      </c>
      <c r="F595" s="135" t="n">
        <f aca="false">G595</f>
        <v>283</v>
      </c>
      <c r="G595" s="135" t="n">
        <v>283</v>
      </c>
    </row>
    <row r="596" customFormat="false" ht="15" hidden="true" customHeight="true" outlineLevel="1" collapsed="false">
      <c r="A596" s="66"/>
      <c r="B596" s="5" t="s">
        <v>554</v>
      </c>
      <c r="C596" s="6" t="s">
        <v>156</v>
      </c>
      <c r="D596" s="5" t="n">
        <v>6.34</v>
      </c>
      <c r="E596" s="134" t="n">
        <v>4.98</v>
      </c>
      <c r="F596" s="135" t="n">
        <f aca="false">G596</f>
        <v>378</v>
      </c>
      <c r="G596" s="135" t="n">
        <v>378</v>
      </c>
    </row>
    <row r="597" customFormat="false" ht="15" hidden="true" customHeight="true" outlineLevel="1" collapsed="false">
      <c r="A597" s="66"/>
      <c r="B597" s="5" t="s">
        <v>555</v>
      </c>
      <c r="C597" s="6" t="s">
        <v>156</v>
      </c>
      <c r="D597" s="5" t="n">
        <v>4.61</v>
      </c>
      <c r="E597" s="134" t="n">
        <v>3.62</v>
      </c>
      <c r="F597" s="135" t="n">
        <f aca="false">G597</f>
        <v>275</v>
      </c>
      <c r="G597" s="135" t="n">
        <v>275</v>
      </c>
    </row>
    <row r="598" customFormat="false" ht="15" hidden="true" customHeight="true" outlineLevel="1" collapsed="false">
      <c r="A598" s="66"/>
      <c r="B598" s="5" t="s">
        <v>556</v>
      </c>
      <c r="C598" s="6" t="s">
        <v>156</v>
      </c>
      <c r="D598" s="5" t="n">
        <v>5.12</v>
      </c>
      <c r="E598" s="134" t="n">
        <v>4.02</v>
      </c>
      <c r="F598" s="135" t="n">
        <f aca="false">G598</f>
        <v>306</v>
      </c>
      <c r="G598" s="135" t="n">
        <v>306</v>
      </c>
    </row>
    <row r="599" customFormat="false" ht="15" hidden="true" customHeight="true" outlineLevel="1" collapsed="false">
      <c r="A599" s="66"/>
      <c r="B599" s="5" t="s">
        <v>557</v>
      </c>
      <c r="C599" s="6" t="s">
        <v>156</v>
      </c>
      <c r="D599" s="5" t="n">
        <v>6.81</v>
      </c>
      <c r="E599" s="134" t="n">
        <v>5.35</v>
      </c>
      <c r="F599" s="135" t="n">
        <f aca="false">G599</f>
        <v>407</v>
      </c>
      <c r="G599" s="135" t="n">
        <v>407</v>
      </c>
    </row>
    <row r="600" customFormat="false" ht="15" hidden="true" customHeight="true" outlineLevel="1" collapsed="false">
      <c r="A600" s="66"/>
      <c r="B600" s="5" t="s">
        <v>558</v>
      </c>
      <c r="C600" s="6" t="s">
        <v>156</v>
      </c>
      <c r="D600" s="5" t="n">
        <v>2.37</v>
      </c>
      <c r="E600" s="134" t="n">
        <v>1.86</v>
      </c>
      <c r="F600" s="135" t="n">
        <f aca="false">G600</f>
        <v>141</v>
      </c>
      <c r="G600" s="135" t="n">
        <v>141</v>
      </c>
    </row>
    <row r="601" customFormat="false" ht="15" hidden="true" customHeight="true" outlineLevel="1" collapsed="false">
      <c r="A601" s="66"/>
      <c r="B601" s="5" t="s">
        <v>559</v>
      </c>
      <c r="C601" s="6" t="s">
        <v>156</v>
      </c>
      <c r="D601" s="5" t="n">
        <v>2.98</v>
      </c>
      <c r="E601" s="134" t="n">
        <v>2.34</v>
      </c>
      <c r="F601" s="135" t="n">
        <f aca="false">G601</f>
        <v>178</v>
      </c>
      <c r="G601" s="135" t="n">
        <v>178</v>
      </c>
    </row>
    <row r="602" customFormat="false" ht="15" hidden="true" customHeight="true" outlineLevel="1" collapsed="false">
      <c r="A602" s="66"/>
      <c r="B602" s="5" t="s">
        <v>560</v>
      </c>
      <c r="C602" s="6" t="s">
        <v>156</v>
      </c>
      <c r="D602" s="5" t="n">
        <v>3.98</v>
      </c>
      <c r="E602" s="134" t="n">
        <v>3.12</v>
      </c>
      <c r="F602" s="135" t="n">
        <f aca="false">G602</f>
        <v>237</v>
      </c>
      <c r="G602" s="135" t="n">
        <v>237</v>
      </c>
    </row>
    <row r="603" customFormat="false" ht="15" hidden="true" customHeight="true" outlineLevel="1" collapsed="false">
      <c r="A603" s="66"/>
      <c r="B603" s="5" t="s">
        <v>561</v>
      </c>
      <c r="C603" s="6" t="s">
        <v>156</v>
      </c>
      <c r="D603" s="5" t="n">
        <v>2.55</v>
      </c>
      <c r="E603" s="134" t="n">
        <v>2</v>
      </c>
      <c r="F603" s="135" t="n">
        <f aca="false">G603</f>
        <v>152</v>
      </c>
      <c r="G603" s="135" t="n">
        <v>152</v>
      </c>
    </row>
    <row r="604" customFormat="false" ht="15" hidden="true" customHeight="true" outlineLevel="1" collapsed="false">
      <c r="A604" s="66"/>
      <c r="B604" s="5" t="s">
        <v>562</v>
      </c>
      <c r="C604" s="6" t="s">
        <v>156</v>
      </c>
      <c r="D604" s="5" t="n">
        <v>3.17</v>
      </c>
      <c r="E604" s="134" t="n">
        <v>2.49</v>
      </c>
      <c r="F604" s="135" t="n">
        <f aca="false">G604</f>
        <v>189</v>
      </c>
      <c r="G604" s="135" t="n">
        <v>189</v>
      </c>
    </row>
    <row r="605" customFormat="false" ht="15" hidden="true" customHeight="true" outlineLevel="1" collapsed="false">
      <c r="A605" s="66"/>
      <c r="B605" s="5" t="s">
        <v>563</v>
      </c>
      <c r="C605" s="6" t="s">
        <v>156</v>
      </c>
      <c r="D605" s="5" t="n">
        <v>4.21</v>
      </c>
      <c r="E605" s="134" t="n">
        <v>3.3</v>
      </c>
      <c r="F605" s="135" t="n">
        <f aca="false">G605</f>
        <v>251</v>
      </c>
      <c r="G605" s="135" t="n">
        <v>251</v>
      </c>
    </row>
    <row r="606" customFormat="false" ht="15" hidden="true" customHeight="true" outlineLevel="1" collapsed="false">
      <c r="A606" s="66"/>
      <c r="B606" s="5" t="s">
        <v>564</v>
      </c>
      <c r="C606" s="6" t="s">
        <v>156</v>
      </c>
      <c r="D606" s="5" t="n">
        <v>2.98</v>
      </c>
      <c r="E606" s="134" t="n">
        <v>2.35</v>
      </c>
      <c r="F606" s="135" t="n">
        <f aca="false">G606</f>
        <v>179</v>
      </c>
      <c r="G606" s="135" t="n">
        <v>179</v>
      </c>
    </row>
    <row r="607" customFormat="false" ht="15" hidden="true" customHeight="true" outlineLevel="1" collapsed="false">
      <c r="A607" s="66"/>
      <c r="B607" s="5" t="s">
        <v>565</v>
      </c>
      <c r="C607" s="6" t="s">
        <v>156</v>
      </c>
      <c r="D607" s="5" t="n">
        <v>3.73</v>
      </c>
      <c r="E607" s="134" t="n">
        <v>2.93</v>
      </c>
      <c r="F607" s="135" t="n">
        <f aca="false">G607</f>
        <v>223</v>
      </c>
      <c r="G607" s="135" t="n">
        <v>223</v>
      </c>
    </row>
    <row r="608" customFormat="false" ht="15" hidden="true" customHeight="true" outlineLevel="1" collapsed="false">
      <c r="A608" s="66"/>
      <c r="B608" s="5" t="s">
        <v>566</v>
      </c>
      <c r="C608" s="6" t="s">
        <v>156</v>
      </c>
      <c r="D608" s="5" t="n">
        <v>4.98</v>
      </c>
      <c r="E608" s="134" t="n">
        <v>3.91</v>
      </c>
      <c r="F608" s="135" t="n">
        <f aca="false">G608</f>
        <v>297</v>
      </c>
      <c r="G608" s="135" t="n">
        <v>297</v>
      </c>
    </row>
    <row r="609" customFormat="false" ht="15" hidden="true" customHeight="true" outlineLevel="1" collapsed="false">
      <c r="A609" s="66"/>
      <c r="B609" s="5" t="s">
        <v>567</v>
      </c>
      <c r="C609" s="6" t="s">
        <v>156</v>
      </c>
      <c r="D609" s="5" t="n">
        <v>3.15</v>
      </c>
      <c r="E609" s="134" t="n">
        <v>2.47</v>
      </c>
      <c r="F609" s="135" t="n">
        <f aca="false">G609</f>
        <v>188</v>
      </c>
      <c r="G609" s="135" t="n">
        <v>188</v>
      </c>
    </row>
    <row r="610" customFormat="false" ht="15" hidden="true" customHeight="true" outlineLevel="1" collapsed="false">
      <c r="A610" s="66"/>
      <c r="B610" s="5" t="s">
        <v>568</v>
      </c>
      <c r="C610" s="6" t="s">
        <v>156</v>
      </c>
      <c r="D610" s="5" t="n">
        <v>3.92</v>
      </c>
      <c r="E610" s="134" t="n">
        <v>3.08</v>
      </c>
      <c r="F610" s="135" t="n">
        <f aca="false">G610</f>
        <v>234</v>
      </c>
      <c r="G610" s="135" t="n">
        <v>234</v>
      </c>
    </row>
    <row r="611" customFormat="false" ht="15" hidden="true" customHeight="true" outlineLevel="1" collapsed="false">
      <c r="A611" s="66"/>
      <c r="B611" s="5" t="s">
        <v>569</v>
      </c>
      <c r="C611" s="6" t="s">
        <v>156</v>
      </c>
      <c r="D611" s="5" t="n">
        <v>5.21</v>
      </c>
      <c r="E611" s="134" t="n">
        <v>4.09</v>
      </c>
      <c r="F611" s="135" t="n">
        <f aca="false">G611</f>
        <v>311</v>
      </c>
      <c r="G611" s="135" t="n">
        <v>311</v>
      </c>
    </row>
    <row r="612" customFormat="false" ht="15" hidden="true" customHeight="true" outlineLevel="1" collapsed="false">
      <c r="A612" s="66"/>
      <c r="B612" s="5" t="s">
        <v>570</v>
      </c>
      <c r="C612" s="6" t="s">
        <v>156</v>
      </c>
      <c r="D612" s="5" t="n">
        <v>3.58</v>
      </c>
      <c r="E612" s="134" t="n">
        <v>2.81</v>
      </c>
      <c r="F612" s="135" t="n">
        <f aca="false">G612</f>
        <v>214</v>
      </c>
      <c r="G612" s="135" t="n">
        <v>214</v>
      </c>
    </row>
    <row r="613" customFormat="false" ht="15" hidden="true" customHeight="true" outlineLevel="1" collapsed="false">
      <c r="A613" s="66"/>
      <c r="B613" s="5" t="s">
        <v>571</v>
      </c>
      <c r="C613" s="6" t="s">
        <v>156</v>
      </c>
      <c r="D613" s="5" t="n">
        <v>4.48</v>
      </c>
      <c r="E613" s="134" t="n">
        <v>3.52</v>
      </c>
      <c r="F613" s="135" t="n">
        <f aca="false">G613</f>
        <v>268</v>
      </c>
      <c r="G613" s="135" t="n">
        <v>268</v>
      </c>
    </row>
    <row r="614" customFormat="false" ht="15" hidden="true" customHeight="true" outlineLevel="1" collapsed="false">
      <c r="A614" s="66"/>
      <c r="B614" s="5" t="s">
        <v>572</v>
      </c>
      <c r="C614" s="6" t="s">
        <v>156</v>
      </c>
      <c r="D614" s="5" t="n">
        <v>5.98</v>
      </c>
      <c r="E614" s="134" t="n">
        <v>4.69</v>
      </c>
      <c r="F614" s="135" t="n">
        <f aca="false">G614</f>
        <v>356</v>
      </c>
      <c r="G614" s="135" t="n">
        <v>356</v>
      </c>
    </row>
    <row r="615" customFormat="false" ht="15" hidden="true" customHeight="true" outlineLevel="1" collapsed="false">
      <c r="A615" s="66"/>
      <c r="B615" s="5" t="s">
        <v>573</v>
      </c>
      <c r="C615" s="6" t="s">
        <v>156</v>
      </c>
      <c r="D615" s="5" t="n">
        <v>4.18</v>
      </c>
      <c r="E615" s="134" t="n">
        <v>3.28</v>
      </c>
      <c r="F615" s="135" t="n">
        <f aca="false">G615</f>
        <v>249</v>
      </c>
      <c r="G615" s="135" t="n">
        <v>249</v>
      </c>
    </row>
    <row r="616" customFormat="false" ht="15" hidden="true" customHeight="true" outlineLevel="1" collapsed="false">
      <c r="A616" s="66"/>
      <c r="B616" s="5" t="s">
        <v>574</v>
      </c>
      <c r="C616" s="6" t="s">
        <v>156</v>
      </c>
      <c r="D616" s="5" t="n">
        <v>5.23</v>
      </c>
      <c r="E616" s="134" t="n">
        <v>4.11</v>
      </c>
      <c r="F616" s="135" t="n">
        <f aca="false">G616</f>
        <v>312</v>
      </c>
      <c r="G616" s="135" t="n">
        <v>312</v>
      </c>
    </row>
    <row r="617" customFormat="false" ht="15" hidden="true" customHeight="true" outlineLevel="1" collapsed="false">
      <c r="A617" s="66"/>
      <c r="B617" s="5" t="s">
        <v>575</v>
      </c>
      <c r="C617" s="6" t="s">
        <v>156</v>
      </c>
      <c r="D617" s="5" t="n">
        <v>6.98</v>
      </c>
      <c r="E617" s="134" t="n">
        <v>5.48</v>
      </c>
      <c r="F617" s="135" t="n">
        <f aca="false">G617</f>
        <v>416</v>
      </c>
      <c r="G617" s="135" t="n">
        <v>416</v>
      </c>
    </row>
    <row r="618" customFormat="false" ht="15" hidden="true" customHeight="true" outlineLevel="1" collapsed="false">
      <c r="A618" s="66"/>
      <c r="B618" s="5" t="s">
        <v>576</v>
      </c>
      <c r="C618" s="6" t="s">
        <v>156</v>
      </c>
      <c r="D618" s="5" t="n">
        <v>4.47</v>
      </c>
      <c r="E618" s="134" t="n">
        <v>3.51</v>
      </c>
      <c r="F618" s="135" t="n">
        <f aca="false">G618</f>
        <v>267</v>
      </c>
      <c r="G618" s="135" t="n">
        <v>267</v>
      </c>
    </row>
    <row r="619" customFormat="false" ht="15" hidden="true" customHeight="true" outlineLevel="1" collapsed="false">
      <c r="A619" s="66"/>
      <c r="B619" s="5" t="s">
        <v>577</v>
      </c>
      <c r="C619" s="6" t="s">
        <v>156</v>
      </c>
      <c r="D619" s="5" t="n">
        <v>5.57</v>
      </c>
      <c r="E619" s="134" t="n">
        <v>4.37</v>
      </c>
      <c r="F619" s="135" t="n">
        <f aca="false">G619</f>
        <v>332</v>
      </c>
      <c r="G619" s="135" t="n">
        <v>332</v>
      </c>
    </row>
    <row r="620" customFormat="false" ht="15" hidden="true" customHeight="true" outlineLevel="1" collapsed="false">
      <c r="A620" s="66"/>
      <c r="B620" s="5" t="s">
        <v>578</v>
      </c>
      <c r="C620" s="6" t="s">
        <v>156</v>
      </c>
      <c r="D620" s="5" t="n">
        <v>7.41</v>
      </c>
      <c r="E620" s="134" t="n">
        <v>5.82</v>
      </c>
      <c r="F620" s="135" t="n">
        <f aca="false">G620</f>
        <v>442</v>
      </c>
      <c r="G620" s="135" t="n">
        <v>442</v>
      </c>
    </row>
    <row r="621" customFormat="false" ht="15" hidden="true" customHeight="true" outlineLevel="1" collapsed="false">
      <c r="A621" s="144" t="s">
        <v>579</v>
      </c>
      <c r="B621" s="5" t="s">
        <v>580</v>
      </c>
      <c r="C621" s="6" t="s">
        <v>156</v>
      </c>
      <c r="D621" s="5" t="n">
        <v>2.59</v>
      </c>
      <c r="E621" s="134" t="n">
        <v>2.15</v>
      </c>
      <c r="F621" s="135" t="n">
        <f aca="false">G621</f>
        <v>163</v>
      </c>
      <c r="G621" s="135" t="n">
        <v>163</v>
      </c>
    </row>
    <row r="622" customFormat="false" ht="15" hidden="true" customHeight="true" outlineLevel="1" collapsed="false">
      <c r="A622" s="144"/>
      <c r="B622" s="5" t="s">
        <v>581</v>
      </c>
      <c r="C622" s="6" t="s">
        <v>156</v>
      </c>
      <c r="D622" s="5" t="n">
        <v>3.21</v>
      </c>
      <c r="E622" s="134" t="n">
        <v>2.69</v>
      </c>
      <c r="F622" s="135" t="n">
        <f aca="false">G622</f>
        <v>204</v>
      </c>
      <c r="G622" s="135" t="n">
        <v>204</v>
      </c>
    </row>
    <row r="623" customFormat="false" ht="15" hidden="true" customHeight="true" outlineLevel="1" collapsed="false">
      <c r="A623" s="144"/>
      <c r="B623" s="5" t="s">
        <v>582</v>
      </c>
      <c r="C623" s="6" t="s">
        <v>156</v>
      </c>
      <c r="D623" s="5" t="n">
        <v>4.23</v>
      </c>
      <c r="E623" s="134" t="n">
        <v>3.58</v>
      </c>
      <c r="F623" s="135" t="n">
        <f aca="false">G623</f>
        <v>272</v>
      </c>
      <c r="G623" s="135" t="n">
        <v>272</v>
      </c>
    </row>
    <row r="624" customFormat="false" ht="15" hidden="true" customHeight="true" outlineLevel="1" collapsed="false">
      <c r="A624" s="144"/>
      <c r="B624" s="5" t="s">
        <v>583</v>
      </c>
      <c r="C624" s="6" t="s">
        <v>156</v>
      </c>
      <c r="D624" s="5" t="n">
        <v>3.19</v>
      </c>
      <c r="E624" s="134" t="n">
        <v>2.64</v>
      </c>
      <c r="F624" s="135" t="n">
        <f aca="false">G624</f>
        <v>201</v>
      </c>
      <c r="G624" s="135" t="n">
        <v>201</v>
      </c>
    </row>
    <row r="625" customFormat="false" ht="15" hidden="true" customHeight="true" outlineLevel="1" collapsed="false">
      <c r="A625" s="144"/>
      <c r="B625" s="5" t="s">
        <v>584</v>
      </c>
      <c r="C625" s="6" t="s">
        <v>156</v>
      </c>
      <c r="D625" s="5" t="n">
        <v>3.96</v>
      </c>
      <c r="E625" s="134" t="n">
        <v>3.31</v>
      </c>
      <c r="F625" s="135" t="n">
        <f aca="false">G625</f>
        <v>252</v>
      </c>
      <c r="G625" s="135" t="n">
        <v>252</v>
      </c>
    </row>
    <row r="626" customFormat="false" ht="15" hidden="true" customHeight="true" outlineLevel="1" collapsed="false">
      <c r="A626" s="144"/>
      <c r="B626" s="5" t="s">
        <v>585</v>
      </c>
      <c r="C626" s="6" t="s">
        <v>156</v>
      </c>
      <c r="D626" s="5" t="n">
        <v>5.23</v>
      </c>
      <c r="E626" s="134" t="n">
        <v>4.34</v>
      </c>
      <c r="F626" s="135" t="n">
        <f aca="false">G626</f>
        <v>330</v>
      </c>
      <c r="G626" s="135" t="n">
        <v>330</v>
      </c>
    </row>
    <row r="627" customFormat="false" ht="15" hidden="true" customHeight="true" outlineLevel="1" collapsed="false">
      <c r="A627" s="144"/>
      <c r="B627" s="5" t="s">
        <v>586</v>
      </c>
      <c r="C627" s="6" t="s">
        <v>156</v>
      </c>
      <c r="D627" s="5" t="n">
        <v>3.79</v>
      </c>
      <c r="E627" s="134" t="n">
        <v>3.15</v>
      </c>
      <c r="F627" s="135" t="n">
        <f aca="false">G627</f>
        <v>239</v>
      </c>
      <c r="G627" s="135" t="n">
        <v>239</v>
      </c>
    </row>
    <row r="628" customFormat="false" ht="15" hidden="true" customHeight="true" outlineLevel="1" collapsed="false">
      <c r="A628" s="144"/>
      <c r="B628" s="5" t="s">
        <v>587</v>
      </c>
      <c r="C628" s="6" t="s">
        <v>156</v>
      </c>
      <c r="D628" s="5" t="n">
        <v>4.71</v>
      </c>
      <c r="E628" s="134" t="n">
        <v>3.93</v>
      </c>
      <c r="F628" s="135" t="n">
        <f aca="false">G628</f>
        <v>299</v>
      </c>
      <c r="G628" s="135" t="n">
        <v>299</v>
      </c>
    </row>
    <row r="629" customFormat="false" ht="15" hidden="true" customHeight="true" outlineLevel="1" collapsed="false">
      <c r="A629" s="144"/>
      <c r="B629" s="5" t="s">
        <v>588</v>
      </c>
      <c r="C629" s="6" t="s">
        <v>156</v>
      </c>
      <c r="D629" s="5" t="n">
        <v>6.23</v>
      </c>
      <c r="E629" s="134" t="n">
        <v>5.22</v>
      </c>
      <c r="F629" s="135" t="n">
        <f aca="false">G629</f>
        <v>397</v>
      </c>
      <c r="G629" s="135" t="n">
        <v>397</v>
      </c>
    </row>
    <row r="630" customFormat="false" ht="15" hidden="true" customHeight="true" outlineLevel="1" collapsed="false">
      <c r="A630" s="145" t="s">
        <v>589</v>
      </c>
      <c r="B630" s="5" t="s">
        <v>590</v>
      </c>
      <c r="C630" s="6" t="s">
        <v>156</v>
      </c>
      <c r="D630" s="5"/>
      <c r="E630" s="134"/>
      <c r="F630" s="135" t="n">
        <f aca="false">G630</f>
        <v>58</v>
      </c>
      <c r="G630" s="135" t="n">
        <v>58</v>
      </c>
    </row>
    <row r="631" customFormat="false" ht="15" hidden="true" customHeight="true" outlineLevel="1" collapsed="false">
      <c r="A631" s="145"/>
      <c r="B631" s="5" t="s">
        <v>591</v>
      </c>
      <c r="C631" s="6" t="s">
        <v>156</v>
      </c>
      <c r="D631" s="5"/>
      <c r="E631" s="134"/>
      <c r="F631" s="135" t="n">
        <f aca="false">G631</f>
        <v>100</v>
      </c>
      <c r="G631" s="135" t="n">
        <v>100</v>
      </c>
    </row>
    <row r="632" customFormat="false" ht="15" hidden="true" customHeight="true" outlineLevel="1" collapsed="false">
      <c r="A632" s="145"/>
      <c r="B632" s="5" t="s">
        <v>592</v>
      </c>
      <c r="C632" s="6" t="s">
        <v>156</v>
      </c>
      <c r="D632" s="5"/>
      <c r="E632" s="134"/>
      <c r="F632" s="135" t="n">
        <f aca="false">G632</f>
        <v>125</v>
      </c>
      <c r="G632" s="135" t="n">
        <v>125</v>
      </c>
    </row>
    <row r="633" customFormat="false" ht="15" hidden="true" customHeight="true" outlineLevel="1" collapsed="false">
      <c r="A633" s="145"/>
      <c r="B633" s="5" t="s">
        <v>593</v>
      </c>
      <c r="C633" s="6" t="s">
        <v>156</v>
      </c>
      <c r="D633" s="5" t="n">
        <v>0.91</v>
      </c>
      <c r="E633" s="134" t="n">
        <v>0.73</v>
      </c>
      <c r="F633" s="135" t="n">
        <f aca="false">G633</f>
        <v>64</v>
      </c>
      <c r="G633" s="135" t="n">
        <v>64</v>
      </c>
    </row>
    <row r="634" customFormat="false" ht="15" hidden="true" customHeight="true" outlineLevel="1" collapsed="false">
      <c r="A634" s="145"/>
      <c r="B634" s="5" t="s">
        <v>594</v>
      </c>
      <c r="C634" s="6" t="s">
        <v>156</v>
      </c>
      <c r="D634" s="5" t="n">
        <v>1.56</v>
      </c>
      <c r="E634" s="134" t="n">
        <v>1.25</v>
      </c>
      <c r="F634" s="135" t="n">
        <f aca="false">G634</f>
        <v>110</v>
      </c>
      <c r="G634" s="135" t="n">
        <v>110</v>
      </c>
    </row>
    <row r="635" customFormat="false" ht="15" hidden="true" customHeight="true" outlineLevel="1" collapsed="false">
      <c r="A635" s="145"/>
      <c r="B635" s="5" t="s">
        <v>595</v>
      </c>
      <c r="C635" s="6" t="s">
        <v>156</v>
      </c>
      <c r="D635" s="5" t="n">
        <v>1.95</v>
      </c>
      <c r="E635" s="134" t="n">
        <v>1.56</v>
      </c>
      <c r="F635" s="135" t="n">
        <f aca="false">G635</f>
        <v>127</v>
      </c>
      <c r="G635" s="135" t="n">
        <v>127</v>
      </c>
    </row>
    <row r="636" customFormat="false" ht="15" hidden="true" customHeight="true" outlineLevel="1" collapsed="false">
      <c r="A636" s="145"/>
      <c r="B636" s="5" t="s">
        <v>596</v>
      </c>
      <c r="C636" s="6" t="s">
        <v>156</v>
      </c>
      <c r="D636" s="5" t="n">
        <v>2.6</v>
      </c>
      <c r="E636" s="134" t="n">
        <v>2.08</v>
      </c>
      <c r="F636" s="135" t="n">
        <f aca="false">G636</f>
        <v>169</v>
      </c>
      <c r="G636" s="135" t="n">
        <v>169</v>
      </c>
    </row>
    <row r="637" customFormat="false" ht="15" hidden="true" customHeight="true" outlineLevel="1" collapsed="false">
      <c r="A637" s="145"/>
      <c r="B637" s="5" t="s">
        <v>597</v>
      </c>
      <c r="C637" s="6" t="s">
        <v>156</v>
      </c>
      <c r="D637" s="5" t="n">
        <v>1.29</v>
      </c>
      <c r="E637" s="134" t="n">
        <v>1.04</v>
      </c>
      <c r="F637" s="135" t="n">
        <f aca="false">G637</f>
        <v>80</v>
      </c>
      <c r="G637" s="135" t="n">
        <v>80</v>
      </c>
    </row>
    <row r="638" customFormat="false" ht="15" hidden="true" customHeight="true" outlineLevel="1" collapsed="false">
      <c r="A638" s="145"/>
      <c r="B638" s="5" t="s">
        <v>598</v>
      </c>
      <c r="C638" s="6" t="s">
        <v>156</v>
      </c>
      <c r="D638" s="5" t="n">
        <v>1.83</v>
      </c>
      <c r="E638" s="134" t="n">
        <v>1.44</v>
      </c>
      <c r="F638" s="135" t="n">
        <f aca="false">G638</f>
        <v>111</v>
      </c>
      <c r="G638" s="135" t="n">
        <v>111</v>
      </c>
    </row>
    <row r="639" customFormat="false" ht="15" hidden="true" customHeight="true" outlineLevel="1" collapsed="false">
      <c r="A639" s="145"/>
      <c r="B639" s="5" t="s">
        <v>599</v>
      </c>
      <c r="C639" s="6" t="s">
        <v>156</v>
      </c>
      <c r="D639" s="5" t="n">
        <v>2.19</v>
      </c>
      <c r="E639" s="134" t="n">
        <v>1.76</v>
      </c>
      <c r="F639" s="135" t="n">
        <f aca="false">G639</f>
        <v>136</v>
      </c>
      <c r="G639" s="135" t="n">
        <v>136</v>
      </c>
    </row>
    <row r="640" customFormat="false" ht="15" hidden="true" customHeight="true" outlineLevel="1" collapsed="false">
      <c r="A640" s="145"/>
      <c r="B640" s="5" t="s">
        <v>600</v>
      </c>
      <c r="C640" s="6" t="s">
        <v>156</v>
      </c>
      <c r="D640" s="5" t="n">
        <v>2.71</v>
      </c>
      <c r="E640" s="134" t="n">
        <v>2.2</v>
      </c>
      <c r="F640" s="135" t="n">
        <f aca="false">G640</f>
        <v>169</v>
      </c>
      <c r="G640" s="135" t="n">
        <v>169</v>
      </c>
    </row>
    <row r="641" customFormat="false" ht="15" hidden="true" customHeight="true" outlineLevel="1" collapsed="false">
      <c r="A641" s="145"/>
      <c r="B641" s="5" t="s">
        <v>601</v>
      </c>
      <c r="C641" s="6" t="s">
        <v>156</v>
      </c>
      <c r="D641" s="5" t="n">
        <v>3.55</v>
      </c>
      <c r="E641" s="134" t="n">
        <v>2.94</v>
      </c>
      <c r="F641" s="135" t="n">
        <f aca="false">G641</f>
        <v>226</v>
      </c>
      <c r="G641" s="135" t="n">
        <v>226</v>
      </c>
    </row>
    <row r="642" customFormat="false" ht="15" hidden="true" customHeight="true" outlineLevel="1" collapsed="false">
      <c r="A642" s="146" t="s">
        <v>602</v>
      </c>
      <c r="B642" s="5" t="s">
        <v>603</v>
      </c>
      <c r="C642" s="6" t="s">
        <v>156</v>
      </c>
      <c r="D642" s="5"/>
      <c r="E642" s="134"/>
      <c r="F642" s="135" t="n">
        <f aca="false">G642</f>
        <v>77</v>
      </c>
      <c r="G642" s="135" t="n">
        <v>77</v>
      </c>
    </row>
    <row r="643" customFormat="false" ht="15" hidden="true" customHeight="true" outlineLevel="1" collapsed="false">
      <c r="A643" s="146"/>
      <c r="B643" s="5" t="s">
        <v>604</v>
      </c>
      <c r="C643" s="6" t="s">
        <v>156</v>
      </c>
      <c r="D643" s="5"/>
      <c r="E643" s="134"/>
      <c r="F643" s="135" t="n">
        <f aca="false">G643</f>
        <v>96</v>
      </c>
      <c r="G643" s="135" t="n">
        <v>96</v>
      </c>
    </row>
    <row r="644" customFormat="false" ht="15" hidden="true" customHeight="true" outlineLevel="1" collapsed="false">
      <c r="A644" s="146"/>
      <c r="B644" s="5" t="s">
        <v>605</v>
      </c>
      <c r="C644" s="6" t="s">
        <v>156</v>
      </c>
      <c r="D644" s="5"/>
      <c r="E644" s="134"/>
      <c r="F644" s="135" t="n">
        <f aca="false">G644</f>
        <v>128</v>
      </c>
      <c r="G644" s="135" t="n">
        <v>128</v>
      </c>
    </row>
    <row r="645" customFormat="false" ht="15" hidden="true" customHeight="true" outlineLevel="1" collapsed="false">
      <c r="A645" s="146"/>
      <c r="B645" s="5" t="s">
        <v>606</v>
      </c>
      <c r="C645" s="6" t="s">
        <v>156</v>
      </c>
      <c r="D645" s="5"/>
      <c r="E645" s="134"/>
      <c r="F645" s="135" t="n">
        <f aca="false">G645</f>
        <v>115</v>
      </c>
      <c r="G645" s="135" t="n">
        <v>115</v>
      </c>
    </row>
    <row r="646" customFormat="false" ht="15" hidden="true" customHeight="true" outlineLevel="1" collapsed="false">
      <c r="A646" s="146"/>
      <c r="B646" s="5" t="s">
        <v>607</v>
      </c>
      <c r="C646" s="6" t="s">
        <v>156</v>
      </c>
      <c r="D646" s="5"/>
      <c r="E646" s="134"/>
      <c r="F646" s="135" t="n">
        <f aca="false">G646</f>
        <v>144</v>
      </c>
      <c r="G646" s="135" t="n">
        <v>144</v>
      </c>
    </row>
    <row r="647" customFormat="false" ht="15" hidden="true" customHeight="true" outlineLevel="1" collapsed="false">
      <c r="A647" s="146"/>
      <c r="B647" s="5" t="s">
        <v>608</v>
      </c>
      <c r="C647" s="6" t="s">
        <v>156</v>
      </c>
      <c r="D647" s="5"/>
      <c r="E647" s="134"/>
      <c r="F647" s="135" t="n">
        <f aca="false">G647</f>
        <v>192</v>
      </c>
      <c r="G647" s="135" t="n">
        <v>192</v>
      </c>
    </row>
    <row r="648" customFormat="false" ht="15" hidden="true" customHeight="true" outlineLevel="1" collapsed="false">
      <c r="A648" s="146"/>
      <c r="B648" s="5" t="s">
        <v>609</v>
      </c>
      <c r="C648" s="6" t="s">
        <v>156</v>
      </c>
      <c r="D648" s="5"/>
      <c r="E648" s="134"/>
      <c r="F648" s="135" t="n">
        <f aca="false">G648</f>
        <v>154</v>
      </c>
      <c r="G648" s="135" t="n">
        <v>154</v>
      </c>
    </row>
    <row r="649" customFormat="false" ht="15" hidden="true" customHeight="true" outlineLevel="1" collapsed="false">
      <c r="A649" s="146"/>
      <c r="B649" s="5" t="s">
        <v>610</v>
      </c>
      <c r="C649" s="6" t="s">
        <v>156</v>
      </c>
      <c r="D649" s="5"/>
      <c r="E649" s="134"/>
      <c r="F649" s="135" t="n">
        <f aca="false">G649</f>
        <v>192</v>
      </c>
      <c r="G649" s="135" t="n">
        <v>192</v>
      </c>
    </row>
    <row r="650" customFormat="false" ht="15" hidden="true" customHeight="true" outlineLevel="1" collapsed="false">
      <c r="A650" s="146"/>
      <c r="B650" s="5" t="s">
        <v>611</v>
      </c>
      <c r="C650" s="6" t="s">
        <v>156</v>
      </c>
      <c r="D650" s="5"/>
      <c r="E650" s="134"/>
      <c r="F650" s="135" t="n">
        <f aca="false">G650</f>
        <v>256</v>
      </c>
      <c r="G650" s="135" t="n">
        <v>256</v>
      </c>
    </row>
    <row r="651" customFormat="false" ht="15" hidden="true" customHeight="true" outlineLevel="1" collapsed="false">
      <c r="A651" s="146"/>
      <c r="C651" s="6" t="s">
        <v>156</v>
      </c>
      <c r="D651" s="5"/>
      <c r="E651" s="134"/>
      <c r="F651" s="134"/>
      <c r="G651" s="135"/>
    </row>
    <row r="652" customFormat="false" ht="15" hidden="true" customHeight="true" outlineLevel="1" collapsed="false">
      <c r="A652" s="147"/>
      <c r="B652" s="136"/>
      <c r="D652" s="5"/>
      <c r="E652" s="134"/>
      <c r="F652" s="134"/>
      <c r="G652" s="135"/>
    </row>
    <row r="653" customFormat="false" ht="15" hidden="true" customHeight="true" outlineLevel="1" collapsed="false">
      <c r="A653" s="147"/>
      <c r="B653" s="136"/>
      <c r="D653" s="5"/>
      <c r="E653" s="134"/>
      <c r="F653" s="134"/>
      <c r="G653" s="135"/>
    </row>
    <row r="654" customFormat="false" ht="15" hidden="true" customHeight="true" outlineLevel="1" collapsed="false">
      <c r="A654" s="147"/>
      <c r="B654" s="136"/>
      <c r="D654" s="5"/>
      <c r="E654" s="134"/>
      <c r="F654" s="134"/>
      <c r="G654" s="135"/>
    </row>
    <row r="655" customFormat="false" ht="15" hidden="false" customHeight="true" outlineLevel="0" collapsed="false">
      <c r="A655" s="148" t="s">
        <v>511</v>
      </c>
      <c r="B655" s="148"/>
      <c r="D655" s="5"/>
      <c r="E655" s="134"/>
      <c r="F655" s="134"/>
      <c r="G655" s="135"/>
    </row>
    <row r="656" customFormat="false" ht="15" hidden="true" customHeight="true" outlineLevel="1" collapsed="false">
      <c r="A656" s="149" t="s">
        <v>612</v>
      </c>
      <c r="B656" s="150"/>
      <c r="C656" s="63" t="s">
        <v>120</v>
      </c>
      <c r="D656" s="100"/>
      <c r="E656" s="130"/>
      <c r="F656" s="130"/>
      <c r="G656" s="131" t="s">
        <v>613</v>
      </c>
    </row>
    <row r="657" customFormat="false" ht="15" hidden="true" customHeight="true" outlineLevel="1" collapsed="false">
      <c r="A657" s="151" t="s">
        <v>614</v>
      </c>
      <c r="B657" s="152" t="s">
        <v>615</v>
      </c>
      <c r="C657" s="6" t="s">
        <v>133</v>
      </c>
      <c r="D657" s="84"/>
      <c r="E657" s="153"/>
      <c r="F657" s="154"/>
      <c r="G657" s="155" t="n">
        <v>334</v>
      </c>
    </row>
    <row r="658" customFormat="false" ht="15" hidden="true" customHeight="true" outlineLevel="1" collapsed="false">
      <c r="A658" s="151"/>
      <c r="B658" s="156" t="s">
        <v>616</v>
      </c>
      <c r="C658" s="6" t="s">
        <v>133</v>
      </c>
      <c r="D658" s="84"/>
      <c r="E658" s="157"/>
      <c r="F658" s="158"/>
      <c r="G658" s="159" t="n">
        <v>501</v>
      </c>
    </row>
    <row r="659" customFormat="false" ht="15" hidden="true" customHeight="true" outlineLevel="1" collapsed="false">
      <c r="A659" s="151"/>
      <c r="B659" s="152" t="s">
        <v>617</v>
      </c>
      <c r="C659" s="6" t="s">
        <v>133</v>
      </c>
      <c r="D659" s="84"/>
      <c r="E659" s="153"/>
      <c r="F659" s="154"/>
      <c r="G659" s="155" t="n">
        <v>654</v>
      </c>
    </row>
    <row r="660" customFormat="false" ht="15" hidden="true" customHeight="true" outlineLevel="1" collapsed="false">
      <c r="A660" s="151"/>
      <c r="B660" s="156" t="s">
        <v>618</v>
      </c>
      <c r="C660" s="6" t="s">
        <v>133</v>
      </c>
      <c r="D660" s="84"/>
      <c r="E660" s="157"/>
      <c r="F660" s="158"/>
      <c r="G660" s="159" t="n">
        <v>889</v>
      </c>
    </row>
    <row r="661" customFormat="false" ht="15" hidden="true" customHeight="true" outlineLevel="1" collapsed="false">
      <c r="A661" s="151"/>
      <c r="B661" s="152" t="s">
        <v>619</v>
      </c>
      <c r="C661" s="6" t="s">
        <v>133</v>
      </c>
      <c r="D661" s="84"/>
      <c r="E661" s="153"/>
      <c r="F661" s="154"/>
      <c r="G661" s="155" t="n">
        <v>979</v>
      </c>
    </row>
    <row r="662" customFormat="false" ht="15" hidden="true" customHeight="true" outlineLevel="1" collapsed="false">
      <c r="A662" s="151"/>
      <c r="B662" s="156" t="s">
        <v>620</v>
      </c>
      <c r="C662" s="6" t="s">
        <v>133</v>
      </c>
      <c r="D662" s="84"/>
      <c r="E662" s="157"/>
      <c r="F662" s="158"/>
      <c r="G662" s="159" t="n">
        <v>1423</v>
      </c>
    </row>
    <row r="663" customFormat="false" ht="15" hidden="true" customHeight="true" outlineLevel="1" collapsed="false">
      <c r="A663" s="160" t="s">
        <v>621</v>
      </c>
      <c r="B663" s="161" t="s">
        <v>622</v>
      </c>
      <c r="C663" s="6" t="s">
        <v>133</v>
      </c>
      <c r="D663" s="5"/>
      <c r="E663" s="54"/>
      <c r="F663" s="162"/>
      <c r="G663" s="163" t="s">
        <v>623</v>
      </c>
    </row>
    <row r="664" customFormat="false" ht="15" hidden="true" customHeight="true" outlineLevel="1" collapsed="false">
      <c r="A664" s="160"/>
      <c r="B664" s="161" t="s">
        <v>624</v>
      </c>
      <c r="C664" s="6" t="s">
        <v>133</v>
      </c>
      <c r="D664" s="5"/>
      <c r="E664" s="54"/>
      <c r="F664" s="162"/>
      <c r="G664" s="163" t="s">
        <v>625</v>
      </c>
    </row>
    <row r="665" customFormat="false" ht="15" hidden="true" customHeight="true" outlineLevel="1" collapsed="false">
      <c r="A665" s="160"/>
      <c r="B665" s="161" t="s">
        <v>626</v>
      </c>
      <c r="C665" s="6" t="s">
        <v>133</v>
      </c>
      <c r="D665" s="5"/>
      <c r="E665" s="54"/>
      <c r="F665" s="162"/>
      <c r="G665" s="163" t="s">
        <v>627</v>
      </c>
    </row>
    <row r="666" customFormat="false" ht="15" hidden="true" customHeight="true" outlineLevel="1" collapsed="false">
      <c r="A666" s="160"/>
      <c r="B666" s="161" t="s">
        <v>628</v>
      </c>
      <c r="C666" s="6" t="s">
        <v>133</v>
      </c>
      <c r="D666" s="5"/>
      <c r="E666" s="54"/>
      <c r="F666" s="162"/>
      <c r="G666" s="163" t="s">
        <v>629</v>
      </c>
    </row>
    <row r="667" customFormat="false" ht="15" hidden="true" customHeight="true" outlineLevel="1" collapsed="false">
      <c r="A667" s="160"/>
      <c r="B667" s="161" t="s">
        <v>630</v>
      </c>
      <c r="C667" s="6" t="s">
        <v>133</v>
      </c>
      <c r="D667" s="5"/>
      <c r="E667" s="54"/>
      <c r="F667" s="162"/>
      <c r="G667" s="163" t="s">
        <v>631</v>
      </c>
    </row>
    <row r="668" customFormat="false" ht="15" hidden="true" customHeight="true" outlineLevel="1" collapsed="false">
      <c r="A668" s="164" t="s">
        <v>632</v>
      </c>
      <c r="B668" s="161" t="s">
        <v>633</v>
      </c>
      <c r="C668" s="6" t="s">
        <v>133</v>
      </c>
      <c r="D668" s="5"/>
      <c r="E668" s="54"/>
      <c r="F668" s="162"/>
      <c r="G668" s="163" t="s">
        <v>634</v>
      </c>
    </row>
    <row r="669" customFormat="false" ht="15" hidden="true" customHeight="true" outlineLevel="1" collapsed="false">
      <c r="A669" s="164"/>
      <c r="B669" s="161" t="s">
        <v>635</v>
      </c>
      <c r="C669" s="6" t="s">
        <v>133</v>
      </c>
      <c r="D669" s="5"/>
      <c r="E669" s="54"/>
      <c r="F669" s="162"/>
      <c r="G669" s="163" t="s">
        <v>636</v>
      </c>
    </row>
    <row r="670" customFormat="false" ht="15" hidden="true" customHeight="true" outlineLevel="1" collapsed="false">
      <c r="A670" s="164"/>
      <c r="B670" s="161" t="s">
        <v>637</v>
      </c>
      <c r="C670" s="6" t="s">
        <v>133</v>
      </c>
      <c r="D670" s="5"/>
      <c r="E670" s="54"/>
      <c r="F670" s="162"/>
      <c r="G670" s="163" t="s">
        <v>638</v>
      </c>
    </row>
    <row r="671" customFormat="false" ht="15" hidden="true" customHeight="true" outlineLevel="1" collapsed="false">
      <c r="A671" s="164"/>
      <c r="B671" s="161" t="s">
        <v>639</v>
      </c>
      <c r="C671" s="6" t="s">
        <v>133</v>
      </c>
      <c r="D671" s="5"/>
      <c r="E671" s="54"/>
      <c r="F671" s="162"/>
      <c r="G671" s="163" t="s">
        <v>640</v>
      </c>
    </row>
    <row r="672" customFormat="false" ht="15" hidden="true" customHeight="true" outlineLevel="1" collapsed="false">
      <c r="A672" s="164"/>
      <c r="B672" s="161" t="s">
        <v>641</v>
      </c>
      <c r="C672" s="6" t="s">
        <v>133</v>
      </c>
      <c r="D672" s="5"/>
      <c r="E672" s="54"/>
      <c r="F672" s="162"/>
      <c r="G672" s="163" t="s">
        <v>642</v>
      </c>
    </row>
    <row r="673" customFormat="false" ht="15" hidden="true" customHeight="true" outlineLevel="1" collapsed="false">
      <c r="A673" s="165" t="s">
        <v>643</v>
      </c>
      <c r="B673" s="161" t="s">
        <v>644</v>
      </c>
      <c r="C673" s="6" t="s">
        <v>133</v>
      </c>
      <c r="D673" s="5"/>
      <c r="E673" s="54"/>
      <c r="F673" s="162"/>
      <c r="G673" s="163" t="s">
        <v>645</v>
      </c>
    </row>
    <row r="674" customFormat="false" ht="15" hidden="true" customHeight="true" outlineLevel="1" collapsed="false">
      <c r="A674" s="165"/>
      <c r="B674" s="161" t="s">
        <v>646</v>
      </c>
      <c r="C674" s="6" t="s">
        <v>133</v>
      </c>
      <c r="D674" s="5"/>
      <c r="E674" s="54"/>
      <c r="F674" s="162"/>
      <c r="G674" s="163" t="s">
        <v>647</v>
      </c>
    </row>
    <row r="675" customFormat="false" ht="15" hidden="true" customHeight="true" outlineLevel="1" collapsed="false">
      <c r="A675" s="165"/>
      <c r="B675" s="161" t="s">
        <v>648</v>
      </c>
      <c r="C675" s="6" t="s">
        <v>133</v>
      </c>
      <c r="D675" s="5"/>
      <c r="E675" s="54"/>
      <c r="F675" s="162"/>
      <c r="G675" s="163" t="s">
        <v>649</v>
      </c>
    </row>
    <row r="676" customFormat="false" ht="15" hidden="true" customHeight="true" outlineLevel="1" collapsed="false">
      <c r="A676" s="165"/>
      <c r="B676" s="93"/>
      <c r="C676" s="6" t="s">
        <v>133</v>
      </c>
      <c r="D676" s="54"/>
      <c r="E676" s="54"/>
      <c r="F676" s="162"/>
      <c r="G676" s="166"/>
    </row>
    <row r="677" customFormat="false" ht="15" hidden="true" customHeight="true" outlineLevel="1" collapsed="false">
      <c r="A677" s="165"/>
      <c r="B677" s="93"/>
      <c r="C677" s="94"/>
      <c r="D677" s="54"/>
      <c r="E677" s="54"/>
      <c r="F677" s="162"/>
      <c r="G677" s="166"/>
    </row>
    <row r="678" customFormat="false" ht="15" hidden="true" customHeight="true" outlineLevel="1" collapsed="false">
      <c r="A678" s="165"/>
      <c r="B678" s="93"/>
      <c r="C678" s="103"/>
      <c r="D678" s="54"/>
      <c r="E678" s="126"/>
      <c r="F678" s="54"/>
      <c r="G678" s="54"/>
    </row>
    <row r="679" customFormat="false" ht="15" hidden="true" customHeight="true" outlineLevel="1" collapsed="false">
      <c r="A679" s="165"/>
      <c r="B679" s="93"/>
      <c r="C679" s="103"/>
      <c r="D679" s="54"/>
      <c r="E679" s="126"/>
      <c r="F679" s="54"/>
      <c r="G679" s="54"/>
    </row>
    <row r="680" customFormat="false" ht="15" hidden="true" customHeight="true" outlineLevel="1" collapsed="false">
      <c r="A680" s="167"/>
      <c r="B680" s="93"/>
      <c r="C680" s="103"/>
      <c r="D680" s="54"/>
      <c r="E680" s="126"/>
      <c r="F680" s="54"/>
      <c r="G680" s="54"/>
    </row>
    <row r="681" customFormat="false" ht="15" hidden="true" customHeight="true" outlineLevel="1" collapsed="false">
      <c r="A681" s="167"/>
      <c r="B681" s="96"/>
      <c r="C681" s="103"/>
      <c r="D681" s="54"/>
      <c r="E681" s="126"/>
      <c r="F681" s="54"/>
      <c r="G681" s="54"/>
    </row>
    <row r="682" customFormat="false" ht="15" hidden="false" customHeight="true" outlineLevel="0" collapsed="false">
      <c r="A682" s="168" t="s">
        <v>612</v>
      </c>
      <c r="B682" s="168"/>
      <c r="C682" s="103"/>
      <c r="D682" s="54"/>
      <c r="E682" s="126"/>
      <c r="F682" s="54"/>
      <c r="G682" s="54"/>
    </row>
    <row r="683" customFormat="false" ht="15" hidden="true" customHeight="true" outlineLevel="1" collapsed="false">
      <c r="A683" s="169" t="s">
        <v>650</v>
      </c>
      <c r="B683" s="169"/>
      <c r="C683" s="63" t="s">
        <v>208</v>
      </c>
      <c r="D683" s="170" t="s">
        <v>209</v>
      </c>
      <c r="E683" s="170" t="s">
        <v>273</v>
      </c>
      <c r="F683" s="171" t="s">
        <v>257</v>
      </c>
      <c r="G683" s="172" t="s">
        <v>57</v>
      </c>
    </row>
    <row r="684" customFormat="false" ht="15" hidden="true" customHeight="true" outlineLevel="1" collapsed="false">
      <c r="A684" s="173"/>
      <c r="B684" s="20" t="s">
        <v>294</v>
      </c>
      <c r="C684" s="88" t="s">
        <v>133</v>
      </c>
      <c r="D684" s="174"/>
      <c r="E684" s="174"/>
      <c r="F684" s="175"/>
      <c r="G684" s="176" t="n">
        <v>0</v>
      </c>
    </row>
    <row r="685" customFormat="false" ht="15" hidden="true" customHeight="true" outlineLevel="1" collapsed="false">
      <c r="A685" s="106"/>
      <c r="B685" s="87" t="s">
        <v>651</v>
      </c>
      <c r="C685" s="88" t="s">
        <v>133</v>
      </c>
      <c r="D685" s="177"/>
      <c r="E685" s="5"/>
      <c r="F685" s="134"/>
      <c r="G685" s="134" t="n">
        <v>660</v>
      </c>
    </row>
    <row r="686" customFormat="false" ht="15" hidden="true" customHeight="true" outlineLevel="1" collapsed="false">
      <c r="A686" s="106"/>
      <c r="B686" s="87" t="s">
        <v>652</v>
      </c>
      <c r="C686" s="88" t="s">
        <v>133</v>
      </c>
      <c r="D686" s="177"/>
      <c r="E686" s="5"/>
      <c r="F686" s="134"/>
      <c r="G686" s="134" t="n">
        <v>720</v>
      </c>
    </row>
    <row r="687" customFormat="false" ht="15" hidden="true" customHeight="true" outlineLevel="1" collapsed="false">
      <c r="A687" s="106"/>
      <c r="B687" s="87" t="s">
        <v>653</v>
      </c>
      <c r="C687" s="88" t="s">
        <v>133</v>
      </c>
      <c r="D687" s="177"/>
      <c r="E687" s="5"/>
      <c r="F687" s="134"/>
      <c r="G687" s="134" t="n">
        <v>450</v>
      </c>
    </row>
    <row r="688" customFormat="false" ht="15" hidden="true" customHeight="true" outlineLevel="1" collapsed="false">
      <c r="A688" s="106"/>
      <c r="B688" s="87" t="s">
        <v>654</v>
      </c>
      <c r="C688" s="88" t="s">
        <v>133</v>
      </c>
      <c r="D688" s="177"/>
      <c r="E688" s="5"/>
      <c r="F688" s="134"/>
      <c r="G688" s="134" t="n">
        <v>480</v>
      </c>
    </row>
    <row r="689" customFormat="false" ht="15" hidden="true" customHeight="true" outlineLevel="1" collapsed="false">
      <c r="A689" s="106"/>
      <c r="B689" s="87" t="s">
        <v>655</v>
      </c>
      <c r="C689" s="88" t="s">
        <v>133</v>
      </c>
      <c r="D689" s="177"/>
      <c r="E689" s="5"/>
      <c r="F689" s="134"/>
      <c r="G689" s="134" t="n">
        <v>250</v>
      </c>
    </row>
    <row r="690" customFormat="false" ht="15" hidden="true" customHeight="true" outlineLevel="1" collapsed="false">
      <c r="A690" s="106"/>
      <c r="B690" s="87" t="s">
        <v>656</v>
      </c>
      <c r="C690" s="88" t="s">
        <v>133</v>
      </c>
      <c r="D690" s="177"/>
      <c r="E690" s="5"/>
      <c r="F690" s="134"/>
      <c r="G690" s="134" t="n">
        <v>275</v>
      </c>
    </row>
    <row r="691" customFormat="false" ht="15" hidden="true" customHeight="true" outlineLevel="1" collapsed="false">
      <c r="A691" s="106"/>
      <c r="B691" s="87" t="s">
        <v>657</v>
      </c>
      <c r="C691" s="88" t="s">
        <v>133</v>
      </c>
      <c r="D691" s="177"/>
      <c r="E691" s="5"/>
      <c r="F691" s="134"/>
      <c r="G691" s="134" t="n">
        <v>720</v>
      </c>
    </row>
    <row r="692" customFormat="false" ht="15" hidden="true" customHeight="true" outlineLevel="1" collapsed="false">
      <c r="A692" s="106"/>
      <c r="B692" s="87" t="s">
        <v>658</v>
      </c>
      <c r="C692" s="88" t="s">
        <v>133</v>
      </c>
      <c r="D692" s="177"/>
      <c r="E692" s="5"/>
      <c r="F692" s="134"/>
      <c r="G692" s="134" t="n">
        <v>480</v>
      </c>
    </row>
    <row r="693" customFormat="false" ht="15" hidden="true" customHeight="true" outlineLevel="1" collapsed="false">
      <c r="A693" s="106"/>
      <c r="B693" s="87" t="s">
        <v>659</v>
      </c>
      <c r="C693" s="88" t="s">
        <v>133</v>
      </c>
      <c r="D693" s="177"/>
      <c r="E693" s="5"/>
      <c r="F693" s="134"/>
      <c r="G693" s="134" t="n">
        <v>275</v>
      </c>
    </row>
    <row r="694" customFormat="false" ht="15" hidden="true" customHeight="true" outlineLevel="1" collapsed="false">
      <c r="A694" s="106"/>
      <c r="B694" s="87" t="s">
        <v>660</v>
      </c>
      <c r="C694" s="88" t="s">
        <v>133</v>
      </c>
      <c r="D694" s="177"/>
      <c r="E694" s="5"/>
      <c r="F694" s="134"/>
      <c r="G694" s="134" t="n">
        <v>950</v>
      </c>
    </row>
    <row r="695" customFormat="false" ht="15" hidden="true" customHeight="true" outlineLevel="1" collapsed="false">
      <c r="A695" s="106"/>
      <c r="B695" s="87" t="s">
        <v>661</v>
      </c>
      <c r="C695" s="88" t="s">
        <v>133</v>
      </c>
      <c r="D695" s="177"/>
      <c r="E695" s="5"/>
      <c r="F695" s="134"/>
      <c r="G695" s="134" t="n">
        <v>645</v>
      </c>
    </row>
    <row r="696" customFormat="false" ht="15" hidden="true" customHeight="true" outlineLevel="1" collapsed="false">
      <c r="A696" s="106"/>
      <c r="B696" s="87" t="s">
        <v>662</v>
      </c>
      <c r="C696" s="88" t="s">
        <v>133</v>
      </c>
      <c r="D696" s="177"/>
      <c r="E696" s="5"/>
      <c r="F696" s="134"/>
      <c r="G696" s="134" t="n">
        <v>325</v>
      </c>
    </row>
    <row r="697" customFormat="false" ht="15" hidden="true" customHeight="true" outlineLevel="1" collapsed="false">
      <c r="A697" s="106"/>
      <c r="B697" s="87" t="s">
        <v>663</v>
      </c>
      <c r="C697" s="88" t="s">
        <v>133</v>
      </c>
      <c r="D697" s="177"/>
      <c r="E697" s="5"/>
      <c r="F697" s="134"/>
      <c r="G697" s="134" t="n">
        <v>555</v>
      </c>
    </row>
    <row r="698" customFormat="false" ht="15" hidden="true" customHeight="true" outlineLevel="1" collapsed="false">
      <c r="A698" s="106"/>
      <c r="B698" s="87" t="s">
        <v>664</v>
      </c>
      <c r="C698" s="88" t="s">
        <v>133</v>
      </c>
      <c r="D698" s="177"/>
      <c r="E698" s="5"/>
      <c r="F698" s="134"/>
      <c r="G698" s="134" t="n">
        <v>720</v>
      </c>
    </row>
    <row r="699" customFormat="false" ht="15" hidden="true" customHeight="true" outlineLevel="1" collapsed="false">
      <c r="A699" s="106"/>
      <c r="B699" s="87" t="s">
        <v>665</v>
      </c>
      <c r="C699" s="88" t="s">
        <v>133</v>
      </c>
      <c r="D699" s="177"/>
      <c r="E699" s="5"/>
      <c r="F699" s="134"/>
      <c r="G699" s="134" t="n">
        <v>385</v>
      </c>
    </row>
    <row r="700" customFormat="false" ht="15" hidden="true" customHeight="true" outlineLevel="1" collapsed="false">
      <c r="A700" s="106"/>
      <c r="B700" s="87" t="s">
        <v>666</v>
      </c>
      <c r="C700" s="88" t="s">
        <v>133</v>
      </c>
      <c r="D700" s="177"/>
      <c r="E700" s="5"/>
      <c r="F700" s="134"/>
      <c r="G700" s="134" t="n">
        <v>480</v>
      </c>
    </row>
    <row r="701" customFormat="false" ht="15" hidden="true" customHeight="true" outlineLevel="1" collapsed="false">
      <c r="A701" s="106"/>
      <c r="B701" s="87" t="s">
        <v>667</v>
      </c>
      <c r="C701" s="88" t="s">
        <v>133</v>
      </c>
      <c r="D701" s="177"/>
      <c r="E701" s="5"/>
      <c r="F701" s="134"/>
      <c r="G701" s="134" t="n">
        <v>210</v>
      </c>
    </row>
    <row r="702" customFormat="false" ht="15" hidden="true" customHeight="true" outlineLevel="1" collapsed="false">
      <c r="A702" s="106"/>
      <c r="B702" s="87" t="s">
        <v>668</v>
      </c>
      <c r="C702" s="88" t="s">
        <v>133</v>
      </c>
      <c r="D702" s="177"/>
      <c r="E702" s="5"/>
      <c r="F702" s="134"/>
      <c r="G702" s="134" t="n">
        <v>275</v>
      </c>
    </row>
    <row r="703" customFormat="false" ht="15" hidden="true" customHeight="true" outlineLevel="1" collapsed="false">
      <c r="A703" s="106"/>
      <c r="B703" s="87" t="s">
        <v>669</v>
      </c>
      <c r="C703" s="88" t="s">
        <v>133</v>
      </c>
      <c r="D703" s="177"/>
      <c r="E703" s="5"/>
      <c r="F703" s="134"/>
      <c r="G703" s="134" t="n">
        <v>440</v>
      </c>
    </row>
    <row r="704" customFormat="false" ht="15" hidden="true" customHeight="true" outlineLevel="1" collapsed="false">
      <c r="A704" s="106"/>
      <c r="B704" s="87" t="s">
        <v>670</v>
      </c>
      <c r="C704" s="88" t="s">
        <v>133</v>
      </c>
      <c r="D704" s="177"/>
      <c r="E704" s="5"/>
      <c r="F704" s="134"/>
      <c r="G704" s="134" t="n">
        <v>525</v>
      </c>
    </row>
    <row r="705" customFormat="false" ht="15" hidden="true" customHeight="true" outlineLevel="1" collapsed="false">
      <c r="A705" s="106"/>
      <c r="B705" s="87" t="s">
        <v>671</v>
      </c>
      <c r="C705" s="88" t="s">
        <v>133</v>
      </c>
      <c r="D705" s="177"/>
      <c r="E705" s="5"/>
      <c r="F705" s="134"/>
      <c r="G705" s="134" t="n">
        <v>329</v>
      </c>
    </row>
    <row r="706" customFormat="false" ht="15" hidden="true" customHeight="true" outlineLevel="1" collapsed="false">
      <c r="A706" s="106"/>
      <c r="B706" s="87" t="s">
        <v>672</v>
      </c>
      <c r="C706" s="88" t="s">
        <v>133</v>
      </c>
      <c r="D706" s="177"/>
      <c r="E706" s="5"/>
      <c r="F706" s="134"/>
      <c r="G706" s="134" t="n">
        <v>365</v>
      </c>
    </row>
    <row r="707" customFormat="false" ht="15" hidden="true" customHeight="true" outlineLevel="1" collapsed="false">
      <c r="A707" s="106"/>
      <c r="B707" s="87" t="s">
        <v>673</v>
      </c>
      <c r="C707" s="88" t="s">
        <v>133</v>
      </c>
      <c r="D707" s="177"/>
      <c r="E707" s="5"/>
      <c r="F707" s="134"/>
      <c r="G707" s="134" t="n">
        <v>185</v>
      </c>
    </row>
    <row r="708" customFormat="false" ht="15" hidden="true" customHeight="true" outlineLevel="1" collapsed="false">
      <c r="A708" s="106"/>
      <c r="B708" s="87" t="s">
        <v>674</v>
      </c>
      <c r="C708" s="88" t="s">
        <v>133</v>
      </c>
      <c r="D708" s="177"/>
      <c r="E708" s="5"/>
      <c r="F708" s="134"/>
      <c r="G708" s="134" t="n">
        <v>195</v>
      </c>
    </row>
    <row r="709" customFormat="false" ht="15" hidden="true" customHeight="true" outlineLevel="1" collapsed="false">
      <c r="A709" s="106"/>
      <c r="B709" s="87" t="s">
        <v>675</v>
      </c>
      <c r="C709" s="88" t="s">
        <v>133</v>
      </c>
      <c r="D709" s="177"/>
      <c r="E709" s="5"/>
      <c r="F709" s="134"/>
      <c r="G709" s="134" t="n">
        <v>555</v>
      </c>
    </row>
    <row r="710" customFormat="false" ht="15" hidden="true" customHeight="true" outlineLevel="1" collapsed="false">
      <c r="A710" s="106"/>
      <c r="B710" s="87" t="s">
        <v>676</v>
      </c>
      <c r="C710" s="88" t="s">
        <v>133</v>
      </c>
      <c r="D710" s="177"/>
      <c r="E710" s="5"/>
      <c r="F710" s="134"/>
      <c r="G710" s="134" t="n">
        <v>365</v>
      </c>
    </row>
    <row r="711" customFormat="false" ht="15" hidden="true" customHeight="true" outlineLevel="1" collapsed="false">
      <c r="A711" s="106"/>
      <c r="B711" s="87" t="s">
        <v>677</v>
      </c>
      <c r="C711" s="88" t="s">
        <v>133</v>
      </c>
      <c r="D711" s="177"/>
      <c r="E711" s="5"/>
      <c r="F711" s="134"/>
      <c r="G711" s="134" t="n">
        <v>185</v>
      </c>
    </row>
    <row r="712" customFormat="false" ht="15" hidden="true" customHeight="true" outlineLevel="1" collapsed="false">
      <c r="A712" s="106"/>
      <c r="B712" s="87" t="s">
        <v>678</v>
      </c>
      <c r="C712" s="88" t="s">
        <v>133</v>
      </c>
      <c r="D712" s="177"/>
      <c r="E712" s="5"/>
      <c r="F712" s="134"/>
      <c r="G712" s="134" t="n">
        <v>555</v>
      </c>
    </row>
    <row r="713" customFormat="false" ht="15" hidden="true" customHeight="true" outlineLevel="1" collapsed="false">
      <c r="A713" s="106"/>
      <c r="B713" s="87" t="s">
        <v>679</v>
      </c>
      <c r="C713" s="88" t="s">
        <v>133</v>
      </c>
      <c r="D713" s="177"/>
      <c r="E713" s="5"/>
      <c r="F713" s="134"/>
      <c r="G713" s="134" t="n">
        <v>385</v>
      </c>
    </row>
    <row r="714" customFormat="false" ht="15" hidden="true" customHeight="true" outlineLevel="1" collapsed="false">
      <c r="A714" s="106"/>
      <c r="B714" s="87" t="s">
        <v>680</v>
      </c>
      <c r="C714" s="88" t="s">
        <v>133</v>
      </c>
      <c r="D714" s="177"/>
      <c r="E714" s="5"/>
      <c r="F714" s="134"/>
      <c r="G714" s="134" t="n">
        <v>210</v>
      </c>
    </row>
    <row r="715" customFormat="false" ht="15" hidden="true" customHeight="true" outlineLevel="1" collapsed="false">
      <c r="A715" s="106"/>
      <c r="B715" s="5" t="s">
        <v>681</v>
      </c>
      <c r="C715" s="88" t="s">
        <v>156</v>
      </c>
      <c r="D715" s="177"/>
      <c r="E715" s="5"/>
      <c r="F715" s="134"/>
      <c r="G715" s="134" t="n">
        <v>35</v>
      </c>
    </row>
    <row r="716" customFormat="false" ht="15" hidden="true" customHeight="true" outlineLevel="1" collapsed="false">
      <c r="A716" s="106"/>
      <c r="B716" s="5" t="s">
        <v>682</v>
      </c>
      <c r="C716" s="88" t="s">
        <v>156</v>
      </c>
      <c r="D716" s="177"/>
      <c r="E716" s="5"/>
      <c r="F716" s="134"/>
      <c r="G716" s="134" t="n">
        <v>27</v>
      </c>
    </row>
    <row r="717" customFormat="false" ht="15" hidden="true" customHeight="true" outlineLevel="1" collapsed="false">
      <c r="A717" s="106"/>
      <c r="B717" s="5" t="s">
        <v>683</v>
      </c>
      <c r="C717" s="88" t="s">
        <v>156</v>
      </c>
      <c r="D717" s="177"/>
      <c r="E717" s="5"/>
      <c r="F717" s="134"/>
      <c r="G717" s="134" t="n">
        <v>0</v>
      </c>
    </row>
    <row r="718" customFormat="false" ht="15" hidden="true" customHeight="true" outlineLevel="1" collapsed="false">
      <c r="A718" s="106"/>
      <c r="B718" s="87" t="s">
        <v>684</v>
      </c>
      <c r="C718" s="88" t="s">
        <v>156</v>
      </c>
      <c r="D718" s="177"/>
      <c r="E718" s="5"/>
      <c r="F718" s="134"/>
      <c r="G718" s="134" t="n">
        <v>65</v>
      </c>
    </row>
    <row r="719" customFormat="false" ht="15" hidden="true" customHeight="true" outlineLevel="1" collapsed="false">
      <c r="A719" s="106"/>
      <c r="B719" s="87" t="s">
        <v>685</v>
      </c>
      <c r="C719" s="88" t="s">
        <v>156</v>
      </c>
      <c r="D719" s="177"/>
      <c r="E719" s="5"/>
      <c r="F719" s="134"/>
      <c r="G719" s="134" t="n">
        <v>78</v>
      </c>
    </row>
    <row r="720" customFormat="false" ht="15" hidden="true" customHeight="true" outlineLevel="1" collapsed="false">
      <c r="A720" s="106"/>
      <c r="B720" s="87" t="s">
        <v>686</v>
      </c>
      <c r="C720" s="88" t="s">
        <v>156</v>
      </c>
      <c r="D720" s="177"/>
      <c r="E720" s="5"/>
      <c r="F720" s="134"/>
      <c r="G720" s="134" t="n">
        <v>90</v>
      </c>
    </row>
    <row r="721" customFormat="false" ht="15" hidden="true" customHeight="true" outlineLevel="1" collapsed="false">
      <c r="A721" s="106"/>
      <c r="B721" s="87" t="s">
        <v>687</v>
      </c>
      <c r="C721" s="88" t="s">
        <v>156</v>
      </c>
      <c r="D721" s="54"/>
      <c r="E721" s="126"/>
      <c r="F721" s="54"/>
      <c r="G721" s="54" t="n">
        <v>80</v>
      </c>
    </row>
    <row r="722" customFormat="false" ht="15" hidden="true" customHeight="true" outlineLevel="1" collapsed="false">
      <c r="A722" s="106"/>
      <c r="B722" s="87" t="s">
        <v>688</v>
      </c>
      <c r="C722" s="88" t="s">
        <v>156</v>
      </c>
      <c r="D722" s="54"/>
      <c r="E722" s="126"/>
      <c r="F722" s="54"/>
      <c r="G722" s="54" t="n">
        <v>88</v>
      </c>
    </row>
    <row r="723" customFormat="false" ht="15" hidden="true" customHeight="true" outlineLevel="1" collapsed="false">
      <c r="A723" s="106"/>
      <c r="B723" s="87" t="s">
        <v>689</v>
      </c>
      <c r="C723" s="88" t="s">
        <v>156</v>
      </c>
      <c r="D723" s="54"/>
      <c r="E723" s="126"/>
      <c r="F723" s="54"/>
      <c r="G723" s="54" t="n">
        <v>101</v>
      </c>
    </row>
    <row r="724" customFormat="false" ht="15" hidden="true" customHeight="true" outlineLevel="1" collapsed="false">
      <c r="A724" s="106"/>
      <c r="B724" s="87"/>
      <c r="C724" s="88"/>
      <c r="D724" s="54"/>
      <c r="E724" s="126"/>
      <c r="F724" s="54"/>
      <c r="G724" s="54"/>
    </row>
    <row r="725" customFormat="false" ht="15" hidden="true" customHeight="true" outlineLevel="1" collapsed="false">
      <c r="A725" s="106"/>
      <c r="B725" s="90"/>
      <c r="C725" s="88"/>
      <c r="D725" s="54"/>
      <c r="E725" s="126"/>
      <c r="F725" s="54"/>
      <c r="G725" s="54"/>
    </row>
    <row r="726" customFormat="false" ht="15" hidden="false" customHeight="true" outlineLevel="0" collapsed="false">
      <c r="A726" s="47" t="s">
        <v>650</v>
      </c>
      <c r="B726" s="47"/>
      <c r="C726" s="103"/>
      <c r="D726" s="54"/>
      <c r="E726" s="126"/>
      <c r="F726" s="54"/>
      <c r="G726" s="54"/>
    </row>
    <row r="727" customFormat="false" ht="15" hidden="true" customHeight="true" outlineLevel="1" collapsed="false">
      <c r="A727" s="178" t="s">
        <v>690</v>
      </c>
      <c r="B727" s="178"/>
      <c r="C727" s="63" t="s">
        <v>208</v>
      </c>
      <c r="D727" s="64"/>
      <c r="E727" s="179"/>
      <c r="F727" s="64"/>
      <c r="G727" s="64" t="s">
        <v>691</v>
      </c>
    </row>
    <row r="728" customFormat="false" ht="15" hidden="true" customHeight="true" outlineLevel="1" collapsed="false">
      <c r="A728" s="173"/>
      <c r="B728" s="20" t="s">
        <v>692</v>
      </c>
      <c r="C728" s="21" t="s">
        <v>693</v>
      </c>
      <c r="D728" s="180"/>
      <c r="E728" s="181"/>
      <c r="F728" s="180"/>
      <c r="G728" s="25" t="n">
        <v>0</v>
      </c>
    </row>
    <row r="729" customFormat="false" ht="15" hidden="true" customHeight="true" outlineLevel="1" collapsed="false">
      <c r="A729" s="106"/>
      <c r="B729" s="182" t="s">
        <v>694</v>
      </c>
      <c r="C729" s="183" t="s">
        <v>693</v>
      </c>
      <c r="D729" s="54"/>
      <c r="E729" s="126"/>
      <c r="F729" s="184"/>
      <c r="G729" s="54" t="n">
        <v>108</v>
      </c>
    </row>
    <row r="730" customFormat="false" ht="15" hidden="true" customHeight="true" outlineLevel="1" collapsed="false">
      <c r="A730" s="106"/>
      <c r="B730" s="182" t="s">
        <v>695</v>
      </c>
      <c r="C730" s="183" t="s">
        <v>693</v>
      </c>
      <c r="D730" s="54"/>
      <c r="E730" s="126"/>
      <c r="F730" s="184"/>
      <c r="G730" s="54" t="n">
        <v>99</v>
      </c>
    </row>
    <row r="731" customFormat="false" ht="15" hidden="true" customHeight="true" outlineLevel="1" collapsed="false">
      <c r="A731" s="106"/>
      <c r="B731" s="182" t="s">
        <v>696</v>
      </c>
      <c r="C731" s="183" t="s">
        <v>693</v>
      </c>
      <c r="D731" s="54"/>
      <c r="E731" s="126"/>
      <c r="F731" s="184"/>
      <c r="G731" s="54" t="n">
        <v>470</v>
      </c>
    </row>
    <row r="732" customFormat="false" ht="15" hidden="true" customHeight="true" outlineLevel="1" collapsed="false">
      <c r="A732" s="106"/>
      <c r="B732" s="182" t="s">
        <v>697</v>
      </c>
      <c r="C732" s="183" t="s">
        <v>693</v>
      </c>
      <c r="D732" s="54"/>
      <c r="E732" s="126"/>
      <c r="F732" s="184"/>
      <c r="G732" s="54" t="n">
        <v>49</v>
      </c>
    </row>
    <row r="733" customFormat="false" ht="15" hidden="true" customHeight="true" outlineLevel="1" collapsed="false">
      <c r="A733" s="106"/>
      <c r="B733" s="182" t="s">
        <v>697</v>
      </c>
      <c r="C733" s="183" t="s">
        <v>693</v>
      </c>
      <c r="D733" s="54"/>
      <c r="E733" s="126"/>
      <c r="F733" s="184"/>
      <c r="G733" s="54" t="n">
        <v>46</v>
      </c>
    </row>
    <row r="734" customFormat="false" ht="15" hidden="true" customHeight="true" outlineLevel="1" collapsed="false">
      <c r="A734" s="106"/>
      <c r="B734" s="182" t="s">
        <v>698</v>
      </c>
      <c r="C734" s="183" t="s">
        <v>693</v>
      </c>
      <c r="D734" s="54"/>
      <c r="E734" s="126"/>
      <c r="F734" s="184"/>
      <c r="G734" s="54" t="n">
        <v>42</v>
      </c>
    </row>
    <row r="735" customFormat="false" ht="15" hidden="true" customHeight="true" outlineLevel="1" collapsed="false">
      <c r="A735" s="106"/>
      <c r="B735" s="182" t="s">
        <v>699</v>
      </c>
      <c r="C735" s="183" t="s">
        <v>693</v>
      </c>
      <c r="D735" s="54"/>
      <c r="E735" s="126"/>
      <c r="F735" s="184"/>
      <c r="G735" s="54" t="n">
        <v>33</v>
      </c>
    </row>
    <row r="736" customFormat="false" ht="15" hidden="true" customHeight="true" outlineLevel="1" collapsed="false">
      <c r="A736" s="106"/>
      <c r="B736" s="182" t="s">
        <v>700</v>
      </c>
      <c r="C736" s="183" t="s">
        <v>693</v>
      </c>
      <c r="D736" s="54"/>
      <c r="E736" s="126"/>
      <c r="F736" s="184"/>
      <c r="G736" s="54" t="n">
        <v>70</v>
      </c>
    </row>
    <row r="737" customFormat="false" ht="15" hidden="true" customHeight="true" outlineLevel="1" collapsed="false">
      <c r="A737" s="106"/>
      <c r="B737" s="182" t="s">
        <v>701</v>
      </c>
      <c r="C737" s="183" t="s">
        <v>693</v>
      </c>
      <c r="D737" s="54"/>
      <c r="E737" s="126"/>
      <c r="F737" s="184"/>
      <c r="G737" s="54" t="n">
        <v>41</v>
      </c>
    </row>
    <row r="738" customFormat="false" ht="15" hidden="true" customHeight="true" outlineLevel="1" collapsed="false">
      <c r="A738" s="106"/>
      <c r="B738" s="185"/>
      <c r="C738" s="183"/>
      <c r="D738" s="54"/>
      <c r="E738" s="126"/>
      <c r="F738" s="184"/>
      <c r="G738" s="54"/>
    </row>
    <row r="739" customFormat="false" ht="15" hidden="true" customHeight="true" outlineLevel="1" collapsed="false">
      <c r="A739" s="106"/>
      <c r="B739" s="185"/>
      <c r="C739" s="183"/>
      <c r="D739" s="54"/>
      <c r="E739" s="126"/>
      <c r="F739" s="184"/>
      <c r="G739" s="54"/>
    </row>
    <row r="740" customFormat="false" ht="15" hidden="true" customHeight="true" outlineLevel="1" collapsed="false">
      <c r="A740" s="106"/>
      <c r="B740" s="185"/>
      <c r="C740" s="183"/>
      <c r="D740" s="54"/>
      <c r="E740" s="126"/>
      <c r="F740" s="184"/>
      <c r="G740" s="54"/>
    </row>
    <row r="741" customFormat="false" ht="15" hidden="true" customHeight="true" outlineLevel="1" collapsed="false">
      <c r="A741" s="106"/>
      <c r="B741" s="186"/>
      <c r="C741" s="183"/>
      <c r="D741" s="54"/>
      <c r="E741" s="126"/>
      <c r="F741" s="184"/>
      <c r="G741" s="54"/>
    </row>
    <row r="742" customFormat="false" ht="15" hidden="false" customHeight="true" outlineLevel="0" collapsed="false">
      <c r="A742" s="47" t="s">
        <v>690</v>
      </c>
      <c r="B742" s="47"/>
      <c r="C742" s="183"/>
      <c r="D742" s="54"/>
      <c r="E742" s="126"/>
      <c r="F742" s="184"/>
      <c r="G742" s="54"/>
    </row>
    <row r="743" customFormat="false" ht="15" hidden="true" customHeight="true" outlineLevel="1" collapsed="false">
      <c r="A743" s="187" t="s">
        <v>702</v>
      </c>
      <c r="B743" s="187"/>
      <c r="C743" s="188" t="s">
        <v>208</v>
      </c>
      <c r="D743" s="189" t="s">
        <v>257</v>
      </c>
      <c r="E743" s="190"/>
      <c r="F743" s="191" t="s">
        <v>703</v>
      </c>
      <c r="G743" s="191" t="s">
        <v>132</v>
      </c>
      <c r="H743" s="71"/>
      <c r="I743" s="71"/>
    </row>
    <row r="744" customFormat="false" ht="15" hidden="true" customHeight="true" outlineLevel="1" collapsed="false">
      <c r="A744" s="30"/>
      <c r="B744" s="192" t="s">
        <v>294</v>
      </c>
      <c r="C744" s="193" t="s">
        <v>135</v>
      </c>
      <c r="D744" s="7" t="n">
        <v>0</v>
      </c>
      <c r="E744" s="194"/>
      <c r="F744" s="119"/>
      <c r="G744" s="119" t="n">
        <v>0</v>
      </c>
      <c r="H744" s="71"/>
      <c r="I744" s="71"/>
    </row>
    <row r="745" customFormat="false" ht="15" hidden="true" customHeight="true" outlineLevel="1" collapsed="false">
      <c r="A745" s="31"/>
      <c r="B745" s="192" t="s">
        <v>704</v>
      </c>
      <c r="C745" s="193" t="s">
        <v>135</v>
      </c>
      <c r="D745" s="7" t="n">
        <v>0.05</v>
      </c>
      <c r="F745" s="119" t="s">
        <v>705</v>
      </c>
      <c r="G745" s="8" t="n">
        <v>1700</v>
      </c>
      <c r="H745" s="71"/>
      <c r="I745" s="71"/>
    </row>
    <row r="746" customFormat="false" ht="15" hidden="true" customHeight="true" outlineLevel="1" collapsed="false">
      <c r="A746" s="31"/>
      <c r="B746" s="192" t="s">
        <v>706</v>
      </c>
      <c r="C746" s="193" t="s">
        <v>135</v>
      </c>
      <c r="D746" s="7" t="n">
        <v>0.1</v>
      </c>
      <c r="F746" s="119" t="s">
        <v>705</v>
      </c>
      <c r="G746" s="8" t="n">
        <v>1700</v>
      </c>
      <c r="H746" s="71"/>
      <c r="I746" s="71"/>
    </row>
    <row r="747" customFormat="false" ht="15" hidden="true" customHeight="true" outlineLevel="1" collapsed="false">
      <c r="A747" s="31"/>
      <c r="B747" s="192" t="s">
        <v>707</v>
      </c>
      <c r="C747" s="193" t="s">
        <v>135</v>
      </c>
      <c r="D747" s="7" t="n">
        <v>0.15</v>
      </c>
      <c r="F747" s="119" t="s">
        <v>705</v>
      </c>
      <c r="G747" s="8" t="n">
        <v>1700</v>
      </c>
      <c r="H747" s="71"/>
      <c r="I747" s="71"/>
    </row>
    <row r="748" customFormat="false" ht="15" hidden="true" customHeight="true" outlineLevel="1" collapsed="false">
      <c r="A748" s="31"/>
      <c r="B748" s="192" t="s">
        <v>708</v>
      </c>
      <c r="C748" s="193" t="s">
        <v>135</v>
      </c>
      <c r="D748" s="7" t="n">
        <v>0.2</v>
      </c>
      <c r="F748" s="119" t="s">
        <v>705</v>
      </c>
      <c r="G748" s="8" t="n">
        <v>1700</v>
      </c>
      <c r="H748" s="71"/>
      <c r="I748" s="71"/>
    </row>
    <row r="749" customFormat="false" ht="15" hidden="true" customHeight="true" outlineLevel="1" collapsed="false">
      <c r="A749" s="31"/>
      <c r="B749" s="192" t="s">
        <v>709</v>
      </c>
      <c r="C749" s="193" t="s">
        <v>135</v>
      </c>
      <c r="D749" s="7" t="n">
        <v>0.25</v>
      </c>
      <c r="F749" s="119"/>
      <c r="G749" s="8" t="n">
        <v>1700</v>
      </c>
      <c r="H749" s="71"/>
      <c r="I749" s="71"/>
    </row>
    <row r="750" customFormat="false" ht="15" hidden="true" customHeight="true" outlineLevel="1" collapsed="false">
      <c r="A750" s="31"/>
      <c r="B750" s="192" t="s">
        <v>710</v>
      </c>
      <c r="C750" s="193" t="s">
        <v>135</v>
      </c>
      <c r="D750" s="7" t="n">
        <v>0.3</v>
      </c>
      <c r="F750" s="119"/>
      <c r="G750" s="8" t="n">
        <v>1700</v>
      </c>
      <c r="H750" s="71"/>
      <c r="I750" s="71"/>
    </row>
    <row r="751" customFormat="false" ht="15" hidden="true" customHeight="true" outlineLevel="1" collapsed="false">
      <c r="A751" s="31"/>
      <c r="B751" s="192" t="s">
        <v>711</v>
      </c>
      <c r="C751" s="193" t="s">
        <v>135</v>
      </c>
      <c r="D751" s="7" t="n">
        <v>0.05</v>
      </c>
      <c r="F751" s="119" t="s">
        <v>712</v>
      </c>
      <c r="G751" s="8" t="n">
        <v>2500</v>
      </c>
      <c r="H751" s="71"/>
      <c r="I751" s="71"/>
    </row>
    <row r="752" customFormat="false" ht="15" hidden="true" customHeight="true" outlineLevel="1" collapsed="false">
      <c r="A752" s="31"/>
      <c r="B752" s="192" t="s">
        <v>713</v>
      </c>
      <c r="C752" s="193" t="s">
        <v>135</v>
      </c>
      <c r="D752" s="7" t="n">
        <v>0.1</v>
      </c>
      <c r="F752" s="119" t="s">
        <v>712</v>
      </c>
      <c r="G752" s="8" t="n">
        <v>2500</v>
      </c>
      <c r="H752" s="71"/>
      <c r="I752" s="71"/>
    </row>
    <row r="753" customFormat="false" ht="15" hidden="true" customHeight="true" outlineLevel="1" collapsed="false">
      <c r="A753" s="31"/>
      <c r="B753" s="192" t="s">
        <v>714</v>
      </c>
      <c r="C753" s="193" t="s">
        <v>135</v>
      </c>
      <c r="D753" s="7" t="n">
        <v>0.15</v>
      </c>
      <c r="F753" s="119" t="s">
        <v>712</v>
      </c>
      <c r="G753" s="8" t="n">
        <v>2500</v>
      </c>
      <c r="H753" s="71"/>
      <c r="I753" s="71"/>
    </row>
    <row r="754" customFormat="false" ht="15" hidden="true" customHeight="true" outlineLevel="1" collapsed="false">
      <c r="A754" s="31"/>
      <c r="B754" s="192" t="s">
        <v>715</v>
      </c>
      <c r="C754" s="193" t="s">
        <v>135</v>
      </c>
      <c r="D754" s="7" t="n">
        <v>0.2</v>
      </c>
      <c r="F754" s="119" t="s">
        <v>712</v>
      </c>
      <c r="G754" s="8" t="n">
        <v>2500</v>
      </c>
      <c r="H754" s="71"/>
      <c r="I754" s="71"/>
    </row>
    <row r="755" customFormat="false" ht="15" hidden="true" customHeight="true" outlineLevel="1" collapsed="false">
      <c r="A755" s="31"/>
      <c r="B755" s="192" t="s">
        <v>716</v>
      </c>
      <c r="C755" s="193" t="s">
        <v>135</v>
      </c>
      <c r="D755" s="7" t="n">
        <v>0.25</v>
      </c>
      <c r="F755" s="119"/>
      <c r="G755" s="8" t="n">
        <v>2500</v>
      </c>
      <c r="H755" s="71"/>
      <c r="I755" s="71"/>
    </row>
    <row r="756" customFormat="false" ht="15" hidden="true" customHeight="true" outlineLevel="1" collapsed="false">
      <c r="A756" s="31"/>
      <c r="B756" s="192" t="s">
        <v>717</v>
      </c>
      <c r="C756" s="193" t="s">
        <v>135</v>
      </c>
      <c r="D756" s="7" t="n">
        <v>0.3</v>
      </c>
      <c r="F756" s="119"/>
      <c r="G756" s="8" t="n">
        <v>2500</v>
      </c>
      <c r="H756" s="71"/>
      <c r="I756" s="71"/>
    </row>
    <row r="757" customFormat="false" ht="15" hidden="true" customHeight="true" outlineLevel="1" collapsed="false">
      <c r="A757" s="31"/>
      <c r="B757" s="195" t="s">
        <v>718</v>
      </c>
      <c r="C757" s="193" t="s">
        <v>135</v>
      </c>
      <c r="D757" s="7" t="n">
        <v>0.05</v>
      </c>
      <c r="E757" s="194"/>
      <c r="F757" s="119" t="s">
        <v>719</v>
      </c>
      <c r="G757" s="119" t="n">
        <v>1400</v>
      </c>
      <c r="H757" s="71"/>
      <c r="I757" s="71"/>
    </row>
    <row r="758" customFormat="false" ht="15" hidden="true" customHeight="true" outlineLevel="1" collapsed="false">
      <c r="A758" s="31"/>
      <c r="B758" s="195" t="s">
        <v>720</v>
      </c>
      <c r="C758" s="193" t="s">
        <v>135</v>
      </c>
      <c r="D758" s="7" t="n">
        <v>0.1</v>
      </c>
      <c r="E758" s="194"/>
      <c r="F758" s="119" t="s">
        <v>719</v>
      </c>
      <c r="G758" s="119" t="n">
        <v>1400</v>
      </c>
      <c r="H758" s="71"/>
      <c r="I758" s="71"/>
    </row>
    <row r="759" customFormat="false" ht="15" hidden="true" customHeight="true" outlineLevel="1" collapsed="false">
      <c r="A759" s="31"/>
      <c r="B759" s="195" t="s">
        <v>721</v>
      </c>
      <c r="C759" s="193" t="s">
        <v>135</v>
      </c>
      <c r="D759" s="7" t="n">
        <v>0.15</v>
      </c>
      <c r="E759" s="194"/>
      <c r="F759" s="119" t="s">
        <v>719</v>
      </c>
      <c r="G759" s="119" t="n">
        <v>1400</v>
      </c>
      <c r="H759" s="71"/>
      <c r="I759" s="71"/>
    </row>
    <row r="760" customFormat="false" ht="15" hidden="true" customHeight="true" outlineLevel="1" collapsed="false">
      <c r="A760" s="31"/>
      <c r="B760" s="195" t="s">
        <v>722</v>
      </c>
      <c r="C760" s="193" t="s">
        <v>135</v>
      </c>
      <c r="D760" s="7" t="n">
        <v>0.2</v>
      </c>
      <c r="E760" s="194"/>
      <c r="F760" s="119" t="s">
        <v>719</v>
      </c>
      <c r="G760" s="119" t="n">
        <v>1400</v>
      </c>
      <c r="H760" s="71"/>
      <c r="I760" s="71"/>
    </row>
    <row r="761" customFormat="false" ht="15" hidden="true" customHeight="true" outlineLevel="1" collapsed="false">
      <c r="A761" s="31"/>
      <c r="B761" s="195" t="s">
        <v>723</v>
      </c>
      <c r="C761" s="193" t="s">
        <v>135</v>
      </c>
      <c r="D761" s="7" t="n">
        <v>0.25</v>
      </c>
      <c r="E761" s="194"/>
      <c r="F761" s="119" t="s">
        <v>719</v>
      </c>
      <c r="G761" s="119" t="n">
        <v>1400</v>
      </c>
      <c r="H761" s="71"/>
      <c r="I761" s="71"/>
    </row>
    <row r="762" customFormat="false" ht="15" hidden="true" customHeight="true" outlineLevel="1" collapsed="false">
      <c r="A762" s="31"/>
      <c r="B762" s="195" t="s">
        <v>724</v>
      </c>
      <c r="C762" s="193" t="s">
        <v>135</v>
      </c>
      <c r="D762" s="7" t="n">
        <v>0.3</v>
      </c>
      <c r="E762" s="194"/>
      <c r="F762" s="119" t="s">
        <v>719</v>
      </c>
      <c r="G762" s="119" t="n">
        <v>1400</v>
      </c>
      <c r="H762" s="71"/>
      <c r="I762" s="71"/>
    </row>
    <row r="763" customFormat="false" ht="15" hidden="true" customHeight="true" outlineLevel="1" collapsed="false">
      <c r="A763" s="31"/>
      <c r="B763" s="195" t="s">
        <v>725</v>
      </c>
      <c r="C763" s="193" t="s">
        <v>135</v>
      </c>
      <c r="D763" s="7" t="n">
        <v>0.05</v>
      </c>
      <c r="E763" s="194"/>
      <c r="F763" s="119" t="s">
        <v>705</v>
      </c>
      <c r="G763" s="119" t="n">
        <v>2200</v>
      </c>
      <c r="H763" s="71"/>
      <c r="I763" s="71"/>
    </row>
    <row r="764" customFormat="false" ht="15" hidden="true" customHeight="true" outlineLevel="1" collapsed="false">
      <c r="A764" s="31"/>
      <c r="B764" s="195" t="s">
        <v>726</v>
      </c>
      <c r="C764" s="193" t="s">
        <v>135</v>
      </c>
      <c r="D764" s="7" t="n">
        <v>0.1</v>
      </c>
      <c r="E764" s="194"/>
      <c r="F764" s="119" t="s">
        <v>705</v>
      </c>
      <c r="G764" s="119" t="n">
        <v>2200</v>
      </c>
      <c r="H764" s="71"/>
      <c r="I764" s="71"/>
    </row>
    <row r="765" customFormat="false" ht="15" hidden="true" customHeight="true" outlineLevel="1" collapsed="false">
      <c r="A765" s="31"/>
      <c r="B765" s="195" t="s">
        <v>727</v>
      </c>
      <c r="C765" s="193" t="s">
        <v>135</v>
      </c>
      <c r="D765" s="7" t="n">
        <v>0.15</v>
      </c>
      <c r="E765" s="194"/>
      <c r="F765" s="119" t="s">
        <v>705</v>
      </c>
      <c r="G765" s="119" t="n">
        <v>2200</v>
      </c>
      <c r="H765" s="71"/>
      <c r="I765" s="71"/>
    </row>
    <row r="766" customFormat="false" ht="15" hidden="true" customHeight="true" outlineLevel="1" collapsed="false">
      <c r="A766" s="31"/>
      <c r="B766" s="195" t="s">
        <v>728</v>
      </c>
      <c r="C766" s="193" t="s">
        <v>135</v>
      </c>
      <c r="D766" s="7" t="n">
        <v>0.2</v>
      </c>
      <c r="E766" s="194"/>
      <c r="F766" s="119" t="s">
        <v>705</v>
      </c>
      <c r="G766" s="119" t="n">
        <v>2200</v>
      </c>
      <c r="H766" s="71"/>
      <c r="I766" s="71"/>
    </row>
    <row r="767" customFormat="false" ht="15" hidden="true" customHeight="true" outlineLevel="1" collapsed="false">
      <c r="A767" s="31"/>
      <c r="B767" s="195" t="s">
        <v>729</v>
      </c>
      <c r="C767" s="193" t="s">
        <v>135</v>
      </c>
      <c r="D767" s="7" t="n">
        <v>0.25</v>
      </c>
      <c r="E767" s="194"/>
      <c r="F767" s="119" t="s">
        <v>705</v>
      </c>
      <c r="G767" s="119" t="n">
        <v>2200</v>
      </c>
      <c r="H767" s="71"/>
      <c r="I767" s="71"/>
    </row>
    <row r="768" customFormat="false" ht="15" hidden="true" customHeight="true" outlineLevel="1" collapsed="false">
      <c r="A768" s="31"/>
      <c r="B768" s="195" t="s">
        <v>730</v>
      </c>
      <c r="C768" s="193" t="s">
        <v>135</v>
      </c>
      <c r="D768" s="7" t="n">
        <v>0.3</v>
      </c>
      <c r="E768" s="194"/>
      <c r="F768" s="119" t="s">
        <v>705</v>
      </c>
      <c r="G768" s="119" t="n">
        <v>2200</v>
      </c>
      <c r="H768" s="71"/>
      <c r="I768" s="71"/>
    </row>
    <row r="769" customFormat="false" ht="15" hidden="true" customHeight="true" outlineLevel="1" collapsed="false">
      <c r="A769" s="31"/>
      <c r="B769" s="195" t="s">
        <v>731</v>
      </c>
      <c r="C769" s="193" t="s">
        <v>135</v>
      </c>
      <c r="D769" s="7" t="n">
        <v>0.05</v>
      </c>
      <c r="E769" s="194"/>
      <c r="F769" s="119" t="s">
        <v>712</v>
      </c>
      <c r="G769" s="119" t="n">
        <v>3400</v>
      </c>
      <c r="H769" s="71"/>
      <c r="I769" s="71"/>
    </row>
    <row r="770" customFormat="false" ht="15" hidden="true" customHeight="true" outlineLevel="1" collapsed="false">
      <c r="A770" s="31"/>
      <c r="B770" s="195" t="s">
        <v>732</v>
      </c>
      <c r="C770" s="193" t="s">
        <v>135</v>
      </c>
      <c r="D770" s="7" t="n">
        <v>0.1</v>
      </c>
      <c r="E770" s="194"/>
      <c r="F770" s="119" t="s">
        <v>712</v>
      </c>
      <c r="G770" s="119" t="n">
        <v>3400</v>
      </c>
      <c r="H770" s="71"/>
      <c r="I770" s="71"/>
    </row>
    <row r="771" customFormat="false" ht="15" hidden="true" customHeight="true" outlineLevel="1" collapsed="false">
      <c r="A771" s="31"/>
      <c r="B771" s="195" t="s">
        <v>733</v>
      </c>
      <c r="C771" s="193" t="s">
        <v>135</v>
      </c>
      <c r="D771" s="7" t="n">
        <v>0.15</v>
      </c>
      <c r="E771" s="194"/>
      <c r="F771" s="119" t="s">
        <v>712</v>
      </c>
      <c r="G771" s="119" t="n">
        <v>3400</v>
      </c>
      <c r="H771" s="71"/>
    </row>
    <row r="772" customFormat="false" ht="15" hidden="true" customHeight="true" outlineLevel="1" collapsed="false">
      <c r="A772" s="31"/>
      <c r="B772" s="195" t="s">
        <v>734</v>
      </c>
      <c r="C772" s="193" t="s">
        <v>135</v>
      </c>
      <c r="D772" s="7" t="n">
        <v>0.2</v>
      </c>
      <c r="E772" s="194"/>
      <c r="F772" s="119" t="s">
        <v>712</v>
      </c>
      <c r="G772" s="119" t="n">
        <v>3400</v>
      </c>
      <c r="H772" s="71"/>
    </row>
    <row r="773" customFormat="false" ht="15" hidden="true" customHeight="true" outlineLevel="1" collapsed="false">
      <c r="A773" s="31"/>
      <c r="B773" s="195" t="s">
        <v>735</v>
      </c>
      <c r="C773" s="193" t="s">
        <v>135</v>
      </c>
      <c r="D773" s="7" t="n">
        <v>0.25</v>
      </c>
      <c r="E773" s="194"/>
      <c r="F773" s="119" t="s">
        <v>712</v>
      </c>
      <c r="G773" s="119" t="n">
        <v>3400</v>
      </c>
      <c r="H773" s="71"/>
    </row>
    <row r="774" customFormat="false" ht="15" hidden="true" customHeight="true" outlineLevel="1" collapsed="false">
      <c r="A774" s="31"/>
      <c r="B774" s="195" t="s">
        <v>736</v>
      </c>
      <c r="C774" s="193" t="s">
        <v>135</v>
      </c>
      <c r="D774" s="7" t="n">
        <v>0.3</v>
      </c>
      <c r="E774" s="194"/>
      <c r="F774" s="119" t="s">
        <v>712</v>
      </c>
      <c r="G774" s="119" t="n">
        <v>3400</v>
      </c>
      <c r="H774" s="71"/>
    </row>
    <row r="775" customFormat="false" ht="15" hidden="true" customHeight="true" outlineLevel="1" collapsed="false">
      <c r="A775" s="31"/>
      <c r="B775" s="192" t="s">
        <v>737</v>
      </c>
      <c r="C775" s="193" t="s">
        <v>135</v>
      </c>
      <c r="D775" s="7" t="n">
        <v>0.05</v>
      </c>
      <c r="F775" s="119" t="s">
        <v>712</v>
      </c>
      <c r="G775" s="8" t="n">
        <v>5000</v>
      </c>
      <c r="H775" s="71"/>
    </row>
    <row r="776" customFormat="false" ht="15" hidden="true" customHeight="true" outlineLevel="1" collapsed="false">
      <c r="A776" s="31"/>
      <c r="B776" s="192" t="s">
        <v>738</v>
      </c>
      <c r="C776" s="193" t="s">
        <v>135</v>
      </c>
      <c r="D776" s="7" t="n">
        <v>0.1</v>
      </c>
      <c r="F776" s="119" t="s">
        <v>712</v>
      </c>
      <c r="G776" s="8" t="n">
        <v>5000</v>
      </c>
      <c r="H776" s="71"/>
    </row>
    <row r="777" customFormat="false" ht="15" hidden="true" customHeight="true" outlineLevel="1" collapsed="false">
      <c r="A777" s="31"/>
      <c r="B777" s="192" t="s">
        <v>739</v>
      </c>
      <c r="C777" s="193" t="s">
        <v>135</v>
      </c>
      <c r="D777" s="7" t="n">
        <v>0.15</v>
      </c>
      <c r="F777" s="119" t="s">
        <v>712</v>
      </c>
      <c r="G777" s="8" t="n">
        <v>5000</v>
      </c>
      <c r="H777" s="71"/>
    </row>
    <row r="778" customFormat="false" ht="15" hidden="true" customHeight="true" outlineLevel="1" collapsed="false">
      <c r="A778" s="31"/>
      <c r="B778" s="192" t="s">
        <v>740</v>
      </c>
      <c r="C778" s="193" t="s">
        <v>135</v>
      </c>
      <c r="D778" s="7" t="n">
        <v>0.2</v>
      </c>
      <c r="F778" s="119" t="s">
        <v>712</v>
      </c>
      <c r="G778" s="8" t="n">
        <v>5000</v>
      </c>
      <c r="H778" s="71"/>
    </row>
    <row r="779" customFormat="false" ht="15" hidden="true" customHeight="true" outlineLevel="1" collapsed="false">
      <c r="A779" s="31"/>
      <c r="B779" s="192" t="s">
        <v>741</v>
      </c>
      <c r="C779" s="193" t="s">
        <v>135</v>
      </c>
      <c r="D779" s="7" t="n">
        <v>0.05</v>
      </c>
      <c r="F779" s="119" t="s">
        <v>705</v>
      </c>
      <c r="G779" s="8" t="n">
        <v>5000</v>
      </c>
      <c r="H779" s="71"/>
    </row>
    <row r="780" customFormat="false" ht="15" hidden="true" customHeight="true" outlineLevel="1" collapsed="false">
      <c r="A780" s="31"/>
      <c r="B780" s="192" t="s">
        <v>742</v>
      </c>
      <c r="C780" s="193" t="s">
        <v>135</v>
      </c>
      <c r="D780" s="7" t="n">
        <v>0.1</v>
      </c>
      <c r="F780" s="119" t="s">
        <v>705</v>
      </c>
      <c r="G780" s="8" t="n">
        <v>5000</v>
      </c>
      <c r="H780" s="71"/>
    </row>
    <row r="781" customFormat="false" ht="15" hidden="true" customHeight="true" outlineLevel="1" collapsed="false">
      <c r="A781" s="31"/>
      <c r="B781" s="192" t="s">
        <v>743</v>
      </c>
      <c r="C781" s="193" t="s">
        <v>135</v>
      </c>
      <c r="D781" s="7" t="n">
        <v>0.15</v>
      </c>
      <c r="F781" s="119" t="s">
        <v>705</v>
      </c>
      <c r="G781" s="8" t="n">
        <v>5000</v>
      </c>
      <c r="H781" s="71"/>
    </row>
    <row r="782" customFormat="false" ht="15" hidden="true" customHeight="true" outlineLevel="1" collapsed="false">
      <c r="A782" s="31"/>
      <c r="B782" s="192" t="s">
        <v>744</v>
      </c>
      <c r="C782" s="193" t="s">
        <v>135</v>
      </c>
      <c r="D782" s="7" t="n">
        <v>0.2</v>
      </c>
      <c r="F782" s="119" t="s">
        <v>705</v>
      </c>
      <c r="G782" s="8" t="n">
        <v>5000</v>
      </c>
      <c r="H782" s="71"/>
    </row>
    <row r="783" customFormat="false" ht="15" hidden="true" customHeight="true" outlineLevel="1" collapsed="false">
      <c r="A783" s="31"/>
      <c r="B783" s="192" t="s">
        <v>745</v>
      </c>
      <c r="C783" s="193" t="s">
        <v>159</v>
      </c>
      <c r="F783" s="119"/>
      <c r="G783" s="8" t="n">
        <v>15</v>
      </c>
      <c r="H783" s="71"/>
    </row>
    <row r="784" customFormat="false" ht="15" hidden="true" customHeight="true" outlineLevel="1" collapsed="false">
      <c r="A784" s="31"/>
      <c r="B784" s="192"/>
      <c r="C784" s="193"/>
      <c r="F784" s="119"/>
      <c r="H784" s="71"/>
    </row>
    <row r="785" customFormat="false" ht="15" hidden="true" customHeight="true" outlineLevel="1" collapsed="false">
      <c r="A785" s="31"/>
      <c r="B785" s="196"/>
      <c r="C785" s="193"/>
      <c r="F785" s="119"/>
      <c r="H785" s="71"/>
    </row>
    <row r="786" customFormat="false" ht="15" hidden="false" customHeight="true" outlineLevel="0" collapsed="false">
      <c r="A786" s="47" t="s">
        <v>702</v>
      </c>
      <c r="B786" s="47"/>
      <c r="C786" s="193"/>
      <c r="F786" s="119"/>
      <c r="H786" s="71"/>
    </row>
    <row r="787" customFormat="false" ht="15" hidden="true" customHeight="true" outlineLevel="1" collapsed="false">
      <c r="A787" s="197" t="s">
        <v>746</v>
      </c>
      <c r="B787" s="197"/>
      <c r="C787" s="63" t="s">
        <v>208</v>
      </c>
      <c r="D787" s="64"/>
      <c r="E787" s="64"/>
      <c r="F787" s="38" t="s">
        <v>747</v>
      </c>
      <c r="G787" s="64" t="s">
        <v>57</v>
      </c>
      <c r="H787" s="71"/>
    </row>
    <row r="788" customFormat="false" ht="15" hidden="true" customHeight="true" outlineLevel="1" collapsed="false">
      <c r="A788" s="30"/>
      <c r="B788" s="87" t="s">
        <v>748</v>
      </c>
      <c r="C788" s="88" t="s">
        <v>133</v>
      </c>
      <c r="F788" s="119"/>
      <c r="G788" s="8" t="n">
        <v>70</v>
      </c>
      <c r="H788" s="71"/>
    </row>
    <row r="789" customFormat="false" ht="15" hidden="true" customHeight="true" outlineLevel="1" collapsed="false">
      <c r="A789" s="31"/>
      <c r="B789" s="87" t="s">
        <v>749</v>
      </c>
      <c r="C789" s="88" t="s">
        <v>396</v>
      </c>
      <c r="F789" s="119"/>
      <c r="G789" s="8" t="n">
        <v>60</v>
      </c>
      <c r="H789" s="71"/>
    </row>
    <row r="790" customFormat="false" ht="15" hidden="true" customHeight="true" outlineLevel="1" collapsed="false">
      <c r="A790" s="31"/>
      <c r="B790" s="87" t="s">
        <v>750</v>
      </c>
      <c r="C790" s="88" t="s">
        <v>133</v>
      </c>
      <c r="F790" s="119"/>
      <c r="G790" s="8" t="n">
        <v>30</v>
      </c>
      <c r="H790" s="71"/>
    </row>
    <row r="791" customFormat="false" ht="15" hidden="true" customHeight="true" outlineLevel="1" collapsed="false">
      <c r="A791" s="31"/>
      <c r="B791" s="87" t="s">
        <v>751</v>
      </c>
      <c r="C791" s="88" t="s">
        <v>133</v>
      </c>
      <c r="F791" s="119"/>
      <c r="G791" s="8" t="n">
        <v>100</v>
      </c>
      <c r="H791" s="71"/>
    </row>
    <row r="792" customFormat="false" ht="15" hidden="true" customHeight="true" outlineLevel="1" collapsed="false">
      <c r="A792" s="31"/>
      <c r="B792" s="87" t="s">
        <v>752</v>
      </c>
      <c r="C792" s="88" t="s">
        <v>133</v>
      </c>
      <c r="F792" s="119"/>
      <c r="G792" s="8" t="n">
        <v>15</v>
      </c>
      <c r="H792" s="71"/>
    </row>
    <row r="793" customFormat="false" ht="15" hidden="true" customHeight="true" outlineLevel="1" collapsed="false">
      <c r="A793" s="31"/>
      <c r="B793" s="87" t="s">
        <v>753</v>
      </c>
      <c r="C793" s="88" t="s">
        <v>133</v>
      </c>
      <c r="F793" s="119"/>
      <c r="G793" s="8" t="n">
        <v>0</v>
      </c>
      <c r="H793" s="71"/>
    </row>
    <row r="794" customFormat="false" ht="15" hidden="true" customHeight="true" outlineLevel="1" collapsed="false">
      <c r="A794" s="31"/>
      <c r="B794" s="5" t="s">
        <v>754</v>
      </c>
      <c r="C794" s="88" t="s">
        <v>133</v>
      </c>
      <c r="D794" s="198" t="s">
        <v>755</v>
      </c>
      <c r="E794" s="5" t="s">
        <v>756</v>
      </c>
      <c r="F794" s="134" t="n">
        <v>1500</v>
      </c>
      <c r="G794" s="134" t="n">
        <f aca="false">CEILING(F794/75,1)</f>
        <v>20</v>
      </c>
      <c r="H794" s="71"/>
    </row>
    <row r="795" customFormat="false" ht="15" hidden="true" customHeight="true" outlineLevel="1" collapsed="false">
      <c r="A795" s="31"/>
      <c r="B795" s="5" t="s">
        <v>757</v>
      </c>
      <c r="C795" s="88" t="s">
        <v>133</v>
      </c>
      <c r="D795" s="198"/>
      <c r="E795" s="5" t="s">
        <v>756</v>
      </c>
      <c r="F795" s="134" t="n">
        <v>1800</v>
      </c>
      <c r="G795" s="134" t="n">
        <f aca="false">CEILING(F795/75,1)</f>
        <v>24</v>
      </c>
      <c r="H795" s="71"/>
    </row>
    <row r="796" customFormat="false" ht="15" hidden="true" customHeight="true" outlineLevel="1" collapsed="false">
      <c r="A796" s="31"/>
      <c r="B796" s="5" t="s">
        <v>758</v>
      </c>
      <c r="C796" s="88" t="s">
        <v>133</v>
      </c>
      <c r="D796" s="198"/>
      <c r="E796" s="5" t="s">
        <v>756</v>
      </c>
      <c r="F796" s="134" t="n">
        <v>2500</v>
      </c>
      <c r="G796" s="134" t="n">
        <f aca="false">CEILING(F796/75,1)</f>
        <v>34</v>
      </c>
      <c r="H796" s="71"/>
    </row>
    <row r="797" customFormat="false" ht="15" hidden="true" customHeight="true" outlineLevel="1" collapsed="false">
      <c r="A797" s="31"/>
      <c r="B797" s="5" t="s">
        <v>759</v>
      </c>
      <c r="C797" s="88" t="s">
        <v>133</v>
      </c>
      <c r="D797" s="198"/>
      <c r="E797" s="5" t="s">
        <v>756</v>
      </c>
      <c r="F797" s="134" t="n">
        <v>6400</v>
      </c>
      <c r="G797" s="134" t="n">
        <f aca="false">CEILING(F797/75,1)</f>
        <v>86</v>
      </c>
      <c r="H797" s="71"/>
    </row>
    <row r="798" customFormat="false" ht="15" hidden="true" customHeight="true" outlineLevel="1" collapsed="false">
      <c r="A798" s="31"/>
      <c r="B798" s="5" t="s">
        <v>760</v>
      </c>
      <c r="C798" s="88" t="s">
        <v>133</v>
      </c>
      <c r="D798" s="198"/>
      <c r="E798" s="5" t="s">
        <v>756</v>
      </c>
      <c r="F798" s="134" t="n">
        <v>6700</v>
      </c>
      <c r="G798" s="134" t="n">
        <f aca="false">CEILING(F798/75,1)</f>
        <v>90</v>
      </c>
      <c r="H798" s="71"/>
    </row>
    <row r="799" customFormat="false" ht="15" hidden="true" customHeight="true" outlineLevel="1" collapsed="false">
      <c r="A799" s="31"/>
      <c r="B799" s="5" t="s">
        <v>761</v>
      </c>
      <c r="C799" s="88" t="s">
        <v>133</v>
      </c>
      <c r="D799" s="198"/>
      <c r="E799" s="5" t="s">
        <v>756</v>
      </c>
      <c r="F799" s="134" t="n">
        <v>10500</v>
      </c>
      <c r="G799" s="134" t="n">
        <f aca="false">CEILING(F799/75,1)</f>
        <v>140</v>
      </c>
      <c r="H799" s="71"/>
    </row>
    <row r="800" customFormat="false" ht="15" hidden="true" customHeight="true" outlineLevel="1" collapsed="false">
      <c r="A800" s="31"/>
      <c r="B800" s="5" t="s">
        <v>762</v>
      </c>
      <c r="C800" s="88" t="s">
        <v>133</v>
      </c>
      <c r="D800" s="198"/>
      <c r="E800" s="5" t="s">
        <v>756</v>
      </c>
      <c r="F800" s="134" t="n">
        <v>7400</v>
      </c>
      <c r="G800" s="134" t="n">
        <f aca="false">CEILING(F800/75,1)</f>
        <v>99</v>
      </c>
      <c r="H800" s="71"/>
    </row>
    <row r="801" customFormat="false" ht="15" hidden="true" customHeight="true" outlineLevel="1" collapsed="false">
      <c r="A801" s="31"/>
      <c r="B801" s="5" t="s">
        <v>763</v>
      </c>
      <c r="C801" s="88" t="s">
        <v>133</v>
      </c>
      <c r="D801" s="198" t="s">
        <v>755</v>
      </c>
      <c r="E801" s="5" t="s">
        <v>756</v>
      </c>
      <c r="F801" s="134" t="n">
        <v>15000</v>
      </c>
      <c r="G801" s="134" t="n">
        <f aca="false">CEILING(F801/75,1)</f>
        <v>200</v>
      </c>
      <c r="H801" s="71"/>
    </row>
    <row r="802" customFormat="false" ht="15" hidden="true" customHeight="true" outlineLevel="1" collapsed="false">
      <c r="A802" s="31"/>
      <c r="B802" s="5" t="s">
        <v>764</v>
      </c>
      <c r="C802" s="88" t="s">
        <v>133</v>
      </c>
      <c r="D802" s="198"/>
      <c r="E802" s="5" t="s">
        <v>756</v>
      </c>
      <c r="F802" s="134" t="n">
        <v>7900</v>
      </c>
      <c r="G802" s="134" t="n">
        <f aca="false">CEILING(F802/75,1)</f>
        <v>106</v>
      </c>
      <c r="H802" s="71"/>
    </row>
    <row r="803" customFormat="false" ht="15" hidden="true" customHeight="true" outlineLevel="1" collapsed="false">
      <c r="A803" s="31"/>
      <c r="B803" s="5" t="s">
        <v>765</v>
      </c>
      <c r="C803" s="88" t="s">
        <v>133</v>
      </c>
      <c r="D803" s="198"/>
      <c r="E803" s="5" t="s">
        <v>756</v>
      </c>
      <c r="F803" s="134" t="n">
        <v>10100</v>
      </c>
      <c r="G803" s="134" t="n">
        <f aca="false">CEILING(F803/75,1)</f>
        <v>135</v>
      </c>
      <c r="H803" s="71"/>
    </row>
    <row r="804" customFormat="false" ht="15" hidden="true" customHeight="true" outlineLevel="1" collapsed="false">
      <c r="A804" s="31"/>
      <c r="B804" s="5" t="s">
        <v>766</v>
      </c>
      <c r="C804" s="88" t="s">
        <v>133</v>
      </c>
      <c r="D804" s="198"/>
      <c r="E804" s="5" t="s">
        <v>756</v>
      </c>
      <c r="F804" s="134" t="n">
        <v>15300</v>
      </c>
      <c r="G804" s="134" t="n">
        <f aca="false">CEILING(F804/75,1)</f>
        <v>204</v>
      </c>
      <c r="H804" s="71"/>
    </row>
    <row r="805" customFormat="false" ht="15" hidden="true" customHeight="true" outlineLevel="1" collapsed="false">
      <c r="A805" s="31"/>
      <c r="B805" s="5" t="s">
        <v>767</v>
      </c>
      <c r="C805" s="88" t="s">
        <v>133</v>
      </c>
      <c r="D805" s="198"/>
      <c r="E805" s="5" t="s">
        <v>756</v>
      </c>
      <c r="F805" s="134" t="n">
        <v>17800</v>
      </c>
      <c r="G805" s="134" t="n">
        <f aca="false">CEILING(F805/75,1)</f>
        <v>238</v>
      </c>
      <c r="H805" s="71"/>
    </row>
    <row r="806" customFormat="false" ht="15" hidden="true" customHeight="true" outlineLevel="1" collapsed="false">
      <c r="A806" s="31"/>
      <c r="B806" s="5" t="s">
        <v>768</v>
      </c>
      <c r="C806" s="88" t="s">
        <v>133</v>
      </c>
      <c r="D806" s="198"/>
      <c r="E806" s="5" t="s">
        <v>769</v>
      </c>
      <c r="F806" s="134" t="n">
        <v>1400</v>
      </c>
      <c r="G806" s="134" t="n">
        <f aca="false">CEILING(F806/75,1)</f>
        <v>19</v>
      </c>
      <c r="H806" s="71"/>
    </row>
    <row r="807" customFormat="false" ht="15" hidden="true" customHeight="true" outlineLevel="1" collapsed="false">
      <c r="A807" s="31"/>
      <c r="B807" s="5" t="s">
        <v>770</v>
      </c>
      <c r="C807" s="88" t="s">
        <v>133</v>
      </c>
      <c r="D807" s="198"/>
      <c r="E807" s="5" t="s">
        <v>769</v>
      </c>
      <c r="F807" s="134" t="n">
        <v>1400</v>
      </c>
      <c r="G807" s="134" t="n">
        <f aca="false">CEILING(F807/75,1)</f>
        <v>19</v>
      </c>
      <c r="H807" s="71"/>
    </row>
    <row r="808" customFormat="false" ht="15" hidden="true" customHeight="true" outlineLevel="1" collapsed="false">
      <c r="A808" s="31"/>
      <c r="B808" s="199" t="s">
        <v>771</v>
      </c>
      <c r="C808" s="88" t="s">
        <v>133</v>
      </c>
      <c r="D808" s="198"/>
      <c r="E808" s="5" t="s">
        <v>772</v>
      </c>
      <c r="F808" s="134" t="n">
        <v>1450</v>
      </c>
      <c r="G808" s="134" t="n">
        <f aca="false">CEILING(F808/75,1)</f>
        <v>20</v>
      </c>
      <c r="H808" s="71"/>
    </row>
    <row r="809" customFormat="false" ht="15" hidden="true" customHeight="true" outlineLevel="1" collapsed="false">
      <c r="A809" s="31"/>
      <c r="B809" s="5" t="s">
        <v>773</v>
      </c>
      <c r="C809" s="88" t="s">
        <v>133</v>
      </c>
      <c r="D809" s="198"/>
      <c r="E809" s="5" t="s">
        <v>774</v>
      </c>
      <c r="F809" s="134" t="n">
        <v>1870</v>
      </c>
      <c r="G809" s="134" t="n">
        <f aca="false">CEILING(F809/75,1)</f>
        <v>25</v>
      </c>
      <c r="H809" s="71"/>
    </row>
    <row r="810" customFormat="false" ht="15" hidden="true" customHeight="true" outlineLevel="1" collapsed="false">
      <c r="A810" s="31"/>
      <c r="B810" s="5" t="s">
        <v>775</v>
      </c>
      <c r="C810" s="88" t="s">
        <v>133</v>
      </c>
      <c r="D810" s="198"/>
      <c r="E810" s="5" t="s">
        <v>774</v>
      </c>
      <c r="F810" s="134" t="n">
        <v>5300</v>
      </c>
      <c r="G810" s="134" t="n">
        <f aca="false">CEILING(F810/75,1)</f>
        <v>71</v>
      </c>
      <c r="H810" s="71"/>
    </row>
    <row r="811" customFormat="false" ht="15" hidden="true" customHeight="true" outlineLevel="1" collapsed="false">
      <c r="A811" s="31"/>
      <c r="B811" s="112" t="s">
        <v>776</v>
      </c>
      <c r="C811" s="94" t="s">
        <v>133</v>
      </c>
      <c r="D811" s="198" t="s">
        <v>755</v>
      </c>
      <c r="E811" s="112" t="n">
        <v>3.24</v>
      </c>
      <c r="F811" s="200" t="n">
        <v>528</v>
      </c>
      <c r="G811" s="25" t="n">
        <f aca="false">F811/E811</f>
        <v>162.962962962963</v>
      </c>
      <c r="H811" s="71"/>
    </row>
    <row r="812" customFormat="false" ht="15" hidden="true" customHeight="true" outlineLevel="1" collapsed="false">
      <c r="A812" s="31"/>
      <c r="B812" s="112" t="s">
        <v>777</v>
      </c>
      <c r="C812" s="94" t="s">
        <v>133</v>
      </c>
      <c r="D812" s="198"/>
      <c r="E812" s="112" t="n">
        <v>3.24</v>
      </c>
      <c r="F812" s="200" t="n">
        <v>608</v>
      </c>
      <c r="G812" s="25" t="n">
        <f aca="false">F812/E812</f>
        <v>187.654320987654</v>
      </c>
      <c r="H812" s="71"/>
    </row>
    <row r="813" customFormat="false" ht="15" hidden="true" customHeight="true" outlineLevel="1" collapsed="false">
      <c r="A813" s="31"/>
      <c r="B813" s="112" t="s">
        <v>778</v>
      </c>
      <c r="C813" s="94" t="s">
        <v>133</v>
      </c>
      <c r="D813" s="198"/>
      <c r="E813" s="112" t="n">
        <v>3.24</v>
      </c>
      <c r="F813" s="200" t="n">
        <v>1258</v>
      </c>
      <c r="G813" s="25" t="n">
        <f aca="false">F813/E813</f>
        <v>388.271604938272</v>
      </c>
      <c r="H813" s="71"/>
    </row>
    <row r="814" customFormat="false" ht="15" hidden="true" customHeight="true" outlineLevel="1" collapsed="false">
      <c r="A814" s="31"/>
      <c r="B814" s="112" t="s">
        <v>779</v>
      </c>
      <c r="C814" s="94" t="s">
        <v>133</v>
      </c>
      <c r="D814" s="198"/>
      <c r="E814" s="112" t="n">
        <v>3.24</v>
      </c>
      <c r="F814" s="200" t="n">
        <v>718</v>
      </c>
      <c r="G814" s="25" t="n">
        <f aca="false">F814/E814</f>
        <v>221.604938271605</v>
      </c>
      <c r="H814" s="71"/>
    </row>
    <row r="815" customFormat="false" ht="15" hidden="true" customHeight="true" outlineLevel="1" collapsed="false">
      <c r="A815" s="31"/>
      <c r="B815" s="112" t="s">
        <v>780</v>
      </c>
      <c r="C815" s="94" t="s">
        <v>133</v>
      </c>
      <c r="D815" s="198"/>
      <c r="E815" s="112" t="n">
        <v>3.24</v>
      </c>
      <c r="F815" s="201" t="n">
        <v>1488</v>
      </c>
      <c r="G815" s="25" t="n">
        <f aca="false">F815/E815</f>
        <v>459.259259259259</v>
      </c>
      <c r="H815" s="71"/>
    </row>
    <row r="816" customFormat="false" ht="15" hidden="true" customHeight="true" outlineLevel="1" collapsed="false">
      <c r="A816" s="31"/>
      <c r="B816" s="112" t="s">
        <v>781</v>
      </c>
      <c r="C816" s="94" t="s">
        <v>133</v>
      </c>
      <c r="D816" s="198"/>
      <c r="E816" s="112" t="n">
        <v>1.92</v>
      </c>
      <c r="F816" s="200" t="n">
        <v>800</v>
      </c>
      <c r="G816" s="25" t="n">
        <f aca="false">F816/E816</f>
        <v>416.666666666667</v>
      </c>
      <c r="H816" s="71"/>
    </row>
    <row r="817" customFormat="false" ht="15" hidden="true" customHeight="true" outlineLevel="1" collapsed="false">
      <c r="A817" s="31"/>
      <c r="B817" s="112" t="s">
        <v>782</v>
      </c>
      <c r="C817" s="94" t="s">
        <v>133</v>
      </c>
      <c r="D817" s="198"/>
      <c r="E817" s="112" t="n">
        <v>1.08</v>
      </c>
      <c r="F817" s="200" t="n">
        <v>655</v>
      </c>
      <c r="G817" s="25" t="n">
        <f aca="false">F817/E817</f>
        <v>606.481481481481</v>
      </c>
      <c r="H817" s="71"/>
    </row>
    <row r="818" customFormat="false" ht="15" hidden="true" customHeight="true" outlineLevel="1" collapsed="false">
      <c r="A818" s="31"/>
      <c r="B818" s="112" t="s">
        <v>783</v>
      </c>
      <c r="C818" s="94" t="s">
        <v>133</v>
      </c>
      <c r="D818" s="198"/>
      <c r="E818" s="112" t="n">
        <v>1.08</v>
      </c>
      <c r="F818" s="200" t="n">
        <v>980</v>
      </c>
      <c r="G818" s="25" t="n">
        <f aca="false">F818/E818</f>
        <v>907.407407407407</v>
      </c>
      <c r="H818" s="71"/>
    </row>
    <row r="819" customFormat="false" ht="15" hidden="true" customHeight="true" outlineLevel="1" collapsed="false">
      <c r="A819" s="31"/>
      <c r="B819" s="112" t="s">
        <v>784</v>
      </c>
      <c r="C819" s="94" t="s">
        <v>133</v>
      </c>
      <c r="D819" s="198"/>
      <c r="E819" s="112" t="n">
        <v>1.08</v>
      </c>
      <c r="F819" s="200" t="n">
        <v>1215</v>
      </c>
      <c r="G819" s="25" t="n">
        <f aca="false">F819/E819</f>
        <v>1125</v>
      </c>
      <c r="H819" s="71"/>
    </row>
    <row r="820" customFormat="false" ht="15" hidden="true" customHeight="true" outlineLevel="1" collapsed="false">
      <c r="A820" s="31"/>
      <c r="B820" s="87" t="s">
        <v>785</v>
      </c>
      <c r="C820" s="88" t="s">
        <v>133</v>
      </c>
      <c r="D820" s="198" t="s">
        <v>755</v>
      </c>
      <c r="F820" s="119"/>
      <c r="G820" s="8" t="n">
        <v>0</v>
      </c>
      <c r="H820" s="71"/>
    </row>
    <row r="821" customFormat="false" ht="15" hidden="true" customHeight="true" outlineLevel="1" collapsed="false">
      <c r="A821" s="31"/>
      <c r="B821" s="5" t="s">
        <v>786</v>
      </c>
      <c r="C821" s="88" t="s">
        <v>133</v>
      </c>
      <c r="D821" s="198"/>
      <c r="E821" s="5" t="s">
        <v>756</v>
      </c>
      <c r="F821" s="134" t="n">
        <v>1450</v>
      </c>
      <c r="G821" s="134" t="n">
        <f aca="false">CEILING(F821/75,1)</f>
        <v>20</v>
      </c>
      <c r="H821" s="71"/>
    </row>
    <row r="822" customFormat="false" ht="15" hidden="true" customHeight="true" outlineLevel="1" collapsed="false">
      <c r="A822" s="31"/>
      <c r="B822" s="5" t="s">
        <v>787</v>
      </c>
      <c r="C822" s="88" t="s">
        <v>133</v>
      </c>
      <c r="D822" s="198"/>
      <c r="E822" s="5" t="s">
        <v>756</v>
      </c>
      <c r="F822" s="134" t="n">
        <v>1790</v>
      </c>
      <c r="G822" s="134" t="n">
        <f aca="false">CEILING(F822/75,1)</f>
        <v>24</v>
      </c>
      <c r="H822" s="71"/>
    </row>
    <row r="823" customFormat="false" ht="15" hidden="true" customHeight="true" outlineLevel="1" collapsed="false">
      <c r="A823" s="31"/>
      <c r="B823" s="5" t="s">
        <v>788</v>
      </c>
      <c r="C823" s="88" t="s">
        <v>133</v>
      </c>
      <c r="D823" s="198"/>
      <c r="E823" s="5" t="s">
        <v>756</v>
      </c>
      <c r="F823" s="134" t="n">
        <v>13000</v>
      </c>
      <c r="G823" s="134" t="n">
        <f aca="false">CEILING(F823/75,1)</f>
        <v>174</v>
      </c>
      <c r="H823" s="71"/>
    </row>
    <row r="824" customFormat="false" ht="15" hidden="true" customHeight="true" outlineLevel="1" collapsed="false">
      <c r="A824" s="31"/>
      <c r="B824" s="5" t="s">
        <v>789</v>
      </c>
      <c r="C824" s="88" t="s">
        <v>133</v>
      </c>
      <c r="D824" s="198"/>
      <c r="E824" s="5" t="s">
        <v>756</v>
      </c>
      <c r="F824" s="134" t="n">
        <v>9900</v>
      </c>
      <c r="G824" s="134" t="n">
        <f aca="false">CEILING(F824/75,1)</f>
        <v>132</v>
      </c>
      <c r="H824" s="71"/>
    </row>
    <row r="825" customFormat="false" ht="15" hidden="true" customHeight="true" outlineLevel="1" collapsed="false">
      <c r="A825" s="31"/>
      <c r="B825" s="5" t="s">
        <v>790</v>
      </c>
      <c r="C825" s="88" t="s">
        <v>133</v>
      </c>
      <c r="D825" s="198"/>
      <c r="E825" s="5" t="s">
        <v>756</v>
      </c>
      <c r="F825" s="134" t="n">
        <v>11700</v>
      </c>
      <c r="G825" s="134" t="n">
        <f aca="false">CEILING(F825/75,1)</f>
        <v>156</v>
      </c>
      <c r="H825" s="71"/>
    </row>
    <row r="826" customFormat="false" ht="15" hidden="true" customHeight="true" outlineLevel="1" collapsed="false">
      <c r="A826" s="31"/>
      <c r="B826" s="5" t="s">
        <v>791</v>
      </c>
      <c r="C826" s="88" t="s">
        <v>133</v>
      </c>
      <c r="D826" s="198"/>
      <c r="E826" s="5" t="s">
        <v>756</v>
      </c>
      <c r="F826" s="134" t="n">
        <v>13100</v>
      </c>
      <c r="G826" s="134" t="n">
        <f aca="false">CEILING(F826/75,1)</f>
        <v>175</v>
      </c>
      <c r="H826" s="71"/>
    </row>
    <row r="827" customFormat="false" ht="15" hidden="true" customHeight="true" outlineLevel="1" collapsed="false">
      <c r="A827" s="31"/>
      <c r="B827" s="5" t="s">
        <v>770</v>
      </c>
      <c r="C827" s="88" t="s">
        <v>133</v>
      </c>
      <c r="D827" s="198"/>
      <c r="E827" s="5" t="s">
        <v>769</v>
      </c>
      <c r="F827" s="134" t="n">
        <v>1500</v>
      </c>
      <c r="G827" s="134" t="n">
        <f aca="false">CEILING(F827/75,1)</f>
        <v>20</v>
      </c>
      <c r="H827" s="71"/>
    </row>
    <row r="828" customFormat="false" ht="15" hidden="true" customHeight="true" outlineLevel="1" collapsed="false">
      <c r="A828" s="31"/>
      <c r="B828" s="199" t="s">
        <v>771</v>
      </c>
      <c r="C828" s="88" t="s">
        <v>133</v>
      </c>
      <c r="D828" s="198"/>
      <c r="E828" s="5" t="s">
        <v>772</v>
      </c>
      <c r="F828" s="134" t="n">
        <v>1450</v>
      </c>
      <c r="G828" s="134" t="n">
        <f aca="false">CEILING(F828/75,1)</f>
        <v>20</v>
      </c>
      <c r="H828" s="71"/>
    </row>
    <row r="829" customFormat="false" ht="15" hidden="true" customHeight="true" outlineLevel="1" collapsed="false">
      <c r="A829" s="31"/>
      <c r="B829" s="5" t="s">
        <v>792</v>
      </c>
      <c r="C829" s="88" t="s">
        <v>133</v>
      </c>
      <c r="D829" s="198"/>
      <c r="E829" s="5" t="s">
        <v>769</v>
      </c>
      <c r="F829" s="134" t="n">
        <v>1300</v>
      </c>
      <c r="G829" s="134" t="n">
        <f aca="false">CEILING(F829/75,1)</f>
        <v>18</v>
      </c>
      <c r="H829" s="71"/>
    </row>
    <row r="830" customFormat="false" ht="15" hidden="true" customHeight="true" outlineLevel="1" collapsed="false">
      <c r="A830" s="31"/>
      <c r="B830" s="5" t="s">
        <v>793</v>
      </c>
      <c r="C830" s="88" t="s">
        <v>133</v>
      </c>
      <c r="D830" s="198"/>
      <c r="E830" s="5" t="s">
        <v>774</v>
      </c>
      <c r="F830" s="134" t="n">
        <v>1900</v>
      </c>
      <c r="G830" s="134" t="n">
        <f aca="false">CEILING(F830/75,1)</f>
        <v>26</v>
      </c>
      <c r="H830" s="71"/>
    </row>
    <row r="831" customFormat="false" ht="15" hidden="true" customHeight="true" outlineLevel="1" collapsed="false">
      <c r="A831" s="31"/>
      <c r="B831" s="5" t="s">
        <v>794</v>
      </c>
      <c r="C831" s="88" t="s">
        <v>133</v>
      </c>
      <c r="D831" s="198"/>
      <c r="E831" s="5" t="s">
        <v>774</v>
      </c>
      <c r="F831" s="134" t="n">
        <v>3900</v>
      </c>
      <c r="G831" s="134" t="n">
        <f aca="false">CEILING(F831/75,1)</f>
        <v>52</v>
      </c>
      <c r="H831" s="71"/>
    </row>
    <row r="832" customFormat="false" ht="15" hidden="true" customHeight="true" outlineLevel="1" collapsed="false">
      <c r="A832" s="31"/>
      <c r="B832" s="87" t="s">
        <v>795</v>
      </c>
      <c r="C832" s="88" t="s">
        <v>159</v>
      </c>
      <c r="F832" s="119"/>
      <c r="G832" s="8" t="n">
        <v>100</v>
      </c>
      <c r="H832" s="71"/>
    </row>
    <row r="833" customFormat="false" ht="15" hidden="true" customHeight="true" outlineLevel="1" collapsed="false">
      <c r="A833" s="31"/>
      <c r="B833" s="87"/>
      <c r="C833" s="88"/>
      <c r="F833" s="119"/>
      <c r="H833" s="71"/>
    </row>
    <row r="834" customFormat="false" ht="15" hidden="true" customHeight="true" outlineLevel="1" collapsed="false">
      <c r="A834" s="31"/>
      <c r="B834" s="90"/>
      <c r="C834" s="88"/>
      <c r="F834" s="119"/>
      <c r="H834" s="71"/>
    </row>
    <row r="835" customFormat="false" ht="15" hidden="false" customHeight="true" outlineLevel="0" collapsed="false">
      <c r="A835" s="47" t="s">
        <v>746</v>
      </c>
      <c r="B835" s="47"/>
      <c r="C835" s="88"/>
      <c r="F835" s="119"/>
      <c r="H835" s="71"/>
    </row>
    <row r="836" customFormat="false" ht="15" hidden="true" customHeight="true" outlineLevel="1" collapsed="false">
      <c r="A836" s="202" t="s">
        <v>796</v>
      </c>
      <c r="B836" s="202"/>
      <c r="C836" s="124" t="s">
        <v>208</v>
      </c>
      <c r="D836" s="203"/>
      <c r="E836" s="203"/>
      <c r="F836" s="204"/>
      <c r="G836" s="64" t="s">
        <v>797</v>
      </c>
      <c r="H836" s="71"/>
    </row>
    <row r="837" s="207" customFormat="true" ht="15" hidden="true" customHeight="true" outlineLevel="1" collapsed="false">
      <c r="A837" s="205"/>
      <c r="B837" s="5" t="s">
        <v>798</v>
      </c>
      <c r="C837" s="6" t="s">
        <v>799</v>
      </c>
      <c r="D837" s="7"/>
      <c r="E837" s="7"/>
      <c r="F837" s="7"/>
      <c r="G837" s="8" t="n">
        <v>0</v>
      </c>
      <c r="H837" s="206"/>
    </row>
    <row r="838" customFormat="false" ht="15" hidden="true" customHeight="true" outlineLevel="1" collapsed="false">
      <c r="A838" s="30"/>
      <c r="B838" s="208" t="s">
        <v>800</v>
      </c>
      <c r="C838" s="6" t="s">
        <v>799</v>
      </c>
      <c r="F838" s="7"/>
      <c r="G838" s="8" t="n">
        <v>30</v>
      </c>
      <c r="H838" s="71"/>
    </row>
    <row r="839" customFormat="false" ht="15" hidden="true" customHeight="true" outlineLevel="1" collapsed="false">
      <c r="A839" s="31"/>
      <c r="B839" s="208" t="s">
        <v>801</v>
      </c>
      <c r="C839" s="6" t="s">
        <v>799</v>
      </c>
      <c r="F839" s="7"/>
      <c r="G839" s="209" t="n">
        <v>14.21</v>
      </c>
      <c r="H839" s="71"/>
    </row>
    <row r="840" customFormat="false" ht="15" hidden="true" customHeight="true" outlineLevel="1" collapsed="false">
      <c r="A840" s="61"/>
      <c r="B840" s="208" t="s">
        <v>802</v>
      </c>
      <c r="C840" s="6" t="s">
        <v>799</v>
      </c>
      <c r="F840" s="7"/>
      <c r="G840" s="209" t="n">
        <v>11</v>
      </c>
      <c r="H840" s="71"/>
    </row>
    <row r="841" customFormat="false" ht="15" hidden="true" customHeight="true" outlineLevel="1" collapsed="false">
      <c r="A841" s="61"/>
      <c r="B841" s="208"/>
      <c r="F841" s="7"/>
      <c r="G841" s="209"/>
      <c r="H841" s="71"/>
    </row>
    <row r="842" customFormat="false" ht="15" hidden="true" customHeight="true" outlineLevel="1" collapsed="false">
      <c r="A842" s="61"/>
      <c r="B842" s="208"/>
      <c r="F842" s="7"/>
      <c r="G842" s="209"/>
      <c r="H842" s="71"/>
    </row>
    <row r="843" customFormat="false" ht="15" hidden="false" customHeight="true" outlineLevel="0" collapsed="false">
      <c r="A843" s="47" t="s">
        <v>796</v>
      </c>
      <c r="B843" s="47"/>
      <c r="F843" s="7"/>
      <c r="G843" s="209"/>
      <c r="H843" s="71"/>
    </row>
    <row r="844" customFormat="false" ht="15" hidden="true" customHeight="true" outlineLevel="1" collapsed="false">
      <c r="A844" s="202" t="s">
        <v>803</v>
      </c>
      <c r="B844" s="202"/>
      <c r="C844" s="124" t="s">
        <v>208</v>
      </c>
      <c r="D844" s="203"/>
      <c r="E844" s="203"/>
      <c r="F844" s="204"/>
      <c r="G844" s="64" t="s">
        <v>797</v>
      </c>
      <c r="H844" s="71"/>
    </row>
    <row r="845" s="207" customFormat="true" ht="15" hidden="true" customHeight="true" outlineLevel="1" collapsed="false">
      <c r="A845" s="210"/>
      <c r="B845" s="5" t="s">
        <v>804</v>
      </c>
      <c r="C845" s="6" t="s">
        <v>799</v>
      </c>
      <c r="D845" s="7"/>
      <c r="E845" s="7"/>
      <c r="F845" s="7"/>
      <c r="G845" s="8" t="n">
        <v>0</v>
      </c>
      <c r="H845" s="206"/>
    </row>
    <row r="846" customFormat="false" ht="15" hidden="true" customHeight="true" outlineLevel="1" collapsed="false">
      <c r="A846" s="30"/>
      <c r="B846" s="208" t="s">
        <v>805</v>
      </c>
      <c r="C846" s="6" t="s">
        <v>799</v>
      </c>
      <c r="F846" s="7"/>
      <c r="G846" s="209" t="n">
        <v>31.54</v>
      </c>
      <c r="H846" s="71"/>
    </row>
    <row r="847" customFormat="false" ht="15" hidden="true" customHeight="true" outlineLevel="1" collapsed="false">
      <c r="A847" s="31"/>
      <c r="B847" s="208" t="s">
        <v>806</v>
      </c>
      <c r="C847" s="6" t="s">
        <v>799</v>
      </c>
      <c r="F847" s="7"/>
      <c r="G847" s="209" t="n">
        <v>45</v>
      </c>
      <c r="H847" s="71"/>
    </row>
    <row r="848" customFormat="false" ht="15" hidden="true" customHeight="true" outlineLevel="1" collapsed="false">
      <c r="A848" s="61"/>
      <c r="B848" s="208" t="s">
        <v>806</v>
      </c>
      <c r="C848" s="6" t="s">
        <v>799</v>
      </c>
      <c r="F848" s="7"/>
      <c r="G848" s="209" t="n">
        <v>55</v>
      </c>
      <c r="H848" s="71"/>
    </row>
    <row r="849" customFormat="false" ht="15" hidden="true" customHeight="true" outlineLevel="1" collapsed="false">
      <c r="A849" s="61"/>
      <c r="B849" s="208"/>
      <c r="F849" s="7"/>
      <c r="G849" s="209"/>
      <c r="H849" s="71"/>
    </row>
    <row r="850" customFormat="false" ht="15" hidden="true" customHeight="true" outlineLevel="1" collapsed="false">
      <c r="A850" s="61"/>
      <c r="B850" s="208"/>
      <c r="F850" s="7"/>
      <c r="G850" s="209"/>
      <c r="H850" s="71"/>
    </row>
    <row r="851" customFormat="false" ht="15" hidden="false" customHeight="true" outlineLevel="0" collapsed="false">
      <c r="A851" s="47" t="s">
        <v>803</v>
      </c>
      <c r="B851" s="47"/>
      <c r="F851" s="7"/>
      <c r="G851" s="209"/>
      <c r="H851" s="71"/>
    </row>
    <row r="852" customFormat="false" ht="15" hidden="true" customHeight="true" outlineLevel="1" collapsed="false">
      <c r="A852" s="202" t="s">
        <v>807</v>
      </c>
      <c r="B852" s="202"/>
      <c r="C852" s="124" t="s">
        <v>208</v>
      </c>
      <c r="D852" s="203"/>
      <c r="E852" s="203"/>
      <c r="F852" s="204"/>
      <c r="G852" s="64" t="s">
        <v>797</v>
      </c>
      <c r="H852" s="71"/>
    </row>
    <row r="853" customFormat="false" ht="15" hidden="true" customHeight="true" outlineLevel="1" collapsed="false">
      <c r="A853" s="101"/>
      <c r="B853" s="208" t="s">
        <v>808</v>
      </c>
      <c r="C853" s="6" t="s">
        <v>799</v>
      </c>
      <c r="G853" s="211" t="n">
        <v>50</v>
      </c>
      <c r="H853" s="71"/>
    </row>
    <row r="854" customFormat="false" ht="15" hidden="true" customHeight="true" outlineLevel="1" collapsed="false">
      <c r="A854" s="105"/>
      <c r="B854" s="208"/>
      <c r="G854" s="211"/>
      <c r="H854" s="71"/>
    </row>
    <row r="855" customFormat="false" ht="15" hidden="true" customHeight="true" outlineLevel="1" collapsed="false">
      <c r="A855" s="105"/>
      <c r="B855" s="212"/>
      <c r="G855" s="211"/>
      <c r="H855" s="71"/>
    </row>
    <row r="856" customFormat="false" ht="15" hidden="false" customHeight="true" outlineLevel="0" collapsed="false">
      <c r="A856" s="47" t="s">
        <v>807</v>
      </c>
      <c r="B856" s="47"/>
      <c r="G856" s="211"/>
      <c r="H856" s="71"/>
    </row>
    <row r="857" customFormat="false" ht="15" hidden="true" customHeight="true" outlineLevel="1" collapsed="false">
      <c r="A857" s="213" t="s">
        <v>809</v>
      </c>
      <c r="B857" s="213"/>
      <c r="C857" s="124" t="s">
        <v>208</v>
      </c>
      <c r="D857" s="203" t="s">
        <v>810</v>
      </c>
      <c r="E857" s="203" t="s">
        <v>811</v>
      </c>
      <c r="F857" s="204" t="s">
        <v>812</v>
      </c>
      <c r="G857" s="29" t="s">
        <v>813</v>
      </c>
      <c r="H857" s="71"/>
    </row>
    <row r="858" s="207" customFormat="true" ht="15" hidden="true" customHeight="true" outlineLevel="1" collapsed="false">
      <c r="A858" s="214"/>
      <c r="B858" s="5" t="s">
        <v>814</v>
      </c>
      <c r="C858" s="6" t="s">
        <v>799</v>
      </c>
      <c r="D858" s="7"/>
      <c r="E858" s="7"/>
      <c r="F858" s="7"/>
      <c r="G858" s="8" t="n">
        <v>0</v>
      </c>
      <c r="H858" s="206"/>
    </row>
    <row r="859" customFormat="false" ht="15" hidden="true" customHeight="true" outlineLevel="1" collapsed="false">
      <c r="A859" s="30"/>
      <c r="B859" s="208" t="s">
        <v>815</v>
      </c>
      <c r="C859" s="6" t="s">
        <v>799</v>
      </c>
      <c r="F859" s="211"/>
      <c r="G859" s="8" t="n">
        <v>4</v>
      </c>
      <c r="H859" s="71"/>
    </row>
    <row r="860" customFormat="false" ht="15" hidden="true" customHeight="true" outlineLevel="1" collapsed="false">
      <c r="A860" s="31"/>
      <c r="B860" s="208" t="s">
        <v>816</v>
      </c>
      <c r="C860" s="6" t="s">
        <v>799</v>
      </c>
      <c r="F860" s="211"/>
      <c r="G860" s="8" t="n">
        <v>7.4</v>
      </c>
      <c r="H860" s="71"/>
    </row>
    <row r="861" customFormat="false" ht="15" hidden="true" customHeight="true" outlineLevel="1" collapsed="false">
      <c r="A861" s="31"/>
      <c r="B861" s="208" t="s">
        <v>817</v>
      </c>
      <c r="C861" s="6" t="s">
        <v>799</v>
      </c>
      <c r="F861" s="211"/>
      <c r="G861" s="8" t="n">
        <v>11.2</v>
      </c>
      <c r="H861" s="71"/>
    </row>
    <row r="862" customFormat="false" ht="15" hidden="true" customHeight="true" outlineLevel="1" collapsed="false">
      <c r="A862" s="31"/>
      <c r="B862" s="208" t="s">
        <v>818</v>
      </c>
      <c r="C862" s="6" t="s">
        <v>799</v>
      </c>
      <c r="F862" s="211"/>
      <c r="G862" s="8" t="n">
        <v>11.5</v>
      </c>
      <c r="H862" s="71"/>
    </row>
    <row r="863" customFormat="false" ht="15" hidden="true" customHeight="true" outlineLevel="1" collapsed="false">
      <c r="A863" s="31"/>
      <c r="B863" s="208" t="s">
        <v>819</v>
      </c>
      <c r="C863" s="6" t="s">
        <v>799</v>
      </c>
      <c r="F863" s="211"/>
      <c r="G863" s="8" t="n">
        <v>24.5</v>
      </c>
      <c r="H863" s="71"/>
    </row>
    <row r="864" customFormat="false" ht="15" hidden="true" customHeight="true" outlineLevel="1" collapsed="false">
      <c r="A864" s="31"/>
      <c r="B864" s="208" t="s">
        <v>820</v>
      </c>
      <c r="C864" s="6" t="s">
        <v>799</v>
      </c>
      <c r="F864" s="211"/>
      <c r="G864" s="8" t="n">
        <v>27.1</v>
      </c>
      <c r="H864" s="71"/>
    </row>
    <row r="865" customFormat="false" ht="15" hidden="true" customHeight="true" outlineLevel="1" collapsed="false">
      <c r="A865" s="31"/>
      <c r="B865" s="208" t="s">
        <v>821</v>
      </c>
      <c r="C865" s="6" t="s">
        <v>799</v>
      </c>
      <c r="F865" s="211"/>
      <c r="G865" s="8" t="n">
        <v>29.1</v>
      </c>
      <c r="H865" s="71"/>
    </row>
    <row r="866" customFormat="false" ht="15" hidden="true" customHeight="true" outlineLevel="1" collapsed="false">
      <c r="A866" s="31"/>
      <c r="B866" s="208" t="s">
        <v>822</v>
      </c>
      <c r="C866" s="6" t="s">
        <v>799</v>
      </c>
      <c r="F866" s="211"/>
      <c r="G866" s="8" t="n">
        <v>26.9</v>
      </c>
      <c r="H866" s="71"/>
    </row>
    <row r="867" customFormat="false" ht="15" hidden="true" customHeight="true" outlineLevel="1" collapsed="false">
      <c r="A867" s="31"/>
      <c r="B867" s="208" t="s">
        <v>823</v>
      </c>
      <c r="C867" s="6" t="s">
        <v>799</v>
      </c>
      <c r="F867" s="211"/>
      <c r="G867" s="8" t="n">
        <v>32.9</v>
      </c>
      <c r="H867" s="71"/>
    </row>
    <row r="868" customFormat="false" ht="15" hidden="true" customHeight="true" outlineLevel="1" collapsed="false">
      <c r="A868" s="31"/>
      <c r="B868" s="208" t="s">
        <v>824</v>
      </c>
      <c r="C868" s="6" t="s">
        <v>799</v>
      </c>
      <c r="F868" s="211"/>
      <c r="G868" s="8" t="n">
        <v>77.2</v>
      </c>
      <c r="H868" s="71"/>
    </row>
    <row r="869" customFormat="false" ht="15" hidden="true" customHeight="true" outlineLevel="1" collapsed="false">
      <c r="A869" s="31"/>
      <c r="B869" s="208" t="s">
        <v>825</v>
      </c>
      <c r="C869" s="6" t="s">
        <v>799</v>
      </c>
      <c r="F869" s="211"/>
      <c r="G869" s="8" t="n">
        <v>88.1</v>
      </c>
      <c r="H869" s="71"/>
    </row>
    <row r="870" customFormat="false" ht="15" hidden="true" customHeight="true" outlineLevel="1" collapsed="false">
      <c r="A870" s="31"/>
      <c r="B870" s="208" t="s">
        <v>826</v>
      </c>
      <c r="C870" s="6" t="s">
        <v>799</v>
      </c>
      <c r="F870" s="211"/>
      <c r="G870" s="8" t="n">
        <v>100.2</v>
      </c>
      <c r="H870" s="71"/>
    </row>
    <row r="871" customFormat="false" ht="15" hidden="true" customHeight="true" outlineLevel="1" collapsed="false">
      <c r="A871" s="31"/>
      <c r="B871" s="208"/>
      <c r="F871" s="211"/>
      <c r="H871" s="71"/>
    </row>
    <row r="872" customFormat="false" ht="15" hidden="true" customHeight="true" outlineLevel="1" collapsed="false">
      <c r="A872" s="31"/>
      <c r="B872" s="212"/>
      <c r="F872" s="211"/>
      <c r="H872" s="71"/>
    </row>
    <row r="873" customFormat="false" ht="15" hidden="false" customHeight="true" outlineLevel="0" collapsed="false">
      <c r="A873" s="47" t="s">
        <v>809</v>
      </c>
      <c r="B873" s="47"/>
      <c r="F873" s="211"/>
      <c r="H873" s="71"/>
    </row>
    <row r="874" customFormat="false" ht="15" hidden="true" customHeight="true" outlineLevel="1" collapsed="false">
      <c r="A874" s="215" t="s">
        <v>827</v>
      </c>
      <c r="B874" s="215"/>
      <c r="C874" s="124" t="s">
        <v>208</v>
      </c>
      <c r="D874" s="203" t="s">
        <v>810</v>
      </c>
      <c r="E874" s="203" t="s">
        <v>811</v>
      </c>
      <c r="F874" s="64" t="s">
        <v>828</v>
      </c>
      <c r="G874" s="64" t="s">
        <v>829</v>
      </c>
      <c r="H874" s="71"/>
    </row>
    <row r="875" s="207" customFormat="true" ht="15" hidden="true" customHeight="true" outlineLevel="1" collapsed="false">
      <c r="A875" s="216"/>
      <c r="B875" s="217" t="s">
        <v>830</v>
      </c>
      <c r="C875" s="218" t="s">
        <v>831</v>
      </c>
      <c r="D875" s="219"/>
      <c r="E875" s="219"/>
      <c r="F875" s="219" t="n">
        <v>0</v>
      </c>
      <c r="G875" s="25" t="n">
        <v>0</v>
      </c>
      <c r="H875" s="206"/>
    </row>
    <row r="876" customFormat="false" ht="15" hidden="true" customHeight="true" outlineLevel="1" collapsed="false">
      <c r="A876" s="30"/>
      <c r="B876" s="208" t="s">
        <v>832</v>
      </c>
      <c r="C876" s="6" t="s">
        <v>831</v>
      </c>
      <c r="F876" s="8" t="n">
        <v>0.2</v>
      </c>
      <c r="G876" s="211" t="n">
        <v>105.62</v>
      </c>
    </row>
    <row r="877" customFormat="false" ht="15" hidden="true" customHeight="true" outlineLevel="1" collapsed="false">
      <c r="A877" s="31"/>
      <c r="B877" s="208" t="s">
        <v>833</v>
      </c>
      <c r="C877" s="6" t="s">
        <v>831</v>
      </c>
      <c r="F877" s="8" t="n">
        <v>0.25</v>
      </c>
      <c r="G877" s="211" t="n">
        <v>105.62</v>
      </c>
    </row>
    <row r="878" customFormat="false" ht="15" hidden="true" customHeight="true" outlineLevel="1" collapsed="false">
      <c r="A878" s="31"/>
      <c r="B878" s="208" t="s">
        <v>834</v>
      </c>
      <c r="C878" s="6" t="s">
        <v>831</v>
      </c>
      <c r="F878" s="8" t="n">
        <v>0.3</v>
      </c>
      <c r="G878" s="211" t="n">
        <v>105.62</v>
      </c>
    </row>
    <row r="879" customFormat="false" ht="15" hidden="true" customHeight="true" outlineLevel="1" collapsed="false">
      <c r="A879" s="31"/>
      <c r="B879" s="208" t="s">
        <v>835</v>
      </c>
      <c r="C879" s="6" t="s">
        <v>831</v>
      </c>
      <c r="F879" s="8" t="n">
        <v>0.45</v>
      </c>
      <c r="G879" s="211" t="n">
        <v>107.62</v>
      </c>
    </row>
    <row r="880" customFormat="false" ht="15" hidden="true" customHeight="true" outlineLevel="1" collapsed="false">
      <c r="A880" s="31"/>
      <c r="B880" s="208" t="s">
        <v>836</v>
      </c>
      <c r="C880" s="6" t="s">
        <v>831</v>
      </c>
      <c r="F880" s="8" t="n">
        <v>0.55</v>
      </c>
      <c r="G880" s="211" t="n">
        <v>107.62</v>
      </c>
    </row>
    <row r="881" customFormat="false" ht="15" hidden="true" customHeight="true" outlineLevel="1" collapsed="false">
      <c r="A881" s="31"/>
      <c r="B881" s="208" t="s">
        <v>837</v>
      </c>
      <c r="C881" s="6" t="s">
        <v>831</v>
      </c>
      <c r="F881" s="8" t="n">
        <v>0.6</v>
      </c>
      <c r="G881" s="211" t="n">
        <v>107.62</v>
      </c>
    </row>
    <row r="882" customFormat="false" ht="15" hidden="true" customHeight="true" outlineLevel="1" collapsed="false">
      <c r="A882" s="31"/>
      <c r="B882" s="208" t="s">
        <v>838</v>
      </c>
      <c r="C882" s="220" t="s">
        <v>831</v>
      </c>
      <c r="D882" s="221"/>
      <c r="E882" s="222"/>
      <c r="F882" s="222" t="n">
        <v>2.5</v>
      </c>
      <c r="G882" s="223" t="n">
        <v>120</v>
      </c>
    </row>
    <row r="883" customFormat="false" ht="15" hidden="true" customHeight="true" outlineLevel="1" collapsed="false">
      <c r="A883" s="31"/>
      <c r="B883" s="208" t="s">
        <v>839</v>
      </c>
      <c r="C883" s="220" t="s">
        <v>831</v>
      </c>
      <c r="D883" s="221"/>
      <c r="E883" s="222"/>
      <c r="F883" s="222" t="n">
        <v>1.8</v>
      </c>
      <c r="G883" s="223" t="n">
        <v>120</v>
      </c>
    </row>
    <row r="884" customFormat="false" ht="15" hidden="true" customHeight="true" outlineLevel="1" collapsed="false">
      <c r="A884" s="31"/>
      <c r="B884" s="208"/>
      <c r="C884" s="220"/>
      <c r="D884" s="221"/>
      <c r="E884" s="222"/>
      <c r="F884" s="222"/>
      <c r="G884" s="223"/>
    </row>
    <row r="885" customFormat="false" ht="15" hidden="true" customHeight="true" outlineLevel="1" collapsed="false">
      <c r="A885" s="31"/>
      <c r="B885" s="212"/>
      <c r="C885" s="220"/>
      <c r="D885" s="221"/>
      <c r="E885" s="222"/>
      <c r="F885" s="222"/>
      <c r="G885" s="223"/>
    </row>
    <row r="886" customFormat="false" ht="15" hidden="false" customHeight="true" outlineLevel="0" collapsed="false">
      <c r="A886" s="47" t="s">
        <v>827</v>
      </c>
      <c r="B886" s="47"/>
      <c r="G886" s="211"/>
    </row>
    <row r="887" customFormat="false" ht="15" hidden="true" customHeight="true" outlineLevel="1" collapsed="false">
      <c r="A887" s="215" t="s">
        <v>840</v>
      </c>
      <c r="B887" s="215"/>
      <c r="C887" s="124" t="s">
        <v>208</v>
      </c>
      <c r="D887" s="203" t="s">
        <v>810</v>
      </c>
      <c r="E887" s="203" t="s">
        <v>811</v>
      </c>
      <c r="F887" s="64" t="s">
        <v>828</v>
      </c>
      <c r="G887" s="64" t="s">
        <v>829</v>
      </c>
    </row>
    <row r="888" s="207" customFormat="true" ht="15" hidden="true" customHeight="true" outlineLevel="1" collapsed="false">
      <c r="A888" s="216"/>
      <c r="B888" s="5" t="s">
        <v>841</v>
      </c>
      <c r="C888" s="6" t="s">
        <v>831</v>
      </c>
      <c r="D888" s="5"/>
      <c r="E888" s="5"/>
      <c r="F888" s="5" t="n">
        <v>0</v>
      </c>
      <c r="G888" s="5" t="n">
        <v>0</v>
      </c>
    </row>
    <row r="889" customFormat="false" ht="15" hidden="true" customHeight="true" outlineLevel="1" collapsed="false">
      <c r="A889" s="30"/>
      <c r="B889" s="224" t="s">
        <v>842</v>
      </c>
      <c r="C889" s="6" t="s">
        <v>831</v>
      </c>
      <c r="D889" s="225"/>
      <c r="E889" s="226"/>
      <c r="F889" s="8" t="n">
        <v>15</v>
      </c>
      <c r="G889" s="227" t="n">
        <v>70</v>
      </c>
    </row>
    <row r="890" customFormat="false" ht="15" hidden="true" customHeight="true" outlineLevel="1" collapsed="false">
      <c r="A890" s="31"/>
      <c r="B890" s="224" t="s">
        <v>843</v>
      </c>
      <c r="C890" s="6" t="s">
        <v>831</v>
      </c>
      <c r="D890" s="225"/>
      <c r="E890" s="226"/>
      <c r="F890" s="8" t="n">
        <v>45</v>
      </c>
      <c r="G890" s="227" t="n">
        <v>70</v>
      </c>
    </row>
    <row r="891" customFormat="false" ht="15" hidden="true" customHeight="true" outlineLevel="1" collapsed="false">
      <c r="A891" s="31"/>
      <c r="B891" s="224" t="s">
        <v>844</v>
      </c>
      <c r="C891" s="6" t="s">
        <v>831</v>
      </c>
      <c r="D891" s="225"/>
      <c r="E891" s="226"/>
      <c r="F891" s="8" t="n">
        <v>76</v>
      </c>
      <c r="G891" s="227" t="n">
        <v>70</v>
      </c>
    </row>
    <row r="892" customFormat="false" ht="15" hidden="true" customHeight="true" outlineLevel="1" collapsed="false">
      <c r="A892" s="61"/>
      <c r="B892" s="224" t="s">
        <v>845</v>
      </c>
      <c r="C892" s="6" t="s">
        <v>831</v>
      </c>
      <c r="D892" s="225"/>
      <c r="E892" s="226"/>
      <c r="F892" s="8" t="n">
        <v>0.85</v>
      </c>
      <c r="G892" s="227" t="n">
        <v>70</v>
      </c>
    </row>
    <row r="893" customFormat="false" ht="15" hidden="true" customHeight="true" outlineLevel="1" collapsed="false">
      <c r="A893" s="61"/>
      <c r="B893" s="224"/>
      <c r="D893" s="225"/>
      <c r="E893" s="226"/>
      <c r="G893" s="227"/>
    </row>
    <row r="894" customFormat="false" ht="15" hidden="false" customHeight="true" outlineLevel="0" collapsed="false">
      <c r="A894" s="47" t="s">
        <v>840</v>
      </c>
      <c r="B894" s="47"/>
      <c r="D894" s="225"/>
      <c r="E894" s="226"/>
      <c r="G894" s="227"/>
    </row>
    <row r="895" customFormat="false" ht="15" hidden="true" customHeight="true" outlineLevel="1" collapsed="false">
      <c r="A895" s="202" t="s">
        <v>846</v>
      </c>
      <c r="B895" s="202"/>
      <c r="C895" s="124" t="s">
        <v>208</v>
      </c>
      <c r="D895" s="203" t="s">
        <v>810</v>
      </c>
      <c r="E895" s="203" t="s">
        <v>811</v>
      </c>
      <c r="F895" s="64" t="s">
        <v>828</v>
      </c>
      <c r="G895" s="64" t="s">
        <v>829</v>
      </c>
    </row>
    <row r="896" s="207" customFormat="true" ht="15" hidden="true" customHeight="true" outlineLevel="1" collapsed="false">
      <c r="A896" s="205"/>
      <c r="B896" s="5" t="s">
        <v>847</v>
      </c>
      <c r="C896" s="6" t="s">
        <v>831</v>
      </c>
      <c r="D896" s="5"/>
      <c r="E896" s="5"/>
      <c r="F896" s="5" t="n">
        <v>0</v>
      </c>
      <c r="G896" s="5" t="n">
        <v>0</v>
      </c>
    </row>
    <row r="897" customFormat="false" ht="15" hidden="true" customHeight="true" outlineLevel="1" collapsed="false">
      <c r="A897" s="30"/>
      <c r="B897" s="224" t="s">
        <v>848</v>
      </c>
      <c r="C897" s="6" t="s">
        <v>831</v>
      </c>
      <c r="D897" s="104"/>
      <c r="E897" s="104"/>
      <c r="F897" s="8" t="n">
        <v>0.6</v>
      </c>
      <c r="G897" s="227" t="n">
        <v>75.51</v>
      </c>
    </row>
    <row r="898" customFormat="false" ht="15" hidden="true" customHeight="true" outlineLevel="1" collapsed="false">
      <c r="A898" s="31"/>
      <c r="B898" s="224" t="s">
        <v>849</v>
      </c>
      <c r="C898" s="6" t="s">
        <v>831</v>
      </c>
      <c r="D898" s="104"/>
      <c r="E898" s="104"/>
      <c r="F898" s="8" t="n">
        <v>0.95</v>
      </c>
      <c r="G898" s="227" t="n">
        <v>76.49</v>
      </c>
    </row>
    <row r="899" customFormat="false" ht="15" hidden="true" customHeight="true" outlineLevel="1" collapsed="false">
      <c r="A899" s="31"/>
      <c r="B899" s="224"/>
      <c r="D899" s="104"/>
      <c r="E899" s="104"/>
      <c r="G899" s="227"/>
    </row>
    <row r="900" customFormat="false" ht="15" hidden="true" customHeight="true" outlineLevel="1" collapsed="false">
      <c r="A900" s="31"/>
      <c r="B900" s="228"/>
      <c r="D900" s="104"/>
      <c r="E900" s="104"/>
      <c r="G900" s="227"/>
    </row>
    <row r="901" customFormat="false" ht="15" hidden="false" customHeight="true" outlineLevel="0" collapsed="false">
      <c r="A901" s="47" t="s">
        <v>846</v>
      </c>
      <c r="B901" s="47"/>
      <c r="D901" s="104"/>
      <c r="E901" s="104"/>
      <c r="G901" s="227"/>
    </row>
    <row r="902" customFormat="false" ht="15" hidden="true" customHeight="true" outlineLevel="1" collapsed="false">
      <c r="A902" s="62" t="s">
        <v>850</v>
      </c>
      <c r="B902" s="62"/>
      <c r="C902" s="124" t="s">
        <v>208</v>
      </c>
      <c r="D902" s="203"/>
      <c r="E902" s="203"/>
      <c r="F902" s="204"/>
      <c r="G902" s="64" t="s">
        <v>797</v>
      </c>
    </row>
    <row r="903" customFormat="false" ht="15" hidden="true" customHeight="true" outlineLevel="1" collapsed="false">
      <c r="A903" s="30"/>
      <c r="B903" s="87" t="s">
        <v>851</v>
      </c>
      <c r="G903" s="8" t="n">
        <v>300</v>
      </c>
    </row>
    <row r="904" customFormat="false" ht="15" hidden="true" customHeight="true" outlineLevel="1" collapsed="false">
      <c r="A904" s="31"/>
      <c r="B904" s="87"/>
    </row>
    <row r="905" customFormat="false" ht="15" hidden="true" customHeight="true" outlineLevel="1" collapsed="false">
      <c r="A905" s="31"/>
      <c r="B905" s="90"/>
    </row>
    <row r="906" customFormat="false" ht="15" hidden="false" customHeight="true" outlineLevel="0" collapsed="false">
      <c r="A906" s="47" t="s">
        <v>850</v>
      </c>
      <c r="B906" s="47"/>
    </row>
    <row r="907" customFormat="false" ht="15" hidden="true" customHeight="true" outlineLevel="1" collapsed="false">
      <c r="A907" s="62" t="s">
        <v>852</v>
      </c>
      <c r="B907" s="62"/>
      <c r="C907" s="63" t="s">
        <v>208</v>
      </c>
      <c r="D907" s="189" t="s">
        <v>400</v>
      </c>
      <c r="E907" s="38" t="s">
        <v>853</v>
      </c>
      <c r="F907" s="38"/>
      <c r="G907" s="38" t="s">
        <v>854</v>
      </c>
    </row>
    <row r="908" customFormat="false" ht="15" hidden="true" customHeight="true" outlineLevel="1" collapsed="false">
      <c r="A908" s="101"/>
      <c r="B908" s="229" t="s">
        <v>855</v>
      </c>
      <c r="C908" s="6" t="s">
        <v>159</v>
      </c>
      <c r="D908" s="230" t="n">
        <v>0</v>
      </c>
      <c r="E908" s="8" t="n">
        <v>0</v>
      </c>
      <c r="G908" s="8" t="n">
        <v>0</v>
      </c>
    </row>
    <row r="909" customFormat="false" ht="15" hidden="true" customHeight="true" outlineLevel="1" collapsed="false">
      <c r="A909" s="105"/>
      <c r="B909" s="231" t="s">
        <v>856</v>
      </c>
      <c r="C909" s="6" t="s">
        <v>159</v>
      </c>
      <c r="D909" s="230" t="n">
        <v>76</v>
      </c>
      <c r="E909" s="8" t="n">
        <v>2.5</v>
      </c>
      <c r="G909" s="8" t="n">
        <v>1430</v>
      </c>
    </row>
    <row r="910" customFormat="false" ht="15" hidden="true" customHeight="true" outlineLevel="1" collapsed="false">
      <c r="A910" s="105"/>
      <c r="B910" s="231" t="s">
        <v>857</v>
      </c>
      <c r="C910" s="6" t="s">
        <v>159</v>
      </c>
      <c r="D910" s="230" t="n">
        <v>76</v>
      </c>
      <c r="E910" s="8" t="n">
        <v>3</v>
      </c>
      <c r="G910" s="26" t="n">
        <v>1560</v>
      </c>
    </row>
    <row r="911" customFormat="false" ht="15" hidden="true" customHeight="true" outlineLevel="1" collapsed="false">
      <c r="A911" s="105"/>
      <c r="B911" s="231" t="s">
        <v>858</v>
      </c>
      <c r="C911" s="6" t="s">
        <v>159</v>
      </c>
      <c r="D911" s="230" t="n">
        <v>76</v>
      </c>
      <c r="E911" s="8" t="n">
        <v>3.5</v>
      </c>
      <c r="G911" s="26" t="n">
        <v>1690</v>
      </c>
    </row>
    <row r="912" customFormat="false" ht="15" hidden="true" customHeight="true" outlineLevel="1" collapsed="false">
      <c r="A912" s="105"/>
      <c r="B912" s="231" t="s">
        <v>859</v>
      </c>
      <c r="C912" s="6" t="s">
        <v>159</v>
      </c>
      <c r="D912" s="230" t="n">
        <v>76</v>
      </c>
      <c r="E912" s="8" t="n">
        <v>4</v>
      </c>
      <c r="G912" s="26" t="n">
        <v>1750</v>
      </c>
    </row>
    <row r="913" customFormat="false" ht="15" hidden="true" customHeight="true" outlineLevel="1" collapsed="false">
      <c r="A913" s="105"/>
      <c r="B913" s="231" t="s">
        <v>860</v>
      </c>
      <c r="C913" s="6" t="s">
        <v>159</v>
      </c>
      <c r="D913" s="230" t="n">
        <v>76</v>
      </c>
      <c r="E913" s="8" t="n">
        <v>4.5</v>
      </c>
      <c r="G913" s="26" t="n">
        <v>1800</v>
      </c>
    </row>
    <row r="914" customFormat="false" ht="15" hidden="true" customHeight="true" outlineLevel="1" collapsed="false">
      <c r="A914" s="105"/>
      <c r="B914" s="231" t="s">
        <v>861</v>
      </c>
      <c r="C914" s="6" t="s">
        <v>159</v>
      </c>
      <c r="D914" s="230" t="n">
        <v>76</v>
      </c>
      <c r="E914" s="8" t="n">
        <v>5</v>
      </c>
      <c r="G914" s="8" t="n">
        <v>1925</v>
      </c>
    </row>
    <row r="915" customFormat="false" ht="15" hidden="true" customHeight="true" outlineLevel="1" collapsed="false">
      <c r="A915" s="105"/>
      <c r="B915" s="231" t="s">
        <v>862</v>
      </c>
      <c r="C915" s="6" t="s">
        <v>159</v>
      </c>
      <c r="D915" s="230" t="n">
        <v>76</v>
      </c>
      <c r="E915" s="8" t="n">
        <v>2.5</v>
      </c>
      <c r="G915" s="8" t="n">
        <v>1530</v>
      </c>
    </row>
    <row r="916" customFormat="false" ht="15" hidden="true" customHeight="true" outlineLevel="1" collapsed="false">
      <c r="A916" s="105"/>
      <c r="B916" s="231" t="s">
        <v>863</v>
      </c>
      <c r="C916" s="6" t="s">
        <v>159</v>
      </c>
      <c r="D916" s="230" t="n">
        <v>76</v>
      </c>
      <c r="E916" s="8" t="n">
        <v>3</v>
      </c>
      <c r="G916" s="8" t="n">
        <v>1830</v>
      </c>
    </row>
    <row r="917" customFormat="false" ht="15" hidden="true" customHeight="true" outlineLevel="1" collapsed="false">
      <c r="A917" s="105"/>
      <c r="B917" s="231" t="s">
        <v>864</v>
      </c>
      <c r="C917" s="6" t="s">
        <v>159</v>
      </c>
      <c r="D917" s="230" t="n">
        <v>76</v>
      </c>
      <c r="E917" s="8" t="n">
        <v>3.5</v>
      </c>
      <c r="G917" s="8" t="n">
        <v>2130</v>
      </c>
    </row>
    <row r="918" customFormat="false" ht="15" hidden="true" customHeight="true" outlineLevel="1" collapsed="false">
      <c r="A918" s="105"/>
      <c r="B918" s="231" t="s">
        <v>865</v>
      </c>
      <c r="C918" s="6" t="s">
        <v>159</v>
      </c>
      <c r="D918" s="230" t="n">
        <v>76</v>
      </c>
      <c r="E918" s="8" t="n">
        <v>4</v>
      </c>
      <c r="G918" s="8" t="n">
        <v>2430</v>
      </c>
    </row>
    <row r="919" customFormat="false" ht="15" hidden="true" customHeight="true" outlineLevel="1" collapsed="false">
      <c r="A919" s="105"/>
      <c r="B919" s="231" t="s">
        <v>866</v>
      </c>
      <c r="C919" s="6" t="s">
        <v>159</v>
      </c>
      <c r="D919" s="230" t="n">
        <v>76</v>
      </c>
      <c r="E919" s="8" t="n">
        <v>4.5</v>
      </c>
      <c r="G919" s="8" t="n">
        <v>2730</v>
      </c>
    </row>
    <row r="920" customFormat="false" ht="15" hidden="true" customHeight="true" outlineLevel="1" collapsed="false">
      <c r="A920" s="105"/>
      <c r="B920" s="231" t="s">
        <v>867</v>
      </c>
      <c r="C920" s="6" t="s">
        <v>159</v>
      </c>
      <c r="D920" s="230" t="n">
        <v>76</v>
      </c>
      <c r="E920" s="8" t="n">
        <v>5</v>
      </c>
      <c r="G920" s="8" t="n">
        <v>3030</v>
      </c>
    </row>
    <row r="921" customFormat="false" ht="15" hidden="true" customHeight="true" outlineLevel="1" collapsed="false">
      <c r="A921" s="105"/>
      <c r="B921" s="231" t="s">
        <v>868</v>
      </c>
      <c r="C921" s="6" t="s">
        <v>159</v>
      </c>
      <c r="D921" s="230" t="n">
        <v>89</v>
      </c>
      <c r="E921" s="8" t="n">
        <v>2.5</v>
      </c>
      <c r="G921" s="8" t="n">
        <v>1760</v>
      </c>
    </row>
    <row r="922" customFormat="false" ht="15" hidden="true" customHeight="true" outlineLevel="1" collapsed="false">
      <c r="A922" s="105"/>
      <c r="B922" s="231" t="s">
        <v>869</v>
      </c>
      <c r="C922" s="6" t="s">
        <v>159</v>
      </c>
      <c r="D922" s="230" t="n">
        <v>89</v>
      </c>
      <c r="E922" s="8" t="n">
        <v>3</v>
      </c>
      <c r="G922" s="8" t="n">
        <v>1890</v>
      </c>
    </row>
    <row r="923" customFormat="false" ht="15" hidden="true" customHeight="true" outlineLevel="1" collapsed="false">
      <c r="A923" s="105"/>
      <c r="B923" s="231" t="s">
        <v>870</v>
      </c>
      <c r="C923" s="6" t="s">
        <v>159</v>
      </c>
      <c r="D923" s="230" t="n">
        <v>89</v>
      </c>
      <c r="E923" s="8" t="n">
        <v>3.5</v>
      </c>
      <c r="G923" s="8" t="n">
        <v>2060</v>
      </c>
    </row>
    <row r="924" customFormat="false" ht="15" hidden="true" customHeight="true" outlineLevel="1" collapsed="false">
      <c r="A924" s="105"/>
      <c r="B924" s="231" t="s">
        <v>871</v>
      </c>
      <c r="C924" s="6" t="s">
        <v>159</v>
      </c>
      <c r="D924" s="230" t="n">
        <v>89</v>
      </c>
      <c r="E924" s="8" t="n">
        <v>4</v>
      </c>
      <c r="G924" s="8" t="n">
        <v>2230</v>
      </c>
    </row>
    <row r="925" customFormat="false" ht="15" hidden="true" customHeight="true" outlineLevel="1" collapsed="false">
      <c r="A925" s="105"/>
      <c r="B925" s="231" t="s">
        <v>872</v>
      </c>
      <c r="C925" s="6" t="s">
        <v>159</v>
      </c>
      <c r="D925" s="230" t="n">
        <v>89</v>
      </c>
      <c r="E925" s="8" t="n">
        <v>4.5</v>
      </c>
      <c r="G925" s="8" t="n">
        <v>2400</v>
      </c>
    </row>
    <row r="926" customFormat="false" ht="15" hidden="true" customHeight="true" outlineLevel="1" collapsed="false">
      <c r="A926" s="105"/>
      <c r="B926" s="231" t="s">
        <v>873</v>
      </c>
      <c r="C926" s="6" t="s">
        <v>159</v>
      </c>
      <c r="D926" s="230" t="n">
        <v>89</v>
      </c>
      <c r="E926" s="8" t="n">
        <v>5</v>
      </c>
      <c r="G926" s="8" t="n">
        <v>2570</v>
      </c>
    </row>
    <row r="927" customFormat="false" ht="15" hidden="true" customHeight="true" outlineLevel="1" collapsed="false">
      <c r="A927" s="105"/>
      <c r="B927" s="231" t="s">
        <v>874</v>
      </c>
      <c r="C927" s="6" t="s">
        <v>159</v>
      </c>
      <c r="D927" s="230" t="n">
        <v>89</v>
      </c>
      <c r="E927" s="8" t="n">
        <v>2.5</v>
      </c>
      <c r="G927" s="8" t="n">
        <v>1960</v>
      </c>
    </row>
    <row r="928" customFormat="false" ht="15" hidden="true" customHeight="true" outlineLevel="1" collapsed="false">
      <c r="A928" s="105"/>
      <c r="B928" s="231" t="s">
        <v>875</v>
      </c>
      <c r="C928" s="6" t="s">
        <v>159</v>
      </c>
      <c r="D928" s="230" t="n">
        <v>89</v>
      </c>
      <c r="E928" s="8" t="n">
        <v>3</v>
      </c>
      <c r="G928" s="8" t="n">
        <v>2160</v>
      </c>
    </row>
    <row r="929" customFormat="false" ht="15" hidden="true" customHeight="true" outlineLevel="1" collapsed="false">
      <c r="A929" s="105"/>
      <c r="B929" s="231" t="s">
        <v>876</v>
      </c>
      <c r="C929" s="6" t="s">
        <v>159</v>
      </c>
      <c r="D929" s="230" t="n">
        <v>89</v>
      </c>
      <c r="E929" s="8" t="n">
        <v>3.5</v>
      </c>
      <c r="G929" s="8" t="n">
        <v>2360</v>
      </c>
    </row>
    <row r="930" customFormat="false" ht="15" hidden="true" customHeight="true" outlineLevel="1" collapsed="false">
      <c r="A930" s="105"/>
      <c r="B930" s="231" t="s">
        <v>877</v>
      </c>
      <c r="C930" s="6" t="s">
        <v>159</v>
      </c>
      <c r="D930" s="230" t="n">
        <v>89</v>
      </c>
      <c r="E930" s="8" t="n">
        <v>4</v>
      </c>
      <c r="G930" s="8" t="n">
        <v>2560</v>
      </c>
    </row>
    <row r="931" customFormat="false" ht="15" hidden="true" customHeight="true" outlineLevel="1" collapsed="false">
      <c r="A931" s="105"/>
      <c r="B931" s="231" t="s">
        <v>878</v>
      </c>
      <c r="C931" s="6" t="s">
        <v>159</v>
      </c>
      <c r="D931" s="230" t="n">
        <v>89</v>
      </c>
      <c r="E931" s="8" t="n">
        <v>4.5</v>
      </c>
      <c r="G931" s="8" t="n">
        <v>2760</v>
      </c>
    </row>
    <row r="932" customFormat="false" ht="15" hidden="true" customHeight="true" outlineLevel="1" collapsed="false">
      <c r="A932" s="105"/>
      <c r="B932" s="231" t="s">
        <v>879</v>
      </c>
      <c r="C932" s="6" t="s">
        <v>159</v>
      </c>
      <c r="D932" s="230" t="n">
        <v>89</v>
      </c>
      <c r="E932" s="8" t="n">
        <v>5</v>
      </c>
      <c r="G932" s="8" t="n">
        <v>2960</v>
      </c>
    </row>
    <row r="933" customFormat="false" ht="15" hidden="true" customHeight="true" outlineLevel="1" collapsed="false">
      <c r="A933" s="105"/>
      <c r="B933" s="231" t="s">
        <v>880</v>
      </c>
      <c r="C933" s="6" t="s">
        <v>159</v>
      </c>
      <c r="D933" s="230" t="n">
        <v>108</v>
      </c>
      <c r="E933" s="8" t="n">
        <v>2.5</v>
      </c>
      <c r="G933" s="26" t="n">
        <v>1950</v>
      </c>
    </row>
    <row r="934" customFormat="false" ht="15" hidden="true" customHeight="true" outlineLevel="1" collapsed="false">
      <c r="A934" s="105"/>
      <c r="B934" s="231" t="s">
        <v>881</v>
      </c>
      <c r="C934" s="6" t="s">
        <v>159</v>
      </c>
      <c r="D934" s="230" t="n">
        <v>108</v>
      </c>
      <c r="E934" s="8" t="n">
        <v>3</v>
      </c>
      <c r="G934" s="26" t="n">
        <v>2240</v>
      </c>
    </row>
    <row r="935" customFormat="false" ht="15" hidden="true" customHeight="true" outlineLevel="1" collapsed="false">
      <c r="A935" s="105"/>
      <c r="B935" s="231" t="s">
        <v>882</v>
      </c>
      <c r="C935" s="6" t="s">
        <v>159</v>
      </c>
      <c r="D935" s="230" t="n">
        <v>108</v>
      </c>
      <c r="E935" s="8" t="n">
        <v>3.5</v>
      </c>
      <c r="G935" s="26" t="n">
        <v>2420</v>
      </c>
    </row>
    <row r="936" customFormat="false" ht="15" hidden="true" customHeight="true" outlineLevel="1" collapsed="false">
      <c r="A936" s="105"/>
      <c r="B936" s="231" t="s">
        <v>883</v>
      </c>
      <c r="C936" s="6" t="s">
        <v>159</v>
      </c>
      <c r="D936" s="230" t="n">
        <v>108</v>
      </c>
      <c r="E936" s="8" t="n">
        <v>4</v>
      </c>
      <c r="G936" s="26" t="n">
        <v>2700</v>
      </c>
    </row>
    <row r="937" customFormat="false" ht="15" hidden="true" customHeight="true" outlineLevel="1" collapsed="false">
      <c r="A937" s="105"/>
      <c r="B937" s="231" t="s">
        <v>884</v>
      </c>
      <c r="C937" s="6" t="s">
        <v>159</v>
      </c>
      <c r="D937" s="230" t="n">
        <v>108</v>
      </c>
      <c r="E937" s="8" t="n">
        <v>4.5</v>
      </c>
      <c r="G937" s="26" t="n">
        <v>2880</v>
      </c>
    </row>
    <row r="938" customFormat="false" ht="15" hidden="true" customHeight="true" outlineLevel="1" collapsed="false">
      <c r="A938" s="105"/>
      <c r="B938" s="231" t="s">
        <v>885</v>
      </c>
      <c r="C938" s="6" t="s">
        <v>159</v>
      </c>
      <c r="D938" s="230" t="n">
        <v>108</v>
      </c>
      <c r="E938" s="8" t="n">
        <v>5</v>
      </c>
      <c r="G938" s="26" t="n">
        <v>3000</v>
      </c>
    </row>
    <row r="939" customFormat="false" ht="15" hidden="true" customHeight="true" outlineLevel="1" collapsed="false">
      <c r="A939" s="105"/>
      <c r="B939" s="231" t="s">
        <v>886</v>
      </c>
      <c r="C939" s="6" t="s">
        <v>159</v>
      </c>
      <c r="D939" s="230" t="n">
        <v>108</v>
      </c>
      <c r="E939" s="8" t="n">
        <v>2.5</v>
      </c>
      <c r="G939" s="8" t="n">
        <v>2150</v>
      </c>
    </row>
    <row r="940" customFormat="false" ht="15" hidden="true" customHeight="true" outlineLevel="1" collapsed="false">
      <c r="A940" s="105"/>
      <c r="B940" s="231" t="s">
        <v>887</v>
      </c>
      <c r="C940" s="6" t="s">
        <v>159</v>
      </c>
      <c r="D940" s="230" t="n">
        <v>108</v>
      </c>
      <c r="E940" s="8" t="n">
        <v>3</v>
      </c>
      <c r="G940" s="8" t="n">
        <v>2350</v>
      </c>
    </row>
    <row r="941" customFormat="false" ht="15" hidden="true" customHeight="true" outlineLevel="1" collapsed="false">
      <c r="A941" s="105"/>
      <c r="B941" s="231" t="s">
        <v>888</v>
      </c>
      <c r="C941" s="6" t="s">
        <v>159</v>
      </c>
      <c r="D941" s="230" t="n">
        <v>108</v>
      </c>
      <c r="E941" s="8" t="n">
        <v>3.5</v>
      </c>
      <c r="G941" s="8" t="n">
        <v>2550</v>
      </c>
    </row>
    <row r="942" customFormat="false" ht="15" hidden="true" customHeight="true" outlineLevel="1" collapsed="false">
      <c r="A942" s="105"/>
      <c r="B942" s="231" t="s">
        <v>889</v>
      </c>
      <c r="C942" s="6" t="s">
        <v>159</v>
      </c>
      <c r="D942" s="230" t="n">
        <v>108</v>
      </c>
      <c r="E942" s="8" t="n">
        <v>4</v>
      </c>
      <c r="G942" s="8" t="n">
        <v>2750</v>
      </c>
    </row>
    <row r="943" customFormat="false" ht="15" hidden="true" customHeight="true" outlineLevel="1" collapsed="false">
      <c r="A943" s="105"/>
      <c r="B943" s="231" t="s">
        <v>890</v>
      </c>
      <c r="C943" s="6" t="s">
        <v>159</v>
      </c>
      <c r="D943" s="230" t="n">
        <v>108</v>
      </c>
      <c r="E943" s="8" t="n">
        <v>4.5</v>
      </c>
      <c r="G943" s="8" t="n">
        <v>2950</v>
      </c>
    </row>
    <row r="944" customFormat="false" ht="15" hidden="true" customHeight="true" outlineLevel="1" collapsed="false">
      <c r="A944" s="105"/>
      <c r="B944" s="231" t="s">
        <v>891</v>
      </c>
      <c r="C944" s="6" t="s">
        <v>159</v>
      </c>
      <c r="D944" s="230" t="n">
        <v>108</v>
      </c>
      <c r="E944" s="8" t="n">
        <v>5</v>
      </c>
      <c r="G944" s="8" t="n">
        <v>3150</v>
      </c>
    </row>
    <row r="945" customFormat="false" ht="15" hidden="true" customHeight="true" outlineLevel="1" collapsed="false">
      <c r="A945" s="105"/>
      <c r="B945" s="231" t="s">
        <v>892</v>
      </c>
      <c r="C945" s="6" t="s">
        <v>159</v>
      </c>
      <c r="D945" s="230" t="n">
        <v>122</v>
      </c>
      <c r="E945" s="8" t="n">
        <v>2.5</v>
      </c>
      <c r="G945" s="8" t="n">
        <v>2150</v>
      </c>
    </row>
    <row r="946" customFormat="false" ht="15" hidden="true" customHeight="true" outlineLevel="1" collapsed="false">
      <c r="A946" s="105"/>
      <c r="B946" s="231" t="s">
        <v>893</v>
      </c>
      <c r="C946" s="6" t="s">
        <v>159</v>
      </c>
      <c r="D946" s="230" t="n">
        <v>122</v>
      </c>
      <c r="E946" s="8" t="n">
        <v>3</v>
      </c>
      <c r="G946" s="8" t="n">
        <v>2340</v>
      </c>
    </row>
    <row r="947" customFormat="false" ht="15" hidden="true" customHeight="true" outlineLevel="1" collapsed="false">
      <c r="A947" s="105"/>
      <c r="B947" s="231" t="s">
        <v>894</v>
      </c>
      <c r="C947" s="6" t="s">
        <v>159</v>
      </c>
      <c r="D947" s="230" t="n">
        <v>122</v>
      </c>
      <c r="E947" s="8" t="n">
        <v>3.5</v>
      </c>
      <c r="G947" s="8" t="n">
        <v>2530</v>
      </c>
    </row>
    <row r="948" customFormat="false" ht="15" hidden="true" customHeight="true" outlineLevel="1" collapsed="false">
      <c r="A948" s="105"/>
      <c r="B948" s="231" t="s">
        <v>895</v>
      </c>
      <c r="C948" s="6" t="s">
        <v>159</v>
      </c>
      <c r="D948" s="230" t="n">
        <v>122</v>
      </c>
      <c r="E948" s="8" t="n">
        <v>4</v>
      </c>
      <c r="G948" s="8" t="n">
        <v>2720</v>
      </c>
    </row>
    <row r="949" customFormat="false" ht="15" hidden="true" customHeight="true" outlineLevel="1" collapsed="false">
      <c r="A949" s="105"/>
      <c r="B949" s="231" t="s">
        <v>896</v>
      </c>
      <c r="C949" s="6" t="s">
        <v>159</v>
      </c>
      <c r="D949" s="230" t="n">
        <v>122</v>
      </c>
      <c r="E949" s="8" t="n">
        <v>4.5</v>
      </c>
      <c r="G949" s="8" t="n">
        <v>2910</v>
      </c>
    </row>
    <row r="950" customFormat="false" ht="15" hidden="true" customHeight="true" outlineLevel="1" collapsed="false">
      <c r="A950" s="105"/>
      <c r="B950" s="231" t="s">
        <v>897</v>
      </c>
      <c r="C950" s="6" t="s">
        <v>159</v>
      </c>
      <c r="D950" s="230" t="n">
        <v>122</v>
      </c>
      <c r="E950" s="8" t="n">
        <v>5</v>
      </c>
      <c r="G950" s="8" t="n">
        <v>3100</v>
      </c>
    </row>
    <row r="951" customFormat="false" ht="15" hidden="true" customHeight="true" outlineLevel="1" collapsed="false">
      <c r="A951" s="105"/>
      <c r="B951" s="231" t="s">
        <v>898</v>
      </c>
      <c r="C951" s="6" t="s">
        <v>159</v>
      </c>
      <c r="D951" s="230" t="n">
        <v>122</v>
      </c>
      <c r="E951" s="8" t="n">
        <v>2.5</v>
      </c>
      <c r="G951" s="8" t="n">
        <v>2350</v>
      </c>
    </row>
    <row r="952" customFormat="false" ht="15" hidden="true" customHeight="true" outlineLevel="1" collapsed="false">
      <c r="A952" s="105"/>
      <c r="B952" s="231" t="s">
        <v>899</v>
      </c>
      <c r="C952" s="6" t="s">
        <v>159</v>
      </c>
      <c r="D952" s="230" t="n">
        <v>122</v>
      </c>
      <c r="E952" s="8" t="n">
        <v>3</v>
      </c>
      <c r="G952" s="8" t="n">
        <v>2550</v>
      </c>
    </row>
    <row r="953" customFormat="false" ht="15" hidden="true" customHeight="true" outlineLevel="1" collapsed="false">
      <c r="A953" s="105"/>
      <c r="B953" s="231" t="s">
        <v>900</v>
      </c>
      <c r="C953" s="6" t="s">
        <v>159</v>
      </c>
      <c r="D953" s="230" t="n">
        <v>122</v>
      </c>
      <c r="E953" s="8" t="n">
        <v>3.5</v>
      </c>
      <c r="G953" s="8" t="n">
        <v>2750</v>
      </c>
    </row>
    <row r="954" customFormat="false" ht="15" hidden="true" customHeight="true" outlineLevel="1" collapsed="false">
      <c r="A954" s="105"/>
      <c r="B954" s="231" t="s">
        <v>901</v>
      </c>
      <c r="C954" s="6" t="s">
        <v>159</v>
      </c>
      <c r="D954" s="230" t="n">
        <v>122</v>
      </c>
      <c r="E954" s="8" t="n">
        <v>4</v>
      </c>
      <c r="G954" s="8" t="n">
        <v>2950</v>
      </c>
    </row>
    <row r="955" customFormat="false" ht="15" hidden="true" customHeight="true" outlineLevel="1" collapsed="false">
      <c r="A955" s="105"/>
      <c r="B955" s="231" t="s">
        <v>902</v>
      </c>
      <c r="C955" s="6" t="s">
        <v>159</v>
      </c>
      <c r="D955" s="230" t="n">
        <v>122</v>
      </c>
      <c r="E955" s="8" t="n">
        <v>4.5</v>
      </c>
      <c r="G955" s="8" t="n">
        <v>3150</v>
      </c>
    </row>
    <row r="956" customFormat="false" ht="15" hidden="true" customHeight="true" outlineLevel="1" collapsed="false">
      <c r="A956" s="105"/>
      <c r="B956" s="231" t="s">
        <v>903</v>
      </c>
      <c r="C956" s="6" t="s">
        <v>159</v>
      </c>
      <c r="D956" s="230" t="n">
        <v>122</v>
      </c>
      <c r="E956" s="8" t="n">
        <v>5</v>
      </c>
      <c r="G956" s="8" t="n">
        <v>3350</v>
      </c>
    </row>
    <row r="957" customFormat="false" ht="15" hidden="true" customHeight="true" outlineLevel="1" collapsed="false">
      <c r="A957" s="105"/>
      <c r="B957" s="231" t="s">
        <v>904</v>
      </c>
      <c r="C957" s="6" t="s">
        <v>159</v>
      </c>
      <c r="D957" s="230" t="n">
        <v>133</v>
      </c>
      <c r="E957" s="8" t="n">
        <v>2.5</v>
      </c>
      <c r="G957" s="8" t="n">
        <v>2450</v>
      </c>
    </row>
    <row r="958" customFormat="false" ht="15" hidden="true" customHeight="true" outlineLevel="1" collapsed="false">
      <c r="A958" s="105"/>
      <c r="B958" s="231" t="s">
        <v>905</v>
      </c>
      <c r="C958" s="6" t="s">
        <v>159</v>
      </c>
      <c r="D958" s="230" t="n">
        <v>133</v>
      </c>
      <c r="E958" s="8" t="n">
        <v>3</v>
      </c>
      <c r="G958" s="8" t="n">
        <v>2650</v>
      </c>
    </row>
    <row r="959" customFormat="false" ht="15" hidden="true" customHeight="true" outlineLevel="1" collapsed="false">
      <c r="A959" s="105"/>
      <c r="B959" s="231" t="s">
        <v>906</v>
      </c>
      <c r="C959" s="6" t="s">
        <v>159</v>
      </c>
      <c r="D959" s="230" t="n">
        <v>133</v>
      </c>
      <c r="E959" s="8" t="n">
        <v>3.5</v>
      </c>
      <c r="G959" s="8" t="n">
        <v>2850</v>
      </c>
    </row>
    <row r="960" customFormat="false" ht="15" hidden="true" customHeight="true" outlineLevel="1" collapsed="false">
      <c r="A960" s="105"/>
      <c r="B960" s="231" t="s">
        <v>907</v>
      </c>
      <c r="C960" s="6" t="s">
        <v>159</v>
      </c>
      <c r="D960" s="230" t="n">
        <v>133</v>
      </c>
      <c r="E960" s="8" t="n">
        <v>4</v>
      </c>
      <c r="G960" s="8" t="n">
        <v>3050</v>
      </c>
    </row>
    <row r="961" customFormat="false" ht="15" hidden="true" customHeight="true" outlineLevel="1" collapsed="false">
      <c r="A961" s="105"/>
      <c r="B961" s="231" t="s">
        <v>908</v>
      </c>
      <c r="C961" s="6" t="s">
        <v>159</v>
      </c>
      <c r="D961" s="230" t="n">
        <v>133</v>
      </c>
      <c r="E961" s="8" t="n">
        <v>4.5</v>
      </c>
      <c r="G961" s="8" t="n">
        <v>3250</v>
      </c>
    </row>
    <row r="962" customFormat="false" ht="15" hidden="true" customHeight="true" outlineLevel="1" collapsed="false">
      <c r="A962" s="105"/>
      <c r="B962" s="231" t="s">
        <v>909</v>
      </c>
      <c r="C962" s="6" t="s">
        <v>159</v>
      </c>
      <c r="D962" s="230" t="n">
        <v>133</v>
      </c>
      <c r="E962" s="8" t="n">
        <v>5</v>
      </c>
      <c r="G962" s="8" t="n">
        <v>3450</v>
      </c>
    </row>
    <row r="963" customFormat="false" ht="15" hidden="true" customHeight="true" outlineLevel="1" collapsed="false">
      <c r="A963" s="105"/>
      <c r="B963" s="231" t="s">
        <v>910</v>
      </c>
      <c r="C963" s="6" t="s">
        <v>159</v>
      </c>
      <c r="D963" s="230" t="n">
        <v>133</v>
      </c>
      <c r="E963" s="8" t="n">
        <v>2.5</v>
      </c>
      <c r="G963" s="8" t="n">
        <v>2650</v>
      </c>
    </row>
    <row r="964" customFormat="false" ht="15" hidden="true" customHeight="true" outlineLevel="1" collapsed="false">
      <c r="A964" s="105"/>
      <c r="B964" s="231" t="s">
        <v>911</v>
      </c>
      <c r="C964" s="6" t="s">
        <v>159</v>
      </c>
      <c r="D964" s="230" t="n">
        <v>133</v>
      </c>
      <c r="E964" s="8" t="n">
        <v>3</v>
      </c>
      <c r="G964" s="8" t="n">
        <v>2850</v>
      </c>
    </row>
    <row r="965" customFormat="false" ht="15" hidden="true" customHeight="true" outlineLevel="1" collapsed="false">
      <c r="A965" s="105"/>
      <c r="B965" s="231" t="s">
        <v>912</v>
      </c>
      <c r="C965" s="6" t="s">
        <v>159</v>
      </c>
      <c r="D965" s="230" t="n">
        <v>133</v>
      </c>
      <c r="E965" s="8" t="n">
        <v>3.5</v>
      </c>
      <c r="G965" s="8" t="n">
        <v>3050</v>
      </c>
    </row>
    <row r="966" customFormat="false" ht="15" hidden="true" customHeight="true" outlineLevel="1" collapsed="false">
      <c r="A966" s="105"/>
      <c r="B966" s="231" t="s">
        <v>913</v>
      </c>
      <c r="C966" s="6" t="s">
        <v>159</v>
      </c>
      <c r="D966" s="230" t="n">
        <v>133</v>
      </c>
      <c r="E966" s="8" t="n">
        <v>4</v>
      </c>
      <c r="G966" s="8" t="n">
        <v>3250</v>
      </c>
    </row>
    <row r="967" customFormat="false" ht="15" hidden="true" customHeight="true" outlineLevel="1" collapsed="false">
      <c r="A967" s="105"/>
      <c r="B967" s="231" t="s">
        <v>914</v>
      </c>
      <c r="C967" s="6" t="s">
        <v>159</v>
      </c>
      <c r="D967" s="230" t="n">
        <v>133</v>
      </c>
      <c r="E967" s="8" t="n">
        <v>4.5</v>
      </c>
      <c r="G967" s="8" t="n">
        <v>3450</v>
      </c>
    </row>
    <row r="968" customFormat="false" ht="15" hidden="true" customHeight="true" outlineLevel="1" collapsed="false">
      <c r="A968" s="105"/>
      <c r="B968" s="231" t="s">
        <v>915</v>
      </c>
      <c r="C968" s="6" t="s">
        <v>159</v>
      </c>
      <c r="D968" s="230" t="n">
        <v>133</v>
      </c>
      <c r="E968" s="8" t="n">
        <v>5</v>
      </c>
      <c r="G968" s="8" t="n">
        <v>3650</v>
      </c>
    </row>
    <row r="969" customFormat="false" ht="15" hidden="true" customHeight="true" outlineLevel="1" collapsed="false">
      <c r="A969" s="105"/>
      <c r="B969" s="232" t="s">
        <v>916</v>
      </c>
      <c r="C969" s="88" t="s">
        <v>159</v>
      </c>
      <c r="G969" s="89" t="n">
        <v>200</v>
      </c>
    </row>
    <row r="970" customFormat="false" ht="15" hidden="true" customHeight="true" outlineLevel="1" collapsed="false">
      <c r="A970" s="105"/>
      <c r="B970" s="232" t="s">
        <v>917</v>
      </c>
      <c r="C970" s="88" t="s">
        <v>159</v>
      </c>
      <c r="D970" s="5"/>
      <c r="E970" s="5"/>
      <c r="F970" s="134"/>
      <c r="G970" s="134" t="n">
        <v>250</v>
      </c>
    </row>
    <row r="971" customFormat="false" ht="15" hidden="true" customHeight="true" outlineLevel="1" collapsed="false">
      <c r="A971" s="105"/>
      <c r="B971" s="232" t="s">
        <v>918</v>
      </c>
      <c r="C971" s="88" t="s">
        <v>159</v>
      </c>
      <c r="G971" s="89" t="n">
        <v>150</v>
      </c>
    </row>
    <row r="972" customFormat="false" ht="15" hidden="true" customHeight="true" outlineLevel="1" collapsed="false">
      <c r="A972" s="105"/>
      <c r="B972" s="232" t="s">
        <v>919</v>
      </c>
      <c r="C972" s="88" t="s">
        <v>159</v>
      </c>
      <c r="G972" s="8" t="n">
        <v>300</v>
      </c>
    </row>
    <row r="973" customFormat="false" ht="15" hidden="true" customHeight="true" outlineLevel="1" collapsed="false">
      <c r="A973" s="105"/>
      <c r="B973" s="87"/>
      <c r="C973" s="88"/>
    </row>
    <row r="974" customFormat="false" ht="15" hidden="true" customHeight="true" outlineLevel="1" collapsed="false">
      <c r="A974" s="105"/>
      <c r="B974" s="232" t="s">
        <v>920</v>
      </c>
      <c r="C974" s="88" t="s">
        <v>156</v>
      </c>
      <c r="G974" s="89" t="n">
        <v>100</v>
      </c>
    </row>
    <row r="975" customFormat="false" ht="15" hidden="true" customHeight="true" outlineLevel="1" collapsed="false">
      <c r="A975" s="105"/>
      <c r="B975" s="115"/>
    </row>
    <row r="976" customFormat="false" ht="15" hidden="false" customHeight="true" outlineLevel="0" collapsed="false">
      <c r="A976" s="47" t="s">
        <v>852</v>
      </c>
      <c r="B976" s="47"/>
      <c r="C976" s="4"/>
      <c r="G976" s="4"/>
    </row>
    <row r="977" customFormat="false" ht="15" hidden="true" customHeight="true" outlineLevel="1" collapsed="false">
      <c r="A977" s="202" t="s">
        <v>921</v>
      </c>
      <c r="B977" s="202"/>
      <c r="C977" s="189" t="s">
        <v>256</v>
      </c>
      <c r="D977" s="233" t="s">
        <v>273</v>
      </c>
      <c r="E977" s="63" t="s">
        <v>209</v>
      </c>
      <c r="F977" s="38" t="s">
        <v>922</v>
      </c>
      <c r="G977" s="38" t="s">
        <v>132</v>
      </c>
    </row>
    <row r="978" customFormat="false" ht="15" hidden="true" customHeight="true" outlineLevel="1" collapsed="false">
      <c r="A978" s="234"/>
      <c r="B978" s="231" t="s">
        <v>294</v>
      </c>
      <c r="C978" s="230"/>
      <c r="D978" s="235"/>
      <c r="E978" s="6"/>
      <c r="G978" s="8" t="n">
        <v>0</v>
      </c>
    </row>
    <row r="979" customFormat="false" ht="15" hidden="true" customHeight="true" outlineLevel="1" collapsed="false">
      <c r="A979" s="236"/>
      <c r="B979" s="237" t="s">
        <v>923</v>
      </c>
      <c r="C979" s="126" t="n">
        <v>65</v>
      </c>
      <c r="D979" s="238" t="n">
        <v>85</v>
      </c>
      <c r="E979" s="21" t="n">
        <v>250</v>
      </c>
      <c r="F979" s="23" t="n">
        <v>11.59</v>
      </c>
      <c r="G979" s="22" t="n">
        <f aca="false">F979*723</f>
        <v>8379.57</v>
      </c>
    </row>
    <row r="980" customFormat="false" ht="15" hidden="true" customHeight="true" outlineLevel="1" collapsed="false">
      <c r="A980" s="236"/>
      <c r="B980" s="237" t="s">
        <v>924</v>
      </c>
      <c r="C980" s="126" t="n">
        <v>65</v>
      </c>
      <c r="D980" s="238" t="n">
        <v>85</v>
      </c>
      <c r="E980" s="21" t="n">
        <v>250</v>
      </c>
      <c r="F980" s="23" t="n">
        <v>17.08</v>
      </c>
      <c r="G980" s="22" t="n">
        <f aca="false">F980*723</f>
        <v>12348.84</v>
      </c>
    </row>
    <row r="981" customFormat="false" ht="15" hidden="true" customHeight="true" outlineLevel="1" collapsed="false">
      <c r="A981" s="236"/>
      <c r="B981" s="237" t="s">
        <v>925</v>
      </c>
      <c r="C981" s="126" t="n">
        <v>65</v>
      </c>
      <c r="D981" s="238" t="n">
        <v>85</v>
      </c>
      <c r="E981" s="21" t="n">
        <v>250</v>
      </c>
      <c r="F981" s="23" t="n">
        <v>17.08</v>
      </c>
      <c r="G981" s="22" t="n">
        <f aca="false">F981*723</f>
        <v>12348.84</v>
      </c>
    </row>
    <row r="982" customFormat="false" ht="15" hidden="true" customHeight="true" outlineLevel="1" collapsed="false">
      <c r="A982" s="236"/>
      <c r="B982" s="237" t="s">
        <v>926</v>
      </c>
      <c r="C982" s="126" t="n">
        <v>65</v>
      </c>
      <c r="D982" s="238" t="n">
        <v>85</v>
      </c>
      <c r="E982" s="21" t="n">
        <v>250</v>
      </c>
      <c r="F982" s="23" t="n">
        <v>17.08</v>
      </c>
      <c r="G982" s="22" t="n">
        <f aca="false">F982*723</f>
        <v>12348.84</v>
      </c>
    </row>
    <row r="983" customFormat="false" ht="15" hidden="true" customHeight="true" outlineLevel="1" collapsed="false">
      <c r="A983" s="236"/>
      <c r="B983" s="237" t="s">
        <v>927</v>
      </c>
      <c r="C983" s="126" t="n">
        <v>65</v>
      </c>
      <c r="D983" s="238" t="n">
        <v>85</v>
      </c>
      <c r="E983" s="21" t="n">
        <v>250</v>
      </c>
      <c r="F983" s="23" t="n">
        <v>17.08</v>
      </c>
      <c r="G983" s="22" t="n">
        <f aca="false">F983*723</f>
        <v>12348.84</v>
      </c>
    </row>
    <row r="984" customFormat="false" ht="15" hidden="true" customHeight="true" outlineLevel="1" collapsed="false">
      <c r="A984" s="236"/>
      <c r="B984" s="237" t="s">
        <v>928</v>
      </c>
      <c r="C984" s="126" t="n">
        <v>65</v>
      </c>
      <c r="D984" s="238" t="n">
        <v>85</v>
      </c>
      <c r="E984" s="21" t="n">
        <v>250</v>
      </c>
      <c r="F984" s="23" t="n">
        <v>17.08</v>
      </c>
      <c r="G984" s="22" t="n">
        <f aca="false">F984*723</f>
        <v>12348.84</v>
      </c>
    </row>
    <row r="985" customFormat="false" ht="15" hidden="true" customHeight="true" outlineLevel="1" collapsed="false">
      <c r="A985" s="236"/>
      <c r="B985" s="237" t="s">
        <v>929</v>
      </c>
      <c r="C985" s="126" t="n">
        <v>65</v>
      </c>
      <c r="D985" s="238" t="n">
        <v>85</v>
      </c>
      <c r="E985" s="21" t="n">
        <v>250</v>
      </c>
      <c r="F985" s="23" t="n">
        <v>17.08</v>
      </c>
      <c r="G985" s="22" t="n">
        <f aca="false">F985*723</f>
        <v>12348.84</v>
      </c>
    </row>
    <row r="986" customFormat="false" ht="15" hidden="true" customHeight="true" outlineLevel="1" collapsed="false">
      <c r="A986" s="236"/>
      <c r="B986" s="237" t="s">
        <v>930</v>
      </c>
      <c r="C986" s="126" t="n">
        <v>65</v>
      </c>
      <c r="D986" s="238" t="n">
        <v>85</v>
      </c>
      <c r="E986" s="21" t="n">
        <v>250</v>
      </c>
      <c r="F986" s="23" t="n">
        <v>20.77</v>
      </c>
      <c r="G986" s="22" t="n">
        <f aca="false">F986*723</f>
        <v>15016.71</v>
      </c>
    </row>
    <row r="987" customFormat="false" ht="15" hidden="true" customHeight="true" outlineLevel="1" collapsed="false">
      <c r="A987" s="236"/>
      <c r="B987" s="237" t="s">
        <v>931</v>
      </c>
      <c r="C987" s="126" t="n">
        <v>65</v>
      </c>
      <c r="D987" s="238" t="n">
        <v>85</v>
      </c>
      <c r="E987" s="21" t="n">
        <v>250</v>
      </c>
      <c r="F987" s="23" t="n">
        <v>18.33</v>
      </c>
      <c r="G987" s="22" t="n">
        <f aca="false">F987*723</f>
        <v>13252.59</v>
      </c>
    </row>
    <row r="988" customFormat="false" ht="15" hidden="true" customHeight="true" outlineLevel="1" collapsed="false">
      <c r="A988" s="236"/>
      <c r="B988" s="237" t="s">
        <v>932</v>
      </c>
      <c r="C988" s="126" t="n">
        <v>65</v>
      </c>
      <c r="D988" s="238" t="n">
        <v>85</v>
      </c>
      <c r="E988" s="21" t="n">
        <v>250</v>
      </c>
      <c r="F988" s="23" t="n">
        <v>20.76</v>
      </c>
      <c r="G988" s="22" t="n">
        <f aca="false">F988*723</f>
        <v>15009.48</v>
      </c>
    </row>
    <row r="989" customFormat="false" ht="15" hidden="true" customHeight="true" outlineLevel="1" collapsed="false">
      <c r="A989" s="236"/>
      <c r="B989" s="237" t="s">
        <v>933</v>
      </c>
      <c r="C989" s="126" t="n">
        <v>65</v>
      </c>
      <c r="D989" s="238" t="n">
        <v>85</v>
      </c>
      <c r="E989" s="21" t="n">
        <v>250</v>
      </c>
      <c r="F989" s="23" t="n">
        <v>20.76</v>
      </c>
      <c r="G989" s="22" t="n">
        <f aca="false">F989*723</f>
        <v>15009.48</v>
      </c>
    </row>
    <row r="990" customFormat="false" ht="15" hidden="true" customHeight="true" outlineLevel="1" collapsed="false">
      <c r="A990" s="236"/>
      <c r="B990" s="237" t="s">
        <v>934</v>
      </c>
      <c r="C990" s="126" t="n">
        <v>65</v>
      </c>
      <c r="D990" s="238" t="n">
        <v>85</v>
      </c>
      <c r="E990" s="21" t="n">
        <v>250</v>
      </c>
      <c r="F990" s="23" t="n">
        <v>20.76</v>
      </c>
      <c r="G990" s="22" t="n">
        <f aca="false">F990*723</f>
        <v>15009.48</v>
      </c>
    </row>
    <row r="991" customFormat="false" ht="15" hidden="true" customHeight="true" outlineLevel="1" collapsed="false">
      <c r="A991" s="236"/>
      <c r="B991" s="237" t="s">
        <v>935</v>
      </c>
      <c r="C991" s="126" t="n">
        <v>65</v>
      </c>
      <c r="D991" s="238" t="n">
        <v>85</v>
      </c>
      <c r="E991" s="21" t="n">
        <v>250</v>
      </c>
      <c r="F991" s="23" t="n">
        <v>22.73</v>
      </c>
      <c r="G991" s="22" t="n">
        <f aca="false">F991*723</f>
        <v>16433.79</v>
      </c>
    </row>
    <row r="992" customFormat="false" ht="15" hidden="true" customHeight="true" outlineLevel="1" collapsed="false">
      <c r="A992" s="236"/>
      <c r="B992" s="237" t="s">
        <v>936</v>
      </c>
      <c r="C992" s="126" t="n">
        <v>65</v>
      </c>
      <c r="D992" s="238" t="n">
        <v>85</v>
      </c>
      <c r="E992" s="21" t="n">
        <v>250</v>
      </c>
      <c r="F992" s="23" t="n">
        <v>20.76</v>
      </c>
      <c r="G992" s="22" t="n">
        <f aca="false">F992*723</f>
        <v>15009.48</v>
      </c>
    </row>
    <row r="993" customFormat="false" ht="15" hidden="true" customHeight="true" outlineLevel="1" collapsed="false">
      <c r="A993" s="236"/>
      <c r="B993" s="237" t="s">
        <v>937</v>
      </c>
      <c r="C993" s="126" t="n">
        <v>65</v>
      </c>
      <c r="D993" s="238" t="n">
        <v>120</v>
      </c>
      <c r="E993" s="21" t="n">
        <v>250</v>
      </c>
      <c r="F993" s="23" t="n">
        <v>13.63</v>
      </c>
      <c r="G993" s="22" t="n">
        <f aca="false">F993*512</f>
        <v>6978.56</v>
      </c>
    </row>
    <row r="994" customFormat="false" ht="15" hidden="true" customHeight="true" outlineLevel="1" collapsed="false">
      <c r="A994" s="236"/>
      <c r="B994" s="237" t="s">
        <v>938</v>
      </c>
      <c r="C994" s="126" t="n">
        <v>65</v>
      </c>
      <c r="D994" s="238" t="n">
        <v>120</v>
      </c>
      <c r="E994" s="21" t="n">
        <v>250</v>
      </c>
      <c r="F994" s="23" t="n">
        <v>20.09</v>
      </c>
      <c r="G994" s="22" t="n">
        <f aca="false">F994*512</f>
        <v>10286.08</v>
      </c>
    </row>
    <row r="995" customFormat="false" ht="15" hidden="true" customHeight="true" outlineLevel="1" collapsed="false">
      <c r="A995" s="236"/>
      <c r="B995" s="237" t="s">
        <v>939</v>
      </c>
      <c r="C995" s="126" t="n">
        <v>65</v>
      </c>
      <c r="D995" s="238" t="n">
        <v>120</v>
      </c>
      <c r="E995" s="21" t="n">
        <v>250</v>
      </c>
      <c r="F995" s="23" t="n">
        <v>23.09</v>
      </c>
      <c r="G995" s="22" t="n">
        <f aca="false">F995*512</f>
        <v>11822.08</v>
      </c>
    </row>
    <row r="996" customFormat="false" ht="15" hidden="true" customHeight="true" outlineLevel="1" collapsed="false">
      <c r="A996" s="236"/>
      <c r="B996" s="237" t="s">
        <v>940</v>
      </c>
      <c r="C996" s="126" t="n">
        <v>65</v>
      </c>
      <c r="D996" s="238" t="n">
        <v>120</v>
      </c>
      <c r="E996" s="21" t="n">
        <v>250</v>
      </c>
      <c r="F996" s="23" t="n">
        <v>23.09</v>
      </c>
      <c r="G996" s="22" t="n">
        <f aca="false">F996*512</f>
        <v>11822.08</v>
      </c>
    </row>
    <row r="997" customFormat="false" ht="15" hidden="true" customHeight="true" outlineLevel="1" collapsed="false">
      <c r="A997" s="236"/>
      <c r="B997" s="237" t="s">
        <v>941</v>
      </c>
      <c r="C997" s="126" t="n">
        <v>65</v>
      </c>
      <c r="D997" s="238" t="n">
        <v>120</v>
      </c>
      <c r="E997" s="21" t="n">
        <v>250</v>
      </c>
      <c r="F997" s="23" t="n">
        <v>20.09</v>
      </c>
      <c r="G997" s="22" t="n">
        <f aca="false">F997*512</f>
        <v>10286.08</v>
      </c>
    </row>
    <row r="998" customFormat="false" ht="15" hidden="true" customHeight="true" outlineLevel="1" collapsed="false">
      <c r="A998" s="236"/>
      <c r="B998" s="237" t="s">
        <v>942</v>
      </c>
      <c r="C998" s="126" t="n">
        <v>65</v>
      </c>
      <c r="D998" s="238" t="n">
        <v>120</v>
      </c>
      <c r="E998" s="21" t="n">
        <v>250</v>
      </c>
      <c r="F998" s="23" t="n">
        <v>20.09</v>
      </c>
      <c r="G998" s="22" t="n">
        <f aca="false">F998*512</f>
        <v>10286.08</v>
      </c>
    </row>
    <row r="999" customFormat="false" ht="15" hidden="true" customHeight="true" outlineLevel="1" collapsed="false">
      <c r="A999" s="236"/>
      <c r="B999" s="237" t="s">
        <v>943</v>
      </c>
      <c r="C999" s="126" t="n">
        <v>65</v>
      </c>
      <c r="D999" s="238" t="n">
        <v>120</v>
      </c>
      <c r="E999" s="21" t="n">
        <v>250</v>
      </c>
      <c r="F999" s="23" t="n">
        <v>20.09</v>
      </c>
      <c r="G999" s="22" t="n">
        <f aca="false">F999*512</f>
        <v>10286.08</v>
      </c>
    </row>
    <row r="1000" customFormat="false" ht="15" hidden="true" customHeight="true" outlineLevel="1" collapsed="false">
      <c r="A1000" s="236"/>
      <c r="B1000" s="237" t="s">
        <v>944</v>
      </c>
      <c r="C1000" s="126" t="n">
        <v>65</v>
      </c>
      <c r="D1000" s="238" t="n">
        <v>120</v>
      </c>
      <c r="E1000" s="21" t="n">
        <v>250</v>
      </c>
      <c r="F1000" s="23" t="n">
        <v>20.09</v>
      </c>
      <c r="G1000" s="22" t="n">
        <f aca="false">F1000*512</f>
        <v>10286.08</v>
      </c>
    </row>
    <row r="1001" customFormat="false" ht="15" hidden="true" customHeight="true" outlineLevel="1" collapsed="false">
      <c r="A1001" s="236"/>
      <c r="B1001" s="237" t="s">
        <v>945</v>
      </c>
      <c r="C1001" s="126" t="n">
        <v>65</v>
      </c>
      <c r="D1001" s="238" t="n">
        <v>120</v>
      </c>
      <c r="E1001" s="21" t="n">
        <v>250</v>
      </c>
      <c r="F1001" s="23" t="n">
        <v>20.09</v>
      </c>
      <c r="G1001" s="22" t="n">
        <f aca="false">F1001*512</f>
        <v>10286.08</v>
      </c>
    </row>
    <row r="1002" customFormat="false" ht="15" hidden="true" customHeight="true" outlineLevel="1" collapsed="false">
      <c r="A1002" s="236"/>
      <c r="B1002" s="237" t="s">
        <v>946</v>
      </c>
      <c r="C1002" s="126" t="n">
        <v>65</v>
      </c>
      <c r="D1002" s="238" t="n">
        <v>120</v>
      </c>
      <c r="E1002" s="21" t="n">
        <v>250</v>
      </c>
      <c r="F1002" s="23" t="n">
        <v>24.43</v>
      </c>
      <c r="G1002" s="22" t="n">
        <f aca="false">F1002*512</f>
        <v>12508.16</v>
      </c>
    </row>
    <row r="1003" customFormat="false" ht="15" hidden="true" customHeight="true" outlineLevel="1" collapsed="false">
      <c r="A1003" s="236"/>
      <c r="B1003" s="237" t="s">
        <v>947</v>
      </c>
      <c r="C1003" s="126" t="n">
        <v>65</v>
      </c>
      <c r="D1003" s="238" t="n">
        <v>120</v>
      </c>
      <c r="E1003" s="21" t="n">
        <v>250</v>
      </c>
      <c r="F1003" s="23" t="n">
        <v>21.57</v>
      </c>
      <c r="G1003" s="22" t="n">
        <f aca="false">F1003*512</f>
        <v>11043.84</v>
      </c>
    </row>
    <row r="1004" customFormat="false" ht="15" hidden="true" customHeight="true" outlineLevel="1" collapsed="false">
      <c r="A1004" s="236"/>
      <c r="B1004" s="237" t="s">
        <v>948</v>
      </c>
      <c r="C1004" s="126" t="n">
        <v>65</v>
      </c>
      <c r="D1004" s="238" t="n">
        <v>120</v>
      </c>
      <c r="E1004" s="21" t="n">
        <v>250</v>
      </c>
      <c r="F1004" s="23" t="n">
        <v>24.43</v>
      </c>
      <c r="G1004" s="22" t="n">
        <f aca="false">F1004*512</f>
        <v>12508.16</v>
      </c>
    </row>
    <row r="1005" customFormat="false" ht="15" hidden="true" customHeight="true" outlineLevel="1" collapsed="false">
      <c r="A1005" s="236"/>
      <c r="B1005" s="237" t="s">
        <v>949</v>
      </c>
      <c r="C1005" s="126" t="n">
        <v>65</v>
      </c>
      <c r="D1005" s="238" t="n">
        <v>120</v>
      </c>
      <c r="E1005" s="21" t="n">
        <v>250</v>
      </c>
      <c r="F1005" s="23" t="n">
        <v>24.43</v>
      </c>
      <c r="G1005" s="22" t="n">
        <f aca="false">F1005*512</f>
        <v>12508.16</v>
      </c>
    </row>
    <row r="1006" customFormat="false" ht="15" hidden="true" customHeight="true" outlineLevel="1" collapsed="false">
      <c r="A1006" s="236"/>
      <c r="B1006" s="237" t="s">
        <v>950</v>
      </c>
      <c r="C1006" s="126" t="n">
        <v>65</v>
      </c>
      <c r="D1006" s="238" t="n">
        <v>120</v>
      </c>
      <c r="E1006" s="21" t="n">
        <v>250</v>
      </c>
      <c r="F1006" s="23" t="n">
        <v>24.43</v>
      </c>
      <c r="G1006" s="22" t="n">
        <f aca="false">F1006*512</f>
        <v>12508.16</v>
      </c>
    </row>
    <row r="1007" customFormat="false" ht="15" hidden="true" customHeight="true" outlineLevel="1" collapsed="false">
      <c r="A1007" s="236"/>
      <c r="B1007" s="237" t="s">
        <v>951</v>
      </c>
      <c r="C1007" s="126" t="n">
        <v>65</v>
      </c>
      <c r="D1007" s="238" t="n">
        <v>120</v>
      </c>
      <c r="E1007" s="21" t="n">
        <v>250</v>
      </c>
      <c r="F1007" s="23" t="n">
        <v>24.43</v>
      </c>
      <c r="G1007" s="22" t="n">
        <f aca="false">F1007*512</f>
        <v>12508.16</v>
      </c>
    </row>
    <row r="1008" customFormat="false" ht="15" hidden="true" customHeight="true" outlineLevel="1" collapsed="false">
      <c r="A1008" s="236"/>
      <c r="B1008" s="237" t="s">
        <v>952</v>
      </c>
      <c r="C1008" s="126" t="n">
        <v>65</v>
      </c>
      <c r="D1008" s="238" t="n">
        <v>120</v>
      </c>
      <c r="E1008" s="21" t="n">
        <v>250</v>
      </c>
      <c r="F1008" s="23" t="n">
        <v>26.87</v>
      </c>
      <c r="G1008" s="22" t="n">
        <f aca="false">F1008*512</f>
        <v>13757.44</v>
      </c>
    </row>
    <row r="1009" customFormat="false" ht="15" hidden="true" customHeight="true" outlineLevel="1" collapsed="false">
      <c r="A1009" s="236"/>
      <c r="B1009" s="237" t="s">
        <v>953</v>
      </c>
      <c r="C1009" s="126" t="n">
        <v>88</v>
      </c>
      <c r="D1009" s="238" t="n">
        <v>120</v>
      </c>
      <c r="E1009" s="21" t="n">
        <v>250</v>
      </c>
      <c r="F1009" s="23" t="n">
        <v>18.39</v>
      </c>
      <c r="G1009" s="22" t="n">
        <f aca="false">378*F1009</f>
        <v>6951.42</v>
      </c>
    </row>
    <row r="1010" customFormat="false" ht="15" hidden="true" customHeight="true" outlineLevel="1" collapsed="false">
      <c r="A1010" s="236"/>
      <c r="B1010" s="237" t="s">
        <v>954</v>
      </c>
      <c r="C1010" s="126" t="n">
        <v>88</v>
      </c>
      <c r="D1010" s="238" t="n">
        <v>120</v>
      </c>
      <c r="E1010" s="21" t="n">
        <v>250</v>
      </c>
      <c r="F1010" s="23" t="n">
        <v>27.12</v>
      </c>
      <c r="G1010" s="22" t="n">
        <f aca="false">378*F1010</f>
        <v>10251.36</v>
      </c>
    </row>
    <row r="1011" customFormat="false" ht="15" hidden="true" customHeight="true" outlineLevel="1" collapsed="false">
      <c r="A1011" s="236"/>
      <c r="B1011" s="237" t="s">
        <v>955</v>
      </c>
      <c r="C1011" s="126" t="n">
        <v>88</v>
      </c>
      <c r="D1011" s="238" t="n">
        <v>120</v>
      </c>
      <c r="E1011" s="21" t="n">
        <v>250</v>
      </c>
      <c r="F1011" s="23" t="n">
        <v>27.12</v>
      </c>
      <c r="G1011" s="22" t="n">
        <f aca="false">378*F1011</f>
        <v>10251.36</v>
      </c>
    </row>
    <row r="1012" customFormat="false" ht="15" hidden="true" customHeight="true" outlineLevel="1" collapsed="false">
      <c r="A1012" s="236"/>
      <c r="B1012" s="237" t="s">
        <v>956</v>
      </c>
      <c r="C1012" s="126" t="n">
        <v>88</v>
      </c>
      <c r="D1012" s="238" t="n">
        <v>120</v>
      </c>
      <c r="E1012" s="21" t="n">
        <v>250</v>
      </c>
      <c r="F1012" s="23" t="n">
        <v>27.12</v>
      </c>
      <c r="G1012" s="22" t="n">
        <f aca="false">378*F1012</f>
        <v>10251.36</v>
      </c>
    </row>
    <row r="1013" customFormat="false" ht="15" hidden="true" customHeight="true" outlineLevel="1" collapsed="false">
      <c r="A1013" s="236"/>
      <c r="B1013" s="237" t="s">
        <v>957</v>
      </c>
      <c r="C1013" s="126" t="n">
        <v>88</v>
      </c>
      <c r="D1013" s="238" t="n">
        <v>120</v>
      </c>
      <c r="E1013" s="21" t="n">
        <v>250</v>
      </c>
      <c r="F1013" s="23" t="n">
        <v>27.12</v>
      </c>
      <c r="G1013" s="22" t="n">
        <f aca="false">378*F1013</f>
        <v>10251.36</v>
      </c>
    </row>
    <row r="1014" customFormat="false" ht="15" hidden="true" customHeight="true" outlineLevel="1" collapsed="false">
      <c r="A1014" s="236"/>
      <c r="B1014" s="237" t="s">
        <v>958</v>
      </c>
      <c r="C1014" s="126" t="n">
        <v>88</v>
      </c>
      <c r="D1014" s="238" t="n">
        <v>120</v>
      </c>
      <c r="E1014" s="21" t="n">
        <v>250</v>
      </c>
      <c r="F1014" s="23" t="n">
        <v>27.12</v>
      </c>
      <c r="G1014" s="22" t="n">
        <f aca="false">378*F1014</f>
        <v>10251.36</v>
      </c>
    </row>
    <row r="1015" customFormat="false" ht="15" hidden="true" customHeight="true" outlineLevel="1" collapsed="false">
      <c r="A1015" s="236"/>
      <c r="B1015" s="237" t="s">
        <v>959</v>
      </c>
      <c r="C1015" s="126" t="n">
        <v>88</v>
      </c>
      <c r="D1015" s="238" t="n">
        <v>120</v>
      </c>
      <c r="E1015" s="21" t="n">
        <v>250</v>
      </c>
      <c r="F1015" s="23" t="n">
        <v>27.12</v>
      </c>
      <c r="G1015" s="22" t="n">
        <f aca="false">378*F1015</f>
        <v>10251.36</v>
      </c>
    </row>
    <row r="1016" customFormat="false" ht="15" hidden="true" customHeight="true" outlineLevel="1" collapsed="false">
      <c r="A1016" s="236"/>
      <c r="B1016" s="237" t="s">
        <v>960</v>
      </c>
      <c r="C1016" s="126" t="n">
        <v>88</v>
      </c>
      <c r="D1016" s="238" t="n">
        <v>120</v>
      </c>
      <c r="E1016" s="21" t="n">
        <v>250</v>
      </c>
      <c r="F1016" s="23" t="n">
        <v>32.99</v>
      </c>
      <c r="G1016" s="22" t="n">
        <f aca="false">378*F1016</f>
        <v>12470.22</v>
      </c>
    </row>
    <row r="1017" customFormat="false" ht="15" hidden="true" customHeight="true" outlineLevel="1" collapsed="false">
      <c r="A1017" s="236"/>
      <c r="B1017" s="237" t="s">
        <v>961</v>
      </c>
      <c r="C1017" s="126" t="n">
        <v>88</v>
      </c>
      <c r="D1017" s="238" t="n">
        <v>120</v>
      </c>
      <c r="E1017" s="21" t="n">
        <v>250</v>
      </c>
      <c r="F1017" s="23" t="n">
        <v>29.12</v>
      </c>
      <c r="G1017" s="22" t="n">
        <f aca="false">378*F1017</f>
        <v>11007.36</v>
      </c>
    </row>
    <row r="1018" customFormat="false" ht="15" hidden="true" customHeight="true" outlineLevel="1" collapsed="false">
      <c r="A1018" s="236"/>
      <c r="B1018" s="239" t="s">
        <v>962</v>
      </c>
      <c r="C1018" s="126"/>
      <c r="D1018" s="238"/>
      <c r="E1018" s="21"/>
      <c r="F1018" s="23"/>
      <c r="G1018" s="22"/>
    </row>
    <row r="1019" customFormat="false" ht="15" hidden="true" customHeight="true" outlineLevel="1" collapsed="false">
      <c r="A1019" s="236"/>
      <c r="B1019" s="239" t="s">
        <v>962</v>
      </c>
      <c r="C1019" s="126"/>
      <c r="D1019" s="238"/>
      <c r="E1019" s="21"/>
      <c r="F1019" s="23"/>
      <c r="G1019" s="22"/>
    </row>
    <row r="1020" customFormat="false" ht="15" hidden="true" customHeight="true" outlineLevel="1" collapsed="false">
      <c r="A1020" s="236"/>
      <c r="B1020" s="239" t="s">
        <v>962</v>
      </c>
      <c r="C1020" s="126"/>
      <c r="D1020" s="238"/>
      <c r="E1020" s="21"/>
      <c r="F1020" s="23"/>
      <c r="G1020" s="22"/>
    </row>
    <row r="1021" customFormat="false" ht="15" hidden="true" customHeight="true" outlineLevel="1" collapsed="false">
      <c r="A1021" s="236"/>
      <c r="B1021" s="239" t="s">
        <v>962</v>
      </c>
      <c r="C1021" s="126"/>
      <c r="D1021" s="238"/>
      <c r="E1021" s="21"/>
      <c r="F1021" s="23"/>
      <c r="G1021" s="22"/>
    </row>
    <row r="1022" customFormat="false" ht="15" hidden="true" customHeight="true" outlineLevel="1" collapsed="false">
      <c r="A1022" s="236"/>
      <c r="B1022" s="237" t="s">
        <v>963</v>
      </c>
      <c r="C1022" s="126" t="n">
        <v>219</v>
      </c>
      <c r="D1022" s="238" t="n">
        <v>250</v>
      </c>
      <c r="E1022" s="21" t="n">
        <v>510</v>
      </c>
      <c r="F1022" s="23" t="n">
        <v>90</v>
      </c>
      <c r="G1022" s="22" t="n">
        <v>10000</v>
      </c>
    </row>
    <row r="1023" customFormat="false" ht="15" hidden="true" customHeight="true" outlineLevel="1" collapsed="false">
      <c r="A1023" s="236"/>
      <c r="B1023" s="237"/>
      <c r="C1023" s="126"/>
      <c r="D1023" s="238"/>
      <c r="E1023" s="21"/>
      <c r="F1023" s="23"/>
      <c r="G1023" s="22"/>
    </row>
    <row r="1024" customFormat="false" ht="15" hidden="true" customHeight="true" outlineLevel="1" collapsed="false">
      <c r="A1024" s="236"/>
      <c r="B1024" s="240"/>
      <c r="C1024" s="126"/>
      <c r="D1024" s="238"/>
      <c r="E1024" s="21"/>
      <c r="F1024" s="23"/>
      <c r="G1024" s="22"/>
    </row>
    <row r="1025" customFormat="false" ht="15" hidden="false" customHeight="true" outlineLevel="0" collapsed="false">
      <c r="A1025" s="241" t="s">
        <v>921</v>
      </c>
      <c r="B1025" s="241"/>
      <c r="C1025" s="103"/>
      <c r="D1025" s="104"/>
      <c r="E1025" s="104"/>
      <c r="G1025" s="104"/>
    </row>
    <row r="1026" customFormat="false" ht="15" hidden="true" customHeight="true" outlineLevel="1" collapsed="false">
      <c r="A1026" s="242" t="s">
        <v>964</v>
      </c>
      <c r="B1026" s="242"/>
      <c r="C1026" s="124" t="s">
        <v>208</v>
      </c>
      <c r="D1026" s="243"/>
      <c r="E1026" s="243"/>
      <c r="F1026" s="29" t="s">
        <v>691</v>
      </c>
      <c r="G1026" s="29" t="s">
        <v>965</v>
      </c>
      <c r="H1026" s="244"/>
      <c r="I1026" s="244"/>
    </row>
    <row r="1027" customFormat="false" ht="15" hidden="true" customHeight="true" outlineLevel="1" collapsed="false">
      <c r="A1027" s="236"/>
      <c r="B1027" s="217" t="s">
        <v>493</v>
      </c>
      <c r="C1027" s="218" t="s">
        <v>133</v>
      </c>
      <c r="D1027" s="245"/>
      <c r="E1027" s="245"/>
      <c r="F1027" s="23"/>
      <c r="G1027" s="23" t="n">
        <v>0</v>
      </c>
      <c r="H1027" s="244"/>
      <c r="I1027" s="244"/>
    </row>
    <row r="1028" customFormat="false" ht="15" hidden="true" customHeight="true" outlineLevel="1" collapsed="false">
      <c r="A1028" s="236"/>
      <c r="B1028" s="217" t="s">
        <v>966</v>
      </c>
      <c r="C1028" s="218" t="s">
        <v>133</v>
      </c>
      <c r="D1028" s="245"/>
      <c r="E1028" s="23" t="s">
        <v>967</v>
      </c>
      <c r="F1028" s="23" t="n">
        <v>460</v>
      </c>
      <c r="G1028" s="246" t="n">
        <v>150</v>
      </c>
      <c r="H1028" s="244"/>
      <c r="I1028" s="244"/>
    </row>
    <row r="1029" customFormat="false" ht="15" hidden="true" customHeight="true" outlineLevel="1" collapsed="false">
      <c r="A1029" s="236"/>
      <c r="B1029" s="217" t="s">
        <v>968</v>
      </c>
      <c r="C1029" s="218" t="s">
        <v>133</v>
      </c>
      <c r="D1029" s="245"/>
      <c r="E1029" s="23" t="s">
        <v>967</v>
      </c>
      <c r="F1029" s="23" t="n">
        <v>531</v>
      </c>
      <c r="G1029" s="246" t="n">
        <v>178</v>
      </c>
      <c r="H1029" s="244"/>
      <c r="I1029" s="244"/>
    </row>
    <row r="1030" customFormat="false" ht="15" hidden="true" customHeight="true" outlineLevel="1" collapsed="false">
      <c r="A1030" s="236"/>
      <c r="B1030" s="217" t="s">
        <v>969</v>
      </c>
      <c r="C1030" s="218" t="s">
        <v>133</v>
      </c>
      <c r="D1030" s="245"/>
      <c r="E1030" s="23" t="s">
        <v>970</v>
      </c>
      <c r="F1030" s="23" t="n">
        <v>318</v>
      </c>
      <c r="G1030" s="246" t="n">
        <v>441</v>
      </c>
      <c r="H1030" s="244"/>
      <c r="I1030" s="244"/>
    </row>
    <row r="1031" customFormat="false" ht="15" hidden="true" customHeight="true" outlineLevel="1" collapsed="false">
      <c r="A1031" s="236"/>
      <c r="B1031" s="217" t="s">
        <v>971</v>
      </c>
      <c r="C1031" s="218" t="s">
        <v>133</v>
      </c>
      <c r="D1031" s="245"/>
      <c r="E1031" s="23" t="s">
        <v>967</v>
      </c>
      <c r="F1031" s="23"/>
      <c r="G1031" s="246" t="n">
        <v>210</v>
      </c>
      <c r="H1031" s="244"/>
      <c r="I1031" s="244"/>
    </row>
    <row r="1032" customFormat="false" ht="15" hidden="true" customHeight="true" outlineLevel="1" collapsed="false">
      <c r="A1032" s="236"/>
      <c r="B1032" s="217" t="s">
        <v>972</v>
      </c>
      <c r="C1032" s="218" t="s">
        <v>133</v>
      </c>
      <c r="D1032" s="245"/>
      <c r="E1032" s="23" t="s">
        <v>967</v>
      </c>
      <c r="F1032" s="23"/>
      <c r="G1032" s="246" t="n">
        <v>250</v>
      </c>
      <c r="H1032" s="244"/>
      <c r="I1032" s="244"/>
    </row>
    <row r="1033" customFormat="false" ht="15" hidden="true" customHeight="true" outlineLevel="1" collapsed="false">
      <c r="A1033" s="236"/>
      <c r="B1033" s="217" t="s">
        <v>973</v>
      </c>
      <c r="C1033" s="218" t="s">
        <v>133</v>
      </c>
      <c r="D1033" s="245"/>
      <c r="E1033" s="23" t="s">
        <v>967</v>
      </c>
      <c r="F1033" s="23"/>
      <c r="G1033" s="246" t="n">
        <v>280</v>
      </c>
      <c r="H1033" s="244"/>
      <c r="I1033" s="244"/>
    </row>
    <row r="1034" customFormat="false" ht="15" hidden="true" customHeight="true" outlineLevel="1" collapsed="false">
      <c r="A1034" s="236"/>
      <c r="B1034" s="217" t="s">
        <v>974</v>
      </c>
      <c r="C1034" s="218" t="s">
        <v>133</v>
      </c>
      <c r="D1034" s="245"/>
      <c r="E1034" s="23" t="s">
        <v>967</v>
      </c>
      <c r="F1034" s="23"/>
      <c r="G1034" s="246" t="n">
        <v>320</v>
      </c>
      <c r="H1034" s="244"/>
      <c r="I1034" s="244"/>
    </row>
    <row r="1035" customFormat="false" ht="15" hidden="true" customHeight="true" outlineLevel="1" collapsed="false">
      <c r="A1035" s="236"/>
      <c r="B1035" s="247" t="s">
        <v>975</v>
      </c>
      <c r="C1035" s="88" t="s">
        <v>133</v>
      </c>
      <c r="D1035" s="248"/>
      <c r="E1035" s="249" t="s">
        <v>976</v>
      </c>
      <c r="F1035" s="250" t="n">
        <v>555</v>
      </c>
      <c r="G1035" s="250" t="n">
        <f aca="false">F1035/3</f>
        <v>185</v>
      </c>
      <c r="H1035" s="251"/>
      <c r="I1035" s="251"/>
    </row>
    <row r="1036" customFormat="false" ht="15" hidden="true" customHeight="true" outlineLevel="1" collapsed="false">
      <c r="A1036" s="236"/>
      <c r="B1036" s="247" t="s">
        <v>977</v>
      </c>
      <c r="C1036" s="88" t="s">
        <v>133</v>
      </c>
      <c r="D1036" s="248"/>
      <c r="E1036" s="249" t="s">
        <v>976</v>
      </c>
      <c r="F1036" s="250" t="n">
        <v>660</v>
      </c>
      <c r="G1036" s="250" t="n">
        <f aca="false">F1036/3</f>
        <v>220</v>
      </c>
      <c r="H1036" s="251"/>
      <c r="I1036" s="251"/>
    </row>
    <row r="1037" customFormat="false" ht="15" hidden="true" customHeight="true" outlineLevel="1" collapsed="false">
      <c r="A1037" s="236"/>
      <c r="B1037" s="247" t="s">
        <v>977</v>
      </c>
      <c r="C1037" s="88" t="s">
        <v>133</v>
      </c>
      <c r="D1037" s="248"/>
      <c r="E1037" s="249" t="s">
        <v>978</v>
      </c>
      <c r="F1037" s="250" t="n">
        <v>710</v>
      </c>
      <c r="G1037" s="250" t="n">
        <f aca="false">F1037/3</f>
        <v>236.666666666667</v>
      </c>
      <c r="H1037" s="251"/>
      <c r="I1037" s="251"/>
    </row>
    <row r="1038" customFormat="false" ht="15" hidden="true" customHeight="true" outlineLevel="1" collapsed="false">
      <c r="A1038" s="236"/>
      <c r="B1038" s="247" t="s">
        <v>979</v>
      </c>
      <c r="C1038" s="88" t="s">
        <v>133</v>
      </c>
      <c r="D1038" s="248"/>
      <c r="E1038" s="249" t="s">
        <v>976</v>
      </c>
      <c r="F1038" s="250" t="n">
        <v>735</v>
      </c>
      <c r="G1038" s="250" t="n">
        <f aca="false">F1038/3</f>
        <v>245</v>
      </c>
      <c r="H1038" s="251"/>
      <c r="I1038" s="251"/>
    </row>
    <row r="1039" customFormat="false" ht="15" hidden="true" customHeight="true" outlineLevel="1" collapsed="false">
      <c r="A1039" s="236"/>
      <c r="B1039" s="247" t="s">
        <v>980</v>
      </c>
      <c r="C1039" s="88" t="s">
        <v>133</v>
      </c>
      <c r="D1039" s="248"/>
      <c r="E1039" s="249" t="s">
        <v>976</v>
      </c>
      <c r="F1039" s="250" t="n">
        <v>855</v>
      </c>
      <c r="G1039" s="250" t="n">
        <f aca="false">F1039/3</f>
        <v>285</v>
      </c>
      <c r="H1039" s="251"/>
      <c r="I1039" s="251"/>
    </row>
    <row r="1040" customFormat="false" ht="15" hidden="true" customHeight="true" outlineLevel="1" collapsed="false">
      <c r="A1040" s="236"/>
      <c r="B1040" s="247" t="s">
        <v>980</v>
      </c>
      <c r="C1040" s="88" t="s">
        <v>133</v>
      </c>
      <c r="D1040" s="248"/>
      <c r="E1040" s="249" t="s">
        <v>978</v>
      </c>
      <c r="F1040" s="250" t="n">
        <v>1000</v>
      </c>
      <c r="G1040" s="250" t="n">
        <f aca="false">F1040/3</f>
        <v>333.333333333333</v>
      </c>
      <c r="H1040" s="251"/>
      <c r="I1040" s="251"/>
    </row>
    <row r="1041" customFormat="false" ht="15" hidden="true" customHeight="true" outlineLevel="1" collapsed="false">
      <c r="A1041" s="236"/>
      <c r="B1041" s="247" t="s">
        <v>981</v>
      </c>
      <c r="C1041" s="88" t="s">
        <v>133</v>
      </c>
      <c r="D1041" s="248"/>
      <c r="E1041" s="249" t="s">
        <v>976</v>
      </c>
      <c r="F1041" s="250" t="n">
        <v>1070</v>
      </c>
      <c r="G1041" s="250" t="n">
        <f aca="false">F1041/3</f>
        <v>356.666666666667</v>
      </c>
      <c r="H1041" s="251"/>
      <c r="I1041" s="251"/>
    </row>
    <row r="1042" customFormat="false" ht="15" hidden="true" customHeight="true" outlineLevel="1" collapsed="false">
      <c r="A1042" s="236"/>
      <c r="B1042" s="247" t="s">
        <v>982</v>
      </c>
      <c r="C1042" s="88" t="s">
        <v>133</v>
      </c>
      <c r="D1042" s="248"/>
      <c r="E1042" s="249" t="s">
        <v>976</v>
      </c>
      <c r="F1042" s="250" t="n">
        <v>1360</v>
      </c>
      <c r="G1042" s="250" t="n">
        <f aca="false">F1042/3</f>
        <v>453.333333333333</v>
      </c>
      <c r="H1042" s="251"/>
      <c r="I1042" s="251"/>
    </row>
    <row r="1043" customFormat="false" ht="15" hidden="true" customHeight="true" outlineLevel="1" collapsed="false">
      <c r="A1043" s="236"/>
      <c r="B1043" s="247" t="s">
        <v>983</v>
      </c>
      <c r="C1043" s="88" t="s">
        <v>133</v>
      </c>
      <c r="D1043" s="248"/>
      <c r="E1043" s="249" t="s">
        <v>976</v>
      </c>
      <c r="F1043" s="250" t="n">
        <v>1580</v>
      </c>
      <c r="G1043" s="250" t="n">
        <f aca="false">F1043/3</f>
        <v>526.666666666667</v>
      </c>
      <c r="H1043" s="251"/>
      <c r="I1043" s="251"/>
    </row>
    <row r="1044" customFormat="false" ht="15" hidden="true" customHeight="true" outlineLevel="1" collapsed="false">
      <c r="A1044" s="236"/>
      <c r="B1044" s="247" t="s">
        <v>984</v>
      </c>
      <c r="C1044" s="88" t="s">
        <v>133</v>
      </c>
      <c r="D1044" s="248"/>
      <c r="E1044" s="249" t="s">
        <v>978</v>
      </c>
      <c r="F1044" s="250" t="n">
        <v>1100</v>
      </c>
      <c r="G1044" s="250" t="n">
        <f aca="false">F1044/3</f>
        <v>366.666666666667</v>
      </c>
      <c r="H1044" s="251"/>
      <c r="I1044" s="251"/>
    </row>
    <row r="1045" customFormat="false" ht="15" hidden="true" customHeight="true" outlineLevel="1" collapsed="false">
      <c r="A1045" s="236"/>
      <c r="B1045" s="247" t="s">
        <v>985</v>
      </c>
      <c r="C1045" s="88" t="s">
        <v>133</v>
      </c>
      <c r="D1045" s="248"/>
      <c r="E1045" s="249" t="s">
        <v>978</v>
      </c>
      <c r="F1045" s="250" t="n">
        <v>1345</v>
      </c>
      <c r="G1045" s="250" t="n">
        <f aca="false">F1045/3</f>
        <v>448.333333333333</v>
      </c>
      <c r="H1045" s="251"/>
      <c r="I1045" s="251"/>
    </row>
    <row r="1046" customFormat="false" ht="15" hidden="true" customHeight="true" outlineLevel="1" collapsed="false">
      <c r="A1046" s="236"/>
      <c r="B1046" s="247" t="s">
        <v>986</v>
      </c>
      <c r="C1046" s="88" t="s">
        <v>133</v>
      </c>
      <c r="D1046" s="248"/>
      <c r="E1046" s="249" t="s">
        <v>978</v>
      </c>
      <c r="F1046" s="250" t="n">
        <v>1600</v>
      </c>
      <c r="G1046" s="250" t="n">
        <f aca="false">F1046/3</f>
        <v>533.333333333333</v>
      </c>
      <c r="H1046" s="251"/>
      <c r="I1046" s="251"/>
    </row>
    <row r="1047" customFormat="false" ht="15" hidden="true" customHeight="true" outlineLevel="1" collapsed="false">
      <c r="A1047" s="236"/>
      <c r="B1047" s="252" t="s">
        <v>987</v>
      </c>
      <c r="C1047" s="88" t="s">
        <v>133</v>
      </c>
      <c r="D1047" s="248"/>
      <c r="E1047" s="249" t="s">
        <v>976</v>
      </c>
      <c r="F1047" s="250" t="n">
        <v>790</v>
      </c>
      <c r="G1047" s="250" t="n">
        <f aca="false">F1047/3</f>
        <v>263.333333333333</v>
      </c>
      <c r="H1047" s="251"/>
      <c r="I1047" s="251"/>
    </row>
    <row r="1048" customFormat="false" ht="15" hidden="true" customHeight="true" outlineLevel="1" collapsed="false">
      <c r="A1048" s="236"/>
      <c r="B1048" s="252" t="s">
        <v>988</v>
      </c>
      <c r="C1048" s="88" t="s">
        <v>133</v>
      </c>
      <c r="D1048" s="248"/>
      <c r="E1048" s="249" t="s">
        <v>976</v>
      </c>
      <c r="F1048" s="250" t="n">
        <v>630</v>
      </c>
      <c r="G1048" s="250" t="n">
        <f aca="false">F1048/3</f>
        <v>210</v>
      </c>
      <c r="H1048" s="251"/>
      <c r="I1048" s="251"/>
    </row>
    <row r="1049" customFormat="false" ht="15" hidden="true" customHeight="true" outlineLevel="1" collapsed="false">
      <c r="A1049" s="236"/>
      <c r="B1049" s="252" t="s">
        <v>987</v>
      </c>
      <c r="C1049" s="88" t="s">
        <v>133</v>
      </c>
      <c r="D1049" s="248"/>
      <c r="E1049" s="249" t="s">
        <v>976</v>
      </c>
      <c r="F1049" s="250" t="n">
        <v>800</v>
      </c>
      <c r="G1049" s="250" t="n">
        <f aca="false">F1049/3</f>
        <v>266.666666666667</v>
      </c>
      <c r="H1049" s="251"/>
      <c r="I1049" s="251"/>
    </row>
    <row r="1050" customFormat="false" ht="15" hidden="true" customHeight="true" outlineLevel="1" collapsed="false">
      <c r="A1050" s="236"/>
      <c r="B1050" s="252" t="s">
        <v>989</v>
      </c>
      <c r="C1050" s="88" t="s">
        <v>133</v>
      </c>
      <c r="D1050" s="248"/>
      <c r="E1050" s="249" t="s">
        <v>976</v>
      </c>
      <c r="F1050" s="250" t="n">
        <v>980</v>
      </c>
      <c r="G1050" s="250" t="n">
        <f aca="false">F1050/3</f>
        <v>326.666666666667</v>
      </c>
      <c r="H1050" s="251"/>
      <c r="I1050" s="251"/>
    </row>
    <row r="1051" customFormat="false" ht="15" hidden="true" customHeight="true" outlineLevel="1" collapsed="false">
      <c r="A1051" s="236"/>
      <c r="B1051" s="252" t="s">
        <v>990</v>
      </c>
      <c r="C1051" s="88" t="s">
        <v>133</v>
      </c>
      <c r="D1051" s="248"/>
      <c r="E1051" s="249" t="s">
        <v>976</v>
      </c>
      <c r="F1051" s="250" t="n">
        <v>1210</v>
      </c>
      <c r="G1051" s="250" t="n">
        <f aca="false">F1051/3</f>
        <v>403.333333333333</v>
      </c>
      <c r="H1051" s="251"/>
      <c r="I1051" s="251"/>
    </row>
    <row r="1052" customFormat="false" ht="15" hidden="true" customHeight="true" outlineLevel="1" collapsed="false">
      <c r="A1052" s="236"/>
      <c r="B1052" s="252" t="s">
        <v>991</v>
      </c>
      <c r="C1052" s="88" t="s">
        <v>133</v>
      </c>
      <c r="D1052" s="248"/>
      <c r="E1052" s="249" t="s">
        <v>976</v>
      </c>
      <c r="F1052" s="250" t="n">
        <v>1415</v>
      </c>
      <c r="G1052" s="250" t="n">
        <f aca="false">F1052/3</f>
        <v>471.666666666667</v>
      </c>
      <c r="H1052" s="251"/>
      <c r="I1052" s="251"/>
    </row>
    <row r="1053" customFormat="false" ht="15" hidden="true" customHeight="true" outlineLevel="1" collapsed="false">
      <c r="A1053" s="236"/>
      <c r="B1053" s="252" t="s">
        <v>992</v>
      </c>
      <c r="C1053" s="88" t="s">
        <v>133</v>
      </c>
      <c r="D1053" s="248"/>
      <c r="E1053" s="249" t="s">
        <v>976</v>
      </c>
      <c r="F1053" s="250" t="n">
        <v>1645</v>
      </c>
      <c r="G1053" s="250" t="n">
        <f aca="false">F1053/3</f>
        <v>548.333333333333</v>
      </c>
      <c r="H1053" s="251"/>
      <c r="I1053" s="251"/>
    </row>
    <row r="1054" customFormat="false" ht="15" hidden="true" customHeight="true" outlineLevel="1" collapsed="false">
      <c r="A1054" s="236"/>
      <c r="B1054" s="252" t="s">
        <v>993</v>
      </c>
      <c r="C1054" s="88" t="s">
        <v>133</v>
      </c>
      <c r="D1054" s="248"/>
      <c r="E1054" s="249" t="s">
        <v>976</v>
      </c>
      <c r="F1054" s="250" t="n">
        <v>1965</v>
      </c>
      <c r="G1054" s="250" t="n">
        <f aca="false">F1054/3</f>
        <v>655</v>
      </c>
      <c r="H1054" s="251"/>
      <c r="I1054" s="251"/>
    </row>
    <row r="1055" customFormat="false" ht="15" hidden="true" customHeight="true" outlineLevel="1" collapsed="false">
      <c r="A1055" s="236"/>
      <c r="B1055" s="252" t="s">
        <v>994</v>
      </c>
      <c r="C1055" s="88" t="s">
        <v>133</v>
      </c>
      <c r="D1055" s="248"/>
      <c r="E1055" s="249" t="s">
        <v>976</v>
      </c>
      <c r="F1055" s="250" t="n">
        <v>2430</v>
      </c>
      <c r="G1055" s="250" t="n">
        <f aca="false">F1055/3</f>
        <v>810</v>
      </c>
      <c r="H1055" s="251"/>
      <c r="I1055" s="251"/>
    </row>
    <row r="1056" customFormat="false" ht="15" hidden="true" customHeight="true" outlineLevel="1" collapsed="false">
      <c r="A1056" s="236"/>
      <c r="B1056" s="252" t="s">
        <v>995</v>
      </c>
      <c r="C1056" s="88" t="s">
        <v>133</v>
      </c>
      <c r="D1056" s="248"/>
      <c r="E1056" s="249" t="s">
        <v>976</v>
      </c>
      <c r="F1056" s="250" t="n">
        <v>2650</v>
      </c>
      <c r="G1056" s="250" t="n">
        <f aca="false">F1056/3</f>
        <v>883.333333333333</v>
      </c>
      <c r="H1056" s="251"/>
      <c r="I1056" s="251"/>
    </row>
    <row r="1057" customFormat="false" ht="15" hidden="true" customHeight="true" outlineLevel="1" collapsed="false">
      <c r="A1057" s="236"/>
      <c r="B1057" s="253" t="s">
        <v>996</v>
      </c>
      <c r="C1057" s="88" t="s">
        <v>133</v>
      </c>
      <c r="D1057" s="254" t="s">
        <v>997</v>
      </c>
      <c r="E1057" s="249" t="s">
        <v>976</v>
      </c>
      <c r="F1057" s="250" t="n">
        <v>1560</v>
      </c>
      <c r="G1057" s="250" t="n">
        <f aca="false">F1057/3</f>
        <v>520</v>
      </c>
      <c r="H1057" s="251"/>
      <c r="I1057" s="251"/>
    </row>
    <row r="1058" customFormat="false" ht="15" hidden="true" customHeight="true" outlineLevel="1" collapsed="false">
      <c r="A1058" s="236"/>
      <c r="B1058" s="253" t="s">
        <v>998</v>
      </c>
      <c r="C1058" s="88" t="s">
        <v>133</v>
      </c>
      <c r="D1058" s="254" t="s">
        <v>997</v>
      </c>
      <c r="E1058" s="249" t="s">
        <v>976</v>
      </c>
      <c r="F1058" s="250" t="n">
        <v>2065</v>
      </c>
      <c r="G1058" s="250" t="n">
        <f aca="false">F1058/3</f>
        <v>688.333333333333</v>
      </c>
      <c r="H1058" s="251"/>
      <c r="I1058" s="251"/>
    </row>
    <row r="1059" customFormat="false" ht="15" hidden="true" customHeight="true" outlineLevel="1" collapsed="false">
      <c r="A1059" s="236"/>
      <c r="B1059" s="253" t="s">
        <v>999</v>
      </c>
      <c r="C1059" s="88" t="s">
        <v>133</v>
      </c>
      <c r="D1059" s="254" t="s">
        <v>997</v>
      </c>
      <c r="E1059" s="249" t="s">
        <v>976</v>
      </c>
      <c r="F1059" s="250" t="n">
        <v>2440</v>
      </c>
      <c r="G1059" s="250" t="n">
        <f aca="false">F1059/3</f>
        <v>813.333333333333</v>
      </c>
      <c r="H1059" s="251"/>
      <c r="I1059" s="251"/>
    </row>
    <row r="1060" customFormat="false" ht="15" hidden="true" customHeight="true" outlineLevel="1" collapsed="false">
      <c r="A1060" s="236"/>
      <c r="B1060" s="253" t="s">
        <v>1000</v>
      </c>
      <c r="C1060" s="88" t="s">
        <v>133</v>
      </c>
      <c r="D1060" s="254" t="s">
        <v>997</v>
      </c>
      <c r="E1060" s="249" t="s">
        <v>976</v>
      </c>
      <c r="F1060" s="250" t="n">
        <v>2880</v>
      </c>
      <c r="G1060" s="250" t="n">
        <f aca="false">F1060/3</f>
        <v>960</v>
      </c>
      <c r="H1060" s="251"/>
      <c r="I1060" s="251"/>
    </row>
    <row r="1061" customFormat="false" ht="15" hidden="true" customHeight="true" outlineLevel="1" collapsed="false">
      <c r="A1061" s="236"/>
      <c r="B1061" s="253" t="s">
        <v>1000</v>
      </c>
      <c r="C1061" s="88" t="s">
        <v>133</v>
      </c>
      <c r="D1061" s="254" t="s">
        <v>997</v>
      </c>
      <c r="E1061" s="249" t="s">
        <v>976</v>
      </c>
      <c r="F1061" s="250" t="n">
        <v>2530</v>
      </c>
      <c r="G1061" s="250" t="n">
        <f aca="false">F1061/3</f>
        <v>843.333333333333</v>
      </c>
      <c r="H1061" s="251"/>
      <c r="I1061" s="251"/>
    </row>
    <row r="1062" customFormat="false" ht="15" hidden="true" customHeight="true" outlineLevel="1" collapsed="false">
      <c r="A1062" s="236"/>
      <c r="B1062" s="253" t="s">
        <v>1000</v>
      </c>
      <c r="C1062" s="88" t="s">
        <v>133</v>
      </c>
      <c r="D1062" s="254" t="s">
        <v>997</v>
      </c>
      <c r="E1062" s="249" t="s">
        <v>976</v>
      </c>
      <c r="F1062" s="250" t="n">
        <v>2170</v>
      </c>
      <c r="G1062" s="250" t="n">
        <f aca="false">F1062/3</f>
        <v>723.333333333333</v>
      </c>
      <c r="H1062" s="251"/>
      <c r="I1062" s="251"/>
    </row>
    <row r="1063" customFormat="false" ht="15" hidden="true" customHeight="true" outlineLevel="1" collapsed="false">
      <c r="A1063" s="236"/>
      <c r="B1063" s="253" t="s">
        <v>996</v>
      </c>
      <c r="C1063" s="88" t="s">
        <v>133</v>
      </c>
      <c r="D1063" s="254" t="s">
        <v>1001</v>
      </c>
      <c r="E1063" s="249" t="s">
        <v>976</v>
      </c>
      <c r="F1063" s="250" t="n">
        <v>1280</v>
      </c>
      <c r="G1063" s="250" t="n">
        <f aca="false">F1063/3</f>
        <v>426.666666666667</v>
      </c>
      <c r="H1063" s="251"/>
      <c r="I1063" s="251"/>
    </row>
    <row r="1064" customFormat="false" ht="15" hidden="true" customHeight="true" outlineLevel="1" collapsed="false">
      <c r="A1064" s="236"/>
      <c r="B1064" s="253" t="s">
        <v>1002</v>
      </c>
      <c r="C1064" s="88" t="s">
        <v>133</v>
      </c>
      <c r="D1064" s="254" t="s">
        <v>1001</v>
      </c>
      <c r="E1064" s="249" t="s">
        <v>976</v>
      </c>
      <c r="F1064" s="250" t="n">
        <v>1300</v>
      </c>
      <c r="G1064" s="250" t="n">
        <f aca="false">F1064/3</f>
        <v>433.333333333333</v>
      </c>
      <c r="H1064" s="251"/>
      <c r="I1064" s="251"/>
    </row>
    <row r="1065" customFormat="false" ht="15" hidden="true" customHeight="true" outlineLevel="1" collapsed="false">
      <c r="A1065" s="236"/>
      <c r="B1065" s="253" t="s">
        <v>999</v>
      </c>
      <c r="C1065" s="88" t="s">
        <v>133</v>
      </c>
      <c r="D1065" s="254" t="s">
        <v>1001</v>
      </c>
      <c r="E1065" s="249" t="s">
        <v>976</v>
      </c>
      <c r="F1065" s="250" t="n">
        <v>1480</v>
      </c>
      <c r="G1065" s="250" t="n">
        <f aca="false">F1065/3</f>
        <v>493.333333333333</v>
      </c>
      <c r="H1065" s="251"/>
      <c r="I1065" s="251"/>
    </row>
    <row r="1066" customFormat="false" ht="15" hidden="true" customHeight="true" outlineLevel="1" collapsed="false">
      <c r="A1066" s="236"/>
      <c r="B1066" s="253" t="s">
        <v>1000</v>
      </c>
      <c r="C1066" s="88" t="s">
        <v>133</v>
      </c>
      <c r="D1066" s="254" t="s">
        <v>1003</v>
      </c>
      <c r="E1066" s="249" t="s">
        <v>976</v>
      </c>
      <c r="F1066" s="250" t="n">
        <v>1490</v>
      </c>
      <c r="G1066" s="250" t="n">
        <f aca="false">F1066/3</f>
        <v>496.666666666667</v>
      </c>
      <c r="H1066" s="251"/>
      <c r="I1066" s="251"/>
    </row>
    <row r="1067" customFormat="false" ht="15" hidden="true" customHeight="true" outlineLevel="1" collapsed="false">
      <c r="A1067" s="236"/>
      <c r="B1067" s="253" t="s">
        <v>1000</v>
      </c>
      <c r="C1067" s="88" t="s">
        <v>133</v>
      </c>
      <c r="D1067" s="254" t="s">
        <v>1001</v>
      </c>
      <c r="E1067" s="249" t="s">
        <v>976</v>
      </c>
      <c r="F1067" s="250" t="n">
        <v>1490</v>
      </c>
      <c r="G1067" s="250" t="n">
        <f aca="false">F1067/3</f>
        <v>496.666666666667</v>
      </c>
      <c r="H1067" s="251"/>
      <c r="I1067" s="251"/>
    </row>
    <row r="1068" customFormat="false" ht="15" hidden="true" customHeight="true" outlineLevel="1" collapsed="false">
      <c r="A1068" s="236"/>
      <c r="B1068" s="253" t="s">
        <v>1004</v>
      </c>
      <c r="C1068" s="88" t="s">
        <v>133</v>
      </c>
      <c r="D1068" s="254" t="s">
        <v>1001</v>
      </c>
      <c r="E1068" s="249" t="s">
        <v>976</v>
      </c>
      <c r="F1068" s="250" t="n">
        <v>1990</v>
      </c>
      <c r="G1068" s="250" t="n">
        <f aca="false">F1068/3</f>
        <v>663.333333333333</v>
      </c>
      <c r="H1068" s="251"/>
      <c r="I1068" s="251"/>
    </row>
    <row r="1069" customFormat="false" ht="15" hidden="true" customHeight="true" outlineLevel="1" collapsed="false">
      <c r="A1069" s="236"/>
      <c r="B1069" s="252" t="s">
        <v>1005</v>
      </c>
      <c r="C1069" s="88" t="s">
        <v>133</v>
      </c>
      <c r="D1069" s="254" t="s">
        <v>1006</v>
      </c>
      <c r="E1069" s="249" t="s">
        <v>976</v>
      </c>
      <c r="F1069" s="250" t="n">
        <v>460</v>
      </c>
      <c r="G1069" s="250" t="n">
        <f aca="false">F1069/3</f>
        <v>153.333333333333</v>
      </c>
      <c r="H1069" s="251"/>
      <c r="I1069" s="251"/>
    </row>
    <row r="1070" customFormat="false" ht="15" hidden="true" customHeight="true" outlineLevel="1" collapsed="false">
      <c r="A1070" s="236"/>
      <c r="B1070" s="252" t="s">
        <v>1007</v>
      </c>
      <c r="C1070" s="88" t="s">
        <v>133</v>
      </c>
      <c r="D1070" s="254" t="s">
        <v>1006</v>
      </c>
      <c r="E1070" s="249" t="s">
        <v>976</v>
      </c>
      <c r="F1070" s="250" t="n">
        <v>700</v>
      </c>
      <c r="G1070" s="250" t="n">
        <f aca="false">F1070/3</f>
        <v>233.333333333333</v>
      </c>
      <c r="H1070" s="251"/>
      <c r="I1070" s="251"/>
    </row>
    <row r="1071" customFormat="false" ht="15" hidden="true" customHeight="true" outlineLevel="1" collapsed="false">
      <c r="A1071" s="236"/>
      <c r="B1071" s="252" t="s">
        <v>1008</v>
      </c>
      <c r="C1071" s="88" t="s">
        <v>133</v>
      </c>
      <c r="D1071" s="254" t="s">
        <v>1006</v>
      </c>
      <c r="E1071" s="249" t="s">
        <v>976</v>
      </c>
      <c r="F1071" s="250" t="n">
        <v>860</v>
      </c>
      <c r="G1071" s="250" t="n">
        <f aca="false">F1071/3</f>
        <v>286.666666666667</v>
      </c>
      <c r="H1071" s="251"/>
      <c r="I1071" s="251"/>
    </row>
    <row r="1072" customFormat="false" ht="15" hidden="true" customHeight="true" outlineLevel="1" collapsed="false">
      <c r="A1072" s="236"/>
      <c r="B1072" s="252" t="s">
        <v>1009</v>
      </c>
      <c r="C1072" s="88" t="s">
        <v>133</v>
      </c>
      <c r="D1072" s="254" t="s">
        <v>1006</v>
      </c>
      <c r="E1072" s="249" t="s">
        <v>976</v>
      </c>
      <c r="F1072" s="250" t="n">
        <v>940</v>
      </c>
      <c r="G1072" s="250" t="n">
        <f aca="false">F1072/3</f>
        <v>313.333333333333</v>
      </c>
      <c r="H1072" s="251"/>
      <c r="I1072" s="251"/>
    </row>
    <row r="1073" customFormat="false" ht="15" hidden="true" customHeight="true" outlineLevel="1" collapsed="false">
      <c r="A1073" s="236"/>
      <c r="B1073" s="252" t="s">
        <v>1010</v>
      </c>
      <c r="C1073" s="88" t="s">
        <v>133</v>
      </c>
      <c r="D1073" s="254" t="s">
        <v>1006</v>
      </c>
      <c r="E1073" s="249" t="s">
        <v>976</v>
      </c>
      <c r="F1073" s="250" t="n">
        <v>975</v>
      </c>
      <c r="G1073" s="250" t="n">
        <f aca="false">F1073/3</f>
        <v>325</v>
      </c>
      <c r="H1073" s="251"/>
      <c r="I1073" s="251"/>
    </row>
    <row r="1074" customFormat="false" ht="15" hidden="true" customHeight="true" outlineLevel="1" collapsed="false">
      <c r="A1074" s="236"/>
      <c r="B1074" s="252" t="s">
        <v>1011</v>
      </c>
      <c r="C1074" s="88" t="s">
        <v>133</v>
      </c>
      <c r="D1074" s="254" t="s">
        <v>1006</v>
      </c>
      <c r="E1074" s="249" t="s">
        <v>976</v>
      </c>
      <c r="F1074" s="250" t="n">
        <v>1215</v>
      </c>
      <c r="G1074" s="250" t="n">
        <f aca="false">F1074/3</f>
        <v>405</v>
      </c>
      <c r="H1074" s="251"/>
      <c r="I1074" s="251"/>
    </row>
    <row r="1075" customFormat="false" ht="15" hidden="true" customHeight="true" outlineLevel="1" collapsed="false">
      <c r="A1075" s="236"/>
      <c r="B1075" s="252" t="s">
        <v>1012</v>
      </c>
      <c r="C1075" s="88" t="s">
        <v>133</v>
      </c>
      <c r="D1075" s="254" t="s">
        <v>1013</v>
      </c>
      <c r="E1075" s="249" t="s">
        <v>976</v>
      </c>
      <c r="F1075" s="250" t="n">
        <v>1500</v>
      </c>
      <c r="G1075" s="250" t="n">
        <f aca="false">F1075/3</f>
        <v>500</v>
      </c>
      <c r="H1075" s="251"/>
      <c r="I1075" s="251"/>
    </row>
    <row r="1076" customFormat="false" ht="15" hidden="true" customHeight="true" outlineLevel="1" collapsed="false">
      <c r="A1076" s="236"/>
      <c r="B1076" s="252" t="s">
        <v>1014</v>
      </c>
      <c r="C1076" s="88" t="s">
        <v>133</v>
      </c>
      <c r="D1076" s="254" t="s">
        <v>1006</v>
      </c>
      <c r="E1076" s="249" t="s">
        <v>976</v>
      </c>
      <c r="F1076" s="250" t="n">
        <v>1600</v>
      </c>
      <c r="G1076" s="250" t="n">
        <f aca="false">F1076/3</f>
        <v>533.333333333333</v>
      </c>
      <c r="H1076" s="251"/>
      <c r="I1076" s="251"/>
    </row>
    <row r="1077" customFormat="false" ht="15" hidden="true" customHeight="true" outlineLevel="1" collapsed="false">
      <c r="A1077" s="236"/>
      <c r="B1077" s="252" t="s">
        <v>1015</v>
      </c>
      <c r="C1077" s="88" t="s">
        <v>133</v>
      </c>
      <c r="D1077" s="254" t="s">
        <v>1006</v>
      </c>
      <c r="E1077" s="249" t="s">
        <v>976</v>
      </c>
      <c r="F1077" s="250" t="n">
        <v>1845</v>
      </c>
      <c r="G1077" s="250" t="n">
        <f aca="false">F1077/3</f>
        <v>615</v>
      </c>
      <c r="H1077" s="251"/>
      <c r="I1077" s="251"/>
    </row>
    <row r="1078" customFormat="false" ht="15" hidden="true" customHeight="true" outlineLevel="1" collapsed="false">
      <c r="A1078" s="236"/>
      <c r="B1078" s="252" t="s">
        <v>1016</v>
      </c>
      <c r="C1078" s="88" t="s">
        <v>133</v>
      </c>
      <c r="D1078" s="254" t="s">
        <v>1006</v>
      </c>
      <c r="E1078" s="249" t="s">
        <v>976</v>
      </c>
      <c r="F1078" s="250" t="n">
        <v>2990</v>
      </c>
      <c r="G1078" s="250" t="n">
        <f aca="false">F1078/3</f>
        <v>996.666666666667</v>
      </c>
      <c r="H1078" s="251"/>
      <c r="I1078" s="251"/>
    </row>
    <row r="1079" customFormat="false" ht="15" hidden="true" customHeight="true" outlineLevel="1" collapsed="false">
      <c r="A1079" s="236"/>
      <c r="B1079" s="252"/>
      <c r="C1079" s="88"/>
      <c r="D1079" s="254"/>
      <c r="E1079" s="249"/>
      <c r="F1079" s="250"/>
      <c r="G1079" s="250"/>
      <c r="H1079" s="251"/>
      <c r="I1079" s="251"/>
    </row>
    <row r="1080" customFormat="false" ht="15" hidden="true" customHeight="true" outlineLevel="1" collapsed="false">
      <c r="A1080" s="236"/>
      <c r="B1080" s="255"/>
      <c r="C1080" s="88"/>
      <c r="D1080" s="254"/>
      <c r="E1080" s="249"/>
      <c r="F1080" s="250"/>
      <c r="G1080" s="250"/>
      <c r="H1080" s="251"/>
      <c r="I1080" s="251"/>
    </row>
    <row r="1081" customFormat="false" ht="15" hidden="false" customHeight="true" outlineLevel="0" collapsed="false">
      <c r="A1081" s="241" t="s">
        <v>964</v>
      </c>
      <c r="B1081" s="241"/>
      <c r="C1081" s="103"/>
      <c r="D1081" s="104"/>
      <c r="E1081" s="104"/>
      <c r="G1081" s="26"/>
      <c r="H1081" s="71"/>
      <c r="I1081" s="71"/>
    </row>
    <row r="1082" customFormat="false" ht="15" hidden="true" customHeight="true" outlineLevel="1" collapsed="false">
      <c r="A1082" s="178" t="s">
        <v>1017</v>
      </c>
      <c r="B1082" s="178"/>
      <c r="C1082" s="124" t="s">
        <v>208</v>
      </c>
      <c r="D1082" s="243"/>
      <c r="E1082" s="243"/>
      <c r="F1082" s="29"/>
      <c r="G1082" s="29" t="s">
        <v>132</v>
      </c>
      <c r="H1082" s="71"/>
      <c r="I1082" s="71"/>
    </row>
    <row r="1083" customFormat="false" ht="15" hidden="true" customHeight="true" outlineLevel="1" collapsed="false">
      <c r="A1083" s="105"/>
      <c r="B1083" s="102" t="s">
        <v>1018</v>
      </c>
      <c r="C1083" s="103" t="s">
        <v>156</v>
      </c>
      <c r="D1083" s="104"/>
      <c r="E1083" s="104"/>
      <c r="G1083" s="26" t="n">
        <v>40</v>
      </c>
      <c r="H1083" s="71"/>
      <c r="I1083" s="71"/>
    </row>
    <row r="1084" customFormat="false" ht="15" hidden="true" customHeight="true" outlineLevel="1" collapsed="false">
      <c r="A1084" s="105"/>
      <c r="B1084" s="102" t="s">
        <v>1019</v>
      </c>
      <c r="C1084" s="103" t="s">
        <v>156</v>
      </c>
      <c r="D1084" s="104"/>
      <c r="E1084" s="104"/>
      <c r="G1084" s="26" t="n">
        <v>50</v>
      </c>
      <c r="H1084" s="71"/>
      <c r="I1084" s="71"/>
    </row>
    <row r="1085" customFormat="false" ht="15" hidden="true" customHeight="true" outlineLevel="1" collapsed="false">
      <c r="A1085" s="105"/>
      <c r="B1085" s="102" t="s">
        <v>1020</v>
      </c>
      <c r="C1085" s="103" t="s">
        <v>156</v>
      </c>
      <c r="D1085" s="104"/>
      <c r="E1085" s="104"/>
      <c r="G1085" s="26" t="n">
        <v>60</v>
      </c>
      <c r="H1085" s="71"/>
      <c r="I1085" s="71"/>
    </row>
    <row r="1086" customFormat="false" ht="15" hidden="true" customHeight="true" outlineLevel="1" collapsed="false">
      <c r="A1086" s="105"/>
      <c r="B1086" s="102" t="s">
        <v>1021</v>
      </c>
      <c r="C1086" s="103" t="s">
        <v>156</v>
      </c>
      <c r="D1086" s="104"/>
      <c r="E1086" s="104"/>
      <c r="G1086" s="26" t="n">
        <v>70</v>
      </c>
      <c r="H1086" s="71"/>
      <c r="I1086" s="71"/>
    </row>
    <row r="1087" customFormat="false" ht="15" hidden="true" customHeight="true" outlineLevel="1" collapsed="false">
      <c r="A1087" s="105"/>
      <c r="B1087" s="102" t="s">
        <v>1022</v>
      </c>
      <c r="C1087" s="103" t="s">
        <v>156</v>
      </c>
      <c r="D1087" s="104"/>
      <c r="E1087" s="104"/>
      <c r="G1087" s="26" t="n">
        <v>80</v>
      </c>
      <c r="H1087" s="71"/>
      <c r="I1087" s="71"/>
    </row>
    <row r="1088" customFormat="false" ht="15" hidden="true" customHeight="true" outlineLevel="1" collapsed="false">
      <c r="A1088" s="105"/>
      <c r="B1088" s="102" t="s">
        <v>1023</v>
      </c>
      <c r="C1088" s="103" t="s">
        <v>156</v>
      </c>
      <c r="D1088" s="104"/>
      <c r="E1088" s="104"/>
      <c r="G1088" s="26" t="n">
        <v>90</v>
      </c>
      <c r="H1088" s="71"/>
      <c r="I1088" s="71"/>
    </row>
    <row r="1089" customFormat="false" ht="15" hidden="true" customHeight="true" outlineLevel="1" collapsed="false">
      <c r="A1089" s="105"/>
      <c r="B1089" s="102" t="s">
        <v>1024</v>
      </c>
      <c r="C1089" s="103" t="s">
        <v>156</v>
      </c>
      <c r="D1089" s="104"/>
      <c r="E1089" s="104"/>
      <c r="G1089" s="26" t="n">
        <v>100</v>
      </c>
      <c r="H1089" s="71"/>
      <c r="I1089" s="71"/>
    </row>
    <row r="1090" customFormat="false" ht="15" hidden="true" customHeight="true" outlineLevel="1" collapsed="false">
      <c r="A1090" s="105"/>
      <c r="B1090" s="102" t="s">
        <v>1025</v>
      </c>
      <c r="C1090" s="103" t="s">
        <v>156</v>
      </c>
      <c r="D1090" s="104"/>
      <c r="E1090" s="104"/>
      <c r="G1090" s="26" t="n">
        <v>110</v>
      </c>
      <c r="H1090" s="71"/>
      <c r="I1090" s="71"/>
    </row>
    <row r="1091" customFormat="false" ht="15" hidden="true" customHeight="true" outlineLevel="1" collapsed="false">
      <c r="A1091" s="105"/>
      <c r="B1091" s="102" t="s">
        <v>1026</v>
      </c>
      <c r="C1091" s="103" t="s">
        <v>156</v>
      </c>
      <c r="D1091" s="104"/>
      <c r="E1091" s="104"/>
      <c r="G1091" s="26" t="n">
        <v>120</v>
      </c>
      <c r="H1091" s="71"/>
      <c r="I1091" s="71"/>
    </row>
    <row r="1092" customFormat="false" ht="15" hidden="true" customHeight="true" outlineLevel="1" collapsed="false">
      <c r="A1092" s="105"/>
      <c r="B1092" s="102" t="s">
        <v>1027</v>
      </c>
      <c r="C1092" s="103" t="s">
        <v>159</v>
      </c>
      <c r="D1092" s="104"/>
      <c r="E1092" s="104"/>
      <c r="G1092" s="26" t="n">
        <v>5000</v>
      </c>
      <c r="H1092" s="71"/>
      <c r="I1092" s="71"/>
    </row>
    <row r="1093" customFormat="false" ht="15" hidden="true" customHeight="true" outlineLevel="1" collapsed="false">
      <c r="A1093" s="105"/>
      <c r="B1093" s="102" t="s">
        <v>1028</v>
      </c>
      <c r="C1093" s="103" t="s">
        <v>159</v>
      </c>
      <c r="D1093" s="104"/>
      <c r="E1093" s="104"/>
      <c r="G1093" s="104" t="n">
        <v>7000</v>
      </c>
    </row>
    <row r="1094" customFormat="false" ht="15" hidden="true" customHeight="true" outlineLevel="1" collapsed="false">
      <c r="A1094" s="105"/>
      <c r="B1094" s="102" t="s">
        <v>1029</v>
      </c>
      <c r="C1094" s="103" t="s">
        <v>159</v>
      </c>
      <c r="D1094" s="104"/>
      <c r="E1094" s="104"/>
      <c r="G1094" s="26" t="n">
        <v>9000</v>
      </c>
    </row>
    <row r="1095" customFormat="false" ht="15" hidden="true" customHeight="true" outlineLevel="1" collapsed="false">
      <c r="A1095" s="105"/>
      <c r="B1095" s="102" t="s">
        <v>1030</v>
      </c>
      <c r="C1095" s="103" t="s">
        <v>159</v>
      </c>
      <c r="D1095" s="104"/>
      <c r="E1095" s="104"/>
      <c r="G1095" s="104" t="n">
        <v>11000</v>
      </c>
    </row>
    <row r="1096" customFormat="false" ht="15" hidden="true" customHeight="true" outlineLevel="1" collapsed="false">
      <c r="A1096" s="105"/>
      <c r="B1096" s="102" t="s">
        <v>1031</v>
      </c>
      <c r="C1096" s="103" t="s">
        <v>159</v>
      </c>
      <c r="D1096" s="104"/>
      <c r="E1096" s="104"/>
      <c r="G1096" s="26" t="n">
        <v>13000</v>
      </c>
    </row>
    <row r="1097" customFormat="false" ht="15" hidden="true" customHeight="true" outlineLevel="1" collapsed="false">
      <c r="A1097" s="105"/>
      <c r="B1097" s="102" t="s">
        <v>1032</v>
      </c>
      <c r="C1097" s="103" t="s">
        <v>159</v>
      </c>
      <c r="D1097" s="104"/>
      <c r="E1097" s="104"/>
      <c r="G1097" s="104" t="n">
        <v>15000</v>
      </c>
    </row>
    <row r="1098" customFormat="false" ht="15" hidden="true" customHeight="true" outlineLevel="1" collapsed="false">
      <c r="A1098" s="105"/>
      <c r="B1098" s="102" t="s">
        <v>1033</v>
      </c>
      <c r="C1098" s="103" t="s">
        <v>159</v>
      </c>
      <c r="D1098" s="104"/>
      <c r="E1098" s="104"/>
      <c r="G1098" s="26" t="n">
        <v>17000</v>
      </c>
    </row>
    <row r="1099" customFormat="false" ht="15" hidden="true" customHeight="true" outlineLevel="1" collapsed="false">
      <c r="A1099" s="105"/>
      <c r="B1099" s="102" t="s">
        <v>1034</v>
      </c>
      <c r="C1099" s="103" t="s">
        <v>159</v>
      </c>
      <c r="D1099" s="104"/>
      <c r="E1099" s="104"/>
      <c r="G1099" s="104" t="n">
        <v>19000</v>
      </c>
    </row>
    <row r="1100" customFormat="false" ht="15" hidden="true" customHeight="true" outlineLevel="1" collapsed="false">
      <c r="A1100" s="105"/>
      <c r="B1100" s="108"/>
      <c r="C1100" s="103"/>
      <c r="D1100" s="104"/>
      <c r="E1100" s="104"/>
      <c r="G1100" s="104"/>
    </row>
    <row r="1101" customFormat="false" ht="15" hidden="false" customHeight="true" outlineLevel="0" collapsed="false">
      <c r="A1101" s="47" t="s">
        <v>1017</v>
      </c>
      <c r="B1101" s="47"/>
      <c r="C1101" s="103"/>
      <c r="D1101" s="104"/>
      <c r="E1101" s="104"/>
      <c r="G1101" s="104"/>
    </row>
    <row r="1102" customFormat="false" ht="15" hidden="true" customHeight="true" outlineLevel="1" collapsed="false">
      <c r="A1102" s="178" t="s">
        <v>1035</v>
      </c>
      <c r="B1102" s="178"/>
      <c r="C1102" s="124" t="s">
        <v>208</v>
      </c>
      <c r="D1102" s="243"/>
      <c r="E1102" s="243"/>
      <c r="F1102" s="29"/>
      <c r="G1102" s="29" t="s">
        <v>132</v>
      </c>
    </row>
    <row r="1103" customFormat="false" ht="15" hidden="true" customHeight="true" outlineLevel="1" collapsed="false">
      <c r="A1103" s="105"/>
      <c r="B1103" s="256" t="s">
        <v>1036</v>
      </c>
      <c r="C1103" s="6" t="s">
        <v>156</v>
      </c>
      <c r="D1103" s="104"/>
      <c r="E1103" s="104"/>
      <c r="G1103" s="257" t="n">
        <v>56</v>
      </c>
    </row>
    <row r="1104" customFormat="false" ht="15" hidden="true" customHeight="true" outlineLevel="1" collapsed="false">
      <c r="A1104" s="105"/>
      <c r="B1104" s="256" t="s">
        <v>1037</v>
      </c>
      <c r="C1104" s="6" t="s">
        <v>156</v>
      </c>
      <c r="D1104" s="104"/>
      <c r="E1104" s="104"/>
      <c r="G1104" s="257" t="n">
        <v>73</v>
      </c>
    </row>
    <row r="1105" customFormat="false" ht="15" hidden="true" customHeight="true" outlineLevel="1" collapsed="false">
      <c r="A1105" s="105"/>
      <c r="B1105" s="256" t="s">
        <v>1038</v>
      </c>
      <c r="C1105" s="6" t="s">
        <v>156</v>
      </c>
      <c r="D1105" s="104"/>
      <c r="E1105" s="104"/>
      <c r="G1105" s="257" t="n">
        <v>77</v>
      </c>
    </row>
    <row r="1106" customFormat="false" ht="15" hidden="true" customHeight="true" outlineLevel="1" collapsed="false">
      <c r="A1106" s="105"/>
      <c r="B1106" s="256" t="s">
        <v>1039</v>
      </c>
      <c r="C1106" s="6" t="s">
        <v>156</v>
      </c>
      <c r="D1106" s="104"/>
      <c r="E1106" s="104"/>
      <c r="G1106" s="257" t="n">
        <v>145</v>
      </c>
    </row>
    <row r="1107" customFormat="false" ht="15" hidden="true" customHeight="true" outlineLevel="1" collapsed="false">
      <c r="A1107" s="105"/>
      <c r="B1107" s="256" t="s">
        <v>1040</v>
      </c>
      <c r="C1107" s="6" t="s">
        <v>156</v>
      </c>
      <c r="D1107" s="104"/>
      <c r="E1107" s="104"/>
      <c r="G1107" s="257" t="n">
        <v>210</v>
      </c>
    </row>
    <row r="1108" customFormat="false" ht="15" hidden="true" customHeight="true" outlineLevel="1" collapsed="false">
      <c r="A1108" s="105"/>
      <c r="B1108" s="256" t="s">
        <v>1041</v>
      </c>
      <c r="C1108" s="6" t="s">
        <v>156</v>
      </c>
      <c r="D1108" s="104"/>
      <c r="E1108" s="104"/>
      <c r="G1108" s="257" t="n">
        <v>70</v>
      </c>
    </row>
    <row r="1109" customFormat="false" ht="15" hidden="true" customHeight="true" outlineLevel="1" collapsed="false">
      <c r="A1109" s="105"/>
      <c r="B1109" s="256" t="s">
        <v>1042</v>
      </c>
      <c r="C1109" s="6" t="s">
        <v>156</v>
      </c>
      <c r="D1109" s="104"/>
      <c r="E1109" s="104"/>
      <c r="G1109" s="257" t="n">
        <v>95</v>
      </c>
    </row>
    <row r="1110" customFormat="false" ht="15" hidden="true" customHeight="true" outlineLevel="1" collapsed="false">
      <c r="A1110" s="105"/>
      <c r="B1110" s="256" t="s">
        <v>1043</v>
      </c>
      <c r="C1110" s="6" t="s">
        <v>156</v>
      </c>
      <c r="D1110" s="104"/>
      <c r="E1110" s="104"/>
      <c r="G1110" s="257" t="n">
        <v>105</v>
      </c>
    </row>
    <row r="1111" customFormat="false" ht="15" hidden="true" customHeight="true" outlineLevel="1" collapsed="false">
      <c r="A1111" s="105"/>
      <c r="B1111" s="256" t="s">
        <v>1044</v>
      </c>
      <c r="C1111" s="6" t="s">
        <v>156</v>
      </c>
      <c r="D1111" s="104"/>
      <c r="E1111" s="104"/>
      <c r="G1111" s="257" t="n">
        <v>170</v>
      </c>
    </row>
    <row r="1112" customFormat="false" ht="15" hidden="true" customHeight="true" outlineLevel="1" collapsed="false">
      <c r="A1112" s="105"/>
      <c r="B1112" s="256" t="s">
        <v>1045</v>
      </c>
      <c r="C1112" s="6" t="s">
        <v>156</v>
      </c>
      <c r="D1112" s="104"/>
      <c r="E1112" s="104"/>
      <c r="G1112" s="257" t="n">
        <v>270</v>
      </c>
    </row>
    <row r="1113" customFormat="false" ht="15" hidden="true" customHeight="true" outlineLevel="1" collapsed="false">
      <c r="A1113" s="105"/>
      <c r="B1113" s="256" t="s">
        <v>1046</v>
      </c>
      <c r="C1113" s="6" t="s">
        <v>156</v>
      </c>
      <c r="D1113" s="104"/>
      <c r="E1113" s="104"/>
      <c r="G1113" s="257" t="n">
        <v>103</v>
      </c>
    </row>
    <row r="1114" customFormat="false" ht="15" hidden="true" customHeight="true" outlineLevel="1" collapsed="false">
      <c r="A1114" s="105"/>
      <c r="B1114" s="256" t="s">
        <v>1047</v>
      </c>
      <c r="C1114" s="6" t="s">
        <v>156</v>
      </c>
      <c r="D1114" s="104"/>
      <c r="E1114" s="104"/>
      <c r="G1114" s="257" t="n">
        <v>115</v>
      </c>
    </row>
    <row r="1115" customFormat="false" ht="15" hidden="true" customHeight="true" outlineLevel="1" collapsed="false">
      <c r="A1115" s="105"/>
      <c r="B1115" s="256" t="s">
        <v>1048</v>
      </c>
      <c r="C1115" s="6" t="s">
        <v>156</v>
      </c>
      <c r="D1115" s="104"/>
      <c r="E1115" s="104"/>
      <c r="G1115" s="257" t="n">
        <v>187</v>
      </c>
    </row>
    <row r="1116" customFormat="false" ht="15" hidden="true" customHeight="true" outlineLevel="1" collapsed="false">
      <c r="A1116" s="105"/>
      <c r="B1116" s="256" t="s">
        <v>1049</v>
      </c>
      <c r="C1116" s="6" t="s">
        <v>156</v>
      </c>
      <c r="D1116" s="104"/>
      <c r="E1116" s="104"/>
      <c r="G1116" s="257" t="n">
        <v>205</v>
      </c>
    </row>
    <row r="1117" customFormat="false" ht="15" hidden="true" customHeight="true" outlineLevel="1" collapsed="false">
      <c r="A1117" s="105"/>
      <c r="B1117" s="256" t="s">
        <v>1050</v>
      </c>
      <c r="C1117" s="6" t="s">
        <v>156</v>
      </c>
      <c r="D1117" s="104"/>
      <c r="E1117" s="104"/>
      <c r="G1117" s="257" t="n">
        <v>262</v>
      </c>
    </row>
    <row r="1118" customFormat="false" ht="15" hidden="true" customHeight="true" outlineLevel="1" collapsed="false">
      <c r="A1118" s="105"/>
      <c r="B1118" s="256" t="s">
        <v>1051</v>
      </c>
      <c r="C1118" s="6" t="s">
        <v>156</v>
      </c>
      <c r="D1118" s="104"/>
      <c r="E1118" s="104"/>
      <c r="G1118" s="257" t="n">
        <v>300</v>
      </c>
    </row>
    <row r="1119" customFormat="false" ht="15" hidden="true" customHeight="true" outlineLevel="1" collapsed="false">
      <c r="A1119" s="105"/>
      <c r="B1119" s="256" t="s">
        <v>1052</v>
      </c>
      <c r="C1119" s="6" t="s">
        <v>156</v>
      </c>
      <c r="D1119" s="104"/>
      <c r="E1119" s="104"/>
      <c r="G1119" s="257" t="n">
        <v>70</v>
      </c>
    </row>
    <row r="1120" customFormat="false" ht="15" hidden="true" customHeight="true" outlineLevel="1" collapsed="false">
      <c r="A1120" s="105"/>
      <c r="B1120" s="256"/>
      <c r="D1120" s="104"/>
      <c r="E1120" s="104"/>
      <c r="G1120" s="257"/>
    </row>
    <row r="1121" customFormat="false" ht="15" hidden="true" customHeight="true" outlineLevel="1" collapsed="false">
      <c r="A1121" s="105"/>
      <c r="B1121" s="258"/>
      <c r="D1121" s="104"/>
      <c r="E1121" s="104"/>
      <c r="G1121" s="257"/>
    </row>
    <row r="1122" customFormat="false" ht="15" hidden="false" customHeight="true" outlineLevel="0" collapsed="false">
      <c r="A1122" s="47" t="s">
        <v>1035</v>
      </c>
      <c r="B1122" s="47"/>
      <c r="D1122" s="104"/>
      <c r="E1122" s="104"/>
      <c r="G1122" s="257"/>
    </row>
    <row r="1123" customFormat="false" ht="15" hidden="true" customHeight="true" outlineLevel="1" collapsed="false">
      <c r="A1123" s="178" t="s">
        <v>1053</v>
      </c>
      <c r="B1123" s="178"/>
      <c r="C1123" s="124" t="s">
        <v>208</v>
      </c>
      <c r="D1123" s="243"/>
      <c r="E1123" s="243"/>
      <c r="F1123" s="29"/>
      <c r="G1123" s="29" t="s">
        <v>132</v>
      </c>
    </row>
    <row r="1124" customFormat="false" ht="15" hidden="true" customHeight="true" outlineLevel="1" collapsed="false">
      <c r="A1124" s="259"/>
      <c r="B1124" s="102" t="s">
        <v>1054</v>
      </c>
      <c r="C1124" s="103" t="s">
        <v>156</v>
      </c>
      <c r="D1124" s="104"/>
      <c r="E1124" s="104"/>
      <c r="G1124" s="104" t="n">
        <v>1500</v>
      </c>
    </row>
    <row r="1125" customFormat="false" ht="15" hidden="true" customHeight="true" outlineLevel="1" collapsed="false">
      <c r="A1125" s="259"/>
      <c r="B1125" s="102" t="s">
        <v>1055</v>
      </c>
      <c r="C1125" s="103" t="s">
        <v>156</v>
      </c>
      <c r="D1125" s="104"/>
      <c r="E1125" s="104"/>
      <c r="G1125" s="104" t="n">
        <v>2500</v>
      </c>
    </row>
    <row r="1126" customFormat="false" ht="15" hidden="true" customHeight="true" outlineLevel="1" collapsed="false">
      <c r="A1126" s="259"/>
      <c r="B1126" s="102" t="s">
        <v>1056</v>
      </c>
      <c r="C1126" s="103" t="s">
        <v>156</v>
      </c>
      <c r="D1126" s="104"/>
      <c r="E1126" s="104"/>
      <c r="G1126" s="104" t="n">
        <v>3500</v>
      </c>
    </row>
    <row r="1127" customFormat="false" ht="15" hidden="true" customHeight="true" outlineLevel="1" collapsed="false">
      <c r="A1127" s="259"/>
      <c r="B1127" s="102" t="s">
        <v>1057</v>
      </c>
      <c r="C1127" s="103" t="s">
        <v>156</v>
      </c>
      <c r="D1127" s="104"/>
      <c r="E1127" s="104"/>
      <c r="G1127" s="104" t="n">
        <v>4500</v>
      </c>
    </row>
    <row r="1128" customFormat="false" ht="15" hidden="true" customHeight="true" outlineLevel="1" collapsed="false">
      <c r="A1128" s="259"/>
      <c r="B1128" s="108"/>
      <c r="C1128" s="103"/>
      <c r="D1128" s="104"/>
      <c r="E1128" s="104"/>
      <c r="G1128" s="104"/>
    </row>
    <row r="1129" customFormat="false" ht="15" hidden="false" customHeight="true" outlineLevel="0" collapsed="false">
      <c r="A1129" s="47" t="s">
        <v>1053</v>
      </c>
      <c r="B1129" s="47"/>
      <c r="C1129" s="103"/>
      <c r="D1129" s="104"/>
      <c r="E1129" s="104"/>
      <c r="G1129" s="104"/>
    </row>
    <row r="1130" customFormat="false" ht="15" hidden="true" customHeight="true" outlineLevel="1" collapsed="false">
      <c r="A1130" s="116" t="s">
        <v>1058</v>
      </c>
      <c r="B1130" s="116"/>
      <c r="C1130" s="124" t="s">
        <v>208</v>
      </c>
      <c r="D1130" s="243"/>
      <c r="E1130" s="243"/>
      <c r="F1130" s="29"/>
      <c r="G1130" s="29" t="s">
        <v>132</v>
      </c>
    </row>
    <row r="1131" customFormat="false" ht="15" hidden="true" customHeight="true" outlineLevel="1" collapsed="false">
      <c r="A1131" s="30"/>
      <c r="B1131" s="232" t="s">
        <v>1058</v>
      </c>
      <c r="C1131" s="103" t="s">
        <v>133</v>
      </c>
      <c r="D1131" s="104"/>
      <c r="E1131" s="104"/>
      <c r="G1131" s="104" t="n">
        <v>250</v>
      </c>
    </row>
    <row r="1132" customFormat="false" ht="15" hidden="true" customHeight="true" outlineLevel="1" collapsed="false">
      <c r="A1132" s="31"/>
      <c r="B1132" s="232" t="s">
        <v>1059</v>
      </c>
      <c r="C1132" s="103" t="s">
        <v>156</v>
      </c>
      <c r="D1132" s="104"/>
      <c r="E1132" s="104"/>
      <c r="G1132" s="104" t="n">
        <v>200</v>
      </c>
    </row>
    <row r="1133" customFormat="false" ht="15" hidden="true" customHeight="true" outlineLevel="1" collapsed="false">
      <c r="A1133" s="31"/>
      <c r="B1133" s="232" t="s">
        <v>1060</v>
      </c>
      <c r="C1133" s="103" t="s">
        <v>156</v>
      </c>
      <c r="D1133" s="104"/>
      <c r="E1133" s="104"/>
      <c r="G1133" s="104" t="n">
        <v>200</v>
      </c>
    </row>
    <row r="1134" customFormat="false" ht="15" hidden="true" customHeight="true" outlineLevel="1" collapsed="false">
      <c r="A1134" s="31"/>
      <c r="B1134" s="232" t="s">
        <v>1061</v>
      </c>
      <c r="C1134" s="103" t="s">
        <v>156</v>
      </c>
      <c r="D1134" s="104"/>
      <c r="E1134" s="104"/>
      <c r="G1134" s="104" t="n">
        <v>230</v>
      </c>
    </row>
    <row r="1135" customFormat="false" ht="15" hidden="true" customHeight="true" outlineLevel="1" collapsed="false">
      <c r="A1135" s="31"/>
      <c r="B1135" s="232" t="s">
        <v>1062</v>
      </c>
      <c r="C1135" s="103" t="s">
        <v>156</v>
      </c>
      <c r="D1135" s="104"/>
      <c r="E1135" s="104"/>
      <c r="G1135" s="104" t="n">
        <v>160</v>
      </c>
    </row>
    <row r="1136" customFormat="false" ht="15" hidden="true" customHeight="true" outlineLevel="1" collapsed="false">
      <c r="A1136" s="31"/>
      <c r="B1136" s="232" t="s">
        <v>1063</v>
      </c>
      <c r="C1136" s="103" t="s">
        <v>156</v>
      </c>
      <c r="D1136" s="104"/>
      <c r="E1136" s="104"/>
      <c r="G1136" s="104" t="n">
        <v>190</v>
      </c>
    </row>
    <row r="1137" customFormat="false" ht="15" hidden="true" customHeight="true" outlineLevel="1" collapsed="false">
      <c r="A1137" s="31"/>
      <c r="B1137" s="232" t="s">
        <v>1064</v>
      </c>
      <c r="C1137" s="103" t="s">
        <v>156</v>
      </c>
      <c r="D1137" s="104"/>
      <c r="E1137" s="104"/>
      <c r="G1137" s="104" t="n">
        <v>190</v>
      </c>
    </row>
    <row r="1138" customFormat="false" ht="15" hidden="true" customHeight="true" outlineLevel="1" collapsed="false">
      <c r="A1138" s="31"/>
      <c r="B1138" s="232" t="s">
        <v>1065</v>
      </c>
      <c r="C1138" s="103" t="s">
        <v>159</v>
      </c>
      <c r="D1138" s="104"/>
      <c r="E1138" s="104"/>
      <c r="G1138" s="104" t="n">
        <v>2</v>
      </c>
    </row>
    <row r="1139" customFormat="false" ht="15" hidden="true" customHeight="true" outlineLevel="1" collapsed="false">
      <c r="A1139" s="31"/>
      <c r="B1139" s="232"/>
      <c r="C1139" s="103"/>
      <c r="D1139" s="104"/>
      <c r="E1139" s="104"/>
      <c r="G1139" s="104"/>
    </row>
    <row r="1140" customFormat="false" ht="15" hidden="true" customHeight="true" outlineLevel="1" collapsed="false">
      <c r="A1140" s="31"/>
      <c r="B1140" s="260"/>
      <c r="C1140" s="103"/>
      <c r="D1140" s="104"/>
      <c r="E1140" s="104"/>
      <c r="G1140" s="104"/>
    </row>
    <row r="1141" customFormat="false" ht="15" hidden="false" customHeight="true" outlineLevel="0" collapsed="false">
      <c r="A1141" s="47" t="s">
        <v>1058</v>
      </c>
      <c r="B1141" s="47"/>
      <c r="C1141" s="103"/>
      <c r="D1141" s="104"/>
      <c r="E1141" s="104"/>
      <c r="G1141" s="104"/>
    </row>
    <row r="1142" customFormat="false" ht="15" hidden="true" customHeight="true" outlineLevel="1" collapsed="false">
      <c r="A1142" s="116" t="s">
        <v>1066</v>
      </c>
      <c r="B1142" s="116"/>
      <c r="C1142" s="124" t="s">
        <v>208</v>
      </c>
      <c r="D1142" s="243"/>
      <c r="E1142" s="243"/>
      <c r="F1142" s="29"/>
      <c r="G1142" s="29" t="s">
        <v>132</v>
      </c>
    </row>
    <row r="1143" customFormat="false" ht="15" hidden="true" customHeight="true" outlineLevel="1" collapsed="false">
      <c r="A1143" s="30"/>
      <c r="B1143" s="232" t="s">
        <v>1066</v>
      </c>
      <c r="C1143" s="103" t="s">
        <v>133</v>
      </c>
      <c r="D1143" s="104"/>
      <c r="E1143" s="104"/>
      <c r="G1143" s="104" t="n">
        <v>180</v>
      </c>
    </row>
    <row r="1144" customFormat="false" ht="15" hidden="true" customHeight="true" outlineLevel="1" collapsed="false">
      <c r="A1144" s="31"/>
      <c r="B1144" s="232" t="s">
        <v>1059</v>
      </c>
      <c r="C1144" s="103" t="s">
        <v>156</v>
      </c>
      <c r="D1144" s="104"/>
      <c r="E1144" s="104"/>
      <c r="G1144" s="104" t="n">
        <v>190</v>
      </c>
    </row>
    <row r="1145" customFormat="false" ht="15" hidden="true" customHeight="true" outlineLevel="1" collapsed="false">
      <c r="A1145" s="31"/>
      <c r="B1145" s="232" t="s">
        <v>1060</v>
      </c>
      <c r="C1145" s="103" t="s">
        <v>156</v>
      </c>
      <c r="D1145" s="104"/>
      <c r="E1145" s="104"/>
      <c r="G1145" s="104" t="n">
        <v>190</v>
      </c>
    </row>
    <row r="1146" customFormat="false" ht="15" hidden="true" customHeight="true" outlineLevel="1" collapsed="false">
      <c r="A1146" s="31"/>
      <c r="B1146" s="232" t="s">
        <v>1061</v>
      </c>
      <c r="C1146" s="103" t="s">
        <v>156</v>
      </c>
      <c r="D1146" s="104"/>
      <c r="E1146" s="104"/>
      <c r="G1146" s="104" t="n">
        <v>200</v>
      </c>
    </row>
    <row r="1147" customFormat="false" ht="15" hidden="true" customHeight="true" outlineLevel="1" collapsed="false">
      <c r="A1147" s="31"/>
      <c r="B1147" s="232" t="s">
        <v>1062</v>
      </c>
      <c r="C1147" s="103" t="s">
        <v>156</v>
      </c>
      <c r="D1147" s="104"/>
      <c r="E1147" s="104"/>
      <c r="G1147" s="104" t="n">
        <v>160</v>
      </c>
    </row>
    <row r="1148" customFormat="false" ht="15" hidden="true" customHeight="true" outlineLevel="1" collapsed="false">
      <c r="A1148" s="31"/>
      <c r="B1148" s="232" t="s">
        <v>1063</v>
      </c>
      <c r="C1148" s="103" t="s">
        <v>156</v>
      </c>
      <c r="D1148" s="104"/>
      <c r="E1148" s="104"/>
      <c r="G1148" s="104" t="n">
        <v>190</v>
      </c>
    </row>
    <row r="1149" customFormat="false" ht="15" hidden="true" customHeight="true" outlineLevel="1" collapsed="false">
      <c r="A1149" s="31"/>
      <c r="B1149" s="232" t="s">
        <v>1064</v>
      </c>
      <c r="C1149" s="103" t="s">
        <v>156</v>
      </c>
      <c r="D1149" s="104"/>
      <c r="E1149" s="104"/>
      <c r="G1149" s="104" t="n">
        <v>190</v>
      </c>
    </row>
    <row r="1150" customFormat="false" ht="15" hidden="true" customHeight="true" outlineLevel="1" collapsed="false">
      <c r="A1150" s="31"/>
      <c r="B1150" s="232" t="s">
        <v>1067</v>
      </c>
      <c r="C1150" s="103" t="s">
        <v>159</v>
      </c>
      <c r="D1150" s="104"/>
      <c r="E1150" s="104"/>
      <c r="G1150" s="104" t="n">
        <v>4.5</v>
      </c>
    </row>
    <row r="1151" customFormat="false" ht="15" hidden="true" customHeight="true" outlineLevel="1" collapsed="false">
      <c r="A1151" s="31"/>
      <c r="B1151" s="232"/>
      <c r="C1151" s="103"/>
      <c r="D1151" s="104"/>
      <c r="E1151" s="104"/>
      <c r="G1151" s="104"/>
    </row>
    <row r="1152" customFormat="false" ht="15" hidden="true" customHeight="true" outlineLevel="1" collapsed="false">
      <c r="A1152" s="31"/>
      <c r="B1152" s="260"/>
      <c r="C1152" s="103"/>
      <c r="D1152" s="104"/>
      <c r="E1152" s="104"/>
      <c r="G1152" s="104"/>
    </row>
    <row r="1153" customFormat="false" ht="15" hidden="false" customHeight="true" outlineLevel="0" collapsed="false">
      <c r="A1153" s="47" t="s">
        <v>1066</v>
      </c>
      <c r="B1153" s="47"/>
      <c r="C1153" s="103"/>
      <c r="D1153" s="104"/>
      <c r="E1153" s="104"/>
      <c r="G1153" s="104"/>
    </row>
    <row r="1154" customFormat="false" ht="15" hidden="true" customHeight="true" outlineLevel="1" collapsed="false">
      <c r="A1154" s="116" t="s">
        <v>1068</v>
      </c>
      <c r="B1154" s="116"/>
      <c r="C1154" s="124" t="s">
        <v>208</v>
      </c>
      <c r="D1154" s="243"/>
      <c r="E1154" s="243"/>
      <c r="F1154" s="29"/>
      <c r="G1154" s="29" t="s">
        <v>132</v>
      </c>
    </row>
    <row r="1155" customFormat="false" ht="15" hidden="true" customHeight="true" outlineLevel="1" collapsed="false">
      <c r="A1155" s="30"/>
      <c r="B1155" s="232" t="s">
        <v>1069</v>
      </c>
      <c r="C1155" s="103" t="s">
        <v>133</v>
      </c>
      <c r="D1155" s="104"/>
      <c r="E1155" s="104"/>
      <c r="G1155" s="104" t="n">
        <v>360</v>
      </c>
    </row>
    <row r="1156" customFormat="false" ht="15" hidden="true" customHeight="true" outlineLevel="1" collapsed="false">
      <c r="A1156" s="31"/>
      <c r="B1156" s="232" t="s">
        <v>1070</v>
      </c>
      <c r="C1156" s="103" t="s">
        <v>156</v>
      </c>
      <c r="D1156" s="104"/>
      <c r="E1156" s="104"/>
      <c r="G1156" s="104" t="n">
        <v>200</v>
      </c>
    </row>
    <row r="1157" customFormat="false" ht="15" hidden="true" customHeight="true" outlineLevel="1" collapsed="false">
      <c r="A1157" s="31"/>
      <c r="B1157" s="232" t="s">
        <v>1071</v>
      </c>
      <c r="C1157" s="103" t="s">
        <v>156</v>
      </c>
      <c r="D1157" s="104"/>
      <c r="E1157" s="104"/>
      <c r="G1157" s="104" t="n">
        <v>220</v>
      </c>
    </row>
    <row r="1158" customFormat="false" ht="15" hidden="true" customHeight="true" outlineLevel="1" collapsed="false">
      <c r="A1158" s="31"/>
      <c r="B1158" s="232" t="s">
        <v>1072</v>
      </c>
      <c r="C1158" s="103" t="s">
        <v>156</v>
      </c>
      <c r="D1158" s="104"/>
      <c r="E1158" s="104"/>
      <c r="G1158" s="104" t="n">
        <v>220</v>
      </c>
    </row>
    <row r="1159" customFormat="false" ht="15" hidden="true" customHeight="true" outlineLevel="1" collapsed="false">
      <c r="A1159" s="31"/>
      <c r="B1159" s="232" t="s">
        <v>1073</v>
      </c>
      <c r="C1159" s="103" t="s">
        <v>156</v>
      </c>
      <c r="D1159" s="104"/>
      <c r="E1159" s="104"/>
      <c r="G1159" s="104" t="n">
        <v>200</v>
      </c>
    </row>
    <row r="1160" customFormat="false" ht="15" hidden="true" customHeight="true" outlineLevel="1" collapsed="false">
      <c r="A1160" s="31"/>
      <c r="B1160" s="232" t="s">
        <v>1074</v>
      </c>
      <c r="C1160" s="103" t="s">
        <v>156</v>
      </c>
      <c r="D1160" s="104"/>
      <c r="E1160" s="104"/>
      <c r="G1160" s="104" t="n">
        <v>250</v>
      </c>
    </row>
    <row r="1161" customFormat="false" ht="15" hidden="true" customHeight="true" outlineLevel="1" collapsed="false">
      <c r="A1161" s="31"/>
      <c r="B1161" s="232" t="s">
        <v>1075</v>
      </c>
      <c r="C1161" s="103" t="s">
        <v>156</v>
      </c>
      <c r="D1161" s="104"/>
      <c r="E1161" s="104"/>
      <c r="G1161" s="104" t="n">
        <v>200</v>
      </c>
    </row>
    <row r="1162" customFormat="false" ht="15" hidden="true" customHeight="true" outlineLevel="1" collapsed="false">
      <c r="A1162" s="31"/>
      <c r="B1162" s="232" t="s">
        <v>1076</v>
      </c>
      <c r="C1162" s="103" t="s">
        <v>159</v>
      </c>
      <c r="D1162" s="104"/>
      <c r="E1162" s="104"/>
      <c r="G1162" s="104" t="n">
        <v>0.012</v>
      </c>
    </row>
    <row r="1163" customFormat="false" ht="15" hidden="true" customHeight="true" outlineLevel="1" collapsed="false">
      <c r="A1163" s="31"/>
      <c r="B1163" s="232" t="s">
        <v>1077</v>
      </c>
      <c r="C1163" s="103" t="s">
        <v>159</v>
      </c>
      <c r="D1163" s="104"/>
      <c r="E1163" s="104"/>
      <c r="G1163" s="104" t="n">
        <v>0.25</v>
      </c>
    </row>
    <row r="1164" customFormat="false" ht="15" hidden="true" customHeight="true" outlineLevel="1" collapsed="false">
      <c r="A1164" s="31"/>
      <c r="B1164" s="232" t="s">
        <v>1078</v>
      </c>
      <c r="C1164" s="103" t="s">
        <v>188</v>
      </c>
      <c r="D1164" s="104"/>
      <c r="E1164" s="104"/>
      <c r="G1164" s="104" t="n">
        <v>250</v>
      </c>
    </row>
    <row r="1165" customFormat="false" ht="15" hidden="true" customHeight="true" outlineLevel="1" collapsed="false">
      <c r="A1165" s="31"/>
      <c r="B1165" s="232"/>
      <c r="C1165" s="103"/>
      <c r="D1165" s="104"/>
      <c r="E1165" s="104"/>
      <c r="G1165" s="104"/>
    </row>
    <row r="1166" customFormat="false" ht="15" hidden="true" customHeight="true" outlineLevel="1" collapsed="false">
      <c r="A1166" s="31"/>
      <c r="B1166" s="260"/>
      <c r="C1166" s="103"/>
      <c r="D1166" s="104"/>
      <c r="E1166" s="104"/>
      <c r="G1166" s="104"/>
    </row>
    <row r="1167" customFormat="false" ht="15" hidden="false" customHeight="true" outlineLevel="0" collapsed="false">
      <c r="A1167" s="47" t="s">
        <v>1068</v>
      </c>
      <c r="B1167" s="47"/>
      <c r="C1167" s="103"/>
      <c r="D1167" s="104"/>
      <c r="E1167" s="104"/>
      <c r="G1167" s="104"/>
    </row>
    <row r="1168" customFormat="false" ht="15" hidden="true" customHeight="true" outlineLevel="1" collapsed="false">
      <c r="A1168" s="116" t="s">
        <v>1079</v>
      </c>
      <c r="B1168" s="116"/>
      <c r="C1168" s="124" t="s">
        <v>208</v>
      </c>
      <c r="D1168" s="243"/>
      <c r="E1168" s="243"/>
      <c r="F1168" s="29"/>
      <c r="G1168" s="29" t="s">
        <v>132</v>
      </c>
    </row>
    <row r="1169" customFormat="false" ht="15" hidden="true" customHeight="true" outlineLevel="1" collapsed="false">
      <c r="A1169" s="30"/>
      <c r="B1169" s="232" t="s">
        <v>1080</v>
      </c>
      <c r="C1169" s="103" t="s">
        <v>156</v>
      </c>
      <c r="D1169" s="104"/>
      <c r="E1169" s="104"/>
      <c r="G1169" s="104" t="n">
        <v>300</v>
      </c>
    </row>
    <row r="1170" customFormat="false" ht="15" hidden="true" customHeight="true" outlineLevel="1" collapsed="false">
      <c r="A1170" s="31"/>
      <c r="B1170" s="232" t="s">
        <v>1081</v>
      </c>
      <c r="C1170" s="103" t="s">
        <v>159</v>
      </c>
      <c r="D1170" s="104"/>
      <c r="E1170" s="104"/>
      <c r="G1170" s="104" t="n">
        <v>250</v>
      </c>
    </row>
    <row r="1171" customFormat="false" ht="15" hidden="true" customHeight="true" outlineLevel="1" collapsed="false">
      <c r="A1171" s="31"/>
      <c r="B1171" s="232" t="s">
        <v>1082</v>
      </c>
      <c r="C1171" s="103" t="s">
        <v>156</v>
      </c>
      <c r="D1171" s="104"/>
      <c r="E1171" s="104"/>
      <c r="G1171" s="104" t="n">
        <v>300</v>
      </c>
    </row>
    <row r="1172" customFormat="false" ht="15" hidden="true" customHeight="true" outlineLevel="1" collapsed="false">
      <c r="A1172" s="31"/>
      <c r="B1172" s="232" t="s">
        <v>1083</v>
      </c>
      <c r="C1172" s="103" t="s">
        <v>159</v>
      </c>
      <c r="D1172" s="104"/>
      <c r="E1172" s="104"/>
      <c r="G1172" s="104" t="n">
        <v>190</v>
      </c>
    </row>
    <row r="1173" customFormat="false" ht="15" hidden="true" customHeight="true" outlineLevel="1" collapsed="false">
      <c r="A1173" s="31"/>
      <c r="B1173" s="232" t="s">
        <v>1084</v>
      </c>
      <c r="C1173" s="103" t="s">
        <v>159</v>
      </c>
      <c r="D1173" s="104"/>
      <c r="E1173" s="104"/>
      <c r="G1173" s="104" t="n">
        <v>180</v>
      </c>
    </row>
    <row r="1174" customFormat="false" ht="15" hidden="true" customHeight="true" outlineLevel="1" collapsed="false">
      <c r="A1174" s="31"/>
      <c r="B1174" s="232" t="s">
        <v>1085</v>
      </c>
      <c r="C1174" s="103" t="s">
        <v>159</v>
      </c>
      <c r="D1174" s="104"/>
      <c r="E1174" s="104"/>
      <c r="G1174" s="104" t="n">
        <v>130</v>
      </c>
    </row>
    <row r="1175" customFormat="false" ht="15" hidden="true" customHeight="true" outlineLevel="1" collapsed="false">
      <c r="A1175" s="31"/>
      <c r="B1175" s="232" t="s">
        <v>1086</v>
      </c>
      <c r="C1175" s="103" t="s">
        <v>159</v>
      </c>
      <c r="D1175" s="104"/>
      <c r="E1175" s="104"/>
      <c r="G1175" s="104" t="n">
        <v>350</v>
      </c>
    </row>
    <row r="1176" customFormat="false" ht="15" hidden="true" customHeight="true" outlineLevel="1" collapsed="false">
      <c r="A1176" s="31"/>
      <c r="B1176" s="232" t="s">
        <v>1087</v>
      </c>
      <c r="C1176" s="103" t="s">
        <v>159</v>
      </c>
      <c r="D1176" s="104"/>
      <c r="E1176" s="104"/>
      <c r="G1176" s="104" t="n">
        <v>1200</v>
      </c>
    </row>
    <row r="1177" customFormat="false" ht="15" hidden="true" customHeight="true" outlineLevel="1" collapsed="false">
      <c r="A1177" s="31"/>
      <c r="B1177" s="232" t="s">
        <v>1088</v>
      </c>
      <c r="C1177" s="103" t="s">
        <v>159</v>
      </c>
      <c r="D1177" s="104"/>
      <c r="E1177" s="104"/>
      <c r="G1177" s="104" t="n">
        <v>1100</v>
      </c>
    </row>
    <row r="1178" customFormat="false" ht="15" hidden="true" customHeight="true" outlineLevel="1" collapsed="false">
      <c r="A1178" s="31"/>
      <c r="B1178" s="261" t="s">
        <v>1089</v>
      </c>
      <c r="C1178" s="103" t="s">
        <v>159</v>
      </c>
      <c r="D1178" s="104"/>
      <c r="E1178" s="104"/>
      <c r="G1178" s="104" t="n">
        <v>3500</v>
      </c>
    </row>
    <row r="1179" customFormat="false" ht="15" hidden="true" customHeight="true" outlineLevel="1" collapsed="false">
      <c r="A1179" s="31"/>
      <c r="B1179" s="261" t="s">
        <v>1090</v>
      </c>
      <c r="C1179" s="103" t="s">
        <v>159</v>
      </c>
      <c r="D1179" s="104"/>
      <c r="E1179" s="104"/>
      <c r="G1179" s="104" t="n">
        <v>3500</v>
      </c>
    </row>
    <row r="1180" customFormat="false" ht="15" hidden="true" customHeight="true" outlineLevel="1" collapsed="false">
      <c r="A1180" s="31"/>
      <c r="B1180" s="261" t="s">
        <v>1091</v>
      </c>
      <c r="C1180" s="103" t="s">
        <v>159</v>
      </c>
      <c r="D1180" s="104"/>
      <c r="E1180" s="104"/>
      <c r="G1180" s="104" t="n">
        <v>4500</v>
      </c>
    </row>
    <row r="1181" customFormat="false" ht="15" hidden="true" customHeight="true" outlineLevel="1" collapsed="false">
      <c r="A1181" s="31"/>
      <c r="B1181" s="232"/>
      <c r="C1181" s="103"/>
      <c r="D1181" s="104"/>
      <c r="E1181" s="104"/>
      <c r="G1181" s="104"/>
    </row>
    <row r="1182" customFormat="false" ht="15" hidden="true" customHeight="true" outlineLevel="1" collapsed="false">
      <c r="A1182" s="31"/>
      <c r="B1182" s="260"/>
      <c r="C1182" s="103"/>
      <c r="D1182" s="104"/>
      <c r="E1182" s="104"/>
      <c r="G1182" s="104"/>
    </row>
    <row r="1183" customFormat="false" ht="15" hidden="false" customHeight="true" outlineLevel="0" collapsed="false">
      <c r="A1183" s="47" t="s">
        <v>1079</v>
      </c>
      <c r="B1183" s="47"/>
      <c r="C1183" s="103"/>
      <c r="D1183" s="104"/>
      <c r="E1183" s="104"/>
      <c r="G1183" s="104"/>
    </row>
    <row r="1184" customFormat="false" ht="15" hidden="true" customHeight="true" outlineLevel="1" collapsed="false">
      <c r="A1184" s="262" t="s">
        <v>1092</v>
      </c>
      <c r="B1184" s="262"/>
      <c r="C1184" s="124" t="s">
        <v>208</v>
      </c>
      <c r="D1184" s="243"/>
      <c r="E1184" s="243"/>
      <c r="F1184" s="29"/>
      <c r="G1184" s="29" t="s">
        <v>132</v>
      </c>
    </row>
    <row r="1185" customFormat="false" ht="15" hidden="true" customHeight="true" outlineLevel="1" collapsed="false">
      <c r="A1185" s="30"/>
      <c r="B1185" s="263" t="s">
        <v>1093</v>
      </c>
      <c r="C1185" s="263" t="s">
        <v>1094</v>
      </c>
      <c r="E1185" s="104"/>
      <c r="G1185" s="264" t="s">
        <v>854</v>
      </c>
    </row>
    <row r="1186" customFormat="false" ht="15" hidden="true" customHeight="true" outlineLevel="1" collapsed="false">
      <c r="A1186" s="31"/>
      <c r="B1186" s="265" t="s">
        <v>1095</v>
      </c>
      <c r="C1186" s="88" t="s">
        <v>156</v>
      </c>
      <c r="E1186" s="104"/>
      <c r="G1186" s="135" t="n">
        <v>2000</v>
      </c>
    </row>
    <row r="1187" customFormat="false" ht="15" hidden="true" customHeight="true" outlineLevel="1" collapsed="false">
      <c r="A1187" s="31"/>
      <c r="B1187" s="265" t="s">
        <v>1096</v>
      </c>
      <c r="C1187" s="88" t="s">
        <v>156</v>
      </c>
      <c r="E1187" s="104"/>
      <c r="G1187" s="135" t="n">
        <v>2000</v>
      </c>
    </row>
    <row r="1188" customFormat="false" ht="15" hidden="true" customHeight="true" outlineLevel="1" collapsed="false">
      <c r="A1188" s="31"/>
      <c r="B1188" s="265" t="s">
        <v>1097</v>
      </c>
      <c r="C1188" s="88" t="s">
        <v>156</v>
      </c>
      <c r="E1188" s="104"/>
      <c r="G1188" s="135" t="n">
        <v>2000</v>
      </c>
    </row>
    <row r="1189" customFormat="false" ht="15" hidden="true" customHeight="true" outlineLevel="1" collapsed="false">
      <c r="A1189" s="31"/>
      <c r="B1189" s="265" t="s">
        <v>1098</v>
      </c>
      <c r="C1189" s="88" t="s">
        <v>156</v>
      </c>
      <c r="E1189" s="104"/>
      <c r="G1189" s="135" t="n">
        <v>2800</v>
      </c>
    </row>
    <row r="1190" customFormat="false" ht="15" hidden="true" customHeight="true" outlineLevel="1" collapsed="false">
      <c r="A1190" s="31"/>
      <c r="B1190" s="265" t="s">
        <v>1099</v>
      </c>
      <c r="C1190" s="88" t="s">
        <v>156</v>
      </c>
      <c r="E1190" s="104"/>
      <c r="G1190" s="135" t="n">
        <v>2800</v>
      </c>
    </row>
    <row r="1191" customFormat="false" ht="15" hidden="true" customHeight="true" outlineLevel="1" collapsed="false">
      <c r="A1191" s="31"/>
      <c r="B1191" s="265" t="s">
        <v>1100</v>
      </c>
      <c r="C1191" s="88" t="s">
        <v>156</v>
      </c>
      <c r="E1191" s="104"/>
      <c r="G1191" s="135" t="n">
        <v>2800</v>
      </c>
    </row>
    <row r="1192" customFormat="false" ht="15" hidden="true" customHeight="true" outlineLevel="1" collapsed="false">
      <c r="A1192" s="31"/>
      <c r="B1192" s="265" t="s">
        <v>1101</v>
      </c>
      <c r="C1192" s="88" t="s">
        <v>156</v>
      </c>
      <c r="E1192" s="104"/>
      <c r="G1192" s="135" t="n">
        <v>3300</v>
      </c>
    </row>
    <row r="1193" customFormat="false" ht="15" hidden="true" customHeight="true" outlineLevel="1" collapsed="false">
      <c r="A1193" s="31"/>
      <c r="B1193" s="265" t="s">
        <v>1102</v>
      </c>
      <c r="C1193" s="88" t="s">
        <v>156</v>
      </c>
      <c r="E1193" s="104"/>
      <c r="G1193" s="135" t="n">
        <v>3300</v>
      </c>
    </row>
    <row r="1194" customFormat="false" ht="15" hidden="true" customHeight="true" outlineLevel="1" collapsed="false">
      <c r="A1194" s="31"/>
      <c r="B1194" s="265" t="s">
        <v>1103</v>
      </c>
      <c r="C1194" s="88" t="s">
        <v>156</v>
      </c>
      <c r="E1194" s="104"/>
      <c r="G1194" s="135" t="n">
        <v>3300</v>
      </c>
    </row>
    <row r="1195" customFormat="false" ht="15" hidden="true" customHeight="true" outlineLevel="1" collapsed="false">
      <c r="A1195" s="31"/>
      <c r="B1195" s="265" t="s">
        <v>1104</v>
      </c>
      <c r="C1195" s="88" t="s">
        <v>156</v>
      </c>
      <c r="E1195" s="104"/>
      <c r="G1195" s="135" t="n">
        <v>4000</v>
      </c>
    </row>
    <row r="1196" customFormat="false" ht="15" hidden="true" customHeight="true" outlineLevel="1" collapsed="false">
      <c r="A1196" s="31"/>
      <c r="B1196" s="265" t="s">
        <v>1105</v>
      </c>
      <c r="C1196" s="88" t="s">
        <v>156</v>
      </c>
      <c r="E1196" s="104"/>
      <c r="G1196" s="135" t="n">
        <v>4000</v>
      </c>
    </row>
    <row r="1197" customFormat="false" ht="15" hidden="true" customHeight="true" outlineLevel="1" collapsed="false">
      <c r="A1197" s="31"/>
      <c r="B1197" s="265" t="s">
        <v>1106</v>
      </c>
      <c r="C1197" s="88" t="s">
        <v>156</v>
      </c>
      <c r="E1197" s="104"/>
      <c r="G1197" s="135" t="n">
        <v>4000</v>
      </c>
    </row>
    <row r="1198" customFormat="false" ht="15" hidden="true" customHeight="true" outlineLevel="1" collapsed="false">
      <c r="A1198" s="31"/>
      <c r="B1198" s="232" t="s">
        <v>1107</v>
      </c>
      <c r="C1198" s="88" t="s">
        <v>159</v>
      </c>
      <c r="E1198" s="104"/>
      <c r="G1198" s="89" t="n">
        <v>2000</v>
      </c>
    </row>
    <row r="1199" customFormat="false" ht="15" hidden="true" customHeight="true" outlineLevel="1" collapsed="false">
      <c r="A1199" s="31"/>
      <c r="B1199" s="265" t="s">
        <v>1108</v>
      </c>
      <c r="C1199" s="88" t="s">
        <v>159</v>
      </c>
      <c r="E1199" s="104"/>
      <c r="G1199" s="135" t="n">
        <v>3000</v>
      </c>
    </row>
    <row r="1200" customFormat="false" ht="15" hidden="true" customHeight="true" outlineLevel="1" collapsed="false">
      <c r="A1200" s="31"/>
      <c r="B1200" s="232" t="s">
        <v>1109</v>
      </c>
      <c r="C1200" s="88" t="s">
        <v>156</v>
      </c>
      <c r="E1200" s="104"/>
      <c r="G1200" s="89" t="n">
        <v>300</v>
      </c>
    </row>
    <row r="1201" customFormat="false" ht="15" hidden="true" customHeight="true" outlineLevel="1" collapsed="false">
      <c r="A1201" s="31"/>
      <c r="B1201" s="232" t="s">
        <v>1110</v>
      </c>
      <c r="C1201" s="88" t="s">
        <v>159</v>
      </c>
      <c r="E1201" s="104"/>
      <c r="G1201" s="89" t="n">
        <v>1000</v>
      </c>
    </row>
    <row r="1202" customFormat="false" ht="15" hidden="true" customHeight="true" outlineLevel="1" collapsed="false">
      <c r="A1202" s="31"/>
      <c r="B1202" s="232" t="s">
        <v>1111</v>
      </c>
      <c r="C1202" s="88" t="s">
        <v>159</v>
      </c>
      <c r="E1202" s="104"/>
      <c r="G1202" s="89" t="n">
        <v>100</v>
      </c>
    </row>
    <row r="1203" customFormat="false" ht="15" hidden="true" customHeight="true" outlineLevel="1" collapsed="false">
      <c r="A1203" s="31"/>
      <c r="B1203" s="232"/>
      <c r="C1203" s="88"/>
      <c r="E1203" s="104"/>
      <c r="G1203" s="89"/>
    </row>
    <row r="1204" customFormat="false" ht="15" hidden="true" customHeight="true" outlineLevel="1" collapsed="false">
      <c r="A1204" s="31"/>
      <c r="B1204" s="260"/>
      <c r="C1204" s="88"/>
      <c r="E1204" s="104"/>
      <c r="G1204" s="89"/>
    </row>
    <row r="1205" customFormat="false" ht="15" hidden="false" customHeight="true" outlineLevel="0" collapsed="false">
      <c r="A1205" s="47" t="s">
        <v>1092</v>
      </c>
      <c r="B1205" s="47"/>
      <c r="C1205" s="88"/>
      <c r="E1205" s="104"/>
      <c r="G1205" s="89"/>
    </row>
    <row r="1206" customFormat="false" ht="15" hidden="true" customHeight="true" outlineLevel="1" collapsed="false">
      <c r="A1206" s="262" t="s">
        <v>1112</v>
      </c>
      <c r="B1206" s="262"/>
      <c r="C1206" s="124" t="s">
        <v>208</v>
      </c>
      <c r="D1206" s="243"/>
      <c r="E1206" s="243"/>
      <c r="F1206" s="29"/>
      <c r="G1206" s="29" t="s">
        <v>132</v>
      </c>
    </row>
    <row r="1207" customFormat="false" ht="15" hidden="true" customHeight="true" outlineLevel="1" collapsed="false">
      <c r="A1207" s="101"/>
      <c r="B1207" s="232" t="s">
        <v>1113</v>
      </c>
      <c r="C1207" s="88" t="s">
        <v>156</v>
      </c>
      <c r="D1207" s="5"/>
      <c r="E1207" s="104"/>
      <c r="G1207" s="89" t="n">
        <v>0</v>
      </c>
    </row>
    <row r="1208" customFormat="false" ht="15" hidden="true" customHeight="true" outlineLevel="1" collapsed="false">
      <c r="A1208" s="105"/>
      <c r="B1208" s="182" t="s">
        <v>1114</v>
      </c>
      <c r="C1208" s="266" t="s">
        <v>156</v>
      </c>
      <c r="D1208" s="267"/>
      <c r="E1208" s="267"/>
      <c r="F1208" s="268"/>
      <c r="G1208" s="269" t="n">
        <v>32.92</v>
      </c>
    </row>
    <row r="1209" customFormat="false" ht="15" hidden="true" customHeight="true" outlineLevel="1" collapsed="false">
      <c r="A1209" s="105"/>
      <c r="B1209" s="182" t="s">
        <v>1115</v>
      </c>
      <c r="C1209" s="266" t="s">
        <v>156</v>
      </c>
      <c r="D1209" s="267"/>
      <c r="E1209" s="267"/>
      <c r="F1209" s="268"/>
      <c r="G1209" s="269" t="n">
        <v>21.49</v>
      </c>
    </row>
    <row r="1210" customFormat="false" ht="15" hidden="true" customHeight="true" outlineLevel="1" collapsed="false">
      <c r="A1210" s="105"/>
      <c r="B1210" s="182" t="s">
        <v>1116</v>
      </c>
      <c r="C1210" s="266" t="s">
        <v>156</v>
      </c>
      <c r="D1210" s="267"/>
      <c r="E1210" s="267"/>
      <c r="F1210" s="268"/>
      <c r="G1210" s="269" t="n">
        <v>29.81</v>
      </c>
    </row>
    <row r="1211" customFormat="false" ht="15" hidden="true" customHeight="true" outlineLevel="1" collapsed="false">
      <c r="A1211" s="105"/>
      <c r="B1211" s="182" t="s">
        <v>1117</v>
      </c>
      <c r="C1211" s="266" t="s">
        <v>156</v>
      </c>
      <c r="D1211" s="267"/>
      <c r="E1211" s="267"/>
      <c r="F1211" s="268"/>
      <c r="G1211" s="269" t="n">
        <v>47.36</v>
      </c>
    </row>
    <row r="1212" customFormat="false" ht="15" hidden="true" customHeight="true" outlineLevel="1" collapsed="false">
      <c r="A1212" s="105"/>
      <c r="B1212" s="182" t="s">
        <v>1118</v>
      </c>
      <c r="C1212" s="266" t="s">
        <v>156</v>
      </c>
      <c r="D1212" s="5"/>
      <c r="E1212" s="104"/>
      <c r="G1212" s="89" t="n">
        <v>68</v>
      </c>
    </row>
    <row r="1213" customFormat="false" ht="15" hidden="true" customHeight="true" outlineLevel="1" collapsed="false">
      <c r="A1213" s="105"/>
      <c r="B1213" s="232" t="s">
        <v>1119</v>
      </c>
      <c r="C1213" s="88" t="s">
        <v>156</v>
      </c>
      <c r="D1213" s="5"/>
      <c r="E1213" s="104"/>
      <c r="G1213" s="89" t="n">
        <v>0</v>
      </c>
    </row>
    <row r="1214" customFormat="false" ht="15" hidden="true" customHeight="true" outlineLevel="1" collapsed="false">
      <c r="A1214" s="105"/>
      <c r="B1214" s="270" t="s">
        <v>1120</v>
      </c>
      <c r="C1214" s="88" t="s">
        <v>156</v>
      </c>
      <c r="D1214" s="267"/>
      <c r="E1214" s="199"/>
      <c r="F1214" s="271"/>
      <c r="G1214" s="267" t="n">
        <v>4.43</v>
      </c>
      <c r="H1214" s="272"/>
      <c r="I1214" s="273"/>
    </row>
    <row r="1215" customFormat="false" ht="15" hidden="true" customHeight="true" outlineLevel="1" collapsed="false">
      <c r="A1215" s="105"/>
      <c r="B1215" s="270" t="s">
        <v>1121</v>
      </c>
      <c r="C1215" s="88" t="s">
        <v>156</v>
      </c>
      <c r="D1215" s="267"/>
      <c r="E1215" s="199"/>
      <c r="F1215" s="271"/>
      <c r="G1215" s="267" t="n">
        <v>5.02</v>
      </c>
      <c r="H1215" s="272"/>
      <c r="I1215" s="273"/>
    </row>
    <row r="1216" customFormat="false" ht="15" hidden="true" customHeight="true" outlineLevel="1" collapsed="false">
      <c r="A1216" s="105"/>
      <c r="B1216" s="270" t="s">
        <v>1122</v>
      </c>
      <c r="C1216" s="88" t="s">
        <v>156</v>
      </c>
      <c r="D1216" s="267"/>
      <c r="E1216" s="199"/>
      <c r="F1216" s="271"/>
      <c r="G1216" s="267" t="n">
        <v>6.38</v>
      </c>
      <c r="H1216" s="272"/>
      <c r="I1216" s="273"/>
    </row>
    <row r="1217" customFormat="false" ht="15" hidden="true" customHeight="true" outlineLevel="1" collapsed="false">
      <c r="A1217" s="105"/>
      <c r="B1217" s="270" t="s">
        <v>1123</v>
      </c>
      <c r="C1217" s="88" t="s">
        <v>156</v>
      </c>
      <c r="D1217" s="267"/>
      <c r="E1217" s="199"/>
      <c r="F1217" s="271"/>
      <c r="G1217" s="267" t="n">
        <v>6.38</v>
      </c>
      <c r="H1217" s="272"/>
      <c r="I1217" s="273"/>
    </row>
    <row r="1218" customFormat="false" ht="15" hidden="true" customHeight="true" outlineLevel="1" collapsed="false">
      <c r="A1218" s="105"/>
      <c r="B1218" s="270" t="s">
        <v>1124</v>
      </c>
      <c r="C1218" s="88" t="s">
        <v>156</v>
      </c>
      <c r="D1218" s="267"/>
      <c r="E1218" s="199"/>
      <c r="F1218" s="271"/>
      <c r="G1218" s="267" t="n">
        <v>9.29</v>
      </c>
      <c r="H1218" s="272"/>
      <c r="I1218" s="273"/>
    </row>
    <row r="1219" customFormat="false" ht="15" hidden="true" customHeight="true" outlineLevel="1" collapsed="false">
      <c r="A1219" s="105"/>
      <c r="B1219" s="270" t="s">
        <v>1125</v>
      </c>
      <c r="C1219" s="88" t="s">
        <v>156</v>
      </c>
      <c r="D1219" s="267"/>
      <c r="E1219" s="199"/>
      <c r="F1219" s="271"/>
      <c r="G1219" s="267" t="n">
        <v>12.81</v>
      </c>
      <c r="H1219" s="272"/>
      <c r="I1219" s="273"/>
    </row>
    <row r="1220" customFormat="false" ht="15" hidden="true" customHeight="true" outlineLevel="1" collapsed="false">
      <c r="A1220" s="105"/>
      <c r="B1220" s="270" t="s">
        <v>1126</v>
      </c>
      <c r="C1220" s="88" t="s">
        <v>156</v>
      </c>
      <c r="D1220" s="267"/>
      <c r="E1220" s="199"/>
      <c r="F1220" s="271"/>
      <c r="G1220" s="267" t="n">
        <v>13.92</v>
      </c>
      <c r="H1220" s="272"/>
      <c r="I1220" s="273"/>
    </row>
    <row r="1221" customFormat="false" ht="15" hidden="true" customHeight="true" outlineLevel="1" collapsed="false">
      <c r="A1221" s="105"/>
      <c r="B1221" s="270" t="s">
        <v>1127</v>
      </c>
      <c r="C1221" s="88" t="s">
        <v>156</v>
      </c>
      <c r="D1221" s="267"/>
      <c r="E1221" s="199"/>
      <c r="F1221" s="271"/>
      <c r="G1221" s="267" t="n">
        <v>23.24</v>
      </c>
      <c r="H1221" s="272"/>
      <c r="I1221" s="273"/>
    </row>
    <row r="1222" customFormat="false" ht="15" hidden="true" customHeight="true" outlineLevel="1" collapsed="false">
      <c r="A1222" s="105"/>
      <c r="B1222" s="270" t="s">
        <v>1128</v>
      </c>
      <c r="C1222" s="88" t="s">
        <v>156</v>
      </c>
      <c r="D1222" s="267"/>
      <c r="E1222" s="199"/>
      <c r="F1222" s="271"/>
      <c r="G1222" s="267" t="n">
        <v>35.28</v>
      </c>
      <c r="H1222" s="272"/>
      <c r="I1222" s="273"/>
    </row>
    <row r="1223" customFormat="false" ht="15" hidden="true" customHeight="true" outlineLevel="1" collapsed="false">
      <c r="A1223" s="105"/>
      <c r="B1223" s="270" t="s">
        <v>1129</v>
      </c>
      <c r="C1223" s="88" t="s">
        <v>156</v>
      </c>
      <c r="D1223" s="267"/>
      <c r="E1223" s="199"/>
      <c r="F1223" s="271"/>
      <c r="G1223" s="267" t="n">
        <v>46.75</v>
      </c>
      <c r="H1223" s="272"/>
      <c r="I1223" s="273"/>
    </row>
    <row r="1224" customFormat="false" ht="15" hidden="true" customHeight="true" outlineLevel="1" collapsed="false">
      <c r="A1224" s="105"/>
      <c r="B1224" s="270" t="s">
        <v>1130</v>
      </c>
      <c r="C1224" s="88" t="s">
        <v>156</v>
      </c>
      <c r="D1224" s="267"/>
      <c r="E1224" s="199"/>
      <c r="F1224" s="271"/>
      <c r="G1224" s="267" t="n">
        <v>52.2</v>
      </c>
      <c r="H1224" s="272"/>
      <c r="I1224" s="273"/>
    </row>
    <row r="1225" customFormat="false" ht="15" hidden="true" customHeight="true" outlineLevel="1" collapsed="false">
      <c r="A1225" s="105"/>
      <c r="B1225" s="270" t="s">
        <v>1131</v>
      </c>
      <c r="C1225" s="88" t="s">
        <v>156</v>
      </c>
      <c r="D1225" s="267"/>
      <c r="E1225" s="199"/>
      <c r="F1225" s="271"/>
      <c r="G1225" s="267" t="n">
        <v>57.65</v>
      </c>
      <c r="H1225" s="272"/>
      <c r="I1225" s="273"/>
    </row>
    <row r="1226" customFormat="false" ht="15" hidden="true" customHeight="true" outlineLevel="1" collapsed="false">
      <c r="A1226" s="105"/>
      <c r="B1226" s="270" t="s">
        <v>1132</v>
      </c>
      <c r="C1226" s="88" t="s">
        <v>156</v>
      </c>
      <c r="D1226" s="267"/>
      <c r="E1226" s="199"/>
      <c r="F1226" s="271"/>
      <c r="G1226" s="267" t="n">
        <v>59.76</v>
      </c>
      <c r="H1226" s="272"/>
      <c r="I1226" s="273"/>
    </row>
    <row r="1227" customFormat="false" ht="15" hidden="true" customHeight="true" outlineLevel="1" collapsed="false">
      <c r="A1227" s="105"/>
      <c r="B1227" s="270" t="s">
        <v>1133</v>
      </c>
      <c r="C1227" s="88" t="s">
        <v>156</v>
      </c>
      <c r="D1227" s="267"/>
      <c r="E1227" s="199"/>
      <c r="F1227" s="271"/>
      <c r="G1227" s="267" t="n">
        <v>70.49</v>
      </c>
      <c r="H1227" s="272"/>
      <c r="I1227" s="273"/>
    </row>
    <row r="1228" customFormat="false" ht="15" hidden="true" customHeight="true" outlineLevel="1" collapsed="false">
      <c r="A1228" s="105"/>
      <c r="B1228" s="270" t="s">
        <v>1134</v>
      </c>
      <c r="C1228" s="88" t="s">
        <v>156</v>
      </c>
      <c r="D1228" s="267"/>
      <c r="E1228" s="199"/>
      <c r="F1228" s="271"/>
      <c r="G1228" s="267" t="n">
        <v>7.48</v>
      </c>
      <c r="H1228" s="272"/>
      <c r="I1228" s="273"/>
    </row>
    <row r="1229" customFormat="false" ht="15" hidden="true" customHeight="true" outlineLevel="1" collapsed="false">
      <c r="A1229" s="105"/>
      <c r="B1229" s="270" t="s">
        <v>1135</v>
      </c>
      <c r="C1229" s="88" t="s">
        <v>156</v>
      </c>
      <c r="D1229" s="267"/>
      <c r="E1229" s="199"/>
      <c r="F1229" s="271"/>
      <c r="G1229" s="267" t="n">
        <v>7.48</v>
      </c>
      <c r="H1229" s="272"/>
      <c r="I1229" s="273"/>
    </row>
    <row r="1230" customFormat="false" ht="15" hidden="true" customHeight="true" outlineLevel="1" collapsed="false">
      <c r="A1230" s="105"/>
      <c r="B1230" s="270" t="s">
        <v>1136</v>
      </c>
      <c r="C1230" s="88" t="s">
        <v>156</v>
      </c>
      <c r="D1230" s="267"/>
      <c r="E1230" s="199"/>
      <c r="F1230" s="271"/>
      <c r="G1230" s="267" t="n">
        <v>9.61</v>
      </c>
      <c r="H1230" s="272"/>
      <c r="I1230" s="273"/>
    </row>
    <row r="1231" customFormat="false" ht="15" hidden="true" customHeight="true" outlineLevel="1" collapsed="false">
      <c r="A1231" s="105"/>
      <c r="B1231" s="270" t="s">
        <v>1137</v>
      </c>
      <c r="C1231" s="88" t="s">
        <v>156</v>
      </c>
      <c r="D1231" s="267"/>
      <c r="E1231" s="199"/>
      <c r="F1231" s="271"/>
      <c r="G1231" s="267" t="n">
        <v>9.64</v>
      </c>
      <c r="H1231" s="272"/>
      <c r="I1231" s="273"/>
    </row>
    <row r="1232" customFormat="false" ht="15" hidden="true" customHeight="true" outlineLevel="1" collapsed="false">
      <c r="A1232" s="105"/>
      <c r="B1232" s="270" t="s">
        <v>1138</v>
      </c>
      <c r="C1232" s="88" t="s">
        <v>156</v>
      </c>
      <c r="D1232" s="267"/>
      <c r="E1232" s="199"/>
      <c r="F1232" s="271"/>
      <c r="G1232" s="267" t="n">
        <v>15.42</v>
      </c>
      <c r="H1232" s="272"/>
      <c r="I1232" s="273"/>
    </row>
    <row r="1233" customFormat="false" ht="15" hidden="true" customHeight="true" outlineLevel="1" collapsed="false">
      <c r="A1233" s="105"/>
      <c r="B1233" s="270" t="s">
        <v>1139</v>
      </c>
      <c r="C1233" s="88" t="s">
        <v>156</v>
      </c>
      <c r="D1233" s="267"/>
      <c r="E1233" s="199"/>
      <c r="F1233" s="271"/>
      <c r="G1233" s="267" t="n">
        <v>19.52</v>
      </c>
      <c r="H1233" s="272"/>
      <c r="I1233" s="273"/>
    </row>
    <row r="1234" customFormat="false" ht="15" hidden="true" customHeight="true" outlineLevel="1" collapsed="false">
      <c r="A1234" s="105"/>
      <c r="B1234" s="270" t="s">
        <v>1140</v>
      </c>
      <c r="C1234" s="88" t="s">
        <v>156</v>
      </c>
      <c r="D1234" s="267"/>
      <c r="E1234" s="199"/>
      <c r="F1234" s="271"/>
      <c r="G1234" s="267" t="n">
        <v>22.38</v>
      </c>
      <c r="H1234" s="272"/>
      <c r="I1234" s="273"/>
    </row>
    <row r="1235" customFormat="false" ht="15" hidden="true" customHeight="true" outlineLevel="1" collapsed="false">
      <c r="A1235" s="105"/>
      <c r="B1235" s="270" t="s">
        <v>1141</v>
      </c>
      <c r="C1235" s="88" t="s">
        <v>156</v>
      </c>
      <c r="D1235" s="267"/>
      <c r="E1235" s="199"/>
      <c r="F1235" s="271"/>
      <c r="G1235" s="267" t="n">
        <v>26.37</v>
      </c>
      <c r="H1235" s="272"/>
      <c r="I1235" s="273"/>
    </row>
    <row r="1236" customFormat="false" ht="15" hidden="true" customHeight="true" outlineLevel="1" collapsed="false">
      <c r="A1236" s="105"/>
      <c r="B1236" s="232" t="s">
        <v>1142</v>
      </c>
      <c r="C1236" s="88" t="s">
        <v>159</v>
      </c>
      <c r="D1236" s="5"/>
      <c r="E1236" s="104"/>
      <c r="G1236" s="89" t="n">
        <v>1</v>
      </c>
    </row>
    <row r="1237" customFormat="false" ht="15" hidden="true" customHeight="true" outlineLevel="1" collapsed="false">
      <c r="A1237" s="105"/>
      <c r="B1237" s="232" t="s">
        <v>1143</v>
      </c>
      <c r="C1237" s="88" t="s">
        <v>159</v>
      </c>
      <c r="D1237" s="5"/>
      <c r="E1237" s="104"/>
      <c r="G1237" s="89" t="n">
        <v>0.25</v>
      </c>
    </row>
    <row r="1238" customFormat="false" ht="15" hidden="true" customHeight="true" outlineLevel="1" collapsed="false">
      <c r="A1238" s="105"/>
      <c r="B1238" s="232" t="s">
        <v>1144</v>
      </c>
      <c r="C1238" s="88" t="s">
        <v>159</v>
      </c>
      <c r="D1238" s="5"/>
      <c r="E1238" s="104"/>
      <c r="G1238" s="89" t="n">
        <v>20</v>
      </c>
    </row>
    <row r="1239" customFormat="false" ht="15" hidden="true" customHeight="true" outlineLevel="1" collapsed="false">
      <c r="A1239" s="105"/>
      <c r="B1239" s="232" t="s">
        <v>1145</v>
      </c>
      <c r="C1239" s="88" t="s">
        <v>159</v>
      </c>
      <c r="D1239" s="5"/>
      <c r="E1239" s="104"/>
      <c r="G1239" s="89" t="n">
        <v>10</v>
      </c>
    </row>
    <row r="1240" customFormat="false" ht="15" hidden="true" customHeight="true" outlineLevel="1" collapsed="false">
      <c r="A1240" s="105"/>
      <c r="B1240" s="232" t="s">
        <v>1146</v>
      </c>
      <c r="C1240" s="88" t="s">
        <v>159</v>
      </c>
      <c r="D1240" s="5"/>
      <c r="E1240" s="104"/>
      <c r="G1240" s="89" t="n">
        <v>1200</v>
      </c>
    </row>
    <row r="1241" customFormat="false" ht="15" hidden="true" customHeight="true" outlineLevel="1" collapsed="false">
      <c r="A1241" s="105"/>
      <c r="B1241" s="232" t="s">
        <v>1147</v>
      </c>
      <c r="C1241" s="88" t="s">
        <v>159</v>
      </c>
      <c r="D1241" s="5"/>
      <c r="E1241" s="104"/>
      <c r="G1241" s="89" t="n">
        <v>180</v>
      </c>
    </row>
    <row r="1242" customFormat="false" ht="15" hidden="true" customHeight="true" outlineLevel="1" collapsed="false">
      <c r="A1242" s="105"/>
      <c r="B1242" s="232" t="s">
        <v>1148</v>
      </c>
      <c r="C1242" s="88" t="s">
        <v>159</v>
      </c>
      <c r="D1242" s="5"/>
      <c r="E1242" s="104"/>
      <c r="G1242" s="89" t="n">
        <v>70</v>
      </c>
    </row>
    <row r="1243" customFormat="false" ht="15" hidden="true" customHeight="true" outlineLevel="1" collapsed="false">
      <c r="A1243" s="105"/>
      <c r="B1243" s="232" t="s">
        <v>1149</v>
      </c>
      <c r="C1243" s="88" t="s">
        <v>159</v>
      </c>
      <c r="D1243" s="5"/>
      <c r="E1243" s="104"/>
      <c r="G1243" s="89" t="n">
        <v>167</v>
      </c>
    </row>
    <row r="1244" customFormat="false" ht="15" hidden="true" customHeight="true" outlineLevel="1" collapsed="false">
      <c r="A1244" s="105"/>
      <c r="B1244" s="232" t="s">
        <v>1150</v>
      </c>
      <c r="C1244" s="88" t="s">
        <v>159</v>
      </c>
      <c r="D1244" s="5"/>
      <c r="E1244" s="104"/>
      <c r="G1244" s="89" t="n">
        <v>6</v>
      </c>
    </row>
    <row r="1245" customFormat="false" ht="15" hidden="true" customHeight="true" outlineLevel="1" collapsed="false">
      <c r="A1245" s="105"/>
      <c r="B1245" s="232" t="s">
        <v>1151</v>
      </c>
      <c r="C1245" s="88" t="s">
        <v>159</v>
      </c>
      <c r="D1245" s="5"/>
      <c r="E1245" s="104"/>
      <c r="G1245" s="89" t="n">
        <v>100</v>
      </c>
    </row>
    <row r="1246" customFormat="false" ht="15" hidden="true" customHeight="true" outlineLevel="1" collapsed="false">
      <c r="A1246" s="105"/>
      <c r="B1246" s="232" t="s">
        <v>1152</v>
      </c>
      <c r="C1246" s="88" t="s">
        <v>159</v>
      </c>
      <c r="D1246" s="5"/>
      <c r="E1246" s="104"/>
      <c r="G1246" s="89" t="n">
        <v>90</v>
      </c>
    </row>
    <row r="1247" customFormat="false" ht="15" hidden="true" customHeight="true" outlineLevel="1" collapsed="false">
      <c r="A1247" s="105"/>
      <c r="B1247" s="232" t="s">
        <v>1153</v>
      </c>
      <c r="C1247" s="88" t="s">
        <v>159</v>
      </c>
      <c r="D1247" s="5"/>
      <c r="E1247" s="104"/>
      <c r="G1247" s="89" t="n">
        <v>80</v>
      </c>
    </row>
    <row r="1248" customFormat="false" ht="15" hidden="true" customHeight="true" outlineLevel="1" collapsed="false">
      <c r="A1248" s="105"/>
      <c r="B1248" s="232" t="s">
        <v>1154</v>
      </c>
      <c r="C1248" s="88" t="s">
        <v>159</v>
      </c>
      <c r="D1248" s="5"/>
      <c r="E1248" s="104"/>
      <c r="G1248" s="89" t="n">
        <v>70</v>
      </c>
    </row>
    <row r="1249" customFormat="false" ht="15" hidden="true" customHeight="true" outlineLevel="1" collapsed="false">
      <c r="A1249" s="105"/>
      <c r="B1249" s="232" t="s">
        <v>1155</v>
      </c>
      <c r="C1249" s="88" t="s">
        <v>159</v>
      </c>
      <c r="D1249" s="5"/>
      <c r="E1249" s="104"/>
      <c r="G1249" s="89" t="n">
        <v>60</v>
      </c>
    </row>
    <row r="1250" customFormat="false" ht="15" hidden="true" customHeight="true" outlineLevel="1" collapsed="false">
      <c r="A1250" s="105"/>
      <c r="B1250" s="232" t="s">
        <v>1156</v>
      </c>
      <c r="C1250" s="88" t="s">
        <v>159</v>
      </c>
      <c r="D1250" s="5"/>
      <c r="E1250" s="104"/>
      <c r="G1250" s="89" t="n">
        <v>100</v>
      </c>
    </row>
    <row r="1251" customFormat="false" ht="15" hidden="true" customHeight="true" outlineLevel="1" collapsed="false">
      <c r="A1251" s="105"/>
      <c r="B1251" s="232" t="s">
        <v>1157</v>
      </c>
      <c r="C1251" s="88" t="s">
        <v>159</v>
      </c>
      <c r="D1251" s="88"/>
      <c r="E1251" s="104"/>
      <c r="G1251" s="89" t="n">
        <v>90</v>
      </c>
    </row>
    <row r="1252" customFormat="false" ht="15" hidden="true" customHeight="true" outlineLevel="1" collapsed="false">
      <c r="A1252" s="105"/>
      <c r="B1252" s="232" t="s">
        <v>1158</v>
      </c>
      <c r="C1252" s="88" t="s">
        <v>159</v>
      </c>
      <c r="D1252" s="88"/>
      <c r="E1252" s="104"/>
      <c r="G1252" s="89" t="n">
        <v>80</v>
      </c>
    </row>
    <row r="1253" customFormat="false" ht="15" hidden="true" customHeight="true" outlineLevel="1" collapsed="false">
      <c r="A1253" s="105"/>
      <c r="B1253" s="232" t="s">
        <v>1159</v>
      </c>
      <c r="C1253" s="88" t="s">
        <v>159</v>
      </c>
      <c r="D1253" s="6"/>
      <c r="E1253" s="104"/>
      <c r="G1253" s="89" t="n">
        <v>70</v>
      </c>
    </row>
    <row r="1254" customFormat="false" ht="15" hidden="true" customHeight="true" outlineLevel="1" collapsed="false">
      <c r="A1254" s="105"/>
      <c r="B1254" s="232" t="s">
        <v>1160</v>
      </c>
      <c r="C1254" s="88" t="s">
        <v>159</v>
      </c>
      <c r="D1254" s="6"/>
      <c r="E1254" s="104"/>
      <c r="G1254" s="89" t="n">
        <v>60</v>
      </c>
    </row>
    <row r="1255" customFormat="false" ht="15" hidden="true" customHeight="true" outlineLevel="1" collapsed="false">
      <c r="A1255" s="105"/>
      <c r="D1255" s="6"/>
      <c r="E1255" s="104"/>
      <c r="G1255" s="104"/>
    </row>
    <row r="1256" customFormat="false" ht="15" hidden="true" customHeight="true" outlineLevel="1" collapsed="false">
      <c r="A1256" s="105"/>
      <c r="D1256" s="6"/>
      <c r="E1256" s="104"/>
      <c r="G1256" s="104"/>
    </row>
    <row r="1257" customFormat="false" ht="15" hidden="true" customHeight="true" outlineLevel="1" collapsed="false">
      <c r="A1257" s="105"/>
      <c r="D1257" s="6"/>
      <c r="E1257" s="104"/>
      <c r="G1257" s="104"/>
    </row>
    <row r="1258" customFormat="false" ht="15" hidden="true" customHeight="true" outlineLevel="1" collapsed="false">
      <c r="A1258" s="105"/>
      <c r="B1258" s="115"/>
      <c r="D1258" s="6"/>
      <c r="E1258" s="104"/>
      <c r="G1258" s="104"/>
    </row>
    <row r="1259" customFormat="false" ht="15" hidden="false" customHeight="true" outlineLevel="0" collapsed="false">
      <c r="A1259" s="47" t="s">
        <v>1112</v>
      </c>
      <c r="B1259" s="47"/>
      <c r="D1259" s="6"/>
      <c r="E1259" s="104"/>
      <c r="G1259" s="104"/>
    </row>
    <row r="1260" customFormat="false" ht="15" hidden="true" customHeight="true" outlineLevel="1" collapsed="false">
      <c r="A1260" s="262" t="s">
        <v>1161</v>
      </c>
      <c r="B1260" s="262"/>
      <c r="C1260" s="124" t="s">
        <v>208</v>
      </c>
      <c r="D1260" s="243"/>
      <c r="E1260" s="243"/>
      <c r="F1260" s="29"/>
      <c r="G1260" s="29" t="s">
        <v>132</v>
      </c>
    </row>
    <row r="1261" customFormat="false" ht="15" hidden="true" customHeight="true" outlineLevel="1" collapsed="false">
      <c r="A1261" s="30"/>
      <c r="B1261" s="87" t="s">
        <v>1162</v>
      </c>
      <c r="C1261" s="88" t="s">
        <v>156</v>
      </c>
      <c r="D1261" s="5"/>
      <c r="E1261" s="104"/>
      <c r="G1261" s="89" t="n">
        <v>40</v>
      </c>
    </row>
    <row r="1262" customFormat="false" ht="15" hidden="true" customHeight="true" outlineLevel="1" collapsed="false">
      <c r="A1262" s="31"/>
      <c r="B1262" s="87" t="s">
        <v>1163</v>
      </c>
      <c r="C1262" s="88" t="s">
        <v>159</v>
      </c>
      <c r="D1262" s="5"/>
      <c r="E1262" s="104"/>
      <c r="G1262" s="89" t="n">
        <v>10</v>
      </c>
    </row>
    <row r="1263" customFormat="false" ht="15" hidden="true" customHeight="true" outlineLevel="1" collapsed="false">
      <c r="A1263" s="31"/>
      <c r="B1263" s="87" t="s">
        <v>1164</v>
      </c>
      <c r="C1263" s="88" t="s">
        <v>159</v>
      </c>
      <c r="D1263" s="5"/>
      <c r="E1263" s="104"/>
      <c r="G1263" s="89" t="n">
        <v>10</v>
      </c>
    </row>
    <row r="1264" customFormat="false" ht="15" hidden="true" customHeight="true" outlineLevel="1" collapsed="false">
      <c r="A1264" s="31"/>
      <c r="B1264" s="87" t="s">
        <v>1165</v>
      </c>
      <c r="C1264" s="88" t="s">
        <v>159</v>
      </c>
      <c r="D1264" s="5"/>
      <c r="E1264" s="104"/>
      <c r="G1264" s="89" t="n">
        <v>300</v>
      </c>
    </row>
    <row r="1265" customFormat="false" ht="15" hidden="true" customHeight="true" outlineLevel="1" collapsed="false">
      <c r="A1265" s="31"/>
      <c r="B1265" s="87" t="s">
        <v>1166</v>
      </c>
      <c r="C1265" s="88" t="s">
        <v>159</v>
      </c>
      <c r="D1265" s="5"/>
      <c r="E1265" s="104"/>
      <c r="G1265" s="89" t="n">
        <v>250</v>
      </c>
    </row>
    <row r="1266" customFormat="false" ht="15" hidden="true" customHeight="true" outlineLevel="1" collapsed="false">
      <c r="A1266" s="31"/>
      <c r="B1266" s="87" t="s">
        <v>1167</v>
      </c>
      <c r="C1266" s="88" t="s">
        <v>159</v>
      </c>
      <c r="D1266" s="5"/>
      <c r="E1266" s="104"/>
      <c r="G1266" s="89" t="n">
        <v>300</v>
      </c>
    </row>
    <row r="1267" customFormat="false" ht="15" hidden="true" customHeight="true" outlineLevel="1" collapsed="false">
      <c r="A1267" s="31"/>
      <c r="B1267" s="87" t="s">
        <v>1168</v>
      </c>
      <c r="C1267" s="88" t="s">
        <v>159</v>
      </c>
      <c r="D1267" s="5"/>
      <c r="E1267" s="104"/>
      <c r="G1267" s="89" t="n">
        <v>200</v>
      </c>
    </row>
    <row r="1268" customFormat="false" ht="15" hidden="true" customHeight="true" outlineLevel="1" collapsed="false">
      <c r="A1268" s="31"/>
      <c r="B1268" s="87" t="s">
        <v>1169</v>
      </c>
      <c r="C1268" s="88" t="s">
        <v>156</v>
      </c>
      <c r="D1268" s="5"/>
      <c r="E1268" s="104"/>
      <c r="G1268" s="89" t="n">
        <v>36</v>
      </c>
    </row>
    <row r="1269" customFormat="false" ht="15" hidden="true" customHeight="true" outlineLevel="1" collapsed="false">
      <c r="A1269" s="31"/>
      <c r="B1269" s="87" t="s">
        <v>1170</v>
      </c>
      <c r="C1269" s="88" t="s">
        <v>159</v>
      </c>
      <c r="D1269" s="5"/>
      <c r="E1269" s="104"/>
      <c r="G1269" s="89" t="n">
        <v>100</v>
      </c>
    </row>
    <row r="1270" customFormat="false" ht="15" hidden="true" customHeight="true" outlineLevel="1" collapsed="false">
      <c r="A1270" s="31"/>
      <c r="B1270" s="87" t="s">
        <v>1163</v>
      </c>
      <c r="C1270" s="88" t="s">
        <v>159</v>
      </c>
      <c r="D1270" s="5"/>
      <c r="E1270" s="104"/>
      <c r="G1270" s="89" t="n">
        <v>10</v>
      </c>
    </row>
    <row r="1271" customFormat="false" ht="15" hidden="true" customHeight="true" outlineLevel="1" collapsed="false">
      <c r="A1271" s="31"/>
      <c r="B1271" s="87" t="s">
        <v>1164</v>
      </c>
      <c r="C1271" s="88" t="s">
        <v>159</v>
      </c>
      <c r="D1271" s="5"/>
      <c r="E1271" s="104"/>
      <c r="G1271" s="89" t="n">
        <v>10</v>
      </c>
    </row>
    <row r="1272" customFormat="false" ht="15" hidden="true" customHeight="true" outlineLevel="1" collapsed="false">
      <c r="A1272" s="31"/>
      <c r="B1272" s="87"/>
      <c r="C1272" s="88"/>
      <c r="D1272" s="5"/>
      <c r="E1272" s="104"/>
      <c r="G1272" s="89"/>
    </row>
    <row r="1273" customFormat="false" ht="15" hidden="true" customHeight="true" outlineLevel="1" collapsed="false">
      <c r="A1273" s="31"/>
      <c r="B1273" s="90"/>
      <c r="C1273" s="88"/>
      <c r="D1273" s="5"/>
      <c r="E1273" s="104"/>
      <c r="G1273" s="89"/>
    </row>
    <row r="1274" customFormat="false" ht="15" hidden="false" customHeight="true" outlineLevel="0" collapsed="false">
      <c r="A1274" s="47" t="s">
        <v>1161</v>
      </c>
      <c r="B1274" s="47"/>
      <c r="D1274" s="6"/>
      <c r="E1274" s="104"/>
      <c r="G1274" s="104"/>
    </row>
    <row r="1275" customFormat="false" ht="15" hidden="true" customHeight="true" outlineLevel="1" collapsed="false">
      <c r="A1275" s="262" t="s">
        <v>1171</v>
      </c>
      <c r="B1275" s="262"/>
      <c r="C1275" s="124" t="s">
        <v>208</v>
      </c>
      <c r="D1275" s="243"/>
      <c r="E1275" s="243"/>
      <c r="F1275" s="29"/>
      <c r="G1275" s="29" t="s">
        <v>132</v>
      </c>
    </row>
    <row r="1276" customFormat="false" ht="15" hidden="true" customHeight="true" outlineLevel="1" collapsed="false">
      <c r="A1276" s="30"/>
      <c r="B1276" s="122" t="s">
        <v>1172</v>
      </c>
      <c r="C1276" s="88" t="s">
        <v>154</v>
      </c>
      <c r="D1276" s="5"/>
      <c r="E1276" s="104"/>
      <c r="G1276" s="89" t="n">
        <v>2200</v>
      </c>
    </row>
    <row r="1277" customFormat="false" ht="15" hidden="true" customHeight="true" outlineLevel="1" collapsed="false">
      <c r="A1277" s="31"/>
      <c r="B1277" s="232" t="s">
        <v>1173</v>
      </c>
      <c r="C1277" s="88" t="s">
        <v>156</v>
      </c>
      <c r="D1277" s="5"/>
      <c r="E1277" s="104"/>
      <c r="G1277" s="89" t="n">
        <v>1800</v>
      </c>
    </row>
    <row r="1278" customFormat="false" ht="15" hidden="true" customHeight="true" outlineLevel="1" collapsed="false">
      <c r="A1278" s="31"/>
      <c r="B1278" s="232" t="s">
        <v>1174</v>
      </c>
      <c r="C1278" s="88" t="s">
        <v>159</v>
      </c>
      <c r="D1278" s="5"/>
      <c r="E1278" s="104"/>
      <c r="G1278" s="89" t="n">
        <v>2500</v>
      </c>
    </row>
    <row r="1279" customFormat="false" ht="15" hidden="true" customHeight="true" outlineLevel="1" collapsed="false">
      <c r="A1279" s="31"/>
      <c r="B1279" s="232" t="s">
        <v>1175</v>
      </c>
      <c r="C1279" s="88" t="s">
        <v>156</v>
      </c>
      <c r="D1279" s="5"/>
      <c r="E1279" s="104"/>
      <c r="G1279" s="89" t="n">
        <v>19</v>
      </c>
    </row>
    <row r="1280" customFormat="false" ht="15" hidden="true" customHeight="true" outlineLevel="1" collapsed="false">
      <c r="A1280" s="31"/>
      <c r="B1280" s="232" t="s">
        <v>1176</v>
      </c>
      <c r="C1280" s="88" t="s">
        <v>156</v>
      </c>
      <c r="D1280" s="5"/>
      <c r="E1280" s="104"/>
      <c r="G1280" s="89" t="n">
        <v>5</v>
      </c>
    </row>
    <row r="1281" customFormat="false" ht="15" hidden="true" customHeight="true" outlineLevel="1" collapsed="false">
      <c r="A1281" s="31"/>
      <c r="B1281" s="232" t="s">
        <v>1177</v>
      </c>
      <c r="C1281" s="88" t="s">
        <v>1178</v>
      </c>
      <c r="D1281" s="5"/>
      <c r="E1281" s="104"/>
      <c r="G1281" s="89" t="n">
        <v>100</v>
      </c>
    </row>
    <row r="1282" customFormat="false" ht="15" hidden="true" customHeight="true" outlineLevel="1" collapsed="false">
      <c r="A1282" s="31"/>
      <c r="B1282" s="232" t="s">
        <v>1179</v>
      </c>
      <c r="C1282" s="88" t="s">
        <v>159</v>
      </c>
      <c r="D1282" s="5"/>
      <c r="E1282" s="104"/>
      <c r="G1282" s="89" t="n">
        <v>8000</v>
      </c>
    </row>
    <row r="1283" customFormat="false" ht="15" hidden="true" customHeight="true" outlineLevel="1" collapsed="false">
      <c r="A1283" s="31"/>
      <c r="B1283" s="232" t="s">
        <v>1180</v>
      </c>
      <c r="C1283" s="88" t="s">
        <v>159</v>
      </c>
      <c r="D1283" s="5"/>
      <c r="E1283" s="104"/>
      <c r="G1283" s="89" t="n">
        <v>10000</v>
      </c>
    </row>
    <row r="1284" customFormat="false" ht="15" hidden="true" customHeight="true" outlineLevel="1" collapsed="false">
      <c r="A1284" s="31"/>
      <c r="B1284" s="232" t="s">
        <v>1181</v>
      </c>
      <c r="C1284" s="88" t="s">
        <v>156</v>
      </c>
      <c r="D1284" s="5"/>
      <c r="E1284" s="104"/>
      <c r="G1284" s="89" t="n">
        <v>35</v>
      </c>
    </row>
    <row r="1285" customFormat="false" ht="15" hidden="true" customHeight="true" outlineLevel="1" collapsed="false">
      <c r="A1285" s="31"/>
      <c r="B1285" s="232" t="s">
        <v>1182</v>
      </c>
      <c r="C1285" s="88" t="s">
        <v>156</v>
      </c>
      <c r="D1285" s="5"/>
      <c r="E1285" s="104"/>
      <c r="G1285" s="89" t="n">
        <v>500</v>
      </c>
    </row>
    <row r="1286" customFormat="false" ht="15" hidden="true" customHeight="true" outlineLevel="1" collapsed="false">
      <c r="A1286" s="31"/>
      <c r="B1286" s="232" t="s">
        <v>1183</v>
      </c>
      <c r="C1286" s="88" t="s">
        <v>159</v>
      </c>
      <c r="D1286" s="5"/>
      <c r="E1286" s="104"/>
      <c r="G1286" s="89" t="n">
        <v>3000</v>
      </c>
    </row>
    <row r="1287" customFormat="false" ht="15" hidden="true" customHeight="true" outlineLevel="1" collapsed="false">
      <c r="A1287" s="31"/>
      <c r="B1287" s="232"/>
      <c r="C1287" s="88"/>
      <c r="D1287" s="5"/>
      <c r="E1287" s="104"/>
      <c r="G1287" s="89"/>
    </row>
    <row r="1288" customFormat="false" ht="15" hidden="false" customHeight="true" outlineLevel="0" collapsed="false">
      <c r="A1288" s="274" t="s">
        <v>1171</v>
      </c>
      <c r="B1288" s="274"/>
      <c r="C1288" s="88"/>
      <c r="D1288" s="5"/>
      <c r="E1288" s="104"/>
      <c r="G1288" s="89"/>
    </row>
    <row r="1289" customFormat="false" ht="15" hidden="true" customHeight="true" outlineLevel="1" collapsed="false">
      <c r="A1289" s="262" t="s">
        <v>1184</v>
      </c>
      <c r="B1289" s="262"/>
      <c r="C1289" s="124" t="s">
        <v>208</v>
      </c>
      <c r="D1289" s="243"/>
      <c r="E1289" s="243"/>
      <c r="F1289" s="29"/>
      <c r="G1289" s="29" t="s">
        <v>132</v>
      </c>
    </row>
    <row r="1290" customFormat="false" ht="15" hidden="true" customHeight="true" outlineLevel="1" collapsed="false">
      <c r="A1290" s="30"/>
      <c r="B1290" s="232" t="s">
        <v>1185</v>
      </c>
      <c r="C1290" s="88" t="s">
        <v>159</v>
      </c>
      <c r="D1290" s="5"/>
      <c r="E1290" s="104"/>
      <c r="G1290" s="89" t="n">
        <v>30000</v>
      </c>
    </row>
    <row r="1291" customFormat="false" ht="15" hidden="true" customHeight="true" outlineLevel="1" collapsed="false">
      <c r="A1291" s="31"/>
      <c r="B1291" s="232" t="s">
        <v>1186</v>
      </c>
      <c r="C1291" s="88" t="s">
        <v>159</v>
      </c>
      <c r="D1291" s="5"/>
      <c r="E1291" s="104"/>
      <c r="G1291" s="89" t="n">
        <v>10000</v>
      </c>
    </row>
    <row r="1292" customFormat="false" ht="15" hidden="true" customHeight="true" outlineLevel="1" collapsed="false">
      <c r="A1292" s="31"/>
      <c r="B1292" s="232" t="s">
        <v>1187</v>
      </c>
      <c r="C1292" s="88" t="s">
        <v>159</v>
      </c>
      <c r="D1292" s="5"/>
      <c r="E1292" s="104"/>
      <c r="G1292" s="89" t="n">
        <v>5000</v>
      </c>
    </row>
    <row r="1293" customFormat="false" ht="15" hidden="true" customHeight="true" outlineLevel="1" collapsed="false">
      <c r="A1293" s="31"/>
      <c r="B1293" s="232" t="s">
        <v>1188</v>
      </c>
      <c r="C1293" s="88" t="s">
        <v>159</v>
      </c>
      <c r="D1293" s="5"/>
      <c r="E1293" s="104"/>
      <c r="G1293" s="89" t="n">
        <v>3500</v>
      </c>
    </row>
    <row r="1294" customFormat="false" ht="15" hidden="true" customHeight="true" outlineLevel="1" collapsed="false">
      <c r="A1294" s="31"/>
      <c r="B1294" s="232" t="s">
        <v>1189</v>
      </c>
      <c r="C1294" s="88" t="s">
        <v>159</v>
      </c>
      <c r="D1294" s="5"/>
      <c r="E1294" s="104"/>
      <c r="G1294" s="89" t="n">
        <v>2500</v>
      </c>
    </row>
    <row r="1295" customFormat="false" ht="15" hidden="true" customHeight="true" outlineLevel="1" collapsed="false">
      <c r="A1295" s="31"/>
      <c r="B1295" s="232" t="s">
        <v>1190</v>
      </c>
      <c r="C1295" s="88" t="s">
        <v>159</v>
      </c>
      <c r="D1295" s="5"/>
      <c r="E1295" s="104"/>
      <c r="G1295" s="89" t="n">
        <v>700</v>
      </c>
    </row>
    <row r="1296" customFormat="false" ht="15" hidden="true" customHeight="true" outlineLevel="1" collapsed="false">
      <c r="A1296" s="31"/>
      <c r="B1296" s="232" t="s">
        <v>1191</v>
      </c>
      <c r="C1296" s="88" t="s">
        <v>159</v>
      </c>
      <c r="D1296" s="5"/>
      <c r="E1296" s="104"/>
      <c r="G1296" s="89" t="n">
        <v>1500</v>
      </c>
    </row>
    <row r="1297" customFormat="false" ht="15" hidden="true" customHeight="true" outlineLevel="1" collapsed="false">
      <c r="A1297" s="31"/>
      <c r="B1297" s="232" t="s">
        <v>1192</v>
      </c>
      <c r="C1297" s="88" t="s">
        <v>156</v>
      </c>
      <c r="D1297" s="5"/>
      <c r="E1297" s="104"/>
      <c r="G1297" s="89" t="n">
        <v>100</v>
      </c>
    </row>
    <row r="1298" customFormat="false" ht="15" hidden="true" customHeight="true" outlineLevel="1" collapsed="false">
      <c r="A1298" s="31"/>
      <c r="B1298" s="232" t="s">
        <v>1193</v>
      </c>
      <c r="C1298" s="88" t="s">
        <v>159</v>
      </c>
      <c r="D1298" s="5"/>
      <c r="E1298" s="104"/>
      <c r="G1298" s="89" t="n">
        <v>12</v>
      </c>
    </row>
    <row r="1299" customFormat="false" ht="15" hidden="true" customHeight="true" outlineLevel="1" collapsed="false">
      <c r="A1299" s="31"/>
      <c r="B1299" s="232" t="s">
        <v>1194</v>
      </c>
      <c r="C1299" s="88" t="s">
        <v>159</v>
      </c>
      <c r="D1299" s="5"/>
      <c r="E1299" s="104"/>
      <c r="G1299" s="89" t="n">
        <v>16</v>
      </c>
    </row>
    <row r="1300" customFormat="false" ht="15" hidden="true" customHeight="true" outlineLevel="1" collapsed="false">
      <c r="A1300" s="31"/>
      <c r="B1300" s="232" t="s">
        <v>1195</v>
      </c>
      <c r="C1300" s="88" t="s">
        <v>159</v>
      </c>
      <c r="D1300" s="5"/>
      <c r="E1300" s="104"/>
      <c r="G1300" s="89" t="n">
        <v>12</v>
      </c>
    </row>
    <row r="1301" customFormat="false" ht="15" hidden="true" customHeight="true" outlineLevel="1" collapsed="false">
      <c r="A1301" s="31"/>
      <c r="B1301" s="232" t="s">
        <v>1196</v>
      </c>
      <c r="C1301" s="88" t="s">
        <v>159</v>
      </c>
      <c r="D1301" s="5"/>
      <c r="E1301" s="104"/>
      <c r="G1301" s="89" t="n">
        <v>16</v>
      </c>
    </row>
    <row r="1302" customFormat="false" ht="15" hidden="true" customHeight="true" outlineLevel="1" collapsed="false">
      <c r="A1302" s="31"/>
      <c r="B1302" s="232" t="s">
        <v>1197</v>
      </c>
      <c r="C1302" s="88" t="s">
        <v>159</v>
      </c>
      <c r="D1302" s="5"/>
      <c r="E1302" s="104"/>
      <c r="G1302" s="89" t="n">
        <v>800</v>
      </c>
    </row>
    <row r="1303" customFormat="false" ht="15" hidden="true" customHeight="true" outlineLevel="1" collapsed="false">
      <c r="A1303" s="31"/>
      <c r="B1303" s="232" t="s">
        <v>1198</v>
      </c>
      <c r="C1303" s="88" t="s">
        <v>1199</v>
      </c>
      <c r="D1303" s="5"/>
      <c r="E1303" s="104"/>
      <c r="G1303" s="89" t="n">
        <v>200</v>
      </c>
    </row>
    <row r="1304" customFormat="false" ht="15" hidden="true" customHeight="true" outlineLevel="1" collapsed="false">
      <c r="A1304" s="31"/>
      <c r="B1304" s="232"/>
      <c r="C1304" s="88"/>
      <c r="D1304" s="5"/>
      <c r="E1304" s="104"/>
      <c r="G1304" s="89"/>
    </row>
    <row r="1305" customFormat="false" ht="15" hidden="true" customHeight="true" outlineLevel="1" collapsed="false">
      <c r="A1305" s="31"/>
      <c r="B1305" s="232"/>
      <c r="C1305" s="88"/>
      <c r="D1305" s="5"/>
      <c r="E1305" s="104"/>
      <c r="G1305" s="89"/>
    </row>
    <row r="1306" customFormat="false" ht="15" hidden="true" customHeight="true" outlineLevel="1" collapsed="false">
      <c r="A1306" s="31"/>
      <c r="B1306" s="102"/>
      <c r="C1306" s="103"/>
      <c r="D1306" s="104"/>
      <c r="E1306" s="104"/>
      <c r="G1306" s="104"/>
    </row>
    <row r="1307" customFormat="false" ht="15" hidden="true" customHeight="true" outlineLevel="1" collapsed="false">
      <c r="A1307" s="31"/>
      <c r="B1307" s="102"/>
      <c r="C1307" s="103"/>
      <c r="D1307" s="104"/>
      <c r="E1307" s="104"/>
      <c r="G1307" s="104"/>
    </row>
    <row r="1308" customFormat="false" ht="15" hidden="true" customHeight="true" outlineLevel="1" collapsed="false">
      <c r="A1308" s="31"/>
      <c r="B1308" s="108"/>
      <c r="C1308" s="103"/>
      <c r="D1308" s="104"/>
      <c r="E1308" s="104"/>
      <c r="G1308" s="104"/>
    </row>
    <row r="1309" customFormat="false" ht="15" hidden="false" customHeight="true" outlineLevel="0" collapsed="false">
      <c r="A1309" s="47" t="s">
        <v>1184</v>
      </c>
      <c r="B1309" s="47"/>
      <c r="C1309" s="103"/>
      <c r="D1309" s="104"/>
      <c r="E1309" s="104"/>
      <c r="G1309" s="104"/>
    </row>
    <row r="1310" customFormat="false" ht="15" hidden="true" customHeight="true" outlineLevel="1" collapsed="false">
      <c r="A1310" s="262" t="s">
        <v>1200</v>
      </c>
      <c r="B1310" s="262"/>
      <c r="C1310" s="124" t="s">
        <v>208</v>
      </c>
      <c r="D1310" s="243"/>
      <c r="E1310" s="243"/>
      <c r="F1310" s="29"/>
      <c r="G1310" s="29" t="s">
        <v>132</v>
      </c>
    </row>
    <row r="1311" customFormat="false" ht="15" hidden="true" customHeight="true" outlineLevel="1" collapsed="false">
      <c r="A1311" s="105"/>
      <c r="B1311" s="87" t="s">
        <v>1201</v>
      </c>
      <c r="C1311" s="88" t="s">
        <v>133</v>
      </c>
      <c r="D1311" s="5"/>
      <c r="E1311" s="104"/>
      <c r="G1311" s="89" t="n">
        <v>4900</v>
      </c>
    </row>
    <row r="1312" customFormat="false" ht="15" hidden="true" customHeight="true" outlineLevel="1" collapsed="false">
      <c r="A1312" s="105"/>
      <c r="B1312" s="232" t="s">
        <v>1202</v>
      </c>
      <c r="C1312" s="88" t="s">
        <v>133</v>
      </c>
      <c r="D1312" s="5"/>
      <c r="E1312" s="104"/>
      <c r="G1312" s="89" t="n">
        <v>3500</v>
      </c>
    </row>
    <row r="1313" customFormat="false" ht="15" hidden="true" customHeight="true" outlineLevel="1" collapsed="false">
      <c r="A1313" s="105"/>
      <c r="B1313" s="232" t="s">
        <v>1203</v>
      </c>
      <c r="C1313" s="88" t="s">
        <v>156</v>
      </c>
      <c r="D1313" s="5"/>
      <c r="E1313" s="104"/>
      <c r="G1313" s="89" t="n">
        <v>200</v>
      </c>
    </row>
    <row r="1314" customFormat="false" ht="15" hidden="true" customHeight="true" outlineLevel="1" collapsed="false">
      <c r="A1314" s="105"/>
      <c r="B1314" s="232" t="s">
        <v>1204</v>
      </c>
      <c r="C1314" s="88" t="s">
        <v>159</v>
      </c>
      <c r="D1314" s="5"/>
      <c r="E1314" s="104"/>
      <c r="G1314" s="89" t="n">
        <v>50</v>
      </c>
    </row>
    <row r="1315" customFormat="false" ht="15" hidden="true" customHeight="true" outlineLevel="1" collapsed="false">
      <c r="A1315" s="105"/>
      <c r="B1315" s="232" t="s">
        <v>1205</v>
      </c>
      <c r="C1315" s="88" t="s">
        <v>159</v>
      </c>
      <c r="D1315" s="5"/>
      <c r="E1315" s="104"/>
      <c r="G1315" s="89" t="n">
        <v>100</v>
      </c>
    </row>
    <row r="1316" customFormat="false" ht="15" hidden="true" customHeight="true" outlineLevel="1" collapsed="false">
      <c r="A1316" s="105"/>
      <c r="B1316" s="232" t="s">
        <v>1206</v>
      </c>
      <c r="C1316" s="88" t="s">
        <v>159</v>
      </c>
      <c r="D1316" s="5"/>
      <c r="E1316" s="104"/>
      <c r="G1316" s="89" t="n">
        <v>50</v>
      </c>
    </row>
    <row r="1317" customFormat="false" ht="15" hidden="true" customHeight="true" outlineLevel="1" collapsed="false">
      <c r="A1317" s="105"/>
      <c r="B1317" s="275" t="s">
        <v>1207</v>
      </c>
      <c r="C1317" s="88" t="s">
        <v>159</v>
      </c>
      <c r="D1317" s="5"/>
      <c r="E1317" s="104"/>
      <c r="G1317" s="89" t="n">
        <v>130</v>
      </c>
    </row>
    <row r="1318" customFormat="false" ht="15" hidden="true" customHeight="true" outlineLevel="1" collapsed="false">
      <c r="A1318" s="105"/>
      <c r="B1318" s="232" t="s">
        <v>1208</v>
      </c>
      <c r="C1318" s="88" t="s">
        <v>159</v>
      </c>
      <c r="D1318" s="5"/>
      <c r="E1318" s="104"/>
      <c r="G1318" s="89" t="n">
        <v>150</v>
      </c>
    </row>
    <row r="1319" customFormat="false" ht="15" hidden="true" customHeight="true" outlineLevel="1" collapsed="false">
      <c r="A1319" s="105"/>
      <c r="B1319" s="232" t="s">
        <v>1209</v>
      </c>
      <c r="C1319" s="88" t="s">
        <v>159</v>
      </c>
      <c r="D1319" s="5"/>
      <c r="E1319" s="104"/>
      <c r="G1319" s="89" t="n">
        <v>80</v>
      </c>
    </row>
    <row r="1320" customFormat="false" ht="15" hidden="true" customHeight="true" outlineLevel="1" collapsed="false">
      <c r="A1320" s="105"/>
      <c r="B1320" s="232" t="s">
        <v>1210</v>
      </c>
      <c r="C1320" s="88" t="s">
        <v>159</v>
      </c>
      <c r="D1320" s="5"/>
      <c r="E1320" s="104"/>
      <c r="G1320" s="89" t="n">
        <v>60</v>
      </c>
    </row>
    <row r="1321" customFormat="false" ht="15" hidden="true" customHeight="true" outlineLevel="1" collapsed="false">
      <c r="A1321" s="105"/>
      <c r="B1321" s="232" t="s">
        <v>1211</v>
      </c>
      <c r="C1321" s="88" t="s">
        <v>156</v>
      </c>
      <c r="D1321" s="5"/>
      <c r="E1321" s="104"/>
      <c r="G1321" s="89" t="n">
        <v>40</v>
      </c>
    </row>
    <row r="1322" customFormat="false" ht="15" hidden="true" customHeight="true" outlineLevel="1" collapsed="false">
      <c r="A1322" s="105"/>
      <c r="B1322" s="232" t="s">
        <v>1212</v>
      </c>
      <c r="C1322" s="88" t="s">
        <v>159</v>
      </c>
      <c r="D1322" s="5"/>
      <c r="E1322" s="104"/>
      <c r="G1322" s="89" t="n">
        <v>40</v>
      </c>
    </row>
    <row r="1323" customFormat="false" ht="15" hidden="true" customHeight="true" outlineLevel="1" collapsed="false">
      <c r="A1323" s="105"/>
      <c r="B1323" s="232" t="s">
        <v>1213</v>
      </c>
      <c r="C1323" s="88" t="s">
        <v>159</v>
      </c>
      <c r="D1323" s="5"/>
      <c r="E1323" s="104"/>
      <c r="G1323" s="89" t="n">
        <v>15</v>
      </c>
    </row>
    <row r="1324" customFormat="false" ht="15" hidden="true" customHeight="true" outlineLevel="1" collapsed="false">
      <c r="A1324" s="105"/>
      <c r="B1324" s="232" t="s">
        <v>1214</v>
      </c>
      <c r="C1324" s="88" t="s">
        <v>133</v>
      </c>
      <c r="D1324" s="5"/>
      <c r="E1324" s="104"/>
      <c r="G1324" s="89" t="n">
        <v>6000</v>
      </c>
    </row>
    <row r="1325" customFormat="false" ht="15" hidden="true" customHeight="true" outlineLevel="1" collapsed="false">
      <c r="A1325" s="105"/>
      <c r="B1325" s="232" t="s">
        <v>1215</v>
      </c>
      <c r="C1325" s="88" t="s">
        <v>159</v>
      </c>
      <c r="D1325" s="5"/>
      <c r="E1325" s="104"/>
      <c r="G1325" s="89" t="n">
        <v>20</v>
      </c>
    </row>
    <row r="1326" customFormat="false" ht="15" hidden="true" customHeight="true" outlineLevel="1" collapsed="false">
      <c r="A1326" s="105"/>
      <c r="B1326" s="232" t="s">
        <v>1216</v>
      </c>
      <c r="C1326" s="88" t="s">
        <v>159</v>
      </c>
      <c r="D1326" s="5"/>
      <c r="E1326" s="104"/>
      <c r="G1326" s="89" t="n">
        <v>25</v>
      </c>
    </row>
    <row r="1327" customFormat="false" ht="15" hidden="true" customHeight="true" outlineLevel="1" collapsed="false">
      <c r="A1327" s="105"/>
      <c r="B1327" s="232" t="s">
        <v>1217</v>
      </c>
      <c r="C1327" s="88" t="s">
        <v>159</v>
      </c>
      <c r="D1327" s="5"/>
      <c r="E1327" s="104"/>
      <c r="G1327" s="89" t="n">
        <v>12000</v>
      </c>
    </row>
    <row r="1328" customFormat="false" ht="15" hidden="true" customHeight="true" outlineLevel="1" collapsed="false">
      <c r="A1328" s="105"/>
      <c r="B1328" s="232" t="s">
        <v>1218</v>
      </c>
      <c r="C1328" s="88" t="s">
        <v>159</v>
      </c>
      <c r="D1328" s="5"/>
      <c r="E1328" s="104"/>
      <c r="G1328" s="89" t="n">
        <v>10000</v>
      </c>
    </row>
    <row r="1329" customFormat="false" ht="15" hidden="true" customHeight="true" outlineLevel="1" collapsed="false">
      <c r="A1329" s="105"/>
      <c r="D1329" s="5"/>
      <c r="E1329" s="5"/>
      <c r="F1329" s="134"/>
      <c r="G1329" s="134"/>
    </row>
    <row r="1330" customFormat="false" ht="15" hidden="true" customHeight="true" outlineLevel="1" collapsed="false">
      <c r="A1330" s="105"/>
      <c r="D1330" s="5"/>
      <c r="E1330" s="5"/>
      <c r="F1330" s="134"/>
      <c r="G1330" s="134"/>
    </row>
    <row r="1331" customFormat="false" ht="15" hidden="true" customHeight="true" outlineLevel="1" collapsed="false">
      <c r="A1331" s="105"/>
      <c r="B1331" s="232"/>
      <c r="C1331" s="88"/>
      <c r="D1331" s="5"/>
      <c r="E1331" s="104"/>
      <c r="G1331" s="89"/>
    </row>
    <row r="1332" customFormat="false" ht="15" hidden="true" customHeight="true" outlineLevel="1" collapsed="false">
      <c r="A1332" s="105"/>
      <c r="B1332" s="232"/>
      <c r="C1332" s="88"/>
      <c r="D1332" s="5"/>
      <c r="E1332" s="104"/>
      <c r="G1332" s="89"/>
    </row>
    <row r="1333" customFormat="false" ht="15" hidden="true" customHeight="true" outlineLevel="1" collapsed="false">
      <c r="A1333" s="105"/>
      <c r="B1333" s="260"/>
      <c r="C1333" s="88"/>
      <c r="D1333" s="5"/>
      <c r="E1333" s="104"/>
      <c r="G1333" s="89"/>
    </row>
    <row r="1334" customFormat="false" ht="15" hidden="false" customHeight="true" outlineLevel="0" collapsed="false">
      <c r="A1334" s="47" t="s">
        <v>1200</v>
      </c>
      <c r="B1334" s="47"/>
      <c r="C1334" s="88"/>
      <c r="D1334" s="5"/>
      <c r="E1334" s="104"/>
      <c r="G1334" s="89"/>
    </row>
    <row r="1335" customFormat="false" ht="15" hidden="true" customHeight="true" outlineLevel="1" collapsed="false">
      <c r="A1335" s="276" t="s">
        <v>1219</v>
      </c>
      <c r="B1335" s="276"/>
      <c r="C1335" s="124" t="s">
        <v>208</v>
      </c>
      <c r="D1335" s="243"/>
      <c r="E1335" s="243"/>
      <c r="F1335" s="29"/>
      <c r="G1335" s="29" t="s">
        <v>132</v>
      </c>
    </row>
    <row r="1336" customFormat="false" ht="15" hidden="true" customHeight="true" outlineLevel="1" collapsed="false">
      <c r="A1336" s="30"/>
      <c r="B1336" s="277" t="s">
        <v>1220</v>
      </c>
      <c r="C1336" s="88" t="s">
        <v>159</v>
      </c>
      <c r="D1336" s="5"/>
      <c r="E1336" s="104"/>
      <c r="F1336" s="278" t="s">
        <v>1221</v>
      </c>
      <c r="G1336" s="134" t="s">
        <v>1222</v>
      </c>
    </row>
    <row r="1337" customFormat="false" ht="15" hidden="true" customHeight="true" outlineLevel="1" collapsed="false">
      <c r="A1337" s="31"/>
      <c r="B1337" s="114" t="s">
        <v>1223</v>
      </c>
      <c r="C1337" s="88" t="s">
        <v>159</v>
      </c>
      <c r="D1337" s="5"/>
      <c r="E1337" s="104"/>
      <c r="F1337" s="268" t="n">
        <v>9988</v>
      </c>
      <c r="G1337" s="279" t="n">
        <v>5278</v>
      </c>
    </row>
    <row r="1338" customFormat="false" ht="15" hidden="true" customHeight="true" outlineLevel="1" collapsed="false">
      <c r="A1338" s="31"/>
      <c r="B1338" s="114" t="s">
        <v>1224</v>
      </c>
      <c r="C1338" s="88" t="s">
        <v>159</v>
      </c>
      <c r="D1338" s="5"/>
      <c r="E1338" s="104"/>
      <c r="F1338" s="268" t="n">
        <v>11433</v>
      </c>
      <c r="G1338" s="279" t="n">
        <v>5355</v>
      </c>
    </row>
    <row r="1339" customFormat="false" ht="15" hidden="true" customHeight="true" outlineLevel="1" collapsed="false">
      <c r="A1339" s="31"/>
      <c r="B1339" s="114" t="s">
        <v>1225</v>
      </c>
      <c r="C1339" s="88" t="s">
        <v>159</v>
      </c>
      <c r="D1339" s="5"/>
      <c r="E1339" s="104"/>
      <c r="F1339" s="268" t="n">
        <v>12113</v>
      </c>
      <c r="G1339" s="279" t="n">
        <v>5525</v>
      </c>
    </row>
    <row r="1340" customFormat="false" ht="15" hidden="true" customHeight="true" outlineLevel="1" collapsed="false">
      <c r="A1340" s="31"/>
      <c r="B1340" s="114" t="s">
        <v>1226</v>
      </c>
      <c r="C1340" s="88" t="s">
        <v>159</v>
      </c>
      <c r="D1340" s="5"/>
      <c r="E1340" s="104"/>
      <c r="F1340" s="268" t="n">
        <v>12665</v>
      </c>
      <c r="G1340" s="279" t="n">
        <v>5993</v>
      </c>
    </row>
    <row r="1341" customFormat="false" ht="15" hidden="true" customHeight="true" outlineLevel="1" collapsed="false">
      <c r="A1341" s="31"/>
      <c r="B1341" s="114" t="s">
        <v>1227</v>
      </c>
      <c r="C1341" s="88" t="s">
        <v>159</v>
      </c>
      <c r="D1341" s="5"/>
      <c r="E1341" s="104"/>
      <c r="F1341" s="268" t="n">
        <v>12665</v>
      </c>
      <c r="G1341" s="279" t="n">
        <v>5993</v>
      </c>
    </row>
    <row r="1342" customFormat="false" ht="15" hidden="true" customHeight="true" outlineLevel="1" collapsed="false">
      <c r="A1342" s="31"/>
      <c r="B1342" s="114" t="s">
        <v>1228</v>
      </c>
      <c r="C1342" s="88" t="s">
        <v>159</v>
      </c>
      <c r="D1342" s="5"/>
      <c r="E1342" s="104"/>
      <c r="F1342" s="268" t="n">
        <v>13473</v>
      </c>
      <c r="G1342" s="279" t="n">
        <v>6290</v>
      </c>
    </row>
    <row r="1343" customFormat="false" ht="15" hidden="true" customHeight="true" outlineLevel="1" collapsed="false">
      <c r="A1343" s="31"/>
      <c r="B1343" s="114" t="s">
        <v>1229</v>
      </c>
      <c r="C1343" s="88" t="s">
        <v>159</v>
      </c>
      <c r="D1343" s="5"/>
      <c r="E1343" s="104"/>
      <c r="F1343" s="268" t="n">
        <v>14833</v>
      </c>
      <c r="G1343" s="279" t="n">
        <v>6673</v>
      </c>
    </row>
    <row r="1344" customFormat="false" ht="15" hidden="true" customHeight="true" outlineLevel="1" collapsed="false">
      <c r="A1344" s="31"/>
      <c r="B1344" s="114" t="s">
        <v>1230</v>
      </c>
      <c r="C1344" s="88" t="s">
        <v>159</v>
      </c>
      <c r="D1344" s="5"/>
      <c r="E1344" s="104"/>
      <c r="F1344" s="268" t="n">
        <v>15000</v>
      </c>
      <c r="G1344" s="279" t="n">
        <v>7353</v>
      </c>
    </row>
    <row r="1345" customFormat="false" ht="15" hidden="true" customHeight="true" outlineLevel="1" collapsed="false">
      <c r="A1345" s="31"/>
      <c r="B1345" s="114" t="s">
        <v>1231</v>
      </c>
      <c r="C1345" s="88" t="s">
        <v>159</v>
      </c>
      <c r="D1345" s="5"/>
      <c r="E1345" s="104"/>
      <c r="F1345" s="268" t="n">
        <v>15768</v>
      </c>
      <c r="G1345" s="279" t="n">
        <v>7098</v>
      </c>
    </row>
    <row r="1346" customFormat="false" ht="15" hidden="true" customHeight="true" outlineLevel="1" collapsed="false">
      <c r="A1346" s="31"/>
      <c r="B1346" s="114" t="s">
        <v>1232</v>
      </c>
      <c r="C1346" s="88" t="s">
        <v>159</v>
      </c>
      <c r="D1346" s="5"/>
      <c r="E1346" s="104"/>
      <c r="F1346" s="268" t="n">
        <v>16000</v>
      </c>
      <c r="G1346" s="279" t="n">
        <v>7480</v>
      </c>
    </row>
    <row r="1347" customFormat="false" ht="15" hidden="true" customHeight="true" outlineLevel="1" collapsed="false">
      <c r="A1347" s="31"/>
      <c r="B1347" s="114" t="s">
        <v>1233</v>
      </c>
      <c r="C1347" s="88" t="s">
        <v>159</v>
      </c>
      <c r="D1347" s="5"/>
      <c r="E1347" s="104"/>
      <c r="F1347" s="268" t="n">
        <v>16575</v>
      </c>
      <c r="G1347" s="279" t="n">
        <v>7438</v>
      </c>
    </row>
    <row r="1348" customFormat="false" ht="15" hidden="true" customHeight="true" outlineLevel="1" collapsed="false">
      <c r="A1348" s="31"/>
      <c r="B1348" s="114" t="s">
        <v>1234</v>
      </c>
      <c r="C1348" s="88" t="s">
        <v>159</v>
      </c>
      <c r="D1348" s="5"/>
      <c r="E1348" s="104"/>
      <c r="F1348" s="268" t="n">
        <v>17300</v>
      </c>
      <c r="G1348" s="279" t="n">
        <v>7863</v>
      </c>
    </row>
    <row r="1349" customFormat="false" ht="15" hidden="true" customHeight="true" outlineLevel="1" collapsed="false">
      <c r="A1349" s="31"/>
      <c r="B1349" s="114"/>
      <c r="C1349" s="88"/>
      <c r="D1349" s="5"/>
      <c r="E1349" s="104"/>
      <c r="F1349" s="268"/>
      <c r="G1349" s="279"/>
    </row>
    <row r="1350" customFormat="false" ht="15" hidden="true" customHeight="true" outlineLevel="1" collapsed="false">
      <c r="A1350" s="31"/>
      <c r="B1350" s="114"/>
      <c r="C1350" s="88"/>
      <c r="D1350" s="5"/>
      <c r="E1350" s="104"/>
      <c r="F1350" s="268"/>
      <c r="G1350" s="279"/>
    </row>
    <row r="1351" customFormat="false" ht="15" hidden="true" customHeight="true" outlineLevel="1" collapsed="false">
      <c r="A1351" s="31"/>
      <c r="B1351" s="114"/>
      <c r="C1351" s="88"/>
      <c r="D1351" s="5"/>
      <c r="E1351" s="104"/>
      <c r="F1351" s="268"/>
      <c r="G1351" s="279"/>
    </row>
    <row r="1352" customFormat="false" ht="15" hidden="true" customHeight="true" outlineLevel="1" collapsed="false">
      <c r="A1352" s="31"/>
      <c r="B1352" s="114"/>
      <c r="C1352" s="88"/>
      <c r="D1352" s="5"/>
      <c r="E1352" s="104"/>
      <c r="F1352" s="268"/>
      <c r="G1352" s="279"/>
    </row>
    <row r="1353" customFormat="false" ht="15" hidden="true" customHeight="true" outlineLevel="1" collapsed="false">
      <c r="A1353" s="31"/>
      <c r="B1353" s="114"/>
      <c r="C1353" s="88"/>
      <c r="D1353" s="5"/>
      <c r="E1353" s="104"/>
      <c r="F1353" s="268"/>
      <c r="G1353" s="279"/>
    </row>
    <row r="1354" customFormat="false" ht="15" hidden="true" customHeight="true" outlineLevel="1" collapsed="false">
      <c r="A1354" s="31"/>
      <c r="B1354" s="114"/>
      <c r="C1354" s="88"/>
      <c r="D1354" s="5"/>
      <c r="E1354" s="104"/>
      <c r="F1354" s="268"/>
      <c r="G1354" s="279"/>
    </row>
    <row r="1355" customFormat="false" ht="15" hidden="true" customHeight="true" outlineLevel="1" collapsed="false">
      <c r="A1355" s="31"/>
      <c r="B1355" s="114"/>
      <c r="C1355" s="88"/>
      <c r="D1355" s="5"/>
      <c r="E1355" s="104"/>
      <c r="F1355" s="268"/>
      <c r="G1355" s="279"/>
    </row>
    <row r="1356" customFormat="false" ht="15" hidden="true" customHeight="true" outlineLevel="1" collapsed="false">
      <c r="A1356" s="31"/>
      <c r="B1356" s="114"/>
      <c r="C1356" s="88"/>
      <c r="D1356" s="5"/>
      <c r="E1356" s="104"/>
      <c r="F1356" s="268"/>
      <c r="G1356" s="279"/>
    </row>
    <row r="1357" customFormat="false" ht="15" hidden="true" customHeight="true" outlineLevel="1" collapsed="false">
      <c r="A1357" s="31"/>
      <c r="B1357" s="280"/>
      <c r="C1357" s="88"/>
      <c r="D1357" s="5"/>
      <c r="E1357" s="104"/>
      <c r="F1357" s="268"/>
      <c r="G1357" s="279"/>
    </row>
    <row r="1358" customFormat="false" ht="15" hidden="false" customHeight="true" outlineLevel="0" collapsed="false">
      <c r="A1358" s="47" t="s">
        <v>1219</v>
      </c>
      <c r="B1358" s="47"/>
      <c r="C1358" s="88"/>
      <c r="D1358" s="5"/>
      <c r="E1358" s="104"/>
      <c r="F1358" s="268"/>
      <c r="G1358" s="279"/>
    </row>
    <row r="1359" customFormat="false" ht="15" hidden="true" customHeight="true" outlineLevel="1" collapsed="false">
      <c r="A1359" s="262" t="s">
        <v>1235</v>
      </c>
      <c r="B1359" s="262"/>
      <c r="C1359" s="124" t="s">
        <v>208</v>
      </c>
      <c r="D1359" s="243"/>
      <c r="E1359" s="243"/>
      <c r="F1359" s="29"/>
      <c r="G1359" s="29" t="s">
        <v>132</v>
      </c>
    </row>
    <row r="1360" customFormat="false" ht="15" hidden="true" customHeight="true" outlineLevel="1" collapsed="false">
      <c r="A1360" s="30"/>
      <c r="B1360" s="232" t="s">
        <v>1236</v>
      </c>
      <c r="C1360" s="88" t="s">
        <v>1094</v>
      </c>
      <c r="D1360" s="5"/>
      <c r="E1360" s="104"/>
      <c r="G1360" s="89" t="s">
        <v>854</v>
      </c>
    </row>
    <row r="1361" customFormat="false" ht="15" hidden="true" customHeight="true" outlineLevel="1" collapsed="false">
      <c r="A1361" s="31"/>
      <c r="B1361" s="232" t="s">
        <v>1237</v>
      </c>
      <c r="C1361" s="88" t="s">
        <v>159</v>
      </c>
      <c r="D1361" s="5"/>
      <c r="E1361" s="104"/>
      <c r="G1361" s="89" t="n">
        <v>400</v>
      </c>
    </row>
    <row r="1362" customFormat="false" ht="15" hidden="true" customHeight="true" outlineLevel="1" collapsed="false">
      <c r="A1362" s="31"/>
      <c r="B1362" s="232" t="s">
        <v>1238</v>
      </c>
      <c r="C1362" s="88" t="s">
        <v>159</v>
      </c>
      <c r="D1362" s="5"/>
      <c r="E1362" s="104"/>
      <c r="G1362" s="89" t="n">
        <v>2000</v>
      </c>
    </row>
    <row r="1363" customFormat="false" ht="15" hidden="true" customHeight="true" outlineLevel="1" collapsed="false">
      <c r="A1363" s="31"/>
      <c r="B1363" s="232" t="s">
        <v>1239</v>
      </c>
      <c r="C1363" s="88" t="s">
        <v>159</v>
      </c>
      <c r="D1363" s="5"/>
      <c r="E1363" s="104"/>
      <c r="G1363" s="89" t="n">
        <v>1000</v>
      </c>
    </row>
    <row r="1364" customFormat="false" ht="15" hidden="true" customHeight="true" outlineLevel="1" collapsed="false">
      <c r="A1364" s="31"/>
      <c r="B1364" s="232" t="s">
        <v>1240</v>
      </c>
      <c r="C1364" s="88" t="s">
        <v>159</v>
      </c>
      <c r="D1364" s="5"/>
      <c r="E1364" s="104"/>
      <c r="G1364" s="89" t="n">
        <v>900</v>
      </c>
    </row>
    <row r="1365" customFormat="false" ht="15" hidden="true" customHeight="true" outlineLevel="1" collapsed="false">
      <c r="A1365" s="31"/>
      <c r="B1365" s="232" t="s">
        <v>1241</v>
      </c>
      <c r="C1365" s="88" t="s">
        <v>159</v>
      </c>
      <c r="D1365" s="5"/>
      <c r="E1365" s="104"/>
      <c r="G1365" s="89" t="n">
        <v>500</v>
      </c>
    </row>
    <row r="1366" customFormat="false" ht="15" hidden="true" customHeight="true" outlineLevel="1" collapsed="false">
      <c r="A1366" s="31"/>
      <c r="B1366" s="232" t="s">
        <v>1242</v>
      </c>
      <c r="C1366" s="88" t="s">
        <v>159</v>
      </c>
      <c r="D1366" s="5"/>
      <c r="E1366" s="104"/>
      <c r="G1366" s="89" t="n">
        <v>1500</v>
      </c>
    </row>
    <row r="1367" customFormat="false" ht="15" hidden="true" customHeight="true" outlineLevel="1" collapsed="false">
      <c r="A1367" s="31"/>
      <c r="B1367" s="232" t="s">
        <v>1243</v>
      </c>
      <c r="C1367" s="88" t="s">
        <v>159</v>
      </c>
      <c r="D1367" s="5"/>
      <c r="E1367" s="104"/>
      <c r="G1367" s="89" t="n">
        <v>15</v>
      </c>
    </row>
    <row r="1368" customFormat="false" ht="15" hidden="true" customHeight="true" outlineLevel="1" collapsed="false">
      <c r="A1368" s="31"/>
      <c r="B1368" s="232" t="s">
        <v>1244</v>
      </c>
      <c r="C1368" s="88" t="s">
        <v>159</v>
      </c>
      <c r="D1368" s="5"/>
      <c r="E1368" s="104"/>
      <c r="G1368" s="89" t="n">
        <v>20</v>
      </c>
    </row>
    <row r="1369" customFormat="false" ht="15" hidden="true" customHeight="true" outlineLevel="1" collapsed="false">
      <c r="A1369" s="31"/>
      <c r="B1369" s="232" t="s">
        <v>1245</v>
      </c>
      <c r="C1369" s="88" t="s">
        <v>159</v>
      </c>
      <c r="D1369" s="5"/>
      <c r="E1369" s="104"/>
      <c r="G1369" s="89" t="n">
        <v>200</v>
      </c>
    </row>
    <row r="1370" customFormat="false" ht="15" hidden="true" customHeight="true" outlineLevel="1" collapsed="false">
      <c r="A1370" s="31"/>
      <c r="B1370" s="232" t="s">
        <v>1246</v>
      </c>
      <c r="C1370" s="88" t="s">
        <v>159</v>
      </c>
      <c r="D1370" s="5"/>
      <c r="E1370" s="104"/>
      <c r="G1370" s="89" t="n">
        <v>100</v>
      </c>
    </row>
    <row r="1371" customFormat="false" ht="15" hidden="true" customHeight="true" outlineLevel="1" collapsed="false">
      <c r="A1371" s="31"/>
      <c r="B1371" s="232"/>
      <c r="C1371" s="88"/>
      <c r="D1371" s="5"/>
      <c r="E1371" s="104"/>
      <c r="G1371" s="89"/>
    </row>
    <row r="1372" customFormat="false" ht="15" hidden="true" customHeight="true" outlineLevel="1" collapsed="false">
      <c r="A1372" s="31"/>
      <c r="B1372" s="260"/>
      <c r="C1372" s="88"/>
      <c r="D1372" s="5"/>
      <c r="E1372" s="104"/>
      <c r="G1372" s="89"/>
    </row>
    <row r="1373" customFormat="false" ht="15" hidden="false" customHeight="true" outlineLevel="0" collapsed="false">
      <c r="A1373" s="47" t="s">
        <v>1235</v>
      </c>
      <c r="B1373" s="47"/>
      <c r="D1373" s="5"/>
      <c r="E1373" s="104"/>
      <c r="G1373" s="134"/>
    </row>
    <row r="1374" customFormat="false" ht="15" hidden="true" customHeight="true" outlineLevel="1" collapsed="false">
      <c r="A1374" s="281" t="s">
        <v>1247</v>
      </c>
      <c r="B1374" s="281"/>
      <c r="C1374" s="124" t="s">
        <v>208</v>
      </c>
      <c r="D1374" s="243"/>
      <c r="E1374" s="243"/>
      <c r="F1374" s="29"/>
      <c r="G1374" s="29" t="s">
        <v>132</v>
      </c>
    </row>
    <row r="1375" customFormat="false" ht="15" hidden="true" customHeight="true" outlineLevel="1" collapsed="false">
      <c r="A1375" s="30"/>
      <c r="B1375" s="232" t="s">
        <v>1248</v>
      </c>
      <c r="C1375" s="88" t="s">
        <v>135</v>
      </c>
      <c r="D1375" s="5"/>
      <c r="E1375" s="104"/>
      <c r="G1375" s="89" t="n">
        <v>4500</v>
      </c>
    </row>
    <row r="1376" customFormat="false" ht="15" hidden="true" customHeight="true" outlineLevel="1" collapsed="false">
      <c r="A1376" s="31"/>
      <c r="B1376" s="87" t="s">
        <v>1249</v>
      </c>
      <c r="C1376" s="88" t="s">
        <v>133</v>
      </c>
      <c r="D1376" s="5"/>
      <c r="E1376" s="104"/>
      <c r="G1376" s="89" t="n">
        <v>350</v>
      </c>
    </row>
    <row r="1377" customFormat="false" ht="15" hidden="true" customHeight="true" outlineLevel="1" collapsed="false">
      <c r="A1377" s="31"/>
      <c r="B1377" s="87" t="s">
        <v>1250</v>
      </c>
      <c r="C1377" s="88" t="s">
        <v>159</v>
      </c>
      <c r="D1377" s="5"/>
      <c r="E1377" s="104"/>
      <c r="G1377" s="89" t="n">
        <v>300</v>
      </c>
    </row>
    <row r="1378" customFormat="false" ht="15" hidden="true" customHeight="true" outlineLevel="1" collapsed="false">
      <c r="A1378" s="31"/>
      <c r="B1378" s="7" t="s">
        <v>1251</v>
      </c>
      <c r="C1378" s="88" t="s">
        <v>156</v>
      </c>
      <c r="D1378" s="5"/>
      <c r="E1378" s="104"/>
      <c r="G1378" s="89" t="n">
        <v>60</v>
      </c>
    </row>
    <row r="1379" customFormat="false" ht="15" hidden="true" customHeight="true" outlineLevel="1" collapsed="false">
      <c r="A1379" s="31"/>
      <c r="B1379" s="7" t="s">
        <v>1252</v>
      </c>
      <c r="C1379" s="88" t="s">
        <v>156</v>
      </c>
      <c r="D1379" s="5"/>
      <c r="E1379" s="104"/>
      <c r="G1379" s="89" t="n">
        <v>40</v>
      </c>
    </row>
    <row r="1380" customFormat="false" ht="15" hidden="true" customHeight="true" outlineLevel="1" collapsed="false">
      <c r="A1380" s="31"/>
      <c r="B1380" s="282" t="s">
        <v>1253</v>
      </c>
      <c r="C1380" s="88" t="s">
        <v>133</v>
      </c>
      <c r="D1380" s="5"/>
      <c r="E1380" s="104"/>
      <c r="G1380" s="89" t="n">
        <v>550</v>
      </c>
    </row>
    <row r="1381" customFormat="false" ht="15" hidden="true" customHeight="true" outlineLevel="1" collapsed="false">
      <c r="A1381" s="31"/>
      <c r="B1381" s="282" t="s">
        <v>1254</v>
      </c>
      <c r="C1381" s="88" t="s">
        <v>159</v>
      </c>
      <c r="D1381" s="5"/>
      <c r="E1381" s="104"/>
      <c r="G1381" s="89" t="n">
        <v>350</v>
      </c>
    </row>
    <row r="1382" customFormat="false" ht="15" hidden="true" customHeight="true" outlineLevel="1" collapsed="false">
      <c r="A1382" s="31"/>
      <c r="B1382" s="282" t="s">
        <v>1255</v>
      </c>
      <c r="C1382" s="88" t="s">
        <v>133</v>
      </c>
      <c r="D1382" s="5"/>
      <c r="E1382" s="104"/>
      <c r="G1382" s="89" t="n">
        <v>450</v>
      </c>
    </row>
    <row r="1383" customFormat="false" ht="15" hidden="true" customHeight="true" outlineLevel="1" collapsed="false">
      <c r="A1383" s="31"/>
      <c r="B1383" s="87" t="s">
        <v>1256</v>
      </c>
      <c r="C1383" s="88" t="s">
        <v>133</v>
      </c>
      <c r="D1383" s="5"/>
      <c r="E1383" s="104"/>
      <c r="G1383" s="89" t="n">
        <v>450</v>
      </c>
    </row>
    <row r="1384" customFormat="false" ht="15" hidden="true" customHeight="true" outlineLevel="1" collapsed="false">
      <c r="A1384" s="31"/>
      <c r="B1384" s="232" t="s">
        <v>1257</v>
      </c>
      <c r="C1384" s="88" t="s">
        <v>159</v>
      </c>
      <c r="D1384" s="5"/>
      <c r="E1384" s="104"/>
      <c r="G1384" s="89" t="n">
        <v>15</v>
      </c>
    </row>
    <row r="1385" customFormat="false" ht="15" hidden="true" customHeight="true" outlineLevel="1" collapsed="false">
      <c r="A1385" s="31"/>
      <c r="B1385" s="283" t="s">
        <v>1258</v>
      </c>
      <c r="C1385" s="88" t="s">
        <v>133</v>
      </c>
      <c r="D1385" s="5"/>
      <c r="E1385" s="104"/>
      <c r="G1385" s="89" t="n">
        <v>1000</v>
      </c>
    </row>
    <row r="1386" customFormat="false" ht="15" hidden="true" customHeight="true" outlineLevel="1" collapsed="false">
      <c r="A1386" s="31"/>
      <c r="B1386" s="283" t="s">
        <v>1259</v>
      </c>
      <c r="C1386" s="88" t="s">
        <v>126</v>
      </c>
      <c r="D1386" s="5"/>
      <c r="E1386" s="104"/>
      <c r="G1386" s="89" t="n">
        <v>250</v>
      </c>
    </row>
    <row r="1387" customFormat="false" ht="15" hidden="true" customHeight="true" outlineLevel="1" collapsed="false">
      <c r="A1387" s="31"/>
      <c r="B1387" s="284" t="s">
        <v>1260</v>
      </c>
      <c r="C1387" s="88" t="s">
        <v>156</v>
      </c>
      <c r="D1387" s="5"/>
      <c r="E1387" s="104"/>
      <c r="G1387" s="89" t="n">
        <v>100</v>
      </c>
    </row>
    <row r="1388" customFormat="false" ht="15" hidden="true" customHeight="true" outlineLevel="1" collapsed="false">
      <c r="A1388" s="31"/>
      <c r="B1388" s="226" t="s">
        <v>1261</v>
      </c>
      <c r="C1388" s="88" t="s">
        <v>133</v>
      </c>
      <c r="D1388" s="5"/>
      <c r="E1388" s="104"/>
      <c r="G1388" s="89" t="n">
        <v>600</v>
      </c>
    </row>
    <row r="1389" customFormat="false" ht="15" hidden="true" customHeight="true" outlineLevel="1" collapsed="false">
      <c r="A1389" s="31"/>
      <c r="B1389" s="5" t="s">
        <v>1262</v>
      </c>
      <c r="C1389" s="6" t="s">
        <v>188</v>
      </c>
      <c r="D1389" s="5"/>
      <c r="E1389" s="5"/>
      <c r="F1389" s="134"/>
      <c r="G1389" s="134" t="n">
        <v>0</v>
      </c>
    </row>
    <row r="1390" customFormat="false" ht="15" hidden="true" customHeight="true" outlineLevel="1" collapsed="false">
      <c r="A1390" s="31"/>
      <c r="B1390" s="5" t="s">
        <v>1263</v>
      </c>
      <c r="C1390" s="6" t="s">
        <v>188</v>
      </c>
      <c r="D1390" s="5"/>
      <c r="E1390" s="5"/>
      <c r="F1390" s="134"/>
      <c r="G1390" s="134" t="n">
        <v>150</v>
      </c>
    </row>
    <row r="1391" customFormat="false" ht="15" hidden="true" customHeight="true" outlineLevel="1" collapsed="false">
      <c r="A1391" s="31"/>
      <c r="B1391" s="5" t="s">
        <v>1264</v>
      </c>
      <c r="C1391" s="6" t="s">
        <v>188</v>
      </c>
      <c r="D1391" s="5"/>
      <c r="E1391" s="104"/>
      <c r="G1391" s="134" t="n">
        <v>250</v>
      </c>
    </row>
    <row r="1392" customFormat="false" ht="15" hidden="true" customHeight="true" outlineLevel="1" collapsed="false">
      <c r="A1392" s="31"/>
      <c r="B1392" s="5" t="s">
        <v>1265</v>
      </c>
      <c r="C1392" s="6" t="s">
        <v>188</v>
      </c>
      <c r="D1392" s="5"/>
      <c r="E1392" s="104"/>
      <c r="G1392" s="134" t="n">
        <v>350</v>
      </c>
    </row>
    <row r="1393" customFormat="false" ht="15" hidden="true" customHeight="true" outlineLevel="1" collapsed="false">
      <c r="A1393" s="31"/>
      <c r="B1393" s="115"/>
      <c r="D1393" s="5"/>
      <c r="E1393" s="104"/>
      <c r="G1393" s="134"/>
    </row>
    <row r="1394" customFormat="false" ht="15" hidden="false" customHeight="true" outlineLevel="0" collapsed="false">
      <c r="A1394" s="47" t="s">
        <v>1247</v>
      </c>
      <c r="B1394" s="47"/>
      <c r="D1394" s="5"/>
      <c r="E1394" s="104"/>
      <c r="G1394" s="134"/>
    </row>
    <row r="1395" customFormat="false" ht="15" hidden="true" customHeight="true" outlineLevel="1" collapsed="false">
      <c r="A1395" s="242" t="s">
        <v>1266</v>
      </c>
      <c r="B1395" s="242"/>
      <c r="C1395" s="124" t="s">
        <v>208</v>
      </c>
      <c r="D1395" s="243"/>
      <c r="E1395" s="243"/>
      <c r="F1395" s="29"/>
      <c r="G1395" s="29" t="s">
        <v>132</v>
      </c>
    </row>
    <row r="1396" customFormat="false" ht="15" hidden="true" customHeight="true" outlineLevel="1" collapsed="false">
      <c r="A1396" s="30"/>
      <c r="B1396" s="88" t="s">
        <v>1267</v>
      </c>
      <c r="C1396" s="88"/>
      <c r="D1396" s="5"/>
      <c r="E1396" s="104"/>
      <c r="G1396" s="89"/>
    </row>
    <row r="1397" customFormat="false" ht="15" hidden="true" customHeight="true" outlineLevel="1" collapsed="false">
      <c r="A1397" s="31"/>
      <c r="B1397" s="232" t="s">
        <v>1268</v>
      </c>
      <c r="C1397" s="88" t="s">
        <v>133</v>
      </c>
      <c r="D1397" s="5"/>
      <c r="E1397" s="104"/>
      <c r="G1397" s="89" t="n">
        <v>90</v>
      </c>
    </row>
    <row r="1398" customFormat="false" ht="15" hidden="true" customHeight="true" outlineLevel="1" collapsed="false">
      <c r="A1398" s="31"/>
      <c r="B1398" s="232" t="s">
        <v>1269</v>
      </c>
      <c r="C1398" s="88" t="s">
        <v>159</v>
      </c>
      <c r="D1398" s="5"/>
      <c r="E1398" s="104"/>
      <c r="G1398" s="89" t="n">
        <v>100</v>
      </c>
    </row>
    <row r="1399" customFormat="false" ht="15" hidden="true" customHeight="true" outlineLevel="1" collapsed="false">
      <c r="A1399" s="31"/>
      <c r="B1399" s="232" t="s">
        <v>1270</v>
      </c>
      <c r="C1399" s="88" t="s">
        <v>159</v>
      </c>
      <c r="D1399" s="5"/>
      <c r="E1399" s="104"/>
      <c r="G1399" s="89" t="n">
        <v>100</v>
      </c>
    </row>
    <row r="1400" customFormat="false" ht="15" hidden="true" customHeight="true" outlineLevel="1" collapsed="false">
      <c r="A1400" s="31"/>
      <c r="B1400" s="232" t="s">
        <v>1271</v>
      </c>
      <c r="C1400" s="88" t="s">
        <v>159</v>
      </c>
      <c r="D1400" s="5"/>
      <c r="E1400" s="104"/>
      <c r="G1400" s="89" t="n">
        <v>9</v>
      </c>
    </row>
    <row r="1401" customFormat="false" ht="15" hidden="true" customHeight="true" outlineLevel="1" collapsed="false">
      <c r="A1401" s="31"/>
      <c r="B1401" s="232" t="s">
        <v>1272</v>
      </c>
      <c r="C1401" s="88" t="s">
        <v>159</v>
      </c>
      <c r="D1401" s="5"/>
      <c r="E1401" s="104"/>
      <c r="G1401" s="89" t="n">
        <v>0.025</v>
      </c>
    </row>
    <row r="1402" customFormat="false" ht="15" hidden="true" customHeight="true" outlineLevel="1" collapsed="false">
      <c r="A1402" s="31"/>
      <c r="B1402" s="232" t="s">
        <v>1273</v>
      </c>
      <c r="C1402" s="88" t="s">
        <v>159</v>
      </c>
      <c r="D1402" s="5"/>
      <c r="E1402" s="104"/>
      <c r="G1402" s="89" t="n">
        <v>0.025</v>
      </c>
    </row>
    <row r="1403" customFormat="false" ht="15" hidden="true" customHeight="true" outlineLevel="1" collapsed="false">
      <c r="A1403" s="31"/>
      <c r="B1403" s="232" t="s">
        <v>1274</v>
      </c>
      <c r="C1403" s="88" t="s">
        <v>159</v>
      </c>
      <c r="D1403" s="5"/>
      <c r="E1403" s="104"/>
      <c r="G1403" s="89" t="n">
        <v>500</v>
      </c>
    </row>
    <row r="1404" customFormat="false" ht="15" hidden="true" customHeight="true" outlineLevel="1" collapsed="false">
      <c r="A1404" s="31"/>
      <c r="B1404" s="232" t="s">
        <v>1275</v>
      </c>
      <c r="C1404" s="88" t="s">
        <v>159</v>
      </c>
      <c r="D1404" s="5"/>
      <c r="E1404" s="104"/>
      <c r="G1404" s="89" t="n">
        <v>500</v>
      </c>
    </row>
    <row r="1405" customFormat="false" ht="15" hidden="true" customHeight="true" outlineLevel="1" collapsed="false">
      <c r="A1405" s="31"/>
      <c r="B1405" s="232" t="s">
        <v>1276</v>
      </c>
      <c r="C1405" s="88" t="s">
        <v>159</v>
      </c>
      <c r="D1405" s="5"/>
      <c r="E1405" s="104"/>
      <c r="G1405" s="89" t="n">
        <v>400</v>
      </c>
    </row>
    <row r="1406" customFormat="false" ht="15" hidden="true" customHeight="true" outlineLevel="1" collapsed="false">
      <c r="A1406" s="31"/>
      <c r="B1406" s="232" t="s">
        <v>1277</v>
      </c>
      <c r="C1406" s="88" t="s">
        <v>159</v>
      </c>
      <c r="D1406" s="5"/>
      <c r="E1406" s="104"/>
      <c r="G1406" s="89" t="n">
        <v>100</v>
      </c>
    </row>
    <row r="1407" customFormat="false" ht="15" hidden="true" customHeight="true" outlineLevel="1" collapsed="false">
      <c r="A1407" s="31"/>
      <c r="B1407" s="232" t="s">
        <v>1278</v>
      </c>
      <c r="C1407" s="285" t="s">
        <v>133</v>
      </c>
      <c r="D1407" s="5"/>
      <c r="E1407" s="104"/>
      <c r="G1407" s="89" t="n">
        <v>30</v>
      </c>
    </row>
    <row r="1408" customFormat="false" ht="15" hidden="true" customHeight="true" outlineLevel="1" collapsed="false">
      <c r="A1408" s="31"/>
      <c r="B1408" s="232" t="s">
        <v>1279</v>
      </c>
      <c r="C1408" s="285" t="s">
        <v>159</v>
      </c>
      <c r="D1408" s="5"/>
      <c r="E1408" s="104"/>
      <c r="G1408" s="89" t="n">
        <v>120</v>
      </c>
    </row>
    <row r="1409" customFormat="false" ht="15" hidden="true" customHeight="true" outlineLevel="1" collapsed="false">
      <c r="A1409" s="31"/>
      <c r="B1409" s="232" t="s">
        <v>1280</v>
      </c>
      <c r="C1409" s="285" t="s">
        <v>159</v>
      </c>
      <c r="D1409" s="5"/>
      <c r="E1409" s="104"/>
      <c r="G1409" s="89" t="n">
        <v>900</v>
      </c>
    </row>
    <row r="1410" customFormat="false" ht="15" hidden="true" customHeight="true" outlineLevel="1" collapsed="false">
      <c r="A1410" s="31"/>
      <c r="B1410" s="261" t="s">
        <v>1255</v>
      </c>
      <c r="C1410" s="285" t="s">
        <v>133</v>
      </c>
      <c r="D1410" s="5"/>
      <c r="E1410" s="104"/>
      <c r="G1410" s="89" t="n">
        <v>350</v>
      </c>
    </row>
    <row r="1411" customFormat="false" ht="15" hidden="true" customHeight="true" outlineLevel="1" collapsed="false">
      <c r="A1411" s="31"/>
      <c r="B1411" s="261" t="s">
        <v>1281</v>
      </c>
      <c r="C1411" s="285" t="s">
        <v>133</v>
      </c>
      <c r="D1411" s="5"/>
      <c r="E1411" s="104"/>
      <c r="G1411" s="89" t="n">
        <v>500</v>
      </c>
    </row>
    <row r="1412" customFormat="false" ht="15" hidden="true" customHeight="true" outlineLevel="1" collapsed="false">
      <c r="A1412" s="31"/>
      <c r="B1412" s="261" t="s">
        <v>1282</v>
      </c>
      <c r="C1412" s="285" t="s">
        <v>133</v>
      </c>
      <c r="D1412" s="5"/>
      <c r="E1412" s="104"/>
      <c r="G1412" s="89" t="n">
        <v>250</v>
      </c>
    </row>
    <row r="1413" customFormat="false" ht="15" hidden="true" customHeight="true" outlineLevel="1" collapsed="false">
      <c r="A1413" s="31"/>
      <c r="B1413" s="261" t="s">
        <v>1283</v>
      </c>
      <c r="C1413" s="285" t="s">
        <v>156</v>
      </c>
      <c r="D1413" s="5"/>
      <c r="E1413" s="104"/>
      <c r="G1413" s="89" t="n">
        <v>6</v>
      </c>
    </row>
    <row r="1414" customFormat="false" ht="15" hidden="true" customHeight="true" outlineLevel="1" collapsed="false">
      <c r="A1414" s="31"/>
      <c r="B1414" s="261" t="s">
        <v>1284</v>
      </c>
      <c r="C1414" s="285" t="s">
        <v>159</v>
      </c>
      <c r="D1414" s="5"/>
      <c r="E1414" s="104"/>
      <c r="G1414" s="89" t="n">
        <v>8</v>
      </c>
    </row>
    <row r="1415" customFormat="false" ht="15" hidden="true" customHeight="true" outlineLevel="1" collapsed="false">
      <c r="A1415" s="31"/>
      <c r="B1415" s="261" t="s">
        <v>1285</v>
      </c>
      <c r="C1415" s="285" t="s">
        <v>159</v>
      </c>
      <c r="D1415" s="5"/>
      <c r="E1415" s="104"/>
      <c r="G1415" s="89" t="n">
        <v>0.02</v>
      </c>
    </row>
    <row r="1416" customFormat="false" ht="15" hidden="true" customHeight="true" outlineLevel="1" collapsed="false">
      <c r="A1416" s="31"/>
      <c r="B1416" s="232" t="s">
        <v>1286</v>
      </c>
      <c r="C1416" s="285" t="s">
        <v>159</v>
      </c>
      <c r="D1416" s="5"/>
      <c r="E1416" s="104"/>
      <c r="G1416" s="89" t="n">
        <v>0.02</v>
      </c>
    </row>
    <row r="1417" customFormat="false" ht="15" hidden="true" customHeight="true" outlineLevel="1" collapsed="false">
      <c r="A1417" s="31"/>
      <c r="B1417" s="88" t="s">
        <v>1287</v>
      </c>
      <c r="C1417" s="285"/>
      <c r="D1417" s="5"/>
      <c r="E1417" s="104"/>
      <c r="G1417" s="89"/>
    </row>
    <row r="1418" customFormat="false" ht="15" hidden="true" customHeight="true" outlineLevel="1" collapsed="false">
      <c r="A1418" s="31"/>
      <c r="B1418" s="232" t="s">
        <v>1288</v>
      </c>
      <c r="C1418" s="88" t="s">
        <v>133</v>
      </c>
      <c r="D1418" s="5"/>
      <c r="E1418" s="104"/>
      <c r="G1418" s="89" t="n">
        <v>80</v>
      </c>
    </row>
    <row r="1419" customFormat="false" ht="15" hidden="true" customHeight="true" outlineLevel="1" collapsed="false">
      <c r="A1419" s="31"/>
      <c r="B1419" s="232" t="s">
        <v>1269</v>
      </c>
      <c r="C1419" s="88" t="s">
        <v>159</v>
      </c>
      <c r="D1419" s="5"/>
      <c r="E1419" s="104"/>
      <c r="G1419" s="89" t="n">
        <v>100</v>
      </c>
    </row>
    <row r="1420" customFormat="false" ht="15" hidden="true" customHeight="true" outlineLevel="1" collapsed="false">
      <c r="A1420" s="31"/>
      <c r="B1420" s="232" t="s">
        <v>1270</v>
      </c>
      <c r="C1420" s="88" t="s">
        <v>159</v>
      </c>
      <c r="D1420" s="5"/>
      <c r="E1420" s="104"/>
      <c r="G1420" s="89" t="n">
        <v>100</v>
      </c>
    </row>
    <row r="1421" customFormat="false" ht="15" hidden="true" customHeight="true" outlineLevel="1" collapsed="false">
      <c r="A1421" s="31"/>
      <c r="B1421" s="232" t="s">
        <v>1271</v>
      </c>
      <c r="C1421" s="88" t="s">
        <v>159</v>
      </c>
      <c r="D1421" s="5"/>
      <c r="E1421" s="104"/>
      <c r="G1421" s="89" t="n">
        <v>9</v>
      </c>
    </row>
    <row r="1422" customFormat="false" ht="15" hidden="true" customHeight="true" outlineLevel="1" collapsed="false">
      <c r="A1422" s="31"/>
      <c r="B1422" s="232" t="s">
        <v>1272</v>
      </c>
      <c r="C1422" s="88" t="s">
        <v>159</v>
      </c>
      <c r="D1422" s="5"/>
      <c r="E1422" s="104"/>
      <c r="G1422" s="89" t="n">
        <v>0.025</v>
      </c>
    </row>
    <row r="1423" customFormat="false" ht="15" hidden="true" customHeight="true" outlineLevel="1" collapsed="false">
      <c r="A1423" s="31"/>
      <c r="B1423" s="232" t="s">
        <v>1273</v>
      </c>
      <c r="C1423" s="88" t="s">
        <v>159</v>
      </c>
      <c r="D1423" s="5"/>
      <c r="E1423" s="104"/>
      <c r="G1423" s="89" t="n">
        <v>0.025</v>
      </c>
    </row>
    <row r="1424" customFormat="false" ht="15" hidden="true" customHeight="true" outlineLevel="1" collapsed="false">
      <c r="A1424" s="31"/>
      <c r="B1424" s="232" t="s">
        <v>1274</v>
      </c>
      <c r="C1424" s="88" t="s">
        <v>159</v>
      </c>
      <c r="D1424" s="5"/>
      <c r="E1424" s="104"/>
      <c r="G1424" s="89" t="n">
        <v>500</v>
      </c>
    </row>
    <row r="1425" customFormat="false" ht="15" hidden="true" customHeight="true" outlineLevel="1" collapsed="false">
      <c r="A1425" s="31"/>
      <c r="B1425" s="232" t="s">
        <v>1275</v>
      </c>
      <c r="C1425" s="88" t="s">
        <v>159</v>
      </c>
      <c r="D1425" s="5"/>
      <c r="E1425" s="104"/>
      <c r="G1425" s="89" t="n">
        <v>500</v>
      </c>
    </row>
    <row r="1426" customFormat="false" ht="15" hidden="true" customHeight="true" outlineLevel="1" collapsed="false">
      <c r="A1426" s="31"/>
      <c r="B1426" s="232" t="s">
        <v>1276</v>
      </c>
      <c r="C1426" s="88" t="s">
        <v>159</v>
      </c>
      <c r="D1426" s="5"/>
      <c r="E1426" s="104"/>
      <c r="G1426" s="89" t="n">
        <v>400</v>
      </c>
    </row>
    <row r="1427" customFormat="false" ht="15" hidden="true" customHeight="true" outlineLevel="1" collapsed="false">
      <c r="A1427" s="31"/>
      <c r="B1427" s="232" t="s">
        <v>1277</v>
      </c>
      <c r="C1427" s="88" t="s">
        <v>159</v>
      </c>
      <c r="D1427" s="5"/>
      <c r="E1427" s="104"/>
      <c r="G1427" s="89" t="n">
        <v>100</v>
      </c>
    </row>
    <row r="1428" customFormat="false" ht="15" hidden="true" customHeight="true" outlineLevel="1" collapsed="false">
      <c r="A1428" s="31"/>
      <c r="B1428" s="232" t="s">
        <v>1289</v>
      </c>
      <c r="C1428" s="285" t="s">
        <v>159</v>
      </c>
      <c r="D1428" s="5"/>
      <c r="E1428" s="104"/>
      <c r="G1428" s="89" t="n">
        <v>1200</v>
      </c>
    </row>
    <row r="1429" customFormat="false" ht="15" hidden="true" customHeight="true" outlineLevel="1" collapsed="false">
      <c r="A1429" s="31"/>
      <c r="B1429" s="232" t="s">
        <v>1290</v>
      </c>
      <c r="C1429" s="285" t="s">
        <v>156</v>
      </c>
      <c r="D1429" s="5"/>
      <c r="E1429" s="104"/>
      <c r="G1429" s="89" t="n">
        <v>10</v>
      </c>
    </row>
    <row r="1430" customFormat="false" ht="15" hidden="true" customHeight="true" outlineLevel="1" collapsed="false">
      <c r="A1430" s="31"/>
      <c r="B1430" s="232" t="s">
        <v>1291</v>
      </c>
      <c r="C1430" s="285" t="s">
        <v>159</v>
      </c>
      <c r="D1430" s="5"/>
      <c r="E1430" s="104"/>
      <c r="G1430" s="89" t="n">
        <v>100</v>
      </c>
    </row>
    <row r="1431" customFormat="false" ht="15" hidden="true" customHeight="true" outlineLevel="1" collapsed="false">
      <c r="A1431" s="31"/>
      <c r="B1431" s="232" t="s">
        <v>1292</v>
      </c>
      <c r="C1431" s="285" t="s">
        <v>159</v>
      </c>
      <c r="D1431" s="5"/>
      <c r="E1431" s="104"/>
      <c r="G1431" s="89" t="n">
        <v>190</v>
      </c>
    </row>
    <row r="1432" customFormat="false" ht="15" hidden="true" customHeight="true" outlineLevel="1" collapsed="false">
      <c r="A1432" s="31"/>
      <c r="B1432" s="232" t="s">
        <v>1293</v>
      </c>
      <c r="C1432" s="285" t="s">
        <v>133</v>
      </c>
      <c r="D1432" s="5"/>
      <c r="E1432" s="104"/>
      <c r="G1432" s="89" t="n">
        <v>120</v>
      </c>
    </row>
    <row r="1433" customFormat="false" ht="15" hidden="true" customHeight="true" outlineLevel="1" collapsed="false">
      <c r="A1433" s="31"/>
      <c r="B1433" s="232" t="s">
        <v>1294</v>
      </c>
      <c r="C1433" s="285" t="s">
        <v>133</v>
      </c>
      <c r="D1433" s="5"/>
      <c r="E1433" s="104"/>
      <c r="G1433" s="89" t="n">
        <v>400</v>
      </c>
    </row>
    <row r="1434" customFormat="false" ht="15" hidden="true" customHeight="true" outlineLevel="1" collapsed="false">
      <c r="A1434" s="31"/>
      <c r="B1434" s="261" t="s">
        <v>1255</v>
      </c>
      <c r="C1434" s="285" t="s">
        <v>133</v>
      </c>
      <c r="D1434" s="5"/>
      <c r="E1434" s="104"/>
      <c r="G1434" s="89" t="n">
        <v>350</v>
      </c>
    </row>
    <row r="1435" customFormat="false" ht="15" hidden="true" customHeight="true" outlineLevel="1" collapsed="false">
      <c r="A1435" s="31"/>
      <c r="B1435" s="261" t="s">
        <v>1281</v>
      </c>
      <c r="C1435" s="285" t="s">
        <v>133</v>
      </c>
      <c r="D1435" s="5"/>
      <c r="E1435" s="104"/>
      <c r="G1435" s="89" t="n">
        <v>500</v>
      </c>
    </row>
    <row r="1436" customFormat="false" ht="15" hidden="true" customHeight="true" outlineLevel="1" collapsed="false">
      <c r="A1436" s="31"/>
      <c r="B1436" s="261" t="s">
        <v>1282</v>
      </c>
      <c r="C1436" s="285" t="s">
        <v>133</v>
      </c>
      <c r="D1436" s="5"/>
      <c r="E1436" s="104"/>
      <c r="G1436" s="89" t="n">
        <v>250</v>
      </c>
    </row>
    <row r="1437" customFormat="false" ht="15" hidden="true" customHeight="true" outlineLevel="1" collapsed="false">
      <c r="A1437" s="31"/>
      <c r="B1437" s="261" t="s">
        <v>1283</v>
      </c>
      <c r="C1437" s="285" t="s">
        <v>156</v>
      </c>
      <c r="D1437" s="5"/>
      <c r="E1437" s="104"/>
      <c r="G1437" s="89" t="n">
        <v>6</v>
      </c>
    </row>
    <row r="1438" customFormat="false" ht="15" hidden="true" customHeight="true" outlineLevel="1" collapsed="false">
      <c r="A1438" s="31"/>
      <c r="B1438" s="261" t="s">
        <v>1284</v>
      </c>
      <c r="C1438" s="285" t="s">
        <v>159</v>
      </c>
      <c r="D1438" s="5"/>
      <c r="E1438" s="104"/>
      <c r="G1438" s="89" t="n">
        <v>8</v>
      </c>
    </row>
    <row r="1439" customFormat="false" ht="15" hidden="true" customHeight="true" outlineLevel="1" collapsed="false">
      <c r="A1439" s="31"/>
      <c r="B1439" s="261" t="s">
        <v>1285</v>
      </c>
      <c r="C1439" s="285" t="s">
        <v>159</v>
      </c>
      <c r="D1439" s="5"/>
      <c r="E1439" s="104"/>
      <c r="G1439" s="89" t="n">
        <v>0.02</v>
      </c>
    </row>
    <row r="1440" customFormat="false" ht="15" hidden="true" customHeight="true" outlineLevel="1" collapsed="false">
      <c r="A1440" s="31"/>
      <c r="B1440" s="232" t="s">
        <v>1286</v>
      </c>
      <c r="C1440" s="285" t="s">
        <v>159</v>
      </c>
      <c r="D1440" s="5"/>
      <c r="E1440" s="104"/>
      <c r="G1440" s="89" t="n">
        <v>0.02</v>
      </c>
    </row>
    <row r="1441" customFormat="false" ht="15" hidden="true" customHeight="true" outlineLevel="1" collapsed="false">
      <c r="A1441" s="31"/>
      <c r="B1441" s="88" t="s">
        <v>1295</v>
      </c>
      <c r="C1441" s="285"/>
      <c r="D1441" s="5"/>
      <c r="E1441" s="104"/>
      <c r="G1441" s="89"/>
    </row>
    <row r="1442" customFormat="false" ht="15" hidden="true" customHeight="true" outlineLevel="1" collapsed="false">
      <c r="A1442" s="31"/>
      <c r="B1442" s="232" t="s">
        <v>1296</v>
      </c>
      <c r="C1442" s="285" t="s">
        <v>133</v>
      </c>
      <c r="D1442" s="5"/>
      <c r="E1442" s="104"/>
      <c r="G1442" s="89" t="n">
        <v>50</v>
      </c>
    </row>
    <row r="1443" customFormat="false" ht="15" hidden="true" customHeight="true" outlineLevel="1" collapsed="false">
      <c r="A1443" s="31"/>
      <c r="B1443" s="232" t="s">
        <v>1297</v>
      </c>
      <c r="C1443" s="285" t="s">
        <v>133</v>
      </c>
      <c r="D1443" s="5"/>
      <c r="E1443" s="104"/>
      <c r="G1443" s="89" t="n">
        <v>350</v>
      </c>
    </row>
    <row r="1444" customFormat="false" ht="15" hidden="true" customHeight="true" outlineLevel="1" collapsed="false">
      <c r="A1444" s="31"/>
      <c r="B1444" s="232" t="s">
        <v>1298</v>
      </c>
      <c r="C1444" s="285" t="s">
        <v>133</v>
      </c>
      <c r="D1444" s="5"/>
      <c r="E1444" s="104"/>
      <c r="G1444" s="89" t="n">
        <v>450</v>
      </c>
    </row>
    <row r="1445" customFormat="false" ht="15" hidden="true" customHeight="true" outlineLevel="1" collapsed="false">
      <c r="A1445" s="31"/>
      <c r="B1445" s="286" t="s">
        <v>1299</v>
      </c>
      <c r="C1445" s="285" t="s">
        <v>159</v>
      </c>
      <c r="D1445" s="5"/>
      <c r="E1445" s="104"/>
      <c r="G1445" s="89" t="n">
        <v>35</v>
      </c>
    </row>
    <row r="1446" customFormat="false" ht="15" hidden="true" customHeight="true" outlineLevel="1" collapsed="false">
      <c r="A1446" s="31"/>
      <c r="B1446" s="232" t="s">
        <v>1300</v>
      </c>
      <c r="C1446" s="285" t="s">
        <v>156</v>
      </c>
      <c r="D1446" s="5"/>
      <c r="E1446" s="104"/>
      <c r="G1446" s="89" t="n">
        <v>35</v>
      </c>
    </row>
    <row r="1447" customFormat="false" ht="15" hidden="true" customHeight="true" outlineLevel="1" collapsed="false">
      <c r="A1447" s="31"/>
      <c r="B1447" s="232" t="s">
        <v>1301</v>
      </c>
      <c r="C1447" s="285" t="s">
        <v>133</v>
      </c>
      <c r="D1447" s="5"/>
      <c r="E1447" s="104"/>
      <c r="G1447" s="89" t="n">
        <v>500</v>
      </c>
    </row>
    <row r="1448" customFormat="false" ht="15" hidden="true" customHeight="true" outlineLevel="1" collapsed="false">
      <c r="A1448" s="31"/>
      <c r="B1448" s="232" t="s">
        <v>1302</v>
      </c>
      <c r="C1448" s="285" t="s">
        <v>159</v>
      </c>
      <c r="D1448" s="5"/>
      <c r="E1448" s="104"/>
      <c r="G1448" s="89" t="n">
        <v>250</v>
      </c>
    </row>
    <row r="1449" customFormat="false" ht="15" hidden="true" customHeight="true" outlineLevel="1" collapsed="false">
      <c r="A1449" s="31"/>
      <c r="B1449" s="232" t="s">
        <v>1274</v>
      </c>
      <c r="C1449" s="285" t="s">
        <v>159</v>
      </c>
      <c r="D1449" s="5"/>
      <c r="E1449" s="104"/>
      <c r="G1449" s="89" t="n">
        <v>500</v>
      </c>
    </row>
    <row r="1450" customFormat="false" ht="15" hidden="true" customHeight="true" outlineLevel="1" collapsed="false">
      <c r="A1450" s="31"/>
      <c r="B1450" s="232" t="s">
        <v>1303</v>
      </c>
      <c r="C1450" s="285" t="s">
        <v>159</v>
      </c>
      <c r="D1450" s="5"/>
      <c r="E1450" s="104"/>
      <c r="G1450" s="89" t="n">
        <v>200</v>
      </c>
    </row>
    <row r="1451" customFormat="false" ht="15" hidden="true" customHeight="true" outlineLevel="1" collapsed="false">
      <c r="A1451" s="31"/>
      <c r="B1451" s="232" t="s">
        <v>1304</v>
      </c>
      <c r="C1451" s="285" t="s">
        <v>159</v>
      </c>
      <c r="D1451" s="5"/>
      <c r="E1451" s="104"/>
      <c r="G1451" s="89" t="n">
        <v>400</v>
      </c>
    </row>
    <row r="1452" customFormat="false" ht="15" hidden="true" customHeight="true" outlineLevel="1" collapsed="false">
      <c r="A1452" s="31"/>
      <c r="B1452" s="88" t="s">
        <v>1305</v>
      </c>
      <c r="C1452" s="285"/>
      <c r="D1452" s="5"/>
      <c r="E1452" s="104"/>
      <c r="G1452" s="89"/>
    </row>
    <row r="1453" customFormat="false" ht="15" hidden="true" customHeight="true" outlineLevel="1" collapsed="false">
      <c r="A1453" s="31"/>
      <c r="B1453" s="232" t="s">
        <v>1306</v>
      </c>
      <c r="C1453" s="285" t="s">
        <v>133</v>
      </c>
      <c r="D1453" s="5"/>
      <c r="E1453" s="104"/>
      <c r="G1453" s="89" t="n">
        <v>500</v>
      </c>
    </row>
    <row r="1454" customFormat="false" ht="15" hidden="true" customHeight="true" outlineLevel="1" collapsed="false">
      <c r="A1454" s="31"/>
      <c r="B1454" s="232" t="s">
        <v>1307</v>
      </c>
      <c r="C1454" s="285" t="s">
        <v>133</v>
      </c>
      <c r="D1454" s="5"/>
      <c r="E1454" s="104"/>
      <c r="G1454" s="89" t="n">
        <v>500</v>
      </c>
    </row>
    <row r="1455" customFormat="false" ht="15" hidden="true" customHeight="true" outlineLevel="1" collapsed="false">
      <c r="A1455" s="31"/>
      <c r="B1455" s="232" t="s">
        <v>1308</v>
      </c>
      <c r="C1455" s="285" t="s">
        <v>133</v>
      </c>
      <c r="D1455" s="5"/>
      <c r="E1455" s="104"/>
      <c r="G1455" s="89" t="n">
        <v>500</v>
      </c>
    </row>
    <row r="1456" customFormat="false" ht="15" hidden="true" customHeight="true" outlineLevel="1" collapsed="false">
      <c r="A1456" s="31"/>
      <c r="B1456" s="232" t="s">
        <v>1302</v>
      </c>
      <c r="C1456" s="285" t="s">
        <v>159</v>
      </c>
      <c r="D1456" s="5"/>
      <c r="E1456" s="104"/>
      <c r="G1456" s="89" t="n">
        <v>250</v>
      </c>
    </row>
    <row r="1457" customFormat="false" ht="15" hidden="true" customHeight="true" outlineLevel="1" collapsed="false">
      <c r="A1457" s="31"/>
      <c r="B1457" s="232" t="s">
        <v>1274</v>
      </c>
      <c r="C1457" s="285" t="s">
        <v>159</v>
      </c>
      <c r="D1457" s="5"/>
      <c r="E1457" s="104"/>
      <c r="G1457" s="89" t="n">
        <v>500</v>
      </c>
    </row>
    <row r="1458" customFormat="false" ht="15" hidden="true" customHeight="true" outlineLevel="1" collapsed="false">
      <c r="A1458" s="31"/>
      <c r="B1458" s="232" t="s">
        <v>1309</v>
      </c>
      <c r="C1458" s="285" t="s">
        <v>159</v>
      </c>
      <c r="D1458" s="5"/>
      <c r="E1458" s="104"/>
      <c r="G1458" s="89" t="n">
        <v>200</v>
      </c>
    </row>
    <row r="1459" customFormat="false" ht="15" hidden="true" customHeight="true" outlineLevel="1" collapsed="false">
      <c r="A1459" s="31"/>
      <c r="B1459" s="232" t="s">
        <v>1304</v>
      </c>
      <c r="C1459" s="285" t="s">
        <v>159</v>
      </c>
      <c r="D1459" s="5"/>
      <c r="E1459" s="104"/>
      <c r="G1459" s="89" t="n">
        <v>400</v>
      </c>
    </row>
    <row r="1460" customFormat="false" ht="15" hidden="true" customHeight="true" outlineLevel="1" collapsed="false">
      <c r="A1460" s="31"/>
      <c r="B1460" s="232" t="s">
        <v>1310</v>
      </c>
      <c r="C1460" s="285" t="s">
        <v>133</v>
      </c>
      <c r="D1460" s="5"/>
      <c r="E1460" s="104"/>
      <c r="G1460" s="89" t="n">
        <v>250</v>
      </c>
    </row>
    <row r="1461" customFormat="false" ht="15" hidden="true" customHeight="true" outlineLevel="1" collapsed="false">
      <c r="A1461" s="31"/>
      <c r="B1461" s="232" t="s">
        <v>1311</v>
      </c>
      <c r="C1461" s="285" t="s">
        <v>133</v>
      </c>
      <c r="D1461" s="5"/>
      <c r="E1461" s="104"/>
      <c r="G1461" s="89" t="n">
        <v>250</v>
      </c>
    </row>
    <row r="1462" customFormat="false" ht="15" hidden="true" customHeight="true" outlineLevel="1" collapsed="false">
      <c r="A1462" s="31"/>
      <c r="B1462" s="232" t="s">
        <v>1312</v>
      </c>
      <c r="C1462" s="285" t="s">
        <v>159</v>
      </c>
      <c r="D1462" s="5"/>
      <c r="E1462" s="104"/>
      <c r="G1462" s="89" t="n">
        <v>120</v>
      </c>
    </row>
    <row r="1463" customFormat="false" ht="15" hidden="true" customHeight="true" outlineLevel="1" collapsed="false">
      <c r="A1463" s="31"/>
      <c r="B1463" s="232" t="s">
        <v>1294</v>
      </c>
      <c r="C1463" s="285" t="s">
        <v>133</v>
      </c>
      <c r="D1463" s="5"/>
      <c r="E1463" s="104"/>
      <c r="G1463" s="89" t="n">
        <v>400</v>
      </c>
    </row>
    <row r="1464" customFormat="false" ht="15" hidden="true" customHeight="true" outlineLevel="1" collapsed="false">
      <c r="A1464" s="31"/>
      <c r="B1464" s="230" t="s">
        <v>1313</v>
      </c>
      <c r="C1464" s="88" t="s">
        <v>156</v>
      </c>
      <c r="D1464" s="5"/>
      <c r="E1464" s="104"/>
      <c r="G1464" s="89"/>
    </row>
    <row r="1465" customFormat="false" ht="15" hidden="true" customHeight="true" outlineLevel="1" collapsed="false">
      <c r="A1465" s="31"/>
      <c r="B1465" s="284" t="s">
        <v>1314</v>
      </c>
      <c r="C1465" s="88" t="s">
        <v>159</v>
      </c>
      <c r="D1465" s="5"/>
      <c r="E1465" s="104"/>
      <c r="G1465" s="89" t="n">
        <v>1900</v>
      </c>
    </row>
    <row r="1466" customFormat="false" ht="15" hidden="true" customHeight="true" outlineLevel="1" collapsed="false">
      <c r="A1466" s="31"/>
      <c r="B1466" s="232" t="s">
        <v>1315</v>
      </c>
      <c r="C1466" s="88" t="s">
        <v>159</v>
      </c>
      <c r="D1466" s="5"/>
      <c r="E1466" s="104"/>
      <c r="G1466" s="89" t="n">
        <v>250</v>
      </c>
    </row>
    <row r="1467" customFormat="false" ht="15" hidden="true" customHeight="true" outlineLevel="1" collapsed="false">
      <c r="A1467" s="31"/>
      <c r="B1467" s="232" t="s">
        <v>1316</v>
      </c>
      <c r="C1467" s="88" t="s">
        <v>159</v>
      </c>
      <c r="D1467" s="5"/>
      <c r="E1467" s="104"/>
      <c r="G1467" s="89" t="n">
        <v>100</v>
      </c>
    </row>
    <row r="1468" customFormat="false" ht="15" hidden="true" customHeight="true" outlineLevel="1" collapsed="false">
      <c r="A1468" s="31"/>
      <c r="B1468" s="232" t="s">
        <v>1317</v>
      </c>
      <c r="C1468" s="88" t="s">
        <v>159</v>
      </c>
      <c r="D1468" s="5"/>
      <c r="E1468" s="104"/>
      <c r="G1468" s="89" t="n">
        <v>100</v>
      </c>
    </row>
    <row r="1469" customFormat="false" ht="15" hidden="true" customHeight="true" outlineLevel="1" collapsed="false">
      <c r="A1469" s="31"/>
      <c r="B1469" s="232" t="s">
        <v>1318</v>
      </c>
      <c r="C1469" s="88" t="s">
        <v>159</v>
      </c>
      <c r="D1469" s="5"/>
      <c r="E1469" s="104"/>
      <c r="G1469" s="89" t="n">
        <v>250</v>
      </c>
    </row>
    <row r="1470" customFormat="false" ht="15" hidden="true" customHeight="true" outlineLevel="1" collapsed="false">
      <c r="A1470" s="31"/>
      <c r="B1470" s="232" t="s">
        <v>1319</v>
      </c>
      <c r="C1470" s="88" t="s">
        <v>159</v>
      </c>
      <c r="D1470" s="5"/>
      <c r="E1470" s="104"/>
      <c r="G1470" s="89" t="n">
        <v>500</v>
      </c>
    </row>
    <row r="1471" customFormat="false" ht="15" hidden="true" customHeight="true" outlineLevel="1" collapsed="false">
      <c r="A1471" s="31"/>
      <c r="B1471" s="232"/>
      <c r="C1471" s="88"/>
      <c r="D1471" s="5"/>
      <c r="E1471" s="104"/>
      <c r="G1471" s="89"/>
    </row>
    <row r="1472" customFormat="false" ht="15" hidden="true" customHeight="true" outlineLevel="1" collapsed="false">
      <c r="A1472" s="31"/>
      <c r="B1472" s="232"/>
      <c r="C1472" s="88"/>
      <c r="D1472" s="5"/>
      <c r="E1472" s="104"/>
      <c r="G1472" s="89"/>
    </row>
    <row r="1473" customFormat="false" ht="15" hidden="true" customHeight="true" outlineLevel="1" collapsed="false">
      <c r="A1473" s="31"/>
      <c r="B1473" s="232"/>
      <c r="C1473" s="88"/>
      <c r="D1473" s="5"/>
      <c r="E1473" s="104"/>
      <c r="G1473" s="89"/>
    </row>
    <row r="1474" customFormat="false" ht="15" hidden="true" customHeight="true" outlineLevel="1" collapsed="false">
      <c r="A1474" s="31"/>
      <c r="B1474" s="232"/>
      <c r="C1474" s="88"/>
      <c r="D1474" s="5"/>
      <c r="E1474" s="104"/>
      <c r="G1474" s="89"/>
    </row>
    <row r="1475" customFormat="false" ht="15" hidden="true" customHeight="true" outlineLevel="1" collapsed="false">
      <c r="A1475" s="31"/>
      <c r="B1475" s="260"/>
      <c r="C1475" s="88"/>
      <c r="D1475" s="5"/>
      <c r="E1475" s="104"/>
      <c r="G1475" s="89"/>
    </row>
    <row r="1476" customFormat="false" ht="15" hidden="false" customHeight="true" outlineLevel="0" collapsed="false">
      <c r="A1476" s="47" t="s">
        <v>1266</v>
      </c>
      <c r="B1476" s="47"/>
      <c r="C1476" s="88"/>
      <c r="D1476" s="5"/>
      <c r="E1476" s="104"/>
      <c r="G1476" s="89"/>
    </row>
    <row r="1477" customFormat="false" ht="15" hidden="true" customHeight="true" outlineLevel="1" collapsed="false">
      <c r="A1477" s="242" t="s">
        <v>1320</v>
      </c>
      <c r="B1477" s="242"/>
      <c r="C1477" s="124" t="s">
        <v>208</v>
      </c>
      <c r="D1477" s="243"/>
      <c r="E1477" s="243"/>
      <c r="F1477" s="29"/>
      <c r="G1477" s="29" t="s">
        <v>132</v>
      </c>
    </row>
    <row r="1478" customFormat="false" ht="15" hidden="true" customHeight="true" outlineLevel="1" collapsed="false">
      <c r="A1478" s="30"/>
      <c r="B1478" s="122" t="s">
        <v>1321</v>
      </c>
      <c r="C1478" s="88" t="s">
        <v>1322</v>
      </c>
      <c r="D1478" s="5"/>
      <c r="E1478" s="104"/>
      <c r="G1478" s="89" t="n">
        <v>0</v>
      </c>
    </row>
    <row r="1479" customFormat="false" ht="15" hidden="true" customHeight="true" outlineLevel="1" collapsed="false">
      <c r="A1479" s="31"/>
      <c r="B1479" s="287" t="s">
        <v>1323</v>
      </c>
      <c r="C1479" s="6" t="s">
        <v>1322</v>
      </c>
      <c r="D1479" s="5"/>
      <c r="E1479" s="104"/>
      <c r="G1479" s="288" t="n">
        <v>291</v>
      </c>
    </row>
    <row r="1480" customFormat="false" ht="15" hidden="true" customHeight="true" outlineLevel="1" collapsed="false">
      <c r="A1480" s="31"/>
      <c r="B1480" s="287" t="s">
        <v>1324</v>
      </c>
      <c r="C1480" s="6" t="s">
        <v>1322</v>
      </c>
      <c r="D1480" s="5"/>
      <c r="E1480" s="104"/>
      <c r="G1480" s="288" t="n">
        <v>240</v>
      </c>
    </row>
    <row r="1481" customFormat="false" ht="15" hidden="true" customHeight="true" outlineLevel="1" collapsed="false">
      <c r="A1481" s="31"/>
      <c r="B1481" s="287" t="s">
        <v>1325</v>
      </c>
      <c r="C1481" s="6" t="s">
        <v>1322</v>
      </c>
      <c r="D1481" s="5"/>
      <c r="E1481" s="104"/>
      <c r="G1481" s="288" t="n">
        <v>239</v>
      </c>
    </row>
    <row r="1482" customFormat="false" ht="15" hidden="true" customHeight="true" outlineLevel="1" collapsed="false">
      <c r="A1482" s="31"/>
      <c r="B1482" s="287" t="s">
        <v>1326</v>
      </c>
      <c r="C1482" s="6" t="s">
        <v>1322</v>
      </c>
      <c r="D1482" s="5"/>
      <c r="E1482" s="104"/>
      <c r="G1482" s="288" t="n">
        <v>245</v>
      </c>
    </row>
    <row r="1483" customFormat="false" ht="15" hidden="true" customHeight="true" outlineLevel="1" collapsed="false">
      <c r="A1483" s="31"/>
      <c r="B1483" s="287" t="s">
        <v>1327</v>
      </c>
      <c r="C1483" s="6" t="s">
        <v>1322</v>
      </c>
      <c r="D1483" s="5"/>
      <c r="E1483" s="104"/>
      <c r="G1483" s="288" t="n">
        <v>198</v>
      </c>
    </row>
    <row r="1484" customFormat="false" ht="15" hidden="true" customHeight="true" outlineLevel="1" collapsed="false">
      <c r="A1484" s="31"/>
      <c r="B1484" s="287" t="s">
        <v>1328</v>
      </c>
      <c r="C1484" s="6" t="s">
        <v>1322</v>
      </c>
      <c r="D1484" s="5"/>
      <c r="E1484" s="104"/>
      <c r="G1484" s="288" t="n">
        <v>202</v>
      </c>
    </row>
    <row r="1485" customFormat="false" ht="15" hidden="true" customHeight="true" outlineLevel="1" collapsed="false">
      <c r="A1485" s="31"/>
      <c r="B1485" s="287" t="s">
        <v>1329</v>
      </c>
      <c r="C1485" s="6" t="s">
        <v>1322</v>
      </c>
      <c r="D1485" s="5"/>
      <c r="E1485" s="104"/>
      <c r="G1485" s="288" t="n">
        <v>174</v>
      </c>
    </row>
    <row r="1486" customFormat="false" ht="15" hidden="true" customHeight="true" outlineLevel="1" collapsed="false">
      <c r="A1486" s="31"/>
      <c r="B1486" s="287" t="s">
        <v>1330</v>
      </c>
      <c r="C1486" s="6" t="s">
        <v>1322</v>
      </c>
      <c r="D1486" s="5"/>
      <c r="E1486" s="104"/>
      <c r="G1486" s="288" t="n">
        <v>193</v>
      </c>
    </row>
    <row r="1487" customFormat="false" ht="15" hidden="true" customHeight="true" outlineLevel="1" collapsed="false">
      <c r="A1487" s="31"/>
      <c r="B1487" s="122"/>
      <c r="C1487" s="88"/>
      <c r="D1487" s="5"/>
      <c r="E1487" s="104"/>
      <c r="G1487" s="89"/>
    </row>
    <row r="1488" customFormat="false" ht="15" hidden="true" customHeight="true" outlineLevel="1" collapsed="false">
      <c r="A1488" s="31"/>
      <c r="B1488" s="122"/>
      <c r="C1488" s="88"/>
      <c r="D1488" s="5"/>
      <c r="E1488" s="104"/>
      <c r="G1488" s="89"/>
    </row>
    <row r="1489" customFormat="false" ht="15" hidden="true" customHeight="true" outlineLevel="1" collapsed="false">
      <c r="A1489" s="31"/>
      <c r="B1489" s="122"/>
      <c r="C1489" s="88"/>
      <c r="D1489" s="5"/>
      <c r="E1489" s="104"/>
      <c r="G1489" s="89"/>
    </row>
    <row r="1490" customFormat="false" ht="15" hidden="true" customHeight="true" outlineLevel="1" collapsed="false">
      <c r="A1490" s="31"/>
      <c r="B1490" s="122"/>
      <c r="C1490" s="88"/>
      <c r="D1490" s="5"/>
      <c r="E1490" s="104"/>
      <c r="G1490" s="89"/>
    </row>
    <row r="1491" customFormat="false" ht="15" hidden="true" customHeight="true" outlineLevel="1" collapsed="false">
      <c r="A1491" s="31"/>
      <c r="B1491" s="122"/>
      <c r="C1491" s="88"/>
      <c r="D1491" s="5"/>
      <c r="E1491" s="104"/>
      <c r="G1491" s="89"/>
    </row>
    <row r="1492" customFormat="false" ht="15" hidden="true" customHeight="true" outlineLevel="1" collapsed="false">
      <c r="A1492" s="31"/>
      <c r="B1492" s="122"/>
      <c r="C1492" s="88"/>
      <c r="D1492" s="5"/>
      <c r="E1492" s="104"/>
      <c r="G1492" s="89"/>
    </row>
    <row r="1493" customFormat="false" ht="15" hidden="true" customHeight="true" outlineLevel="1" collapsed="false">
      <c r="A1493" s="31"/>
      <c r="B1493" s="122"/>
      <c r="C1493" s="88"/>
      <c r="D1493" s="5"/>
      <c r="E1493" s="104"/>
      <c r="G1493" s="89"/>
    </row>
    <row r="1494" customFormat="false" ht="15" hidden="true" customHeight="true" outlineLevel="1" collapsed="false">
      <c r="A1494" s="31"/>
      <c r="B1494" s="289"/>
      <c r="C1494" s="88"/>
      <c r="D1494" s="5"/>
      <c r="E1494" s="104"/>
      <c r="G1494" s="89"/>
    </row>
    <row r="1495" customFormat="false" ht="15" hidden="false" customHeight="true" outlineLevel="0" collapsed="false">
      <c r="A1495" s="47" t="s">
        <v>1320</v>
      </c>
      <c r="B1495" s="47"/>
      <c r="C1495" s="88"/>
      <c r="D1495" s="5"/>
      <c r="E1495" s="104"/>
      <c r="G1495" s="89"/>
    </row>
    <row r="1496" customFormat="false" ht="15" hidden="true" customHeight="true" outlineLevel="1" collapsed="false">
      <c r="A1496" s="178" t="s">
        <v>1331</v>
      </c>
      <c r="B1496" s="178"/>
      <c r="C1496" s="124" t="s">
        <v>208</v>
      </c>
      <c r="D1496" s="243"/>
      <c r="E1496" s="243"/>
      <c r="F1496" s="29"/>
      <c r="G1496" s="29" t="s">
        <v>132</v>
      </c>
    </row>
    <row r="1497" customFormat="false" ht="15" hidden="true" customHeight="true" outlineLevel="1" collapsed="false">
      <c r="A1497" s="30"/>
      <c r="B1497" s="102" t="s">
        <v>1332</v>
      </c>
      <c r="C1497" s="103" t="s">
        <v>156</v>
      </c>
      <c r="D1497" s="104"/>
      <c r="E1497" s="104"/>
      <c r="G1497" s="104" t="n">
        <v>45</v>
      </c>
    </row>
    <row r="1498" customFormat="false" ht="15" hidden="true" customHeight="true" outlineLevel="1" collapsed="false">
      <c r="A1498" s="31"/>
      <c r="B1498" s="102" t="s">
        <v>1333</v>
      </c>
      <c r="C1498" s="103" t="s">
        <v>156</v>
      </c>
      <c r="D1498" s="104"/>
      <c r="E1498" s="104"/>
      <c r="G1498" s="104" t="n">
        <v>47</v>
      </c>
    </row>
    <row r="1499" customFormat="false" ht="15" hidden="true" customHeight="true" outlineLevel="1" collapsed="false">
      <c r="A1499" s="31"/>
      <c r="B1499" s="102" t="s">
        <v>1334</v>
      </c>
      <c r="C1499" s="103" t="s">
        <v>156</v>
      </c>
      <c r="D1499" s="104"/>
      <c r="E1499" s="104"/>
      <c r="G1499" s="104" t="n">
        <v>49</v>
      </c>
    </row>
    <row r="1500" customFormat="false" ht="15" hidden="true" customHeight="true" outlineLevel="1" collapsed="false">
      <c r="A1500" s="31"/>
      <c r="B1500" s="102" t="s">
        <v>1335</v>
      </c>
      <c r="C1500" s="103" t="s">
        <v>156</v>
      </c>
      <c r="D1500" s="104"/>
      <c r="E1500" s="104"/>
      <c r="G1500" s="104" t="n">
        <v>52</v>
      </c>
    </row>
    <row r="1501" customFormat="false" ht="15" hidden="true" customHeight="true" outlineLevel="1" collapsed="false">
      <c r="A1501" s="31"/>
      <c r="B1501" s="102" t="s">
        <v>1336</v>
      </c>
      <c r="C1501" s="103" t="s">
        <v>156</v>
      </c>
      <c r="D1501" s="104"/>
      <c r="E1501" s="104"/>
      <c r="G1501" s="104" t="n">
        <v>58</v>
      </c>
    </row>
    <row r="1502" customFormat="false" ht="15" hidden="true" customHeight="true" outlineLevel="1" collapsed="false">
      <c r="A1502" s="31"/>
      <c r="B1502" s="102" t="s">
        <v>1337</v>
      </c>
      <c r="C1502" s="103" t="s">
        <v>156</v>
      </c>
      <c r="D1502" s="104"/>
      <c r="E1502" s="104"/>
      <c r="G1502" s="104" t="n">
        <v>62</v>
      </c>
    </row>
    <row r="1503" customFormat="false" ht="15" hidden="true" customHeight="true" outlineLevel="1" collapsed="false">
      <c r="A1503" s="31"/>
      <c r="B1503" s="102" t="s">
        <v>1338</v>
      </c>
      <c r="C1503" s="103" t="s">
        <v>156</v>
      </c>
      <c r="D1503" s="104"/>
      <c r="E1503" s="104"/>
      <c r="G1503" s="104" t="n">
        <v>66</v>
      </c>
    </row>
    <row r="1504" customFormat="false" ht="15" hidden="true" customHeight="true" outlineLevel="1" collapsed="false">
      <c r="A1504" s="31"/>
      <c r="B1504" s="102" t="s">
        <v>1339</v>
      </c>
      <c r="C1504" s="103" t="s">
        <v>156</v>
      </c>
      <c r="D1504" s="104"/>
      <c r="E1504" s="104"/>
      <c r="G1504" s="104" t="n">
        <v>70</v>
      </c>
    </row>
    <row r="1505" customFormat="false" ht="15" hidden="true" customHeight="true" outlineLevel="1" collapsed="false">
      <c r="A1505" s="31"/>
      <c r="B1505" s="102" t="s">
        <v>1340</v>
      </c>
      <c r="C1505" s="103" t="s">
        <v>159</v>
      </c>
      <c r="D1505" s="104"/>
      <c r="E1505" s="104"/>
      <c r="G1505" s="104" t="n">
        <v>0</v>
      </c>
    </row>
    <row r="1506" customFormat="false" ht="15" hidden="true" customHeight="true" outlineLevel="1" collapsed="false">
      <c r="A1506" s="31"/>
      <c r="B1506" s="102" t="s">
        <v>1341</v>
      </c>
      <c r="C1506" s="103" t="s">
        <v>159</v>
      </c>
      <c r="D1506" s="104"/>
      <c r="E1506" s="104"/>
      <c r="G1506" s="104" t="n">
        <v>10</v>
      </c>
    </row>
    <row r="1507" customFormat="false" ht="15" hidden="true" customHeight="true" outlineLevel="1" collapsed="false">
      <c r="A1507" s="31"/>
      <c r="B1507" s="102" t="s">
        <v>1342</v>
      </c>
      <c r="C1507" s="103" t="s">
        <v>159</v>
      </c>
      <c r="D1507" s="104"/>
      <c r="E1507" s="104"/>
      <c r="G1507" s="104" t="n">
        <v>12</v>
      </c>
    </row>
    <row r="1508" customFormat="false" ht="15" hidden="true" customHeight="true" outlineLevel="1" collapsed="false">
      <c r="A1508" s="31"/>
      <c r="B1508" s="102" t="s">
        <v>1343</v>
      </c>
      <c r="C1508" s="103" t="s">
        <v>159</v>
      </c>
      <c r="D1508" s="104"/>
      <c r="E1508" s="104"/>
      <c r="G1508" s="104" t="n">
        <v>15</v>
      </c>
    </row>
    <row r="1509" customFormat="false" ht="15" hidden="true" customHeight="true" outlineLevel="1" collapsed="false">
      <c r="A1509" s="31"/>
      <c r="B1509" s="102" t="s">
        <v>1344</v>
      </c>
      <c r="C1509" s="103" t="s">
        <v>159</v>
      </c>
      <c r="D1509" s="104"/>
      <c r="E1509" s="104"/>
      <c r="G1509" s="104" t="n">
        <v>17</v>
      </c>
    </row>
    <row r="1510" customFormat="false" ht="15" hidden="true" customHeight="true" outlineLevel="1" collapsed="false">
      <c r="A1510" s="31"/>
      <c r="B1510" s="102" t="s">
        <v>1345</v>
      </c>
      <c r="C1510" s="103" t="s">
        <v>159</v>
      </c>
      <c r="D1510" s="104"/>
      <c r="E1510" s="104"/>
      <c r="G1510" s="104" t="n">
        <v>19</v>
      </c>
    </row>
    <row r="1511" customFormat="false" ht="15" hidden="true" customHeight="true" outlineLevel="1" collapsed="false">
      <c r="A1511" s="31"/>
      <c r="B1511" s="102" t="s">
        <v>1346</v>
      </c>
      <c r="C1511" s="103" t="s">
        <v>159</v>
      </c>
      <c r="D1511" s="104"/>
      <c r="E1511" s="104"/>
      <c r="G1511" s="104" t="n">
        <v>21</v>
      </c>
    </row>
    <row r="1512" customFormat="false" ht="15" hidden="true" customHeight="true" outlineLevel="1" collapsed="false">
      <c r="A1512" s="31"/>
      <c r="B1512" s="102" t="s">
        <v>1347</v>
      </c>
      <c r="C1512" s="103" t="s">
        <v>159</v>
      </c>
      <c r="D1512" s="104"/>
      <c r="E1512" s="104"/>
      <c r="G1512" s="104" t="n">
        <v>23</v>
      </c>
    </row>
    <row r="1513" customFormat="false" ht="15" hidden="true" customHeight="true" outlineLevel="1" collapsed="false">
      <c r="A1513" s="31"/>
      <c r="B1513" s="102" t="s">
        <v>1348</v>
      </c>
      <c r="C1513" s="103" t="s">
        <v>159</v>
      </c>
      <c r="D1513" s="104"/>
      <c r="E1513" s="104"/>
      <c r="G1513" s="104" t="n">
        <v>24</v>
      </c>
    </row>
    <row r="1514" customFormat="false" ht="15" hidden="true" customHeight="true" outlineLevel="1" collapsed="false">
      <c r="A1514" s="31"/>
      <c r="B1514" s="102" t="s">
        <v>1349</v>
      </c>
      <c r="C1514" s="103" t="s">
        <v>159</v>
      </c>
      <c r="D1514" s="104"/>
      <c r="E1514" s="104"/>
      <c r="G1514" s="104" t="n">
        <v>27</v>
      </c>
    </row>
    <row r="1515" customFormat="false" ht="15" hidden="true" customHeight="true" outlineLevel="1" collapsed="false">
      <c r="A1515" s="31"/>
      <c r="B1515" s="102" t="s">
        <v>1350</v>
      </c>
      <c r="C1515" s="103" t="s">
        <v>159</v>
      </c>
      <c r="D1515" s="104"/>
      <c r="E1515" s="104"/>
      <c r="G1515" s="104" t="n">
        <v>29</v>
      </c>
    </row>
    <row r="1516" customFormat="false" ht="15" hidden="true" customHeight="true" outlineLevel="1" collapsed="false">
      <c r="A1516" s="31"/>
      <c r="B1516" s="102" t="s">
        <v>1351</v>
      </c>
      <c r="C1516" s="103" t="s">
        <v>159</v>
      </c>
      <c r="D1516" s="104"/>
      <c r="E1516" s="104"/>
      <c r="G1516" s="104" t="n">
        <v>33</v>
      </c>
    </row>
    <row r="1517" customFormat="false" ht="15" hidden="true" customHeight="true" outlineLevel="1" collapsed="false">
      <c r="A1517" s="31"/>
      <c r="B1517" s="102"/>
      <c r="C1517" s="103"/>
      <c r="D1517" s="104"/>
      <c r="E1517" s="104"/>
      <c r="G1517" s="104"/>
    </row>
    <row r="1518" customFormat="false" ht="15" hidden="true" customHeight="true" outlineLevel="1" collapsed="false">
      <c r="A1518" s="31"/>
      <c r="B1518" s="108"/>
      <c r="C1518" s="103"/>
      <c r="D1518" s="104"/>
      <c r="E1518" s="104"/>
      <c r="G1518" s="104"/>
    </row>
    <row r="1519" customFormat="false" ht="15" hidden="false" customHeight="true" outlineLevel="0" collapsed="false">
      <c r="A1519" s="47" t="s">
        <v>1331</v>
      </c>
      <c r="B1519" s="47"/>
      <c r="C1519" s="103"/>
      <c r="D1519" s="104"/>
      <c r="E1519" s="104"/>
      <c r="G1519" s="104"/>
    </row>
    <row r="1520" customFormat="false" ht="15" hidden="true" customHeight="true" outlineLevel="1" collapsed="false">
      <c r="A1520" s="178" t="s">
        <v>1352</v>
      </c>
      <c r="B1520" s="178"/>
      <c r="C1520" s="124" t="s">
        <v>208</v>
      </c>
      <c r="D1520" s="243"/>
      <c r="E1520" s="243"/>
      <c r="F1520" s="29"/>
      <c r="G1520" s="29" t="s">
        <v>132</v>
      </c>
    </row>
    <row r="1521" customFormat="false" ht="15" hidden="true" customHeight="true" outlineLevel="1" collapsed="false">
      <c r="A1521" s="51"/>
      <c r="B1521" s="20" t="s">
        <v>1353</v>
      </c>
      <c r="C1521" s="218" t="s">
        <v>133</v>
      </c>
      <c r="D1521" s="245"/>
      <c r="E1521" s="245"/>
      <c r="F1521" s="23"/>
      <c r="G1521" s="23" t="n">
        <v>0</v>
      </c>
    </row>
    <row r="1522" customFormat="false" ht="15" hidden="true" customHeight="true" outlineLevel="1" collapsed="false">
      <c r="A1522" s="55"/>
      <c r="B1522" s="102" t="s">
        <v>1354</v>
      </c>
      <c r="C1522" s="103" t="s">
        <v>133</v>
      </c>
      <c r="D1522" s="104"/>
      <c r="E1522" s="104"/>
      <c r="G1522" s="104" t="n">
        <v>75</v>
      </c>
    </row>
    <row r="1523" customFormat="false" ht="15" hidden="true" customHeight="true" outlineLevel="1" collapsed="false">
      <c r="A1523" s="55"/>
      <c r="B1523" s="102" t="s">
        <v>1355</v>
      </c>
      <c r="C1523" s="103" t="s">
        <v>133</v>
      </c>
      <c r="D1523" s="104"/>
      <c r="E1523" s="104"/>
      <c r="G1523" s="104" t="n">
        <v>85</v>
      </c>
    </row>
    <row r="1524" customFormat="false" ht="15" hidden="true" customHeight="true" outlineLevel="1" collapsed="false">
      <c r="A1524" s="55"/>
      <c r="B1524" s="102" t="s">
        <v>1356</v>
      </c>
      <c r="C1524" s="103" t="s">
        <v>133</v>
      </c>
      <c r="D1524" s="104"/>
      <c r="E1524" s="104"/>
      <c r="G1524" s="104" t="n">
        <v>100</v>
      </c>
    </row>
    <row r="1525" customFormat="false" ht="15" hidden="true" customHeight="true" outlineLevel="1" collapsed="false">
      <c r="A1525" s="55"/>
      <c r="B1525" s="102" t="s">
        <v>1357</v>
      </c>
      <c r="C1525" s="103" t="s">
        <v>133</v>
      </c>
      <c r="D1525" s="104"/>
      <c r="E1525" s="104"/>
      <c r="G1525" s="104" t="n">
        <v>110</v>
      </c>
    </row>
    <row r="1526" customFormat="false" ht="15" hidden="true" customHeight="true" outlineLevel="1" collapsed="false">
      <c r="A1526" s="55"/>
      <c r="B1526" s="102" t="s">
        <v>1358</v>
      </c>
      <c r="C1526" s="103" t="s">
        <v>133</v>
      </c>
      <c r="D1526" s="104"/>
      <c r="E1526" s="104"/>
      <c r="G1526" s="104" t="n">
        <v>130</v>
      </c>
    </row>
    <row r="1527" customFormat="false" ht="15" hidden="true" customHeight="true" outlineLevel="1" collapsed="false">
      <c r="A1527" s="55"/>
      <c r="B1527" s="102"/>
      <c r="C1527" s="103"/>
      <c r="D1527" s="104"/>
      <c r="E1527" s="104"/>
      <c r="G1527" s="104"/>
    </row>
    <row r="1528" customFormat="false" ht="15" hidden="true" customHeight="true" outlineLevel="1" collapsed="false">
      <c r="A1528" s="55"/>
      <c r="B1528" s="108"/>
      <c r="C1528" s="103"/>
      <c r="D1528" s="104"/>
      <c r="E1528" s="104"/>
      <c r="G1528" s="104"/>
    </row>
    <row r="1529" customFormat="false" ht="15" hidden="false" customHeight="true" outlineLevel="0" collapsed="false">
      <c r="A1529" s="34" t="s">
        <v>1352</v>
      </c>
      <c r="B1529" s="34"/>
      <c r="C1529" s="103"/>
      <c r="D1529" s="104"/>
      <c r="E1529" s="104"/>
      <c r="G1529" s="104"/>
    </row>
    <row r="1530" customFormat="false" ht="15" hidden="true" customHeight="true" outlineLevel="1" collapsed="false">
      <c r="A1530" s="178" t="s">
        <v>1359</v>
      </c>
      <c r="B1530" s="178"/>
      <c r="C1530" s="124" t="s">
        <v>208</v>
      </c>
      <c r="D1530" s="243"/>
      <c r="E1530" s="243"/>
      <c r="F1530" s="29"/>
      <c r="G1530" s="29" t="s">
        <v>132</v>
      </c>
    </row>
    <row r="1531" customFormat="false" ht="15" hidden="true" customHeight="true" outlineLevel="1" collapsed="false">
      <c r="A1531" s="105"/>
      <c r="B1531" s="102" t="s">
        <v>1360</v>
      </c>
      <c r="C1531" s="103" t="s">
        <v>188</v>
      </c>
      <c r="D1531" s="104"/>
      <c r="E1531" s="104"/>
      <c r="G1531" s="104" t="n">
        <v>0</v>
      </c>
    </row>
    <row r="1532" customFormat="false" ht="15" hidden="true" customHeight="true" outlineLevel="1" collapsed="false">
      <c r="A1532" s="105"/>
      <c r="B1532" s="102" t="s">
        <v>1361</v>
      </c>
      <c r="C1532" s="103" t="s">
        <v>188</v>
      </c>
      <c r="D1532" s="104"/>
      <c r="E1532" s="104"/>
      <c r="G1532" s="104" t="n">
        <v>100</v>
      </c>
    </row>
    <row r="1533" customFormat="false" ht="15" hidden="true" customHeight="true" outlineLevel="1" collapsed="false">
      <c r="A1533" s="105"/>
      <c r="B1533" s="102" t="s">
        <v>1362</v>
      </c>
      <c r="C1533" s="103" t="s">
        <v>188</v>
      </c>
      <c r="D1533" s="104"/>
      <c r="E1533" s="104"/>
      <c r="G1533" s="104" t="n">
        <v>200</v>
      </c>
    </row>
    <row r="1534" customFormat="false" ht="15" hidden="true" customHeight="true" outlineLevel="1" collapsed="false">
      <c r="A1534" s="105"/>
      <c r="B1534" s="102" t="s">
        <v>1363</v>
      </c>
      <c r="C1534" s="103" t="s">
        <v>188</v>
      </c>
      <c r="D1534" s="104"/>
      <c r="E1534" s="104"/>
      <c r="G1534" s="104" t="n">
        <v>0</v>
      </c>
    </row>
    <row r="1535" customFormat="false" ht="15" hidden="true" customHeight="true" outlineLevel="1" collapsed="false">
      <c r="A1535" s="105"/>
      <c r="B1535" s="185" t="s">
        <v>1364</v>
      </c>
      <c r="C1535" s="183" t="s">
        <v>693</v>
      </c>
      <c r="D1535" s="54"/>
      <c r="E1535" s="126"/>
      <c r="F1535" s="54"/>
      <c r="G1535" s="184" t="n">
        <v>305</v>
      </c>
    </row>
    <row r="1536" customFormat="false" ht="15" hidden="true" customHeight="true" outlineLevel="1" collapsed="false">
      <c r="A1536" s="105"/>
      <c r="B1536" s="185" t="s">
        <v>1365</v>
      </c>
      <c r="C1536" s="183" t="s">
        <v>693</v>
      </c>
      <c r="D1536" s="54"/>
      <c r="E1536" s="126"/>
      <c r="F1536" s="54"/>
      <c r="G1536" s="184" t="n">
        <v>305</v>
      </c>
    </row>
    <row r="1537" customFormat="false" ht="15" hidden="true" customHeight="true" outlineLevel="1" collapsed="false">
      <c r="A1537" s="105"/>
      <c r="B1537" s="185" t="s">
        <v>1366</v>
      </c>
      <c r="C1537" s="183" t="s">
        <v>693</v>
      </c>
      <c r="D1537" s="54"/>
      <c r="E1537" s="126"/>
      <c r="F1537" s="54"/>
      <c r="G1537" s="184" t="n">
        <v>305</v>
      </c>
    </row>
    <row r="1538" customFormat="false" ht="15" hidden="true" customHeight="true" outlineLevel="1" collapsed="false">
      <c r="A1538" s="105"/>
      <c r="B1538" s="185" t="s">
        <v>1367</v>
      </c>
      <c r="C1538" s="183" t="s">
        <v>693</v>
      </c>
      <c r="D1538" s="54"/>
      <c r="E1538" s="126"/>
      <c r="F1538" s="54"/>
      <c r="G1538" s="184" t="n">
        <v>305</v>
      </c>
    </row>
    <row r="1539" customFormat="false" ht="15" hidden="true" customHeight="true" outlineLevel="1" collapsed="false">
      <c r="A1539" s="105"/>
      <c r="B1539" s="185" t="s">
        <v>1368</v>
      </c>
      <c r="C1539" s="183" t="s">
        <v>693</v>
      </c>
      <c r="D1539" s="54"/>
      <c r="E1539" s="126"/>
      <c r="F1539" s="54"/>
      <c r="G1539" s="184" t="n">
        <v>305</v>
      </c>
    </row>
    <row r="1540" customFormat="false" ht="15" hidden="true" customHeight="true" outlineLevel="1" collapsed="false">
      <c r="A1540" s="105"/>
      <c r="B1540" s="185" t="s">
        <v>1369</v>
      </c>
      <c r="C1540" s="183" t="s">
        <v>693</v>
      </c>
      <c r="D1540" s="54"/>
      <c r="E1540" s="126"/>
      <c r="F1540" s="54"/>
      <c r="G1540" s="184" t="n">
        <v>305</v>
      </c>
    </row>
    <row r="1541" customFormat="false" ht="15" hidden="true" customHeight="true" outlineLevel="1" collapsed="false">
      <c r="A1541" s="105"/>
      <c r="B1541" s="185" t="s">
        <v>1370</v>
      </c>
      <c r="C1541" s="183" t="s">
        <v>693</v>
      </c>
      <c r="D1541" s="54"/>
      <c r="E1541" s="126"/>
      <c r="F1541" s="54"/>
      <c r="G1541" s="184" t="n">
        <v>305</v>
      </c>
    </row>
    <row r="1542" customFormat="false" ht="15" hidden="true" customHeight="true" outlineLevel="1" collapsed="false">
      <c r="A1542" s="105"/>
      <c r="B1542" s="185" t="s">
        <v>1371</v>
      </c>
      <c r="C1542" s="183" t="s">
        <v>693</v>
      </c>
      <c r="D1542" s="54"/>
      <c r="E1542" s="126"/>
      <c r="F1542" s="54"/>
      <c r="G1542" s="184" t="n">
        <v>305</v>
      </c>
    </row>
    <row r="1543" customFormat="false" ht="15" hidden="true" customHeight="true" outlineLevel="1" collapsed="false">
      <c r="A1543" s="105"/>
      <c r="B1543" s="185" t="s">
        <v>1372</v>
      </c>
      <c r="C1543" s="183" t="s">
        <v>693</v>
      </c>
      <c r="D1543" s="54"/>
      <c r="E1543" s="126"/>
      <c r="F1543" s="54"/>
      <c r="G1543" s="184" t="n">
        <v>180</v>
      </c>
    </row>
    <row r="1544" customFormat="false" ht="15" hidden="true" customHeight="true" outlineLevel="1" collapsed="false">
      <c r="A1544" s="105"/>
      <c r="B1544" s="185" t="s">
        <v>1373</v>
      </c>
      <c r="C1544" s="183" t="s">
        <v>693</v>
      </c>
      <c r="D1544" s="54"/>
      <c r="E1544" s="126"/>
      <c r="F1544" s="54"/>
      <c r="G1544" s="184" t="n">
        <v>180</v>
      </c>
    </row>
    <row r="1545" customFormat="false" ht="15" hidden="true" customHeight="true" outlineLevel="1" collapsed="false">
      <c r="A1545" s="105"/>
      <c r="B1545" s="185" t="s">
        <v>1374</v>
      </c>
      <c r="C1545" s="183" t="s">
        <v>693</v>
      </c>
      <c r="D1545" s="54"/>
      <c r="E1545" s="126"/>
      <c r="F1545" s="54"/>
      <c r="G1545" s="184" t="n">
        <v>180</v>
      </c>
    </row>
    <row r="1546" customFormat="false" ht="15" hidden="true" customHeight="true" outlineLevel="1" collapsed="false">
      <c r="A1546" s="105"/>
      <c r="B1546" s="185" t="s">
        <v>1375</v>
      </c>
      <c r="C1546" s="183" t="s">
        <v>693</v>
      </c>
      <c r="D1546" s="54"/>
      <c r="E1546" s="126"/>
      <c r="F1546" s="54"/>
      <c r="G1546" s="184" t="n">
        <v>180</v>
      </c>
    </row>
    <row r="1547" customFormat="false" ht="15" hidden="true" customHeight="true" outlineLevel="1" collapsed="false">
      <c r="A1547" s="105"/>
      <c r="B1547" s="185" t="s">
        <v>1376</v>
      </c>
      <c r="C1547" s="183" t="s">
        <v>693</v>
      </c>
      <c r="D1547" s="54"/>
      <c r="E1547" s="126"/>
      <c r="F1547" s="54"/>
      <c r="G1547" s="184" t="n">
        <v>180</v>
      </c>
    </row>
    <row r="1548" customFormat="false" ht="15" hidden="true" customHeight="true" outlineLevel="1" collapsed="false">
      <c r="A1548" s="105"/>
      <c r="B1548" s="185" t="s">
        <v>1377</v>
      </c>
      <c r="C1548" s="183" t="s">
        <v>693</v>
      </c>
      <c r="D1548" s="54"/>
      <c r="E1548" s="126"/>
      <c r="F1548" s="54"/>
      <c r="G1548" s="184" t="n">
        <v>180</v>
      </c>
    </row>
    <row r="1549" customFormat="false" ht="15" hidden="true" customHeight="true" outlineLevel="1" collapsed="false">
      <c r="A1549" s="105"/>
      <c r="B1549" s="185" t="s">
        <v>1378</v>
      </c>
      <c r="C1549" s="183" t="s">
        <v>693</v>
      </c>
      <c r="D1549" s="54"/>
      <c r="E1549" s="126"/>
      <c r="F1549" s="54"/>
      <c r="G1549" s="184" t="n">
        <v>180</v>
      </c>
    </row>
    <row r="1550" customFormat="false" ht="15" hidden="true" customHeight="true" outlineLevel="1" collapsed="false">
      <c r="A1550" s="105"/>
      <c r="B1550" s="185" t="s">
        <v>1379</v>
      </c>
      <c r="C1550" s="183" t="s">
        <v>693</v>
      </c>
      <c r="D1550" s="54"/>
      <c r="E1550" s="126"/>
      <c r="F1550" s="54"/>
      <c r="G1550" s="184" t="n">
        <v>180</v>
      </c>
    </row>
    <row r="1551" customFormat="false" ht="15" hidden="true" customHeight="true" outlineLevel="1" collapsed="false">
      <c r="A1551" s="105"/>
      <c r="B1551" s="185" t="s">
        <v>1380</v>
      </c>
      <c r="C1551" s="183" t="s">
        <v>693</v>
      </c>
      <c r="D1551" s="54"/>
      <c r="E1551" s="126"/>
      <c r="F1551" s="54"/>
      <c r="G1551" s="184" t="n">
        <v>119</v>
      </c>
    </row>
    <row r="1552" customFormat="false" ht="15" hidden="true" customHeight="true" outlineLevel="1" collapsed="false">
      <c r="A1552" s="105"/>
      <c r="B1552" s="185" t="s">
        <v>1381</v>
      </c>
      <c r="C1552" s="183" t="s">
        <v>693</v>
      </c>
      <c r="D1552" s="54"/>
      <c r="E1552" s="126"/>
      <c r="F1552" s="54"/>
      <c r="G1552" s="184" t="n">
        <v>119</v>
      </c>
    </row>
    <row r="1553" customFormat="false" ht="15" hidden="true" customHeight="true" outlineLevel="1" collapsed="false">
      <c r="A1553" s="105"/>
      <c r="B1553" s="185" t="s">
        <v>1382</v>
      </c>
      <c r="C1553" s="183" t="s">
        <v>693</v>
      </c>
      <c r="D1553" s="54"/>
      <c r="E1553" s="126"/>
      <c r="F1553" s="54"/>
      <c r="G1553" s="184" t="n">
        <v>119</v>
      </c>
    </row>
    <row r="1554" customFormat="false" ht="15" hidden="true" customHeight="true" outlineLevel="1" collapsed="false">
      <c r="A1554" s="105"/>
      <c r="B1554" s="185" t="s">
        <v>1383</v>
      </c>
      <c r="C1554" s="183" t="s">
        <v>693</v>
      </c>
      <c r="D1554" s="54"/>
      <c r="E1554" s="126"/>
      <c r="F1554" s="54"/>
      <c r="G1554" s="184" t="n">
        <v>119</v>
      </c>
    </row>
    <row r="1555" customFormat="false" ht="15" hidden="true" customHeight="true" outlineLevel="1" collapsed="false">
      <c r="A1555" s="105"/>
      <c r="B1555" s="185" t="s">
        <v>1384</v>
      </c>
      <c r="C1555" s="183" t="s">
        <v>693</v>
      </c>
      <c r="D1555" s="54"/>
      <c r="E1555" s="126"/>
      <c r="F1555" s="54"/>
      <c r="G1555" s="184" t="n">
        <v>119</v>
      </c>
    </row>
    <row r="1556" customFormat="false" ht="15" hidden="true" customHeight="true" outlineLevel="1" collapsed="false">
      <c r="A1556" s="105"/>
      <c r="B1556" s="185" t="s">
        <v>1385</v>
      </c>
      <c r="C1556" s="183" t="s">
        <v>693</v>
      </c>
      <c r="D1556" s="54"/>
      <c r="E1556" s="126"/>
      <c r="F1556" s="54"/>
      <c r="G1556" s="184" t="n">
        <v>119</v>
      </c>
    </row>
    <row r="1557" customFormat="false" ht="15" hidden="true" customHeight="true" outlineLevel="1" collapsed="false">
      <c r="A1557" s="105"/>
      <c r="B1557" s="185" t="s">
        <v>1386</v>
      </c>
      <c r="C1557" s="183" t="s">
        <v>693</v>
      </c>
      <c r="D1557" s="54"/>
      <c r="E1557" s="126"/>
      <c r="F1557" s="54"/>
      <c r="G1557" s="184" t="n">
        <v>119</v>
      </c>
    </row>
    <row r="1558" customFormat="false" ht="15" hidden="true" customHeight="true" outlineLevel="1" collapsed="false">
      <c r="A1558" s="105"/>
      <c r="B1558" s="185" t="s">
        <v>1387</v>
      </c>
      <c r="C1558" s="183" t="s">
        <v>693</v>
      </c>
      <c r="D1558" s="54"/>
      <c r="E1558" s="126"/>
      <c r="F1558" s="54"/>
      <c r="G1558" s="184" t="n">
        <v>119</v>
      </c>
    </row>
    <row r="1559" customFormat="false" ht="15" hidden="true" customHeight="true" outlineLevel="1" collapsed="false">
      <c r="A1559" s="105"/>
      <c r="B1559" s="185" t="s">
        <v>1388</v>
      </c>
      <c r="C1559" s="183" t="s">
        <v>693</v>
      </c>
      <c r="D1559" s="54"/>
      <c r="E1559" s="126"/>
      <c r="F1559" s="54"/>
      <c r="G1559" s="184" t="n">
        <v>119</v>
      </c>
    </row>
    <row r="1560" customFormat="false" ht="15" hidden="true" customHeight="true" outlineLevel="1" collapsed="false">
      <c r="A1560" s="105"/>
      <c r="B1560" s="185" t="s">
        <v>1389</v>
      </c>
      <c r="C1560" s="183" t="s">
        <v>693</v>
      </c>
      <c r="D1560" s="54"/>
      <c r="E1560" s="126"/>
      <c r="F1560" s="54"/>
      <c r="G1560" s="184" t="n">
        <v>119</v>
      </c>
    </row>
    <row r="1561" customFormat="false" ht="15" hidden="true" customHeight="true" outlineLevel="1" collapsed="false">
      <c r="A1561" s="105"/>
      <c r="B1561" s="185" t="s">
        <v>1390</v>
      </c>
      <c r="C1561" s="183" t="s">
        <v>693</v>
      </c>
      <c r="D1561" s="54"/>
      <c r="E1561" s="126"/>
      <c r="F1561" s="54"/>
      <c r="G1561" s="184" t="n">
        <v>600</v>
      </c>
    </row>
    <row r="1562" customFormat="false" ht="15" hidden="true" customHeight="true" outlineLevel="1" collapsed="false">
      <c r="A1562" s="105"/>
      <c r="B1562" s="102" t="s">
        <v>1391</v>
      </c>
      <c r="C1562" s="103" t="s">
        <v>188</v>
      </c>
      <c r="D1562" s="104"/>
      <c r="E1562" s="104"/>
      <c r="G1562" s="104" t="n">
        <v>0</v>
      </c>
    </row>
    <row r="1563" customFormat="false" ht="15" hidden="true" customHeight="true" outlineLevel="1" collapsed="false">
      <c r="A1563" s="105"/>
      <c r="B1563" s="102" t="s">
        <v>1392</v>
      </c>
      <c r="C1563" s="103" t="s">
        <v>188</v>
      </c>
      <c r="D1563" s="104"/>
      <c r="E1563" s="104"/>
      <c r="G1563" s="104" t="n">
        <v>120</v>
      </c>
    </row>
    <row r="1564" customFormat="false" ht="15" hidden="true" customHeight="true" outlineLevel="1" collapsed="false">
      <c r="A1564" s="105"/>
      <c r="B1564" s="102" t="s">
        <v>1393</v>
      </c>
      <c r="C1564" s="103" t="s">
        <v>188</v>
      </c>
      <c r="D1564" s="104"/>
      <c r="E1564" s="104"/>
      <c r="G1564" s="104" t="n">
        <v>150</v>
      </c>
    </row>
    <row r="1565" customFormat="false" ht="15" hidden="true" customHeight="true" outlineLevel="1" collapsed="false">
      <c r="A1565" s="105"/>
      <c r="B1565" s="102" t="s">
        <v>1360</v>
      </c>
      <c r="C1565" s="103" t="s">
        <v>188</v>
      </c>
      <c r="D1565" s="104"/>
      <c r="E1565" s="104"/>
      <c r="G1565" s="104" t="n">
        <v>0</v>
      </c>
    </row>
    <row r="1566" customFormat="false" ht="15" hidden="true" customHeight="true" outlineLevel="1" collapsed="false">
      <c r="A1566" s="105"/>
      <c r="B1566" s="102" t="s">
        <v>1394</v>
      </c>
      <c r="C1566" s="103" t="s">
        <v>188</v>
      </c>
      <c r="D1566" s="104"/>
      <c r="E1566" s="104"/>
      <c r="G1566" s="104" t="n">
        <v>50</v>
      </c>
    </row>
    <row r="1567" customFormat="false" ht="15" hidden="true" customHeight="true" outlineLevel="1" collapsed="false">
      <c r="A1567" s="105"/>
      <c r="B1567" s="102" t="s">
        <v>1395</v>
      </c>
      <c r="C1567" s="103" t="s">
        <v>188</v>
      </c>
      <c r="D1567" s="104"/>
      <c r="E1567" s="104"/>
      <c r="G1567" s="104" t="n">
        <v>90</v>
      </c>
    </row>
    <row r="1568" customFormat="false" ht="15" hidden="true" customHeight="true" outlineLevel="1" collapsed="false">
      <c r="A1568" s="105"/>
      <c r="B1568" s="102" t="s">
        <v>1396</v>
      </c>
      <c r="C1568" s="103" t="s">
        <v>188</v>
      </c>
      <c r="D1568" s="104"/>
      <c r="E1568" s="104"/>
      <c r="G1568" s="104" t="n">
        <v>0</v>
      </c>
    </row>
    <row r="1569" customFormat="false" ht="15" hidden="true" customHeight="true" outlineLevel="1" collapsed="false">
      <c r="A1569" s="105"/>
      <c r="B1569" s="102" t="s">
        <v>1397</v>
      </c>
      <c r="C1569" s="103" t="s">
        <v>188</v>
      </c>
      <c r="D1569" s="104"/>
      <c r="E1569" s="104"/>
      <c r="G1569" s="104" t="n">
        <v>100</v>
      </c>
    </row>
    <row r="1570" customFormat="false" ht="15" hidden="true" customHeight="true" outlineLevel="1" collapsed="false">
      <c r="A1570" s="105"/>
      <c r="B1570" s="102" t="s">
        <v>1398</v>
      </c>
      <c r="C1570" s="103" t="s">
        <v>188</v>
      </c>
      <c r="D1570" s="104"/>
      <c r="E1570" s="104"/>
      <c r="G1570" s="104" t="n">
        <v>120</v>
      </c>
    </row>
    <row r="1571" customFormat="false" ht="15" hidden="true" customHeight="true" outlineLevel="1" collapsed="false">
      <c r="A1571" s="105"/>
      <c r="B1571" s="102" t="s">
        <v>1396</v>
      </c>
      <c r="C1571" s="103" t="s">
        <v>188</v>
      </c>
      <c r="D1571" s="104"/>
      <c r="E1571" s="104"/>
      <c r="G1571" s="104" t="n">
        <v>0</v>
      </c>
    </row>
    <row r="1572" customFormat="false" ht="15" hidden="true" customHeight="true" outlineLevel="1" collapsed="false">
      <c r="A1572" s="105"/>
      <c r="B1572" s="102" t="s">
        <v>1399</v>
      </c>
      <c r="C1572" s="103" t="s">
        <v>188</v>
      </c>
      <c r="D1572" s="104"/>
      <c r="E1572" s="104"/>
      <c r="G1572" s="104" t="n">
        <v>250</v>
      </c>
    </row>
    <row r="1573" customFormat="false" ht="15" hidden="true" customHeight="true" outlineLevel="1" collapsed="false">
      <c r="A1573" s="105"/>
      <c r="B1573" s="102" t="s">
        <v>1400</v>
      </c>
      <c r="C1573" s="103" t="s">
        <v>188</v>
      </c>
      <c r="D1573" s="104"/>
      <c r="E1573" s="104"/>
      <c r="G1573" s="104" t="n">
        <v>280</v>
      </c>
    </row>
    <row r="1574" customFormat="false" ht="15" hidden="true" customHeight="true" outlineLevel="1" collapsed="false">
      <c r="A1574" s="105"/>
      <c r="B1574" s="102"/>
      <c r="C1574" s="103"/>
      <c r="D1574" s="104"/>
      <c r="E1574" s="104"/>
      <c r="G1574" s="104"/>
    </row>
    <row r="1575" customFormat="false" ht="15" hidden="true" customHeight="true" outlineLevel="1" collapsed="false">
      <c r="A1575" s="105"/>
      <c r="B1575" s="102"/>
      <c r="C1575" s="103"/>
      <c r="D1575" s="104"/>
      <c r="E1575" s="104"/>
      <c r="G1575" s="104"/>
    </row>
    <row r="1576" customFormat="false" ht="15" hidden="true" customHeight="true" outlineLevel="1" collapsed="false">
      <c r="A1576" s="105"/>
      <c r="B1576" s="102"/>
      <c r="C1576" s="103"/>
      <c r="D1576" s="104"/>
      <c r="E1576" s="104"/>
      <c r="G1576" s="104"/>
    </row>
    <row r="1577" customFormat="false" ht="15" hidden="true" customHeight="true" outlineLevel="1" collapsed="false">
      <c r="A1577" s="105"/>
      <c r="B1577" s="102"/>
      <c r="C1577" s="103"/>
      <c r="D1577" s="104"/>
      <c r="E1577" s="104"/>
      <c r="G1577" s="104"/>
    </row>
    <row r="1578" customFormat="false" ht="15" hidden="true" customHeight="true" outlineLevel="1" collapsed="false">
      <c r="A1578" s="105"/>
      <c r="B1578" s="102"/>
      <c r="C1578" s="103"/>
      <c r="D1578" s="104"/>
      <c r="E1578" s="104"/>
      <c r="G1578" s="104"/>
    </row>
    <row r="1579" customFormat="false" ht="15" hidden="true" customHeight="true" outlineLevel="1" collapsed="false">
      <c r="A1579" s="105"/>
      <c r="B1579" s="108"/>
      <c r="C1579" s="103"/>
      <c r="D1579" s="104"/>
      <c r="E1579" s="104"/>
      <c r="G1579" s="104"/>
    </row>
    <row r="1580" customFormat="false" ht="15" hidden="false" customHeight="true" outlineLevel="0" collapsed="false">
      <c r="A1580" s="47" t="s">
        <v>1359</v>
      </c>
      <c r="B1580" s="47"/>
      <c r="C1580" s="103"/>
      <c r="D1580" s="104"/>
      <c r="E1580" s="104"/>
      <c r="G1580" s="104"/>
    </row>
    <row r="1581" customFormat="false" ht="15" hidden="true" customHeight="true" outlineLevel="1" collapsed="false">
      <c r="A1581" s="178" t="s">
        <v>1401</v>
      </c>
      <c r="B1581" s="178"/>
      <c r="C1581" s="124" t="s">
        <v>208</v>
      </c>
      <c r="D1581" s="243"/>
      <c r="E1581" s="243"/>
      <c r="F1581" s="29"/>
      <c r="G1581" s="29" t="s">
        <v>132</v>
      </c>
    </row>
    <row r="1582" customFormat="false" ht="15" hidden="true" customHeight="true" outlineLevel="1" collapsed="false">
      <c r="A1582" s="290"/>
      <c r="B1582" s="20" t="s">
        <v>1402</v>
      </c>
      <c r="C1582" s="103" t="s">
        <v>150</v>
      </c>
      <c r="D1582" s="245"/>
      <c r="E1582" s="245"/>
      <c r="F1582" s="23"/>
      <c r="G1582" s="23" t="n">
        <v>0</v>
      </c>
    </row>
    <row r="1583" customFormat="false" ht="15" hidden="true" customHeight="true" outlineLevel="1" collapsed="false">
      <c r="A1583" s="259"/>
      <c r="B1583" s="102" t="s">
        <v>1403</v>
      </c>
      <c r="C1583" s="103" t="s">
        <v>150</v>
      </c>
      <c r="D1583" s="104"/>
      <c r="E1583" s="104"/>
      <c r="G1583" s="104" t="n">
        <v>470</v>
      </c>
    </row>
    <row r="1584" customFormat="false" ht="15" hidden="true" customHeight="true" outlineLevel="1" collapsed="false">
      <c r="A1584" s="259"/>
      <c r="B1584" s="102" t="s">
        <v>1404</v>
      </c>
      <c r="C1584" s="103" t="s">
        <v>150</v>
      </c>
      <c r="D1584" s="104"/>
      <c r="E1584" s="104"/>
      <c r="G1584" s="104" t="n">
        <v>470</v>
      </c>
    </row>
    <row r="1585" customFormat="false" ht="15" hidden="true" customHeight="true" outlineLevel="1" collapsed="false">
      <c r="A1585" s="259"/>
      <c r="B1585" s="102" t="s">
        <v>1405</v>
      </c>
      <c r="C1585" s="103" t="s">
        <v>150</v>
      </c>
      <c r="D1585" s="104"/>
      <c r="E1585" s="104"/>
      <c r="G1585" s="104" t="n">
        <v>400</v>
      </c>
    </row>
    <row r="1586" customFormat="false" ht="15" hidden="true" customHeight="true" outlineLevel="1" collapsed="false">
      <c r="A1586" s="259"/>
      <c r="B1586" s="102" t="s">
        <v>1406</v>
      </c>
      <c r="C1586" s="103" t="s">
        <v>150</v>
      </c>
      <c r="D1586" s="104"/>
      <c r="E1586" s="104"/>
      <c r="G1586" s="104" t="n">
        <v>470</v>
      </c>
    </row>
    <row r="1587" customFormat="false" ht="15" hidden="true" customHeight="true" outlineLevel="1" collapsed="false">
      <c r="A1587" s="259"/>
      <c r="B1587" s="102" t="s">
        <v>1407</v>
      </c>
      <c r="C1587" s="103" t="s">
        <v>133</v>
      </c>
      <c r="D1587" s="104"/>
      <c r="E1587" s="104"/>
      <c r="G1587" s="104" t="n">
        <v>15</v>
      </c>
    </row>
    <row r="1588" customFormat="false" ht="15" hidden="true" customHeight="true" outlineLevel="1" collapsed="false">
      <c r="A1588" s="259"/>
      <c r="B1588" s="102" t="s">
        <v>1408</v>
      </c>
      <c r="C1588" s="103" t="s">
        <v>150</v>
      </c>
      <c r="D1588" s="104"/>
      <c r="E1588" s="104"/>
      <c r="G1588" s="104" t="n">
        <v>390</v>
      </c>
    </row>
    <row r="1589" customFormat="false" ht="15" hidden="true" customHeight="true" outlineLevel="1" collapsed="false">
      <c r="A1589" s="259"/>
      <c r="D1589" s="5"/>
      <c r="E1589" s="5"/>
      <c r="F1589" s="134"/>
      <c r="G1589" s="134"/>
    </row>
    <row r="1590" customFormat="false" ht="15" hidden="true" customHeight="true" outlineLevel="1" collapsed="false">
      <c r="A1590" s="259"/>
      <c r="B1590" s="102"/>
      <c r="C1590" s="103"/>
      <c r="D1590" s="104"/>
      <c r="E1590" s="104"/>
      <c r="G1590" s="104"/>
    </row>
    <row r="1591" customFormat="false" ht="15" hidden="true" customHeight="true" outlineLevel="1" collapsed="false">
      <c r="A1591" s="259"/>
      <c r="B1591" s="102"/>
      <c r="C1591" s="103"/>
      <c r="D1591" s="104"/>
      <c r="E1591" s="104"/>
      <c r="G1591" s="104"/>
    </row>
    <row r="1592" customFormat="false" ht="15" hidden="true" customHeight="true" outlineLevel="1" collapsed="false">
      <c r="A1592" s="259"/>
      <c r="B1592" s="102"/>
      <c r="C1592" s="103"/>
      <c r="D1592" s="104"/>
      <c r="E1592" s="104"/>
      <c r="G1592" s="104"/>
    </row>
    <row r="1593" customFormat="false" ht="15" hidden="true" customHeight="true" outlineLevel="1" collapsed="false">
      <c r="A1593" s="259"/>
      <c r="B1593" s="102"/>
      <c r="C1593" s="103"/>
      <c r="D1593" s="104"/>
      <c r="E1593" s="104"/>
      <c r="G1593" s="104"/>
    </row>
    <row r="1594" customFormat="false" ht="15" hidden="true" customHeight="true" outlineLevel="1" collapsed="false">
      <c r="A1594" s="259"/>
      <c r="B1594" s="108"/>
      <c r="C1594" s="103"/>
      <c r="D1594" s="104"/>
      <c r="E1594" s="104"/>
      <c r="G1594" s="104"/>
    </row>
    <row r="1595" customFormat="false" ht="15" hidden="false" customHeight="true" outlineLevel="0" collapsed="false">
      <c r="A1595" s="47" t="s">
        <v>1401</v>
      </c>
      <c r="B1595" s="47"/>
      <c r="C1595" s="103"/>
      <c r="D1595" s="104"/>
      <c r="E1595" s="104"/>
      <c r="G1595" s="104"/>
    </row>
    <row r="1596" customFormat="false" ht="15" hidden="true" customHeight="true" outlineLevel="1" collapsed="false">
      <c r="A1596" s="291" t="s">
        <v>1409</v>
      </c>
      <c r="B1596" s="291"/>
      <c r="C1596" s="292" t="s">
        <v>208</v>
      </c>
      <c r="D1596" s="293"/>
      <c r="E1596" s="293"/>
      <c r="F1596" s="294"/>
      <c r="G1596" s="293" t="s">
        <v>132</v>
      </c>
    </row>
    <row r="1597" customFormat="false" ht="15" hidden="true" customHeight="true" outlineLevel="1" collapsed="false">
      <c r="A1597" s="295"/>
      <c r="B1597" s="122" t="s">
        <v>1410</v>
      </c>
      <c r="C1597" s="230" t="s">
        <v>133</v>
      </c>
      <c r="D1597" s="104"/>
      <c r="E1597" s="104"/>
      <c r="G1597" s="104" t="n">
        <v>200</v>
      </c>
    </row>
    <row r="1598" customFormat="false" ht="15" hidden="true" customHeight="true" outlineLevel="1" collapsed="false">
      <c r="A1598" s="295"/>
      <c r="B1598" s="122" t="s">
        <v>1411</v>
      </c>
      <c r="C1598" s="230" t="s">
        <v>133</v>
      </c>
      <c r="D1598" s="104"/>
      <c r="E1598" s="104"/>
      <c r="G1598" s="104" t="n">
        <v>200</v>
      </c>
    </row>
    <row r="1599" customFormat="false" ht="15" hidden="true" customHeight="true" outlineLevel="1" collapsed="false">
      <c r="A1599" s="295"/>
      <c r="B1599" s="122" t="s">
        <v>1412</v>
      </c>
      <c r="C1599" s="230" t="s">
        <v>133</v>
      </c>
      <c r="D1599" s="104"/>
      <c r="E1599" s="104"/>
      <c r="G1599" s="104" t="n">
        <v>40</v>
      </c>
    </row>
    <row r="1600" customFormat="false" ht="15" hidden="true" customHeight="true" outlineLevel="1" collapsed="false">
      <c r="A1600" s="295"/>
      <c r="B1600" s="122" t="s">
        <v>1413</v>
      </c>
      <c r="C1600" s="230" t="s">
        <v>133</v>
      </c>
      <c r="D1600" s="104"/>
      <c r="E1600" s="104"/>
      <c r="G1600" s="104" t="n">
        <v>300</v>
      </c>
    </row>
    <row r="1601" customFormat="false" ht="15" hidden="true" customHeight="true" outlineLevel="1" collapsed="false">
      <c r="A1601" s="295"/>
      <c r="B1601" s="87" t="s">
        <v>1414</v>
      </c>
      <c r="C1601" s="88" t="s">
        <v>1415</v>
      </c>
      <c r="E1601" s="104"/>
      <c r="G1601" s="89" t="n">
        <v>30</v>
      </c>
    </row>
    <row r="1602" customFormat="false" ht="15" hidden="true" customHeight="true" outlineLevel="1" collapsed="false">
      <c r="A1602" s="295"/>
      <c r="B1602" s="87" t="s">
        <v>1416</v>
      </c>
      <c r="C1602" s="88" t="s">
        <v>1415</v>
      </c>
      <c r="E1602" s="104"/>
      <c r="G1602" s="89" t="n">
        <v>30</v>
      </c>
    </row>
    <row r="1603" customFormat="false" ht="15" hidden="true" customHeight="true" outlineLevel="1" collapsed="false">
      <c r="A1603" s="295"/>
      <c r="B1603" s="87" t="s">
        <v>1417</v>
      </c>
      <c r="C1603" s="88" t="s">
        <v>156</v>
      </c>
      <c r="E1603" s="104"/>
      <c r="G1603" s="89" t="n">
        <v>500</v>
      </c>
    </row>
    <row r="1604" customFormat="false" ht="15" hidden="true" customHeight="true" outlineLevel="1" collapsed="false">
      <c r="A1604" s="295"/>
      <c r="B1604" s="122" t="s">
        <v>1418</v>
      </c>
      <c r="C1604" s="230" t="s">
        <v>133</v>
      </c>
      <c r="D1604" s="104"/>
      <c r="E1604" s="104"/>
      <c r="G1604" s="104" t="n">
        <v>350</v>
      </c>
    </row>
    <row r="1605" customFormat="false" ht="15" hidden="true" customHeight="true" outlineLevel="1" collapsed="false">
      <c r="A1605" s="295"/>
      <c r="B1605" s="122" t="s">
        <v>1419</v>
      </c>
      <c r="C1605" s="230" t="s">
        <v>133</v>
      </c>
      <c r="D1605" s="104"/>
      <c r="E1605" s="104"/>
      <c r="G1605" s="104" t="n">
        <v>350</v>
      </c>
    </row>
    <row r="1606" customFormat="false" ht="15" hidden="true" customHeight="true" outlineLevel="1" collapsed="false">
      <c r="A1606" s="295"/>
      <c r="B1606" s="122" t="s">
        <v>1420</v>
      </c>
      <c r="C1606" s="230" t="s">
        <v>133</v>
      </c>
      <c r="D1606" s="104"/>
      <c r="E1606" s="104"/>
      <c r="G1606" s="104" t="n">
        <v>300</v>
      </c>
    </row>
    <row r="1607" customFormat="false" ht="15" hidden="true" customHeight="true" outlineLevel="1" collapsed="false">
      <c r="A1607" s="295"/>
      <c r="B1607" s="122" t="s">
        <v>1421</v>
      </c>
      <c r="C1607" s="230" t="s">
        <v>133</v>
      </c>
      <c r="D1607" s="104"/>
      <c r="E1607" s="104"/>
      <c r="G1607" s="104" t="n">
        <v>400</v>
      </c>
    </row>
    <row r="1608" customFormat="false" ht="15" hidden="true" customHeight="true" outlineLevel="1" collapsed="false">
      <c r="A1608" s="295"/>
      <c r="B1608" s="122" t="s">
        <v>1422</v>
      </c>
      <c r="C1608" s="230" t="s">
        <v>133</v>
      </c>
      <c r="D1608" s="104"/>
      <c r="E1608" s="104"/>
      <c r="G1608" s="104" t="n">
        <v>250</v>
      </c>
    </row>
    <row r="1609" customFormat="false" ht="15" hidden="true" customHeight="true" outlineLevel="1" collapsed="false">
      <c r="A1609" s="295"/>
      <c r="B1609" s="122" t="s">
        <v>1423</v>
      </c>
      <c r="C1609" s="230" t="s">
        <v>133</v>
      </c>
      <c r="D1609" s="104"/>
      <c r="E1609" s="104"/>
      <c r="G1609" s="104" t="n">
        <v>300</v>
      </c>
    </row>
    <row r="1610" customFormat="false" ht="15" hidden="true" customHeight="true" outlineLevel="1" collapsed="false">
      <c r="A1610" s="295"/>
      <c r="B1610" s="122" t="s">
        <v>1424</v>
      </c>
      <c r="C1610" s="230" t="s">
        <v>133</v>
      </c>
      <c r="D1610" s="104"/>
      <c r="E1610" s="104"/>
      <c r="G1610" s="104" t="n">
        <v>200</v>
      </c>
    </row>
    <row r="1611" customFormat="false" ht="15" hidden="true" customHeight="true" outlineLevel="1" collapsed="false">
      <c r="A1611" s="295"/>
      <c r="B1611" s="122" t="s">
        <v>1425</v>
      </c>
      <c r="C1611" s="230" t="s">
        <v>133</v>
      </c>
      <c r="D1611" s="104"/>
      <c r="E1611" s="104"/>
      <c r="G1611" s="104" t="n">
        <v>150</v>
      </c>
    </row>
    <row r="1612" customFormat="false" ht="15" hidden="true" customHeight="true" outlineLevel="1" collapsed="false">
      <c r="A1612" s="295"/>
      <c r="B1612" s="7" t="s">
        <v>1426</v>
      </c>
      <c r="C1612" s="230" t="s">
        <v>133</v>
      </c>
      <c r="D1612" s="104"/>
      <c r="E1612" s="104"/>
      <c r="G1612" s="104" t="n">
        <v>200</v>
      </c>
    </row>
    <row r="1613" customFormat="false" ht="15" hidden="true" customHeight="true" outlineLevel="1" collapsed="false">
      <c r="A1613" s="295"/>
      <c r="B1613" s="7" t="s">
        <v>1427</v>
      </c>
      <c r="C1613" s="230" t="s">
        <v>133</v>
      </c>
      <c r="D1613" s="104"/>
      <c r="E1613" s="104"/>
      <c r="G1613" s="104" t="n">
        <v>200</v>
      </c>
    </row>
    <row r="1614" customFormat="false" ht="15" hidden="true" customHeight="true" outlineLevel="1" collapsed="false">
      <c r="A1614" s="295"/>
      <c r="B1614" s="7" t="s">
        <v>1428</v>
      </c>
      <c r="C1614" s="230" t="s">
        <v>133</v>
      </c>
      <c r="D1614" s="104"/>
      <c r="E1614" s="104"/>
      <c r="G1614" s="104" t="n">
        <v>100</v>
      </c>
    </row>
    <row r="1615" customFormat="false" ht="15" hidden="true" customHeight="true" outlineLevel="1" collapsed="false">
      <c r="A1615" s="295"/>
      <c r="B1615" s="7" t="s">
        <v>1429</v>
      </c>
      <c r="C1615" s="230" t="s">
        <v>133</v>
      </c>
      <c r="D1615" s="104"/>
      <c r="E1615" s="104"/>
      <c r="G1615" s="104" t="n">
        <v>100</v>
      </c>
    </row>
    <row r="1616" customFormat="false" ht="15" hidden="true" customHeight="true" outlineLevel="1" collapsed="false">
      <c r="A1616" s="295"/>
      <c r="B1616" s="87" t="s">
        <v>1430</v>
      </c>
      <c r="C1616" s="88" t="s">
        <v>159</v>
      </c>
      <c r="E1616" s="104"/>
      <c r="G1616" s="89" t="n">
        <v>7000</v>
      </c>
    </row>
    <row r="1617" customFormat="false" ht="15" hidden="true" customHeight="true" outlineLevel="1" collapsed="false">
      <c r="A1617" s="295"/>
      <c r="B1617" s="87" t="s">
        <v>1431</v>
      </c>
      <c r="C1617" s="88" t="s">
        <v>133</v>
      </c>
      <c r="E1617" s="104"/>
      <c r="G1617" s="89" t="n">
        <v>300</v>
      </c>
    </row>
    <row r="1618" customFormat="false" ht="15" hidden="true" customHeight="true" outlineLevel="1" collapsed="false">
      <c r="A1618" s="295"/>
      <c r="B1618" s="87" t="s">
        <v>1432</v>
      </c>
      <c r="C1618" s="88" t="s">
        <v>133</v>
      </c>
      <c r="E1618" s="104"/>
      <c r="G1618" s="89" t="n">
        <v>100</v>
      </c>
    </row>
    <row r="1619" customFormat="false" ht="15" hidden="true" customHeight="true" outlineLevel="1" collapsed="false">
      <c r="A1619" s="295"/>
      <c r="B1619" s="87" t="s">
        <v>1433</v>
      </c>
      <c r="C1619" s="88" t="s">
        <v>133</v>
      </c>
      <c r="E1619" s="104"/>
      <c r="G1619" s="89" t="n">
        <v>10</v>
      </c>
    </row>
    <row r="1620" customFormat="false" ht="15" hidden="true" customHeight="true" outlineLevel="1" collapsed="false">
      <c r="A1620" s="295"/>
      <c r="B1620" s="87" t="s">
        <v>1433</v>
      </c>
      <c r="C1620" s="88" t="s">
        <v>133</v>
      </c>
      <c r="E1620" s="104"/>
      <c r="G1620" s="89" t="n">
        <v>10</v>
      </c>
    </row>
    <row r="1621" customFormat="false" ht="15" hidden="true" customHeight="true" outlineLevel="1" collapsed="false">
      <c r="A1621" s="295"/>
      <c r="B1621" s="122" t="s">
        <v>1434</v>
      </c>
      <c r="C1621" s="88" t="s">
        <v>133</v>
      </c>
      <c r="G1621" s="8" t="n">
        <v>200</v>
      </c>
    </row>
    <row r="1622" customFormat="false" ht="15" hidden="true" customHeight="true" outlineLevel="1" collapsed="false">
      <c r="A1622" s="295"/>
      <c r="B1622" s="122" t="s">
        <v>1435</v>
      </c>
      <c r="C1622" s="88" t="s">
        <v>133</v>
      </c>
      <c r="G1622" s="8" t="n">
        <v>200</v>
      </c>
    </row>
    <row r="1623" customFormat="false" ht="15" hidden="true" customHeight="true" outlineLevel="1" collapsed="false">
      <c r="A1623" s="295"/>
      <c r="B1623" s="122" t="s">
        <v>1436</v>
      </c>
      <c r="C1623" s="6" t="s">
        <v>159</v>
      </c>
      <c r="G1623" s="8" t="n">
        <v>200</v>
      </c>
    </row>
    <row r="1624" customFormat="false" ht="15" hidden="true" customHeight="true" outlineLevel="1" collapsed="false">
      <c r="A1624" s="295"/>
      <c r="B1624" s="122" t="s">
        <v>1437</v>
      </c>
      <c r="C1624" s="6" t="s">
        <v>159</v>
      </c>
      <c r="G1624" s="8" t="n">
        <v>250</v>
      </c>
    </row>
    <row r="1625" customFormat="false" ht="15" hidden="true" customHeight="true" outlineLevel="1" collapsed="false">
      <c r="A1625" s="295"/>
    </row>
    <row r="1626" customFormat="false" ht="15" hidden="true" customHeight="true" outlineLevel="1" collapsed="false">
      <c r="A1626" s="295"/>
      <c r="B1626" s="87" t="s">
        <v>1438</v>
      </c>
      <c r="C1626" s="88" t="s">
        <v>133</v>
      </c>
      <c r="E1626" s="104"/>
      <c r="G1626" s="89" t="n">
        <v>100</v>
      </c>
    </row>
    <row r="1627" customFormat="false" ht="15" hidden="true" customHeight="true" outlineLevel="1" collapsed="false">
      <c r="A1627" s="295"/>
      <c r="B1627" s="87" t="s">
        <v>1439</v>
      </c>
      <c r="C1627" s="88" t="s">
        <v>135</v>
      </c>
      <c r="E1627" s="104"/>
      <c r="G1627" s="89" t="n">
        <v>350</v>
      </c>
    </row>
    <row r="1628" customFormat="false" ht="15" hidden="true" customHeight="true" outlineLevel="1" collapsed="false">
      <c r="A1628" s="295"/>
      <c r="B1628" s="87" t="s">
        <v>1440</v>
      </c>
      <c r="C1628" s="88" t="s">
        <v>133</v>
      </c>
      <c r="E1628" s="104"/>
      <c r="G1628" s="89" t="n">
        <v>350</v>
      </c>
    </row>
    <row r="1629" customFormat="false" ht="15" hidden="true" customHeight="true" outlineLevel="1" collapsed="false">
      <c r="A1629" s="295"/>
      <c r="B1629" s="87" t="s">
        <v>1441</v>
      </c>
      <c r="C1629" s="88" t="s">
        <v>133</v>
      </c>
      <c r="E1629" s="104"/>
      <c r="G1629" s="89" t="n">
        <v>600</v>
      </c>
    </row>
    <row r="1630" customFormat="false" ht="15" hidden="true" customHeight="true" outlineLevel="1" collapsed="false">
      <c r="A1630" s="295"/>
      <c r="B1630" s="122" t="s">
        <v>1442</v>
      </c>
      <c r="C1630" s="88" t="s">
        <v>133</v>
      </c>
      <c r="E1630" s="104"/>
      <c r="G1630" s="89" t="n">
        <v>400</v>
      </c>
    </row>
    <row r="1631" customFormat="false" ht="15" hidden="true" customHeight="true" outlineLevel="1" collapsed="false">
      <c r="A1631" s="295"/>
      <c r="B1631" s="87" t="s">
        <v>1443</v>
      </c>
      <c r="C1631" s="88" t="s">
        <v>135</v>
      </c>
      <c r="E1631" s="104"/>
      <c r="G1631" s="89" t="n">
        <v>1200</v>
      </c>
    </row>
    <row r="1632" customFormat="false" ht="15" hidden="true" customHeight="true" outlineLevel="1" collapsed="false">
      <c r="A1632" s="295"/>
      <c r="B1632" s="87" t="s">
        <v>1444</v>
      </c>
      <c r="C1632" s="88" t="s">
        <v>133</v>
      </c>
      <c r="E1632" s="104"/>
      <c r="G1632" s="89" t="n">
        <v>200</v>
      </c>
    </row>
    <row r="1633" customFormat="false" ht="15" hidden="true" customHeight="true" outlineLevel="1" collapsed="false">
      <c r="A1633" s="295"/>
      <c r="B1633" s="87" t="s">
        <v>1445</v>
      </c>
      <c r="C1633" s="88" t="s">
        <v>133</v>
      </c>
      <c r="E1633" s="104"/>
      <c r="G1633" s="89" t="n">
        <v>200</v>
      </c>
    </row>
    <row r="1634" customFormat="false" ht="15" hidden="true" customHeight="true" outlineLevel="1" collapsed="false">
      <c r="A1634" s="295"/>
    </row>
    <row r="1635" customFormat="false" ht="15" hidden="true" customHeight="true" outlineLevel="1" collapsed="false">
      <c r="A1635" s="295"/>
      <c r="B1635" s="87" t="s">
        <v>1446</v>
      </c>
      <c r="C1635" s="88" t="s">
        <v>133</v>
      </c>
      <c r="E1635" s="104"/>
      <c r="G1635" s="89" t="n">
        <v>100</v>
      </c>
    </row>
    <row r="1636" customFormat="false" ht="15" hidden="true" customHeight="true" outlineLevel="1" collapsed="false">
      <c r="A1636" s="295"/>
      <c r="B1636" s="232" t="s">
        <v>1447</v>
      </c>
      <c r="C1636" s="88" t="s">
        <v>159</v>
      </c>
      <c r="E1636" s="104"/>
      <c r="G1636" s="89" t="n">
        <v>5000</v>
      </c>
    </row>
    <row r="1637" customFormat="false" ht="15" hidden="true" customHeight="true" outlineLevel="1" collapsed="false">
      <c r="A1637" s="295"/>
      <c r="B1637" s="87" t="s">
        <v>1448</v>
      </c>
      <c r="C1637" s="88" t="s">
        <v>159</v>
      </c>
      <c r="E1637" s="104"/>
      <c r="G1637" s="89" t="n">
        <v>1000</v>
      </c>
    </row>
    <row r="1638" customFormat="false" ht="15" hidden="true" customHeight="true" outlineLevel="1" collapsed="false">
      <c r="A1638" s="295"/>
      <c r="B1638" s="87" t="s">
        <v>1449</v>
      </c>
      <c r="C1638" s="88" t="s">
        <v>159</v>
      </c>
      <c r="E1638" s="104"/>
      <c r="G1638" s="89" t="n">
        <v>1000</v>
      </c>
    </row>
    <row r="1639" customFormat="false" ht="15" hidden="true" customHeight="true" outlineLevel="1" collapsed="false">
      <c r="A1639" s="295"/>
      <c r="B1639" s="87" t="s">
        <v>1450</v>
      </c>
      <c r="C1639" s="88" t="s">
        <v>159</v>
      </c>
      <c r="E1639" s="104"/>
      <c r="G1639" s="89" t="n">
        <v>100</v>
      </c>
    </row>
    <row r="1640" customFormat="false" ht="15" hidden="true" customHeight="true" outlineLevel="1" collapsed="false">
      <c r="A1640" s="295"/>
      <c r="B1640" s="87" t="s">
        <v>1451</v>
      </c>
      <c r="C1640" s="88" t="s">
        <v>156</v>
      </c>
      <c r="E1640" s="104"/>
      <c r="G1640" s="89" t="n">
        <v>100</v>
      </c>
    </row>
    <row r="1641" customFormat="false" ht="15" hidden="true" customHeight="true" outlineLevel="1" collapsed="false">
      <c r="A1641" s="295"/>
      <c r="B1641" s="87" t="s">
        <v>1452</v>
      </c>
      <c r="C1641" s="88" t="s">
        <v>159</v>
      </c>
      <c r="E1641" s="104"/>
      <c r="G1641" s="89" t="n">
        <v>200</v>
      </c>
    </row>
    <row r="1642" customFormat="false" ht="15" hidden="true" customHeight="true" outlineLevel="1" collapsed="false">
      <c r="A1642" s="295"/>
      <c r="B1642" s="87" t="s">
        <v>1453</v>
      </c>
      <c r="C1642" s="88" t="s">
        <v>133</v>
      </c>
      <c r="G1642" s="89" t="n">
        <v>500</v>
      </c>
      <c r="H1642" s="296"/>
    </row>
    <row r="1643" customFormat="false" ht="15" hidden="true" customHeight="true" outlineLevel="1" collapsed="false">
      <c r="A1643" s="295"/>
      <c r="B1643" s="122" t="s">
        <v>1454</v>
      </c>
      <c r="C1643" s="88" t="s">
        <v>133</v>
      </c>
      <c r="E1643" s="89"/>
      <c r="F1643" s="89"/>
      <c r="G1643" s="89" t="n">
        <v>600</v>
      </c>
      <c r="H1643" s="71"/>
    </row>
    <row r="1644" customFormat="false" ht="15" hidden="true" customHeight="true" outlineLevel="1" collapsed="false">
      <c r="A1644" s="295"/>
      <c r="B1644" s="122" t="s">
        <v>1455</v>
      </c>
      <c r="C1644" s="88" t="s">
        <v>156</v>
      </c>
      <c r="G1644" s="89" t="n">
        <v>200</v>
      </c>
      <c r="H1644" s="296"/>
    </row>
    <row r="1645" customFormat="false" ht="15" hidden="true" customHeight="true" outlineLevel="1" collapsed="false">
      <c r="A1645" s="295"/>
      <c r="B1645" s="122" t="s">
        <v>1456</v>
      </c>
      <c r="C1645" s="88" t="s">
        <v>156</v>
      </c>
      <c r="G1645" s="89" t="n">
        <v>200</v>
      </c>
      <c r="H1645" s="71"/>
    </row>
    <row r="1646" customFormat="false" ht="15" hidden="true" customHeight="true" outlineLevel="1" collapsed="false">
      <c r="A1646" s="295"/>
      <c r="B1646" s="122" t="s">
        <v>1457</v>
      </c>
      <c r="C1646" s="88" t="s">
        <v>156</v>
      </c>
      <c r="G1646" s="89" t="n">
        <v>200</v>
      </c>
      <c r="H1646" s="296"/>
    </row>
    <row r="1647" customFormat="false" ht="15" hidden="true" customHeight="true" outlineLevel="1" collapsed="false">
      <c r="A1647" s="295"/>
      <c r="B1647" s="122" t="s">
        <v>1458</v>
      </c>
      <c r="C1647" s="88" t="s">
        <v>159</v>
      </c>
      <c r="G1647" s="89" t="n">
        <v>300</v>
      </c>
      <c r="H1647" s="71"/>
    </row>
    <row r="1648" customFormat="false" ht="15" hidden="true" customHeight="true" outlineLevel="1" collapsed="false">
      <c r="A1648" s="295"/>
      <c r="B1648" s="122" t="s">
        <v>1459</v>
      </c>
      <c r="C1648" s="88" t="s">
        <v>159</v>
      </c>
      <c r="G1648" s="89" t="n">
        <v>1000</v>
      </c>
      <c r="H1648" s="296"/>
    </row>
    <row r="1649" customFormat="false" ht="15" hidden="true" customHeight="true" outlineLevel="1" collapsed="false">
      <c r="A1649" s="295"/>
      <c r="B1649" s="297" t="s">
        <v>1460</v>
      </c>
      <c r="C1649" s="88" t="s">
        <v>156</v>
      </c>
      <c r="G1649" s="89" t="n">
        <v>100</v>
      </c>
      <c r="H1649" s="71"/>
    </row>
    <row r="1650" customFormat="false" ht="15" hidden="true" customHeight="true" outlineLevel="1" collapsed="false">
      <c r="A1650" s="295"/>
      <c r="B1650" s="87" t="s">
        <v>1461</v>
      </c>
      <c r="C1650" s="88" t="s">
        <v>133</v>
      </c>
      <c r="G1650" s="89" t="n">
        <v>200</v>
      </c>
      <c r="H1650" s="71"/>
    </row>
    <row r="1651" customFormat="false" ht="15" hidden="true" customHeight="true" outlineLevel="1" collapsed="false">
      <c r="A1651" s="295"/>
      <c r="B1651" s="297" t="s">
        <v>1462</v>
      </c>
      <c r="C1651" s="88" t="s">
        <v>133</v>
      </c>
      <c r="G1651" s="89" t="n">
        <v>200</v>
      </c>
    </row>
    <row r="1652" customFormat="false" ht="15" hidden="true" customHeight="true" outlineLevel="1" collapsed="false">
      <c r="A1652" s="295"/>
      <c r="B1652" s="87" t="s">
        <v>1463</v>
      </c>
      <c r="C1652" s="88" t="s">
        <v>135</v>
      </c>
      <c r="G1652" s="89" t="n">
        <v>1000</v>
      </c>
    </row>
    <row r="1653" customFormat="false" ht="15" hidden="true" customHeight="true" outlineLevel="1" collapsed="false">
      <c r="A1653" s="295"/>
      <c r="B1653" s="87"/>
      <c r="C1653" s="88"/>
      <c r="G1653" s="89"/>
      <c r="H1653" s="296"/>
    </row>
    <row r="1654" customFormat="false" ht="15" hidden="true" customHeight="true" outlineLevel="1" collapsed="false">
      <c r="A1654" s="295"/>
      <c r="B1654" s="87" t="s">
        <v>1464</v>
      </c>
      <c r="C1654" s="230" t="s">
        <v>156</v>
      </c>
      <c r="G1654" s="89" t="n">
        <v>200</v>
      </c>
      <c r="H1654" s="71"/>
    </row>
    <row r="1655" customFormat="false" ht="15" hidden="true" customHeight="true" outlineLevel="1" collapsed="false">
      <c r="A1655" s="295"/>
      <c r="B1655" s="87" t="s">
        <v>1465</v>
      </c>
      <c r="C1655" s="230" t="s">
        <v>156</v>
      </c>
      <c r="G1655" s="89" t="n">
        <v>200</v>
      </c>
      <c r="H1655" s="296"/>
    </row>
    <row r="1656" customFormat="false" ht="15" hidden="true" customHeight="true" outlineLevel="1" collapsed="false">
      <c r="A1656" s="295"/>
      <c r="B1656" s="87" t="s">
        <v>1466</v>
      </c>
      <c r="C1656" s="230" t="s">
        <v>133</v>
      </c>
      <c r="G1656" s="89" t="n">
        <v>400</v>
      </c>
      <c r="H1656" s="71"/>
    </row>
    <row r="1657" customFormat="false" ht="15" hidden="true" customHeight="true" outlineLevel="1" collapsed="false">
      <c r="A1657" s="295"/>
      <c r="B1657" s="87" t="s">
        <v>1467</v>
      </c>
      <c r="C1657" s="230" t="s">
        <v>133</v>
      </c>
      <c r="G1657" s="89" t="n">
        <v>400</v>
      </c>
      <c r="H1657" s="71"/>
    </row>
    <row r="1658" customFormat="false" ht="15" hidden="true" customHeight="true" outlineLevel="1" collapsed="false">
      <c r="A1658" s="295"/>
      <c r="B1658" s="87" t="s">
        <v>1468</v>
      </c>
      <c r="C1658" s="230" t="s">
        <v>133</v>
      </c>
      <c r="G1658" s="89" t="n">
        <v>300</v>
      </c>
      <c r="H1658" s="71"/>
    </row>
    <row r="1659" customFormat="false" ht="15" hidden="true" customHeight="true" outlineLevel="1" collapsed="false">
      <c r="A1659" s="295"/>
      <c r="B1659" s="87" t="s">
        <v>1469</v>
      </c>
      <c r="C1659" s="230" t="s">
        <v>133</v>
      </c>
      <c r="G1659" s="89" t="n">
        <v>400</v>
      </c>
      <c r="H1659" s="71"/>
    </row>
    <row r="1660" customFormat="false" ht="14.25" hidden="true" customHeight="true" outlineLevel="1" collapsed="false">
      <c r="A1660" s="295"/>
      <c r="B1660" s="5" t="s">
        <v>1470</v>
      </c>
      <c r="C1660" s="230" t="s">
        <v>133</v>
      </c>
      <c r="D1660" s="232"/>
      <c r="G1660" s="8" t="n">
        <v>100</v>
      </c>
      <c r="H1660" s="71"/>
    </row>
    <row r="1661" customFormat="false" ht="15" hidden="true" customHeight="true" outlineLevel="1" collapsed="false">
      <c r="A1661" s="295"/>
      <c r="B1661" s="5" t="s">
        <v>1471</v>
      </c>
      <c r="C1661" s="230" t="s">
        <v>133</v>
      </c>
      <c r="G1661" s="89" t="n">
        <v>100</v>
      </c>
      <c r="H1661" s="71"/>
    </row>
    <row r="1662" customFormat="false" ht="15" hidden="true" customHeight="true" outlineLevel="1" collapsed="false">
      <c r="A1662" s="295"/>
      <c r="B1662" s="87" t="s">
        <v>1472</v>
      </c>
      <c r="C1662" s="88" t="s">
        <v>133</v>
      </c>
      <c r="G1662" s="89" t="n">
        <v>400</v>
      </c>
      <c r="H1662" s="71"/>
    </row>
    <row r="1663" customFormat="false" ht="15" hidden="true" customHeight="true" outlineLevel="1" collapsed="false">
      <c r="A1663" s="295"/>
      <c r="B1663" s="87" t="s">
        <v>1473</v>
      </c>
      <c r="C1663" s="88" t="s">
        <v>133</v>
      </c>
      <c r="G1663" s="89" t="n">
        <v>400</v>
      </c>
      <c r="H1663" s="71"/>
    </row>
    <row r="1664" customFormat="false" ht="15" hidden="true" customHeight="true" outlineLevel="1" collapsed="false">
      <c r="A1664" s="295"/>
      <c r="B1664" s="87" t="s">
        <v>1474</v>
      </c>
      <c r="C1664" s="88" t="s">
        <v>133</v>
      </c>
      <c r="G1664" s="89" t="n">
        <v>400</v>
      </c>
      <c r="H1664" s="71"/>
    </row>
    <row r="1665" customFormat="false" ht="15" hidden="true" customHeight="true" outlineLevel="1" collapsed="false">
      <c r="A1665" s="295"/>
      <c r="B1665" s="87" t="s">
        <v>1475</v>
      </c>
      <c r="C1665" s="88" t="s">
        <v>133</v>
      </c>
      <c r="G1665" s="89" t="n">
        <v>200</v>
      </c>
      <c r="H1665" s="71"/>
    </row>
    <row r="1666" customFormat="false" ht="15" hidden="true" customHeight="true" outlineLevel="1" collapsed="false">
      <c r="A1666" s="295"/>
      <c r="B1666" s="87" t="s">
        <v>1476</v>
      </c>
      <c r="C1666" s="88" t="s">
        <v>133</v>
      </c>
      <c r="G1666" s="89" t="n">
        <v>200</v>
      </c>
      <c r="H1666" s="71"/>
    </row>
    <row r="1667" customFormat="false" ht="15" hidden="true" customHeight="true" outlineLevel="1" collapsed="false">
      <c r="A1667" s="295"/>
      <c r="B1667" s="87" t="s">
        <v>1477</v>
      </c>
      <c r="C1667" s="88" t="s">
        <v>133</v>
      </c>
      <c r="G1667" s="89" t="n">
        <v>200</v>
      </c>
      <c r="H1667" s="71"/>
    </row>
    <row r="1668" customFormat="false" ht="15" hidden="true" customHeight="true" outlineLevel="1" collapsed="false">
      <c r="A1668" s="295"/>
      <c r="B1668" s="87" t="s">
        <v>1478</v>
      </c>
      <c r="C1668" s="88" t="s">
        <v>133</v>
      </c>
      <c r="G1668" s="89" t="n">
        <v>200</v>
      </c>
      <c r="H1668" s="71"/>
    </row>
    <row r="1669" customFormat="false" ht="15" hidden="true" customHeight="true" outlineLevel="1" collapsed="false">
      <c r="A1669" s="295"/>
      <c r="B1669" s="87" t="s">
        <v>1479</v>
      </c>
      <c r="C1669" s="88" t="s">
        <v>133</v>
      </c>
      <c r="G1669" s="89" t="n">
        <v>80</v>
      </c>
      <c r="H1669" s="71"/>
    </row>
    <row r="1670" customFormat="false" ht="15" hidden="true" customHeight="true" outlineLevel="1" collapsed="false">
      <c r="A1670" s="295"/>
      <c r="B1670" s="87" t="s">
        <v>1480</v>
      </c>
      <c r="C1670" s="88" t="s">
        <v>133</v>
      </c>
      <c r="G1670" s="89" t="n">
        <v>80</v>
      </c>
      <c r="H1670" s="71"/>
    </row>
    <row r="1671" customFormat="false" ht="15" hidden="true" customHeight="true" outlineLevel="1" collapsed="false">
      <c r="A1671" s="295"/>
      <c r="B1671" s="87" t="s">
        <v>1481</v>
      </c>
      <c r="C1671" s="88" t="s">
        <v>133</v>
      </c>
      <c r="G1671" s="89" t="n">
        <v>200</v>
      </c>
      <c r="H1671" s="71"/>
    </row>
    <row r="1672" customFormat="false" ht="15" hidden="true" customHeight="true" outlineLevel="1" collapsed="false">
      <c r="A1672" s="295"/>
      <c r="B1672" s="122" t="s">
        <v>1482</v>
      </c>
      <c r="C1672" s="88" t="s">
        <v>133</v>
      </c>
      <c r="G1672" s="89" t="n">
        <v>200</v>
      </c>
      <c r="H1672" s="71"/>
    </row>
    <row r="1673" customFormat="false" ht="15" hidden="true" customHeight="true" outlineLevel="1" collapsed="false">
      <c r="A1673" s="295"/>
      <c r="B1673" s="122" t="s">
        <v>1483</v>
      </c>
      <c r="C1673" s="88" t="s">
        <v>133</v>
      </c>
      <c r="G1673" s="89" t="n">
        <v>100</v>
      </c>
      <c r="H1673" s="71"/>
    </row>
    <row r="1674" customFormat="false" ht="15" hidden="true" customHeight="true" outlineLevel="1" collapsed="false">
      <c r="A1674" s="295"/>
      <c r="B1674" s="122" t="s">
        <v>1484</v>
      </c>
      <c r="C1674" s="88" t="s">
        <v>133</v>
      </c>
      <c r="G1674" s="89" t="n">
        <v>100</v>
      </c>
      <c r="H1674" s="71"/>
    </row>
    <row r="1675" customFormat="false" ht="15" hidden="true" customHeight="true" outlineLevel="1" collapsed="false">
      <c r="A1675" s="295"/>
      <c r="H1675" s="71"/>
    </row>
    <row r="1676" customFormat="false" ht="15" hidden="true" customHeight="true" outlineLevel="1" collapsed="false">
      <c r="A1676" s="5" t="s">
        <v>1485</v>
      </c>
      <c r="B1676" s="298" t="s">
        <v>1486</v>
      </c>
      <c r="C1676" s="88" t="s">
        <v>135</v>
      </c>
      <c r="G1676" s="89" t="n">
        <v>3500</v>
      </c>
      <c r="H1676" s="71"/>
    </row>
    <row r="1677" customFormat="false" ht="15" hidden="true" customHeight="true" outlineLevel="1" collapsed="false">
      <c r="A1677" s="295"/>
      <c r="B1677" s="299" t="s">
        <v>1487</v>
      </c>
      <c r="C1677" s="88" t="s">
        <v>135</v>
      </c>
      <c r="G1677" s="89" t="n">
        <v>3500</v>
      </c>
    </row>
    <row r="1678" customFormat="false" ht="15" hidden="true" customHeight="true" outlineLevel="1" collapsed="false">
      <c r="A1678" s="295"/>
      <c r="B1678" s="226" t="s">
        <v>1488</v>
      </c>
      <c r="C1678" s="88" t="s">
        <v>133</v>
      </c>
      <c r="G1678" s="89" t="n">
        <v>500</v>
      </c>
    </row>
    <row r="1679" customFormat="false" ht="15" hidden="true" customHeight="true" outlineLevel="1" collapsed="false">
      <c r="A1679" s="295"/>
      <c r="B1679" s="298" t="s">
        <v>1489</v>
      </c>
      <c r="C1679" s="88"/>
      <c r="G1679" s="89" t="n">
        <v>3500</v>
      </c>
      <c r="H1679" s="300"/>
    </row>
    <row r="1680" customFormat="false" ht="15" hidden="true" customHeight="true" outlineLevel="1" collapsed="false">
      <c r="A1680" s="295"/>
      <c r="B1680" s="299" t="s">
        <v>1490</v>
      </c>
      <c r="C1680" s="88"/>
      <c r="G1680" s="89" t="n">
        <v>3500</v>
      </c>
      <c r="H1680" s="300"/>
    </row>
    <row r="1681" customFormat="false" ht="15" hidden="true" customHeight="true" outlineLevel="1" collapsed="false">
      <c r="A1681" s="295"/>
      <c r="B1681" s="226" t="s">
        <v>1491</v>
      </c>
      <c r="C1681" s="88"/>
      <c r="G1681" s="89" t="n">
        <v>450</v>
      </c>
      <c r="H1681" s="300"/>
    </row>
    <row r="1682" customFormat="false" ht="15" hidden="true" customHeight="true" outlineLevel="1" collapsed="false">
      <c r="A1682" s="295"/>
      <c r="B1682" s="87" t="s">
        <v>1492</v>
      </c>
      <c r="C1682" s="88" t="s">
        <v>135</v>
      </c>
      <c r="G1682" s="89" t="n">
        <v>3500</v>
      </c>
      <c r="H1682" s="300"/>
    </row>
    <row r="1683" customFormat="false" ht="15" hidden="true" customHeight="true" outlineLevel="1" collapsed="false">
      <c r="A1683" s="295"/>
      <c r="B1683" s="87" t="s">
        <v>1493</v>
      </c>
      <c r="C1683" s="88" t="s">
        <v>133</v>
      </c>
      <c r="G1683" s="89" t="n">
        <v>550</v>
      </c>
      <c r="H1683" s="300"/>
    </row>
    <row r="1684" customFormat="false" ht="15" hidden="true" customHeight="true" outlineLevel="1" collapsed="false">
      <c r="A1684" s="295"/>
      <c r="B1684" s="226" t="s">
        <v>1494</v>
      </c>
      <c r="C1684" s="88" t="s">
        <v>156</v>
      </c>
      <c r="G1684" s="89" t="n">
        <v>500</v>
      </c>
    </row>
    <row r="1685" customFormat="false" ht="15" hidden="true" customHeight="true" outlineLevel="1" collapsed="false">
      <c r="A1685" s="295"/>
      <c r="B1685" s="226" t="s">
        <v>1495</v>
      </c>
      <c r="C1685" s="88" t="s">
        <v>135</v>
      </c>
      <c r="G1685" s="89" t="n">
        <v>1500</v>
      </c>
      <c r="H1685" s="71"/>
    </row>
    <row r="1686" customFormat="false" ht="15" hidden="true" customHeight="true" outlineLevel="1" collapsed="false">
      <c r="A1686" s="295"/>
      <c r="B1686" s="226" t="s">
        <v>1496</v>
      </c>
      <c r="C1686" s="88" t="s">
        <v>156</v>
      </c>
      <c r="G1686" s="89" t="n">
        <v>70</v>
      </c>
      <c r="H1686" s="71"/>
    </row>
    <row r="1687" customFormat="false" ht="15" hidden="true" customHeight="true" outlineLevel="1" collapsed="false">
      <c r="A1687" s="295"/>
      <c r="B1687" s="226" t="s">
        <v>1497</v>
      </c>
      <c r="C1687" s="88" t="s">
        <v>156</v>
      </c>
      <c r="G1687" s="89" t="n">
        <v>300</v>
      </c>
      <c r="H1687" s="71"/>
    </row>
    <row r="1688" customFormat="false" ht="15" hidden="true" customHeight="true" outlineLevel="1" collapsed="false">
      <c r="A1688" s="295"/>
      <c r="B1688" s="226" t="s">
        <v>1498</v>
      </c>
      <c r="C1688" s="88" t="s">
        <v>156</v>
      </c>
      <c r="G1688" s="89" t="n">
        <v>500</v>
      </c>
      <c r="H1688" s="71"/>
    </row>
    <row r="1689" customFormat="false" ht="15" hidden="true" customHeight="true" outlineLevel="1" collapsed="false">
      <c r="A1689" s="295"/>
      <c r="B1689" s="298" t="s">
        <v>1499</v>
      </c>
      <c r="C1689" s="88" t="s">
        <v>156</v>
      </c>
      <c r="G1689" s="89" t="n">
        <v>700</v>
      </c>
      <c r="H1689" s="71"/>
    </row>
    <row r="1690" customFormat="false" ht="15" hidden="true" customHeight="true" outlineLevel="1" collapsed="false">
      <c r="A1690" s="295"/>
      <c r="B1690" s="298" t="s">
        <v>1500</v>
      </c>
      <c r="C1690" s="88" t="s">
        <v>133</v>
      </c>
      <c r="G1690" s="89" t="n">
        <v>350</v>
      </c>
      <c r="H1690" s="71"/>
    </row>
    <row r="1691" customFormat="false" ht="15" hidden="true" customHeight="true" outlineLevel="1" collapsed="false">
      <c r="A1691" s="295"/>
      <c r="H1691" s="71"/>
    </row>
    <row r="1692" customFormat="false" ht="15" hidden="true" customHeight="true" outlineLevel="1" collapsed="false">
      <c r="A1692" s="295"/>
      <c r="H1692" s="71"/>
    </row>
    <row r="1693" customFormat="false" ht="15" hidden="true" customHeight="true" outlineLevel="1" collapsed="false">
      <c r="A1693" s="5" t="s">
        <v>1501</v>
      </c>
      <c r="B1693" s="87" t="s">
        <v>1502</v>
      </c>
      <c r="C1693" s="88" t="s">
        <v>135</v>
      </c>
      <c r="G1693" s="89" t="n">
        <v>4000</v>
      </c>
      <c r="H1693" s="71"/>
    </row>
    <row r="1694" customFormat="false" ht="15" hidden="true" customHeight="true" outlineLevel="1" collapsed="false">
      <c r="A1694" s="295"/>
      <c r="B1694" s="87" t="s">
        <v>1503</v>
      </c>
      <c r="C1694" s="88" t="s">
        <v>133</v>
      </c>
      <c r="G1694" s="89" t="n">
        <v>200</v>
      </c>
      <c r="H1694" s="71"/>
    </row>
    <row r="1695" customFormat="false" ht="15" hidden="true" customHeight="true" outlineLevel="1" collapsed="false">
      <c r="A1695" s="295"/>
      <c r="B1695" s="87" t="s">
        <v>1504</v>
      </c>
      <c r="C1695" s="88" t="s">
        <v>156</v>
      </c>
      <c r="G1695" s="89" t="n">
        <v>150</v>
      </c>
      <c r="H1695" s="71"/>
    </row>
    <row r="1696" customFormat="false" ht="15" hidden="true" customHeight="true" outlineLevel="1" collapsed="false">
      <c r="A1696" s="295"/>
      <c r="B1696" s="87" t="s">
        <v>1505</v>
      </c>
      <c r="C1696" s="301" t="s">
        <v>135</v>
      </c>
      <c r="G1696" s="89" t="n">
        <v>6000</v>
      </c>
      <c r="H1696" s="71"/>
    </row>
    <row r="1697" customFormat="false" ht="15" hidden="true" customHeight="true" outlineLevel="1" collapsed="false">
      <c r="A1697" s="295"/>
      <c r="B1697" s="87" t="s">
        <v>1506</v>
      </c>
      <c r="C1697" s="301" t="s">
        <v>135</v>
      </c>
      <c r="G1697" s="89" t="n">
        <v>6000</v>
      </c>
      <c r="H1697" s="71"/>
    </row>
    <row r="1698" customFormat="false" ht="15" hidden="true" customHeight="true" outlineLevel="1" collapsed="false">
      <c r="A1698" s="295"/>
      <c r="B1698" s="87" t="s">
        <v>1507</v>
      </c>
      <c r="C1698" s="301" t="s">
        <v>135</v>
      </c>
      <c r="G1698" s="89" t="n">
        <v>6000</v>
      </c>
      <c r="H1698" s="71"/>
    </row>
    <row r="1699" customFormat="false" ht="15" hidden="true" customHeight="true" outlineLevel="1" collapsed="false">
      <c r="A1699" s="295"/>
      <c r="B1699" s="87" t="s">
        <v>1508</v>
      </c>
      <c r="C1699" s="301" t="s">
        <v>135</v>
      </c>
      <c r="G1699" s="89" t="n">
        <v>6000</v>
      </c>
      <c r="H1699" s="71"/>
    </row>
    <row r="1700" customFormat="false" ht="15" hidden="true" customHeight="true" outlineLevel="1" collapsed="false">
      <c r="A1700" s="295"/>
      <c r="B1700" s="87" t="s">
        <v>1509</v>
      </c>
      <c r="C1700" s="301" t="s">
        <v>156</v>
      </c>
      <c r="G1700" s="89" t="n">
        <v>250</v>
      </c>
      <c r="H1700" s="71"/>
    </row>
    <row r="1701" customFormat="false" ht="15" hidden="true" customHeight="true" outlineLevel="1" collapsed="false">
      <c r="A1701" s="295"/>
      <c r="B1701" s="87" t="s">
        <v>1510</v>
      </c>
      <c r="C1701" s="301" t="s">
        <v>156</v>
      </c>
      <c r="G1701" s="89" t="n">
        <v>300</v>
      </c>
      <c r="H1701" s="71"/>
    </row>
    <row r="1702" customFormat="false" ht="15" hidden="true" customHeight="true" outlineLevel="1" collapsed="false">
      <c r="A1702" s="295"/>
      <c r="B1702" s="87" t="s">
        <v>1511</v>
      </c>
      <c r="C1702" s="301" t="s">
        <v>135</v>
      </c>
      <c r="G1702" s="89" t="n">
        <v>300</v>
      </c>
      <c r="H1702" s="71"/>
    </row>
    <row r="1703" customFormat="false" ht="15" hidden="true" customHeight="true" outlineLevel="1" collapsed="false">
      <c r="A1703" s="295"/>
      <c r="B1703" s="87" t="s">
        <v>1512</v>
      </c>
      <c r="C1703" s="301" t="s">
        <v>133</v>
      </c>
      <c r="G1703" s="89" t="n">
        <v>100</v>
      </c>
      <c r="H1703" s="71"/>
    </row>
    <row r="1704" customFormat="false" ht="15" hidden="true" customHeight="true" outlineLevel="1" collapsed="false">
      <c r="A1704" s="295"/>
      <c r="B1704" s="87" t="s">
        <v>1513</v>
      </c>
      <c r="C1704" s="301" t="s">
        <v>133</v>
      </c>
      <c r="G1704" s="89" t="n">
        <v>100</v>
      </c>
      <c r="H1704" s="71"/>
    </row>
    <row r="1705" customFormat="false" ht="15" hidden="true" customHeight="true" outlineLevel="1" collapsed="false">
      <c r="A1705" s="295"/>
      <c r="B1705" s="87" t="s">
        <v>1514</v>
      </c>
      <c r="C1705" s="301" t="s">
        <v>133</v>
      </c>
      <c r="G1705" s="89" t="n">
        <v>250</v>
      </c>
      <c r="H1705" s="71"/>
    </row>
    <row r="1706" customFormat="false" ht="15" hidden="true" customHeight="true" outlineLevel="1" collapsed="false">
      <c r="A1706" s="5" t="s">
        <v>1515</v>
      </c>
      <c r="B1706" s="87" t="s">
        <v>1516</v>
      </c>
      <c r="C1706" s="88" t="s">
        <v>159</v>
      </c>
      <c r="G1706" s="89" t="n">
        <v>1000</v>
      </c>
      <c r="H1706" s="71"/>
    </row>
    <row r="1707" customFormat="false" ht="15" hidden="true" customHeight="true" outlineLevel="1" collapsed="false">
      <c r="A1707" s="295"/>
      <c r="B1707" s="87" t="s">
        <v>1517</v>
      </c>
      <c r="C1707" s="88" t="s">
        <v>159</v>
      </c>
      <c r="G1707" s="89" t="n">
        <v>400</v>
      </c>
      <c r="H1707" s="71"/>
    </row>
    <row r="1708" customFormat="false" ht="15" hidden="true" customHeight="true" outlineLevel="1" collapsed="false">
      <c r="A1708" s="295"/>
      <c r="B1708" s="87" t="s">
        <v>1518</v>
      </c>
      <c r="C1708" s="88" t="s">
        <v>159</v>
      </c>
      <c r="G1708" s="89" t="n">
        <v>150</v>
      </c>
      <c r="H1708" s="71"/>
    </row>
    <row r="1709" customFormat="false" ht="15" hidden="true" customHeight="true" outlineLevel="1" collapsed="false">
      <c r="A1709" s="295"/>
      <c r="B1709" s="87" t="s">
        <v>1519</v>
      </c>
      <c r="C1709" s="88" t="s">
        <v>159</v>
      </c>
      <c r="G1709" s="89" t="n">
        <v>50</v>
      </c>
      <c r="H1709" s="71"/>
    </row>
    <row r="1710" customFormat="false" ht="15" hidden="true" customHeight="true" outlineLevel="1" collapsed="false">
      <c r="A1710" s="295"/>
      <c r="B1710" s="87" t="s">
        <v>1520</v>
      </c>
      <c r="C1710" s="88" t="s">
        <v>159</v>
      </c>
      <c r="G1710" s="89" t="n">
        <v>50</v>
      </c>
      <c r="H1710" s="71"/>
    </row>
    <row r="1711" customFormat="false" ht="15" hidden="true" customHeight="true" outlineLevel="1" collapsed="false">
      <c r="A1711" s="295"/>
      <c r="B1711" s="87" t="s">
        <v>1521</v>
      </c>
      <c r="C1711" s="88" t="s">
        <v>159</v>
      </c>
      <c r="G1711" s="89" t="n">
        <v>150</v>
      </c>
      <c r="H1711" s="71"/>
    </row>
    <row r="1712" customFormat="false" ht="15" hidden="true" customHeight="true" outlineLevel="1" collapsed="false">
      <c r="A1712" s="295"/>
      <c r="B1712" s="87" t="s">
        <v>1522</v>
      </c>
      <c r="C1712" s="88" t="s">
        <v>159</v>
      </c>
      <c r="G1712" s="89" t="n">
        <v>250</v>
      </c>
      <c r="H1712" s="71"/>
    </row>
    <row r="1713" customFormat="false" ht="15" hidden="true" customHeight="true" outlineLevel="1" collapsed="false">
      <c r="A1713" s="295"/>
      <c r="B1713" s="87" t="s">
        <v>1523</v>
      </c>
      <c r="C1713" s="88" t="s">
        <v>159</v>
      </c>
      <c r="G1713" s="89" t="n">
        <v>50</v>
      </c>
      <c r="H1713" s="71"/>
    </row>
    <row r="1714" customFormat="false" ht="15" hidden="true" customHeight="true" outlineLevel="1" collapsed="false">
      <c r="A1714" s="295"/>
      <c r="B1714" s="87" t="s">
        <v>1524</v>
      </c>
      <c r="C1714" s="88" t="s">
        <v>159</v>
      </c>
      <c r="G1714" s="89" t="n">
        <v>50</v>
      </c>
      <c r="H1714" s="71"/>
    </row>
    <row r="1715" customFormat="false" ht="15" hidden="true" customHeight="true" outlineLevel="1" collapsed="false">
      <c r="A1715" s="295"/>
      <c r="B1715" s="87" t="s">
        <v>1525</v>
      </c>
      <c r="C1715" s="88" t="s">
        <v>156</v>
      </c>
      <c r="G1715" s="89" t="n">
        <v>50</v>
      </c>
      <c r="H1715" s="71"/>
    </row>
    <row r="1716" customFormat="false" ht="15" hidden="true" customHeight="true" outlineLevel="1" collapsed="false">
      <c r="A1716" s="295"/>
      <c r="B1716" s="87" t="s">
        <v>1526</v>
      </c>
      <c r="C1716" s="88" t="s">
        <v>156</v>
      </c>
      <c r="G1716" s="89" t="n">
        <v>50</v>
      </c>
      <c r="H1716" s="71"/>
    </row>
    <row r="1717" customFormat="false" ht="15" hidden="true" customHeight="true" outlineLevel="1" collapsed="false">
      <c r="A1717" s="295"/>
      <c r="B1717" s="87" t="str">
        <f aca="false">B1327</f>
        <v>Двери входные</v>
      </c>
      <c r="C1717" s="88" t="s">
        <v>159</v>
      </c>
      <c r="G1717" s="89" t="n">
        <v>2000</v>
      </c>
      <c r="H1717" s="71"/>
    </row>
    <row r="1718" customFormat="false" ht="15" hidden="true" customHeight="true" outlineLevel="1" collapsed="false">
      <c r="A1718" s="295"/>
      <c r="B1718" s="87" t="str">
        <f aca="false">B1328</f>
        <v>двери в котельную</v>
      </c>
      <c r="C1718" s="88" t="s">
        <v>159</v>
      </c>
      <c r="G1718" s="89" t="n">
        <v>2000</v>
      </c>
      <c r="H1718" s="71"/>
    </row>
    <row r="1719" customFormat="false" ht="15" hidden="true" customHeight="true" outlineLevel="1" collapsed="false">
      <c r="A1719" s="295"/>
      <c r="B1719" s="87" t="s">
        <v>1527</v>
      </c>
      <c r="C1719" s="88" t="s">
        <v>159</v>
      </c>
      <c r="G1719" s="89" t="n">
        <v>4500</v>
      </c>
      <c r="H1719" s="71"/>
    </row>
    <row r="1720" customFormat="false" ht="15" hidden="true" customHeight="true" outlineLevel="1" collapsed="false">
      <c r="A1720" s="295"/>
      <c r="B1720" s="87" t="s">
        <v>1528</v>
      </c>
      <c r="C1720" s="88" t="s">
        <v>156</v>
      </c>
      <c r="G1720" s="89" t="n">
        <v>80</v>
      </c>
      <c r="H1720" s="71"/>
    </row>
    <row r="1721" customFormat="false" ht="15" hidden="true" customHeight="true" outlineLevel="1" collapsed="false">
      <c r="A1721" s="5" t="s">
        <v>1529</v>
      </c>
      <c r="B1721" s="5" t="s">
        <v>1530</v>
      </c>
      <c r="C1721" s="6" t="s">
        <v>208</v>
      </c>
      <c r="H1721" s="71"/>
    </row>
    <row r="1722" customFormat="false" ht="15" hidden="true" customHeight="true" outlineLevel="1" collapsed="false">
      <c r="A1722" s="295"/>
      <c r="B1722" s="114" t="s">
        <v>1223</v>
      </c>
      <c r="C1722" s="6" t="s">
        <v>159</v>
      </c>
      <c r="G1722" s="8" t="n">
        <v>3500</v>
      </c>
      <c r="H1722" s="71"/>
    </row>
    <row r="1723" customFormat="false" ht="15" hidden="true" customHeight="true" outlineLevel="1" collapsed="false">
      <c r="A1723" s="295"/>
      <c r="B1723" s="114" t="s">
        <v>1224</v>
      </c>
      <c r="C1723" s="6" t="s">
        <v>159</v>
      </c>
      <c r="G1723" s="8" t="n">
        <v>3500</v>
      </c>
      <c r="H1723" s="71"/>
    </row>
    <row r="1724" customFormat="false" ht="15" hidden="true" customHeight="true" outlineLevel="1" collapsed="false">
      <c r="A1724" s="295"/>
      <c r="B1724" s="114" t="s">
        <v>1225</v>
      </c>
      <c r="C1724" s="6" t="s">
        <v>159</v>
      </c>
      <c r="G1724" s="8" t="n">
        <v>3700</v>
      </c>
      <c r="H1724" s="71"/>
    </row>
    <row r="1725" customFormat="false" ht="15" hidden="true" customHeight="true" outlineLevel="1" collapsed="false">
      <c r="A1725" s="295"/>
      <c r="B1725" s="114" t="s">
        <v>1226</v>
      </c>
      <c r="C1725" s="6" t="s">
        <v>159</v>
      </c>
      <c r="G1725" s="8" t="n">
        <v>3800</v>
      </c>
      <c r="H1725" s="71"/>
    </row>
    <row r="1726" customFormat="false" ht="15" hidden="true" customHeight="true" outlineLevel="1" collapsed="false">
      <c r="A1726" s="295"/>
      <c r="B1726" s="114" t="s">
        <v>1227</v>
      </c>
      <c r="C1726" s="6" t="s">
        <v>159</v>
      </c>
      <c r="G1726" s="8" t="n">
        <v>3700</v>
      </c>
      <c r="H1726" s="71"/>
    </row>
    <row r="1727" customFormat="false" ht="15" hidden="true" customHeight="true" outlineLevel="1" collapsed="false">
      <c r="A1727" s="295"/>
      <c r="B1727" s="114" t="s">
        <v>1228</v>
      </c>
      <c r="C1727" s="6" t="s">
        <v>159</v>
      </c>
      <c r="G1727" s="8" t="n">
        <v>3900</v>
      </c>
      <c r="H1727" s="71"/>
    </row>
    <row r="1728" customFormat="false" ht="15" hidden="true" customHeight="true" outlineLevel="1" collapsed="false">
      <c r="A1728" s="295"/>
      <c r="B1728" s="114" t="s">
        <v>1229</v>
      </c>
      <c r="C1728" s="6" t="s">
        <v>159</v>
      </c>
      <c r="G1728" s="8" t="n">
        <v>4000</v>
      </c>
      <c r="H1728" s="71"/>
    </row>
    <row r="1729" customFormat="false" ht="15" hidden="true" customHeight="true" outlineLevel="1" collapsed="false">
      <c r="A1729" s="295"/>
      <c r="B1729" s="114" t="s">
        <v>1230</v>
      </c>
      <c r="C1729" s="6" t="s">
        <v>159</v>
      </c>
      <c r="G1729" s="8" t="n">
        <v>4200</v>
      </c>
      <c r="H1729" s="71"/>
    </row>
    <row r="1730" customFormat="false" ht="15" hidden="true" customHeight="true" outlineLevel="1" collapsed="false">
      <c r="A1730" s="295"/>
      <c r="B1730" s="114" t="s">
        <v>1231</v>
      </c>
      <c r="C1730" s="6" t="s">
        <v>159</v>
      </c>
      <c r="G1730" s="8" t="n">
        <v>4000</v>
      </c>
      <c r="H1730" s="71"/>
    </row>
    <row r="1731" customFormat="false" ht="15" hidden="true" customHeight="true" outlineLevel="1" collapsed="false">
      <c r="A1731" s="295"/>
      <c r="B1731" s="114" t="s">
        <v>1232</v>
      </c>
      <c r="C1731" s="6" t="s">
        <v>159</v>
      </c>
      <c r="G1731" s="8" t="n">
        <v>4400</v>
      </c>
      <c r="H1731" s="71"/>
    </row>
    <row r="1732" customFormat="false" ht="15" hidden="true" customHeight="true" outlineLevel="1" collapsed="false">
      <c r="A1732" s="295"/>
      <c r="B1732" s="114" t="s">
        <v>1233</v>
      </c>
      <c r="C1732" s="6" t="s">
        <v>159</v>
      </c>
      <c r="G1732" s="8" t="n">
        <v>4700</v>
      </c>
      <c r="H1732" s="71"/>
    </row>
    <row r="1733" customFormat="false" ht="15" hidden="true" customHeight="true" outlineLevel="1" collapsed="false">
      <c r="A1733" s="295"/>
      <c r="B1733" s="114" t="s">
        <v>1234</v>
      </c>
      <c r="C1733" s="6" t="s">
        <v>159</v>
      </c>
      <c r="G1733" s="8" t="n">
        <v>5000</v>
      </c>
      <c r="H1733" s="71"/>
    </row>
    <row r="1734" customFormat="false" ht="15" hidden="true" customHeight="true" outlineLevel="1" collapsed="false">
      <c r="A1734" s="295"/>
      <c r="B1734" s="87"/>
      <c r="C1734" s="88"/>
      <c r="G1734" s="89"/>
      <c r="H1734" s="71"/>
    </row>
    <row r="1735" customFormat="false" ht="15" hidden="true" customHeight="true" outlineLevel="1" collapsed="false">
      <c r="A1735" s="5" t="s">
        <v>1531</v>
      </c>
      <c r="B1735" s="87" t="s">
        <v>1532</v>
      </c>
      <c r="C1735" s="88" t="s">
        <v>156</v>
      </c>
      <c r="G1735" s="89" t="n">
        <v>250</v>
      </c>
      <c r="H1735" s="71"/>
    </row>
    <row r="1736" customFormat="false" ht="15" hidden="true" customHeight="true" outlineLevel="1" collapsed="false">
      <c r="A1736" s="295"/>
      <c r="B1736" s="87" t="s">
        <v>1533</v>
      </c>
      <c r="C1736" s="88" t="s">
        <v>133</v>
      </c>
      <c r="G1736" s="89" t="n">
        <v>450</v>
      </c>
      <c r="H1736" s="71"/>
    </row>
    <row r="1737" customFormat="false" ht="15" hidden="true" customHeight="true" outlineLevel="1" collapsed="false">
      <c r="A1737" s="295"/>
      <c r="B1737" s="87" t="s">
        <v>1534</v>
      </c>
      <c r="C1737" s="88" t="s">
        <v>133</v>
      </c>
      <c r="G1737" s="89" t="n">
        <v>100</v>
      </c>
      <c r="H1737" s="71"/>
    </row>
    <row r="1738" customFormat="false" ht="15" hidden="true" customHeight="true" outlineLevel="1" collapsed="false">
      <c r="A1738" s="295"/>
      <c r="B1738" s="87" t="s">
        <v>1535</v>
      </c>
      <c r="C1738" s="88" t="s">
        <v>133</v>
      </c>
      <c r="G1738" s="89" t="n">
        <v>100</v>
      </c>
      <c r="H1738" s="71"/>
    </row>
    <row r="1739" customFormat="false" ht="15" hidden="true" customHeight="true" outlineLevel="1" collapsed="false">
      <c r="A1739" s="295"/>
      <c r="B1739" s="87" t="s">
        <v>1536</v>
      </c>
      <c r="C1739" s="88" t="s">
        <v>133</v>
      </c>
      <c r="G1739" s="89" t="n">
        <v>100</v>
      </c>
      <c r="H1739" s="71"/>
    </row>
    <row r="1740" customFormat="false" ht="15" hidden="true" customHeight="true" outlineLevel="1" collapsed="false">
      <c r="A1740" s="295"/>
      <c r="B1740" s="87" t="s">
        <v>1537</v>
      </c>
      <c r="C1740" s="88" t="s">
        <v>133</v>
      </c>
      <c r="G1740" s="89" t="n">
        <v>100</v>
      </c>
      <c r="H1740" s="71"/>
    </row>
    <row r="1741" customFormat="false" ht="15" hidden="true" customHeight="true" outlineLevel="1" collapsed="false">
      <c r="A1741" s="295"/>
      <c r="B1741" s="87" t="s">
        <v>1538</v>
      </c>
      <c r="C1741" s="88" t="s">
        <v>133</v>
      </c>
      <c r="G1741" s="89" t="n">
        <v>200</v>
      </c>
      <c r="H1741" s="71"/>
    </row>
    <row r="1742" customFormat="false" ht="15" hidden="true" customHeight="true" outlineLevel="1" collapsed="false">
      <c r="A1742" s="295"/>
      <c r="B1742" s="87" t="s">
        <v>1539</v>
      </c>
      <c r="C1742" s="88" t="s">
        <v>133</v>
      </c>
      <c r="G1742" s="89" t="n">
        <v>300</v>
      </c>
      <c r="H1742" s="71"/>
    </row>
    <row r="1743" customFormat="false" ht="15" hidden="true" customHeight="true" outlineLevel="1" collapsed="false">
      <c r="A1743" s="295"/>
      <c r="B1743" s="87" t="s">
        <v>1540</v>
      </c>
      <c r="C1743" s="88" t="s">
        <v>133</v>
      </c>
      <c r="G1743" s="89" t="n">
        <v>300</v>
      </c>
      <c r="H1743" s="71"/>
    </row>
    <row r="1744" customFormat="false" ht="15" hidden="true" customHeight="true" outlineLevel="1" collapsed="false">
      <c r="A1744" s="295"/>
      <c r="B1744" s="87" t="s">
        <v>1541</v>
      </c>
      <c r="C1744" s="88" t="s">
        <v>133</v>
      </c>
      <c r="G1744" s="89" t="n">
        <v>100</v>
      </c>
      <c r="H1744" s="71"/>
    </row>
    <row r="1745" customFormat="false" ht="15" hidden="true" customHeight="true" outlineLevel="1" collapsed="false">
      <c r="A1745" s="295"/>
      <c r="B1745" s="87" t="s">
        <v>1542</v>
      </c>
      <c r="C1745" s="88" t="s">
        <v>133</v>
      </c>
      <c r="G1745" s="89" t="n">
        <v>100</v>
      </c>
      <c r="H1745" s="71"/>
    </row>
    <row r="1746" customFormat="false" ht="15" hidden="true" customHeight="true" outlineLevel="1" collapsed="false">
      <c r="A1746" s="295"/>
      <c r="B1746" s="87" t="s">
        <v>1543</v>
      </c>
      <c r="C1746" s="88" t="s">
        <v>156</v>
      </c>
      <c r="G1746" s="89" t="n">
        <v>150</v>
      </c>
      <c r="H1746" s="71"/>
    </row>
    <row r="1747" customFormat="false" ht="15" hidden="true" customHeight="true" outlineLevel="1" collapsed="false">
      <c r="A1747" s="295"/>
      <c r="B1747" s="87" t="s">
        <v>1544</v>
      </c>
      <c r="C1747" s="88" t="s">
        <v>156</v>
      </c>
      <c r="G1747" s="89" t="n">
        <v>300</v>
      </c>
      <c r="H1747" s="71"/>
    </row>
    <row r="1748" customFormat="false" ht="15" hidden="true" customHeight="true" outlineLevel="1" collapsed="false">
      <c r="A1748" s="295"/>
      <c r="B1748" s="87" t="s">
        <v>1082</v>
      </c>
      <c r="C1748" s="88" t="s">
        <v>156</v>
      </c>
      <c r="G1748" s="89" t="n">
        <v>300</v>
      </c>
      <c r="H1748" s="71"/>
    </row>
    <row r="1749" customFormat="false" ht="15" hidden="true" customHeight="true" outlineLevel="1" collapsed="false">
      <c r="A1749" s="295"/>
      <c r="B1749" s="87" t="s">
        <v>1545</v>
      </c>
      <c r="C1749" s="88" t="s">
        <v>156</v>
      </c>
      <c r="G1749" s="89" t="n">
        <v>300</v>
      </c>
      <c r="H1749" s="71"/>
    </row>
    <row r="1750" customFormat="false" ht="15" hidden="true" customHeight="true" outlineLevel="1" collapsed="false">
      <c r="A1750" s="295"/>
      <c r="B1750" s="87" t="s">
        <v>1546</v>
      </c>
      <c r="C1750" s="88" t="s">
        <v>156</v>
      </c>
      <c r="G1750" s="89" t="n">
        <v>300</v>
      </c>
      <c r="H1750" s="71"/>
    </row>
    <row r="1751" customFormat="false" ht="15" hidden="true" customHeight="true" outlineLevel="1" collapsed="false">
      <c r="A1751" s="295"/>
      <c r="B1751" s="87" t="s">
        <v>1547</v>
      </c>
      <c r="C1751" s="88" t="s">
        <v>133</v>
      </c>
      <c r="D1751" s="232"/>
      <c r="G1751" s="8" t="n">
        <v>200</v>
      </c>
      <c r="H1751" s="71"/>
    </row>
    <row r="1752" customFormat="false" ht="15" hidden="true" customHeight="true" outlineLevel="1" collapsed="false">
      <c r="A1752" s="295"/>
      <c r="B1752" s="87" t="s">
        <v>1548</v>
      </c>
      <c r="C1752" s="88" t="s">
        <v>133</v>
      </c>
      <c r="D1752" s="232"/>
      <c r="G1752" s="8" t="n">
        <v>150</v>
      </c>
      <c r="H1752" s="71"/>
    </row>
    <row r="1753" customFormat="false" ht="15" hidden="true" customHeight="true" outlineLevel="1" collapsed="false">
      <c r="A1753" s="295"/>
      <c r="B1753" s="87" t="s">
        <v>1549</v>
      </c>
      <c r="C1753" s="88" t="s">
        <v>133</v>
      </c>
      <c r="D1753" s="232"/>
      <c r="G1753" s="8" t="n">
        <v>350</v>
      </c>
      <c r="H1753" s="71"/>
    </row>
    <row r="1754" customFormat="false" ht="15" hidden="true" customHeight="true" outlineLevel="1" collapsed="false">
      <c r="A1754" s="295"/>
      <c r="B1754" s="87" t="s">
        <v>1550</v>
      </c>
      <c r="C1754" s="88" t="s">
        <v>156</v>
      </c>
      <c r="D1754" s="232"/>
      <c r="G1754" s="8" t="n">
        <v>200</v>
      </c>
      <c r="H1754" s="71"/>
    </row>
    <row r="1755" customFormat="false" ht="15" hidden="true" customHeight="true" outlineLevel="1" collapsed="false">
      <c r="A1755" s="295"/>
      <c r="B1755" s="87"/>
      <c r="C1755" s="88"/>
      <c r="D1755" s="232"/>
      <c r="H1755" s="71"/>
    </row>
    <row r="1756" customFormat="false" ht="15" hidden="true" customHeight="true" outlineLevel="1" collapsed="false">
      <c r="A1756" s="295"/>
      <c r="B1756" s="87"/>
      <c r="C1756" s="88"/>
      <c r="D1756" s="232"/>
      <c r="H1756" s="71"/>
    </row>
    <row r="1757" customFormat="false" ht="15" hidden="true" customHeight="true" outlineLevel="1" collapsed="false">
      <c r="A1757" s="295"/>
      <c r="B1757" s="87"/>
      <c r="C1757" s="88"/>
      <c r="D1757" s="232"/>
      <c r="H1757" s="71"/>
    </row>
    <row r="1758" customFormat="false" ht="15" hidden="true" customHeight="true" outlineLevel="1" collapsed="false">
      <c r="A1758" s="295"/>
      <c r="B1758" s="87"/>
      <c r="C1758" s="88"/>
      <c r="D1758" s="232"/>
      <c r="H1758" s="71"/>
    </row>
    <row r="1759" customFormat="false" ht="15" hidden="true" customHeight="true" outlineLevel="1" collapsed="false">
      <c r="A1759" s="5" t="s">
        <v>1551</v>
      </c>
      <c r="B1759" s="88" t="s">
        <v>1552</v>
      </c>
      <c r="C1759" s="88"/>
      <c r="D1759" s="232"/>
      <c r="H1759" s="71"/>
    </row>
    <row r="1760" customFormat="false" ht="15" hidden="true" customHeight="true" outlineLevel="1" collapsed="false">
      <c r="A1760" s="295"/>
      <c r="B1760" s="122" t="s">
        <v>1553</v>
      </c>
      <c r="C1760" s="88" t="s">
        <v>133</v>
      </c>
      <c r="G1760" s="89" t="n">
        <v>500</v>
      </c>
      <c r="H1760" s="71"/>
    </row>
    <row r="1761" customFormat="false" ht="15" hidden="true" customHeight="true" outlineLevel="1" collapsed="false">
      <c r="A1761" s="295"/>
      <c r="B1761" s="226" t="s">
        <v>1554</v>
      </c>
      <c r="C1761" s="88" t="s">
        <v>133</v>
      </c>
      <c r="G1761" s="89" t="n">
        <v>200</v>
      </c>
      <c r="H1761" s="71"/>
    </row>
    <row r="1762" customFormat="false" ht="15" hidden="true" customHeight="true" outlineLevel="1" collapsed="false">
      <c r="A1762" s="295"/>
      <c r="B1762" s="122" t="s">
        <v>1249</v>
      </c>
      <c r="C1762" s="88" t="s">
        <v>133</v>
      </c>
      <c r="G1762" s="89" t="n">
        <v>300</v>
      </c>
      <c r="H1762" s="71"/>
    </row>
    <row r="1763" customFormat="false" ht="15" hidden="true" customHeight="true" outlineLevel="1" collapsed="false">
      <c r="A1763" s="295"/>
      <c r="B1763" s="122" t="s">
        <v>1555</v>
      </c>
      <c r="C1763" s="88" t="s">
        <v>133</v>
      </c>
      <c r="G1763" s="89" t="n">
        <v>350</v>
      </c>
      <c r="H1763" s="71"/>
    </row>
    <row r="1764" customFormat="false" ht="15" hidden="true" customHeight="true" outlineLevel="1" collapsed="false">
      <c r="A1764" s="295"/>
      <c r="B1764" s="122" t="s">
        <v>1256</v>
      </c>
      <c r="C1764" s="88" t="s">
        <v>133</v>
      </c>
      <c r="G1764" s="89" t="n">
        <v>500</v>
      </c>
      <c r="H1764" s="71"/>
    </row>
    <row r="1765" customFormat="false" ht="15" hidden="true" customHeight="true" outlineLevel="1" collapsed="false">
      <c r="A1765" s="295"/>
      <c r="B1765" s="122" t="s">
        <v>1556</v>
      </c>
      <c r="C1765" s="88" t="s">
        <v>133</v>
      </c>
      <c r="G1765" s="89" t="n">
        <v>600</v>
      </c>
      <c r="H1765" s="71"/>
    </row>
    <row r="1766" customFormat="false" ht="15" hidden="true" customHeight="true" outlineLevel="1" collapsed="false">
      <c r="A1766" s="295"/>
      <c r="B1766" s="122" t="s">
        <v>1557</v>
      </c>
      <c r="C1766" s="88" t="s">
        <v>133</v>
      </c>
      <c r="G1766" s="89" t="n">
        <v>200</v>
      </c>
      <c r="H1766" s="71"/>
    </row>
    <row r="1767" customFormat="false" ht="15" hidden="true" customHeight="true" outlineLevel="1" collapsed="false">
      <c r="A1767" s="295"/>
      <c r="B1767" s="122" t="s">
        <v>1558</v>
      </c>
      <c r="C1767" s="88" t="s">
        <v>133</v>
      </c>
      <c r="G1767" s="89" t="n">
        <v>300</v>
      </c>
      <c r="H1767" s="71"/>
    </row>
    <row r="1768" customFormat="false" ht="15" hidden="true" customHeight="true" outlineLevel="1" collapsed="false">
      <c r="A1768" s="295"/>
      <c r="B1768" s="122" t="s">
        <v>1559</v>
      </c>
      <c r="C1768" s="88" t="s">
        <v>133</v>
      </c>
      <c r="G1768" s="89" t="n">
        <v>120</v>
      </c>
      <c r="H1768" s="71"/>
    </row>
    <row r="1769" customFormat="false" ht="15" hidden="true" customHeight="true" outlineLevel="1" collapsed="false">
      <c r="A1769" s="295"/>
      <c r="B1769" s="122" t="s">
        <v>1255</v>
      </c>
      <c r="C1769" s="88" t="s">
        <v>133</v>
      </c>
      <c r="G1769" s="8" t="n">
        <v>400</v>
      </c>
      <c r="H1769" s="71"/>
    </row>
    <row r="1770" customFormat="false" ht="15" hidden="true" customHeight="true" outlineLevel="1" collapsed="false">
      <c r="A1770" s="295"/>
      <c r="B1770" s="122" t="s">
        <v>1560</v>
      </c>
      <c r="C1770" s="88" t="s">
        <v>133</v>
      </c>
      <c r="G1770" s="8" t="n">
        <v>400</v>
      </c>
      <c r="H1770" s="71"/>
    </row>
    <row r="1771" customFormat="false" ht="15" hidden="true" customHeight="true" outlineLevel="1" collapsed="false">
      <c r="A1771" s="295"/>
      <c r="B1771" s="122" t="s">
        <v>1561</v>
      </c>
      <c r="C1771" s="88" t="s">
        <v>133</v>
      </c>
      <c r="G1771" s="8" t="n">
        <v>400</v>
      </c>
      <c r="H1771" s="71"/>
    </row>
    <row r="1772" customFormat="false" ht="15" hidden="true" customHeight="true" outlineLevel="1" collapsed="false">
      <c r="A1772" s="295"/>
      <c r="B1772" s="122" t="s">
        <v>1562</v>
      </c>
      <c r="C1772" s="88" t="s">
        <v>133</v>
      </c>
      <c r="G1772" s="8" t="n">
        <v>400</v>
      </c>
      <c r="H1772" s="71"/>
    </row>
    <row r="1773" customFormat="false" ht="15" hidden="true" customHeight="true" outlineLevel="1" collapsed="false">
      <c r="A1773" s="295"/>
      <c r="B1773" s="122" t="s">
        <v>1563</v>
      </c>
      <c r="C1773" s="88" t="s">
        <v>133</v>
      </c>
      <c r="G1773" s="8" t="n">
        <v>400</v>
      </c>
      <c r="H1773" s="71"/>
    </row>
    <row r="1774" customFormat="false" ht="15" hidden="true" customHeight="true" outlineLevel="1" collapsed="false">
      <c r="A1774" s="295"/>
      <c r="B1774" s="122" t="s">
        <v>1564</v>
      </c>
      <c r="C1774" s="88" t="s">
        <v>133</v>
      </c>
      <c r="G1774" s="8" t="n">
        <v>400</v>
      </c>
      <c r="H1774" s="71"/>
    </row>
    <row r="1775" customFormat="false" ht="15" hidden="true" customHeight="true" outlineLevel="1" collapsed="false">
      <c r="A1775" s="295"/>
      <c r="B1775" s="122" t="s">
        <v>1565</v>
      </c>
      <c r="C1775" s="88" t="s">
        <v>133</v>
      </c>
      <c r="G1775" s="8" t="n">
        <v>200</v>
      </c>
      <c r="H1775" s="71"/>
    </row>
    <row r="1776" customFormat="false" ht="15" hidden="true" customHeight="true" outlineLevel="1" collapsed="false">
      <c r="A1776" s="295"/>
      <c r="B1776" s="122" t="s">
        <v>1566</v>
      </c>
      <c r="C1776" s="88" t="s">
        <v>133</v>
      </c>
      <c r="G1776" s="8" t="n">
        <v>600</v>
      </c>
      <c r="H1776" s="71"/>
    </row>
    <row r="1777" customFormat="false" ht="15" hidden="true" customHeight="true" outlineLevel="1" collapsed="false">
      <c r="A1777" s="295"/>
      <c r="B1777" s="122" t="s">
        <v>1567</v>
      </c>
      <c r="C1777" s="88" t="s">
        <v>133</v>
      </c>
      <c r="G1777" s="8" t="n">
        <v>250</v>
      </c>
      <c r="H1777" s="71"/>
    </row>
    <row r="1778" customFormat="false" ht="15" hidden="true" customHeight="true" outlineLevel="1" collapsed="false">
      <c r="A1778" s="295"/>
      <c r="B1778" s="122"/>
      <c r="C1778" s="88"/>
      <c r="H1778" s="71"/>
    </row>
    <row r="1779" customFormat="false" ht="15" hidden="true" customHeight="true" outlineLevel="1" collapsed="false">
      <c r="A1779" s="295"/>
      <c r="B1779" s="88" t="s">
        <v>1568</v>
      </c>
      <c r="C1779" s="88"/>
      <c r="G1779" s="89"/>
      <c r="H1779" s="71"/>
    </row>
    <row r="1780" customFormat="false" ht="15" hidden="true" customHeight="true" outlineLevel="1" collapsed="false">
      <c r="A1780" s="295"/>
      <c r="B1780" s="226" t="s">
        <v>1554</v>
      </c>
      <c r="C1780" s="88" t="s">
        <v>133</v>
      </c>
      <c r="G1780" s="89" t="n">
        <v>200</v>
      </c>
      <c r="H1780" s="71"/>
    </row>
    <row r="1781" customFormat="false" ht="15" hidden="true" customHeight="true" outlineLevel="1" collapsed="false">
      <c r="A1781" s="295"/>
      <c r="B1781" s="122" t="s">
        <v>1569</v>
      </c>
      <c r="C1781" s="88" t="s">
        <v>156</v>
      </c>
      <c r="G1781" s="89" t="n">
        <v>120</v>
      </c>
      <c r="H1781" s="71"/>
    </row>
    <row r="1782" customFormat="false" ht="15" hidden="true" customHeight="true" outlineLevel="1" collapsed="false">
      <c r="A1782" s="295"/>
      <c r="B1782" s="122" t="s">
        <v>1559</v>
      </c>
      <c r="C1782" s="88" t="s">
        <v>133</v>
      </c>
      <c r="G1782" s="89" t="n">
        <v>120</v>
      </c>
      <c r="H1782" s="71"/>
    </row>
    <row r="1783" customFormat="false" ht="15" hidden="true" customHeight="true" outlineLevel="1" collapsed="false">
      <c r="A1783" s="295"/>
      <c r="B1783" s="122" t="s">
        <v>1570</v>
      </c>
      <c r="C1783" s="88" t="s">
        <v>133</v>
      </c>
      <c r="G1783" s="89" t="n">
        <v>350</v>
      </c>
      <c r="H1783" s="71"/>
    </row>
    <row r="1784" customFormat="false" ht="15" hidden="true" customHeight="true" outlineLevel="1" collapsed="false">
      <c r="A1784" s="295"/>
      <c r="B1784" s="122" t="s">
        <v>1571</v>
      </c>
      <c r="C1784" s="88" t="s">
        <v>133</v>
      </c>
      <c r="G1784" s="89" t="n">
        <v>900</v>
      </c>
      <c r="H1784" s="71"/>
    </row>
    <row r="1785" customFormat="false" ht="15" hidden="true" customHeight="true" outlineLevel="1" collapsed="false">
      <c r="A1785" s="295"/>
      <c r="B1785" s="122" t="s">
        <v>1572</v>
      </c>
      <c r="C1785" s="88" t="s">
        <v>133</v>
      </c>
      <c r="G1785" s="89" t="n">
        <v>800</v>
      </c>
      <c r="H1785" s="71"/>
    </row>
    <row r="1786" customFormat="false" ht="15" hidden="true" customHeight="true" outlineLevel="1" collapsed="false">
      <c r="A1786" s="295"/>
      <c r="B1786" s="88" t="s">
        <v>1573</v>
      </c>
      <c r="C1786" s="88"/>
      <c r="G1786" s="89"/>
      <c r="H1786" s="71"/>
    </row>
    <row r="1787" customFormat="false" ht="15" hidden="true" customHeight="true" outlineLevel="1" collapsed="false">
      <c r="A1787" s="295"/>
      <c r="B1787" s="122" t="s">
        <v>1256</v>
      </c>
      <c r="C1787" s="88" t="s">
        <v>133</v>
      </c>
      <c r="G1787" s="89" t="n">
        <v>600</v>
      </c>
      <c r="H1787" s="71"/>
    </row>
    <row r="1788" customFormat="false" ht="15" hidden="true" customHeight="true" outlineLevel="1" collapsed="false">
      <c r="A1788" s="295"/>
      <c r="B1788" s="122" t="s">
        <v>1574</v>
      </c>
      <c r="C1788" s="88" t="s">
        <v>133</v>
      </c>
      <c r="G1788" s="89" t="n">
        <v>500</v>
      </c>
      <c r="H1788" s="71"/>
    </row>
    <row r="1789" customFormat="false" ht="15" hidden="true" customHeight="true" outlineLevel="1" collapsed="false">
      <c r="A1789" s="295"/>
      <c r="B1789" s="122" t="s">
        <v>1575</v>
      </c>
      <c r="C1789" s="88" t="s">
        <v>133</v>
      </c>
      <c r="G1789" s="89" t="n">
        <v>100</v>
      </c>
      <c r="H1789" s="71"/>
    </row>
    <row r="1790" customFormat="false" ht="15" hidden="true" customHeight="true" outlineLevel="1" collapsed="false">
      <c r="A1790" s="295"/>
      <c r="B1790" s="88"/>
      <c r="C1790" s="88"/>
      <c r="D1790" s="232"/>
      <c r="H1790" s="71"/>
    </row>
    <row r="1791" customFormat="false" ht="15" hidden="true" customHeight="true" outlineLevel="1" collapsed="false">
      <c r="A1791" s="5" t="s">
        <v>1576</v>
      </c>
      <c r="B1791" s="88" t="s">
        <v>1552</v>
      </c>
      <c r="C1791" s="88"/>
      <c r="D1791" s="232"/>
      <c r="H1791" s="71"/>
    </row>
    <row r="1792" customFormat="false" ht="15" hidden="true" customHeight="true" outlineLevel="1" collapsed="false">
      <c r="A1792" s="295"/>
      <c r="B1792" s="87" t="s">
        <v>1577</v>
      </c>
      <c r="C1792" s="88" t="s">
        <v>133</v>
      </c>
      <c r="G1792" s="89" t="n">
        <v>100</v>
      </c>
      <c r="H1792" s="71"/>
    </row>
    <row r="1793" customFormat="false" ht="15" hidden="true" customHeight="true" outlineLevel="1" collapsed="false">
      <c r="A1793" s="295"/>
      <c r="B1793" s="87" t="s">
        <v>1554</v>
      </c>
      <c r="C1793" s="88" t="s">
        <v>133</v>
      </c>
      <c r="G1793" s="89" t="n">
        <v>90</v>
      </c>
      <c r="H1793" s="71"/>
    </row>
    <row r="1794" customFormat="false" ht="15" hidden="true" customHeight="true" outlineLevel="1" collapsed="false">
      <c r="A1794" s="295"/>
      <c r="B1794" s="87" t="s">
        <v>1578</v>
      </c>
      <c r="C1794" s="88" t="s">
        <v>133</v>
      </c>
      <c r="G1794" s="89" t="n">
        <v>50</v>
      </c>
      <c r="H1794" s="71"/>
    </row>
    <row r="1795" customFormat="false" ht="15" hidden="true" customHeight="true" outlineLevel="1" collapsed="false">
      <c r="A1795" s="295"/>
      <c r="B1795" s="87" t="s">
        <v>1579</v>
      </c>
      <c r="C1795" s="88" t="s">
        <v>133</v>
      </c>
      <c r="G1795" s="89" t="n">
        <v>100</v>
      </c>
      <c r="H1795" s="71"/>
    </row>
    <row r="1796" customFormat="false" ht="15" hidden="true" customHeight="true" outlineLevel="1" collapsed="false">
      <c r="A1796" s="295"/>
      <c r="B1796" s="87" t="s">
        <v>1580</v>
      </c>
      <c r="C1796" s="88" t="s">
        <v>133</v>
      </c>
      <c r="G1796" s="89" t="n">
        <v>120</v>
      </c>
      <c r="H1796" s="71"/>
    </row>
    <row r="1797" customFormat="false" ht="15" hidden="true" customHeight="true" outlineLevel="1" collapsed="false">
      <c r="A1797" s="295"/>
      <c r="B1797" s="87" t="s">
        <v>1581</v>
      </c>
      <c r="C1797" s="88" t="s">
        <v>133</v>
      </c>
      <c r="G1797" s="89" t="n">
        <v>100</v>
      </c>
      <c r="H1797" s="71"/>
    </row>
    <row r="1798" customFormat="false" ht="15" hidden="true" customHeight="true" outlineLevel="1" collapsed="false">
      <c r="A1798" s="295"/>
      <c r="B1798" s="261" t="s">
        <v>1255</v>
      </c>
      <c r="C1798" s="88" t="s">
        <v>133</v>
      </c>
      <c r="G1798" s="89" t="n">
        <v>400</v>
      </c>
      <c r="H1798" s="71"/>
    </row>
    <row r="1799" customFormat="false" ht="15" hidden="true" customHeight="true" outlineLevel="1" collapsed="false">
      <c r="A1799" s="295"/>
      <c r="B1799" s="261" t="s">
        <v>1281</v>
      </c>
      <c r="C1799" s="88" t="s">
        <v>133</v>
      </c>
      <c r="G1799" s="89" t="n">
        <v>400</v>
      </c>
      <c r="H1799" s="71"/>
    </row>
    <row r="1800" customFormat="false" ht="15" hidden="true" customHeight="true" outlineLevel="1" collapsed="false">
      <c r="A1800" s="295"/>
      <c r="B1800" s="261" t="s">
        <v>1282</v>
      </c>
      <c r="C1800" s="88" t="s">
        <v>133</v>
      </c>
      <c r="G1800" s="89" t="n">
        <v>400</v>
      </c>
      <c r="H1800" s="71"/>
    </row>
    <row r="1801" customFormat="false" ht="15" hidden="true" customHeight="true" outlineLevel="1" collapsed="false">
      <c r="A1801" s="295"/>
      <c r="B1801" s="261" t="s">
        <v>1283</v>
      </c>
      <c r="C1801" s="88" t="s">
        <v>133</v>
      </c>
      <c r="G1801" s="89" t="n">
        <v>100</v>
      </c>
      <c r="H1801" s="71"/>
    </row>
    <row r="1802" customFormat="false" ht="15" hidden="true" customHeight="true" outlineLevel="1" collapsed="false">
      <c r="A1802" s="295"/>
      <c r="B1802" s="88" t="s">
        <v>1582</v>
      </c>
      <c r="C1802" s="88"/>
      <c r="G1802" s="89"/>
      <c r="H1802" s="71"/>
    </row>
    <row r="1803" customFormat="false" ht="15" hidden="true" customHeight="true" outlineLevel="1" collapsed="false">
      <c r="A1803" s="295"/>
      <c r="B1803" s="87" t="s">
        <v>1583</v>
      </c>
      <c r="C1803" s="88" t="s">
        <v>133</v>
      </c>
      <c r="G1803" s="89" t="n">
        <v>150</v>
      </c>
      <c r="H1803" s="71"/>
    </row>
    <row r="1804" customFormat="false" ht="15" hidden="true" customHeight="true" outlineLevel="1" collapsed="false">
      <c r="A1804" s="295"/>
      <c r="B1804" s="87" t="s">
        <v>1554</v>
      </c>
      <c r="C1804" s="88" t="s">
        <v>133</v>
      </c>
      <c r="G1804" s="89" t="n">
        <v>120</v>
      </c>
      <c r="H1804" s="71"/>
    </row>
    <row r="1805" customFormat="false" ht="15" hidden="true" customHeight="true" outlineLevel="1" collapsed="false">
      <c r="A1805" s="295"/>
      <c r="B1805" s="87" t="s">
        <v>1584</v>
      </c>
      <c r="C1805" s="88" t="s">
        <v>133</v>
      </c>
      <c r="G1805" s="89" t="n">
        <v>80</v>
      </c>
      <c r="H1805" s="71"/>
    </row>
    <row r="1806" customFormat="false" ht="15" hidden="true" customHeight="true" outlineLevel="1" collapsed="false">
      <c r="A1806" s="295"/>
      <c r="B1806" s="87" t="s">
        <v>1585</v>
      </c>
      <c r="C1806" s="88" t="s">
        <v>133</v>
      </c>
      <c r="G1806" s="89" t="n">
        <v>100</v>
      </c>
      <c r="H1806" s="71"/>
    </row>
    <row r="1807" customFormat="false" ht="15" hidden="true" customHeight="true" outlineLevel="1" collapsed="false">
      <c r="A1807" s="295"/>
      <c r="B1807" s="87" t="s">
        <v>1586</v>
      </c>
      <c r="C1807" s="88" t="s">
        <v>133</v>
      </c>
      <c r="G1807" s="89" t="n">
        <v>150</v>
      </c>
      <c r="H1807" s="71"/>
    </row>
    <row r="1808" customFormat="false" ht="15" hidden="true" customHeight="true" outlineLevel="1" collapsed="false">
      <c r="A1808" s="295"/>
      <c r="B1808" s="87" t="s">
        <v>1294</v>
      </c>
      <c r="C1808" s="88" t="s">
        <v>133</v>
      </c>
      <c r="G1808" s="89" t="n">
        <v>300</v>
      </c>
      <c r="H1808" s="71"/>
    </row>
    <row r="1809" customFormat="false" ht="15" hidden="true" customHeight="true" outlineLevel="1" collapsed="false">
      <c r="A1809" s="295"/>
      <c r="B1809" s="87" t="s">
        <v>1587</v>
      </c>
      <c r="C1809" s="88" t="s">
        <v>156</v>
      </c>
      <c r="G1809" s="89" t="n">
        <v>50</v>
      </c>
      <c r="H1809" s="71"/>
    </row>
    <row r="1810" customFormat="false" ht="15" hidden="true" customHeight="true" outlineLevel="1" collapsed="false">
      <c r="A1810" s="295"/>
      <c r="B1810" s="87" t="s">
        <v>1588</v>
      </c>
      <c r="C1810" s="88" t="s">
        <v>156</v>
      </c>
      <c r="G1810" s="89" t="n">
        <v>50</v>
      </c>
      <c r="H1810" s="71"/>
    </row>
    <row r="1811" customFormat="false" ht="15" hidden="true" customHeight="true" outlineLevel="1" collapsed="false">
      <c r="A1811" s="295"/>
      <c r="B1811" s="87" t="s">
        <v>1589</v>
      </c>
      <c r="C1811" s="88" t="s">
        <v>156</v>
      </c>
      <c r="G1811" s="89" t="n">
        <v>50</v>
      </c>
      <c r="H1811" s="71"/>
    </row>
    <row r="1812" customFormat="false" ht="15" hidden="true" customHeight="true" outlineLevel="1" collapsed="false">
      <c r="A1812" s="295"/>
      <c r="B1812" s="261" t="s">
        <v>1255</v>
      </c>
      <c r="C1812" s="88" t="s">
        <v>133</v>
      </c>
      <c r="G1812" s="89" t="n">
        <v>400</v>
      </c>
      <c r="H1812" s="71"/>
    </row>
    <row r="1813" customFormat="false" ht="15" hidden="true" customHeight="true" outlineLevel="1" collapsed="false">
      <c r="A1813" s="295"/>
      <c r="B1813" s="261" t="s">
        <v>1281</v>
      </c>
      <c r="C1813" s="88" t="s">
        <v>133</v>
      </c>
      <c r="G1813" s="89" t="n">
        <v>400</v>
      </c>
      <c r="H1813" s="71"/>
    </row>
    <row r="1814" customFormat="false" ht="15" hidden="true" customHeight="true" outlineLevel="1" collapsed="false">
      <c r="A1814" s="295"/>
      <c r="B1814" s="261" t="s">
        <v>1282</v>
      </c>
      <c r="C1814" s="88" t="s">
        <v>133</v>
      </c>
      <c r="G1814" s="89" t="n">
        <v>400</v>
      </c>
      <c r="H1814" s="71"/>
    </row>
    <row r="1815" customFormat="false" ht="15" hidden="true" customHeight="true" outlineLevel="1" collapsed="false">
      <c r="A1815" s="295"/>
      <c r="B1815" s="261" t="s">
        <v>1283</v>
      </c>
      <c r="C1815" s="88" t="s">
        <v>133</v>
      </c>
      <c r="G1815" s="89" t="n">
        <v>100</v>
      </c>
      <c r="H1815" s="71"/>
    </row>
    <row r="1816" customFormat="false" ht="15" hidden="true" customHeight="true" outlineLevel="1" collapsed="false">
      <c r="A1816" s="295"/>
      <c r="B1816" s="88" t="s">
        <v>1590</v>
      </c>
      <c r="C1816" s="88"/>
      <c r="G1816" s="89"/>
      <c r="H1816" s="71"/>
    </row>
    <row r="1817" customFormat="false" ht="15" hidden="true" customHeight="true" outlineLevel="1" collapsed="false">
      <c r="A1817" s="295"/>
      <c r="B1817" s="87" t="s">
        <v>1591</v>
      </c>
      <c r="C1817" s="88" t="s">
        <v>133</v>
      </c>
      <c r="G1817" s="89" t="n">
        <v>30</v>
      </c>
      <c r="H1817" s="71"/>
    </row>
    <row r="1818" customFormat="false" ht="15" hidden="true" customHeight="true" outlineLevel="1" collapsed="false">
      <c r="A1818" s="295"/>
      <c r="B1818" s="87" t="s">
        <v>1297</v>
      </c>
      <c r="C1818" s="88" t="s">
        <v>133</v>
      </c>
      <c r="G1818" s="89" t="n">
        <v>150</v>
      </c>
      <c r="H1818" s="71"/>
    </row>
    <row r="1819" customFormat="false" ht="15" hidden="true" customHeight="true" outlineLevel="1" collapsed="false">
      <c r="A1819" s="295"/>
      <c r="B1819" s="87" t="s">
        <v>1298</v>
      </c>
      <c r="C1819" s="88" t="s">
        <v>133</v>
      </c>
      <c r="G1819" s="89" t="n">
        <v>150</v>
      </c>
      <c r="H1819" s="71"/>
    </row>
    <row r="1820" customFormat="false" ht="15" hidden="true" customHeight="true" outlineLevel="1" collapsed="false">
      <c r="A1820" s="295"/>
      <c r="B1820" s="87" t="s">
        <v>1300</v>
      </c>
      <c r="C1820" s="88" t="s">
        <v>156</v>
      </c>
      <c r="G1820" s="89" t="n">
        <v>150</v>
      </c>
      <c r="H1820" s="71"/>
    </row>
    <row r="1821" customFormat="false" ht="15" hidden="true" customHeight="true" outlineLevel="1" collapsed="false">
      <c r="A1821" s="295"/>
      <c r="B1821" s="87" t="s">
        <v>1301</v>
      </c>
      <c r="C1821" s="88" t="s">
        <v>133</v>
      </c>
      <c r="G1821" s="89" t="n">
        <v>600</v>
      </c>
      <c r="H1821" s="71"/>
    </row>
    <row r="1822" customFormat="false" ht="15" hidden="true" customHeight="true" outlineLevel="1" collapsed="false">
      <c r="A1822" s="295"/>
      <c r="B1822" s="88" t="s">
        <v>1305</v>
      </c>
      <c r="C1822" s="88"/>
      <c r="G1822" s="89"/>
      <c r="H1822" s="71"/>
    </row>
    <row r="1823" customFormat="false" ht="15" hidden="true" customHeight="true" outlineLevel="1" collapsed="false">
      <c r="A1823" s="295"/>
      <c r="B1823" s="87" t="s">
        <v>1306</v>
      </c>
      <c r="C1823" s="88" t="s">
        <v>133</v>
      </c>
      <c r="G1823" s="89" t="n">
        <v>600</v>
      </c>
      <c r="H1823" s="71"/>
    </row>
    <row r="1824" customFormat="false" ht="15" hidden="true" customHeight="true" outlineLevel="1" collapsed="false">
      <c r="A1824" s="295"/>
      <c r="B1824" s="87" t="s">
        <v>1307</v>
      </c>
      <c r="C1824" s="88" t="s">
        <v>133</v>
      </c>
      <c r="G1824" s="89" t="n">
        <v>600</v>
      </c>
      <c r="H1824" s="71"/>
    </row>
    <row r="1825" customFormat="false" ht="15" hidden="true" customHeight="true" outlineLevel="1" collapsed="false">
      <c r="A1825" s="295"/>
      <c r="B1825" s="87" t="s">
        <v>1308</v>
      </c>
      <c r="C1825" s="88" t="s">
        <v>133</v>
      </c>
      <c r="G1825" s="89" t="n">
        <v>600</v>
      </c>
      <c r="H1825" s="71"/>
    </row>
    <row r="1826" customFormat="false" ht="15" hidden="true" customHeight="true" outlineLevel="1" collapsed="false">
      <c r="A1826" s="295"/>
      <c r="B1826" s="87" t="s">
        <v>1592</v>
      </c>
      <c r="C1826" s="88" t="s">
        <v>133</v>
      </c>
      <c r="G1826" s="89" t="n">
        <v>150</v>
      </c>
      <c r="H1826" s="71"/>
    </row>
    <row r="1827" customFormat="false" ht="15" hidden="true" customHeight="true" outlineLevel="1" collapsed="false">
      <c r="A1827" s="295"/>
      <c r="B1827" s="87" t="s">
        <v>1593</v>
      </c>
      <c r="C1827" s="88" t="s">
        <v>133</v>
      </c>
      <c r="G1827" s="89" t="n">
        <v>150</v>
      </c>
      <c r="H1827" s="71"/>
    </row>
    <row r="1828" customFormat="false" ht="15" hidden="true" customHeight="true" outlineLevel="1" collapsed="false">
      <c r="A1828" s="295"/>
      <c r="B1828" s="87" t="s">
        <v>1294</v>
      </c>
      <c r="C1828" s="88" t="s">
        <v>133</v>
      </c>
      <c r="G1828" s="89" t="n">
        <v>300</v>
      </c>
      <c r="H1828" s="71"/>
    </row>
    <row r="1829" customFormat="false" ht="15" hidden="true" customHeight="true" outlineLevel="1" collapsed="false">
      <c r="A1829" s="295"/>
      <c r="B1829" s="88" t="s">
        <v>1594</v>
      </c>
      <c r="C1829" s="88"/>
      <c r="G1829" s="89"/>
      <c r="H1829" s="71"/>
    </row>
    <row r="1830" customFormat="false" ht="15" hidden="true" customHeight="true" outlineLevel="1" collapsed="false">
      <c r="A1830" s="295"/>
      <c r="B1830" s="87" t="s">
        <v>1595</v>
      </c>
      <c r="C1830" s="88" t="s">
        <v>159</v>
      </c>
      <c r="G1830" s="89" t="n">
        <v>1200</v>
      </c>
      <c r="H1830" s="71"/>
    </row>
    <row r="1831" customFormat="false" ht="15" hidden="true" customHeight="true" outlineLevel="1" collapsed="false">
      <c r="A1831" s="295"/>
      <c r="B1831" s="87" t="s">
        <v>1596</v>
      </c>
      <c r="C1831" s="88" t="s">
        <v>159</v>
      </c>
      <c r="G1831" s="89" t="n">
        <v>250</v>
      </c>
      <c r="H1831" s="71"/>
    </row>
    <row r="1832" customFormat="false" ht="15" hidden="true" customHeight="true" outlineLevel="1" collapsed="false">
      <c r="A1832" s="295"/>
      <c r="B1832" s="87" t="s">
        <v>1597</v>
      </c>
      <c r="C1832" s="88" t="s">
        <v>159</v>
      </c>
      <c r="G1832" s="89" t="n">
        <v>250</v>
      </c>
      <c r="H1832" s="71"/>
    </row>
    <row r="1833" customFormat="false" ht="15" hidden="true" customHeight="true" outlineLevel="1" collapsed="false">
      <c r="A1833" s="295"/>
      <c r="B1833" s="87" t="s">
        <v>1598</v>
      </c>
      <c r="C1833" s="88" t="s">
        <v>159</v>
      </c>
      <c r="G1833" s="89" t="n">
        <v>100</v>
      </c>
      <c r="H1833" s="71"/>
    </row>
    <row r="1834" customFormat="false" ht="15" hidden="true" customHeight="true" outlineLevel="1" collapsed="false">
      <c r="A1834" s="295"/>
      <c r="B1834" s="87" t="s">
        <v>1599</v>
      </c>
      <c r="C1834" s="88" t="s">
        <v>159</v>
      </c>
      <c r="G1834" s="89" t="n">
        <v>80</v>
      </c>
      <c r="H1834" s="71"/>
    </row>
    <row r="1835" customFormat="false" ht="15" hidden="true" customHeight="true" outlineLevel="1" collapsed="false">
      <c r="A1835" s="295"/>
      <c r="B1835" s="87" t="s">
        <v>1600</v>
      </c>
      <c r="C1835" s="88" t="s">
        <v>159</v>
      </c>
      <c r="D1835" s="232"/>
      <c r="G1835" s="8" t="n">
        <v>20000</v>
      </c>
      <c r="H1835" s="71"/>
    </row>
    <row r="1836" customFormat="false" ht="15" hidden="true" customHeight="true" outlineLevel="1" collapsed="false">
      <c r="A1836" s="295"/>
      <c r="B1836" s="88"/>
      <c r="C1836" s="88"/>
      <c r="D1836" s="232"/>
      <c r="H1836" s="71"/>
    </row>
    <row r="1837" customFormat="false" ht="15" hidden="true" customHeight="true" outlineLevel="1" collapsed="false">
      <c r="A1837" s="295"/>
      <c r="B1837" s="88"/>
      <c r="C1837" s="88"/>
      <c r="D1837" s="232"/>
      <c r="H1837" s="71"/>
    </row>
    <row r="1838" customFormat="false" ht="15" hidden="true" customHeight="true" outlineLevel="1" collapsed="false">
      <c r="A1838" s="5" t="s">
        <v>1112</v>
      </c>
      <c r="B1838" s="87" t="s">
        <v>1409</v>
      </c>
      <c r="C1838" s="88" t="s">
        <v>120</v>
      </c>
      <c r="D1838" s="232" t="s">
        <v>1601</v>
      </c>
      <c r="H1838" s="71"/>
    </row>
    <row r="1839" customFormat="false" ht="15" hidden="true" customHeight="true" outlineLevel="1" collapsed="false">
      <c r="A1839" s="295"/>
      <c r="B1839" s="87" t="s">
        <v>1602</v>
      </c>
      <c r="C1839" s="88" t="s">
        <v>156</v>
      </c>
      <c r="G1839" s="89" t="n">
        <v>100</v>
      </c>
      <c r="H1839" s="71"/>
    </row>
    <row r="1840" customFormat="false" ht="15" hidden="true" customHeight="true" outlineLevel="1" collapsed="false">
      <c r="A1840" s="295"/>
      <c r="B1840" s="87" t="s">
        <v>1603</v>
      </c>
      <c r="C1840" s="88" t="s">
        <v>156</v>
      </c>
      <c r="G1840" s="89" t="n">
        <v>50</v>
      </c>
      <c r="H1840" s="71"/>
    </row>
    <row r="1841" customFormat="false" ht="15" hidden="true" customHeight="true" outlineLevel="1" collapsed="false">
      <c r="A1841" s="295"/>
      <c r="B1841" s="87" t="s">
        <v>1604</v>
      </c>
      <c r="C1841" s="88" t="s">
        <v>159</v>
      </c>
      <c r="G1841" s="89" t="n">
        <v>500</v>
      </c>
      <c r="H1841" s="71"/>
    </row>
    <row r="1842" customFormat="false" ht="15" hidden="true" customHeight="true" outlineLevel="1" collapsed="false">
      <c r="A1842" s="295"/>
      <c r="B1842" s="87" t="s">
        <v>1605</v>
      </c>
      <c r="C1842" s="88" t="s">
        <v>159</v>
      </c>
      <c r="G1842" s="89" t="n">
        <v>200</v>
      </c>
      <c r="H1842" s="71"/>
    </row>
    <row r="1843" customFormat="false" ht="15" hidden="true" customHeight="true" outlineLevel="1" collapsed="false">
      <c r="A1843" s="295"/>
      <c r="B1843" s="87" t="s">
        <v>1606</v>
      </c>
      <c r="C1843" s="88" t="s">
        <v>159</v>
      </c>
      <c r="G1843" s="89" t="n">
        <v>200</v>
      </c>
      <c r="H1843" s="71"/>
    </row>
    <row r="1844" customFormat="false" ht="15" hidden="true" customHeight="true" outlineLevel="1" collapsed="false">
      <c r="A1844" s="295"/>
      <c r="B1844" s="87" t="s">
        <v>1607</v>
      </c>
      <c r="C1844" s="88" t="s">
        <v>159</v>
      </c>
      <c r="G1844" s="89" t="n">
        <v>6000</v>
      </c>
      <c r="H1844" s="71"/>
    </row>
    <row r="1845" customFormat="false" ht="15" hidden="true" customHeight="true" outlineLevel="1" collapsed="false">
      <c r="A1845" s="295"/>
      <c r="B1845" s="87" t="s">
        <v>1608</v>
      </c>
      <c r="C1845" s="88" t="s">
        <v>159</v>
      </c>
      <c r="G1845" s="89" t="n">
        <v>250</v>
      </c>
      <c r="H1845" s="71"/>
    </row>
    <row r="1846" customFormat="false" ht="15" hidden="true" customHeight="true" outlineLevel="1" collapsed="false">
      <c r="A1846" s="295"/>
      <c r="B1846" s="87" t="s">
        <v>1609</v>
      </c>
      <c r="C1846" s="88" t="s">
        <v>159</v>
      </c>
      <c r="G1846" s="89" t="n">
        <v>250</v>
      </c>
      <c r="H1846" s="71"/>
    </row>
    <row r="1847" customFormat="false" ht="15" hidden="true" customHeight="true" outlineLevel="1" collapsed="false">
      <c r="A1847" s="295"/>
      <c r="B1847" s="87" t="s">
        <v>1610</v>
      </c>
      <c r="C1847" s="88" t="s">
        <v>156</v>
      </c>
      <c r="D1847" s="232"/>
      <c r="G1847" s="8" t="n">
        <v>300</v>
      </c>
      <c r="H1847" s="71"/>
    </row>
    <row r="1848" customFormat="false" ht="15" hidden="true" customHeight="true" outlineLevel="1" collapsed="false">
      <c r="A1848" s="295"/>
      <c r="B1848" s="87"/>
      <c r="C1848" s="88"/>
      <c r="D1848" s="232"/>
      <c r="H1848" s="71"/>
    </row>
    <row r="1849" customFormat="false" ht="15" hidden="true" customHeight="true" outlineLevel="1" collapsed="false">
      <c r="A1849" s="5" t="s">
        <v>1611</v>
      </c>
      <c r="B1849" s="87" t="s">
        <v>1612</v>
      </c>
      <c r="C1849" s="6" t="s">
        <v>156</v>
      </c>
      <c r="G1849" s="89" t="n">
        <v>200</v>
      </c>
      <c r="H1849" s="71"/>
    </row>
    <row r="1850" customFormat="false" ht="15" hidden="true" customHeight="true" outlineLevel="1" collapsed="false">
      <c r="A1850" s="295"/>
      <c r="B1850" s="87" t="s">
        <v>1613</v>
      </c>
      <c r="C1850" s="6" t="s">
        <v>159</v>
      </c>
      <c r="G1850" s="89" t="n">
        <v>1000</v>
      </c>
      <c r="H1850" s="71"/>
    </row>
    <row r="1851" customFormat="false" ht="15" hidden="true" customHeight="true" outlineLevel="1" collapsed="false">
      <c r="A1851" s="295"/>
      <c r="B1851" s="87" t="s">
        <v>1612</v>
      </c>
      <c r="C1851" s="6" t="s">
        <v>156</v>
      </c>
      <c r="G1851" s="89" t="n">
        <v>200</v>
      </c>
      <c r="H1851" s="71"/>
    </row>
    <row r="1852" customFormat="false" ht="15" hidden="true" customHeight="true" outlineLevel="1" collapsed="false">
      <c r="A1852" s="295"/>
      <c r="B1852" s="87"/>
      <c r="C1852" s="88"/>
      <c r="D1852" s="232"/>
      <c r="H1852" s="71"/>
    </row>
    <row r="1853" customFormat="false" ht="15" hidden="true" customHeight="true" outlineLevel="1" collapsed="false">
      <c r="A1853" s="5" t="s">
        <v>1171</v>
      </c>
      <c r="B1853" s="232" t="s">
        <v>1614</v>
      </c>
      <c r="C1853" s="88"/>
      <c r="D1853" s="232"/>
      <c r="H1853" s="71"/>
    </row>
    <row r="1854" customFormat="false" ht="15" hidden="true" customHeight="true" outlineLevel="1" collapsed="false">
      <c r="A1854" s="295"/>
      <c r="B1854" s="232" t="s">
        <v>1615</v>
      </c>
      <c r="C1854" s="88" t="s">
        <v>159</v>
      </c>
      <c r="G1854" s="89" t="n">
        <v>1500</v>
      </c>
      <c r="H1854" s="71"/>
    </row>
    <row r="1855" customFormat="false" ht="15" hidden="true" customHeight="true" outlineLevel="1" collapsed="false">
      <c r="A1855" s="295"/>
      <c r="B1855" s="87" t="s">
        <v>1616</v>
      </c>
      <c r="C1855" s="88" t="s">
        <v>159</v>
      </c>
      <c r="G1855" s="89" t="n">
        <v>1500</v>
      </c>
      <c r="H1855" s="71"/>
    </row>
    <row r="1856" customFormat="false" ht="15" hidden="true" customHeight="true" outlineLevel="1" collapsed="false">
      <c r="A1856" s="295"/>
      <c r="B1856" s="87" t="s">
        <v>1617</v>
      </c>
      <c r="C1856" s="88" t="s">
        <v>159</v>
      </c>
      <c r="G1856" s="89" t="n">
        <v>3000</v>
      </c>
      <c r="H1856" s="71"/>
    </row>
    <row r="1857" customFormat="false" ht="15" hidden="true" customHeight="true" outlineLevel="1" collapsed="false">
      <c r="A1857" s="295"/>
      <c r="B1857" s="87" t="s">
        <v>1618</v>
      </c>
      <c r="C1857" s="88" t="s">
        <v>159</v>
      </c>
      <c r="G1857" s="89" t="n">
        <v>2500</v>
      </c>
      <c r="H1857" s="71"/>
    </row>
    <row r="1858" customFormat="false" ht="15" hidden="true" customHeight="true" outlineLevel="1" collapsed="false">
      <c r="A1858" s="295"/>
      <c r="B1858" s="87" t="s">
        <v>1619</v>
      </c>
      <c r="C1858" s="88" t="s">
        <v>159</v>
      </c>
      <c r="G1858" s="89" t="n">
        <v>4000</v>
      </c>
      <c r="H1858" s="71"/>
    </row>
    <row r="1859" customFormat="false" ht="15" hidden="true" customHeight="true" outlineLevel="1" collapsed="false">
      <c r="A1859" s="295"/>
      <c r="B1859" s="87" t="s">
        <v>1620</v>
      </c>
      <c r="C1859" s="88" t="s">
        <v>156</v>
      </c>
      <c r="G1859" s="89" t="n">
        <v>500</v>
      </c>
      <c r="H1859" s="71"/>
    </row>
    <row r="1860" customFormat="false" ht="15" hidden="true" customHeight="true" outlineLevel="1" collapsed="false">
      <c r="A1860" s="295"/>
      <c r="B1860" s="284" t="s">
        <v>1621</v>
      </c>
      <c r="C1860" s="88" t="s">
        <v>159</v>
      </c>
      <c r="G1860" s="89" t="n">
        <v>7000</v>
      </c>
      <c r="H1860" s="71"/>
    </row>
    <row r="1861" customFormat="false" ht="15" hidden="true" customHeight="true" outlineLevel="1" collapsed="false">
      <c r="A1861" s="295"/>
      <c r="B1861" s="87"/>
      <c r="C1861" s="88"/>
      <c r="D1861" s="232"/>
      <c r="H1861" s="71"/>
    </row>
    <row r="1862" customFormat="false" ht="15" hidden="true" customHeight="true" outlineLevel="1" collapsed="false">
      <c r="A1862" s="5" t="s">
        <v>1622</v>
      </c>
      <c r="B1862" s="87" t="s">
        <v>1623</v>
      </c>
      <c r="C1862" s="88" t="s">
        <v>159</v>
      </c>
      <c r="G1862" s="89" t="n">
        <v>1000</v>
      </c>
      <c r="H1862" s="71"/>
    </row>
    <row r="1863" customFormat="false" ht="15" hidden="true" customHeight="true" outlineLevel="1" collapsed="false">
      <c r="A1863" s="295"/>
      <c r="B1863" s="87" t="s">
        <v>1624</v>
      </c>
      <c r="C1863" s="88" t="s">
        <v>159</v>
      </c>
      <c r="G1863" s="89" t="n">
        <v>1000</v>
      </c>
      <c r="H1863" s="71"/>
    </row>
    <row r="1864" customFormat="false" ht="15" hidden="true" customHeight="true" outlineLevel="1" collapsed="false">
      <c r="A1864" s="295"/>
      <c r="B1864" s="87" t="s">
        <v>1625</v>
      </c>
      <c r="C1864" s="88" t="s">
        <v>159</v>
      </c>
      <c r="G1864" s="89" t="n">
        <v>1000</v>
      </c>
      <c r="H1864" s="71"/>
    </row>
    <row r="1865" customFormat="false" ht="15" hidden="true" customHeight="true" outlineLevel="1" collapsed="false">
      <c r="A1865" s="295"/>
      <c r="B1865" s="87" t="s">
        <v>1626</v>
      </c>
      <c r="C1865" s="88" t="s">
        <v>159</v>
      </c>
      <c r="G1865" s="89" t="n">
        <v>1000</v>
      </c>
      <c r="H1865" s="71"/>
    </row>
    <row r="1866" customFormat="false" ht="15" hidden="true" customHeight="true" outlineLevel="1" collapsed="false">
      <c r="A1866" s="295"/>
      <c r="B1866" s="87" t="s">
        <v>1627</v>
      </c>
      <c r="C1866" s="88" t="s">
        <v>156</v>
      </c>
      <c r="G1866" s="89" t="n">
        <v>500</v>
      </c>
      <c r="H1866" s="71"/>
    </row>
    <row r="1867" customFormat="false" ht="15" hidden="true" customHeight="true" outlineLevel="1" collapsed="false">
      <c r="A1867" s="295"/>
      <c r="B1867" s="87" t="s">
        <v>1628</v>
      </c>
      <c r="C1867" s="88" t="s">
        <v>159</v>
      </c>
      <c r="G1867" s="89" t="n">
        <v>2500</v>
      </c>
      <c r="H1867" s="71"/>
    </row>
    <row r="1868" customFormat="false" ht="15" hidden="true" customHeight="true" outlineLevel="1" collapsed="false">
      <c r="A1868" s="295"/>
      <c r="B1868" s="87" t="s">
        <v>1629</v>
      </c>
      <c r="C1868" s="88" t="s">
        <v>159</v>
      </c>
      <c r="G1868" s="89" t="n">
        <v>800</v>
      </c>
      <c r="H1868" s="71"/>
    </row>
    <row r="1869" customFormat="false" ht="15" hidden="true" customHeight="true" outlineLevel="1" collapsed="false">
      <c r="A1869" s="295"/>
      <c r="B1869" s="87"/>
      <c r="C1869" s="88"/>
      <c r="D1869" s="232"/>
      <c r="H1869" s="71"/>
    </row>
    <row r="1870" customFormat="false" ht="15" hidden="true" customHeight="true" outlineLevel="1" collapsed="false">
      <c r="A1870" s="5" t="s">
        <v>1184</v>
      </c>
      <c r="B1870" s="87" t="s">
        <v>1630</v>
      </c>
      <c r="C1870" s="6" t="s">
        <v>159</v>
      </c>
      <c r="G1870" s="89" t="n">
        <v>3500</v>
      </c>
      <c r="H1870" s="71"/>
    </row>
    <row r="1871" customFormat="false" ht="15" hidden="true" customHeight="true" outlineLevel="1" collapsed="false">
      <c r="A1871" s="295"/>
      <c r="B1871" s="87" t="s">
        <v>1631</v>
      </c>
      <c r="C1871" s="6" t="s">
        <v>159</v>
      </c>
      <c r="G1871" s="89" t="n">
        <v>2500</v>
      </c>
      <c r="H1871" s="71"/>
    </row>
    <row r="1872" customFormat="false" ht="15" hidden="true" customHeight="true" outlineLevel="1" collapsed="false">
      <c r="A1872" s="295"/>
      <c r="B1872" s="87" t="s">
        <v>1632</v>
      </c>
      <c r="C1872" s="6" t="s">
        <v>159</v>
      </c>
      <c r="G1872" s="89" t="n">
        <v>2000</v>
      </c>
      <c r="H1872" s="71"/>
    </row>
    <row r="1873" customFormat="false" ht="13.5" hidden="true" customHeight="true" outlineLevel="1" collapsed="false">
      <c r="A1873" s="295"/>
      <c r="B1873" s="87" t="s">
        <v>1633</v>
      </c>
      <c r="C1873" s="6" t="s">
        <v>159</v>
      </c>
      <c r="G1873" s="89" t="n">
        <v>1000</v>
      </c>
      <c r="H1873" s="71"/>
    </row>
    <row r="1874" customFormat="false" ht="15" hidden="true" customHeight="true" outlineLevel="1" collapsed="false">
      <c r="A1874" s="295"/>
      <c r="B1874" s="87" t="s">
        <v>1634</v>
      </c>
      <c r="C1874" s="6" t="s">
        <v>159</v>
      </c>
      <c r="G1874" s="89" t="n">
        <v>1000</v>
      </c>
      <c r="H1874" s="71"/>
    </row>
    <row r="1875" customFormat="false" ht="15" hidden="true" customHeight="true" outlineLevel="1" collapsed="false">
      <c r="A1875" s="295"/>
      <c r="B1875" s="87" t="s">
        <v>1635</v>
      </c>
      <c r="C1875" s="6" t="s">
        <v>159</v>
      </c>
      <c r="G1875" s="89" t="n">
        <v>900</v>
      </c>
      <c r="H1875" s="71"/>
    </row>
    <row r="1876" customFormat="false" ht="15" hidden="true" customHeight="true" outlineLevel="1" collapsed="false">
      <c r="A1876" s="295"/>
      <c r="B1876" s="87" t="s">
        <v>1636</v>
      </c>
      <c r="C1876" s="6" t="s">
        <v>159</v>
      </c>
      <c r="G1876" s="89" t="n">
        <v>700</v>
      </c>
      <c r="H1876" s="71"/>
    </row>
    <row r="1877" customFormat="false" ht="15" hidden="true" customHeight="true" outlineLevel="1" collapsed="false">
      <c r="A1877" s="295"/>
      <c r="B1877" s="87" t="s">
        <v>1637</v>
      </c>
      <c r="C1877" s="6" t="s">
        <v>156</v>
      </c>
      <c r="G1877" s="89" t="n">
        <v>500</v>
      </c>
      <c r="H1877" s="71"/>
    </row>
    <row r="1878" customFormat="false" ht="15" hidden="true" customHeight="true" outlineLevel="1" collapsed="false">
      <c r="A1878" s="295"/>
      <c r="B1878" s="88"/>
      <c r="D1878" s="232"/>
      <c r="H1878" s="71"/>
    </row>
    <row r="1879" customFormat="false" ht="15" hidden="true" customHeight="true" outlineLevel="1" collapsed="false">
      <c r="A1879" s="295"/>
      <c r="B1879" s="122" t="s">
        <v>1638</v>
      </c>
      <c r="C1879" s="88" t="s">
        <v>133</v>
      </c>
      <c r="G1879" s="8" t="n">
        <v>1500</v>
      </c>
      <c r="H1879" s="71"/>
    </row>
    <row r="1880" customFormat="false" ht="15" hidden="true" customHeight="true" outlineLevel="1" collapsed="false">
      <c r="A1880" s="295"/>
      <c r="B1880" s="122" t="s">
        <v>1639</v>
      </c>
      <c r="C1880" s="88" t="s">
        <v>133</v>
      </c>
      <c r="G1880" s="8" t="n">
        <v>300</v>
      </c>
      <c r="H1880" s="71"/>
    </row>
    <row r="1881" customFormat="false" ht="15" hidden="true" customHeight="true" outlineLevel="1" collapsed="false">
      <c r="A1881" s="295"/>
      <c r="B1881" s="122" t="s">
        <v>1640</v>
      </c>
      <c r="C1881" s="88" t="s">
        <v>133</v>
      </c>
      <c r="G1881" s="8" t="n">
        <v>250</v>
      </c>
      <c r="H1881" s="71"/>
    </row>
    <row r="1882" customFormat="false" ht="15" hidden="true" customHeight="true" outlineLevel="1" collapsed="false">
      <c r="A1882" s="295"/>
      <c r="B1882" s="122" t="s">
        <v>1641</v>
      </c>
      <c r="C1882" s="88" t="s">
        <v>156</v>
      </c>
      <c r="G1882" s="89" t="n">
        <v>500</v>
      </c>
      <c r="H1882" s="71"/>
    </row>
    <row r="1883" customFormat="false" ht="15" hidden="true" customHeight="true" outlineLevel="1" collapsed="false">
      <c r="A1883" s="295"/>
      <c r="B1883" s="122"/>
      <c r="C1883" s="88"/>
      <c r="G1883" s="89"/>
      <c r="H1883" s="71"/>
    </row>
    <row r="1884" customFormat="false" ht="15" hidden="true" customHeight="true" outlineLevel="1" collapsed="false">
      <c r="A1884" s="5" t="s">
        <v>1642</v>
      </c>
      <c r="B1884" s="5" t="s">
        <v>1643</v>
      </c>
      <c r="C1884" s="88" t="s">
        <v>133</v>
      </c>
      <c r="G1884" s="89" t="n">
        <v>100</v>
      </c>
      <c r="H1884" s="71"/>
    </row>
    <row r="1885" customFormat="false" ht="15" hidden="true" customHeight="true" outlineLevel="1" collapsed="false">
      <c r="A1885" s="295"/>
      <c r="B1885" s="5" t="s">
        <v>1644</v>
      </c>
      <c r="C1885" s="88" t="s">
        <v>133</v>
      </c>
      <c r="G1885" s="89" t="n">
        <v>100</v>
      </c>
      <c r="H1885" s="71"/>
    </row>
    <row r="1886" customFormat="false" ht="15" hidden="true" customHeight="true" outlineLevel="1" collapsed="false">
      <c r="A1886" s="295"/>
      <c r="B1886" s="5" t="s">
        <v>1645</v>
      </c>
      <c r="C1886" s="88" t="s">
        <v>133</v>
      </c>
      <c r="G1886" s="89" t="n">
        <v>100</v>
      </c>
    </row>
    <row r="1887" customFormat="false" ht="15" hidden="true" customHeight="true" outlineLevel="1" collapsed="false">
      <c r="A1887" s="295"/>
      <c r="B1887" s="5" t="s">
        <v>1646</v>
      </c>
      <c r="C1887" s="88" t="s">
        <v>133</v>
      </c>
      <c r="G1887" s="89" t="n">
        <v>100</v>
      </c>
    </row>
    <row r="1888" customFormat="false" ht="15" hidden="true" customHeight="true" outlineLevel="1" collapsed="false">
      <c r="A1888" s="295"/>
      <c r="B1888" s="5" t="s">
        <v>1647</v>
      </c>
      <c r="C1888" s="88" t="s">
        <v>133</v>
      </c>
      <c r="G1888" s="89" t="n">
        <v>500</v>
      </c>
    </row>
    <row r="1889" customFormat="false" ht="15" hidden="true" customHeight="true" outlineLevel="1" collapsed="false">
      <c r="A1889" s="295"/>
      <c r="C1889" s="88"/>
      <c r="G1889" s="89"/>
    </row>
    <row r="1890" customFormat="false" ht="15" hidden="true" customHeight="true" outlineLevel="1" collapsed="false">
      <c r="A1890" s="5" t="s">
        <v>1648</v>
      </c>
      <c r="B1890" s="5" t="s">
        <v>1649</v>
      </c>
      <c r="C1890" s="88"/>
      <c r="G1890" s="89" t="n">
        <v>50000</v>
      </c>
    </row>
    <row r="1891" customFormat="false" ht="15" hidden="true" customHeight="true" outlineLevel="1" collapsed="false">
      <c r="A1891" s="295"/>
      <c r="B1891" s="5" t="s">
        <v>1650</v>
      </c>
      <c r="C1891" s="88"/>
      <c r="G1891" s="89" t="n">
        <v>10000</v>
      </c>
    </row>
    <row r="1892" customFormat="false" ht="15" hidden="true" customHeight="true" outlineLevel="1" collapsed="false">
      <c r="A1892" s="295"/>
      <c r="B1892" s="5" t="s">
        <v>1651</v>
      </c>
      <c r="C1892" s="88"/>
      <c r="G1892" s="89" t="n">
        <v>10000</v>
      </c>
    </row>
    <row r="1893" customFormat="false" ht="15" hidden="true" customHeight="true" outlineLevel="1" collapsed="false">
      <c r="A1893" s="295"/>
      <c r="B1893" s="5" t="s">
        <v>1652</v>
      </c>
      <c r="C1893" s="88"/>
      <c r="G1893" s="89" t="n">
        <v>10000</v>
      </c>
    </row>
    <row r="1894" customFormat="false" ht="15" hidden="true" customHeight="true" outlineLevel="1" collapsed="false">
      <c r="A1894" s="295"/>
      <c r="B1894" s="5" t="s">
        <v>1653</v>
      </c>
      <c r="C1894" s="88"/>
      <c r="G1894" s="89" t="n">
        <v>10000</v>
      </c>
    </row>
    <row r="1895" customFormat="false" ht="15" hidden="true" customHeight="true" outlineLevel="1" collapsed="false">
      <c r="A1895" s="295"/>
      <c r="B1895" s="5" t="s">
        <v>1654</v>
      </c>
      <c r="C1895" s="88"/>
      <c r="G1895" s="89" t="n">
        <v>10000</v>
      </c>
    </row>
    <row r="1896" customFormat="false" ht="15" hidden="true" customHeight="true" outlineLevel="1" collapsed="false">
      <c r="A1896" s="295"/>
      <c r="B1896" s="5" t="s">
        <v>1655</v>
      </c>
      <c r="C1896" s="88"/>
      <c r="G1896" s="89" t="n">
        <v>10000</v>
      </c>
    </row>
    <row r="1897" customFormat="false" ht="15" hidden="true" customHeight="true" outlineLevel="1" collapsed="false">
      <c r="A1897" s="295"/>
      <c r="B1897" s="5" t="s">
        <v>1656</v>
      </c>
      <c r="C1897" s="88"/>
      <c r="G1897" s="89" t="n">
        <v>10000</v>
      </c>
    </row>
    <row r="1898" customFormat="false" ht="15" hidden="true" customHeight="true" outlineLevel="1" collapsed="false">
      <c r="A1898" s="295"/>
      <c r="B1898" s="5" t="s">
        <v>1657</v>
      </c>
      <c r="C1898" s="88"/>
      <c r="G1898" s="89" t="n">
        <v>10000</v>
      </c>
    </row>
    <row r="1899" customFormat="false" ht="15" hidden="true" customHeight="true" outlineLevel="1" collapsed="false">
      <c r="A1899" s="295"/>
      <c r="B1899" s="5" t="s">
        <v>1658</v>
      </c>
      <c r="C1899" s="88"/>
      <c r="G1899" s="89" t="n">
        <v>10000</v>
      </c>
    </row>
    <row r="1900" customFormat="false" ht="15" hidden="true" customHeight="true" outlineLevel="1" collapsed="false">
      <c r="A1900" s="295"/>
      <c r="C1900" s="88"/>
      <c r="G1900" s="89"/>
    </row>
    <row r="1901" customFormat="false" ht="15" hidden="true" customHeight="true" outlineLevel="1" collapsed="false">
      <c r="A1901" s="295"/>
      <c r="C1901" s="88"/>
      <c r="G1901" s="89"/>
    </row>
    <row r="1902" customFormat="false" ht="15" hidden="true" customHeight="true" outlineLevel="1" collapsed="false">
      <c r="A1902" s="295"/>
      <c r="C1902" s="88"/>
      <c r="G1902" s="89"/>
    </row>
    <row r="1903" customFormat="false" ht="15" hidden="false" customHeight="true" outlineLevel="0" collapsed="false">
      <c r="A1903" s="47" t="s">
        <v>1409</v>
      </c>
      <c r="B1903" s="47"/>
      <c r="C1903" s="88"/>
      <c r="G1903" s="89"/>
    </row>
    <row r="1904" s="302" customFormat="true" ht="15" hidden="true" customHeight="true" outlineLevel="1" collapsed="false">
      <c r="B1904" s="303" t="s">
        <v>1659</v>
      </c>
      <c r="C1904" s="304"/>
      <c r="D1904" s="305"/>
      <c r="E1904" s="305"/>
      <c r="F1904" s="306"/>
      <c r="G1904" s="307"/>
    </row>
    <row r="1905" customFormat="false" ht="15" hidden="true" customHeight="true" outlineLevel="1" collapsed="false">
      <c r="B1905" s="308" t="s">
        <v>1660</v>
      </c>
      <c r="C1905" s="88"/>
      <c r="G1905" s="89" t="s">
        <v>1661</v>
      </c>
    </row>
    <row r="1906" customFormat="false" ht="15" hidden="true" customHeight="true" outlineLevel="1" collapsed="false">
      <c r="B1906" s="309" t="s">
        <v>1662</v>
      </c>
      <c r="G1906" s="8" t="n">
        <v>1000</v>
      </c>
      <c r="H1906" s="71"/>
    </row>
    <row r="1907" customFormat="false" ht="15" hidden="true" customHeight="true" outlineLevel="1" collapsed="false">
      <c r="B1907" s="309" t="s">
        <v>1663</v>
      </c>
      <c r="G1907" s="8" t="n">
        <v>1000</v>
      </c>
    </row>
    <row r="1908" customFormat="false" ht="15" hidden="true" customHeight="true" outlineLevel="1" collapsed="false">
      <c r="B1908" s="309" t="s">
        <v>1664</v>
      </c>
      <c r="G1908" s="8" t="n">
        <v>1000</v>
      </c>
    </row>
    <row r="1909" customFormat="false" ht="15" hidden="true" customHeight="true" outlineLevel="1" collapsed="false">
      <c r="B1909" s="309" t="s">
        <v>1665</v>
      </c>
      <c r="G1909" s="8" t="n">
        <v>1000</v>
      </c>
    </row>
    <row r="1910" customFormat="false" ht="15" hidden="true" customHeight="true" outlineLevel="1" collapsed="false">
      <c r="B1910" s="309" t="s">
        <v>1666</v>
      </c>
      <c r="G1910" s="8" t="n">
        <v>1000</v>
      </c>
    </row>
    <row r="1911" customFormat="false" ht="15" hidden="true" customHeight="true" outlineLevel="1" collapsed="false">
      <c r="B1911" s="309" t="s">
        <v>1667</v>
      </c>
      <c r="G1911" s="8" t="n">
        <v>1000</v>
      </c>
    </row>
    <row r="1912" customFormat="false" ht="15" hidden="true" customHeight="true" outlineLevel="1" collapsed="false">
      <c r="B1912" s="309" t="s">
        <v>1668</v>
      </c>
      <c r="G1912" s="8" t="n">
        <v>1000</v>
      </c>
    </row>
    <row r="1913" customFormat="false" ht="15" hidden="true" customHeight="true" outlineLevel="1" collapsed="false">
      <c r="B1913" s="309" t="s">
        <v>1669</v>
      </c>
      <c r="G1913" s="8" t="n">
        <v>1000</v>
      </c>
    </row>
    <row r="1914" customFormat="false" ht="15" hidden="true" customHeight="true" outlineLevel="1" collapsed="false">
      <c r="B1914" s="309" t="s">
        <v>1670</v>
      </c>
      <c r="G1914" s="8" t="n">
        <v>1000</v>
      </c>
    </row>
    <row r="1915" customFormat="false" ht="15" hidden="true" customHeight="true" outlineLevel="1" collapsed="false">
      <c r="B1915" s="309" t="s">
        <v>1671</v>
      </c>
      <c r="G1915" s="8" t="n">
        <v>1000</v>
      </c>
    </row>
    <row r="1916" customFormat="false" ht="15" hidden="true" customHeight="true" outlineLevel="1" collapsed="false">
      <c r="B1916" s="309" t="s">
        <v>1672</v>
      </c>
      <c r="G1916" s="8" t="n">
        <v>1000</v>
      </c>
    </row>
    <row r="1917" customFormat="false" ht="15" hidden="true" customHeight="true" outlineLevel="1" collapsed="false">
      <c r="B1917" s="309" t="s">
        <v>1673</v>
      </c>
      <c r="G1917" s="8" t="n">
        <v>1000</v>
      </c>
    </row>
    <row r="1918" customFormat="false" ht="15" hidden="true" customHeight="true" outlineLevel="1" collapsed="false">
      <c r="B1918" s="309" t="s">
        <v>1674</v>
      </c>
      <c r="G1918" s="8" t="n">
        <v>1000</v>
      </c>
    </row>
    <row r="1919" customFormat="false" ht="15" hidden="true" customHeight="true" outlineLevel="1" collapsed="false">
      <c r="B1919" s="309" t="s">
        <v>1675</v>
      </c>
      <c r="G1919" s="8" t="n">
        <v>1000</v>
      </c>
    </row>
    <row r="1920" customFormat="false" ht="15" hidden="true" customHeight="true" outlineLevel="1" collapsed="false">
      <c r="B1920" s="309" t="s">
        <v>1676</v>
      </c>
      <c r="G1920" s="8" t="n">
        <v>1000</v>
      </c>
    </row>
    <row r="1921" customFormat="false" ht="15" hidden="true" customHeight="true" outlineLevel="1" collapsed="false">
      <c r="B1921" s="309" t="s">
        <v>1677</v>
      </c>
      <c r="G1921" s="8" t="n">
        <v>1000</v>
      </c>
    </row>
    <row r="1922" customFormat="false" ht="15" hidden="true" customHeight="true" outlineLevel="1" collapsed="false">
      <c r="B1922" s="309" t="s">
        <v>1678</v>
      </c>
      <c r="G1922" s="8" t="n">
        <v>1000</v>
      </c>
    </row>
    <row r="1923" customFormat="false" ht="15" hidden="true" customHeight="true" outlineLevel="1" collapsed="false">
      <c r="B1923" s="309" t="s">
        <v>1679</v>
      </c>
      <c r="G1923" s="8" t="n">
        <v>1000</v>
      </c>
    </row>
    <row r="1924" customFormat="false" ht="15" hidden="true" customHeight="true" outlineLevel="1" collapsed="false">
      <c r="B1924" s="309" t="s">
        <v>1680</v>
      </c>
      <c r="G1924" s="8" t="n">
        <v>1000</v>
      </c>
    </row>
    <row r="1925" customFormat="false" ht="15" hidden="true" customHeight="true" outlineLevel="1" collapsed="false">
      <c r="B1925" s="309" t="s">
        <v>1681</v>
      </c>
      <c r="G1925" s="8" t="n">
        <v>1000</v>
      </c>
    </row>
    <row r="1926" customFormat="false" ht="15" hidden="true" customHeight="true" outlineLevel="1" collapsed="false">
      <c r="B1926" s="309" t="s">
        <v>1682</v>
      </c>
      <c r="G1926" s="8" t="n">
        <v>1000</v>
      </c>
    </row>
    <row r="1927" customFormat="false" ht="15" hidden="true" customHeight="true" outlineLevel="1" collapsed="false">
      <c r="B1927" s="309" t="s">
        <v>1683</v>
      </c>
      <c r="G1927" s="8" t="n">
        <v>1000</v>
      </c>
    </row>
    <row r="1928" customFormat="false" ht="15" hidden="true" customHeight="true" outlineLevel="1" collapsed="false">
      <c r="B1928" s="309" t="s">
        <v>1684</v>
      </c>
      <c r="G1928" s="8" t="n">
        <v>1000</v>
      </c>
    </row>
    <row r="1929" customFormat="false" ht="15" hidden="true" customHeight="true" outlineLevel="1" collapsed="false">
      <c r="B1929" s="309" t="s">
        <v>1685</v>
      </c>
      <c r="G1929" s="8" t="n">
        <v>1000</v>
      </c>
    </row>
    <row r="1930" customFormat="false" ht="15" hidden="true" customHeight="true" outlineLevel="1" collapsed="false">
      <c r="B1930" s="309" t="s">
        <v>1686</v>
      </c>
      <c r="G1930" s="8" t="n">
        <v>1000</v>
      </c>
    </row>
    <row r="1931" customFormat="false" ht="15" hidden="true" customHeight="true" outlineLevel="1" collapsed="false">
      <c r="B1931" s="309" t="s">
        <v>1687</v>
      </c>
      <c r="G1931" s="8" t="n">
        <v>1000</v>
      </c>
    </row>
    <row r="1932" customFormat="false" ht="15" hidden="true" customHeight="true" outlineLevel="1" collapsed="false">
      <c r="B1932" s="309" t="s">
        <v>1688</v>
      </c>
      <c r="G1932" s="8" t="n">
        <v>1000</v>
      </c>
    </row>
    <row r="1933" customFormat="false" ht="15" hidden="true" customHeight="true" outlineLevel="1" collapsed="false">
      <c r="B1933" s="309" t="s">
        <v>1689</v>
      </c>
      <c r="G1933" s="8" t="n">
        <v>1000</v>
      </c>
    </row>
    <row r="1934" customFormat="false" ht="15" hidden="true" customHeight="true" outlineLevel="1" collapsed="false">
      <c r="B1934" s="309" t="s">
        <v>1690</v>
      </c>
      <c r="G1934" s="8" t="n">
        <v>1000</v>
      </c>
    </row>
    <row r="1935" customFormat="false" ht="15" hidden="true" customHeight="true" outlineLevel="1" collapsed="false">
      <c r="B1935" s="309" t="s">
        <v>1691</v>
      </c>
      <c r="G1935" s="8" t="n">
        <v>1000</v>
      </c>
    </row>
    <row r="1936" customFormat="false" ht="15" hidden="true" customHeight="true" outlineLevel="1" collapsed="false">
      <c r="B1936" s="309" t="s">
        <v>1692</v>
      </c>
      <c r="G1936" s="8" t="n">
        <v>1000</v>
      </c>
    </row>
    <row r="1937" customFormat="false" ht="15" hidden="true" customHeight="true" outlineLevel="1" collapsed="false">
      <c r="B1937" s="309" t="s">
        <v>1693</v>
      </c>
      <c r="G1937" s="8" t="n">
        <v>1000</v>
      </c>
    </row>
    <row r="1938" customFormat="false" ht="15" hidden="true" customHeight="true" outlineLevel="1" collapsed="false">
      <c r="B1938" s="309" t="s">
        <v>1694</v>
      </c>
      <c r="G1938" s="8" t="n">
        <v>1000</v>
      </c>
    </row>
    <row r="1939" customFormat="false" ht="15" hidden="true" customHeight="true" outlineLevel="1" collapsed="false">
      <c r="B1939" s="309" t="s">
        <v>1695</v>
      </c>
      <c r="G1939" s="8" t="n">
        <v>1000</v>
      </c>
    </row>
    <row r="1940" customFormat="false" ht="15" hidden="true" customHeight="true" outlineLevel="1" collapsed="false">
      <c r="B1940" s="309" t="s">
        <v>1696</v>
      </c>
      <c r="G1940" s="8" t="n">
        <v>1000</v>
      </c>
    </row>
    <row r="1941" customFormat="false" ht="15" hidden="true" customHeight="true" outlineLevel="1" collapsed="false"/>
    <row r="1942" s="302" customFormat="true" ht="15" hidden="true" customHeight="true" outlineLevel="1" collapsed="false">
      <c r="B1942" s="310"/>
      <c r="C1942" s="311"/>
      <c r="D1942" s="305"/>
      <c r="E1942" s="305"/>
      <c r="F1942" s="306"/>
      <c r="G1942" s="306"/>
    </row>
    <row r="1943" s="302" customFormat="true" ht="15" hidden="true" customHeight="true" outlineLevel="1" collapsed="false">
      <c r="B1943" s="100" t="s">
        <v>1659</v>
      </c>
      <c r="C1943" s="311"/>
      <c r="D1943" s="305"/>
      <c r="E1943" s="305"/>
      <c r="F1943" s="306"/>
      <c r="G1943" s="306"/>
    </row>
    <row r="1944" customFormat="false" ht="15" hidden="true" customHeight="true" outlineLevel="1" collapsed="false"/>
    <row r="1945" customFormat="false" ht="15" hidden="true" customHeight="true" outlineLevel="1" collapsed="false">
      <c r="B1945" s="308" t="s">
        <v>1697</v>
      </c>
      <c r="D1945" s="7" t="s">
        <v>1698</v>
      </c>
    </row>
    <row r="1946" customFormat="false" ht="15" hidden="true" customHeight="true" outlineLevel="1" collapsed="false">
      <c r="B1946" s="309" t="s">
        <v>1699</v>
      </c>
      <c r="D1946" s="7" t="n">
        <v>1.9</v>
      </c>
      <c r="G1946" s="8" t="n">
        <v>160</v>
      </c>
    </row>
    <row r="1947" customFormat="false" ht="15" hidden="true" customHeight="true" outlineLevel="1" collapsed="false">
      <c r="B1947" s="309" t="s">
        <v>1700</v>
      </c>
      <c r="D1947" s="7" t="n">
        <v>2</v>
      </c>
      <c r="G1947" s="8" t="n">
        <v>180</v>
      </c>
    </row>
    <row r="1948" customFormat="false" ht="15" hidden="true" customHeight="true" outlineLevel="1" collapsed="false">
      <c r="B1948" s="309" t="s">
        <v>1701</v>
      </c>
      <c r="D1948" s="7" t="n">
        <v>6</v>
      </c>
      <c r="G1948" s="8" t="n">
        <v>190</v>
      </c>
    </row>
    <row r="1949" customFormat="false" ht="15" hidden="true" customHeight="true" outlineLevel="1" collapsed="false">
      <c r="B1949" s="309" t="s">
        <v>1702</v>
      </c>
      <c r="D1949" s="7" t="n">
        <v>2</v>
      </c>
      <c r="G1949" s="8" t="n">
        <v>200</v>
      </c>
    </row>
    <row r="1950" customFormat="false" ht="15" hidden="true" customHeight="true" outlineLevel="1" collapsed="false">
      <c r="B1950" s="309" t="s">
        <v>1703</v>
      </c>
      <c r="D1950" s="7" t="n">
        <v>2.5</v>
      </c>
      <c r="G1950" s="8" t="n">
        <v>300</v>
      </c>
    </row>
    <row r="1951" customFormat="false" ht="15" hidden="true" customHeight="true" outlineLevel="1" collapsed="false">
      <c r="B1951" s="309" t="s">
        <v>1704</v>
      </c>
      <c r="D1951" s="7" t="n">
        <v>3</v>
      </c>
      <c r="G1951" s="8" t="n">
        <v>500</v>
      </c>
    </row>
    <row r="1952" customFormat="false" ht="15" hidden="true" customHeight="true" outlineLevel="1" collapsed="false"/>
    <row r="1953" customFormat="false" ht="15" hidden="true" customHeight="true" outlineLevel="1" collapsed="false"/>
    <row r="1954" customFormat="false" ht="15" hidden="true" customHeight="true" outlineLevel="1" collapsed="false"/>
    <row r="1955" customFormat="false" ht="15" hidden="true" customHeight="true" outlineLevel="1" collapsed="false">
      <c r="B1955" s="308" t="s">
        <v>1705</v>
      </c>
    </row>
    <row r="1956" customFormat="false" ht="15" hidden="true" customHeight="true" outlineLevel="1" collapsed="false">
      <c r="B1956" s="312" t="s">
        <v>1706</v>
      </c>
      <c r="G1956" s="8" t="n">
        <v>300</v>
      </c>
    </row>
    <row r="1957" customFormat="false" ht="15" hidden="true" customHeight="true" outlineLevel="1" collapsed="false">
      <c r="B1957" s="312"/>
    </row>
    <row r="1958" customFormat="false" ht="15" hidden="true" customHeight="true" outlineLevel="1" collapsed="false">
      <c r="B1958" s="312"/>
    </row>
    <row r="1959" customFormat="false" ht="15" hidden="true" customHeight="true" outlineLevel="1" collapsed="false"/>
    <row r="1960" customFormat="false" ht="15" hidden="true" customHeight="true" outlineLevel="1" collapsed="false">
      <c r="B1960" s="313" t="s">
        <v>1707</v>
      </c>
      <c r="G1960" s="8" t="s">
        <v>159</v>
      </c>
    </row>
    <row r="1961" customFormat="false" ht="15" hidden="true" customHeight="true" outlineLevel="1" collapsed="false">
      <c r="B1961" s="309" t="s">
        <v>1708</v>
      </c>
      <c r="G1961" s="8" t="n">
        <v>2000</v>
      </c>
    </row>
    <row r="1962" customFormat="false" ht="15" hidden="true" customHeight="true" outlineLevel="1" collapsed="false">
      <c r="B1962" s="309" t="s">
        <v>1709</v>
      </c>
      <c r="G1962" s="8" t="n">
        <v>2000</v>
      </c>
    </row>
    <row r="1963" customFormat="false" ht="15" hidden="true" customHeight="true" outlineLevel="1" collapsed="false">
      <c r="B1963" s="309" t="s">
        <v>1710</v>
      </c>
      <c r="G1963" s="8" t="n">
        <v>2000</v>
      </c>
    </row>
    <row r="1964" customFormat="false" ht="15" hidden="true" customHeight="true" outlineLevel="1" collapsed="false">
      <c r="B1964" s="309" t="s">
        <v>1711</v>
      </c>
      <c r="G1964" s="8" t="n">
        <v>2000</v>
      </c>
    </row>
    <row r="1965" customFormat="false" ht="15" hidden="true" customHeight="true" outlineLevel="1" collapsed="false">
      <c r="B1965" s="309" t="s">
        <v>1712</v>
      </c>
      <c r="G1965" s="8" t="n">
        <v>2000</v>
      </c>
    </row>
    <row r="1966" customFormat="false" ht="15" hidden="true" customHeight="true" outlineLevel="1" collapsed="false">
      <c r="B1966" s="309" t="s">
        <v>1713</v>
      </c>
      <c r="G1966" s="8" t="n">
        <v>2000</v>
      </c>
    </row>
    <row r="1967" customFormat="false" ht="15" hidden="true" customHeight="true" outlineLevel="1" collapsed="false">
      <c r="B1967" s="309" t="s">
        <v>1714</v>
      </c>
      <c r="G1967" s="8" t="n">
        <v>2000</v>
      </c>
    </row>
    <row r="1968" customFormat="false" ht="15" hidden="true" customHeight="true" outlineLevel="1" collapsed="false">
      <c r="B1968" s="309" t="s">
        <v>1715</v>
      </c>
      <c r="G1968" s="8" t="n">
        <v>2000</v>
      </c>
    </row>
    <row r="1969" customFormat="false" ht="15" hidden="true" customHeight="true" outlineLevel="1" collapsed="false">
      <c r="B1969" s="309" t="s">
        <v>1716</v>
      </c>
      <c r="G1969" s="8" t="n">
        <v>2000</v>
      </c>
    </row>
    <row r="1970" customFormat="false" ht="15" hidden="true" customHeight="true" outlineLevel="1" collapsed="false">
      <c r="B1970" s="309" t="s">
        <v>1717</v>
      </c>
      <c r="G1970" s="8" t="n">
        <v>2000</v>
      </c>
    </row>
    <row r="1971" customFormat="false" ht="15" hidden="true" customHeight="true" outlineLevel="1" collapsed="false"/>
    <row r="1972" customFormat="false" ht="15" hidden="true" customHeight="true" outlineLevel="1" collapsed="false"/>
    <row r="1973" customFormat="false" ht="15" hidden="true" customHeight="true" outlineLevel="1" collapsed="false"/>
    <row r="1974" customFormat="false" ht="15" hidden="true" customHeight="true" outlineLevel="1" collapsed="false">
      <c r="B1974" s="84" t="s">
        <v>1718</v>
      </c>
      <c r="G1974" s="8" t="n">
        <v>340</v>
      </c>
    </row>
    <row r="1975" customFormat="false" ht="15" hidden="true" customHeight="true" outlineLevel="1" collapsed="false">
      <c r="B1975" s="84"/>
    </row>
    <row r="1976" customFormat="false" ht="15" hidden="true" customHeight="true" outlineLevel="1" collapsed="false">
      <c r="B1976" s="84" t="s">
        <v>1719</v>
      </c>
      <c r="G1976" s="8" t="n">
        <v>160</v>
      </c>
    </row>
    <row r="1977" customFormat="false" ht="15" hidden="true" customHeight="true" outlineLevel="1" collapsed="false">
      <c r="B1977" s="84"/>
    </row>
    <row r="1978" customFormat="false" ht="15" hidden="true" customHeight="true" outlineLevel="1" collapsed="false">
      <c r="B1978" s="84"/>
    </row>
    <row r="1979" customFormat="false" ht="15" hidden="true" customHeight="true" outlineLevel="1" collapsed="false">
      <c r="B1979" s="84" t="s">
        <v>1720</v>
      </c>
      <c r="G1979" s="8" t="n">
        <v>15</v>
      </c>
    </row>
    <row r="1980" customFormat="false" ht="15" hidden="true" customHeight="true" outlineLevel="1" collapsed="false">
      <c r="B1980" s="207" t="s">
        <v>1721</v>
      </c>
      <c r="G1980" s="8" t="n">
        <v>25</v>
      </c>
    </row>
    <row r="1981" customFormat="false" ht="15" hidden="true" customHeight="true" outlineLevel="1" collapsed="false"/>
    <row r="1982" customFormat="false" ht="15" hidden="true" customHeight="true" outlineLevel="1" collapsed="false">
      <c r="B1982" s="308" t="s">
        <v>1722</v>
      </c>
    </row>
    <row r="1983" customFormat="false" ht="15" hidden="true" customHeight="true" outlineLevel="1" collapsed="false">
      <c r="B1983" s="20" t="s">
        <v>1723</v>
      </c>
      <c r="G1983" s="8" t="n">
        <v>100</v>
      </c>
    </row>
    <row r="1984" customFormat="false" ht="15" hidden="true" customHeight="true" outlineLevel="1" collapsed="false">
      <c r="B1984" s="20" t="s">
        <v>1724</v>
      </c>
      <c r="G1984" s="8" t="n">
        <v>100</v>
      </c>
    </row>
    <row r="1985" customFormat="false" ht="15" hidden="true" customHeight="true" outlineLevel="1" collapsed="false">
      <c r="B1985" s="20" t="s">
        <v>1725</v>
      </c>
      <c r="G1985" s="8" t="n">
        <v>100</v>
      </c>
    </row>
    <row r="1986" customFormat="false" ht="15" hidden="true" customHeight="true" outlineLevel="1" collapsed="false"/>
    <row r="1987" customFormat="false" ht="15" hidden="true" customHeight="true" outlineLevel="1" collapsed="false"/>
    <row r="1988" customFormat="false" ht="15" hidden="true" customHeight="true" outlineLevel="1" collapsed="false">
      <c r="B1988" s="314" t="s">
        <v>1726</v>
      </c>
    </row>
    <row r="1989" customFormat="false" ht="15" hidden="true" customHeight="true" outlineLevel="1" collapsed="false">
      <c r="B1989" s="315" t="s">
        <v>1727</v>
      </c>
      <c r="G1989" s="8" t="n">
        <v>2500</v>
      </c>
    </row>
    <row r="1990" customFormat="false" ht="15" hidden="true" customHeight="true" outlineLevel="1" collapsed="false">
      <c r="B1990" s="315" t="s">
        <v>1728</v>
      </c>
      <c r="G1990" s="8" t="n">
        <v>2500</v>
      </c>
    </row>
    <row r="1991" customFormat="false" ht="15" hidden="true" customHeight="true" outlineLevel="1" collapsed="false"/>
    <row r="1992" customFormat="false" ht="15" hidden="true" customHeight="true" outlineLevel="1" collapsed="false"/>
    <row r="1993" customFormat="false" ht="15" hidden="true" customHeight="true" outlineLevel="1" collapsed="false">
      <c r="B1993" s="5" t="s">
        <v>1729</v>
      </c>
      <c r="G1993" s="8" t="n">
        <v>3500</v>
      </c>
    </row>
    <row r="1994" customFormat="false" ht="15" hidden="true" customHeight="true" outlineLevel="1" collapsed="false"/>
    <row r="1995" customFormat="false" ht="15" hidden="true" customHeight="true" outlineLevel="1" collapsed="false">
      <c r="B1995" s="5" t="s">
        <v>1730</v>
      </c>
      <c r="G1995" s="8" t="n">
        <v>5000</v>
      </c>
    </row>
    <row r="1996" customFormat="false" ht="15" hidden="true" customHeight="true" outlineLevel="1" collapsed="false"/>
    <row r="1997" customFormat="false" ht="15" hidden="true" customHeight="true" outlineLevel="1" collapsed="false">
      <c r="B1997" s="5" t="s">
        <v>1731</v>
      </c>
      <c r="G1997" s="8" t="n">
        <v>2000</v>
      </c>
    </row>
    <row r="1998" customFormat="false" ht="15" hidden="true" customHeight="true" outlineLevel="1" collapsed="false"/>
    <row r="1999" customFormat="false" ht="15" hidden="true" customHeight="true" outlineLevel="1" collapsed="false">
      <c r="B1999" s="308" t="s">
        <v>1732</v>
      </c>
    </row>
    <row r="2000" customFormat="false" ht="15" hidden="true" customHeight="true" outlineLevel="1" collapsed="false">
      <c r="B2000" s="312" t="s">
        <v>1733</v>
      </c>
      <c r="G2000" s="8" t="n">
        <v>500</v>
      </c>
    </row>
    <row r="2001" customFormat="false" ht="15" hidden="true" customHeight="true" outlineLevel="1" collapsed="false">
      <c r="B2001" s="312" t="s">
        <v>1734</v>
      </c>
      <c r="G2001" s="8" t="n">
        <v>500</v>
      </c>
    </row>
    <row r="2002" customFormat="false" ht="15" hidden="true" customHeight="true" outlineLevel="1" collapsed="false">
      <c r="B2002" s="312" t="s">
        <v>1735</v>
      </c>
      <c r="G2002" s="8" t="n">
        <v>500</v>
      </c>
    </row>
    <row r="2003" customFormat="false" ht="15" hidden="true" customHeight="true" outlineLevel="1" collapsed="false"/>
    <row r="2004" customFormat="false" ht="15" hidden="true" customHeight="true" outlineLevel="1" collapsed="false"/>
    <row r="2005" customFormat="false" ht="15" hidden="true" customHeight="true" outlineLevel="1" collapsed="false"/>
    <row r="2006" customFormat="false" ht="15" hidden="true" customHeight="true" outlineLevel="1" collapsed="false">
      <c r="B2006" s="308" t="s">
        <v>1736</v>
      </c>
    </row>
    <row r="2007" customFormat="false" ht="15" hidden="true" customHeight="true" outlineLevel="1" collapsed="false">
      <c r="B2007" s="312" t="s">
        <v>1733</v>
      </c>
      <c r="G2007" s="8" t="n">
        <v>600</v>
      </c>
    </row>
    <row r="2008" customFormat="false" ht="15" hidden="true" customHeight="true" outlineLevel="1" collapsed="false">
      <c r="B2008" s="312" t="s">
        <v>1734</v>
      </c>
      <c r="G2008" s="8" t="n">
        <v>600</v>
      </c>
    </row>
    <row r="2009" customFormat="false" ht="15" hidden="true" customHeight="true" outlineLevel="1" collapsed="false">
      <c r="B2009" s="312" t="s">
        <v>1735</v>
      </c>
      <c r="G2009" s="8" t="n">
        <v>600</v>
      </c>
    </row>
    <row r="2010" customFormat="false" ht="15" hidden="true" customHeight="true" outlineLevel="1" collapsed="false"/>
    <row r="2011" customFormat="false" ht="15" hidden="true" customHeight="true" outlineLevel="1" collapsed="false"/>
    <row r="2012" customFormat="false" ht="15" hidden="true" customHeight="true" outlineLevel="1" collapsed="false"/>
    <row r="2013" customFormat="false" ht="15" hidden="true" customHeight="true" outlineLevel="1" collapsed="false"/>
    <row r="2014" customFormat="false" ht="15" hidden="true" customHeight="true" outlineLevel="1" collapsed="false">
      <c r="B2014" s="314" t="s">
        <v>1737</v>
      </c>
    </row>
    <row r="2015" customFormat="false" ht="15" hidden="true" customHeight="true" outlineLevel="1" collapsed="false">
      <c r="B2015" s="84" t="s">
        <v>1738</v>
      </c>
      <c r="C2015" s="6" t="s">
        <v>1415</v>
      </c>
      <c r="G2015" s="8" t="n">
        <v>500</v>
      </c>
    </row>
    <row r="2016" customFormat="false" ht="15" hidden="true" customHeight="true" outlineLevel="1" collapsed="false">
      <c r="B2016" s="84" t="s">
        <v>1739</v>
      </c>
      <c r="G2016" s="8" t="n">
        <v>3000</v>
      </c>
    </row>
    <row r="2017" customFormat="false" ht="15" hidden="true" customHeight="true" outlineLevel="1" collapsed="false">
      <c r="B2017" s="84" t="s">
        <v>1740</v>
      </c>
      <c r="G2017" s="8" t="n">
        <v>20000</v>
      </c>
    </row>
    <row r="2018" customFormat="false" ht="15" hidden="true" customHeight="true" outlineLevel="1" collapsed="false">
      <c r="B2018" s="84" t="s">
        <v>1741</v>
      </c>
      <c r="G2018" s="8" t="n">
        <v>1500</v>
      </c>
    </row>
    <row r="2019" customFormat="false" ht="15" hidden="true" customHeight="true" outlineLevel="1" collapsed="false">
      <c r="B2019" s="84" t="s">
        <v>1742</v>
      </c>
      <c r="G2019" s="8" t="n">
        <v>500</v>
      </c>
    </row>
    <row r="2020" customFormat="false" ht="15" hidden="true" customHeight="true" outlineLevel="1" collapsed="false">
      <c r="B2020" s="84" t="s">
        <v>1743</v>
      </c>
      <c r="G2020" s="8" t="n">
        <v>100</v>
      </c>
    </row>
    <row r="2021" customFormat="false" ht="15" hidden="true" customHeight="true" outlineLevel="1" collapsed="false">
      <c r="B2021" s="84" t="s">
        <v>1744</v>
      </c>
      <c r="G2021" s="8" t="n">
        <v>700</v>
      </c>
    </row>
    <row r="2022" customFormat="false" ht="15" hidden="true" customHeight="true" outlineLevel="0" collapsed="false"/>
    <row r="2023" s="259" customFormat="true" ht="15" hidden="false" customHeight="true" outlineLevel="0" collapsed="false">
      <c r="A2023" s="302"/>
      <c r="B2023" s="316"/>
      <c r="C2023" s="317"/>
      <c r="D2023" s="318"/>
      <c r="E2023" s="318"/>
      <c r="F2023" s="319"/>
      <c r="G2023" s="319"/>
    </row>
    <row r="2024" s="259" customFormat="true" ht="15" hidden="false" customHeight="true" outlineLevel="0" collapsed="false">
      <c r="A2024" s="132"/>
      <c r="B2024" s="132"/>
      <c r="C2024" s="106"/>
      <c r="D2024" s="320"/>
      <c r="E2024" s="320"/>
      <c r="F2024" s="321"/>
      <c r="G2024" s="321"/>
      <c r="H2024" s="132"/>
    </row>
    <row r="2025" customFormat="false" ht="15" hidden="false" customHeight="true" outlineLevel="0" collapsed="false">
      <c r="A2025" s="132"/>
      <c r="B2025" s="132"/>
      <c r="C2025" s="106"/>
      <c r="D2025" s="320"/>
      <c r="E2025" s="320"/>
      <c r="F2025" s="321"/>
      <c r="G2025" s="321"/>
      <c r="H2025" s="132"/>
      <c r="I2025" s="259"/>
      <c r="J2025" s="259"/>
      <c r="K2025" s="259"/>
      <c r="L2025" s="259"/>
      <c r="M2025" s="259"/>
      <c r="N2025" s="259"/>
      <c r="O2025" s="259"/>
      <c r="P2025" s="259"/>
      <c r="Q2025" s="259"/>
    </row>
    <row r="2026" customFormat="false" ht="15" hidden="false" customHeight="true" outlineLevel="0" collapsed="false">
      <c r="A2026" s="132"/>
      <c r="B2026" s="132"/>
      <c r="C2026" s="106"/>
      <c r="D2026" s="320"/>
      <c r="E2026" s="320"/>
      <c r="F2026" s="321"/>
      <c r="G2026" s="321"/>
      <c r="H2026" s="132"/>
      <c r="I2026" s="259"/>
      <c r="J2026" s="259"/>
      <c r="K2026" s="259"/>
      <c r="L2026" s="259"/>
      <c r="M2026" s="259"/>
      <c r="N2026" s="259"/>
      <c r="O2026" s="259"/>
      <c r="P2026" s="259"/>
      <c r="Q2026" s="259"/>
    </row>
    <row r="2027" customFormat="false" ht="15" hidden="false" customHeight="true" outlineLevel="0" collapsed="false">
      <c r="A2027" s="132"/>
      <c r="B2027" s="132"/>
      <c r="C2027" s="106"/>
      <c r="D2027" s="320"/>
      <c r="E2027" s="320"/>
      <c r="F2027" s="321"/>
      <c r="G2027" s="321"/>
      <c r="H2027" s="132"/>
      <c r="I2027" s="259"/>
      <c r="J2027" s="259"/>
      <c r="K2027" s="259"/>
      <c r="L2027" s="259"/>
      <c r="M2027" s="259"/>
      <c r="N2027" s="259"/>
      <c r="O2027" s="259"/>
      <c r="P2027" s="259"/>
      <c r="Q2027" s="259"/>
    </row>
    <row r="2028" customFormat="false" ht="15" hidden="false" customHeight="true" outlineLevel="0" collapsed="false">
      <c r="A2028" s="132"/>
      <c r="B2028" s="132"/>
      <c r="C2028" s="106"/>
      <c r="D2028" s="320"/>
      <c r="E2028" s="320"/>
      <c r="F2028" s="321"/>
      <c r="G2028" s="321"/>
      <c r="H2028" s="132"/>
      <c r="I2028" s="259"/>
      <c r="J2028" s="259"/>
      <c r="K2028" s="259"/>
      <c r="L2028" s="259"/>
      <c r="M2028" s="259"/>
      <c r="N2028" s="259"/>
      <c r="O2028" s="259"/>
      <c r="P2028" s="259"/>
      <c r="Q2028" s="259"/>
    </row>
    <row r="2029" customFormat="false" ht="15" hidden="false" customHeight="true" outlineLevel="0" collapsed="false">
      <c r="A2029" s="132"/>
      <c r="B2029" s="132"/>
      <c r="C2029" s="106"/>
      <c r="D2029" s="320"/>
      <c r="E2029" s="320"/>
      <c r="F2029" s="321"/>
      <c r="G2029" s="321"/>
      <c r="H2029" s="132"/>
      <c r="I2029" s="259"/>
      <c r="J2029" s="259"/>
      <c r="K2029" s="259"/>
      <c r="L2029" s="259"/>
      <c r="M2029" s="259"/>
      <c r="N2029" s="259"/>
      <c r="O2029" s="259"/>
      <c r="P2029" s="259"/>
      <c r="Q2029" s="259"/>
    </row>
    <row r="2030" customFormat="false" ht="15" hidden="false" customHeight="true" outlineLevel="0" collapsed="false">
      <c r="A2030" s="132"/>
      <c r="B2030" s="132"/>
      <c r="C2030" s="106"/>
      <c r="D2030" s="320"/>
      <c r="E2030" s="320"/>
      <c r="F2030" s="321"/>
      <c r="G2030" s="321"/>
      <c r="H2030" s="132"/>
      <c r="I2030" s="259"/>
      <c r="J2030" s="259"/>
      <c r="K2030" s="259"/>
      <c r="L2030" s="259"/>
      <c r="M2030" s="259"/>
      <c r="N2030" s="259"/>
      <c r="O2030" s="259"/>
      <c r="P2030" s="259"/>
      <c r="Q2030" s="259"/>
    </row>
    <row r="2031" customFormat="false" ht="15" hidden="false" customHeight="true" outlineLevel="0" collapsed="false">
      <c r="A2031" s="132"/>
      <c r="B2031" s="132"/>
      <c r="C2031" s="106"/>
      <c r="D2031" s="320"/>
      <c r="E2031" s="320"/>
      <c r="F2031" s="321"/>
      <c r="G2031" s="321"/>
      <c r="H2031" s="132"/>
      <c r="I2031" s="259"/>
      <c r="J2031" s="259"/>
      <c r="K2031" s="259"/>
      <c r="L2031" s="259"/>
      <c r="M2031" s="259"/>
      <c r="N2031" s="259"/>
      <c r="O2031" s="259"/>
      <c r="P2031" s="259"/>
      <c r="Q2031" s="259"/>
    </row>
    <row r="2032" customFormat="false" ht="15" hidden="false" customHeight="true" outlineLevel="0" collapsed="false">
      <c r="A2032" s="132"/>
      <c r="B2032" s="132"/>
      <c r="C2032" s="106"/>
      <c r="D2032" s="320"/>
      <c r="E2032" s="320"/>
      <c r="F2032" s="321"/>
      <c r="G2032" s="321"/>
      <c r="H2032" s="132"/>
      <c r="I2032" s="259"/>
      <c r="J2032" s="259"/>
      <c r="K2032" s="259"/>
      <c r="L2032" s="259"/>
      <c r="M2032" s="259"/>
      <c r="N2032" s="259"/>
      <c r="O2032" s="259"/>
      <c r="P2032" s="259"/>
      <c r="Q2032" s="259"/>
    </row>
    <row r="2033" customFormat="false" ht="15" hidden="false" customHeight="true" outlineLevel="0" collapsed="false">
      <c r="A2033" s="132"/>
      <c r="B2033" s="132"/>
      <c r="C2033" s="106"/>
      <c r="D2033" s="320"/>
      <c r="E2033" s="320"/>
      <c r="F2033" s="321"/>
      <c r="G2033" s="321"/>
      <c r="H2033" s="132"/>
      <c r="I2033" s="259"/>
      <c r="J2033" s="259"/>
      <c r="K2033" s="259"/>
      <c r="L2033" s="259"/>
      <c r="M2033" s="259"/>
      <c r="N2033" s="259"/>
      <c r="O2033" s="259"/>
      <c r="P2033" s="259"/>
      <c r="Q2033" s="259"/>
    </row>
    <row r="2034" customFormat="false" ht="15" hidden="false" customHeight="true" outlineLevel="0" collapsed="false">
      <c r="A2034" s="132"/>
      <c r="B2034" s="132"/>
      <c r="C2034" s="106"/>
      <c r="D2034" s="320"/>
      <c r="E2034" s="320"/>
      <c r="F2034" s="321"/>
      <c r="G2034" s="321"/>
      <c r="H2034" s="132"/>
      <c r="I2034" s="259"/>
      <c r="J2034" s="259"/>
      <c r="K2034" s="259"/>
      <c r="L2034" s="259"/>
      <c r="M2034" s="259"/>
      <c r="N2034" s="259"/>
      <c r="O2034" s="259"/>
      <c r="P2034" s="259"/>
      <c r="Q2034" s="259"/>
    </row>
    <row r="2035" customFormat="false" ht="15" hidden="false" customHeight="true" outlineLevel="0" collapsed="false">
      <c r="A2035" s="132"/>
      <c r="B2035" s="132"/>
      <c r="C2035" s="106"/>
      <c r="D2035" s="320"/>
      <c r="E2035" s="320"/>
      <c r="F2035" s="321"/>
      <c r="G2035" s="321"/>
      <c r="H2035" s="132"/>
      <c r="I2035" s="259"/>
      <c r="J2035" s="259"/>
      <c r="K2035" s="259"/>
      <c r="L2035" s="259"/>
      <c r="M2035" s="259"/>
      <c r="N2035" s="259"/>
      <c r="O2035" s="259"/>
      <c r="P2035" s="259"/>
      <c r="Q2035" s="259"/>
    </row>
    <row r="2036" customFormat="false" ht="15" hidden="false" customHeight="true" outlineLevel="0" collapsed="false">
      <c r="A2036" s="132"/>
      <c r="B2036" s="132"/>
      <c r="C2036" s="106"/>
      <c r="D2036" s="320"/>
      <c r="E2036" s="320"/>
      <c r="F2036" s="321"/>
      <c r="G2036" s="321"/>
      <c r="H2036" s="132"/>
      <c r="I2036" s="259"/>
      <c r="J2036" s="259"/>
      <c r="K2036" s="259"/>
      <c r="L2036" s="259"/>
      <c r="M2036" s="259"/>
      <c r="N2036" s="259"/>
      <c r="O2036" s="259"/>
      <c r="P2036" s="259"/>
      <c r="Q2036" s="259"/>
    </row>
    <row r="2037" customFormat="false" ht="15" hidden="false" customHeight="true" outlineLevel="0" collapsed="false">
      <c r="A2037" s="132"/>
      <c r="B2037" s="132"/>
      <c r="C2037" s="106"/>
      <c r="D2037" s="320"/>
      <c r="E2037" s="320"/>
      <c r="F2037" s="321"/>
      <c r="G2037" s="321"/>
      <c r="H2037" s="132"/>
      <c r="I2037" s="259"/>
      <c r="J2037" s="259"/>
      <c r="K2037" s="259"/>
      <c r="L2037" s="259"/>
      <c r="M2037" s="259"/>
      <c r="N2037" s="259"/>
      <c r="O2037" s="259"/>
      <c r="P2037" s="259"/>
      <c r="Q2037" s="259"/>
    </row>
    <row r="2038" customFormat="false" ht="15" hidden="false" customHeight="true" outlineLevel="0" collapsed="false">
      <c r="A2038" s="132"/>
      <c r="B2038" s="132"/>
      <c r="C2038" s="106"/>
      <c r="D2038" s="320"/>
      <c r="E2038" s="320"/>
      <c r="F2038" s="321"/>
      <c r="G2038" s="321"/>
      <c r="H2038" s="132"/>
      <c r="I2038" s="259"/>
      <c r="J2038" s="259"/>
      <c r="K2038" s="259"/>
      <c r="L2038" s="259"/>
      <c r="M2038" s="259"/>
      <c r="N2038" s="259"/>
      <c r="O2038" s="259"/>
      <c r="P2038" s="259"/>
      <c r="Q2038" s="259"/>
    </row>
    <row r="2039" customFormat="false" ht="15" hidden="false" customHeight="true" outlineLevel="0" collapsed="false">
      <c r="A2039" s="132"/>
      <c r="B2039" s="132"/>
      <c r="C2039" s="106"/>
      <c r="D2039" s="320"/>
      <c r="E2039" s="320"/>
      <c r="F2039" s="321"/>
      <c r="G2039" s="321"/>
      <c r="H2039" s="132"/>
      <c r="I2039" s="259"/>
      <c r="J2039" s="259"/>
      <c r="K2039" s="259"/>
      <c r="L2039" s="259"/>
      <c r="M2039" s="259"/>
      <c r="N2039" s="259"/>
      <c r="O2039" s="259"/>
      <c r="P2039" s="259"/>
      <c r="Q2039" s="259"/>
    </row>
    <row r="2040" customFormat="false" ht="15" hidden="false" customHeight="true" outlineLevel="0" collapsed="false">
      <c r="A2040" s="132"/>
      <c r="B2040" s="132"/>
      <c r="C2040" s="106"/>
      <c r="D2040" s="320"/>
      <c r="E2040" s="320"/>
      <c r="F2040" s="321"/>
      <c r="G2040" s="321"/>
      <c r="H2040" s="132"/>
      <c r="I2040" s="259"/>
      <c r="J2040" s="259"/>
      <c r="K2040" s="259"/>
      <c r="L2040" s="259"/>
      <c r="M2040" s="259"/>
      <c r="N2040" s="259"/>
      <c r="O2040" s="259"/>
      <c r="P2040" s="259"/>
      <c r="Q2040" s="259"/>
    </row>
    <row r="2041" customFormat="false" ht="15" hidden="false" customHeight="true" outlineLevel="0" collapsed="false">
      <c r="A2041" s="132"/>
      <c r="B2041" s="132"/>
      <c r="C2041" s="106"/>
      <c r="D2041" s="320"/>
      <c r="E2041" s="320"/>
      <c r="F2041" s="321"/>
      <c r="G2041" s="321"/>
      <c r="H2041" s="132"/>
      <c r="I2041" s="259"/>
      <c r="J2041" s="259"/>
      <c r="K2041" s="259"/>
      <c r="L2041" s="259"/>
      <c r="M2041" s="259"/>
      <c r="N2041" s="259"/>
      <c r="O2041" s="259"/>
      <c r="P2041" s="259"/>
      <c r="Q2041" s="259"/>
    </row>
    <row r="2042" customFormat="false" ht="15" hidden="false" customHeight="true" outlineLevel="0" collapsed="false">
      <c r="A2042" s="132"/>
      <c r="B2042" s="132"/>
      <c r="C2042" s="106"/>
      <c r="D2042" s="320"/>
      <c r="E2042" s="320"/>
      <c r="F2042" s="321"/>
      <c r="G2042" s="321"/>
      <c r="H2042" s="132"/>
      <c r="I2042" s="259"/>
      <c r="J2042" s="259"/>
      <c r="K2042" s="259"/>
      <c r="L2042" s="259"/>
      <c r="M2042" s="259"/>
      <c r="N2042" s="259"/>
      <c r="O2042" s="259"/>
      <c r="P2042" s="259"/>
      <c r="Q2042" s="259"/>
    </row>
    <row r="2043" customFormat="false" ht="15" hidden="false" customHeight="true" outlineLevel="0" collapsed="false">
      <c r="A2043" s="132"/>
      <c r="B2043" s="132"/>
      <c r="C2043" s="106"/>
      <c r="D2043" s="320"/>
      <c r="E2043" s="320"/>
      <c r="F2043" s="321"/>
      <c r="G2043" s="321"/>
      <c r="H2043" s="132"/>
      <c r="I2043" s="259"/>
      <c r="J2043" s="259"/>
      <c r="K2043" s="259"/>
      <c r="L2043" s="259"/>
      <c r="M2043" s="259"/>
      <c r="N2043" s="259"/>
      <c r="O2043" s="259"/>
      <c r="P2043" s="259"/>
      <c r="Q2043" s="259"/>
    </row>
    <row r="2044" customFormat="false" ht="15" hidden="false" customHeight="true" outlineLevel="0" collapsed="false">
      <c r="A2044" s="132"/>
      <c r="B2044" s="132"/>
      <c r="C2044" s="106"/>
      <c r="D2044" s="320"/>
      <c r="E2044" s="320"/>
      <c r="F2044" s="321"/>
      <c r="G2044" s="321"/>
      <c r="H2044" s="132"/>
      <c r="I2044" s="259"/>
      <c r="J2044" s="259"/>
      <c r="K2044" s="259"/>
      <c r="L2044" s="259"/>
      <c r="M2044" s="259"/>
      <c r="N2044" s="259"/>
      <c r="O2044" s="259"/>
      <c r="P2044" s="259"/>
      <c r="Q2044" s="259"/>
    </row>
    <row r="2045" customFormat="false" ht="15" hidden="false" customHeight="true" outlineLevel="0" collapsed="false">
      <c r="A2045" s="132"/>
      <c r="B2045" s="132"/>
      <c r="C2045" s="106"/>
      <c r="D2045" s="320"/>
      <c r="E2045" s="320"/>
      <c r="F2045" s="321"/>
      <c r="G2045" s="321"/>
      <c r="H2045" s="132"/>
      <c r="I2045" s="259"/>
      <c r="J2045" s="259"/>
      <c r="K2045" s="259"/>
      <c r="L2045" s="259"/>
      <c r="M2045" s="259"/>
      <c r="N2045" s="259"/>
      <c r="O2045" s="259"/>
      <c r="P2045" s="259"/>
      <c r="Q2045" s="259"/>
    </row>
    <row r="2046" customFormat="false" ht="15" hidden="false" customHeight="true" outlineLevel="0" collapsed="false">
      <c r="A2046" s="71"/>
      <c r="B2046" s="71"/>
      <c r="C2046" s="273"/>
      <c r="D2046" s="322"/>
      <c r="E2046" s="322"/>
      <c r="F2046" s="323"/>
      <c r="G2046" s="323"/>
      <c r="H2046" s="71"/>
    </row>
    <row r="2047" customFormat="false" ht="15" hidden="false" customHeight="true" outlineLevel="0" collapsed="false">
      <c r="A2047" s="71"/>
      <c r="B2047" s="71"/>
      <c r="C2047" s="273"/>
      <c r="D2047" s="322"/>
      <c r="E2047" s="322"/>
      <c r="F2047" s="323"/>
      <c r="G2047" s="323"/>
      <c r="H2047" s="71"/>
    </row>
    <row r="2048" customFormat="false" ht="15" hidden="false" customHeight="true" outlineLevel="0" collapsed="false">
      <c r="A2048" s="71"/>
      <c r="B2048" s="71"/>
      <c r="C2048" s="273"/>
      <c r="D2048" s="322"/>
      <c r="E2048" s="322"/>
      <c r="F2048" s="323"/>
      <c r="G2048" s="323"/>
      <c r="H2048" s="71"/>
    </row>
    <row r="2049" customFormat="false" ht="15" hidden="false" customHeight="true" outlineLevel="0" collapsed="false">
      <c r="A2049" s="71"/>
      <c r="B2049" s="71"/>
      <c r="C2049" s="273"/>
      <c r="D2049" s="322"/>
      <c r="E2049" s="322"/>
      <c r="F2049" s="323"/>
      <c r="G2049" s="323"/>
      <c r="H2049" s="71"/>
    </row>
    <row r="2050" customFormat="false" ht="15" hidden="false" customHeight="true" outlineLevel="0" collapsed="false">
      <c r="A2050" s="71"/>
      <c r="B2050" s="71"/>
      <c r="C2050" s="273"/>
      <c r="D2050" s="322"/>
      <c r="E2050" s="322"/>
      <c r="F2050" s="323"/>
      <c r="G2050" s="323"/>
      <c r="H2050" s="71"/>
    </row>
    <row r="2051" customFormat="false" ht="15" hidden="false" customHeight="true" outlineLevel="0" collapsed="false">
      <c r="A2051" s="71"/>
      <c r="B2051" s="71"/>
      <c r="C2051" s="273"/>
      <c r="D2051" s="322"/>
      <c r="E2051" s="322"/>
      <c r="F2051" s="323"/>
      <c r="G2051" s="323"/>
      <c r="H2051" s="71"/>
    </row>
    <row r="2052" customFormat="false" ht="15" hidden="false" customHeight="true" outlineLevel="0" collapsed="false">
      <c r="A2052" s="71"/>
      <c r="B2052" s="71"/>
      <c r="C2052" s="273"/>
      <c r="D2052" s="322"/>
      <c r="E2052" s="322"/>
      <c r="F2052" s="323"/>
      <c r="G2052" s="323"/>
      <c r="H2052" s="71"/>
    </row>
    <row r="2053" customFormat="false" ht="15" hidden="false" customHeight="true" outlineLevel="0" collapsed="false">
      <c r="A2053" s="71"/>
      <c r="B2053" s="71"/>
      <c r="C2053" s="273"/>
      <c r="D2053" s="322"/>
      <c r="E2053" s="322"/>
      <c r="F2053" s="323"/>
      <c r="G2053" s="323"/>
      <c r="H2053" s="71"/>
    </row>
    <row r="2054" customFormat="false" ht="15" hidden="false" customHeight="true" outlineLevel="0" collapsed="false">
      <c r="A2054" s="71"/>
      <c r="B2054" s="71"/>
      <c r="C2054" s="273"/>
      <c r="D2054" s="322"/>
      <c r="E2054" s="322"/>
      <c r="F2054" s="323"/>
      <c r="G2054" s="323"/>
      <c r="H2054" s="71"/>
    </row>
    <row r="2055" customFormat="false" ht="15" hidden="false" customHeight="true" outlineLevel="0" collapsed="false">
      <c r="A2055" s="71"/>
      <c r="B2055" s="71"/>
      <c r="C2055" s="273"/>
      <c r="D2055" s="322"/>
      <c r="E2055" s="322"/>
      <c r="F2055" s="323"/>
      <c r="G2055" s="323"/>
      <c r="H2055" s="71"/>
    </row>
    <row r="2056" customFormat="false" ht="15" hidden="false" customHeight="true" outlineLevel="0" collapsed="false">
      <c r="A2056" s="71"/>
      <c r="B2056" s="71"/>
      <c r="C2056" s="273"/>
      <c r="D2056" s="322"/>
      <c r="E2056" s="322"/>
      <c r="F2056" s="323"/>
      <c r="G2056" s="323"/>
      <c r="H2056" s="71"/>
    </row>
    <row r="2057" customFormat="false" ht="15" hidden="false" customHeight="true" outlineLevel="0" collapsed="false">
      <c r="A2057" s="71"/>
      <c r="B2057" s="71"/>
      <c r="C2057" s="273"/>
      <c r="D2057" s="322"/>
      <c r="E2057" s="322"/>
      <c r="F2057" s="323"/>
      <c r="G2057" s="323"/>
      <c r="H2057" s="71"/>
    </row>
    <row r="2058" customFormat="false" ht="15" hidden="false" customHeight="true" outlineLevel="0" collapsed="false">
      <c r="A2058" s="71"/>
      <c r="B2058" s="71"/>
      <c r="C2058" s="273"/>
      <c r="D2058" s="322"/>
      <c r="E2058" s="322"/>
      <c r="F2058" s="323"/>
      <c r="G2058" s="323"/>
      <c r="H2058" s="71"/>
    </row>
    <row r="2059" customFormat="false" ht="15" hidden="false" customHeight="true" outlineLevel="0" collapsed="false">
      <c r="A2059" s="71"/>
      <c r="B2059" s="71"/>
      <c r="C2059" s="273"/>
      <c r="D2059" s="322"/>
      <c r="E2059" s="322"/>
      <c r="F2059" s="323"/>
      <c r="G2059" s="323"/>
      <c r="H2059" s="71"/>
    </row>
    <row r="2060" customFormat="false" ht="15" hidden="false" customHeight="true" outlineLevel="0" collapsed="false">
      <c r="A2060" s="71"/>
      <c r="B2060" s="71"/>
      <c r="C2060" s="273"/>
      <c r="D2060" s="322"/>
      <c r="E2060" s="322"/>
      <c r="F2060" s="323"/>
      <c r="G2060" s="323"/>
      <c r="H2060" s="71"/>
    </row>
    <row r="2061" customFormat="false" ht="15" hidden="false" customHeight="true" outlineLevel="0" collapsed="false">
      <c r="A2061" s="71"/>
      <c r="B2061" s="71"/>
      <c r="C2061" s="273"/>
      <c r="D2061" s="322"/>
      <c r="E2061" s="322"/>
      <c r="F2061" s="323"/>
      <c r="G2061" s="323"/>
      <c r="H2061" s="71"/>
    </row>
    <row r="2062" customFormat="false" ht="15" hidden="false" customHeight="true" outlineLevel="0" collapsed="false">
      <c r="A2062" s="71"/>
      <c r="B2062" s="71"/>
      <c r="C2062" s="273"/>
      <c r="D2062" s="322"/>
      <c r="E2062" s="322"/>
      <c r="F2062" s="323"/>
      <c r="G2062" s="323"/>
      <c r="H2062" s="71"/>
    </row>
    <row r="2063" customFormat="false" ht="15" hidden="false" customHeight="true" outlineLevel="0" collapsed="false">
      <c r="A2063" s="71"/>
      <c r="B2063" s="71"/>
      <c r="C2063" s="273"/>
      <c r="D2063" s="322"/>
      <c r="E2063" s="322"/>
      <c r="F2063" s="323"/>
      <c r="G2063" s="323"/>
      <c r="H2063" s="71"/>
    </row>
    <row r="2064" customFormat="false" ht="15" hidden="false" customHeight="true" outlineLevel="0" collapsed="false">
      <c r="A2064" s="71"/>
      <c r="B2064" s="71"/>
      <c r="C2064" s="273"/>
      <c r="D2064" s="322"/>
      <c r="E2064" s="322"/>
      <c r="F2064" s="323"/>
      <c r="G2064" s="323"/>
      <c r="H2064" s="71"/>
    </row>
    <row r="2065" customFormat="false" ht="15" hidden="false" customHeight="true" outlineLevel="0" collapsed="false">
      <c r="A2065" s="71"/>
      <c r="B2065" s="71"/>
      <c r="C2065" s="273"/>
      <c r="D2065" s="322"/>
      <c r="E2065" s="322"/>
      <c r="F2065" s="323"/>
      <c r="G2065" s="323"/>
      <c r="H2065" s="71"/>
    </row>
    <row r="2066" customFormat="false" ht="15" hidden="false" customHeight="true" outlineLevel="0" collapsed="false">
      <c r="A2066" s="71"/>
      <c r="B2066" s="71"/>
      <c r="C2066" s="273"/>
      <c r="D2066" s="322"/>
      <c r="E2066" s="322"/>
      <c r="F2066" s="323"/>
      <c r="G2066" s="323"/>
      <c r="H2066" s="71"/>
    </row>
    <row r="2067" customFormat="false" ht="15" hidden="false" customHeight="true" outlineLevel="0" collapsed="false">
      <c r="A2067" s="71"/>
      <c r="B2067" s="71"/>
      <c r="C2067" s="273"/>
      <c r="D2067" s="322"/>
      <c r="E2067" s="322"/>
      <c r="F2067" s="323"/>
      <c r="G2067" s="323"/>
      <c r="H2067" s="71"/>
    </row>
    <row r="2068" customFormat="false" ht="15" hidden="false" customHeight="true" outlineLevel="0" collapsed="false">
      <c r="A2068" s="71"/>
      <c r="B2068" s="71"/>
      <c r="C2068" s="273"/>
      <c r="D2068" s="322"/>
      <c r="E2068" s="322"/>
      <c r="F2068" s="323"/>
      <c r="G2068" s="323"/>
      <c r="H2068" s="71"/>
    </row>
    <row r="2069" customFormat="false" ht="15" hidden="false" customHeight="true" outlineLevel="0" collapsed="false">
      <c r="A2069" s="71"/>
      <c r="B2069" s="71"/>
      <c r="C2069" s="273"/>
      <c r="D2069" s="322"/>
      <c r="E2069" s="322"/>
      <c r="F2069" s="323"/>
      <c r="G2069" s="323"/>
      <c r="H2069" s="71"/>
    </row>
    <row r="2070" customFormat="false" ht="15" hidden="false" customHeight="true" outlineLevel="0" collapsed="false">
      <c r="A2070" s="71"/>
      <c r="B2070" s="71"/>
      <c r="C2070" s="273"/>
      <c r="D2070" s="322"/>
      <c r="E2070" s="322"/>
      <c r="F2070" s="323"/>
      <c r="G2070" s="323"/>
      <c r="H2070" s="71"/>
    </row>
    <row r="2071" customFormat="false" ht="15" hidden="false" customHeight="true" outlineLevel="0" collapsed="false">
      <c r="A2071" s="71"/>
      <c r="B2071" s="71"/>
      <c r="C2071" s="273"/>
      <c r="D2071" s="322"/>
      <c r="E2071" s="322"/>
      <c r="F2071" s="323"/>
      <c r="G2071" s="323"/>
      <c r="H2071" s="71"/>
    </row>
    <row r="2072" customFormat="false" ht="15" hidden="false" customHeight="true" outlineLevel="0" collapsed="false">
      <c r="A2072" s="71"/>
      <c r="B2072" s="71"/>
      <c r="C2072" s="273"/>
      <c r="D2072" s="322"/>
      <c r="E2072" s="322"/>
      <c r="F2072" s="323"/>
      <c r="G2072" s="323"/>
      <c r="H2072" s="71"/>
    </row>
    <row r="2073" customFormat="false" ht="15" hidden="false" customHeight="true" outlineLevel="0" collapsed="false">
      <c r="A2073" s="71"/>
      <c r="B2073" s="71"/>
      <c r="C2073" s="273"/>
      <c r="D2073" s="322"/>
      <c r="E2073" s="322"/>
      <c r="F2073" s="323"/>
      <c r="G2073" s="323"/>
      <c r="H2073" s="71"/>
    </row>
    <row r="2074" customFormat="false" ht="15" hidden="false" customHeight="true" outlineLevel="0" collapsed="false">
      <c r="A2074" s="71"/>
      <c r="B2074" s="71"/>
      <c r="C2074" s="273"/>
      <c r="D2074" s="322"/>
      <c r="E2074" s="322"/>
      <c r="F2074" s="323"/>
      <c r="G2074" s="323"/>
      <c r="H2074" s="71"/>
    </row>
    <row r="2075" customFormat="false" ht="15" hidden="false" customHeight="true" outlineLevel="0" collapsed="false">
      <c r="A2075" s="71"/>
      <c r="B2075" s="71"/>
      <c r="C2075" s="273"/>
      <c r="D2075" s="322"/>
      <c r="E2075" s="322"/>
      <c r="F2075" s="323"/>
      <c r="G2075" s="323"/>
      <c r="H2075" s="71"/>
    </row>
    <row r="2076" customFormat="false" ht="15" hidden="false" customHeight="true" outlineLevel="0" collapsed="false">
      <c r="A2076" s="71"/>
      <c r="B2076" s="71"/>
      <c r="C2076" s="273"/>
      <c r="D2076" s="322"/>
      <c r="E2076" s="322"/>
      <c r="F2076" s="323"/>
      <c r="G2076" s="323"/>
      <c r="H2076" s="71"/>
    </row>
    <row r="2077" customFormat="false" ht="15" hidden="false" customHeight="true" outlineLevel="0" collapsed="false">
      <c r="A2077" s="71"/>
      <c r="B2077" s="71"/>
      <c r="C2077" s="273"/>
      <c r="D2077" s="322"/>
      <c r="E2077" s="322"/>
      <c r="F2077" s="323"/>
      <c r="G2077" s="323"/>
      <c r="H2077" s="71"/>
    </row>
    <row r="2078" customFormat="false" ht="15" hidden="false" customHeight="true" outlineLevel="0" collapsed="false">
      <c r="A2078" s="71"/>
      <c r="B2078" s="71"/>
      <c r="C2078" s="273"/>
      <c r="D2078" s="322"/>
      <c r="E2078" s="322"/>
      <c r="F2078" s="323"/>
      <c r="G2078" s="323"/>
      <c r="H2078" s="71"/>
    </row>
    <row r="2079" customFormat="false" ht="15" hidden="false" customHeight="true" outlineLevel="0" collapsed="false">
      <c r="A2079" s="71"/>
      <c r="B2079" s="71"/>
      <c r="C2079" s="273"/>
      <c r="D2079" s="322"/>
      <c r="E2079" s="322"/>
      <c r="F2079" s="323"/>
      <c r="G2079" s="323"/>
      <c r="H2079" s="71"/>
    </row>
    <row r="2080" customFormat="false" ht="15" hidden="false" customHeight="true" outlineLevel="0" collapsed="false">
      <c r="A2080" s="71"/>
      <c r="B2080" s="71"/>
      <c r="C2080" s="273"/>
      <c r="D2080" s="322"/>
      <c r="E2080" s="322"/>
      <c r="F2080" s="323"/>
      <c r="G2080" s="323"/>
      <c r="H2080" s="71"/>
    </row>
    <row r="2081" customFormat="false" ht="15" hidden="false" customHeight="true" outlineLevel="0" collapsed="false">
      <c r="A2081" s="71"/>
      <c r="B2081" s="71"/>
      <c r="C2081" s="273"/>
      <c r="D2081" s="322"/>
      <c r="E2081" s="322"/>
      <c r="F2081" s="323"/>
      <c r="G2081" s="323"/>
      <c r="H2081" s="71"/>
    </row>
    <row r="2082" customFormat="false" ht="15" hidden="false" customHeight="true" outlineLevel="0" collapsed="false">
      <c r="A2082" s="71"/>
      <c r="B2082" s="71"/>
      <c r="C2082" s="273"/>
      <c r="D2082" s="322"/>
      <c r="E2082" s="322"/>
      <c r="F2082" s="323"/>
      <c r="G2082" s="323"/>
      <c r="H2082" s="71"/>
    </row>
    <row r="2083" customFormat="false" ht="15" hidden="false" customHeight="true" outlineLevel="0" collapsed="false">
      <c r="A2083" s="71"/>
      <c r="B2083" s="71"/>
      <c r="C2083" s="273"/>
      <c r="D2083" s="322"/>
      <c r="E2083" s="322"/>
      <c r="F2083" s="323"/>
      <c r="G2083" s="323"/>
      <c r="H2083" s="71"/>
    </row>
    <row r="2084" customFormat="false" ht="15" hidden="false" customHeight="true" outlineLevel="0" collapsed="false">
      <c r="A2084" s="71"/>
      <c r="B2084" s="71"/>
      <c r="C2084" s="273"/>
      <c r="D2084" s="322"/>
      <c r="E2084" s="322"/>
      <c r="F2084" s="323"/>
      <c r="G2084" s="323"/>
      <c r="H2084" s="71"/>
    </row>
    <row r="2085" customFormat="false" ht="15" hidden="false" customHeight="true" outlineLevel="0" collapsed="false">
      <c r="A2085" s="71"/>
      <c r="B2085" s="71"/>
      <c r="C2085" s="273"/>
      <c r="D2085" s="322"/>
      <c r="E2085" s="322"/>
      <c r="F2085" s="323"/>
      <c r="G2085" s="323"/>
      <c r="H2085" s="71"/>
    </row>
    <row r="2086" customFormat="false" ht="15" hidden="false" customHeight="true" outlineLevel="0" collapsed="false">
      <c r="A2086" s="71"/>
      <c r="B2086" s="71"/>
      <c r="C2086" s="273"/>
      <c r="D2086" s="322"/>
      <c r="E2086" s="322"/>
      <c r="F2086" s="323"/>
      <c r="G2086" s="323"/>
      <c r="H2086" s="71"/>
    </row>
    <row r="2087" customFormat="false" ht="15" hidden="false" customHeight="true" outlineLevel="0" collapsed="false">
      <c r="A2087" s="71"/>
      <c r="B2087" s="71"/>
      <c r="C2087" s="273"/>
      <c r="D2087" s="322"/>
      <c r="E2087" s="322"/>
      <c r="F2087" s="323"/>
      <c r="G2087" s="323"/>
      <c r="H2087" s="71"/>
    </row>
    <row r="2088" customFormat="false" ht="15" hidden="false" customHeight="true" outlineLevel="0" collapsed="false">
      <c r="A2088" s="71"/>
      <c r="B2088" s="71"/>
      <c r="C2088" s="273"/>
      <c r="D2088" s="322"/>
      <c r="E2088" s="322"/>
      <c r="F2088" s="323"/>
      <c r="G2088" s="323"/>
      <c r="H2088" s="71"/>
    </row>
    <row r="2089" customFormat="false" ht="15" hidden="false" customHeight="true" outlineLevel="0" collapsed="false">
      <c r="A2089" s="71"/>
      <c r="B2089" s="71"/>
      <c r="C2089" s="273"/>
      <c r="D2089" s="322"/>
      <c r="E2089" s="322"/>
      <c r="F2089" s="323"/>
      <c r="G2089" s="323"/>
      <c r="H2089" s="71"/>
    </row>
    <row r="2090" customFormat="false" ht="15" hidden="false" customHeight="true" outlineLevel="0" collapsed="false">
      <c r="A2090" s="71"/>
      <c r="B2090" s="71"/>
      <c r="C2090" s="273"/>
      <c r="D2090" s="322"/>
      <c r="E2090" s="322"/>
      <c r="F2090" s="323"/>
      <c r="G2090" s="323"/>
      <c r="H2090" s="71"/>
    </row>
    <row r="2091" customFormat="false" ht="15" hidden="false" customHeight="true" outlineLevel="0" collapsed="false">
      <c r="A2091" s="71"/>
      <c r="B2091" s="71"/>
      <c r="C2091" s="273"/>
      <c r="D2091" s="322"/>
      <c r="E2091" s="322"/>
      <c r="F2091" s="323"/>
      <c r="G2091" s="323"/>
      <c r="H2091" s="71"/>
    </row>
    <row r="2092" customFormat="false" ht="15" hidden="false" customHeight="true" outlineLevel="0" collapsed="false">
      <c r="A2092" s="71"/>
      <c r="B2092" s="71"/>
      <c r="C2092" s="273"/>
      <c r="D2092" s="322"/>
      <c r="E2092" s="322"/>
      <c r="F2092" s="323"/>
      <c r="G2092" s="323"/>
      <c r="H2092" s="71"/>
    </row>
    <row r="2093" customFormat="false" ht="15" hidden="false" customHeight="true" outlineLevel="0" collapsed="false">
      <c r="A2093" s="71"/>
      <c r="B2093" s="71"/>
      <c r="C2093" s="273"/>
      <c r="D2093" s="322"/>
      <c r="E2093" s="322"/>
      <c r="F2093" s="323"/>
      <c r="G2093" s="323"/>
      <c r="H2093" s="71"/>
    </row>
    <row r="2094" customFormat="false" ht="15" hidden="false" customHeight="true" outlineLevel="0" collapsed="false">
      <c r="A2094" s="71"/>
      <c r="B2094" s="71"/>
      <c r="C2094" s="273"/>
      <c r="D2094" s="322"/>
      <c r="E2094" s="322"/>
      <c r="F2094" s="323"/>
      <c r="G2094" s="323"/>
      <c r="H2094" s="71"/>
    </row>
    <row r="2095" customFormat="false" ht="15" hidden="false" customHeight="true" outlineLevel="0" collapsed="false">
      <c r="A2095" s="71"/>
      <c r="B2095" s="71"/>
      <c r="C2095" s="273"/>
      <c r="D2095" s="322"/>
      <c r="E2095" s="322"/>
      <c r="F2095" s="323"/>
      <c r="G2095" s="323"/>
      <c r="H2095" s="71"/>
    </row>
    <row r="2096" customFormat="false" ht="15" hidden="false" customHeight="true" outlineLevel="0" collapsed="false">
      <c r="A2096" s="71"/>
      <c r="B2096" s="71"/>
      <c r="C2096" s="273"/>
      <c r="D2096" s="322"/>
      <c r="E2096" s="322"/>
      <c r="F2096" s="323"/>
      <c r="G2096" s="323"/>
      <c r="H2096" s="71"/>
    </row>
    <row r="2097" customFormat="false" ht="15" hidden="false" customHeight="true" outlineLevel="0" collapsed="false">
      <c r="A2097" s="71"/>
      <c r="B2097" s="71"/>
      <c r="C2097" s="273"/>
      <c r="D2097" s="322"/>
      <c r="E2097" s="322"/>
      <c r="F2097" s="323"/>
      <c r="G2097" s="323"/>
      <c r="H2097" s="71"/>
    </row>
    <row r="2098" customFormat="false" ht="15" hidden="false" customHeight="true" outlineLevel="0" collapsed="false">
      <c r="A2098" s="71"/>
      <c r="B2098" s="71"/>
      <c r="C2098" s="273"/>
      <c r="D2098" s="322"/>
      <c r="E2098" s="322"/>
      <c r="F2098" s="323"/>
      <c r="G2098" s="323"/>
      <c r="H2098" s="71"/>
    </row>
    <row r="2099" customFormat="false" ht="15" hidden="false" customHeight="true" outlineLevel="0" collapsed="false">
      <c r="A2099" s="71"/>
      <c r="B2099" s="71"/>
      <c r="C2099" s="273"/>
      <c r="D2099" s="322"/>
      <c r="E2099" s="322"/>
      <c r="F2099" s="323"/>
      <c r="G2099" s="323"/>
      <c r="H2099" s="71"/>
    </row>
    <row r="2100" customFormat="false" ht="15" hidden="false" customHeight="true" outlineLevel="0" collapsed="false">
      <c r="A2100" s="71"/>
      <c r="B2100" s="71"/>
      <c r="C2100" s="273"/>
      <c r="D2100" s="322"/>
      <c r="E2100" s="322"/>
      <c r="F2100" s="323"/>
      <c r="G2100" s="323"/>
      <c r="H2100" s="71"/>
    </row>
    <row r="2101" customFormat="false" ht="15" hidden="false" customHeight="true" outlineLevel="0" collapsed="false">
      <c r="A2101" s="71"/>
      <c r="B2101" s="71"/>
      <c r="C2101" s="273"/>
      <c r="D2101" s="322"/>
      <c r="E2101" s="322"/>
      <c r="F2101" s="323"/>
      <c r="G2101" s="323"/>
      <c r="H2101" s="71"/>
    </row>
    <row r="2102" customFormat="false" ht="15" hidden="false" customHeight="true" outlineLevel="0" collapsed="false">
      <c r="A2102" s="71"/>
      <c r="B2102" s="71"/>
      <c r="C2102" s="273"/>
      <c r="D2102" s="322"/>
      <c r="E2102" s="322"/>
      <c r="F2102" s="323"/>
      <c r="G2102" s="323"/>
      <c r="H2102" s="71"/>
    </row>
    <row r="2103" customFormat="false" ht="15" hidden="false" customHeight="true" outlineLevel="0" collapsed="false">
      <c r="A2103" s="71"/>
      <c r="B2103" s="71"/>
      <c r="C2103" s="273"/>
      <c r="D2103" s="322"/>
      <c r="E2103" s="322"/>
      <c r="F2103" s="323"/>
      <c r="G2103" s="323"/>
      <c r="H2103" s="71"/>
    </row>
    <row r="2104" customFormat="false" ht="15" hidden="false" customHeight="true" outlineLevel="0" collapsed="false">
      <c r="A2104" s="71"/>
      <c r="B2104" s="71"/>
      <c r="C2104" s="273"/>
      <c r="D2104" s="322"/>
      <c r="E2104" s="322"/>
      <c r="F2104" s="323"/>
      <c r="G2104" s="323"/>
      <c r="H2104" s="71"/>
    </row>
    <row r="2105" customFormat="false" ht="15" hidden="false" customHeight="true" outlineLevel="0" collapsed="false">
      <c r="A2105" s="71"/>
      <c r="B2105" s="71"/>
      <c r="C2105" s="273"/>
      <c r="D2105" s="322"/>
      <c r="E2105" s="322"/>
      <c r="F2105" s="323"/>
      <c r="G2105" s="323"/>
      <c r="H2105" s="71"/>
    </row>
    <row r="2106" customFormat="false" ht="15" hidden="false" customHeight="true" outlineLevel="0" collapsed="false">
      <c r="A2106" s="71"/>
      <c r="B2106" s="71"/>
      <c r="C2106" s="273"/>
      <c r="D2106" s="322"/>
      <c r="E2106" s="322"/>
      <c r="F2106" s="323"/>
      <c r="G2106" s="323"/>
      <c r="H2106" s="71"/>
    </row>
    <row r="2107" customFormat="false" ht="15" hidden="false" customHeight="true" outlineLevel="0" collapsed="false">
      <c r="A2107" s="71"/>
      <c r="B2107" s="71"/>
      <c r="C2107" s="273"/>
      <c r="D2107" s="322"/>
      <c r="E2107" s="322"/>
      <c r="F2107" s="323"/>
      <c r="G2107" s="323"/>
      <c r="H2107" s="71"/>
    </row>
    <row r="2108" customFormat="false" ht="15" hidden="false" customHeight="true" outlineLevel="0" collapsed="false">
      <c r="A2108" s="71"/>
      <c r="B2108" s="71"/>
      <c r="C2108" s="273"/>
      <c r="D2108" s="322"/>
      <c r="E2108" s="322"/>
      <c r="F2108" s="323"/>
      <c r="G2108" s="323"/>
      <c r="H2108" s="71"/>
    </row>
    <row r="2109" customFormat="false" ht="15" hidden="false" customHeight="true" outlineLevel="0" collapsed="false">
      <c r="A2109" s="71"/>
      <c r="B2109" s="71"/>
      <c r="C2109" s="273"/>
      <c r="D2109" s="322"/>
      <c r="E2109" s="322"/>
      <c r="F2109" s="323"/>
      <c r="G2109" s="323"/>
      <c r="H2109" s="71"/>
    </row>
    <row r="2110" customFormat="false" ht="15" hidden="false" customHeight="true" outlineLevel="0" collapsed="false">
      <c r="A2110" s="71"/>
      <c r="B2110" s="71"/>
      <c r="C2110" s="273"/>
      <c r="D2110" s="322"/>
      <c r="E2110" s="322"/>
      <c r="F2110" s="323"/>
      <c r="G2110" s="323"/>
      <c r="H2110" s="71"/>
    </row>
    <row r="2111" customFormat="false" ht="15" hidden="false" customHeight="true" outlineLevel="0" collapsed="false">
      <c r="A2111" s="71"/>
      <c r="B2111" s="71"/>
      <c r="C2111" s="273"/>
      <c r="D2111" s="322"/>
      <c r="E2111" s="322"/>
      <c r="F2111" s="323"/>
      <c r="G2111" s="323"/>
      <c r="H2111" s="71"/>
    </row>
    <row r="2112" customFormat="false" ht="15" hidden="false" customHeight="true" outlineLevel="0" collapsed="false">
      <c r="A2112" s="71"/>
      <c r="B2112" s="71"/>
      <c r="C2112" s="273"/>
      <c r="D2112" s="322"/>
      <c r="E2112" s="322"/>
      <c r="F2112" s="323"/>
      <c r="G2112" s="323"/>
      <c r="H2112" s="71"/>
    </row>
    <row r="2113" customFormat="false" ht="15" hidden="false" customHeight="true" outlineLevel="0" collapsed="false">
      <c r="A2113" s="71"/>
      <c r="B2113" s="71"/>
      <c r="C2113" s="273"/>
      <c r="D2113" s="322"/>
      <c r="E2113" s="322"/>
      <c r="F2113" s="323"/>
      <c r="G2113" s="323"/>
      <c r="H2113" s="71"/>
    </row>
    <row r="2114" customFormat="false" ht="15" hidden="false" customHeight="true" outlineLevel="0" collapsed="false">
      <c r="A2114" s="71"/>
      <c r="B2114" s="71"/>
      <c r="C2114" s="273"/>
      <c r="D2114" s="322"/>
      <c r="E2114" s="322"/>
      <c r="F2114" s="323"/>
      <c r="G2114" s="323"/>
      <c r="H2114" s="71"/>
    </row>
    <row r="2115" customFormat="false" ht="15" hidden="false" customHeight="true" outlineLevel="0" collapsed="false">
      <c r="A2115" s="71"/>
      <c r="B2115" s="71"/>
      <c r="C2115" s="273"/>
      <c r="D2115" s="322"/>
      <c r="E2115" s="322"/>
      <c r="F2115" s="323"/>
      <c r="G2115" s="323"/>
      <c r="H2115" s="71"/>
    </row>
    <row r="2116" customFormat="false" ht="15" hidden="false" customHeight="true" outlineLevel="0" collapsed="false">
      <c r="A2116" s="71"/>
      <c r="B2116" s="71"/>
      <c r="C2116" s="273"/>
      <c r="D2116" s="322"/>
      <c r="E2116" s="322"/>
      <c r="F2116" s="323"/>
      <c r="G2116" s="323"/>
      <c r="H2116" s="71"/>
    </row>
    <row r="2117" customFormat="false" ht="15" hidden="false" customHeight="true" outlineLevel="0" collapsed="false">
      <c r="A2117" s="71"/>
      <c r="B2117" s="71"/>
      <c r="C2117" s="273"/>
      <c r="D2117" s="322"/>
      <c r="E2117" s="322"/>
      <c r="F2117" s="323"/>
      <c r="G2117" s="323"/>
      <c r="H2117" s="71"/>
    </row>
    <row r="2118" customFormat="false" ht="15" hidden="false" customHeight="true" outlineLevel="0" collapsed="false">
      <c r="A2118" s="71"/>
      <c r="B2118" s="71"/>
      <c r="C2118" s="273"/>
      <c r="D2118" s="322"/>
      <c r="E2118" s="322"/>
      <c r="F2118" s="323"/>
      <c r="G2118" s="323"/>
      <c r="H2118" s="71"/>
    </row>
    <row r="2119" customFormat="false" ht="15" hidden="false" customHeight="true" outlineLevel="0" collapsed="false">
      <c r="A2119" s="71"/>
      <c r="B2119" s="71"/>
      <c r="C2119" s="273"/>
      <c r="D2119" s="322"/>
      <c r="E2119" s="322"/>
      <c r="F2119" s="323"/>
      <c r="G2119" s="323"/>
      <c r="H2119" s="71"/>
    </row>
    <row r="2120" customFormat="false" ht="15" hidden="false" customHeight="true" outlineLevel="0" collapsed="false">
      <c r="A2120" s="71"/>
      <c r="B2120" s="71"/>
      <c r="C2120" s="273"/>
      <c r="D2120" s="322"/>
      <c r="E2120" s="322"/>
      <c r="F2120" s="323"/>
      <c r="G2120" s="323"/>
      <c r="H2120" s="71"/>
    </row>
    <row r="2121" customFormat="false" ht="15" hidden="false" customHeight="true" outlineLevel="0" collapsed="false">
      <c r="A2121" s="71"/>
      <c r="B2121" s="71"/>
      <c r="C2121" s="273"/>
      <c r="D2121" s="322"/>
      <c r="E2121" s="322"/>
      <c r="F2121" s="323"/>
      <c r="G2121" s="323"/>
      <c r="H2121" s="71"/>
    </row>
    <row r="2122" customFormat="false" ht="15" hidden="false" customHeight="true" outlineLevel="0" collapsed="false">
      <c r="A2122" s="71"/>
      <c r="B2122" s="71"/>
      <c r="C2122" s="273"/>
      <c r="D2122" s="322"/>
      <c r="E2122" s="322"/>
      <c r="F2122" s="323"/>
      <c r="G2122" s="323"/>
      <c r="H2122" s="71"/>
    </row>
    <row r="2123" customFormat="false" ht="15" hidden="false" customHeight="true" outlineLevel="0" collapsed="false">
      <c r="A2123" s="71"/>
      <c r="B2123" s="71"/>
      <c r="C2123" s="273"/>
      <c r="D2123" s="322"/>
      <c r="E2123" s="322"/>
      <c r="F2123" s="323"/>
      <c r="G2123" s="323"/>
      <c r="H2123" s="71"/>
    </row>
    <row r="2124" customFormat="false" ht="15" hidden="false" customHeight="true" outlineLevel="0" collapsed="false">
      <c r="A2124" s="71"/>
      <c r="B2124" s="71"/>
      <c r="C2124" s="273"/>
      <c r="D2124" s="322"/>
      <c r="E2124" s="322"/>
      <c r="F2124" s="323"/>
      <c r="G2124" s="323"/>
      <c r="H2124" s="71"/>
    </row>
    <row r="2125" customFormat="false" ht="15" hidden="false" customHeight="true" outlineLevel="0" collapsed="false">
      <c r="A2125" s="71"/>
      <c r="B2125" s="71"/>
      <c r="C2125" s="273"/>
      <c r="D2125" s="322"/>
      <c r="E2125" s="322"/>
      <c r="F2125" s="323"/>
      <c r="G2125" s="323"/>
      <c r="H2125" s="71"/>
    </row>
    <row r="2126" customFormat="false" ht="15" hidden="false" customHeight="true" outlineLevel="0" collapsed="false">
      <c r="A2126" s="71"/>
      <c r="B2126" s="71"/>
      <c r="C2126" s="273"/>
      <c r="D2126" s="322"/>
      <c r="E2126" s="322"/>
      <c r="F2126" s="323"/>
      <c r="G2126" s="323"/>
      <c r="H2126" s="71"/>
    </row>
    <row r="2127" customFormat="false" ht="15" hidden="false" customHeight="true" outlineLevel="0" collapsed="false">
      <c r="A2127" s="71"/>
      <c r="B2127" s="71"/>
      <c r="C2127" s="273"/>
      <c r="D2127" s="322"/>
      <c r="E2127" s="322"/>
      <c r="F2127" s="323"/>
      <c r="G2127" s="323"/>
      <c r="H2127" s="71"/>
    </row>
    <row r="2128" customFormat="false" ht="15" hidden="false" customHeight="true" outlineLevel="0" collapsed="false">
      <c r="A2128" s="71"/>
      <c r="B2128" s="71"/>
      <c r="C2128" s="273"/>
      <c r="D2128" s="322"/>
      <c r="E2128" s="322"/>
      <c r="F2128" s="323"/>
      <c r="G2128" s="323"/>
      <c r="H2128" s="71"/>
    </row>
    <row r="2129" customFormat="false" ht="15" hidden="false" customHeight="true" outlineLevel="0" collapsed="false">
      <c r="A2129" s="71"/>
      <c r="B2129" s="71"/>
      <c r="C2129" s="273"/>
      <c r="D2129" s="322"/>
      <c r="E2129" s="322"/>
      <c r="F2129" s="323"/>
      <c r="G2129" s="323"/>
      <c r="H2129" s="71"/>
    </row>
    <row r="2130" customFormat="false" ht="15" hidden="false" customHeight="true" outlineLevel="0" collapsed="false">
      <c r="A2130" s="71"/>
      <c r="B2130" s="71"/>
      <c r="C2130" s="273"/>
      <c r="D2130" s="322"/>
      <c r="E2130" s="322"/>
      <c r="F2130" s="323"/>
      <c r="G2130" s="323"/>
      <c r="H2130" s="71"/>
    </row>
    <row r="2131" customFormat="false" ht="15" hidden="false" customHeight="true" outlineLevel="0" collapsed="false">
      <c r="A2131" s="71"/>
      <c r="B2131" s="71"/>
      <c r="C2131" s="273"/>
      <c r="D2131" s="322"/>
      <c r="E2131" s="322"/>
      <c r="F2131" s="323"/>
      <c r="G2131" s="323"/>
      <c r="H2131" s="71"/>
    </row>
    <row r="2132" customFormat="false" ht="15" hidden="false" customHeight="true" outlineLevel="0" collapsed="false">
      <c r="A2132" s="71"/>
      <c r="B2132" s="71"/>
      <c r="C2132" s="273"/>
      <c r="D2132" s="322"/>
      <c r="E2132" s="322"/>
      <c r="F2132" s="323"/>
      <c r="G2132" s="323"/>
      <c r="H2132" s="71"/>
    </row>
    <row r="2133" customFormat="false" ht="15" hidden="false" customHeight="true" outlineLevel="0" collapsed="false">
      <c r="A2133" s="71"/>
      <c r="B2133" s="71"/>
      <c r="C2133" s="273"/>
      <c r="D2133" s="322"/>
      <c r="E2133" s="322"/>
      <c r="F2133" s="323"/>
      <c r="G2133" s="323"/>
      <c r="H2133" s="71"/>
    </row>
    <row r="2134" customFormat="false" ht="15" hidden="false" customHeight="true" outlineLevel="0" collapsed="false">
      <c r="A2134" s="71"/>
      <c r="B2134" s="71"/>
      <c r="C2134" s="273"/>
      <c r="D2134" s="322"/>
      <c r="E2134" s="322"/>
      <c r="F2134" s="323"/>
      <c r="G2134" s="323"/>
      <c r="H2134" s="71"/>
    </row>
    <row r="2135" customFormat="false" ht="15" hidden="false" customHeight="true" outlineLevel="0" collapsed="false">
      <c r="A2135" s="71"/>
      <c r="B2135" s="71"/>
      <c r="C2135" s="273"/>
      <c r="D2135" s="322"/>
      <c r="E2135" s="322"/>
      <c r="F2135" s="323"/>
      <c r="G2135" s="323"/>
      <c r="H2135" s="71"/>
    </row>
    <row r="2136" customFormat="false" ht="15" hidden="false" customHeight="true" outlineLevel="0" collapsed="false">
      <c r="A2136" s="71"/>
      <c r="B2136" s="71"/>
      <c r="C2136" s="273"/>
      <c r="D2136" s="322"/>
      <c r="E2136" s="322"/>
      <c r="F2136" s="323"/>
      <c r="G2136" s="323"/>
      <c r="H2136" s="71"/>
    </row>
    <row r="2137" customFormat="false" ht="15" hidden="false" customHeight="true" outlineLevel="0" collapsed="false">
      <c r="A2137" s="71"/>
      <c r="B2137" s="71"/>
      <c r="C2137" s="273"/>
      <c r="D2137" s="322"/>
      <c r="E2137" s="322"/>
      <c r="F2137" s="323"/>
      <c r="G2137" s="323"/>
      <c r="H2137" s="71"/>
    </row>
    <row r="2138" customFormat="false" ht="15" hidden="false" customHeight="true" outlineLevel="0" collapsed="false">
      <c r="A2138" s="71"/>
      <c r="B2138" s="71"/>
      <c r="C2138" s="273"/>
      <c r="D2138" s="322"/>
      <c r="E2138" s="322"/>
      <c r="F2138" s="323"/>
      <c r="G2138" s="323"/>
      <c r="H2138" s="71"/>
    </row>
    <row r="2139" customFormat="false" ht="15" hidden="false" customHeight="true" outlineLevel="0" collapsed="false">
      <c r="A2139" s="71"/>
      <c r="B2139" s="71"/>
      <c r="C2139" s="273"/>
      <c r="D2139" s="322"/>
      <c r="E2139" s="322"/>
      <c r="F2139" s="323"/>
      <c r="G2139" s="323"/>
      <c r="H2139" s="71"/>
    </row>
    <row r="2140" customFormat="false" ht="15" hidden="false" customHeight="true" outlineLevel="0" collapsed="false">
      <c r="A2140" s="71"/>
      <c r="B2140" s="71"/>
      <c r="C2140" s="273"/>
      <c r="D2140" s="322"/>
      <c r="E2140" s="322"/>
      <c r="F2140" s="323"/>
      <c r="G2140" s="323"/>
      <c r="H2140" s="71"/>
    </row>
    <row r="2141" customFormat="false" ht="15" hidden="false" customHeight="true" outlineLevel="0" collapsed="false">
      <c r="A2141" s="71"/>
      <c r="B2141" s="71"/>
      <c r="C2141" s="273"/>
      <c r="D2141" s="322"/>
      <c r="E2141" s="322"/>
      <c r="F2141" s="323"/>
      <c r="G2141" s="323"/>
      <c r="H2141" s="71"/>
    </row>
    <row r="2142" customFormat="false" ht="15" hidden="false" customHeight="true" outlineLevel="0" collapsed="false">
      <c r="A2142" s="71"/>
      <c r="B2142" s="71"/>
      <c r="C2142" s="273"/>
      <c r="D2142" s="322"/>
      <c r="E2142" s="322"/>
      <c r="F2142" s="323"/>
      <c r="G2142" s="323"/>
      <c r="H2142" s="71"/>
    </row>
    <row r="2143" customFormat="false" ht="15" hidden="false" customHeight="true" outlineLevel="0" collapsed="false">
      <c r="A2143" s="71"/>
      <c r="B2143" s="71"/>
      <c r="C2143" s="273"/>
      <c r="D2143" s="322"/>
      <c r="E2143" s="322"/>
      <c r="F2143" s="323"/>
      <c r="G2143" s="323"/>
      <c r="H2143" s="71"/>
    </row>
    <row r="2144" customFormat="false" ht="15" hidden="false" customHeight="true" outlineLevel="0" collapsed="false">
      <c r="A2144" s="71"/>
      <c r="B2144" s="71"/>
      <c r="C2144" s="273"/>
      <c r="D2144" s="322"/>
      <c r="E2144" s="322"/>
      <c r="F2144" s="323"/>
      <c r="G2144" s="323"/>
      <c r="H2144" s="71"/>
    </row>
    <row r="2145" customFormat="false" ht="15" hidden="false" customHeight="true" outlineLevel="0" collapsed="false">
      <c r="A2145" s="71"/>
      <c r="B2145" s="71"/>
      <c r="C2145" s="273"/>
      <c r="D2145" s="322"/>
      <c r="E2145" s="322"/>
      <c r="F2145" s="323"/>
      <c r="G2145" s="323"/>
      <c r="H2145" s="71"/>
    </row>
    <row r="2146" customFormat="false" ht="15" hidden="false" customHeight="true" outlineLevel="0" collapsed="false">
      <c r="A2146" s="71"/>
      <c r="B2146" s="71"/>
      <c r="C2146" s="273"/>
      <c r="D2146" s="322"/>
      <c r="E2146" s="322"/>
      <c r="F2146" s="323"/>
      <c r="G2146" s="323"/>
      <c r="H2146" s="71"/>
    </row>
    <row r="2147" customFormat="false" ht="15" hidden="false" customHeight="true" outlineLevel="0" collapsed="false">
      <c r="A2147" s="71"/>
      <c r="B2147" s="71"/>
      <c r="C2147" s="273"/>
      <c r="D2147" s="322"/>
      <c r="E2147" s="322"/>
      <c r="F2147" s="323"/>
      <c r="G2147" s="323"/>
      <c r="H2147" s="71"/>
    </row>
    <row r="2148" customFormat="false" ht="15" hidden="false" customHeight="true" outlineLevel="0" collapsed="false">
      <c r="A2148" s="71"/>
      <c r="B2148" s="71"/>
      <c r="C2148" s="273"/>
      <c r="D2148" s="322"/>
      <c r="E2148" s="322"/>
      <c r="F2148" s="323"/>
      <c r="G2148" s="323"/>
      <c r="H2148" s="71"/>
    </row>
    <row r="2149" customFormat="false" ht="15" hidden="false" customHeight="true" outlineLevel="0" collapsed="false">
      <c r="A2149" s="71"/>
      <c r="B2149" s="71"/>
      <c r="C2149" s="273"/>
      <c r="D2149" s="322"/>
      <c r="E2149" s="322"/>
      <c r="F2149" s="323"/>
      <c r="G2149" s="323"/>
      <c r="H2149" s="71"/>
    </row>
    <row r="2150" customFormat="false" ht="15" hidden="false" customHeight="true" outlineLevel="0" collapsed="false">
      <c r="A2150" s="71"/>
      <c r="B2150" s="71"/>
      <c r="C2150" s="273"/>
      <c r="D2150" s="322"/>
      <c r="E2150" s="322"/>
      <c r="F2150" s="323"/>
      <c r="G2150" s="323"/>
      <c r="H2150" s="71"/>
    </row>
    <row r="2151" customFormat="false" ht="15" hidden="false" customHeight="true" outlineLevel="0" collapsed="false">
      <c r="A2151" s="71"/>
      <c r="B2151" s="71"/>
      <c r="C2151" s="273"/>
      <c r="D2151" s="322"/>
      <c r="E2151" s="322"/>
      <c r="F2151" s="323"/>
      <c r="G2151" s="323"/>
      <c r="H2151" s="71"/>
    </row>
    <row r="2152" customFormat="false" ht="15" hidden="false" customHeight="true" outlineLevel="0" collapsed="false">
      <c r="A2152" s="71"/>
      <c r="B2152" s="71"/>
      <c r="C2152" s="273"/>
      <c r="D2152" s="322"/>
      <c r="E2152" s="322"/>
      <c r="F2152" s="323"/>
      <c r="G2152" s="323"/>
      <c r="H2152" s="71"/>
    </row>
    <row r="2153" customFormat="false" ht="15" hidden="false" customHeight="true" outlineLevel="0" collapsed="false">
      <c r="A2153" s="71"/>
      <c r="B2153" s="71"/>
      <c r="C2153" s="273"/>
      <c r="D2153" s="322"/>
      <c r="E2153" s="322"/>
      <c r="F2153" s="323"/>
      <c r="G2153" s="323"/>
      <c r="H2153" s="71"/>
    </row>
    <row r="2154" customFormat="false" ht="15" hidden="false" customHeight="true" outlineLevel="0" collapsed="false">
      <c r="A2154" s="71"/>
      <c r="B2154" s="71"/>
      <c r="C2154" s="273"/>
      <c r="D2154" s="322"/>
      <c r="E2154" s="322"/>
      <c r="F2154" s="323"/>
      <c r="G2154" s="323"/>
      <c r="H2154" s="71"/>
    </row>
    <row r="2155" customFormat="false" ht="15" hidden="false" customHeight="true" outlineLevel="0" collapsed="false">
      <c r="A2155" s="71"/>
      <c r="B2155" s="71"/>
      <c r="C2155" s="273"/>
      <c r="D2155" s="322"/>
      <c r="E2155" s="322"/>
      <c r="F2155" s="323"/>
      <c r="G2155" s="323"/>
      <c r="H2155" s="71"/>
    </row>
    <row r="2156" customFormat="false" ht="15" hidden="false" customHeight="true" outlineLevel="0" collapsed="false">
      <c r="A2156" s="71"/>
      <c r="B2156" s="71"/>
      <c r="C2156" s="273"/>
      <c r="D2156" s="322"/>
      <c r="E2156" s="322"/>
      <c r="F2156" s="323"/>
      <c r="G2156" s="323"/>
      <c r="H2156" s="71"/>
    </row>
    <row r="2157" customFormat="false" ht="15" hidden="false" customHeight="true" outlineLevel="0" collapsed="false">
      <c r="A2157" s="71"/>
      <c r="B2157" s="71"/>
      <c r="C2157" s="273"/>
      <c r="D2157" s="322"/>
      <c r="E2157" s="322"/>
      <c r="F2157" s="323"/>
      <c r="G2157" s="323"/>
      <c r="H2157" s="71"/>
    </row>
    <row r="2158" customFormat="false" ht="15" hidden="false" customHeight="true" outlineLevel="0" collapsed="false">
      <c r="A2158" s="71"/>
      <c r="B2158" s="71"/>
      <c r="C2158" s="273"/>
      <c r="D2158" s="322"/>
      <c r="E2158" s="322"/>
      <c r="F2158" s="323"/>
      <c r="G2158" s="323"/>
      <c r="H2158" s="71"/>
    </row>
    <row r="2159" customFormat="false" ht="15" hidden="false" customHeight="true" outlineLevel="0" collapsed="false">
      <c r="A2159" s="71"/>
      <c r="B2159" s="71"/>
      <c r="C2159" s="273"/>
      <c r="D2159" s="322"/>
      <c r="E2159" s="322"/>
      <c r="F2159" s="323"/>
      <c r="G2159" s="323"/>
      <c r="H2159" s="71"/>
    </row>
    <row r="2160" customFormat="false" ht="15" hidden="false" customHeight="true" outlineLevel="0" collapsed="false">
      <c r="A2160" s="71"/>
      <c r="B2160" s="71"/>
      <c r="C2160" s="273"/>
      <c r="D2160" s="322"/>
      <c r="E2160" s="322"/>
      <c r="F2160" s="323"/>
      <c r="G2160" s="323"/>
      <c r="H2160" s="71"/>
    </row>
    <row r="2161" customFormat="false" ht="15" hidden="false" customHeight="true" outlineLevel="0" collapsed="false">
      <c r="A2161" s="71"/>
      <c r="B2161" s="71"/>
      <c r="C2161" s="273"/>
      <c r="D2161" s="322"/>
      <c r="E2161" s="322"/>
      <c r="F2161" s="323"/>
      <c r="G2161" s="323"/>
      <c r="H2161" s="71"/>
    </row>
    <row r="2162" customFormat="false" ht="15" hidden="false" customHeight="true" outlineLevel="0" collapsed="false">
      <c r="A2162" s="71"/>
      <c r="B2162" s="71"/>
      <c r="C2162" s="273"/>
      <c r="D2162" s="322"/>
      <c r="E2162" s="322"/>
      <c r="F2162" s="323"/>
      <c r="G2162" s="323"/>
      <c r="H2162" s="71"/>
    </row>
    <row r="2163" customFormat="false" ht="15" hidden="false" customHeight="true" outlineLevel="0" collapsed="false">
      <c r="A2163" s="71"/>
      <c r="B2163" s="71"/>
      <c r="C2163" s="273"/>
      <c r="D2163" s="322"/>
      <c r="E2163" s="322"/>
      <c r="F2163" s="323"/>
      <c r="G2163" s="323"/>
      <c r="H2163" s="71"/>
    </row>
    <row r="2164" customFormat="false" ht="15" hidden="false" customHeight="true" outlineLevel="0" collapsed="false">
      <c r="A2164" s="71"/>
      <c r="B2164" s="71"/>
      <c r="C2164" s="273"/>
      <c r="D2164" s="322"/>
      <c r="E2164" s="322"/>
      <c r="F2164" s="323"/>
      <c r="G2164" s="323"/>
      <c r="H2164" s="71"/>
    </row>
    <row r="2165" customFormat="false" ht="15" hidden="false" customHeight="true" outlineLevel="0" collapsed="false">
      <c r="A2165" s="71"/>
      <c r="B2165" s="71"/>
      <c r="C2165" s="273"/>
      <c r="D2165" s="322"/>
      <c r="E2165" s="322"/>
      <c r="F2165" s="323"/>
      <c r="G2165" s="323"/>
      <c r="H2165" s="71"/>
    </row>
    <row r="2166" customFormat="false" ht="15" hidden="false" customHeight="true" outlineLevel="0" collapsed="false">
      <c r="A2166" s="71"/>
      <c r="B2166" s="71"/>
      <c r="C2166" s="273"/>
      <c r="D2166" s="322"/>
      <c r="E2166" s="322"/>
      <c r="F2166" s="323"/>
      <c r="G2166" s="323"/>
      <c r="H2166" s="71"/>
    </row>
    <row r="2167" customFormat="false" ht="15" hidden="false" customHeight="true" outlineLevel="0" collapsed="false">
      <c r="A2167" s="71"/>
      <c r="B2167" s="71"/>
      <c r="C2167" s="273"/>
      <c r="D2167" s="322"/>
      <c r="E2167" s="322"/>
      <c r="F2167" s="323"/>
      <c r="G2167" s="323"/>
      <c r="H2167" s="71"/>
    </row>
    <row r="2168" customFormat="false" ht="15" hidden="false" customHeight="true" outlineLevel="0" collapsed="false">
      <c r="A2168" s="71"/>
      <c r="B2168" s="71"/>
      <c r="C2168" s="273"/>
      <c r="D2168" s="322"/>
      <c r="E2168" s="322"/>
      <c r="F2168" s="323"/>
      <c r="G2168" s="323"/>
      <c r="H2168" s="71"/>
    </row>
    <row r="2169" customFormat="false" ht="15" hidden="false" customHeight="true" outlineLevel="0" collapsed="false">
      <c r="A2169" s="71"/>
      <c r="B2169" s="71"/>
      <c r="C2169" s="273"/>
      <c r="D2169" s="322"/>
      <c r="E2169" s="322"/>
      <c r="F2169" s="323"/>
      <c r="G2169" s="323"/>
      <c r="H2169" s="71"/>
    </row>
    <row r="2170" customFormat="false" ht="15" hidden="false" customHeight="true" outlineLevel="0" collapsed="false">
      <c r="A2170" s="71"/>
      <c r="B2170" s="71"/>
      <c r="C2170" s="273"/>
      <c r="D2170" s="322"/>
      <c r="E2170" s="322"/>
      <c r="F2170" s="323"/>
      <c r="G2170" s="323"/>
      <c r="H2170" s="71"/>
    </row>
    <row r="2171" customFormat="false" ht="15" hidden="false" customHeight="true" outlineLevel="0" collapsed="false">
      <c r="A2171" s="71"/>
      <c r="B2171" s="71"/>
      <c r="C2171" s="273"/>
      <c r="D2171" s="322"/>
      <c r="E2171" s="322"/>
      <c r="F2171" s="323"/>
      <c r="G2171" s="323"/>
      <c r="H2171" s="71"/>
    </row>
    <row r="2172" customFormat="false" ht="15" hidden="false" customHeight="true" outlineLevel="0" collapsed="false">
      <c r="A2172" s="71"/>
      <c r="B2172" s="71"/>
      <c r="C2172" s="273"/>
      <c r="D2172" s="322"/>
      <c r="E2172" s="322"/>
      <c r="F2172" s="323"/>
      <c r="G2172" s="323"/>
      <c r="H2172" s="71"/>
    </row>
    <row r="2173" customFormat="false" ht="15" hidden="false" customHeight="true" outlineLevel="0" collapsed="false">
      <c r="A2173" s="71"/>
      <c r="B2173" s="71"/>
      <c r="C2173" s="273"/>
      <c r="D2173" s="322"/>
      <c r="E2173" s="322"/>
      <c r="F2173" s="323"/>
      <c r="G2173" s="323"/>
      <c r="H2173" s="71"/>
    </row>
    <row r="2174" customFormat="false" ht="15" hidden="false" customHeight="true" outlineLevel="0" collapsed="false">
      <c r="A2174" s="71"/>
      <c r="B2174" s="71"/>
      <c r="C2174" s="273"/>
      <c r="D2174" s="322"/>
      <c r="E2174" s="322"/>
      <c r="F2174" s="323"/>
      <c r="G2174" s="323"/>
      <c r="H2174" s="71"/>
    </row>
    <row r="2175" customFormat="false" ht="15" hidden="false" customHeight="true" outlineLevel="0" collapsed="false">
      <c r="A2175" s="71"/>
      <c r="B2175" s="71"/>
      <c r="C2175" s="273"/>
      <c r="D2175" s="322"/>
      <c r="E2175" s="322"/>
      <c r="F2175" s="323"/>
      <c r="G2175" s="323"/>
      <c r="H2175" s="71"/>
    </row>
    <row r="2176" customFormat="false" ht="15" hidden="false" customHeight="true" outlineLevel="0" collapsed="false">
      <c r="A2176" s="71"/>
      <c r="B2176" s="71"/>
      <c r="C2176" s="273"/>
      <c r="D2176" s="322"/>
      <c r="E2176" s="322"/>
      <c r="F2176" s="323"/>
      <c r="G2176" s="323"/>
      <c r="H2176" s="71"/>
    </row>
    <row r="2177" customFormat="false" ht="15" hidden="false" customHeight="true" outlineLevel="0" collapsed="false">
      <c r="A2177" s="71"/>
      <c r="B2177" s="71"/>
      <c r="C2177" s="273"/>
      <c r="D2177" s="322"/>
      <c r="E2177" s="322"/>
      <c r="F2177" s="323"/>
      <c r="G2177" s="323"/>
      <c r="H2177" s="71"/>
    </row>
    <row r="2178" customFormat="false" ht="15" hidden="false" customHeight="true" outlineLevel="0" collapsed="false">
      <c r="A2178" s="71"/>
      <c r="B2178" s="71"/>
      <c r="C2178" s="273"/>
      <c r="D2178" s="322"/>
      <c r="E2178" s="322"/>
      <c r="F2178" s="323"/>
      <c r="G2178" s="323"/>
      <c r="H2178" s="71"/>
    </row>
    <row r="2179" customFormat="false" ht="15" hidden="false" customHeight="true" outlineLevel="0" collapsed="false">
      <c r="A2179" s="71"/>
      <c r="B2179" s="71"/>
      <c r="C2179" s="273"/>
      <c r="D2179" s="322"/>
      <c r="E2179" s="322"/>
      <c r="F2179" s="323"/>
      <c r="G2179" s="323"/>
      <c r="H2179" s="71"/>
    </row>
    <row r="2180" customFormat="false" ht="15" hidden="false" customHeight="true" outlineLevel="0" collapsed="false">
      <c r="A2180" s="71"/>
      <c r="B2180" s="71"/>
      <c r="C2180" s="273"/>
      <c r="D2180" s="322"/>
      <c r="E2180" s="322"/>
      <c r="F2180" s="323"/>
      <c r="G2180" s="323"/>
      <c r="H2180" s="71"/>
    </row>
    <row r="2181" customFormat="false" ht="15" hidden="false" customHeight="true" outlineLevel="0" collapsed="false">
      <c r="A2181" s="71"/>
      <c r="B2181" s="71"/>
      <c r="C2181" s="273"/>
      <c r="D2181" s="322"/>
      <c r="E2181" s="322"/>
      <c r="F2181" s="323"/>
      <c r="G2181" s="323"/>
      <c r="H2181" s="71"/>
    </row>
    <row r="2182" customFormat="false" ht="15" hidden="false" customHeight="true" outlineLevel="0" collapsed="false">
      <c r="A2182" s="71"/>
      <c r="B2182" s="71"/>
      <c r="C2182" s="273"/>
      <c r="D2182" s="322"/>
      <c r="E2182" s="322"/>
      <c r="F2182" s="323"/>
      <c r="G2182" s="323"/>
      <c r="H2182" s="71"/>
    </row>
    <row r="2183" customFormat="false" ht="15" hidden="false" customHeight="true" outlineLevel="0" collapsed="false">
      <c r="A2183" s="71"/>
      <c r="B2183" s="71"/>
      <c r="C2183" s="273"/>
      <c r="D2183" s="322"/>
      <c r="E2183" s="322"/>
      <c r="F2183" s="323"/>
      <c r="G2183" s="323"/>
      <c r="H2183" s="71"/>
    </row>
    <row r="2184" customFormat="false" ht="15" hidden="false" customHeight="true" outlineLevel="0" collapsed="false">
      <c r="A2184" s="71"/>
      <c r="B2184" s="71"/>
      <c r="C2184" s="273"/>
      <c r="D2184" s="322"/>
      <c r="E2184" s="322"/>
      <c r="F2184" s="323"/>
      <c r="G2184" s="323"/>
      <c r="H2184" s="71"/>
    </row>
    <row r="2185" customFormat="false" ht="15" hidden="false" customHeight="true" outlineLevel="0" collapsed="false">
      <c r="A2185" s="71"/>
      <c r="B2185" s="71"/>
      <c r="C2185" s="273"/>
      <c r="D2185" s="322"/>
      <c r="E2185" s="322"/>
      <c r="F2185" s="323"/>
      <c r="G2185" s="323"/>
      <c r="H2185" s="71"/>
    </row>
    <row r="2186" customFormat="false" ht="15" hidden="false" customHeight="true" outlineLevel="0" collapsed="false">
      <c r="A2186" s="71"/>
      <c r="B2186" s="71"/>
      <c r="C2186" s="273"/>
      <c r="D2186" s="322"/>
      <c r="E2186" s="322"/>
      <c r="F2186" s="323"/>
      <c r="G2186" s="323"/>
      <c r="H2186" s="71"/>
    </row>
    <row r="2187" customFormat="false" ht="15" hidden="false" customHeight="true" outlineLevel="0" collapsed="false">
      <c r="A2187" s="71"/>
      <c r="B2187" s="71"/>
      <c r="C2187" s="273"/>
      <c r="D2187" s="322"/>
      <c r="E2187" s="322"/>
      <c r="F2187" s="323"/>
      <c r="G2187" s="323"/>
      <c r="H2187" s="71"/>
    </row>
    <row r="2188" customFormat="false" ht="15" hidden="false" customHeight="true" outlineLevel="0" collapsed="false">
      <c r="A2188" s="71"/>
      <c r="B2188" s="71"/>
      <c r="C2188" s="273"/>
      <c r="D2188" s="322"/>
      <c r="E2188" s="322"/>
      <c r="F2188" s="323"/>
      <c r="G2188" s="323"/>
      <c r="H2188" s="71"/>
    </row>
    <row r="2189" customFormat="false" ht="15" hidden="false" customHeight="true" outlineLevel="0" collapsed="false">
      <c r="A2189" s="71"/>
      <c r="B2189" s="71"/>
      <c r="C2189" s="273"/>
      <c r="D2189" s="322"/>
      <c r="E2189" s="322"/>
      <c r="F2189" s="323"/>
      <c r="G2189" s="323"/>
      <c r="H2189" s="71"/>
    </row>
    <row r="2190" customFormat="false" ht="15" hidden="false" customHeight="true" outlineLevel="0" collapsed="false">
      <c r="A2190" s="71"/>
      <c r="B2190" s="71"/>
      <c r="C2190" s="273"/>
      <c r="D2190" s="322"/>
      <c r="E2190" s="322"/>
      <c r="F2190" s="323"/>
      <c r="G2190" s="323"/>
      <c r="H2190" s="71"/>
    </row>
    <row r="2191" customFormat="false" ht="15" hidden="false" customHeight="true" outlineLevel="0" collapsed="false">
      <c r="A2191" s="71"/>
      <c r="B2191" s="71"/>
      <c r="C2191" s="273"/>
      <c r="D2191" s="322"/>
      <c r="E2191" s="322"/>
      <c r="F2191" s="323"/>
      <c r="G2191" s="323"/>
      <c r="H2191" s="71"/>
    </row>
    <row r="2192" customFormat="false" ht="15" hidden="false" customHeight="true" outlineLevel="0" collapsed="false">
      <c r="A2192" s="71"/>
      <c r="B2192" s="71"/>
      <c r="C2192" s="273"/>
      <c r="D2192" s="322"/>
      <c r="E2192" s="322"/>
      <c r="F2192" s="323"/>
      <c r="G2192" s="323"/>
      <c r="H2192" s="71"/>
    </row>
    <row r="2193" customFormat="false" ht="15" hidden="false" customHeight="true" outlineLevel="0" collapsed="false">
      <c r="A2193" s="71"/>
      <c r="B2193" s="71"/>
      <c r="C2193" s="273"/>
      <c r="D2193" s="322"/>
      <c r="E2193" s="322"/>
      <c r="F2193" s="323"/>
      <c r="G2193" s="323"/>
      <c r="H2193" s="71"/>
    </row>
    <row r="2194" customFormat="false" ht="15" hidden="false" customHeight="true" outlineLevel="0" collapsed="false">
      <c r="A2194" s="71"/>
      <c r="B2194" s="71"/>
      <c r="C2194" s="273"/>
      <c r="D2194" s="322"/>
      <c r="E2194" s="322"/>
      <c r="F2194" s="323"/>
      <c r="G2194" s="323"/>
      <c r="H2194" s="71"/>
    </row>
    <row r="2195" customFormat="false" ht="15" hidden="false" customHeight="true" outlineLevel="0" collapsed="false">
      <c r="A2195" s="71"/>
      <c r="B2195" s="71"/>
      <c r="C2195" s="273"/>
      <c r="D2195" s="322"/>
      <c r="E2195" s="322"/>
      <c r="F2195" s="323"/>
      <c r="G2195" s="323"/>
      <c r="H2195" s="71"/>
    </row>
    <row r="2196" customFormat="false" ht="15" hidden="false" customHeight="true" outlineLevel="0" collapsed="false">
      <c r="A2196" s="71"/>
      <c r="B2196" s="71"/>
      <c r="C2196" s="273"/>
      <c r="D2196" s="322"/>
      <c r="E2196" s="322"/>
      <c r="F2196" s="323"/>
      <c r="G2196" s="323"/>
      <c r="H2196" s="71"/>
    </row>
    <row r="2197" customFormat="false" ht="15" hidden="false" customHeight="true" outlineLevel="0" collapsed="false">
      <c r="A2197" s="71"/>
      <c r="B2197" s="71"/>
      <c r="C2197" s="273"/>
      <c r="D2197" s="322"/>
      <c r="E2197" s="322"/>
      <c r="F2197" s="323"/>
      <c r="G2197" s="323"/>
      <c r="H2197" s="71"/>
    </row>
    <row r="2198" customFormat="false" ht="15" hidden="false" customHeight="true" outlineLevel="0" collapsed="false">
      <c r="A2198" s="71"/>
      <c r="B2198" s="71"/>
      <c r="C2198" s="273"/>
      <c r="D2198" s="322"/>
      <c r="E2198" s="322"/>
      <c r="F2198" s="323"/>
      <c r="G2198" s="323"/>
      <c r="H2198" s="71"/>
    </row>
    <row r="2199" customFormat="false" ht="15" hidden="false" customHeight="true" outlineLevel="0" collapsed="false">
      <c r="A2199" s="71"/>
      <c r="B2199" s="71"/>
      <c r="C2199" s="273"/>
      <c r="D2199" s="322"/>
      <c r="E2199" s="322"/>
      <c r="F2199" s="323"/>
      <c r="G2199" s="323"/>
      <c r="H2199" s="71"/>
    </row>
    <row r="2200" customFormat="false" ht="15" hidden="false" customHeight="true" outlineLevel="0" collapsed="false">
      <c r="A2200" s="71"/>
      <c r="B2200" s="71"/>
      <c r="C2200" s="273"/>
      <c r="D2200" s="322"/>
      <c r="E2200" s="322"/>
      <c r="F2200" s="323"/>
      <c r="G2200" s="323"/>
      <c r="H2200" s="71"/>
    </row>
    <row r="2201" customFormat="false" ht="15" hidden="false" customHeight="true" outlineLevel="0" collapsed="false">
      <c r="A2201" s="71"/>
      <c r="B2201" s="71"/>
      <c r="C2201" s="273"/>
      <c r="D2201" s="322"/>
      <c r="E2201" s="322"/>
      <c r="F2201" s="323"/>
      <c r="G2201" s="323"/>
      <c r="H2201" s="71"/>
    </row>
    <row r="2202" customFormat="false" ht="15" hidden="false" customHeight="true" outlineLevel="0" collapsed="false">
      <c r="A2202" s="71"/>
      <c r="B2202" s="71"/>
      <c r="C2202" s="273"/>
      <c r="D2202" s="322"/>
      <c r="E2202" s="322"/>
      <c r="F2202" s="323"/>
      <c r="G2202" s="323"/>
      <c r="H2202" s="71"/>
    </row>
    <row r="2203" customFormat="false" ht="15" hidden="false" customHeight="true" outlineLevel="0" collapsed="false">
      <c r="A2203" s="71"/>
      <c r="B2203" s="71"/>
      <c r="C2203" s="273"/>
      <c r="D2203" s="322"/>
      <c r="E2203" s="322"/>
      <c r="F2203" s="323"/>
      <c r="G2203" s="323"/>
      <c r="H2203" s="71"/>
    </row>
    <row r="2204" customFormat="false" ht="15" hidden="false" customHeight="true" outlineLevel="0" collapsed="false">
      <c r="A2204" s="71"/>
      <c r="B2204" s="71"/>
      <c r="C2204" s="273"/>
      <c r="D2204" s="322"/>
      <c r="E2204" s="322"/>
      <c r="F2204" s="323"/>
      <c r="G2204" s="323"/>
      <c r="H2204" s="71"/>
    </row>
    <row r="2205" customFormat="false" ht="15" hidden="false" customHeight="true" outlineLevel="0" collapsed="false">
      <c r="A2205" s="71"/>
      <c r="B2205" s="71"/>
      <c r="C2205" s="273"/>
      <c r="D2205" s="322"/>
      <c r="E2205" s="322"/>
      <c r="F2205" s="323"/>
      <c r="G2205" s="323"/>
      <c r="H2205" s="71"/>
    </row>
    <row r="2206" customFormat="false" ht="15" hidden="false" customHeight="true" outlineLevel="0" collapsed="false">
      <c r="A2206" s="71"/>
      <c r="B2206" s="71"/>
      <c r="C2206" s="273"/>
      <c r="D2206" s="322"/>
      <c r="E2206" s="322"/>
      <c r="F2206" s="323"/>
      <c r="G2206" s="323"/>
      <c r="H2206" s="71"/>
    </row>
    <row r="2207" customFormat="false" ht="15" hidden="false" customHeight="true" outlineLevel="0" collapsed="false">
      <c r="A2207" s="71"/>
      <c r="B2207" s="71"/>
      <c r="C2207" s="273"/>
      <c r="D2207" s="322"/>
      <c r="E2207" s="322"/>
      <c r="F2207" s="323"/>
      <c r="G2207" s="323"/>
      <c r="H2207" s="71"/>
    </row>
    <row r="2208" customFormat="false" ht="15" hidden="false" customHeight="true" outlineLevel="0" collapsed="false">
      <c r="A2208" s="71"/>
      <c r="B2208" s="71"/>
      <c r="C2208" s="273"/>
      <c r="D2208" s="322"/>
      <c r="E2208" s="322"/>
      <c r="F2208" s="323"/>
      <c r="G2208" s="323"/>
      <c r="H2208" s="71"/>
    </row>
    <row r="2209" customFormat="false" ht="15" hidden="false" customHeight="true" outlineLevel="0" collapsed="false">
      <c r="A2209" s="71"/>
      <c r="B2209" s="71"/>
      <c r="C2209" s="273"/>
      <c r="D2209" s="322"/>
      <c r="E2209" s="322"/>
      <c r="F2209" s="323"/>
      <c r="G2209" s="323"/>
      <c r="H2209" s="71"/>
    </row>
    <row r="2210" customFormat="false" ht="15" hidden="false" customHeight="true" outlineLevel="0" collapsed="false">
      <c r="A2210" s="71"/>
      <c r="B2210" s="71"/>
      <c r="C2210" s="273"/>
      <c r="D2210" s="322"/>
      <c r="E2210" s="322"/>
      <c r="F2210" s="323"/>
      <c r="G2210" s="323"/>
      <c r="H2210" s="71"/>
    </row>
    <row r="2211" customFormat="false" ht="15" hidden="false" customHeight="true" outlineLevel="0" collapsed="false">
      <c r="A2211" s="71"/>
      <c r="B2211" s="71"/>
      <c r="C2211" s="273"/>
      <c r="D2211" s="322"/>
      <c r="E2211" s="322"/>
      <c r="F2211" s="323"/>
      <c r="G2211" s="323"/>
      <c r="H2211" s="71"/>
    </row>
    <row r="2212" customFormat="false" ht="15" hidden="false" customHeight="true" outlineLevel="0" collapsed="false">
      <c r="A2212" s="71"/>
      <c r="B2212" s="71"/>
      <c r="C2212" s="273"/>
      <c r="D2212" s="322"/>
      <c r="E2212" s="322"/>
      <c r="F2212" s="323"/>
      <c r="G2212" s="323"/>
      <c r="H2212" s="71"/>
    </row>
    <row r="2213" customFormat="false" ht="15" hidden="false" customHeight="true" outlineLevel="0" collapsed="false">
      <c r="A2213" s="71"/>
      <c r="B2213" s="71"/>
      <c r="C2213" s="273"/>
      <c r="D2213" s="322"/>
      <c r="E2213" s="322"/>
      <c r="F2213" s="323"/>
      <c r="G2213" s="323"/>
      <c r="H2213" s="71"/>
    </row>
    <row r="2214" customFormat="false" ht="15" hidden="false" customHeight="true" outlineLevel="0" collapsed="false">
      <c r="A2214" s="71"/>
      <c r="B2214" s="71"/>
      <c r="C2214" s="273"/>
      <c r="D2214" s="322"/>
      <c r="E2214" s="322"/>
      <c r="F2214" s="323"/>
      <c r="G2214" s="323"/>
      <c r="H2214" s="71"/>
    </row>
    <row r="2215" customFormat="false" ht="15" hidden="false" customHeight="true" outlineLevel="0" collapsed="false">
      <c r="A2215" s="71"/>
      <c r="B2215" s="71"/>
      <c r="C2215" s="273"/>
      <c r="D2215" s="322"/>
      <c r="E2215" s="322"/>
      <c r="F2215" s="323"/>
      <c r="G2215" s="323"/>
      <c r="H2215" s="71"/>
    </row>
    <row r="2216" customFormat="false" ht="15" hidden="false" customHeight="true" outlineLevel="0" collapsed="false">
      <c r="A2216" s="71"/>
      <c r="B2216" s="71"/>
      <c r="C2216" s="273"/>
      <c r="D2216" s="322"/>
      <c r="E2216" s="322"/>
      <c r="F2216" s="323"/>
      <c r="G2216" s="323"/>
      <c r="H2216" s="71"/>
    </row>
    <row r="2217" customFormat="false" ht="15" hidden="false" customHeight="true" outlineLevel="0" collapsed="false">
      <c r="A2217" s="71"/>
      <c r="B2217" s="71"/>
      <c r="C2217" s="273"/>
      <c r="D2217" s="322"/>
      <c r="E2217" s="322"/>
      <c r="F2217" s="323"/>
      <c r="G2217" s="323"/>
      <c r="H2217" s="71"/>
    </row>
    <row r="2218" customFormat="false" ht="15" hidden="false" customHeight="true" outlineLevel="0" collapsed="false">
      <c r="A2218" s="71"/>
      <c r="B2218" s="71"/>
      <c r="C2218" s="273"/>
      <c r="D2218" s="322"/>
      <c r="E2218" s="322"/>
      <c r="F2218" s="323"/>
      <c r="G2218" s="323"/>
      <c r="H2218" s="71"/>
    </row>
    <row r="2219" customFormat="false" ht="15" hidden="false" customHeight="true" outlineLevel="0" collapsed="false">
      <c r="A2219" s="71"/>
      <c r="B2219" s="71"/>
      <c r="C2219" s="273"/>
      <c r="D2219" s="322"/>
      <c r="E2219" s="322"/>
      <c r="F2219" s="323"/>
      <c r="G2219" s="323"/>
      <c r="H2219" s="71"/>
    </row>
    <row r="2220" customFormat="false" ht="15" hidden="false" customHeight="true" outlineLevel="0" collapsed="false">
      <c r="A2220" s="71"/>
      <c r="B2220" s="71"/>
      <c r="C2220" s="273"/>
      <c r="D2220" s="322"/>
      <c r="E2220" s="322"/>
      <c r="F2220" s="323"/>
      <c r="G2220" s="323"/>
      <c r="H2220" s="71"/>
    </row>
    <row r="2221" customFormat="false" ht="15" hidden="false" customHeight="true" outlineLevel="0" collapsed="false">
      <c r="A2221" s="71"/>
      <c r="B2221" s="71"/>
      <c r="C2221" s="273"/>
      <c r="D2221" s="322"/>
      <c r="E2221" s="322"/>
      <c r="F2221" s="323"/>
      <c r="G2221" s="323"/>
      <c r="H2221" s="71"/>
    </row>
    <row r="2222" customFormat="false" ht="15" hidden="false" customHeight="true" outlineLevel="0" collapsed="false">
      <c r="A2222" s="71"/>
      <c r="B2222" s="71"/>
      <c r="C2222" s="273"/>
      <c r="D2222" s="322"/>
      <c r="E2222" s="322"/>
      <c r="F2222" s="323"/>
      <c r="G2222" s="323"/>
      <c r="H2222" s="71"/>
    </row>
    <row r="2223" customFormat="false" ht="15" hidden="false" customHeight="true" outlineLevel="0" collapsed="false">
      <c r="A2223" s="71"/>
      <c r="B2223" s="71"/>
      <c r="C2223" s="273"/>
      <c r="D2223" s="322"/>
      <c r="E2223" s="322"/>
      <c r="F2223" s="323"/>
      <c r="G2223" s="323"/>
      <c r="H2223" s="71"/>
    </row>
    <row r="2224" customFormat="false" ht="15" hidden="false" customHeight="true" outlineLevel="0" collapsed="false">
      <c r="A2224" s="71"/>
      <c r="B2224" s="71"/>
      <c r="C2224" s="273"/>
      <c r="D2224" s="322"/>
      <c r="E2224" s="322"/>
      <c r="F2224" s="323"/>
      <c r="G2224" s="323"/>
      <c r="H2224" s="71"/>
    </row>
    <row r="2225" customFormat="false" ht="15" hidden="false" customHeight="true" outlineLevel="0" collapsed="false">
      <c r="A2225" s="71"/>
      <c r="B2225" s="71"/>
      <c r="C2225" s="273"/>
      <c r="D2225" s="322"/>
      <c r="E2225" s="322"/>
      <c r="F2225" s="323"/>
      <c r="G2225" s="323"/>
      <c r="H2225" s="71"/>
    </row>
    <row r="2226" customFormat="false" ht="15" hidden="false" customHeight="true" outlineLevel="0" collapsed="false">
      <c r="A2226" s="71"/>
      <c r="B2226" s="71"/>
      <c r="C2226" s="273"/>
      <c r="D2226" s="322"/>
      <c r="E2226" s="322"/>
      <c r="F2226" s="323"/>
      <c r="G2226" s="323"/>
      <c r="H2226" s="71"/>
    </row>
    <row r="2227" customFormat="false" ht="15" hidden="false" customHeight="true" outlineLevel="0" collapsed="false">
      <c r="A2227" s="71"/>
      <c r="B2227" s="71"/>
      <c r="C2227" s="273"/>
      <c r="D2227" s="322"/>
      <c r="E2227" s="322"/>
      <c r="F2227" s="323"/>
      <c r="G2227" s="323"/>
      <c r="H2227" s="71"/>
    </row>
    <row r="2228" customFormat="false" ht="15" hidden="false" customHeight="true" outlineLevel="0" collapsed="false">
      <c r="A2228" s="71"/>
      <c r="B2228" s="71"/>
      <c r="C2228" s="273"/>
      <c r="D2228" s="322"/>
      <c r="E2228" s="322"/>
      <c r="F2228" s="323"/>
      <c r="G2228" s="323"/>
      <c r="H2228" s="71"/>
    </row>
    <row r="2229" customFormat="false" ht="15" hidden="false" customHeight="true" outlineLevel="0" collapsed="false">
      <c r="A2229" s="71"/>
      <c r="B2229" s="71"/>
      <c r="C2229" s="273"/>
      <c r="D2229" s="322"/>
      <c r="E2229" s="322"/>
      <c r="F2229" s="323"/>
      <c r="G2229" s="323"/>
      <c r="H2229" s="71"/>
    </row>
    <row r="2230" customFormat="false" ht="15" hidden="false" customHeight="true" outlineLevel="0" collapsed="false">
      <c r="A2230" s="71"/>
      <c r="B2230" s="71"/>
      <c r="C2230" s="273"/>
      <c r="D2230" s="322"/>
      <c r="E2230" s="322"/>
      <c r="F2230" s="323"/>
      <c r="G2230" s="323"/>
      <c r="H2230" s="71"/>
    </row>
    <row r="2231" customFormat="false" ht="15" hidden="false" customHeight="true" outlineLevel="0" collapsed="false">
      <c r="A2231" s="71"/>
      <c r="B2231" s="71"/>
      <c r="C2231" s="273"/>
      <c r="D2231" s="322"/>
      <c r="E2231" s="322"/>
      <c r="F2231" s="323"/>
      <c r="G2231" s="323"/>
      <c r="H2231" s="71"/>
    </row>
    <row r="2232" customFormat="false" ht="15" hidden="false" customHeight="true" outlineLevel="0" collapsed="false">
      <c r="A2232" s="71"/>
      <c r="B2232" s="71"/>
      <c r="C2232" s="273"/>
      <c r="D2232" s="322"/>
      <c r="E2232" s="322"/>
      <c r="F2232" s="323"/>
      <c r="G2232" s="323"/>
      <c r="H2232" s="71"/>
    </row>
    <row r="2233" customFormat="false" ht="15" hidden="false" customHeight="true" outlineLevel="0" collapsed="false">
      <c r="A2233" s="71"/>
      <c r="B2233" s="71"/>
      <c r="C2233" s="273"/>
      <c r="D2233" s="322"/>
      <c r="E2233" s="322"/>
      <c r="F2233" s="323"/>
      <c r="G2233" s="323"/>
      <c r="H2233" s="71"/>
    </row>
    <row r="2234" customFormat="false" ht="15" hidden="false" customHeight="true" outlineLevel="0" collapsed="false">
      <c r="A2234" s="71"/>
      <c r="B2234" s="71"/>
      <c r="C2234" s="273"/>
      <c r="D2234" s="322"/>
      <c r="E2234" s="322"/>
      <c r="F2234" s="323"/>
      <c r="G2234" s="323"/>
      <c r="H2234" s="71"/>
    </row>
    <row r="2235" customFormat="false" ht="15" hidden="false" customHeight="true" outlineLevel="0" collapsed="false">
      <c r="A2235" s="71"/>
      <c r="B2235" s="71"/>
      <c r="C2235" s="273"/>
      <c r="D2235" s="322"/>
      <c r="E2235" s="322"/>
      <c r="F2235" s="323"/>
      <c r="G2235" s="323"/>
      <c r="H2235" s="71"/>
    </row>
    <row r="2236" customFormat="false" ht="15" hidden="false" customHeight="true" outlineLevel="0" collapsed="false">
      <c r="A2236" s="71"/>
      <c r="B2236" s="71"/>
      <c r="C2236" s="273"/>
      <c r="D2236" s="322"/>
      <c r="E2236" s="322"/>
      <c r="F2236" s="323"/>
      <c r="G2236" s="323"/>
      <c r="H2236" s="71"/>
    </row>
    <row r="2237" customFormat="false" ht="15" hidden="false" customHeight="true" outlineLevel="0" collapsed="false">
      <c r="A2237" s="71"/>
      <c r="B2237" s="71"/>
      <c r="C2237" s="273"/>
      <c r="D2237" s="322"/>
      <c r="E2237" s="322"/>
      <c r="F2237" s="323"/>
      <c r="G2237" s="323"/>
      <c r="H2237" s="71"/>
    </row>
    <row r="2238" customFormat="false" ht="15" hidden="false" customHeight="true" outlineLevel="0" collapsed="false">
      <c r="A2238" s="71"/>
      <c r="B2238" s="71"/>
      <c r="C2238" s="273"/>
      <c r="D2238" s="322"/>
      <c r="E2238" s="322"/>
      <c r="F2238" s="323"/>
      <c r="G2238" s="323"/>
      <c r="H2238" s="71"/>
    </row>
    <row r="2239" customFormat="false" ht="15" hidden="false" customHeight="true" outlineLevel="0" collapsed="false">
      <c r="A2239" s="71"/>
      <c r="B2239" s="71"/>
      <c r="C2239" s="273"/>
      <c r="D2239" s="322"/>
      <c r="E2239" s="322"/>
      <c r="F2239" s="323"/>
      <c r="G2239" s="323"/>
      <c r="H2239" s="71"/>
    </row>
    <row r="2240" customFormat="false" ht="15" hidden="false" customHeight="true" outlineLevel="0" collapsed="false">
      <c r="A2240" s="71"/>
      <c r="B2240" s="71"/>
      <c r="C2240" s="273"/>
      <c r="D2240" s="322"/>
      <c r="E2240" s="322"/>
      <c r="F2240" s="323"/>
      <c r="G2240" s="323"/>
      <c r="H2240" s="71"/>
    </row>
    <row r="2241" customFormat="false" ht="15" hidden="false" customHeight="true" outlineLevel="0" collapsed="false">
      <c r="A2241" s="71"/>
      <c r="B2241" s="71"/>
      <c r="C2241" s="273"/>
      <c r="D2241" s="322"/>
      <c r="E2241" s="322"/>
      <c r="F2241" s="323"/>
      <c r="G2241" s="323"/>
      <c r="H2241" s="71"/>
    </row>
    <row r="2242" customFormat="false" ht="15" hidden="false" customHeight="true" outlineLevel="0" collapsed="false">
      <c r="A2242" s="71"/>
      <c r="B2242" s="71"/>
      <c r="C2242" s="273"/>
      <c r="D2242" s="322"/>
      <c r="E2242" s="322"/>
      <c r="F2242" s="323"/>
      <c r="G2242" s="323"/>
      <c r="H2242" s="71"/>
    </row>
    <row r="2243" customFormat="false" ht="15" hidden="false" customHeight="true" outlineLevel="0" collapsed="false">
      <c r="A2243" s="71"/>
      <c r="B2243" s="71"/>
      <c r="C2243" s="273"/>
      <c r="D2243" s="322"/>
      <c r="E2243" s="322"/>
      <c r="F2243" s="323"/>
      <c r="G2243" s="323"/>
      <c r="H2243" s="71"/>
    </row>
    <row r="2244" customFormat="false" ht="15" hidden="false" customHeight="true" outlineLevel="0" collapsed="false">
      <c r="A2244" s="71"/>
      <c r="B2244" s="71"/>
      <c r="C2244" s="273"/>
      <c r="D2244" s="322"/>
      <c r="E2244" s="322"/>
      <c r="F2244" s="323"/>
      <c r="G2244" s="323"/>
      <c r="H2244" s="71"/>
    </row>
    <row r="2245" customFormat="false" ht="15" hidden="false" customHeight="true" outlineLevel="0" collapsed="false">
      <c r="A2245" s="71"/>
      <c r="B2245" s="71"/>
      <c r="C2245" s="273"/>
      <c r="D2245" s="322"/>
      <c r="E2245" s="322"/>
      <c r="F2245" s="323"/>
      <c r="G2245" s="323"/>
      <c r="H2245" s="71"/>
    </row>
    <row r="2246" customFormat="false" ht="15" hidden="false" customHeight="true" outlineLevel="0" collapsed="false">
      <c r="A2246" s="71"/>
      <c r="B2246" s="71"/>
      <c r="C2246" s="273"/>
      <c r="D2246" s="322"/>
      <c r="E2246" s="322"/>
      <c r="F2246" s="323"/>
      <c r="G2246" s="323"/>
      <c r="H2246" s="71"/>
    </row>
    <row r="2247" customFormat="false" ht="15" hidden="false" customHeight="true" outlineLevel="0" collapsed="false">
      <c r="A2247" s="71"/>
      <c r="B2247" s="71"/>
      <c r="C2247" s="273"/>
      <c r="D2247" s="322"/>
      <c r="E2247" s="322"/>
      <c r="F2247" s="323"/>
      <c r="G2247" s="323"/>
      <c r="H2247" s="71"/>
    </row>
    <row r="2248" customFormat="false" ht="15" hidden="false" customHeight="true" outlineLevel="0" collapsed="false">
      <c r="A2248" s="71"/>
      <c r="B2248" s="71"/>
      <c r="C2248" s="273"/>
      <c r="D2248" s="322"/>
      <c r="E2248" s="322"/>
      <c r="F2248" s="323"/>
      <c r="G2248" s="323"/>
      <c r="H2248" s="71"/>
    </row>
    <row r="2249" customFormat="false" ht="15" hidden="false" customHeight="true" outlineLevel="0" collapsed="false">
      <c r="A2249" s="71"/>
      <c r="B2249" s="71"/>
      <c r="C2249" s="273"/>
      <c r="D2249" s="322"/>
      <c r="E2249" s="322"/>
      <c r="F2249" s="323"/>
      <c r="G2249" s="323"/>
      <c r="H2249" s="71"/>
    </row>
    <row r="2250" customFormat="false" ht="15" hidden="false" customHeight="true" outlineLevel="0" collapsed="false">
      <c r="A2250" s="71"/>
      <c r="B2250" s="71"/>
      <c r="C2250" s="273"/>
      <c r="D2250" s="322"/>
      <c r="E2250" s="322"/>
      <c r="F2250" s="323"/>
      <c r="G2250" s="323"/>
      <c r="H2250" s="71"/>
    </row>
    <row r="2251" customFormat="false" ht="15" hidden="false" customHeight="true" outlineLevel="0" collapsed="false">
      <c r="A2251" s="71"/>
      <c r="B2251" s="71"/>
      <c r="C2251" s="273"/>
      <c r="D2251" s="322"/>
      <c r="E2251" s="322"/>
      <c r="F2251" s="323"/>
      <c r="G2251" s="323"/>
      <c r="H2251" s="71"/>
    </row>
    <row r="2252" customFormat="false" ht="15" hidden="false" customHeight="true" outlineLevel="0" collapsed="false">
      <c r="A2252" s="71"/>
      <c r="B2252" s="71"/>
      <c r="C2252" s="273"/>
      <c r="D2252" s="322"/>
      <c r="E2252" s="322"/>
      <c r="F2252" s="323"/>
      <c r="G2252" s="323"/>
      <c r="H2252" s="71"/>
    </row>
    <row r="2253" customFormat="false" ht="15" hidden="false" customHeight="true" outlineLevel="0" collapsed="false">
      <c r="A2253" s="71"/>
      <c r="B2253" s="71"/>
      <c r="C2253" s="273"/>
      <c r="D2253" s="322"/>
      <c r="E2253" s="322"/>
      <c r="F2253" s="323"/>
      <c r="G2253" s="323"/>
      <c r="H2253" s="71"/>
    </row>
    <row r="2254" customFormat="false" ht="15" hidden="false" customHeight="true" outlineLevel="0" collapsed="false">
      <c r="A2254" s="71"/>
      <c r="B2254" s="71"/>
      <c r="C2254" s="273"/>
      <c r="D2254" s="322"/>
      <c r="E2254" s="322"/>
      <c r="F2254" s="323"/>
      <c r="G2254" s="323"/>
      <c r="H2254" s="71"/>
    </row>
    <row r="2255" customFormat="false" ht="15" hidden="false" customHeight="true" outlineLevel="0" collapsed="false">
      <c r="A2255" s="71"/>
      <c r="B2255" s="71"/>
      <c r="C2255" s="273"/>
      <c r="D2255" s="322"/>
      <c r="E2255" s="322"/>
      <c r="F2255" s="323"/>
      <c r="G2255" s="323"/>
      <c r="H2255" s="71"/>
    </row>
    <row r="2256" customFormat="false" ht="15" hidden="false" customHeight="true" outlineLevel="0" collapsed="false">
      <c r="A2256" s="71"/>
      <c r="B2256" s="71"/>
      <c r="C2256" s="273"/>
      <c r="D2256" s="322"/>
      <c r="E2256" s="322"/>
      <c r="F2256" s="323"/>
      <c r="G2256" s="323"/>
      <c r="H2256" s="71"/>
    </row>
    <row r="2257" customFormat="false" ht="15" hidden="false" customHeight="true" outlineLevel="0" collapsed="false">
      <c r="A2257" s="71"/>
      <c r="B2257" s="71"/>
      <c r="C2257" s="273"/>
      <c r="D2257" s="322"/>
      <c r="E2257" s="322"/>
      <c r="F2257" s="323"/>
      <c r="G2257" s="323"/>
      <c r="H2257" s="71"/>
    </row>
    <row r="2258" customFormat="false" ht="15" hidden="false" customHeight="true" outlineLevel="0" collapsed="false">
      <c r="A2258" s="71"/>
      <c r="B2258" s="71"/>
      <c r="C2258" s="273"/>
      <c r="D2258" s="322"/>
      <c r="E2258" s="322"/>
      <c r="F2258" s="323"/>
      <c r="G2258" s="323"/>
      <c r="H2258" s="71"/>
    </row>
    <row r="2259" customFormat="false" ht="15" hidden="false" customHeight="true" outlineLevel="0" collapsed="false">
      <c r="A2259" s="71"/>
      <c r="B2259" s="71"/>
      <c r="C2259" s="273"/>
      <c r="D2259" s="322"/>
      <c r="E2259" s="322"/>
      <c r="F2259" s="323"/>
      <c r="G2259" s="323"/>
      <c r="H2259" s="71"/>
    </row>
    <row r="2260" customFormat="false" ht="15" hidden="false" customHeight="true" outlineLevel="0" collapsed="false">
      <c r="A2260" s="71"/>
      <c r="B2260" s="71"/>
      <c r="C2260" s="273"/>
      <c r="D2260" s="322"/>
      <c r="E2260" s="322"/>
      <c r="F2260" s="323"/>
      <c r="G2260" s="323"/>
      <c r="H2260" s="71"/>
    </row>
    <row r="2261" customFormat="false" ht="15" hidden="false" customHeight="true" outlineLevel="0" collapsed="false">
      <c r="A2261" s="71"/>
      <c r="B2261" s="71"/>
      <c r="C2261" s="273"/>
      <c r="D2261" s="322"/>
      <c r="E2261" s="322"/>
      <c r="F2261" s="323"/>
      <c r="G2261" s="323"/>
      <c r="H2261" s="71"/>
    </row>
    <row r="2262" customFormat="false" ht="15" hidden="false" customHeight="true" outlineLevel="0" collapsed="false">
      <c r="A2262" s="71"/>
      <c r="B2262" s="71"/>
      <c r="C2262" s="273"/>
      <c r="D2262" s="322"/>
      <c r="E2262" s="322"/>
      <c r="F2262" s="323"/>
      <c r="G2262" s="323"/>
      <c r="H2262" s="71"/>
    </row>
    <row r="2263" customFormat="false" ht="15" hidden="false" customHeight="true" outlineLevel="0" collapsed="false">
      <c r="A2263" s="71"/>
      <c r="B2263" s="71"/>
      <c r="C2263" s="273"/>
      <c r="D2263" s="322"/>
      <c r="E2263" s="322"/>
      <c r="F2263" s="323"/>
      <c r="G2263" s="323"/>
      <c r="H2263" s="71"/>
    </row>
    <row r="2264" customFormat="false" ht="15" hidden="false" customHeight="true" outlineLevel="0" collapsed="false">
      <c r="A2264" s="71"/>
      <c r="B2264" s="71"/>
      <c r="C2264" s="273"/>
      <c r="D2264" s="322"/>
      <c r="E2264" s="322"/>
      <c r="F2264" s="323"/>
      <c r="G2264" s="323"/>
      <c r="H2264" s="71"/>
    </row>
    <row r="2265" customFormat="false" ht="15" hidden="false" customHeight="true" outlineLevel="0" collapsed="false">
      <c r="A2265" s="71"/>
      <c r="B2265" s="71"/>
      <c r="C2265" s="273"/>
      <c r="D2265" s="322"/>
      <c r="E2265" s="322"/>
      <c r="F2265" s="323"/>
      <c r="G2265" s="323"/>
      <c r="H2265" s="71"/>
    </row>
    <row r="2266" customFormat="false" ht="15" hidden="false" customHeight="true" outlineLevel="0" collapsed="false">
      <c r="A2266" s="71"/>
      <c r="B2266" s="71"/>
      <c r="C2266" s="273"/>
      <c r="D2266" s="322"/>
      <c r="E2266" s="322"/>
      <c r="F2266" s="323"/>
      <c r="G2266" s="323"/>
      <c r="H2266" s="71"/>
    </row>
    <row r="2267" customFormat="false" ht="15" hidden="false" customHeight="true" outlineLevel="0" collapsed="false">
      <c r="A2267" s="71"/>
      <c r="B2267" s="71"/>
      <c r="C2267" s="273"/>
      <c r="D2267" s="322"/>
      <c r="E2267" s="322"/>
      <c r="F2267" s="323"/>
      <c r="G2267" s="323"/>
      <c r="H2267" s="71"/>
    </row>
    <row r="2268" customFormat="false" ht="15" hidden="false" customHeight="true" outlineLevel="0" collapsed="false">
      <c r="A2268" s="71"/>
      <c r="B2268" s="71"/>
      <c r="C2268" s="273"/>
      <c r="D2268" s="322"/>
      <c r="E2268" s="322"/>
      <c r="F2268" s="323"/>
      <c r="G2268" s="323"/>
      <c r="H2268" s="71"/>
    </row>
    <row r="2269" customFormat="false" ht="15" hidden="false" customHeight="true" outlineLevel="0" collapsed="false">
      <c r="A2269" s="71"/>
      <c r="B2269" s="71"/>
      <c r="C2269" s="273"/>
      <c r="D2269" s="322"/>
      <c r="E2269" s="322"/>
      <c r="F2269" s="323"/>
      <c r="G2269" s="323"/>
      <c r="H2269" s="71"/>
    </row>
    <row r="2270" customFormat="false" ht="15" hidden="false" customHeight="true" outlineLevel="0" collapsed="false">
      <c r="A2270" s="71"/>
      <c r="B2270" s="71"/>
      <c r="C2270" s="273"/>
      <c r="D2270" s="322"/>
      <c r="E2270" s="322"/>
      <c r="F2270" s="323"/>
      <c r="G2270" s="323"/>
      <c r="H2270" s="71"/>
    </row>
    <row r="2271" customFormat="false" ht="15" hidden="false" customHeight="true" outlineLevel="0" collapsed="false">
      <c r="A2271" s="71"/>
      <c r="B2271" s="71"/>
      <c r="C2271" s="273"/>
      <c r="D2271" s="322"/>
      <c r="E2271" s="322"/>
      <c r="F2271" s="323"/>
      <c r="G2271" s="323"/>
      <c r="H2271" s="71"/>
    </row>
    <row r="2272" customFormat="false" ht="15" hidden="false" customHeight="true" outlineLevel="0" collapsed="false">
      <c r="A2272" s="71"/>
      <c r="B2272" s="71"/>
      <c r="C2272" s="273"/>
      <c r="D2272" s="322"/>
      <c r="E2272" s="322"/>
      <c r="F2272" s="323"/>
      <c r="G2272" s="323"/>
      <c r="H2272" s="71"/>
    </row>
    <row r="2273" customFormat="false" ht="15" hidden="false" customHeight="true" outlineLevel="0" collapsed="false">
      <c r="A2273" s="71"/>
      <c r="B2273" s="71"/>
      <c r="C2273" s="273"/>
      <c r="D2273" s="322"/>
      <c r="E2273" s="322"/>
      <c r="F2273" s="323"/>
      <c r="G2273" s="323"/>
      <c r="H2273" s="71"/>
    </row>
    <row r="2274" customFormat="false" ht="15" hidden="false" customHeight="true" outlineLevel="0" collapsed="false">
      <c r="A2274" s="71"/>
      <c r="B2274" s="71"/>
      <c r="C2274" s="273"/>
      <c r="D2274" s="322"/>
      <c r="E2274" s="322"/>
      <c r="F2274" s="323"/>
      <c r="G2274" s="323"/>
      <c r="H2274" s="71"/>
    </row>
    <row r="2275" customFormat="false" ht="15" hidden="false" customHeight="true" outlineLevel="0" collapsed="false">
      <c r="A2275" s="71"/>
      <c r="B2275" s="71"/>
      <c r="C2275" s="273"/>
      <c r="D2275" s="322"/>
      <c r="E2275" s="322"/>
      <c r="F2275" s="323"/>
      <c r="G2275" s="323"/>
      <c r="H2275" s="71"/>
    </row>
    <row r="2276" customFormat="false" ht="15" hidden="false" customHeight="true" outlineLevel="0" collapsed="false">
      <c r="A2276" s="71"/>
      <c r="B2276" s="71"/>
      <c r="C2276" s="273"/>
      <c r="D2276" s="322"/>
      <c r="E2276" s="322"/>
      <c r="F2276" s="323"/>
      <c r="G2276" s="323"/>
      <c r="H2276" s="71"/>
    </row>
    <row r="2277" customFormat="false" ht="15" hidden="false" customHeight="true" outlineLevel="0" collapsed="false">
      <c r="A2277" s="71"/>
      <c r="B2277" s="71"/>
      <c r="C2277" s="273"/>
      <c r="D2277" s="322"/>
      <c r="E2277" s="322"/>
      <c r="F2277" s="323"/>
      <c r="G2277" s="323"/>
      <c r="H2277" s="71"/>
    </row>
    <row r="2278" customFormat="false" ht="15" hidden="false" customHeight="true" outlineLevel="0" collapsed="false">
      <c r="A2278" s="71"/>
      <c r="B2278" s="71"/>
      <c r="C2278" s="273"/>
      <c r="D2278" s="322"/>
      <c r="E2278" s="322"/>
      <c r="F2278" s="323"/>
      <c r="G2278" s="323"/>
      <c r="H2278" s="71"/>
    </row>
    <row r="2279" customFormat="false" ht="15" hidden="false" customHeight="true" outlineLevel="0" collapsed="false">
      <c r="A2279" s="71"/>
      <c r="B2279" s="71"/>
      <c r="C2279" s="273"/>
      <c r="D2279" s="322"/>
      <c r="E2279" s="322"/>
      <c r="F2279" s="323"/>
      <c r="G2279" s="323"/>
      <c r="H2279" s="71"/>
    </row>
    <row r="2280" customFormat="false" ht="15" hidden="false" customHeight="true" outlineLevel="0" collapsed="false">
      <c r="A2280" s="71"/>
      <c r="B2280" s="71"/>
      <c r="C2280" s="273"/>
      <c r="D2280" s="322"/>
      <c r="E2280" s="322"/>
      <c r="F2280" s="323"/>
      <c r="G2280" s="323"/>
      <c r="H2280" s="71"/>
    </row>
    <row r="2281" customFormat="false" ht="15" hidden="false" customHeight="true" outlineLevel="0" collapsed="false">
      <c r="A2281" s="71"/>
      <c r="B2281" s="71"/>
      <c r="C2281" s="273"/>
      <c r="D2281" s="322"/>
      <c r="E2281" s="322"/>
      <c r="F2281" s="323"/>
      <c r="G2281" s="323"/>
      <c r="H2281" s="71"/>
    </row>
    <row r="2282" customFormat="false" ht="15" hidden="false" customHeight="true" outlineLevel="0" collapsed="false">
      <c r="A2282" s="71"/>
      <c r="B2282" s="71"/>
      <c r="C2282" s="273"/>
      <c r="D2282" s="322"/>
      <c r="E2282" s="322"/>
      <c r="F2282" s="323"/>
      <c r="G2282" s="323"/>
      <c r="H2282" s="71"/>
    </row>
    <row r="2283" customFormat="false" ht="15" hidden="false" customHeight="true" outlineLevel="0" collapsed="false">
      <c r="A2283" s="71"/>
      <c r="B2283" s="71"/>
      <c r="C2283" s="273"/>
      <c r="D2283" s="322"/>
      <c r="E2283" s="322"/>
      <c r="F2283" s="323"/>
      <c r="G2283" s="323"/>
      <c r="H2283" s="71"/>
    </row>
    <row r="2284" customFormat="false" ht="15" hidden="false" customHeight="true" outlineLevel="0" collapsed="false">
      <c r="A2284" s="71"/>
      <c r="B2284" s="71"/>
      <c r="C2284" s="273"/>
      <c r="D2284" s="322"/>
      <c r="E2284" s="322"/>
      <c r="F2284" s="323"/>
      <c r="G2284" s="323"/>
      <c r="H2284" s="71"/>
    </row>
    <row r="2285" customFormat="false" ht="15" hidden="false" customHeight="true" outlineLevel="0" collapsed="false">
      <c r="A2285" s="71"/>
      <c r="B2285" s="71"/>
      <c r="C2285" s="273"/>
      <c r="D2285" s="322"/>
      <c r="E2285" s="322"/>
      <c r="F2285" s="323"/>
      <c r="G2285" s="323"/>
      <c r="H2285" s="71"/>
    </row>
    <row r="2286" customFormat="false" ht="15" hidden="false" customHeight="true" outlineLevel="0" collapsed="false">
      <c r="A2286" s="71"/>
      <c r="B2286" s="71"/>
      <c r="C2286" s="273"/>
      <c r="D2286" s="322"/>
      <c r="E2286" s="322"/>
      <c r="F2286" s="323"/>
      <c r="G2286" s="323"/>
      <c r="H2286" s="71"/>
    </row>
    <row r="2287" customFormat="false" ht="15" hidden="false" customHeight="true" outlineLevel="0" collapsed="false">
      <c r="A2287" s="71"/>
      <c r="B2287" s="71"/>
      <c r="C2287" s="273"/>
      <c r="D2287" s="322"/>
      <c r="E2287" s="322"/>
      <c r="F2287" s="323"/>
      <c r="G2287" s="323"/>
      <c r="H2287" s="71"/>
    </row>
    <row r="2288" customFormat="false" ht="15" hidden="false" customHeight="true" outlineLevel="0" collapsed="false">
      <c r="A2288" s="71"/>
      <c r="B2288" s="71"/>
      <c r="C2288" s="273"/>
      <c r="D2288" s="322"/>
      <c r="E2288" s="322"/>
      <c r="F2288" s="323"/>
      <c r="G2288" s="323"/>
      <c r="H2288" s="71"/>
    </row>
    <row r="2289" customFormat="false" ht="15" hidden="false" customHeight="true" outlineLevel="0" collapsed="false">
      <c r="A2289" s="71"/>
      <c r="B2289" s="71"/>
      <c r="C2289" s="273"/>
      <c r="D2289" s="322"/>
      <c r="E2289" s="322"/>
      <c r="F2289" s="323"/>
      <c r="G2289" s="323"/>
      <c r="H2289" s="71"/>
    </row>
    <row r="2290" customFormat="false" ht="15" hidden="false" customHeight="true" outlineLevel="0" collapsed="false">
      <c r="A2290" s="71"/>
      <c r="B2290" s="71"/>
      <c r="C2290" s="273"/>
      <c r="D2290" s="322"/>
      <c r="E2290" s="322"/>
      <c r="F2290" s="323"/>
      <c r="G2290" s="323"/>
      <c r="H2290" s="71"/>
    </row>
    <row r="2291" customFormat="false" ht="15" hidden="false" customHeight="true" outlineLevel="0" collapsed="false">
      <c r="A2291" s="71"/>
      <c r="B2291" s="71"/>
      <c r="C2291" s="273"/>
      <c r="D2291" s="322"/>
      <c r="E2291" s="322"/>
      <c r="F2291" s="323"/>
      <c r="G2291" s="323"/>
      <c r="H2291" s="71"/>
    </row>
    <row r="2292" customFormat="false" ht="15" hidden="false" customHeight="true" outlineLevel="0" collapsed="false">
      <c r="A2292" s="71"/>
      <c r="B2292" s="71"/>
      <c r="C2292" s="273"/>
      <c r="D2292" s="322"/>
      <c r="E2292" s="322"/>
      <c r="F2292" s="323"/>
      <c r="G2292" s="323"/>
      <c r="H2292" s="71"/>
    </row>
    <row r="2293" customFormat="false" ht="15" hidden="false" customHeight="true" outlineLevel="0" collapsed="false">
      <c r="A2293" s="71"/>
      <c r="B2293" s="71"/>
      <c r="C2293" s="273"/>
      <c r="D2293" s="322"/>
      <c r="E2293" s="322"/>
      <c r="F2293" s="323"/>
      <c r="G2293" s="323"/>
      <c r="H2293" s="71"/>
    </row>
    <row r="2294" customFormat="false" ht="15" hidden="false" customHeight="true" outlineLevel="0" collapsed="false">
      <c r="A2294" s="71"/>
      <c r="B2294" s="71"/>
      <c r="C2294" s="273"/>
      <c r="D2294" s="322"/>
      <c r="E2294" s="322"/>
      <c r="F2294" s="323"/>
      <c r="G2294" s="323"/>
      <c r="H2294" s="71"/>
    </row>
    <row r="2295" customFormat="false" ht="15" hidden="false" customHeight="true" outlineLevel="0" collapsed="false">
      <c r="A2295" s="71"/>
      <c r="B2295" s="71"/>
      <c r="C2295" s="273"/>
      <c r="D2295" s="322"/>
      <c r="E2295" s="322"/>
      <c r="F2295" s="323"/>
      <c r="G2295" s="323"/>
      <c r="H2295" s="71"/>
    </row>
    <row r="2296" customFormat="false" ht="15" hidden="false" customHeight="true" outlineLevel="0" collapsed="false">
      <c r="A2296" s="71"/>
      <c r="B2296" s="71"/>
      <c r="C2296" s="273"/>
      <c r="D2296" s="322"/>
      <c r="E2296" s="322"/>
      <c r="F2296" s="323"/>
      <c r="G2296" s="323"/>
      <c r="H2296" s="71"/>
    </row>
    <row r="2297" customFormat="false" ht="15" hidden="false" customHeight="true" outlineLevel="0" collapsed="false">
      <c r="A2297" s="71"/>
      <c r="B2297" s="71"/>
      <c r="C2297" s="273"/>
      <c r="D2297" s="322"/>
      <c r="E2297" s="322"/>
      <c r="F2297" s="323"/>
      <c r="G2297" s="323"/>
      <c r="H2297" s="71"/>
    </row>
    <row r="2298" customFormat="false" ht="15" hidden="false" customHeight="true" outlineLevel="0" collapsed="false">
      <c r="A2298" s="71"/>
      <c r="B2298" s="71"/>
      <c r="C2298" s="273"/>
      <c r="D2298" s="322"/>
      <c r="E2298" s="322"/>
      <c r="F2298" s="323"/>
      <c r="G2298" s="323"/>
      <c r="H2298" s="71"/>
    </row>
    <row r="2299" customFormat="false" ht="15" hidden="false" customHeight="true" outlineLevel="0" collapsed="false">
      <c r="A2299" s="71"/>
      <c r="B2299" s="71"/>
      <c r="C2299" s="273"/>
      <c r="D2299" s="322"/>
      <c r="E2299" s="322"/>
      <c r="F2299" s="323"/>
      <c r="G2299" s="323"/>
      <c r="H2299" s="71"/>
    </row>
    <row r="2300" customFormat="false" ht="15" hidden="false" customHeight="true" outlineLevel="0" collapsed="false">
      <c r="A2300" s="71"/>
      <c r="B2300" s="71"/>
      <c r="C2300" s="273"/>
      <c r="D2300" s="322"/>
      <c r="E2300" s="322"/>
      <c r="F2300" s="323"/>
      <c r="G2300" s="323"/>
      <c r="H2300" s="71"/>
    </row>
    <row r="2301" customFormat="false" ht="15" hidden="false" customHeight="true" outlineLevel="0" collapsed="false">
      <c r="A2301" s="71"/>
      <c r="B2301" s="71"/>
      <c r="C2301" s="273"/>
      <c r="D2301" s="322"/>
      <c r="E2301" s="322"/>
      <c r="F2301" s="323"/>
      <c r="G2301" s="323"/>
      <c r="H2301" s="71"/>
    </row>
    <row r="2302" customFormat="false" ht="15" hidden="false" customHeight="true" outlineLevel="0" collapsed="false">
      <c r="A2302" s="71"/>
      <c r="B2302" s="71"/>
      <c r="C2302" s="273"/>
      <c r="D2302" s="322"/>
      <c r="E2302" s="322"/>
      <c r="F2302" s="323"/>
      <c r="G2302" s="323"/>
      <c r="H2302" s="71"/>
    </row>
    <row r="2303" customFormat="false" ht="15" hidden="false" customHeight="true" outlineLevel="0" collapsed="false">
      <c r="A2303" s="71"/>
      <c r="B2303" s="71"/>
      <c r="C2303" s="273"/>
      <c r="D2303" s="322"/>
      <c r="E2303" s="322"/>
      <c r="F2303" s="323"/>
      <c r="G2303" s="323"/>
      <c r="H2303" s="71"/>
    </row>
    <row r="2304" customFormat="false" ht="15" hidden="false" customHeight="true" outlineLevel="0" collapsed="false">
      <c r="A2304" s="71"/>
      <c r="B2304" s="71"/>
      <c r="C2304" s="273"/>
      <c r="D2304" s="322"/>
      <c r="E2304" s="322"/>
      <c r="F2304" s="323"/>
      <c r="G2304" s="323"/>
      <c r="H2304" s="71"/>
    </row>
    <row r="2305" customFormat="false" ht="15" hidden="false" customHeight="true" outlineLevel="0" collapsed="false">
      <c r="A2305" s="71"/>
      <c r="B2305" s="71"/>
      <c r="C2305" s="273"/>
      <c r="D2305" s="322"/>
      <c r="E2305" s="322"/>
      <c r="F2305" s="323"/>
      <c r="G2305" s="323"/>
      <c r="H2305" s="71"/>
    </row>
    <row r="2306" customFormat="false" ht="15" hidden="false" customHeight="true" outlineLevel="0" collapsed="false">
      <c r="A2306" s="71"/>
      <c r="B2306" s="71"/>
      <c r="C2306" s="273"/>
      <c r="D2306" s="322"/>
      <c r="E2306" s="322"/>
      <c r="F2306" s="323"/>
      <c r="G2306" s="323"/>
      <c r="H2306" s="71"/>
    </row>
    <row r="2307" customFormat="false" ht="15" hidden="false" customHeight="true" outlineLevel="0" collapsed="false">
      <c r="A2307" s="71"/>
      <c r="B2307" s="71"/>
      <c r="C2307" s="273"/>
      <c r="D2307" s="322"/>
      <c r="E2307" s="322"/>
      <c r="F2307" s="323"/>
      <c r="G2307" s="323"/>
      <c r="H2307" s="71"/>
    </row>
    <row r="2308" customFormat="false" ht="15" hidden="false" customHeight="true" outlineLevel="0" collapsed="false">
      <c r="A2308" s="71"/>
      <c r="B2308" s="71"/>
      <c r="C2308" s="273"/>
      <c r="D2308" s="322"/>
      <c r="E2308" s="322"/>
      <c r="F2308" s="323"/>
      <c r="G2308" s="323"/>
      <c r="H2308" s="71"/>
    </row>
    <row r="2309" customFormat="false" ht="15" hidden="false" customHeight="true" outlineLevel="0" collapsed="false">
      <c r="A2309" s="71"/>
      <c r="B2309" s="71"/>
      <c r="C2309" s="273"/>
      <c r="D2309" s="322"/>
      <c r="E2309" s="322"/>
      <c r="F2309" s="323"/>
      <c r="G2309" s="323"/>
      <c r="H2309" s="71"/>
    </row>
    <row r="2310" customFormat="false" ht="15" hidden="false" customHeight="true" outlineLevel="0" collapsed="false">
      <c r="A2310" s="71"/>
      <c r="B2310" s="71"/>
      <c r="C2310" s="273"/>
      <c r="D2310" s="322"/>
      <c r="E2310" s="322"/>
      <c r="F2310" s="323"/>
      <c r="G2310" s="323"/>
      <c r="H2310" s="71"/>
    </row>
    <row r="2311" customFormat="false" ht="15" hidden="false" customHeight="true" outlineLevel="0" collapsed="false">
      <c r="A2311" s="71"/>
      <c r="B2311" s="71"/>
      <c r="C2311" s="273"/>
      <c r="D2311" s="322"/>
      <c r="E2311" s="322"/>
      <c r="F2311" s="323"/>
      <c r="G2311" s="323"/>
      <c r="H2311" s="71"/>
    </row>
    <row r="2312" customFormat="false" ht="15" hidden="false" customHeight="true" outlineLevel="0" collapsed="false">
      <c r="A2312" s="71"/>
      <c r="B2312" s="71"/>
      <c r="C2312" s="273"/>
      <c r="D2312" s="322"/>
      <c r="E2312" s="322"/>
      <c r="F2312" s="323"/>
      <c r="G2312" s="323"/>
      <c r="H2312" s="71"/>
    </row>
    <row r="2313" customFormat="false" ht="15" hidden="false" customHeight="true" outlineLevel="0" collapsed="false">
      <c r="A2313" s="71"/>
      <c r="B2313" s="71"/>
      <c r="C2313" s="273"/>
      <c r="D2313" s="322"/>
      <c r="E2313" s="322"/>
      <c r="F2313" s="323"/>
      <c r="G2313" s="323"/>
      <c r="H2313" s="71"/>
    </row>
    <row r="2314" customFormat="false" ht="15" hidden="false" customHeight="true" outlineLevel="0" collapsed="false">
      <c r="A2314" s="71"/>
      <c r="B2314" s="71"/>
      <c r="C2314" s="273"/>
      <c r="D2314" s="322"/>
      <c r="E2314" s="322"/>
      <c r="F2314" s="323"/>
      <c r="G2314" s="323"/>
      <c r="H2314" s="71"/>
    </row>
    <row r="2315" customFormat="false" ht="15" hidden="false" customHeight="true" outlineLevel="0" collapsed="false">
      <c r="A2315" s="71"/>
      <c r="B2315" s="71"/>
      <c r="C2315" s="273"/>
      <c r="D2315" s="322"/>
      <c r="E2315" s="322"/>
      <c r="F2315" s="323"/>
      <c r="G2315" s="323"/>
      <c r="H2315" s="71"/>
    </row>
    <row r="2316" customFormat="false" ht="15" hidden="false" customHeight="true" outlineLevel="0" collapsed="false">
      <c r="A2316" s="71"/>
      <c r="B2316" s="71"/>
      <c r="C2316" s="273"/>
      <c r="D2316" s="322"/>
      <c r="E2316" s="322"/>
      <c r="F2316" s="323"/>
      <c r="G2316" s="323"/>
      <c r="H2316" s="71"/>
    </row>
    <row r="2317" customFormat="false" ht="15" hidden="false" customHeight="true" outlineLevel="0" collapsed="false">
      <c r="A2317" s="71"/>
      <c r="B2317" s="71"/>
      <c r="C2317" s="273"/>
      <c r="D2317" s="322"/>
      <c r="E2317" s="322"/>
      <c r="F2317" s="323"/>
      <c r="G2317" s="323"/>
      <c r="H2317" s="71"/>
    </row>
    <row r="2318" customFormat="false" ht="15" hidden="false" customHeight="true" outlineLevel="0" collapsed="false">
      <c r="A2318" s="71"/>
      <c r="B2318" s="71"/>
      <c r="C2318" s="273"/>
      <c r="D2318" s="322"/>
      <c r="E2318" s="322"/>
      <c r="F2318" s="323"/>
      <c r="G2318" s="323"/>
      <c r="H2318" s="71"/>
    </row>
    <row r="2319" customFormat="false" ht="15" hidden="false" customHeight="true" outlineLevel="0" collapsed="false">
      <c r="A2319" s="71"/>
      <c r="B2319" s="71"/>
      <c r="C2319" s="273"/>
      <c r="D2319" s="322"/>
      <c r="E2319" s="322"/>
      <c r="F2319" s="323"/>
      <c r="G2319" s="323"/>
      <c r="H2319" s="71"/>
    </row>
    <row r="2320" customFormat="false" ht="15" hidden="false" customHeight="true" outlineLevel="0" collapsed="false">
      <c r="A2320" s="71"/>
      <c r="B2320" s="71"/>
      <c r="C2320" s="273"/>
      <c r="D2320" s="322"/>
      <c r="E2320" s="322"/>
      <c r="F2320" s="323"/>
      <c r="G2320" s="323"/>
      <c r="H2320" s="71"/>
    </row>
    <row r="2321" customFormat="false" ht="15" hidden="false" customHeight="true" outlineLevel="0" collapsed="false">
      <c r="A2321" s="71"/>
      <c r="B2321" s="71"/>
      <c r="C2321" s="273"/>
      <c r="D2321" s="322"/>
      <c r="E2321" s="322"/>
      <c r="F2321" s="323"/>
      <c r="G2321" s="323"/>
      <c r="H2321" s="71"/>
    </row>
    <row r="2322" customFormat="false" ht="15" hidden="false" customHeight="true" outlineLevel="0" collapsed="false">
      <c r="A2322" s="71"/>
      <c r="B2322" s="71"/>
      <c r="C2322" s="273"/>
      <c r="D2322" s="322"/>
      <c r="E2322" s="322"/>
      <c r="F2322" s="323"/>
      <c r="G2322" s="323"/>
      <c r="H2322" s="71"/>
    </row>
    <row r="2323" customFormat="false" ht="15" hidden="false" customHeight="true" outlineLevel="0" collapsed="false">
      <c r="A2323" s="71"/>
      <c r="B2323" s="71"/>
      <c r="C2323" s="273"/>
      <c r="D2323" s="322"/>
      <c r="E2323" s="322"/>
      <c r="F2323" s="323"/>
      <c r="G2323" s="323"/>
      <c r="H2323" s="71"/>
    </row>
    <row r="2324" customFormat="false" ht="15" hidden="false" customHeight="true" outlineLevel="0" collapsed="false">
      <c r="A2324" s="71"/>
      <c r="B2324" s="71"/>
      <c r="C2324" s="273"/>
      <c r="D2324" s="322"/>
      <c r="E2324" s="322"/>
      <c r="F2324" s="323"/>
      <c r="G2324" s="323"/>
      <c r="H2324" s="71"/>
    </row>
    <row r="2325" customFormat="false" ht="15" hidden="false" customHeight="true" outlineLevel="0" collapsed="false">
      <c r="A2325" s="71"/>
      <c r="B2325" s="71"/>
      <c r="C2325" s="273"/>
      <c r="D2325" s="322"/>
      <c r="E2325" s="322"/>
      <c r="F2325" s="323"/>
      <c r="G2325" s="323"/>
      <c r="H2325" s="71"/>
    </row>
    <row r="2326" customFormat="false" ht="15" hidden="false" customHeight="true" outlineLevel="0" collapsed="false">
      <c r="A2326" s="71"/>
      <c r="B2326" s="71"/>
      <c r="C2326" s="273"/>
      <c r="D2326" s="322"/>
      <c r="E2326" s="322"/>
      <c r="F2326" s="323"/>
      <c r="G2326" s="323"/>
      <c r="H2326" s="71"/>
    </row>
    <row r="2327" customFormat="false" ht="15" hidden="false" customHeight="true" outlineLevel="0" collapsed="false">
      <c r="A2327" s="71"/>
      <c r="B2327" s="71"/>
      <c r="C2327" s="273"/>
      <c r="D2327" s="322"/>
      <c r="E2327" s="322"/>
      <c r="F2327" s="323"/>
      <c r="G2327" s="323"/>
      <c r="H2327" s="71"/>
    </row>
    <row r="2328" customFormat="false" ht="15" hidden="false" customHeight="true" outlineLevel="0" collapsed="false">
      <c r="A2328" s="71"/>
      <c r="B2328" s="71"/>
      <c r="C2328" s="273"/>
      <c r="D2328" s="322"/>
      <c r="E2328" s="322"/>
      <c r="F2328" s="323"/>
      <c r="G2328" s="323"/>
      <c r="H2328" s="71"/>
    </row>
    <row r="2329" customFormat="false" ht="15" hidden="false" customHeight="true" outlineLevel="0" collapsed="false">
      <c r="A2329" s="71"/>
      <c r="B2329" s="71"/>
      <c r="C2329" s="273"/>
      <c r="D2329" s="322"/>
      <c r="E2329" s="322"/>
      <c r="F2329" s="323"/>
      <c r="G2329" s="323"/>
      <c r="H2329" s="71"/>
    </row>
    <row r="2330" customFormat="false" ht="15" hidden="false" customHeight="true" outlineLevel="0" collapsed="false">
      <c r="A2330" s="71"/>
      <c r="B2330" s="71"/>
      <c r="C2330" s="273"/>
      <c r="D2330" s="322"/>
      <c r="E2330" s="322"/>
      <c r="F2330" s="323"/>
      <c r="G2330" s="323"/>
      <c r="H2330" s="71"/>
    </row>
    <row r="2331" customFormat="false" ht="15" hidden="false" customHeight="true" outlineLevel="0" collapsed="false">
      <c r="A2331" s="71"/>
      <c r="B2331" s="71"/>
      <c r="C2331" s="273"/>
      <c r="D2331" s="322"/>
      <c r="E2331" s="322"/>
      <c r="F2331" s="323"/>
      <c r="G2331" s="323"/>
      <c r="H2331" s="71"/>
    </row>
    <row r="2332" customFormat="false" ht="15" hidden="false" customHeight="true" outlineLevel="0" collapsed="false">
      <c r="A2332" s="71"/>
      <c r="B2332" s="71"/>
      <c r="C2332" s="273"/>
      <c r="D2332" s="322"/>
      <c r="E2332" s="322"/>
      <c r="F2332" s="323"/>
      <c r="G2332" s="323"/>
      <c r="H2332" s="71"/>
    </row>
    <row r="2333" customFormat="false" ht="15" hidden="false" customHeight="true" outlineLevel="0" collapsed="false">
      <c r="A2333" s="71"/>
      <c r="B2333" s="71"/>
      <c r="C2333" s="273"/>
      <c r="D2333" s="322"/>
      <c r="E2333" s="322"/>
      <c r="F2333" s="323"/>
      <c r="G2333" s="323"/>
      <c r="H2333" s="71"/>
    </row>
    <row r="2334" customFormat="false" ht="15" hidden="false" customHeight="true" outlineLevel="0" collapsed="false">
      <c r="A2334" s="71"/>
      <c r="B2334" s="71"/>
      <c r="C2334" s="273"/>
      <c r="D2334" s="322"/>
      <c r="E2334" s="322"/>
      <c r="F2334" s="323"/>
      <c r="G2334" s="323"/>
      <c r="H2334" s="71"/>
    </row>
    <row r="2335" customFormat="false" ht="15" hidden="false" customHeight="true" outlineLevel="0" collapsed="false">
      <c r="A2335" s="71"/>
      <c r="B2335" s="71"/>
      <c r="C2335" s="273"/>
      <c r="D2335" s="322"/>
      <c r="E2335" s="322"/>
      <c r="F2335" s="323"/>
      <c r="G2335" s="323"/>
      <c r="H2335" s="71"/>
    </row>
    <row r="2336" customFormat="false" ht="15" hidden="false" customHeight="true" outlineLevel="0" collapsed="false">
      <c r="A2336" s="71"/>
      <c r="B2336" s="71"/>
      <c r="C2336" s="273"/>
      <c r="D2336" s="322"/>
      <c r="E2336" s="322"/>
      <c r="F2336" s="323"/>
      <c r="G2336" s="323"/>
      <c r="H2336" s="71"/>
    </row>
    <row r="2337" customFormat="false" ht="15" hidden="false" customHeight="true" outlineLevel="0" collapsed="false">
      <c r="A2337" s="71"/>
      <c r="B2337" s="71"/>
      <c r="C2337" s="273"/>
      <c r="D2337" s="322"/>
      <c r="E2337" s="322"/>
      <c r="F2337" s="323"/>
      <c r="G2337" s="323"/>
      <c r="H2337" s="71"/>
    </row>
    <row r="2338" customFormat="false" ht="15" hidden="false" customHeight="true" outlineLevel="0" collapsed="false">
      <c r="A2338" s="71"/>
      <c r="B2338" s="71"/>
      <c r="C2338" s="273"/>
      <c r="D2338" s="322"/>
      <c r="E2338" s="322"/>
      <c r="F2338" s="323"/>
      <c r="G2338" s="323"/>
      <c r="H2338" s="71"/>
    </row>
    <row r="2339" customFormat="false" ht="15" hidden="false" customHeight="true" outlineLevel="0" collapsed="false">
      <c r="A2339" s="71"/>
      <c r="B2339" s="71"/>
      <c r="C2339" s="273"/>
      <c r="D2339" s="322"/>
      <c r="E2339" s="322"/>
      <c r="F2339" s="323"/>
      <c r="G2339" s="323"/>
      <c r="H2339" s="71"/>
    </row>
    <row r="2340" customFormat="false" ht="15" hidden="false" customHeight="true" outlineLevel="0" collapsed="false">
      <c r="A2340" s="71"/>
      <c r="B2340" s="71"/>
      <c r="C2340" s="273"/>
      <c r="D2340" s="322"/>
      <c r="E2340" s="322"/>
      <c r="F2340" s="323"/>
      <c r="G2340" s="323"/>
      <c r="H2340" s="71"/>
    </row>
    <row r="2341" customFormat="false" ht="15" hidden="false" customHeight="true" outlineLevel="0" collapsed="false">
      <c r="A2341" s="71"/>
      <c r="B2341" s="71"/>
      <c r="C2341" s="273"/>
      <c r="D2341" s="322"/>
      <c r="E2341" s="322"/>
      <c r="F2341" s="323"/>
      <c r="G2341" s="323"/>
      <c r="H2341" s="71"/>
    </row>
    <row r="2342" customFormat="false" ht="15" hidden="false" customHeight="true" outlineLevel="0" collapsed="false">
      <c r="A2342" s="71"/>
      <c r="B2342" s="71"/>
      <c r="C2342" s="273"/>
      <c r="D2342" s="322"/>
      <c r="E2342" s="322"/>
      <c r="F2342" s="323"/>
      <c r="G2342" s="323"/>
      <c r="H2342" s="71"/>
    </row>
    <row r="2343" customFormat="false" ht="15" hidden="false" customHeight="true" outlineLevel="0" collapsed="false">
      <c r="A2343" s="71"/>
      <c r="B2343" s="71"/>
      <c r="C2343" s="273"/>
      <c r="D2343" s="322"/>
      <c r="E2343" s="322"/>
      <c r="F2343" s="323"/>
      <c r="G2343" s="323"/>
      <c r="H2343" s="71"/>
    </row>
    <row r="2344" customFormat="false" ht="15" hidden="false" customHeight="true" outlineLevel="0" collapsed="false">
      <c r="A2344" s="71"/>
      <c r="B2344" s="71"/>
      <c r="C2344" s="273"/>
      <c r="D2344" s="322"/>
      <c r="E2344" s="322"/>
      <c r="F2344" s="323"/>
      <c r="G2344" s="323"/>
      <c r="H2344" s="71"/>
    </row>
    <row r="2345" customFormat="false" ht="15" hidden="false" customHeight="true" outlineLevel="0" collapsed="false">
      <c r="A2345" s="71"/>
      <c r="B2345" s="71"/>
      <c r="C2345" s="273"/>
      <c r="D2345" s="322"/>
      <c r="E2345" s="322"/>
      <c r="F2345" s="323"/>
      <c r="G2345" s="323"/>
      <c r="H2345" s="71"/>
    </row>
    <row r="2346" customFormat="false" ht="15" hidden="false" customHeight="true" outlineLevel="0" collapsed="false">
      <c r="A2346" s="71"/>
      <c r="B2346" s="71"/>
      <c r="C2346" s="273"/>
      <c r="D2346" s="322"/>
      <c r="E2346" s="322"/>
      <c r="F2346" s="323"/>
      <c r="G2346" s="323"/>
      <c r="H2346" s="71"/>
    </row>
    <row r="2347" customFormat="false" ht="15" hidden="false" customHeight="true" outlineLevel="0" collapsed="false">
      <c r="A2347" s="71"/>
      <c r="B2347" s="71"/>
      <c r="C2347" s="273"/>
      <c r="D2347" s="322"/>
      <c r="E2347" s="322"/>
      <c r="F2347" s="323"/>
      <c r="G2347" s="323"/>
      <c r="H2347" s="71"/>
    </row>
    <row r="2348" customFormat="false" ht="15" hidden="false" customHeight="true" outlineLevel="0" collapsed="false">
      <c r="A2348" s="71"/>
      <c r="B2348" s="71"/>
      <c r="C2348" s="273"/>
      <c r="D2348" s="322"/>
      <c r="E2348" s="322"/>
      <c r="F2348" s="323"/>
      <c r="G2348" s="323"/>
      <c r="H2348" s="71"/>
    </row>
    <row r="2349" customFormat="false" ht="15" hidden="false" customHeight="true" outlineLevel="0" collapsed="false">
      <c r="A2349" s="71"/>
      <c r="B2349" s="71"/>
      <c r="C2349" s="273"/>
      <c r="D2349" s="322"/>
      <c r="E2349" s="322"/>
      <c r="F2349" s="323"/>
      <c r="G2349" s="323"/>
      <c r="H2349" s="71"/>
    </row>
    <row r="2350" customFormat="false" ht="15" hidden="false" customHeight="true" outlineLevel="0" collapsed="false">
      <c r="A2350" s="71"/>
      <c r="B2350" s="71"/>
      <c r="C2350" s="273"/>
      <c r="D2350" s="322"/>
      <c r="E2350" s="322"/>
      <c r="F2350" s="323"/>
      <c r="G2350" s="323"/>
      <c r="H2350" s="71"/>
    </row>
    <row r="2351" customFormat="false" ht="15" hidden="false" customHeight="true" outlineLevel="0" collapsed="false">
      <c r="A2351" s="71"/>
      <c r="B2351" s="71"/>
      <c r="C2351" s="273"/>
      <c r="D2351" s="322"/>
      <c r="E2351" s="322"/>
      <c r="F2351" s="323"/>
      <c r="G2351" s="323"/>
      <c r="H2351" s="71"/>
    </row>
    <row r="2352" customFormat="false" ht="15" hidden="false" customHeight="true" outlineLevel="0" collapsed="false">
      <c r="A2352" s="71"/>
      <c r="B2352" s="71"/>
      <c r="C2352" s="273"/>
      <c r="D2352" s="322"/>
      <c r="E2352" s="322"/>
      <c r="F2352" s="323"/>
      <c r="G2352" s="323"/>
      <c r="H2352" s="71"/>
    </row>
    <row r="2353" customFormat="false" ht="15" hidden="false" customHeight="true" outlineLevel="0" collapsed="false">
      <c r="A2353" s="71"/>
      <c r="B2353" s="71"/>
      <c r="C2353" s="273"/>
      <c r="D2353" s="322"/>
      <c r="E2353" s="322"/>
      <c r="F2353" s="323"/>
      <c r="G2353" s="323"/>
      <c r="H2353" s="71"/>
    </row>
    <row r="2354" customFormat="false" ht="15" hidden="false" customHeight="true" outlineLevel="0" collapsed="false">
      <c r="A2354" s="71"/>
      <c r="B2354" s="71"/>
      <c r="C2354" s="273"/>
      <c r="D2354" s="322"/>
      <c r="E2354" s="322"/>
      <c r="F2354" s="323"/>
      <c r="G2354" s="323"/>
      <c r="H2354" s="71"/>
    </row>
    <row r="2355" customFormat="false" ht="15" hidden="false" customHeight="true" outlineLevel="0" collapsed="false">
      <c r="A2355" s="71"/>
      <c r="B2355" s="71"/>
      <c r="C2355" s="273"/>
      <c r="D2355" s="322"/>
      <c r="E2355" s="322"/>
      <c r="F2355" s="323"/>
      <c r="G2355" s="323"/>
      <c r="H2355" s="71"/>
    </row>
    <row r="2356" customFormat="false" ht="15" hidden="false" customHeight="true" outlineLevel="0" collapsed="false">
      <c r="A2356" s="71"/>
      <c r="B2356" s="71"/>
      <c r="C2356" s="273"/>
      <c r="D2356" s="322"/>
      <c r="E2356" s="322"/>
      <c r="F2356" s="323"/>
      <c r="G2356" s="323"/>
      <c r="H2356" s="71"/>
    </row>
    <row r="2357" customFormat="false" ht="15" hidden="false" customHeight="true" outlineLevel="0" collapsed="false">
      <c r="A2357" s="71"/>
      <c r="B2357" s="71"/>
      <c r="C2357" s="273"/>
      <c r="D2357" s="322"/>
      <c r="E2357" s="322"/>
      <c r="F2357" s="323"/>
      <c r="G2357" s="323"/>
      <c r="H2357" s="71"/>
    </row>
    <row r="2358" customFormat="false" ht="15" hidden="false" customHeight="true" outlineLevel="0" collapsed="false">
      <c r="A2358" s="71"/>
      <c r="B2358" s="71"/>
      <c r="C2358" s="273"/>
      <c r="D2358" s="322"/>
      <c r="E2358" s="322"/>
      <c r="F2358" s="323"/>
      <c r="G2358" s="323"/>
      <c r="H2358" s="71"/>
    </row>
    <row r="2359" customFormat="false" ht="15" hidden="false" customHeight="true" outlineLevel="0" collapsed="false">
      <c r="A2359" s="71"/>
      <c r="B2359" s="71"/>
      <c r="C2359" s="273"/>
      <c r="D2359" s="322"/>
      <c r="E2359" s="322"/>
      <c r="F2359" s="323"/>
      <c r="G2359" s="323"/>
      <c r="H2359" s="71"/>
    </row>
    <row r="2360" customFormat="false" ht="15" hidden="false" customHeight="true" outlineLevel="0" collapsed="false">
      <c r="A2360" s="71"/>
      <c r="B2360" s="71"/>
      <c r="C2360" s="273"/>
      <c r="D2360" s="322"/>
      <c r="E2360" s="322"/>
      <c r="F2360" s="323"/>
      <c r="G2360" s="323"/>
      <c r="H2360" s="71"/>
    </row>
    <row r="2361" customFormat="false" ht="15" hidden="false" customHeight="true" outlineLevel="0" collapsed="false">
      <c r="A2361" s="71"/>
      <c r="B2361" s="71"/>
      <c r="C2361" s="273"/>
      <c r="D2361" s="322"/>
      <c r="E2361" s="322"/>
      <c r="F2361" s="323"/>
      <c r="G2361" s="323"/>
      <c r="H2361" s="71"/>
    </row>
    <row r="2362" customFormat="false" ht="15" hidden="false" customHeight="true" outlineLevel="0" collapsed="false">
      <c r="A2362" s="71"/>
      <c r="B2362" s="71"/>
      <c r="C2362" s="273"/>
      <c r="D2362" s="322"/>
      <c r="E2362" s="322"/>
      <c r="F2362" s="323"/>
      <c r="G2362" s="323"/>
      <c r="H2362" s="71"/>
    </row>
    <row r="2363" customFormat="false" ht="15" hidden="false" customHeight="true" outlineLevel="0" collapsed="false">
      <c r="A2363" s="71"/>
      <c r="B2363" s="71"/>
      <c r="C2363" s="273"/>
      <c r="D2363" s="322"/>
      <c r="E2363" s="322"/>
      <c r="F2363" s="323"/>
      <c r="G2363" s="323"/>
      <c r="H2363" s="71"/>
    </row>
    <row r="2364" customFormat="false" ht="15" hidden="false" customHeight="true" outlineLevel="0" collapsed="false">
      <c r="A2364" s="71"/>
      <c r="B2364" s="71"/>
      <c r="C2364" s="273"/>
      <c r="D2364" s="322"/>
      <c r="E2364" s="322"/>
      <c r="F2364" s="323"/>
      <c r="G2364" s="323"/>
      <c r="H2364" s="71"/>
    </row>
    <row r="2365" customFormat="false" ht="15" hidden="false" customHeight="true" outlineLevel="0" collapsed="false">
      <c r="A2365" s="71"/>
      <c r="B2365" s="71"/>
      <c r="C2365" s="273"/>
      <c r="D2365" s="322"/>
      <c r="E2365" s="322"/>
      <c r="F2365" s="323"/>
      <c r="G2365" s="323"/>
      <c r="H2365" s="71"/>
    </row>
    <row r="2366" customFormat="false" ht="15" hidden="false" customHeight="true" outlineLevel="0" collapsed="false">
      <c r="A2366" s="71"/>
      <c r="B2366" s="71"/>
      <c r="C2366" s="273"/>
      <c r="D2366" s="322"/>
      <c r="E2366" s="322"/>
      <c r="F2366" s="323"/>
      <c r="G2366" s="323"/>
      <c r="H2366" s="71"/>
    </row>
    <row r="2367" customFormat="false" ht="15" hidden="false" customHeight="true" outlineLevel="0" collapsed="false">
      <c r="A2367" s="71"/>
      <c r="B2367" s="71"/>
      <c r="C2367" s="273"/>
      <c r="D2367" s="322"/>
      <c r="E2367" s="322"/>
      <c r="F2367" s="323"/>
      <c r="G2367" s="323"/>
      <c r="H2367" s="71"/>
    </row>
    <row r="2368" customFormat="false" ht="15" hidden="false" customHeight="true" outlineLevel="0" collapsed="false">
      <c r="A2368" s="71"/>
      <c r="B2368" s="71"/>
      <c r="C2368" s="273"/>
      <c r="D2368" s="322"/>
      <c r="E2368" s="322"/>
      <c r="F2368" s="323"/>
      <c r="G2368" s="323"/>
      <c r="H2368" s="71"/>
    </row>
    <row r="2369" customFormat="false" ht="15" hidden="false" customHeight="true" outlineLevel="0" collapsed="false">
      <c r="A2369" s="71"/>
      <c r="B2369" s="71"/>
      <c r="C2369" s="273"/>
      <c r="D2369" s="322"/>
      <c r="E2369" s="322"/>
      <c r="F2369" s="323"/>
      <c r="G2369" s="323"/>
      <c r="H2369" s="71"/>
    </row>
    <row r="2370" customFormat="false" ht="15" hidden="false" customHeight="true" outlineLevel="0" collapsed="false">
      <c r="A2370" s="71"/>
      <c r="B2370" s="71"/>
      <c r="C2370" s="273"/>
      <c r="D2370" s="322"/>
      <c r="E2370" s="322"/>
      <c r="F2370" s="323"/>
      <c r="G2370" s="323"/>
      <c r="H2370" s="71"/>
    </row>
    <row r="2371" customFormat="false" ht="15" hidden="false" customHeight="true" outlineLevel="0" collapsed="false">
      <c r="A2371" s="71"/>
      <c r="B2371" s="71"/>
      <c r="C2371" s="273"/>
      <c r="D2371" s="322"/>
      <c r="E2371" s="322"/>
      <c r="F2371" s="323"/>
      <c r="G2371" s="323"/>
      <c r="H2371" s="71"/>
    </row>
    <row r="2372" customFormat="false" ht="15" hidden="false" customHeight="true" outlineLevel="0" collapsed="false">
      <c r="A2372" s="71"/>
      <c r="B2372" s="71"/>
      <c r="C2372" s="273"/>
      <c r="D2372" s="322"/>
      <c r="E2372" s="322"/>
      <c r="F2372" s="323"/>
      <c r="G2372" s="323"/>
      <c r="H2372" s="71"/>
    </row>
    <row r="2373" customFormat="false" ht="15" hidden="false" customHeight="true" outlineLevel="0" collapsed="false">
      <c r="A2373" s="71"/>
      <c r="B2373" s="71"/>
      <c r="C2373" s="273"/>
      <c r="D2373" s="322"/>
      <c r="E2373" s="322"/>
      <c r="F2373" s="323"/>
      <c r="G2373" s="323"/>
      <c r="H2373" s="71"/>
    </row>
    <row r="2374" customFormat="false" ht="15" hidden="false" customHeight="true" outlineLevel="0" collapsed="false">
      <c r="A2374" s="71"/>
      <c r="B2374" s="71"/>
      <c r="C2374" s="273"/>
      <c r="D2374" s="322"/>
      <c r="E2374" s="322"/>
      <c r="F2374" s="323"/>
      <c r="G2374" s="323"/>
      <c r="H2374" s="71"/>
    </row>
    <row r="2375" customFormat="false" ht="15" hidden="false" customHeight="true" outlineLevel="0" collapsed="false">
      <c r="A2375" s="71"/>
      <c r="B2375" s="71"/>
      <c r="C2375" s="273"/>
      <c r="D2375" s="322"/>
      <c r="E2375" s="322"/>
      <c r="F2375" s="323"/>
      <c r="G2375" s="323"/>
      <c r="H2375" s="71"/>
    </row>
    <row r="2376" customFormat="false" ht="15" hidden="false" customHeight="true" outlineLevel="0" collapsed="false">
      <c r="A2376" s="71"/>
      <c r="B2376" s="71"/>
      <c r="C2376" s="273"/>
      <c r="D2376" s="322"/>
      <c r="E2376" s="322"/>
      <c r="F2376" s="323"/>
      <c r="G2376" s="323"/>
      <c r="H2376" s="71"/>
    </row>
    <row r="2377" customFormat="false" ht="15" hidden="false" customHeight="true" outlineLevel="0" collapsed="false">
      <c r="A2377" s="71"/>
      <c r="B2377" s="71"/>
      <c r="C2377" s="273"/>
      <c r="D2377" s="322"/>
      <c r="E2377" s="322"/>
      <c r="F2377" s="323"/>
      <c r="G2377" s="323"/>
      <c r="H2377" s="71"/>
    </row>
    <row r="2378" customFormat="false" ht="15" hidden="false" customHeight="true" outlineLevel="0" collapsed="false">
      <c r="A2378" s="71"/>
      <c r="B2378" s="71"/>
      <c r="C2378" s="273"/>
      <c r="D2378" s="322"/>
      <c r="E2378" s="322"/>
      <c r="F2378" s="323"/>
      <c r="G2378" s="323"/>
      <c r="H2378" s="71"/>
    </row>
    <row r="2379" customFormat="false" ht="15" hidden="false" customHeight="true" outlineLevel="0" collapsed="false">
      <c r="A2379" s="71"/>
      <c r="B2379" s="71"/>
      <c r="C2379" s="273"/>
      <c r="D2379" s="322"/>
      <c r="E2379" s="322"/>
      <c r="F2379" s="323"/>
      <c r="G2379" s="323"/>
      <c r="H2379" s="71"/>
    </row>
    <row r="2380" customFormat="false" ht="15" hidden="false" customHeight="true" outlineLevel="0" collapsed="false">
      <c r="A2380" s="71"/>
      <c r="B2380" s="71"/>
      <c r="C2380" s="273"/>
      <c r="D2380" s="322"/>
      <c r="E2380" s="322"/>
      <c r="F2380" s="323"/>
      <c r="G2380" s="323"/>
      <c r="H2380" s="71"/>
    </row>
    <row r="2381" customFormat="false" ht="15" hidden="false" customHeight="true" outlineLevel="0" collapsed="false">
      <c r="A2381" s="71"/>
      <c r="B2381" s="71"/>
      <c r="C2381" s="273"/>
      <c r="D2381" s="322"/>
      <c r="E2381" s="322"/>
      <c r="F2381" s="323"/>
      <c r="G2381" s="323"/>
      <c r="H2381" s="71"/>
    </row>
    <row r="2382" customFormat="false" ht="15" hidden="false" customHeight="true" outlineLevel="0" collapsed="false">
      <c r="A2382" s="71"/>
      <c r="B2382" s="71"/>
      <c r="C2382" s="273"/>
      <c r="D2382" s="322"/>
      <c r="E2382" s="322"/>
      <c r="F2382" s="323"/>
      <c r="G2382" s="323"/>
      <c r="H2382" s="71"/>
    </row>
    <row r="2383" customFormat="false" ht="15" hidden="false" customHeight="true" outlineLevel="0" collapsed="false">
      <c r="A2383" s="71"/>
      <c r="B2383" s="71"/>
      <c r="C2383" s="273"/>
      <c r="D2383" s="322"/>
      <c r="E2383" s="322"/>
      <c r="F2383" s="323"/>
      <c r="G2383" s="323"/>
      <c r="H2383" s="71"/>
    </row>
    <row r="2384" customFormat="false" ht="15" hidden="false" customHeight="true" outlineLevel="0" collapsed="false">
      <c r="A2384" s="71"/>
      <c r="B2384" s="71"/>
      <c r="C2384" s="273"/>
      <c r="D2384" s="322"/>
      <c r="E2384" s="322"/>
      <c r="F2384" s="323"/>
      <c r="G2384" s="323"/>
      <c r="H2384" s="71"/>
    </row>
    <row r="2385" customFormat="false" ht="15" hidden="false" customHeight="true" outlineLevel="0" collapsed="false">
      <c r="A2385" s="71"/>
      <c r="B2385" s="71"/>
      <c r="C2385" s="273"/>
      <c r="D2385" s="322"/>
      <c r="E2385" s="322"/>
      <c r="F2385" s="323"/>
      <c r="G2385" s="323"/>
      <c r="H2385" s="71"/>
    </row>
    <row r="2386" customFormat="false" ht="15" hidden="false" customHeight="true" outlineLevel="0" collapsed="false">
      <c r="A2386" s="71"/>
      <c r="B2386" s="71"/>
      <c r="C2386" s="273"/>
      <c r="D2386" s="322"/>
      <c r="E2386" s="322"/>
      <c r="F2386" s="323"/>
      <c r="G2386" s="323"/>
      <c r="H2386" s="71"/>
    </row>
    <row r="2387" customFormat="false" ht="15" hidden="false" customHeight="true" outlineLevel="0" collapsed="false">
      <c r="A2387" s="71"/>
      <c r="B2387" s="71"/>
      <c r="C2387" s="273"/>
      <c r="D2387" s="322"/>
      <c r="E2387" s="322"/>
      <c r="F2387" s="323"/>
      <c r="G2387" s="323"/>
      <c r="H2387" s="71"/>
    </row>
    <row r="2388" customFormat="false" ht="15" hidden="false" customHeight="true" outlineLevel="0" collapsed="false">
      <c r="A2388" s="71"/>
      <c r="B2388" s="71"/>
      <c r="C2388" s="273"/>
      <c r="D2388" s="322"/>
      <c r="E2388" s="322"/>
      <c r="F2388" s="323"/>
      <c r="G2388" s="323"/>
      <c r="H2388" s="71"/>
    </row>
    <row r="2389" customFormat="false" ht="15" hidden="false" customHeight="true" outlineLevel="0" collapsed="false">
      <c r="A2389" s="71"/>
      <c r="B2389" s="71"/>
      <c r="C2389" s="273"/>
      <c r="D2389" s="322"/>
      <c r="E2389" s="322"/>
      <c r="F2389" s="323"/>
      <c r="G2389" s="323"/>
      <c r="H2389" s="71"/>
    </row>
    <row r="2390" customFormat="false" ht="15" hidden="false" customHeight="true" outlineLevel="0" collapsed="false">
      <c r="A2390" s="71"/>
      <c r="B2390" s="71"/>
      <c r="C2390" s="273"/>
      <c r="D2390" s="322"/>
      <c r="E2390" s="322"/>
      <c r="F2390" s="323"/>
      <c r="G2390" s="323"/>
      <c r="H2390" s="71"/>
    </row>
    <row r="2391" customFormat="false" ht="15" hidden="false" customHeight="true" outlineLevel="0" collapsed="false">
      <c r="A2391" s="71"/>
      <c r="B2391" s="71"/>
      <c r="C2391" s="273"/>
      <c r="D2391" s="322"/>
      <c r="E2391" s="322"/>
      <c r="F2391" s="323"/>
      <c r="G2391" s="323"/>
      <c r="H2391" s="71"/>
    </row>
    <row r="2392" customFormat="false" ht="15" hidden="false" customHeight="true" outlineLevel="0" collapsed="false">
      <c r="A2392" s="71"/>
      <c r="B2392" s="71"/>
      <c r="C2392" s="273"/>
      <c r="D2392" s="322"/>
      <c r="E2392" s="322"/>
      <c r="F2392" s="323"/>
      <c r="G2392" s="323"/>
      <c r="H2392" s="71"/>
    </row>
    <row r="2393" customFormat="false" ht="15" hidden="false" customHeight="true" outlineLevel="0" collapsed="false">
      <c r="A2393" s="71"/>
      <c r="B2393" s="71"/>
      <c r="C2393" s="273"/>
      <c r="D2393" s="322"/>
      <c r="E2393" s="322"/>
      <c r="F2393" s="323"/>
      <c r="G2393" s="323"/>
      <c r="H2393" s="71"/>
    </row>
    <row r="2394" customFormat="false" ht="15" hidden="false" customHeight="true" outlineLevel="0" collapsed="false">
      <c r="A2394" s="71"/>
      <c r="B2394" s="71"/>
      <c r="C2394" s="273"/>
      <c r="D2394" s="322"/>
      <c r="E2394" s="322"/>
      <c r="F2394" s="323"/>
      <c r="G2394" s="323"/>
      <c r="H2394" s="71"/>
    </row>
    <row r="2395" customFormat="false" ht="15" hidden="false" customHeight="true" outlineLevel="0" collapsed="false">
      <c r="A2395" s="71"/>
      <c r="B2395" s="71"/>
      <c r="C2395" s="273"/>
      <c r="D2395" s="322"/>
      <c r="E2395" s="322"/>
      <c r="F2395" s="323"/>
      <c r="G2395" s="323"/>
      <c r="H2395" s="71"/>
    </row>
    <row r="2396" customFormat="false" ht="15" hidden="false" customHeight="true" outlineLevel="0" collapsed="false">
      <c r="A2396" s="71"/>
      <c r="B2396" s="71"/>
      <c r="C2396" s="273"/>
      <c r="D2396" s="322"/>
      <c r="E2396" s="322"/>
      <c r="F2396" s="323"/>
      <c r="G2396" s="323"/>
      <c r="H2396" s="71"/>
    </row>
    <row r="2397" customFormat="false" ht="15" hidden="false" customHeight="true" outlineLevel="0" collapsed="false">
      <c r="A2397" s="71"/>
      <c r="B2397" s="71"/>
      <c r="C2397" s="273"/>
      <c r="D2397" s="322"/>
      <c r="E2397" s="322"/>
      <c r="F2397" s="323"/>
      <c r="G2397" s="323"/>
      <c r="H2397" s="71"/>
    </row>
    <row r="2398" customFormat="false" ht="15" hidden="false" customHeight="true" outlineLevel="0" collapsed="false">
      <c r="A2398" s="71"/>
      <c r="B2398" s="71"/>
      <c r="C2398" s="273"/>
      <c r="D2398" s="322"/>
      <c r="E2398" s="322"/>
      <c r="F2398" s="323"/>
      <c r="G2398" s="323"/>
      <c r="H2398" s="71"/>
    </row>
    <row r="2399" customFormat="false" ht="15" hidden="false" customHeight="true" outlineLevel="0" collapsed="false">
      <c r="A2399" s="71"/>
      <c r="B2399" s="71"/>
      <c r="C2399" s="273"/>
      <c r="D2399" s="322"/>
      <c r="E2399" s="322"/>
      <c r="F2399" s="323"/>
      <c r="G2399" s="323"/>
      <c r="H2399" s="71"/>
    </row>
    <row r="2400" customFormat="false" ht="15" hidden="false" customHeight="true" outlineLevel="0" collapsed="false">
      <c r="A2400" s="71"/>
      <c r="B2400" s="71"/>
      <c r="C2400" s="273"/>
      <c r="D2400" s="322"/>
      <c r="E2400" s="322"/>
      <c r="F2400" s="323"/>
      <c r="G2400" s="323"/>
      <c r="H2400" s="71"/>
    </row>
    <row r="2401" customFormat="false" ht="15" hidden="false" customHeight="true" outlineLevel="0" collapsed="false">
      <c r="A2401" s="71"/>
      <c r="B2401" s="71"/>
      <c r="C2401" s="273"/>
      <c r="D2401" s="322"/>
      <c r="E2401" s="322"/>
      <c r="F2401" s="323"/>
      <c r="G2401" s="323"/>
      <c r="H2401" s="71"/>
    </row>
    <row r="2402" customFormat="false" ht="15" hidden="false" customHeight="true" outlineLevel="0" collapsed="false">
      <c r="A2402" s="71"/>
      <c r="B2402" s="71"/>
      <c r="C2402" s="273"/>
      <c r="D2402" s="322"/>
      <c r="E2402" s="322"/>
      <c r="F2402" s="323"/>
      <c r="G2402" s="323"/>
      <c r="H2402" s="71"/>
    </row>
    <row r="2403" customFormat="false" ht="15" hidden="false" customHeight="true" outlineLevel="0" collapsed="false">
      <c r="A2403" s="71"/>
      <c r="B2403" s="71"/>
      <c r="C2403" s="273"/>
      <c r="D2403" s="322"/>
      <c r="E2403" s="322"/>
      <c r="F2403" s="323"/>
      <c r="G2403" s="323"/>
      <c r="H2403" s="71"/>
    </row>
    <row r="2404" customFormat="false" ht="15" hidden="false" customHeight="true" outlineLevel="0" collapsed="false">
      <c r="A2404" s="71"/>
      <c r="B2404" s="71"/>
      <c r="C2404" s="273"/>
      <c r="D2404" s="322"/>
      <c r="E2404" s="322"/>
      <c r="F2404" s="323"/>
      <c r="G2404" s="323"/>
      <c r="H2404" s="71"/>
    </row>
    <row r="2405" customFormat="false" ht="15" hidden="false" customHeight="true" outlineLevel="0" collapsed="false">
      <c r="A2405" s="71"/>
      <c r="B2405" s="71"/>
      <c r="C2405" s="273"/>
      <c r="D2405" s="322"/>
      <c r="E2405" s="322"/>
      <c r="F2405" s="323"/>
      <c r="G2405" s="323"/>
      <c r="H2405" s="71"/>
    </row>
    <row r="2406" customFormat="false" ht="15" hidden="false" customHeight="true" outlineLevel="0" collapsed="false">
      <c r="A2406" s="71"/>
      <c r="B2406" s="71"/>
      <c r="C2406" s="273"/>
      <c r="D2406" s="322"/>
      <c r="E2406" s="322"/>
      <c r="F2406" s="323"/>
      <c r="G2406" s="323"/>
      <c r="H2406" s="71"/>
    </row>
    <row r="2407" customFormat="false" ht="15" hidden="false" customHeight="true" outlineLevel="0" collapsed="false">
      <c r="A2407" s="71"/>
      <c r="B2407" s="71"/>
      <c r="C2407" s="273"/>
      <c r="D2407" s="322"/>
      <c r="E2407" s="322"/>
      <c r="F2407" s="323"/>
      <c r="G2407" s="323"/>
      <c r="H2407" s="71"/>
    </row>
    <row r="2408" customFormat="false" ht="15" hidden="false" customHeight="true" outlineLevel="0" collapsed="false">
      <c r="A2408" s="71"/>
      <c r="B2408" s="71"/>
      <c r="C2408" s="273"/>
      <c r="D2408" s="322"/>
      <c r="E2408" s="322"/>
      <c r="F2408" s="323"/>
      <c r="G2408" s="323"/>
      <c r="H2408" s="71"/>
    </row>
    <row r="2409" customFormat="false" ht="15" hidden="false" customHeight="true" outlineLevel="0" collapsed="false">
      <c r="A2409" s="71"/>
      <c r="B2409" s="71"/>
      <c r="C2409" s="273"/>
      <c r="D2409" s="322"/>
      <c r="E2409" s="322"/>
      <c r="F2409" s="323"/>
      <c r="G2409" s="323"/>
      <c r="H2409" s="71"/>
    </row>
    <row r="2410" customFormat="false" ht="15" hidden="false" customHeight="true" outlineLevel="0" collapsed="false">
      <c r="A2410" s="71"/>
      <c r="B2410" s="71"/>
      <c r="C2410" s="273"/>
      <c r="D2410" s="322"/>
      <c r="E2410" s="322"/>
      <c r="F2410" s="323"/>
      <c r="G2410" s="323"/>
      <c r="H2410" s="71"/>
    </row>
    <row r="2411" customFormat="false" ht="15" hidden="false" customHeight="true" outlineLevel="0" collapsed="false">
      <c r="A2411" s="71"/>
      <c r="B2411" s="71"/>
      <c r="C2411" s="273"/>
      <c r="D2411" s="322"/>
      <c r="E2411" s="322"/>
      <c r="F2411" s="323"/>
      <c r="G2411" s="323"/>
      <c r="H2411" s="71"/>
    </row>
    <row r="2412" customFormat="false" ht="15" hidden="false" customHeight="true" outlineLevel="0" collapsed="false">
      <c r="A2412" s="71"/>
      <c r="B2412" s="71"/>
      <c r="C2412" s="273"/>
      <c r="D2412" s="322"/>
      <c r="E2412" s="322"/>
      <c r="F2412" s="323"/>
      <c r="G2412" s="323"/>
      <c r="H2412" s="71"/>
    </row>
    <row r="2413" customFormat="false" ht="15" hidden="false" customHeight="true" outlineLevel="0" collapsed="false">
      <c r="A2413" s="71"/>
      <c r="B2413" s="71"/>
      <c r="C2413" s="273"/>
      <c r="D2413" s="322"/>
      <c r="E2413" s="322"/>
      <c r="F2413" s="323"/>
      <c r="G2413" s="323"/>
      <c r="H2413" s="71"/>
    </row>
    <row r="2414" customFormat="false" ht="15" hidden="false" customHeight="true" outlineLevel="0" collapsed="false">
      <c r="A2414" s="71"/>
      <c r="B2414" s="71"/>
      <c r="C2414" s="273"/>
      <c r="D2414" s="322"/>
      <c r="E2414" s="322"/>
      <c r="F2414" s="323"/>
      <c r="G2414" s="323"/>
      <c r="H2414" s="71"/>
    </row>
    <row r="2415" customFormat="false" ht="15" hidden="false" customHeight="true" outlineLevel="0" collapsed="false">
      <c r="A2415" s="71"/>
      <c r="B2415" s="71"/>
      <c r="C2415" s="273"/>
      <c r="D2415" s="322"/>
      <c r="E2415" s="322"/>
      <c r="F2415" s="323"/>
      <c r="G2415" s="323"/>
      <c r="H2415" s="71"/>
    </row>
    <row r="2416" customFormat="false" ht="15" hidden="false" customHeight="true" outlineLevel="0" collapsed="false">
      <c r="A2416" s="71"/>
      <c r="B2416" s="71"/>
      <c r="C2416" s="273"/>
      <c r="D2416" s="322"/>
      <c r="E2416" s="322"/>
      <c r="F2416" s="323"/>
      <c r="G2416" s="323"/>
      <c r="H2416" s="71"/>
    </row>
    <row r="2417" customFormat="false" ht="15" hidden="false" customHeight="true" outlineLevel="0" collapsed="false">
      <c r="A2417" s="71"/>
      <c r="B2417" s="71"/>
      <c r="C2417" s="273"/>
      <c r="D2417" s="322"/>
      <c r="E2417" s="322"/>
      <c r="F2417" s="323"/>
      <c r="G2417" s="323"/>
      <c r="H2417" s="71"/>
    </row>
    <row r="2418" customFormat="false" ht="15" hidden="false" customHeight="true" outlineLevel="0" collapsed="false">
      <c r="A2418" s="71"/>
      <c r="B2418" s="71"/>
      <c r="C2418" s="273"/>
      <c r="D2418" s="322"/>
      <c r="E2418" s="322"/>
      <c r="F2418" s="323"/>
      <c r="G2418" s="323"/>
      <c r="H2418" s="71"/>
    </row>
    <row r="2419" customFormat="false" ht="15" hidden="false" customHeight="true" outlineLevel="0" collapsed="false">
      <c r="A2419" s="71"/>
      <c r="B2419" s="71"/>
      <c r="C2419" s="273"/>
      <c r="D2419" s="322"/>
      <c r="E2419" s="322"/>
      <c r="F2419" s="323"/>
      <c r="G2419" s="323"/>
      <c r="H2419" s="71"/>
    </row>
    <row r="2420" customFormat="false" ht="15" hidden="false" customHeight="true" outlineLevel="0" collapsed="false">
      <c r="A2420" s="71"/>
      <c r="B2420" s="71"/>
      <c r="C2420" s="273"/>
      <c r="D2420" s="322"/>
      <c r="E2420" s="322"/>
      <c r="F2420" s="323"/>
      <c r="G2420" s="323"/>
      <c r="H2420" s="71"/>
    </row>
    <row r="2421" customFormat="false" ht="15" hidden="false" customHeight="true" outlineLevel="0" collapsed="false">
      <c r="A2421" s="71"/>
      <c r="B2421" s="71"/>
      <c r="C2421" s="273"/>
      <c r="D2421" s="322"/>
      <c r="E2421" s="322"/>
      <c r="F2421" s="323"/>
      <c r="G2421" s="323"/>
      <c r="H2421" s="71"/>
    </row>
    <row r="2422" customFormat="false" ht="15" hidden="false" customHeight="true" outlineLevel="0" collapsed="false">
      <c r="A2422" s="71"/>
      <c r="B2422" s="71"/>
      <c r="C2422" s="273"/>
      <c r="D2422" s="322"/>
      <c r="E2422" s="322"/>
      <c r="F2422" s="323"/>
      <c r="G2422" s="323"/>
      <c r="H2422" s="71"/>
    </row>
    <row r="2423" customFormat="false" ht="15" hidden="false" customHeight="true" outlineLevel="0" collapsed="false">
      <c r="A2423" s="71"/>
      <c r="B2423" s="71"/>
      <c r="C2423" s="273"/>
      <c r="D2423" s="322"/>
      <c r="E2423" s="322"/>
      <c r="F2423" s="323"/>
      <c r="G2423" s="323"/>
      <c r="H2423" s="71"/>
    </row>
    <row r="2424" customFormat="false" ht="15" hidden="false" customHeight="true" outlineLevel="0" collapsed="false">
      <c r="A2424" s="71"/>
      <c r="B2424" s="71"/>
      <c r="C2424" s="273"/>
      <c r="D2424" s="322"/>
      <c r="E2424" s="322"/>
      <c r="F2424" s="323"/>
      <c r="G2424" s="323"/>
      <c r="H2424" s="71"/>
    </row>
    <row r="2425" customFormat="false" ht="15" hidden="false" customHeight="true" outlineLevel="0" collapsed="false">
      <c r="A2425" s="71"/>
      <c r="B2425" s="71"/>
      <c r="C2425" s="273"/>
      <c r="D2425" s="322"/>
      <c r="E2425" s="322"/>
      <c r="F2425" s="323"/>
      <c r="G2425" s="323"/>
      <c r="H2425" s="71"/>
    </row>
    <row r="2426" customFormat="false" ht="15" hidden="false" customHeight="true" outlineLevel="0" collapsed="false">
      <c r="A2426" s="71"/>
      <c r="B2426" s="71"/>
      <c r="C2426" s="273"/>
      <c r="D2426" s="322"/>
      <c r="E2426" s="322"/>
      <c r="F2426" s="323"/>
      <c r="G2426" s="323"/>
      <c r="H2426" s="71"/>
    </row>
    <row r="2427" customFormat="false" ht="15" hidden="false" customHeight="true" outlineLevel="0" collapsed="false">
      <c r="A2427" s="71"/>
      <c r="B2427" s="71"/>
      <c r="C2427" s="273"/>
      <c r="D2427" s="322"/>
      <c r="E2427" s="322"/>
      <c r="F2427" s="323"/>
      <c r="G2427" s="323"/>
      <c r="H2427" s="71"/>
    </row>
    <row r="2428" customFormat="false" ht="15" hidden="false" customHeight="true" outlineLevel="0" collapsed="false">
      <c r="A2428" s="71"/>
      <c r="B2428" s="71"/>
      <c r="C2428" s="273"/>
      <c r="D2428" s="322"/>
      <c r="E2428" s="322"/>
      <c r="F2428" s="323"/>
      <c r="G2428" s="323"/>
      <c r="H2428" s="71"/>
    </row>
    <row r="2429" customFormat="false" ht="15" hidden="false" customHeight="true" outlineLevel="0" collapsed="false">
      <c r="A2429" s="71"/>
      <c r="B2429" s="71"/>
      <c r="C2429" s="273"/>
      <c r="D2429" s="322"/>
      <c r="E2429" s="322"/>
      <c r="F2429" s="323"/>
      <c r="G2429" s="323"/>
      <c r="H2429" s="71"/>
    </row>
    <row r="2430" customFormat="false" ht="15" hidden="false" customHeight="true" outlineLevel="0" collapsed="false">
      <c r="A2430" s="71"/>
      <c r="B2430" s="71"/>
      <c r="C2430" s="273"/>
      <c r="D2430" s="322"/>
      <c r="E2430" s="322"/>
      <c r="F2430" s="323"/>
      <c r="G2430" s="323"/>
      <c r="H2430" s="71"/>
    </row>
    <row r="2431" customFormat="false" ht="15" hidden="false" customHeight="true" outlineLevel="0" collapsed="false">
      <c r="A2431" s="71"/>
      <c r="B2431" s="71"/>
      <c r="C2431" s="273"/>
      <c r="D2431" s="322"/>
      <c r="E2431" s="322"/>
      <c r="F2431" s="323"/>
      <c r="G2431" s="323"/>
      <c r="H2431" s="71"/>
    </row>
    <row r="2432" customFormat="false" ht="15" hidden="false" customHeight="true" outlineLevel="0" collapsed="false">
      <c r="A2432" s="71"/>
      <c r="B2432" s="71"/>
      <c r="C2432" s="273"/>
      <c r="D2432" s="322"/>
      <c r="E2432" s="322"/>
      <c r="F2432" s="323"/>
      <c r="G2432" s="323"/>
      <c r="H2432" s="71"/>
    </row>
    <row r="2433" customFormat="false" ht="15" hidden="false" customHeight="true" outlineLevel="0" collapsed="false">
      <c r="A2433" s="71"/>
      <c r="B2433" s="71"/>
      <c r="C2433" s="273"/>
      <c r="D2433" s="322"/>
      <c r="E2433" s="322"/>
      <c r="F2433" s="323"/>
      <c r="G2433" s="323"/>
      <c r="H2433" s="71"/>
    </row>
    <row r="2434" customFormat="false" ht="15" hidden="false" customHeight="true" outlineLevel="0" collapsed="false">
      <c r="A2434" s="71"/>
      <c r="B2434" s="71"/>
      <c r="C2434" s="273"/>
      <c r="D2434" s="322"/>
      <c r="E2434" s="322"/>
      <c r="F2434" s="323"/>
      <c r="G2434" s="323"/>
      <c r="H2434" s="71"/>
    </row>
    <row r="2435" customFormat="false" ht="15" hidden="false" customHeight="true" outlineLevel="0" collapsed="false">
      <c r="A2435" s="71"/>
      <c r="B2435" s="71"/>
      <c r="C2435" s="273"/>
      <c r="D2435" s="322"/>
      <c r="E2435" s="322"/>
      <c r="F2435" s="323"/>
      <c r="G2435" s="323"/>
      <c r="H2435" s="71"/>
    </row>
    <row r="2436" customFormat="false" ht="15" hidden="false" customHeight="true" outlineLevel="0" collapsed="false">
      <c r="A2436" s="71"/>
      <c r="B2436" s="71"/>
      <c r="C2436" s="273"/>
      <c r="D2436" s="322"/>
      <c r="E2436" s="322"/>
      <c r="F2436" s="323"/>
      <c r="G2436" s="323"/>
      <c r="H2436" s="71"/>
    </row>
    <row r="2437" customFormat="false" ht="15" hidden="false" customHeight="true" outlineLevel="0" collapsed="false">
      <c r="A2437" s="71"/>
      <c r="B2437" s="71"/>
      <c r="C2437" s="273"/>
      <c r="D2437" s="322"/>
      <c r="E2437" s="322"/>
      <c r="F2437" s="323"/>
      <c r="G2437" s="323"/>
      <c r="H2437" s="71"/>
    </row>
    <row r="2438" customFormat="false" ht="15" hidden="false" customHeight="true" outlineLevel="0" collapsed="false">
      <c r="A2438" s="71"/>
      <c r="B2438" s="71"/>
      <c r="C2438" s="273"/>
      <c r="D2438" s="322"/>
      <c r="E2438" s="322"/>
      <c r="F2438" s="323"/>
      <c r="G2438" s="323"/>
      <c r="H2438" s="71"/>
    </row>
    <row r="2439" customFormat="false" ht="15" hidden="false" customHeight="true" outlineLevel="0" collapsed="false">
      <c r="A2439" s="71"/>
      <c r="B2439" s="71"/>
      <c r="C2439" s="273"/>
      <c r="D2439" s="322"/>
      <c r="E2439" s="322"/>
      <c r="F2439" s="323"/>
      <c r="G2439" s="323"/>
      <c r="H2439" s="71"/>
    </row>
    <row r="2440" customFormat="false" ht="15" hidden="false" customHeight="true" outlineLevel="0" collapsed="false">
      <c r="A2440" s="71"/>
      <c r="B2440" s="71"/>
      <c r="C2440" s="273"/>
      <c r="D2440" s="322"/>
      <c r="E2440" s="322"/>
      <c r="F2440" s="323"/>
      <c r="G2440" s="323"/>
      <c r="H2440" s="71"/>
    </row>
    <row r="2441" customFormat="false" ht="15" hidden="false" customHeight="true" outlineLevel="0" collapsed="false">
      <c r="A2441" s="71"/>
      <c r="B2441" s="71"/>
      <c r="C2441" s="273"/>
      <c r="D2441" s="322"/>
      <c r="E2441" s="322"/>
      <c r="F2441" s="323"/>
      <c r="G2441" s="323"/>
      <c r="H2441" s="71"/>
    </row>
    <row r="2442" customFormat="false" ht="15" hidden="false" customHeight="true" outlineLevel="0" collapsed="false">
      <c r="A2442" s="71"/>
      <c r="B2442" s="71"/>
      <c r="C2442" s="273"/>
      <c r="D2442" s="322"/>
      <c r="E2442" s="322"/>
      <c r="F2442" s="323"/>
      <c r="G2442" s="323"/>
      <c r="H2442" s="71"/>
    </row>
    <row r="2443" customFormat="false" ht="15" hidden="false" customHeight="true" outlineLevel="0" collapsed="false">
      <c r="A2443" s="71"/>
      <c r="B2443" s="71"/>
      <c r="C2443" s="273"/>
      <c r="D2443" s="322"/>
      <c r="E2443" s="322"/>
      <c r="F2443" s="323"/>
      <c r="G2443" s="323"/>
      <c r="H2443" s="71"/>
    </row>
    <row r="2444" customFormat="false" ht="15" hidden="false" customHeight="true" outlineLevel="0" collapsed="false">
      <c r="A2444" s="71"/>
      <c r="B2444" s="71"/>
      <c r="C2444" s="273"/>
      <c r="D2444" s="322"/>
      <c r="E2444" s="322"/>
      <c r="F2444" s="323"/>
      <c r="G2444" s="323"/>
      <c r="H2444" s="71"/>
    </row>
    <row r="2445" customFormat="false" ht="15" hidden="false" customHeight="true" outlineLevel="0" collapsed="false">
      <c r="A2445" s="71"/>
      <c r="B2445" s="71"/>
      <c r="C2445" s="273"/>
      <c r="D2445" s="322"/>
      <c r="E2445" s="322"/>
      <c r="F2445" s="323"/>
      <c r="G2445" s="323"/>
      <c r="H2445" s="71"/>
    </row>
    <row r="2446" customFormat="false" ht="15" hidden="false" customHeight="true" outlineLevel="0" collapsed="false">
      <c r="A2446" s="71"/>
      <c r="B2446" s="71"/>
      <c r="C2446" s="273"/>
      <c r="D2446" s="322"/>
      <c r="E2446" s="322"/>
      <c r="F2446" s="323"/>
      <c r="G2446" s="323"/>
      <c r="H2446" s="71"/>
    </row>
    <row r="2447" customFormat="false" ht="15" hidden="false" customHeight="true" outlineLevel="0" collapsed="false">
      <c r="A2447" s="71"/>
      <c r="B2447" s="71"/>
      <c r="C2447" s="273"/>
      <c r="D2447" s="322"/>
      <c r="E2447" s="322"/>
      <c r="F2447" s="323"/>
      <c r="G2447" s="323"/>
      <c r="H2447" s="71"/>
    </row>
    <row r="2448" customFormat="false" ht="15" hidden="false" customHeight="true" outlineLevel="0" collapsed="false">
      <c r="A2448" s="71"/>
      <c r="B2448" s="71"/>
      <c r="C2448" s="273"/>
      <c r="D2448" s="322"/>
      <c r="E2448" s="322"/>
      <c r="F2448" s="323"/>
      <c r="G2448" s="323"/>
      <c r="H2448" s="71"/>
    </row>
    <row r="2449" customFormat="false" ht="15" hidden="false" customHeight="true" outlineLevel="0" collapsed="false">
      <c r="A2449" s="71"/>
      <c r="B2449" s="71"/>
      <c r="C2449" s="273"/>
      <c r="D2449" s="322"/>
      <c r="E2449" s="322"/>
      <c r="F2449" s="323"/>
      <c r="G2449" s="323"/>
      <c r="H2449" s="71"/>
    </row>
    <row r="2450" customFormat="false" ht="15" hidden="false" customHeight="true" outlineLevel="0" collapsed="false">
      <c r="A2450" s="71"/>
      <c r="B2450" s="71"/>
      <c r="C2450" s="273"/>
      <c r="D2450" s="322"/>
      <c r="E2450" s="322"/>
      <c r="F2450" s="323"/>
      <c r="G2450" s="323"/>
      <c r="H2450" s="71"/>
    </row>
    <row r="2451" customFormat="false" ht="15" hidden="false" customHeight="true" outlineLevel="0" collapsed="false">
      <c r="A2451" s="71"/>
      <c r="B2451" s="71"/>
      <c r="C2451" s="273"/>
      <c r="D2451" s="322"/>
      <c r="E2451" s="322"/>
      <c r="F2451" s="323"/>
      <c r="G2451" s="323"/>
      <c r="H2451" s="71"/>
    </row>
    <row r="2452" customFormat="false" ht="15" hidden="false" customHeight="true" outlineLevel="0" collapsed="false">
      <c r="A2452" s="71"/>
      <c r="B2452" s="71"/>
      <c r="C2452" s="273"/>
      <c r="D2452" s="322"/>
      <c r="E2452" s="322"/>
      <c r="F2452" s="323"/>
      <c r="G2452" s="323"/>
      <c r="H2452" s="71"/>
    </row>
    <row r="2453" customFormat="false" ht="15" hidden="false" customHeight="true" outlineLevel="0" collapsed="false">
      <c r="A2453" s="71"/>
      <c r="B2453" s="71"/>
      <c r="C2453" s="273"/>
      <c r="D2453" s="322"/>
      <c r="E2453" s="322"/>
      <c r="F2453" s="323"/>
      <c r="G2453" s="323"/>
      <c r="H2453" s="71"/>
    </row>
    <row r="2454" customFormat="false" ht="15" hidden="false" customHeight="true" outlineLevel="0" collapsed="false">
      <c r="A2454" s="71"/>
      <c r="B2454" s="71"/>
      <c r="C2454" s="273"/>
      <c r="D2454" s="322"/>
      <c r="E2454" s="322"/>
      <c r="F2454" s="323"/>
      <c r="G2454" s="323"/>
      <c r="H2454" s="71"/>
    </row>
    <row r="2455" customFormat="false" ht="15" hidden="false" customHeight="true" outlineLevel="0" collapsed="false">
      <c r="A2455" s="71"/>
      <c r="B2455" s="71"/>
      <c r="C2455" s="273"/>
      <c r="D2455" s="322"/>
      <c r="E2455" s="322"/>
      <c r="F2455" s="323"/>
      <c r="G2455" s="323"/>
      <c r="H2455" s="71"/>
    </row>
    <row r="2456" customFormat="false" ht="15" hidden="false" customHeight="true" outlineLevel="0" collapsed="false">
      <c r="A2456" s="71"/>
      <c r="B2456" s="71"/>
      <c r="C2456" s="273"/>
      <c r="D2456" s="322"/>
      <c r="E2456" s="322"/>
      <c r="F2456" s="323"/>
      <c r="G2456" s="323"/>
      <c r="H2456" s="71"/>
    </row>
    <row r="2457" customFormat="false" ht="15" hidden="false" customHeight="true" outlineLevel="0" collapsed="false">
      <c r="A2457" s="71"/>
      <c r="B2457" s="71"/>
      <c r="C2457" s="273"/>
      <c r="D2457" s="322"/>
      <c r="E2457" s="322"/>
      <c r="F2457" s="323"/>
      <c r="G2457" s="323"/>
      <c r="H2457" s="71"/>
    </row>
    <row r="2458" customFormat="false" ht="15" hidden="false" customHeight="true" outlineLevel="0" collapsed="false">
      <c r="A2458" s="71"/>
      <c r="B2458" s="71"/>
      <c r="C2458" s="273"/>
      <c r="D2458" s="322"/>
      <c r="E2458" s="322"/>
      <c r="F2458" s="323"/>
      <c r="G2458" s="323"/>
      <c r="H2458" s="71"/>
    </row>
    <row r="2459" customFormat="false" ht="15" hidden="false" customHeight="true" outlineLevel="0" collapsed="false">
      <c r="A2459" s="71"/>
      <c r="B2459" s="71"/>
      <c r="C2459" s="273"/>
      <c r="D2459" s="322"/>
      <c r="E2459" s="322"/>
      <c r="F2459" s="323"/>
      <c r="G2459" s="323"/>
      <c r="H2459" s="71"/>
    </row>
    <row r="2460" customFormat="false" ht="15" hidden="false" customHeight="true" outlineLevel="0" collapsed="false">
      <c r="A2460" s="71"/>
      <c r="B2460" s="71"/>
      <c r="C2460" s="273"/>
      <c r="D2460" s="322"/>
      <c r="E2460" s="322"/>
      <c r="F2460" s="323"/>
      <c r="G2460" s="323"/>
      <c r="H2460" s="71"/>
    </row>
    <row r="2461" customFormat="false" ht="15" hidden="false" customHeight="true" outlineLevel="0" collapsed="false">
      <c r="A2461" s="71"/>
      <c r="B2461" s="71"/>
      <c r="C2461" s="273"/>
      <c r="D2461" s="322"/>
      <c r="E2461" s="322"/>
      <c r="F2461" s="323"/>
      <c r="G2461" s="323"/>
      <c r="H2461" s="71"/>
    </row>
    <row r="2462" customFormat="false" ht="15" hidden="false" customHeight="true" outlineLevel="0" collapsed="false">
      <c r="A2462" s="71"/>
      <c r="B2462" s="71"/>
      <c r="C2462" s="273"/>
      <c r="D2462" s="322"/>
      <c r="E2462" s="322"/>
      <c r="F2462" s="323"/>
      <c r="G2462" s="323"/>
      <c r="H2462" s="71"/>
    </row>
    <row r="2463" customFormat="false" ht="15" hidden="false" customHeight="true" outlineLevel="0" collapsed="false">
      <c r="A2463" s="71"/>
      <c r="B2463" s="71"/>
      <c r="C2463" s="273"/>
      <c r="D2463" s="322"/>
      <c r="E2463" s="322"/>
      <c r="F2463" s="323"/>
      <c r="G2463" s="323"/>
      <c r="H2463" s="71"/>
    </row>
    <row r="2464" customFormat="false" ht="15" hidden="false" customHeight="true" outlineLevel="0" collapsed="false">
      <c r="A2464" s="71"/>
      <c r="B2464" s="71"/>
      <c r="C2464" s="273"/>
      <c r="D2464" s="322"/>
      <c r="E2464" s="322"/>
      <c r="F2464" s="323"/>
      <c r="G2464" s="323"/>
      <c r="H2464" s="71"/>
    </row>
    <row r="2465" customFormat="false" ht="15" hidden="false" customHeight="true" outlineLevel="0" collapsed="false">
      <c r="A2465" s="71"/>
      <c r="B2465" s="71"/>
      <c r="C2465" s="273"/>
      <c r="D2465" s="322"/>
      <c r="E2465" s="322"/>
      <c r="F2465" s="323"/>
      <c r="G2465" s="323"/>
      <c r="H2465" s="71"/>
    </row>
    <row r="2466" customFormat="false" ht="15" hidden="false" customHeight="true" outlineLevel="0" collapsed="false">
      <c r="A2466" s="71"/>
      <c r="B2466" s="71"/>
      <c r="C2466" s="273"/>
      <c r="D2466" s="322"/>
      <c r="E2466" s="322"/>
      <c r="F2466" s="323"/>
      <c r="G2466" s="323"/>
      <c r="H2466" s="71"/>
    </row>
    <row r="2467" customFormat="false" ht="15" hidden="false" customHeight="true" outlineLevel="0" collapsed="false">
      <c r="A2467" s="71"/>
      <c r="B2467" s="71"/>
      <c r="C2467" s="273"/>
      <c r="D2467" s="322"/>
      <c r="E2467" s="322"/>
      <c r="F2467" s="323"/>
      <c r="G2467" s="323"/>
      <c r="H2467" s="71"/>
    </row>
    <row r="2468" customFormat="false" ht="15" hidden="false" customHeight="true" outlineLevel="0" collapsed="false">
      <c r="A2468" s="71"/>
      <c r="B2468" s="71"/>
      <c r="C2468" s="273"/>
      <c r="D2468" s="322"/>
      <c r="E2468" s="322"/>
      <c r="F2468" s="323"/>
      <c r="G2468" s="323"/>
      <c r="H2468" s="71"/>
    </row>
    <row r="2469" customFormat="false" ht="15" hidden="false" customHeight="true" outlineLevel="0" collapsed="false">
      <c r="A2469" s="71"/>
      <c r="B2469" s="71"/>
      <c r="C2469" s="273"/>
      <c r="D2469" s="322"/>
      <c r="E2469" s="322"/>
      <c r="F2469" s="323"/>
      <c r="G2469" s="323"/>
      <c r="H2469" s="71"/>
    </row>
    <row r="2470" customFormat="false" ht="15" hidden="false" customHeight="true" outlineLevel="0" collapsed="false">
      <c r="A2470" s="71"/>
      <c r="B2470" s="71"/>
      <c r="C2470" s="273"/>
      <c r="D2470" s="322"/>
      <c r="E2470" s="322"/>
      <c r="F2470" s="323"/>
      <c r="G2470" s="323"/>
      <c r="H2470" s="71"/>
    </row>
    <row r="2471" customFormat="false" ht="15" hidden="false" customHeight="true" outlineLevel="0" collapsed="false">
      <c r="A2471" s="71"/>
      <c r="B2471" s="71"/>
      <c r="C2471" s="273"/>
      <c r="D2471" s="322"/>
      <c r="E2471" s="322"/>
      <c r="F2471" s="323"/>
      <c r="G2471" s="323"/>
      <c r="H2471" s="71"/>
    </row>
    <row r="2472" customFormat="false" ht="15" hidden="false" customHeight="true" outlineLevel="0" collapsed="false">
      <c r="A2472" s="71"/>
      <c r="B2472" s="71"/>
      <c r="C2472" s="273"/>
      <c r="D2472" s="322"/>
      <c r="E2472" s="322"/>
      <c r="F2472" s="323"/>
      <c r="G2472" s="323"/>
      <c r="H2472" s="71"/>
    </row>
    <row r="2473" customFormat="false" ht="15" hidden="false" customHeight="true" outlineLevel="0" collapsed="false">
      <c r="A2473" s="71"/>
      <c r="B2473" s="71"/>
      <c r="C2473" s="273"/>
      <c r="D2473" s="322"/>
      <c r="E2473" s="322"/>
      <c r="F2473" s="323"/>
      <c r="G2473" s="323"/>
      <c r="H2473" s="71"/>
    </row>
    <row r="2474" customFormat="false" ht="15" hidden="false" customHeight="true" outlineLevel="0" collapsed="false">
      <c r="A2474" s="71"/>
      <c r="B2474" s="71"/>
      <c r="C2474" s="273"/>
      <c r="D2474" s="322"/>
      <c r="E2474" s="322"/>
      <c r="F2474" s="323"/>
      <c r="G2474" s="323"/>
      <c r="H2474" s="71"/>
    </row>
    <row r="2475" customFormat="false" ht="15" hidden="false" customHeight="true" outlineLevel="0" collapsed="false">
      <c r="A2475" s="71"/>
      <c r="B2475" s="71"/>
      <c r="C2475" s="273"/>
      <c r="D2475" s="322"/>
      <c r="E2475" s="322"/>
      <c r="F2475" s="323"/>
      <c r="G2475" s="323"/>
      <c r="H2475" s="71"/>
    </row>
    <row r="2476" customFormat="false" ht="15" hidden="false" customHeight="true" outlineLevel="0" collapsed="false">
      <c r="A2476" s="71"/>
      <c r="B2476" s="71"/>
      <c r="C2476" s="273"/>
      <c r="D2476" s="322"/>
      <c r="E2476" s="322"/>
      <c r="F2476" s="323"/>
      <c r="G2476" s="323"/>
      <c r="H2476" s="71"/>
    </row>
    <row r="2477" customFormat="false" ht="15" hidden="false" customHeight="true" outlineLevel="0" collapsed="false">
      <c r="A2477" s="71"/>
      <c r="B2477" s="71"/>
      <c r="C2477" s="273"/>
      <c r="D2477" s="322"/>
      <c r="E2477" s="322"/>
      <c r="F2477" s="323"/>
      <c r="G2477" s="323"/>
      <c r="H2477" s="71"/>
    </row>
    <row r="2478" customFormat="false" ht="15" hidden="false" customHeight="true" outlineLevel="0" collapsed="false">
      <c r="A2478" s="71"/>
      <c r="B2478" s="71"/>
      <c r="C2478" s="273"/>
      <c r="D2478" s="322"/>
      <c r="E2478" s="322"/>
      <c r="F2478" s="323"/>
      <c r="G2478" s="323"/>
      <c r="H2478" s="71"/>
    </row>
    <row r="2479" customFormat="false" ht="15" hidden="false" customHeight="true" outlineLevel="0" collapsed="false">
      <c r="A2479" s="71"/>
      <c r="B2479" s="71"/>
      <c r="C2479" s="273"/>
      <c r="D2479" s="322"/>
      <c r="E2479" s="322"/>
      <c r="F2479" s="323"/>
      <c r="G2479" s="323"/>
      <c r="H2479" s="71"/>
    </row>
    <row r="2480" customFormat="false" ht="15" hidden="false" customHeight="true" outlineLevel="0" collapsed="false">
      <c r="A2480" s="71"/>
      <c r="B2480" s="71"/>
      <c r="C2480" s="273"/>
      <c r="D2480" s="322"/>
      <c r="E2480" s="322"/>
      <c r="F2480" s="323"/>
      <c r="G2480" s="323"/>
      <c r="H2480" s="71"/>
    </row>
    <row r="2481" customFormat="false" ht="15" hidden="false" customHeight="true" outlineLevel="0" collapsed="false">
      <c r="A2481" s="71"/>
      <c r="B2481" s="71"/>
      <c r="C2481" s="273"/>
      <c r="D2481" s="322"/>
      <c r="E2481" s="322"/>
      <c r="F2481" s="323"/>
      <c r="G2481" s="323"/>
      <c r="H2481" s="71"/>
    </row>
    <row r="2482" customFormat="false" ht="15" hidden="false" customHeight="true" outlineLevel="0" collapsed="false">
      <c r="A2482" s="71"/>
      <c r="B2482" s="71"/>
      <c r="C2482" s="273"/>
      <c r="D2482" s="322"/>
      <c r="E2482" s="322"/>
      <c r="F2482" s="323"/>
      <c r="G2482" s="323"/>
      <c r="H2482" s="71"/>
    </row>
    <row r="2483" customFormat="false" ht="15" hidden="false" customHeight="true" outlineLevel="0" collapsed="false">
      <c r="A2483" s="71"/>
      <c r="B2483" s="71"/>
      <c r="C2483" s="273"/>
      <c r="D2483" s="322"/>
      <c r="E2483" s="322"/>
      <c r="F2483" s="323"/>
      <c r="G2483" s="323"/>
      <c r="H2483" s="71"/>
    </row>
    <row r="2484" customFormat="false" ht="15" hidden="false" customHeight="true" outlineLevel="0" collapsed="false">
      <c r="A2484" s="71"/>
      <c r="B2484" s="71"/>
      <c r="C2484" s="273"/>
      <c r="D2484" s="322"/>
      <c r="E2484" s="322"/>
      <c r="F2484" s="323"/>
      <c r="G2484" s="323"/>
      <c r="H2484" s="71"/>
    </row>
    <row r="2485" customFormat="false" ht="15" hidden="false" customHeight="true" outlineLevel="0" collapsed="false">
      <c r="A2485" s="71"/>
      <c r="B2485" s="71"/>
      <c r="C2485" s="273"/>
      <c r="D2485" s="322"/>
      <c r="E2485" s="322"/>
      <c r="F2485" s="323"/>
      <c r="G2485" s="323"/>
      <c r="H2485" s="71"/>
    </row>
    <row r="2486" customFormat="false" ht="15" hidden="false" customHeight="true" outlineLevel="0" collapsed="false">
      <c r="A2486" s="71"/>
      <c r="B2486" s="71"/>
      <c r="C2486" s="273"/>
      <c r="D2486" s="322"/>
      <c r="E2486" s="322"/>
      <c r="F2486" s="323"/>
      <c r="G2486" s="323"/>
      <c r="H2486" s="71"/>
    </row>
    <row r="2487" customFormat="false" ht="15" hidden="false" customHeight="true" outlineLevel="0" collapsed="false">
      <c r="A2487" s="71"/>
      <c r="B2487" s="71"/>
      <c r="C2487" s="273"/>
      <c r="D2487" s="322"/>
      <c r="E2487" s="322"/>
      <c r="F2487" s="323"/>
      <c r="G2487" s="323"/>
      <c r="H2487" s="71"/>
    </row>
    <row r="2488" customFormat="false" ht="15" hidden="false" customHeight="true" outlineLevel="0" collapsed="false">
      <c r="A2488" s="71"/>
      <c r="B2488" s="71"/>
      <c r="C2488" s="273"/>
      <c r="D2488" s="322"/>
      <c r="E2488" s="322"/>
      <c r="F2488" s="323"/>
      <c r="G2488" s="323"/>
      <c r="H2488" s="71"/>
    </row>
    <row r="2489" customFormat="false" ht="15" hidden="false" customHeight="true" outlineLevel="0" collapsed="false">
      <c r="A2489" s="71"/>
      <c r="B2489" s="71"/>
      <c r="C2489" s="273"/>
      <c r="D2489" s="322"/>
      <c r="E2489" s="322"/>
      <c r="F2489" s="323"/>
      <c r="G2489" s="323"/>
      <c r="H2489" s="71"/>
    </row>
    <row r="2490" customFormat="false" ht="15" hidden="false" customHeight="true" outlineLevel="0" collapsed="false">
      <c r="A2490" s="71"/>
      <c r="B2490" s="71"/>
      <c r="C2490" s="273"/>
      <c r="D2490" s="322"/>
      <c r="E2490" s="322"/>
      <c r="F2490" s="323"/>
      <c r="G2490" s="323"/>
      <c r="H2490" s="71"/>
    </row>
    <row r="2491" customFormat="false" ht="15" hidden="false" customHeight="true" outlineLevel="0" collapsed="false">
      <c r="A2491" s="71"/>
      <c r="B2491" s="71"/>
      <c r="C2491" s="273"/>
      <c r="D2491" s="322"/>
      <c r="E2491" s="322"/>
      <c r="F2491" s="323"/>
      <c r="G2491" s="323"/>
      <c r="H2491" s="71"/>
    </row>
    <row r="2492" customFormat="false" ht="15" hidden="false" customHeight="true" outlineLevel="0" collapsed="false">
      <c r="A2492" s="71"/>
      <c r="B2492" s="71"/>
      <c r="C2492" s="273"/>
      <c r="D2492" s="322"/>
      <c r="E2492" s="322"/>
      <c r="F2492" s="323"/>
      <c r="G2492" s="323"/>
      <c r="H2492" s="71"/>
    </row>
    <row r="2493" customFormat="false" ht="15" hidden="false" customHeight="true" outlineLevel="0" collapsed="false">
      <c r="A2493" s="71"/>
      <c r="B2493" s="71"/>
      <c r="C2493" s="273"/>
      <c r="D2493" s="322"/>
      <c r="E2493" s="322"/>
      <c r="F2493" s="323"/>
      <c r="G2493" s="323"/>
      <c r="H2493" s="71"/>
    </row>
    <row r="2494" customFormat="false" ht="15" hidden="false" customHeight="true" outlineLevel="0" collapsed="false">
      <c r="A2494" s="71"/>
      <c r="B2494" s="71"/>
      <c r="C2494" s="273"/>
      <c r="D2494" s="322"/>
      <c r="E2494" s="322"/>
      <c r="F2494" s="323"/>
      <c r="G2494" s="323"/>
      <c r="H2494" s="71"/>
    </row>
    <row r="2495" customFormat="false" ht="15" hidden="false" customHeight="true" outlineLevel="0" collapsed="false">
      <c r="A2495" s="71"/>
      <c r="B2495" s="71"/>
      <c r="C2495" s="273"/>
      <c r="D2495" s="322"/>
      <c r="E2495" s="322"/>
      <c r="F2495" s="323"/>
      <c r="G2495" s="323"/>
      <c r="H2495" s="71"/>
    </row>
    <row r="2496" customFormat="false" ht="15" hidden="false" customHeight="true" outlineLevel="0" collapsed="false">
      <c r="A2496" s="71"/>
      <c r="B2496" s="71"/>
      <c r="C2496" s="273"/>
      <c r="D2496" s="322"/>
      <c r="E2496" s="322"/>
      <c r="F2496" s="323"/>
      <c r="G2496" s="323"/>
      <c r="H2496" s="71"/>
    </row>
    <row r="2497" customFormat="false" ht="15" hidden="false" customHeight="true" outlineLevel="0" collapsed="false">
      <c r="A2497" s="71"/>
      <c r="B2497" s="71"/>
      <c r="C2497" s="273"/>
      <c r="D2497" s="322"/>
      <c r="E2497" s="322"/>
      <c r="F2497" s="323"/>
      <c r="G2497" s="323"/>
      <c r="H2497" s="71"/>
    </row>
    <row r="2498" customFormat="false" ht="15" hidden="false" customHeight="true" outlineLevel="0" collapsed="false">
      <c r="A2498" s="71"/>
      <c r="B2498" s="71"/>
      <c r="C2498" s="273"/>
      <c r="D2498" s="322"/>
      <c r="E2498" s="322"/>
      <c r="F2498" s="323"/>
      <c r="G2498" s="323"/>
      <c r="H2498" s="71"/>
    </row>
    <row r="2499" customFormat="false" ht="15" hidden="false" customHeight="true" outlineLevel="0" collapsed="false">
      <c r="A2499" s="71"/>
      <c r="B2499" s="71"/>
      <c r="C2499" s="273"/>
      <c r="D2499" s="322"/>
      <c r="E2499" s="322"/>
      <c r="F2499" s="323"/>
      <c r="G2499" s="323"/>
      <c r="H2499" s="71"/>
    </row>
    <row r="2500" customFormat="false" ht="15" hidden="false" customHeight="true" outlineLevel="0" collapsed="false">
      <c r="A2500" s="71"/>
      <c r="B2500" s="71"/>
      <c r="C2500" s="273"/>
      <c r="D2500" s="322"/>
      <c r="E2500" s="322"/>
      <c r="F2500" s="323"/>
      <c r="G2500" s="323"/>
      <c r="H2500" s="71"/>
    </row>
    <row r="2501" customFormat="false" ht="15" hidden="false" customHeight="true" outlineLevel="0" collapsed="false">
      <c r="A2501" s="71"/>
      <c r="B2501" s="71"/>
      <c r="C2501" s="273"/>
      <c r="D2501" s="322"/>
      <c r="E2501" s="322"/>
      <c r="F2501" s="323"/>
      <c r="G2501" s="323"/>
      <c r="H2501" s="71"/>
    </row>
    <row r="2502" customFormat="false" ht="15" hidden="false" customHeight="true" outlineLevel="0" collapsed="false">
      <c r="A2502" s="71"/>
      <c r="B2502" s="71"/>
      <c r="C2502" s="273"/>
      <c r="D2502" s="322"/>
      <c r="E2502" s="322"/>
      <c r="F2502" s="323"/>
      <c r="G2502" s="323"/>
      <c r="H2502" s="71"/>
    </row>
    <row r="2503" customFormat="false" ht="15" hidden="false" customHeight="true" outlineLevel="0" collapsed="false">
      <c r="A2503" s="71"/>
      <c r="B2503" s="71"/>
      <c r="C2503" s="273"/>
      <c r="D2503" s="322"/>
      <c r="E2503" s="322"/>
      <c r="F2503" s="323"/>
      <c r="G2503" s="323"/>
      <c r="H2503" s="71"/>
    </row>
    <row r="2504" customFormat="false" ht="15" hidden="false" customHeight="true" outlineLevel="0" collapsed="false">
      <c r="A2504" s="71"/>
      <c r="B2504" s="71"/>
      <c r="C2504" s="273"/>
      <c r="D2504" s="322"/>
      <c r="E2504" s="322"/>
      <c r="F2504" s="323"/>
      <c r="G2504" s="323"/>
      <c r="H2504" s="71"/>
    </row>
    <row r="2505" customFormat="false" ht="15" hidden="false" customHeight="true" outlineLevel="0" collapsed="false">
      <c r="A2505" s="71"/>
      <c r="B2505" s="71"/>
      <c r="C2505" s="273"/>
      <c r="D2505" s="322"/>
      <c r="E2505" s="322"/>
      <c r="F2505" s="323"/>
      <c r="G2505" s="323"/>
      <c r="H2505" s="71"/>
    </row>
    <row r="2506" customFormat="false" ht="15" hidden="false" customHeight="true" outlineLevel="0" collapsed="false">
      <c r="A2506" s="71"/>
      <c r="B2506" s="71"/>
      <c r="C2506" s="273"/>
      <c r="D2506" s="322"/>
      <c r="E2506" s="322"/>
      <c r="F2506" s="323"/>
      <c r="G2506" s="323"/>
      <c r="H2506" s="71"/>
    </row>
    <row r="2507" customFormat="false" ht="15" hidden="false" customHeight="true" outlineLevel="0" collapsed="false">
      <c r="A2507" s="71"/>
      <c r="B2507" s="71"/>
      <c r="C2507" s="273"/>
      <c r="D2507" s="322"/>
      <c r="E2507" s="322"/>
      <c r="F2507" s="323"/>
      <c r="G2507" s="323"/>
      <c r="H2507" s="71"/>
    </row>
    <row r="2508" customFormat="false" ht="15" hidden="false" customHeight="true" outlineLevel="0" collapsed="false">
      <c r="A2508" s="71"/>
      <c r="B2508" s="71"/>
      <c r="C2508" s="273"/>
      <c r="D2508" s="322"/>
      <c r="E2508" s="322"/>
      <c r="F2508" s="323"/>
      <c r="G2508" s="323"/>
      <c r="H2508" s="71"/>
    </row>
    <row r="2509" customFormat="false" ht="15" hidden="false" customHeight="true" outlineLevel="0" collapsed="false">
      <c r="A2509" s="71"/>
      <c r="B2509" s="71"/>
      <c r="C2509" s="273"/>
      <c r="D2509" s="322"/>
      <c r="E2509" s="322"/>
      <c r="F2509" s="323"/>
      <c r="G2509" s="323"/>
      <c r="H2509" s="71"/>
    </row>
    <row r="2510" customFormat="false" ht="15" hidden="false" customHeight="true" outlineLevel="0" collapsed="false">
      <c r="A2510" s="71"/>
      <c r="B2510" s="71"/>
      <c r="C2510" s="273"/>
      <c r="D2510" s="322"/>
      <c r="E2510" s="322"/>
      <c r="F2510" s="323"/>
      <c r="G2510" s="323"/>
      <c r="H2510" s="71"/>
    </row>
    <row r="2511" customFormat="false" ht="15" hidden="false" customHeight="true" outlineLevel="0" collapsed="false">
      <c r="A2511" s="71"/>
      <c r="B2511" s="71"/>
      <c r="C2511" s="273"/>
      <c r="D2511" s="322"/>
      <c r="E2511" s="322"/>
      <c r="F2511" s="323"/>
      <c r="G2511" s="323"/>
      <c r="H2511" s="71"/>
    </row>
    <row r="2512" customFormat="false" ht="15" hidden="false" customHeight="true" outlineLevel="0" collapsed="false">
      <c r="A2512" s="71"/>
      <c r="B2512" s="71"/>
      <c r="C2512" s="273"/>
      <c r="D2512" s="322"/>
      <c r="E2512" s="322"/>
      <c r="F2512" s="323"/>
      <c r="G2512" s="323"/>
      <c r="H2512" s="71"/>
    </row>
    <row r="2513" customFormat="false" ht="15" hidden="false" customHeight="true" outlineLevel="0" collapsed="false">
      <c r="A2513" s="71"/>
      <c r="B2513" s="71"/>
      <c r="C2513" s="273"/>
      <c r="D2513" s="322"/>
      <c r="E2513" s="322"/>
      <c r="F2513" s="323"/>
      <c r="G2513" s="323"/>
      <c r="H2513" s="71"/>
    </row>
    <row r="2514" customFormat="false" ht="15" hidden="false" customHeight="true" outlineLevel="0" collapsed="false">
      <c r="A2514" s="71"/>
      <c r="B2514" s="71"/>
      <c r="C2514" s="273"/>
      <c r="D2514" s="322"/>
      <c r="E2514" s="322"/>
      <c r="F2514" s="323"/>
      <c r="G2514" s="323"/>
      <c r="H2514" s="71"/>
    </row>
    <row r="2515" customFormat="false" ht="15" hidden="false" customHeight="true" outlineLevel="0" collapsed="false">
      <c r="A2515" s="71"/>
      <c r="B2515" s="71"/>
      <c r="C2515" s="273"/>
      <c r="D2515" s="322"/>
      <c r="E2515" s="322"/>
      <c r="F2515" s="323"/>
      <c r="G2515" s="323"/>
      <c r="H2515" s="71"/>
    </row>
    <row r="2516" customFormat="false" ht="15" hidden="false" customHeight="true" outlineLevel="0" collapsed="false">
      <c r="A2516" s="71"/>
      <c r="B2516" s="71"/>
      <c r="C2516" s="273"/>
      <c r="D2516" s="322"/>
      <c r="E2516" s="322"/>
      <c r="F2516" s="323"/>
      <c r="G2516" s="323"/>
      <c r="H2516" s="71"/>
    </row>
    <row r="2517" customFormat="false" ht="15" hidden="false" customHeight="true" outlineLevel="0" collapsed="false">
      <c r="A2517" s="71"/>
      <c r="B2517" s="71"/>
      <c r="C2517" s="273"/>
      <c r="D2517" s="322"/>
      <c r="E2517" s="322"/>
      <c r="F2517" s="323"/>
      <c r="G2517" s="323"/>
      <c r="H2517" s="71"/>
    </row>
    <row r="2518" customFormat="false" ht="15" hidden="false" customHeight="true" outlineLevel="0" collapsed="false">
      <c r="A2518" s="71"/>
      <c r="B2518" s="71"/>
      <c r="C2518" s="273"/>
      <c r="D2518" s="322"/>
      <c r="E2518" s="322"/>
      <c r="F2518" s="323"/>
      <c r="G2518" s="323"/>
      <c r="H2518" s="71"/>
    </row>
    <row r="2519" customFormat="false" ht="15" hidden="false" customHeight="true" outlineLevel="0" collapsed="false">
      <c r="A2519" s="71"/>
      <c r="B2519" s="71"/>
      <c r="C2519" s="273"/>
      <c r="D2519" s="322"/>
      <c r="E2519" s="322"/>
      <c r="F2519" s="323"/>
      <c r="G2519" s="323"/>
      <c r="H2519" s="71"/>
    </row>
    <row r="2520" customFormat="false" ht="15" hidden="false" customHeight="true" outlineLevel="0" collapsed="false">
      <c r="A2520" s="71"/>
      <c r="B2520" s="71"/>
      <c r="C2520" s="273"/>
      <c r="D2520" s="322"/>
      <c r="E2520" s="322"/>
      <c r="F2520" s="323"/>
      <c r="G2520" s="323"/>
      <c r="H2520" s="71"/>
    </row>
    <row r="2521" customFormat="false" ht="15" hidden="false" customHeight="true" outlineLevel="0" collapsed="false">
      <c r="A2521" s="71"/>
      <c r="B2521" s="71"/>
      <c r="C2521" s="273"/>
      <c r="D2521" s="322"/>
      <c r="E2521" s="322"/>
      <c r="F2521" s="323"/>
      <c r="G2521" s="323"/>
      <c r="H2521" s="71"/>
    </row>
    <row r="2522" customFormat="false" ht="15" hidden="false" customHeight="true" outlineLevel="0" collapsed="false">
      <c r="A2522" s="71"/>
      <c r="B2522" s="71"/>
      <c r="C2522" s="273"/>
      <c r="D2522" s="322"/>
      <c r="E2522" s="322"/>
      <c r="F2522" s="323"/>
      <c r="G2522" s="323"/>
      <c r="H2522" s="71"/>
    </row>
    <row r="2523" customFormat="false" ht="15" hidden="false" customHeight="true" outlineLevel="0" collapsed="false">
      <c r="A2523" s="71"/>
      <c r="B2523" s="71"/>
      <c r="C2523" s="273"/>
      <c r="D2523" s="322"/>
      <c r="E2523" s="322"/>
      <c r="F2523" s="323"/>
      <c r="G2523" s="323"/>
      <c r="H2523" s="71"/>
    </row>
    <row r="2524" customFormat="false" ht="15" hidden="false" customHeight="true" outlineLevel="0" collapsed="false">
      <c r="A2524" s="71"/>
      <c r="B2524" s="71"/>
      <c r="C2524" s="273"/>
      <c r="D2524" s="322"/>
      <c r="E2524" s="322"/>
      <c r="F2524" s="323"/>
      <c r="G2524" s="323"/>
      <c r="H2524" s="71"/>
    </row>
    <row r="2525" customFormat="false" ht="15" hidden="false" customHeight="true" outlineLevel="0" collapsed="false">
      <c r="A2525" s="71"/>
      <c r="B2525" s="71"/>
      <c r="C2525" s="273"/>
      <c r="D2525" s="322"/>
      <c r="E2525" s="322"/>
      <c r="F2525" s="323"/>
      <c r="G2525" s="323"/>
      <c r="H2525" s="71"/>
    </row>
    <row r="2526" customFormat="false" ht="15" hidden="false" customHeight="true" outlineLevel="0" collapsed="false">
      <c r="A2526" s="71"/>
      <c r="B2526" s="71"/>
      <c r="C2526" s="273"/>
      <c r="D2526" s="322"/>
      <c r="E2526" s="322"/>
      <c r="F2526" s="323"/>
      <c r="G2526" s="323"/>
      <c r="H2526" s="71"/>
    </row>
    <row r="2527" customFormat="false" ht="15" hidden="false" customHeight="true" outlineLevel="0" collapsed="false">
      <c r="A2527" s="71"/>
      <c r="B2527" s="71"/>
      <c r="C2527" s="273"/>
      <c r="D2527" s="322"/>
      <c r="E2527" s="322"/>
      <c r="F2527" s="323"/>
      <c r="G2527" s="323"/>
      <c r="H2527" s="71"/>
    </row>
    <row r="2528" customFormat="false" ht="15" hidden="false" customHeight="true" outlineLevel="0" collapsed="false">
      <c r="A2528" s="71"/>
      <c r="B2528" s="71"/>
      <c r="C2528" s="273"/>
      <c r="D2528" s="322"/>
      <c r="E2528" s="322"/>
      <c r="F2528" s="323"/>
      <c r="G2528" s="323"/>
      <c r="H2528" s="71"/>
    </row>
    <row r="2529" customFormat="false" ht="15" hidden="false" customHeight="true" outlineLevel="0" collapsed="false">
      <c r="A2529" s="71"/>
      <c r="B2529" s="71"/>
      <c r="C2529" s="273"/>
      <c r="D2529" s="322"/>
      <c r="E2529" s="322"/>
      <c r="F2529" s="323"/>
      <c r="G2529" s="323"/>
      <c r="H2529" s="71"/>
    </row>
    <row r="2530" customFormat="false" ht="15" hidden="false" customHeight="true" outlineLevel="0" collapsed="false">
      <c r="A2530" s="71"/>
      <c r="B2530" s="71"/>
      <c r="C2530" s="273"/>
      <c r="D2530" s="322"/>
      <c r="E2530" s="322"/>
      <c r="F2530" s="323"/>
      <c r="G2530" s="323"/>
      <c r="H2530" s="71"/>
    </row>
    <row r="2531" customFormat="false" ht="15" hidden="false" customHeight="true" outlineLevel="0" collapsed="false">
      <c r="A2531" s="71"/>
      <c r="B2531" s="71"/>
      <c r="C2531" s="273"/>
      <c r="D2531" s="322"/>
      <c r="E2531" s="322"/>
      <c r="F2531" s="323"/>
      <c r="G2531" s="323"/>
      <c r="H2531" s="71"/>
    </row>
    <row r="2532" customFormat="false" ht="15" hidden="false" customHeight="true" outlineLevel="0" collapsed="false">
      <c r="A2532" s="71"/>
      <c r="B2532" s="71"/>
      <c r="C2532" s="273"/>
      <c r="D2532" s="322"/>
      <c r="E2532" s="322"/>
      <c r="F2532" s="323"/>
      <c r="G2532" s="323"/>
      <c r="H2532" s="71"/>
    </row>
    <row r="2533" customFormat="false" ht="15" hidden="false" customHeight="true" outlineLevel="0" collapsed="false">
      <c r="A2533" s="71"/>
      <c r="B2533" s="71"/>
      <c r="C2533" s="273"/>
      <c r="D2533" s="322"/>
      <c r="E2533" s="322"/>
      <c r="F2533" s="323"/>
      <c r="G2533" s="323"/>
      <c r="H2533" s="71"/>
    </row>
    <row r="2534" customFormat="false" ht="15" hidden="false" customHeight="true" outlineLevel="0" collapsed="false">
      <c r="A2534" s="71"/>
      <c r="B2534" s="71"/>
      <c r="C2534" s="273"/>
      <c r="D2534" s="322"/>
      <c r="E2534" s="322"/>
      <c r="F2534" s="323"/>
      <c r="G2534" s="323"/>
      <c r="H2534" s="71"/>
    </row>
    <row r="2535" customFormat="false" ht="15" hidden="false" customHeight="true" outlineLevel="0" collapsed="false">
      <c r="A2535" s="71"/>
      <c r="B2535" s="71"/>
      <c r="C2535" s="273"/>
      <c r="D2535" s="322"/>
      <c r="E2535" s="322"/>
      <c r="F2535" s="323"/>
      <c r="G2535" s="323"/>
      <c r="H2535" s="71"/>
    </row>
    <row r="2536" customFormat="false" ht="15" hidden="false" customHeight="true" outlineLevel="0" collapsed="false">
      <c r="A2536" s="71"/>
      <c r="B2536" s="71"/>
      <c r="C2536" s="273"/>
      <c r="D2536" s="322"/>
      <c r="E2536" s="322"/>
      <c r="F2536" s="323"/>
      <c r="G2536" s="323"/>
      <c r="H2536" s="71"/>
    </row>
    <row r="2537" customFormat="false" ht="15" hidden="false" customHeight="true" outlineLevel="0" collapsed="false">
      <c r="A2537" s="71"/>
      <c r="B2537" s="71"/>
      <c r="C2537" s="273"/>
      <c r="D2537" s="322"/>
      <c r="E2537" s="322"/>
      <c r="F2537" s="323"/>
      <c r="G2537" s="323"/>
      <c r="H2537" s="71"/>
    </row>
    <row r="2538" customFormat="false" ht="15" hidden="false" customHeight="true" outlineLevel="0" collapsed="false">
      <c r="A2538" s="71"/>
      <c r="B2538" s="71"/>
      <c r="C2538" s="273"/>
      <c r="D2538" s="322"/>
      <c r="E2538" s="322"/>
      <c r="F2538" s="323"/>
      <c r="G2538" s="323"/>
      <c r="H2538" s="71"/>
    </row>
    <row r="2539" customFormat="false" ht="15" hidden="false" customHeight="true" outlineLevel="0" collapsed="false">
      <c r="A2539" s="71"/>
      <c r="B2539" s="71"/>
      <c r="C2539" s="273"/>
      <c r="D2539" s="322"/>
      <c r="E2539" s="322"/>
      <c r="F2539" s="323"/>
      <c r="G2539" s="323"/>
      <c r="H2539" s="71"/>
    </row>
    <row r="2540" customFormat="false" ht="15" hidden="false" customHeight="true" outlineLevel="0" collapsed="false">
      <c r="A2540" s="71"/>
      <c r="B2540" s="71"/>
      <c r="C2540" s="273"/>
      <c r="D2540" s="322"/>
      <c r="E2540" s="322"/>
      <c r="F2540" s="323"/>
      <c r="G2540" s="323"/>
      <c r="H2540" s="71"/>
    </row>
    <row r="2541" customFormat="false" ht="15" hidden="false" customHeight="true" outlineLevel="0" collapsed="false">
      <c r="A2541" s="71"/>
      <c r="B2541" s="71"/>
      <c r="C2541" s="273"/>
      <c r="D2541" s="322"/>
      <c r="E2541" s="322"/>
      <c r="F2541" s="323"/>
      <c r="G2541" s="323"/>
      <c r="H2541" s="71"/>
    </row>
    <row r="2542" customFormat="false" ht="15" hidden="false" customHeight="true" outlineLevel="0" collapsed="false">
      <c r="A2542" s="71"/>
      <c r="B2542" s="71"/>
      <c r="C2542" s="273"/>
      <c r="D2542" s="322"/>
      <c r="E2542" s="322"/>
      <c r="F2542" s="323"/>
      <c r="G2542" s="323"/>
      <c r="H2542" s="71"/>
    </row>
    <row r="2543" customFormat="false" ht="15" hidden="false" customHeight="true" outlineLevel="0" collapsed="false">
      <c r="A2543" s="71"/>
      <c r="B2543" s="71"/>
      <c r="C2543" s="273"/>
      <c r="D2543" s="322"/>
      <c r="E2543" s="322"/>
      <c r="F2543" s="323"/>
      <c r="G2543" s="323"/>
      <c r="H2543" s="71"/>
    </row>
    <row r="2544" customFormat="false" ht="15" hidden="false" customHeight="true" outlineLevel="0" collapsed="false">
      <c r="A2544" s="71"/>
      <c r="B2544" s="71"/>
      <c r="C2544" s="273"/>
      <c r="D2544" s="322"/>
      <c r="E2544" s="322"/>
      <c r="F2544" s="323"/>
      <c r="G2544" s="323"/>
      <c r="H2544" s="71"/>
    </row>
    <row r="2545" customFormat="false" ht="15" hidden="false" customHeight="true" outlineLevel="0" collapsed="false">
      <c r="A2545" s="71"/>
      <c r="B2545" s="71"/>
      <c r="C2545" s="273"/>
      <c r="D2545" s="322"/>
      <c r="E2545" s="322"/>
      <c r="F2545" s="323"/>
      <c r="G2545" s="323"/>
      <c r="H2545" s="71"/>
    </row>
    <row r="2546" customFormat="false" ht="15" hidden="false" customHeight="true" outlineLevel="0" collapsed="false">
      <c r="A2546" s="71"/>
      <c r="B2546" s="71"/>
      <c r="C2546" s="273"/>
      <c r="D2546" s="322"/>
      <c r="E2546" s="322"/>
      <c r="F2546" s="323"/>
      <c r="G2546" s="323"/>
      <c r="H2546" s="71"/>
    </row>
    <row r="2547" customFormat="false" ht="15" hidden="false" customHeight="true" outlineLevel="0" collapsed="false">
      <c r="A2547" s="71"/>
      <c r="B2547" s="71"/>
      <c r="C2547" s="273"/>
      <c r="D2547" s="322"/>
      <c r="E2547" s="322"/>
      <c r="F2547" s="323"/>
      <c r="G2547" s="323"/>
      <c r="H2547" s="71"/>
    </row>
    <row r="2548" customFormat="false" ht="15" hidden="false" customHeight="true" outlineLevel="0" collapsed="false">
      <c r="A2548" s="71"/>
      <c r="B2548" s="71"/>
      <c r="C2548" s="273"/>
      <c r="D2548" s="322"/>
      <c r="E2548" s="322"/>
      <c r="F2548" s="323"/>
      <c r="G2548" s="323"/>
      <c r="H2548" s="71"/>
    </row>
    <row r="2549" customFormat="false" ht="15" hidden="false" customHeight="true" outlineLevel="0" collapsed="false">
      <c r="A2549" s="71"/>
      <c r="B2549" s="71"/>
      <c r="C2549" s="273"/>
      <c r="D2549" s="322"/>
      <c r="E2549" s="322"/>
      <c r="F2549" s="323"/>
      <c r="G2549" s="323"/>
      <c r="H2549" s="71"/>
    </row>
    <row r="2550" customFormat="false" ht="15" hidden="false" customHeight="true" outlineLevel="0" collapsed="false">
      <c r="A2550" s="71"/>
      <c r="B2550" s="71"/>
      <c r="C2550" s="273"/>
      <c r="D2550" s="322"/>
      <c r="E2550" s="322"/>
      <c r="F2550" s="323"/>
      <c r="G2550" s="323"/>
      <c r="H2550" s="71"/>
    </row>
    <row r="2551" customFormat="false" ht="15" hidden="false" customHeight="true" outlineLevel="0" collapsed="false">
      <c r="A2551" s="71"/>
      <c r="B2551" s="71"/>
      <c r="C2551" s="273"/>
      <c r="D2551" s="322"/>
      <c r="E2551" s="322"/>
      <c r="F2551" s="323"/>
      <c r="G2551" s="323"/>
      <c r="H2551" s="71"/>
    </row>
    <row r="2552" customFormat="false" ht="15" hidden="false" customHeight="true" outlineLevel="0" collapsed="false">
      <c r="A2552" s="71"/>
      <c r="B2552" s="71"/>
      <c r="C2552" s="273"/>
      <c r="D2552" s="322"/>
      <c r="E2552" s="322"/>
      <c r="F2552" s="323"/>
      <c r="G2552" s="323"/>
      <c r="H2552" s="71"/>
    </row>
    <row r="2553" customFormat="false" ht="15" hidden="false" customHeight="true" outlineLevel="0" collapsed="false">
      <c r="A2553" s="71"/>
      <c r="B2553" s="71"/>
      <c r="C2553" s="273"/>
      <c r="D2553" s="322"/>
      <c r="E2553" s="322"/>
      <c r="F2553" s="323"/>
      <c r="G2553" s="323"/>
      <c r="H2553" s="71"/>
    </row>
    <row r="2554" customFormat="false" ht="15" hidden="false" customHeight="true" outlineLevel="0" collapsed="false">
      <c r="A2554" s="71"/>
      <c r="B2554" s="71"/>
      <c r="C2554" s="273"/>
      <c r="D2554" s="322"/>
      <c r="E2554" s="322"/>
      <c r="F2554" s="323"/>
      <c r="G2554" s="323"/>
      <c r="H2554" s="71"/>
    </row>
    <row r="2555" customFormat="false" ht="15" hidden="false" customHeight="true" outlineLevel="0" collapsed="false">
      <c r="A2555" s="71"/>
      <c r="B2555" s="71"/>
      <c r="C2555" s="273"/>
      <c r="D2555" s="322"/>
      <c r="E2555" s="322"/>
      <c r="F2555" s="323"/>
      <c r="G2555" s="323"/>
      <c r="H2555" s="71"/>
    </row>
    <row r="2556" customFormat="false" ht="15" hidden="false" customHeight="true" outlineLevel="0" collapsed="false">
      <c r="A2556" s="71"/>
      <c r="B2556" s="71"/>
      <c r="C2556" s="273"/>
      <c r="D2556" s="322"/>
      <c r="E2556" s="322"/>
      <c r="F2556" s="323"/>
      <c r="G2556" s="323"/>
      <c r="H2556" s="71"/>
    </row>
    <row r="2557" customFormat="false" ht="15" hidden="false" customHeight="true" outlineLevel="0" collapsed="false">
      <c r="A2557" s="71"/>
      <c r="B2557" s="71"/>
      <c r="C2557" s="273"/>
      <c r="D2557" s="322"/>
      <c r="E2557" s="322"/>
      <c r="F2557" s="323"/>
      <c r="G2557" s="323"/>
      <c r="H2557" s="71"/>
    </row>
    <row r="2558" customFormat="false" ht="15" hidden="false" customHeight="true" outlineLevel="0" collapsed="false">
      <c r="A2558" s="71"/>
      <c r="B2558" s="71"/>
      <c r="C2558" s="273"/>
      <c r="D2558" s="322"/>
      <c r="E2558" s="322"/>
      <c r="F2558" s="323"/>
      <c r="G2558" s="323"/>
      <c r="H2558" s="71"/>
    </row>
    <row r="2559" customFormat="false" ht="15" hidden="false" customHeight="true" outlineLevel="0" collapsed="false">
      <c r="A2559" s="71"/>
      <c r="B2559" s="71"/>
      <c r="C2559" s="273"/>
      <c r="D2559" s="322"/>
      <c r="E2559" s="322"/>
      <c r="F2559" s="323"/>
      <c r="G2559" s="323"/>
      <c r="H2559" s="71"/>
    </row>
    <row r="2560" customFormat="false" ht="15" hidden="false" customHeight="true" outlineLevel="0" collapsed="false">
      <c r="A2560" s="71"/>
      <c r="B2560" s="71"/>
      <c r="C2560" s="273"/>
      <c r="D2560" s="322"/>
      <c r="E2560" s="322"/>
      <c r="F2560" s="323"/>
      <c r="G2560" s="323"/>
      <c r="H2560" s="71"/>
    </row>
    <row r="2561" customFormat="false" ht="15" hidden="false" customHeight="true" outlineLevel="0" collapsed="false">
      <c r="A2561" s="71"/>
      <c r="B2561" s="71"/>
      <c r="C2561" s="273"/>
      <c r="D2561" s="322"/>
      <c r="E2561" s="322"/>
      <c r="F2561" s="323"/>
      <c r="G2561" s="323"/>
      <c r="H2561" s="71"/>
    </row>
    <row r="2562" customFormat="false" ht="15" hidden="false" customHeight="true" outlineLevel="0" collapsed="false">
      <c r="A2562" s="71"/>
      <c r="B2562" s="71"/>
      <c r="C2562" s="273"/>
      <c r="D2562" s="322"/>
      <c r="E2562" s="322"/>
      <c r="F2562" s="323"/>
      <c r="G2562" s="323"/>
      <c r="H2562" s="71"/>
    </row>
    <row r="2563" customFormat="false" ht="15" hidden="false" customHeight="true" outlineLevel="0" collapsed="false">
      <c r="A2563" s="71"/>
      <c r="B2563" s="71"/>
      <c r="C2563" s="273"/>
      <c r="D2563" s="322"/>
      <c r="E2563" s="322"/>
      <c r="F2563" s="323"/>
      <c r="G2563" s="323"/>
      <c r="H2563" s="71"/>
    </row>
    <row r="2564" customFormat="false" ht="15" hidden="false" customHeight="true" outlineLevel="0" collapsed="false">
      <c r="A2564" s="71"/>
      <c r="B2564" s="71"/>
      <c r="C2564" s="273"/>
      <c r="D2564" s="322"/>
      <c r="E2564" s="322"/>
      <c r="F2564" s="323"/>
      <c r="G2564" s="323"/>
      <c r="H2564" s="71"/>
    </row>
    <row r="2565" customFormat="false" ht="15" hidden="false" customHeight="true" outlineLevel="0" collapsed="false">
      <c r="A2565" s="71"/>
      <c r="B2565" s="71"/>
      <c r="C2565" s="273"/>
      <c r="D2565" s="322"/>
      <c r="E2565" s="322"/>
      <c r="F2565" s="323"/>
      <c r="G2565" s="323"/>
      <c r="H2565" s="71"/>
    </row>
    <row r="2566" customFormat="false" ht="15" hidden="false" customHeight="true" outlineLevel="0" collapsed="false">
      <c r="A2566" s="71"/>
      <c r="B2566" s="71"/>
      <c r="C2566" s="273"/>
      <c r="D2566" s="322"/>
      <c r="E2566" s="322"/>
      <c r="F2566" s="323"/>
      <c r="G2566" s="323"/>
      <c r="H2566" s="71"/>
    </row>
    <row r="2567" customFormat="false" ht="15" hidden="false" customHeight="true" outlineLevel="0" collapsed="false">
      <c r="A2567" s="71"/>
      <c r="B2567" s="71"/>
      <c r="C2567" s="273"/>
      <c r="D2567" s="322"/>
      <c r="E2567" s="322"/>
      <c r="F2567" s="323"/>
      <c r="G2567" s="323"/>
      <c r="H2567" s="71"/>
    </row>
    <row r="2568" customFormat="false" ht="15" hidden="false" customHeight="true" outlineLevel="0" collapsed="false">
      <c r="A2568" s="71"/>
      <c r="B2568" s="71"/>
      <c r="C2568" s="273"/>
      <c r="D2568" s="322"/>
      <c r="E2568" s="322"/>
      <c r="F2568" s="323"/>
      <c r="G2568" s="323"/>
      <c r="H2568" s="71"/>
    </row>
    <row r="2569" customFormat="false" ht="15" hidden="false" customHeight="true" outlineLevel="0" collapsed="false">
      <c r="A2569" s="71"/>
      <c r="B2569" s="71"/>
      <c r="C2569" s="273"/>
      <c r="D2569" s="322"/>
      <c r="E2569" s="322"/>
      <c r="F2569" s="323"/>
      <c r="G2569" s="323"/>
      <c r="H2569" s="71"/>
    </row>
    <row r="2570" customFormat="false" ht="15" hidden="false" customHeight="true" outlineLevel="0" collapsed="false">
      <c r="A2570" s="71"/>
      <c r="B2570" s="71"/>
      <c r="C2570" s="273"/>
      <c r="D2570" s="322"/>
      <c r="E2570" s="322"/>
      <c r="F2570" s="323"/>
      <c r="G2570" s="323"/>
      <c r="H2570" s="71"/>
    </row>
    <row r="2571" customFormat="false" ht="15" hidden="false" customHeight="true" outlineLevel="0" collapsed="false">
      <c r="A2571" s="71"/>
      <c r="B2571" s="71"/>
      <c r="C2571" s="273"/>
      <c r="D2571" s="322"/>
      <c r="E2571" s="322"/>
      <c r="F2571" s="323"/>
      <c r="G2571" s="323"/>
      <c r="H2571" s="71"/>
    </row>
    <row r="2572" customFormat="false" ht="15" hidden="false" customHeight="true" outlineLevel="0" collapsed="false">
      <c r="A2572" s="71"/>
      <c r="B2572" s="71"/>
      <c r="C2572" s="273"/>
      <c r="D2572" s="322"/>
      <c r="E2572" s="322"/>
      <c r="F2572" s="323"/>
      <c r="G2572" s="323"/>
      <c r="H2572" s="71"/>
    </row>
    <row r="2573" customFormat="false" ht="15" hidden="false" customHeight="true" outlineLevel="0" collapsed="false">
      <c r="A2573" s="71"/>
      <c r="B2573" s="71"/>
      <c r="C2573" s="273"/>
      <c r="D2573" s="322"/>
      <c r="E2573" s="322"/>
      <c r="F2573" s="323"/>
      <c r="G2573" s="323"/>
      <c r="H2573" s="71"/>
    </row>
    <row r="2574" customFormat="false" ht="15" hidden="false" customHeight="true" outlineLevel="0" collapsed="false">
      <c r="A2574" s="71"/>
      <c r="B2574" s="71"/>
      <c r="C2574" s="273"/>
      <c r="D2574" s="322"/>
      <c r="E2574" s="322"/>
      <c r="F2574" s="323"/>
      <c r="G2574" s="323"/>
      <c r="H2574" s="71"/>
    </row>
    <row r="2575" customFormat="false" ht="15" hidden="false" customHeight="true" outlineLevel="0" collapsed="false">
      <c r="A2575" s="71"/>
      <c r="B2575" s="71"/>
      <c r="C2575" s="273"/>
      <c r="D2575" s="322"/>
      <c r="E2575" s="322"/>
      <c r="F2575" s="323"/>
      <c r="G2575" s="323"/>
      <c r="H2575" s="71"/>
    </row>
    <row r="2576" customFormat="false" ht="15" hidden="false" customHeight="true" outlineLevel="0" collapsed="false">
      <c r="A2576" s="71"/>
      <c r="B2576" s="71"/>
      <c r="C2576" s="273"/>
      <c r="D2576" s="322"/>
      <c r="E2576" s="322"/>
      <c r="F2576" s="323"/>
      <c r="G2576" s="323"/>
      <c r="H2576" s="71"/>
    </row>
    <row r="2577" customFormat="false" ht="15" hidden="false" customHeight="true" outlineLevel="0" collapsed="false">
      <c r="A2577" s="71"/>
      <c r="B2577" s="71"/>
      <c r="C2577" s="273"/>
      <c r="D2577" s="322"/>
      <c r="E2577" s="322"/>
      <c r="F2577" s="323"/>
      <c r="G2577" s="323"/>
      <c r="H2577" s="71"/>
    </row>
    <row r="2578" customFormat="false" ht="15" hidden="false" customHeight="true" outlineLevel="0" collapsed="false">
      <c r="A2578" s="71"/>
      <c r="B2578" s="71"/>
      <c r="C2578" s="273"/>
      <c r="D2578" s="322"/>
      <c r="E2578" s="322"/>
      <c r="F2578" s="323"/>
      <c r="G2578" s="323"/>
      <c r="H2578" s="71"/>
    </row>
    <row r="2579" customFormat="false" ht="15" hidden="false" customHeight="true" outlineLevel="0" collapsed="false">
      <c r="A2579" s="71"/>
      <c r="B2579" s="71"/>
      <c r="C2579" s="273"/>
      <c r="D2579" s="322"/>
      <c r="E2579" s="322"/>
      <c r="F2579" s="323"/>
      <c r="G2579" s="323"/>
      <c r="H2579" s="71"/>
    </row>
    <row r="2580" customFormat="false" ht="15" hidden="false" customHeight="true" outlineLevel="0" collapsed="false">
      <c r="A2580" s="71"/>
      <c r="B2580" s="71"/>
      <c r="C2580" s="273"/>
      <c r="D2580" s="322"/>
      <c r="E2580" s="322"/>
      <c r="F2580" s="323"/>
      <c r="G2580" s="323"/>
      <c r="H2580" s="71"/>
    </row>
    <row r="2581" customFormat="false" ht="15" hidden="false" customHeight="true" outlineLevel="0" collapsed="false">
      <c r="A2581" s="71"/>
      <c r="B2581" s="71"/>
      <c r="C2581" s="273"/>
      <c r="D2581" s="322"/>
      <c r="E2581" s="322"/>
      <c r="F2581" s="323"/>
      <c r="G2581" s="323"/>
      <c r="H2581" s="71"/>
    </row>
    <row r="2582" customFormat="false" ht="15" hidden="false" customHeight="true" outlineLevel="0" collapsed="false">
      <c r="A2582" s="71"/>
      <c r="B2582" s="71"/>
      <c r="C2582" s="273"/>
      <c r="D2582" s="322"/>
      <c r="E2582" s="322"/>
      <c r="F2582" s="323"/>
      <c r="G2582" s="323"/>
      <c r="H2582" s="71"/>
    </row>
    <row r="2583" customFormat="false" ht="15" hidden="false" customHeight="true" outlineLevel="0" collapsed="false">
      <c r="A2583" s="71"/>
      <c r="B2583" s="71"/>
      <c r="C2583" s="273"/>
      <c r="D2583" s="322"/>
      <c r="E2583" s="322"/>
      <c r="F2583" s="323"/>
      <c r="G2583" s="323"/>
      <c r="H2583" s="71"/>
    </row>
    <row r="2584" customFormat="false" ht="15" hidden="false" customHeight="true" outlineLevel="0" collapsed="false">
      <c r="A2584" s="71"/>
      <c r="B2584" s="71"/>
      <c r="C2584" s="273"/>
      <c r="D2584" s="322"/>
      <c r="E2584" s="322"/>
      <c r="F2584" s="323"/>
      <c r="G2584" s="323"/>
      <c r="H2584" s="71"/>
    </row>
    <row r="2585" customFormat="false" ht="15" hidden="false" customHeight="true" outlineLevel="0" collapsed="false">
      <c r="A2585" s="71"/>
      <c r="B2585" s="71"/>
      <c r="C2585" s="273"/>
      <c r="D2585" s="322"/>
      <c r="E2585" s="322"/>
      <c r="F2585" s="323"/>
      <c r="G2585" s="323"/>
      <c r="H2585" s="71"/>
    </row>
    <row r="2586" customFormat="false" ht="15" hidden="false" customHeight="true" outlineLevel="0" collapsed="false">
      <c r="A2586" s="71"/>
      <c r="B2586" s="71"/>
      <c r="C2586" s="273"/>
      <c r="D2586" s="322"/>
      <c r="E2586" s="322"/>
      <c r="F2586" s="323"/>
      <c r="G2586" s="323"/>
      <c r="H2586" s="71"/>
    </row>
    <row r="2587" customFormat="false" ht="15" hidden="false" customHeight="true" outlineLevel="0" collapsed="false">
      <c r="A2587" s="71"/>
      <c r="B2587" s="71"/>
      <c r="C2587" s="273"/>
      <c r="D2587" s="322"/>
      <c r="E2587" s="322"/>
      <c r="F2587" s="323"/>
      <c r="G2587" s="323"/>
      <c r="H2587" s="71"/>
    </row>
    <row r="2588" customFormat="false" ht="15" hidden="false" customHeight="true" outlineLevel="0" collapsed="false">
      <c r="A2588" s="71"/>
      <c r="B2588" s="71"/>
      <c r="C2588" s="273"/>
      <c r="D2588" s="322"/>
      <c r="E2588" s="322"/>
      <c r="F2588" s="323"/>
      <c r="G2588" s="323"/>
      <c r="H2588" s="71"/>
    </row>
    <row r="2589" customFormat="false" ht="15" hidden="false" customHeight="true" outlineLevel="0" collapsed="false">
      <c r="A2589" s="71"/>
      <c r="B2589" s="71"/>
      <c r="C2589" s="273"/>
      <c r="D2589" s="322"/>
      <c r="E2589" s="322"/>
      <c r="F2589" s="323"/>
      <c r="G2589" s="323"/>
      <c r="H2589" s="71"/>
    </row>
    <row r="2590" customFormat="false" ht="15" hidden="false" customHeight="true" outlineLevel="0" collapsed="false">
      <c r="A2590" s="71"/>
      <c r="B2590" s="71"/>
      <c r="C2590" s="273"/>
      <c r="D2590" s="322"/>
      <c r="E2590" s="322"/>
      <c r="F2590" s="323"/>
      <c r="G2590" s="323"/>
      <c r="H2590" s="71"/>
    </row>
    <row r="2591" customFormat="false" ht="15" hidden="false" customHeight="true" outlineLevel="0" collapsed="false">
      <c r="A2591" s="71"/>
      <c r="B2591" s="71"/>
      <c r="C2591" s="273"/>
      <c r="D2591" s="322"/>
      <c r="E2591" s="322"/>
      <c r="F2591" s="323"/>
      <c r="G2591" s="323"/>
      <c r="H2591" s="71"/>
    </row>
    <row r="2592" customFormat="false" ht="15" hidden="false" customHeight="true" outlineLevel="0" collapsed="false">
      <c r="A2592" s="71"/>
      <c r="B2592" s="71"/>
      <c r="C2592" s="273"/>
      <c r="D2592" s="322"/>
      <c r="E2592" s="322"/>
      <c r="F2592" s="323"/>
      <c r="G2592" s="323"/>
      <c r="H2592" s="71"/>
    </row>
    <row r="2593" customFormat="false" ht="15" hidden="false" customHeight="true" outlineLevel="0" collapsed="false">
      <c r="A2593" s="71"/>
      <c r="B2593" s="71"/>
      <c r="C2593" s="273"/>
      <c r="D2593" s="322"/>
      <c r="E2593" s="322"/>
      <c r="F2593" s="323"/>
      <c r="G2593" s="323"/>
      <c r="H2593" s="71"/>
    </row>
    <row r="2594" customFormat="false" ht="15" hidden="false" customHeight="true" outlineLevel="0" collapsed="false">
      <c r="A2594" s="71"/>
      <c r="B2594" s="71"/>
      <c r="C2594" s="273"/>
      <c r="D2594" s="322"/>
      <c r="E2594" s="322"/>
      <c r="F2594" s="323"/>
      <c r="G2594" s="323"/>
      <c r="H2594" s="71"/>
    </row>
    <row r="2595" customFormat="false" ht="15" hidden="false" customHeight="true" outlineLevel="0" collapsed="false">
      <c r="A2595" s="71"/>
      <c r="B2595" s="71"/>
      <c r="C2595" s="273"/>
      <c r="D2595" s="322"/>
      <c r="E2595" s="322"/>
      <c r="F2595" s="323"/>
      <c r="G2595" s="323"/>
      <c r="H2595" s="71"/>
    </row>
    <row r="2596" customFormat="false" ht="15" hidden="false" customHeight="true" outlineLevel="0" collapsed="false">
      <c r="A2596" s="71"/>
      <c r="B2596" s="71"/>
      <c r="C2596" s="273"/>
      <c r="D2596" s="322"/>
      <c r="E2596" s="322"/>
      <c r="F2596" s="323"/>
      <c r="G2596" s="323"/>
      <c r="H2596" s="71"/>
    </row>
    <row r="2597" customFormat="false" ht="15" hidden="false" customHeight="true" outlineLevel="0" collapsed="false">
      <c r="A2597" s="71"/>
      <c r="B2597" s="71"/>
      <c r="C2597" s="273"/>
      <c r="D2597" s="322"/>
      <c r="E2597" s="322"/>
      <c r="F2597" s="323"/>
      <c r="G2597" s="323"/>
      <c r="H2597" s="71"/>
    </row>
    <row r="2598" customFormat="false" ht="15" hidden="false" customHeight="true" outlineLevel="0" collapsed="false">
      <c r="A2598" s="71"/>
      <c r="B2598" s="71"/>
      <c r="C2598" s="273"/>
      <c r="D2598" s="322"/>
      <c r="E2598" s="322"/>
      <c r="F2598" s="323"/>
      <c r="G2598" s="323"/>
      <c r="H2598" s="71"/>
    </row>
    <row r="2599" customFormat="false" ht="15" hidden="false" customHeight="true" outlineLevel="0" collapsed="false">
      <c r="A2599" s="71"/>
      <c r="B2599" s="71"/>
      <c r="C2599" s="273"/>
      <c r="D2599" s="322"/>
      <c r="E2599" s="322"/>
      <c r="F2599" s="323"/>
      <c r="G2599" s="323"/>
      <c r="H2599" s="71"/>
    </row>
    <row r="2600" customFormat="false" ht="15" hidden="false" customHeight="true" outlineLevel="0" collapsed="false">
      <c r="A2600" s="71"/>
      <c r="B2600" s="71"/>
      <c r="C2600" s="273"/>
      <c r="D2600" s="322"/>
      <c r="E2600" s="322"/>
      <c r="F2600" s="323"/>
      <c r="G2600" s="323"/>
      <c r="H2600" s="71"/>
    </row>
    <row r="2601" customFormat="false" ht="15" hidden="false" customHeight="true" outlineLevel="0" collapsed="false">
      <c r="A2601" s="71"/>
      <c r="B2601" s="71"/>
      <c r="C2601" s="273"/>
      <c r="D2601" s="322"/>
      <c r="E2601" s="322"/>
      <c r="F2601" s="323"/>
      <c r="G2601" s="323"/>
      <c r="H2601" s="71"/>
    </row>
    <row r="2602" customFormat="false" ht="15" hidden="false" customHeight="true" outlineLevel="0" collapsed="false">
      <c r="A2602" s="71"/>
      <c r="B2602" s="71"/>
      <c r="C2602" s="273"/>
      <c r="D2602" s="322"/>
      <c r="E2602" s="322"/>
      <c r="F2602" s="323"/>
      <c r="G2602" s="323"/>
      <c r="H2602" s="71"/>
    </row>
    <row r="2603" customFormat="false" ht="15" hidden="false" customHeight="true" outlineLevel="0" collapsed="false">
      <c r="A2603" s="71"/>
      <c r="B2603" s="71"/>
      <c r="C2603" s="273"/>
      <c r="D2603" s="322"/>
      <c r="E2603" s="322"/>
      <c r="F2603" s="323"/>
      <c r="G2603" s="323"/>
      <c r="H2603" s="71"/>
    </row>
    <row r="2604" customFormat="false" ht="15" hidden="false" customHeight="true" outlineLevel="0" collapsed="false">
      <c r="A2604" s="71"/>
      <c r="B2604" s="71"/>
      <c r="C2604" s="273"/>
      <c r="D2604" s="322"/>
      <c r="E2604" s="322"/>
      <c r="F2604" s="323"/>
      <c r="G2604" s="323"/>
      <c r="H2604" s="71"/>
    </row>
    <row r="2605" customFormat="false" ht="15" hidden="false" customHeight="true" outlineLevel="0" collapsed="false">
      <c r="A2605" s="71"/>
      <c r="B2605" s="71"/>
      <c r="C2605" s="273"/>
      <c r="D2605" s="322"/>
      <c r="E2605" s="322"/>
      <c r="F2605" s="323"/>
      <c r="G2605" s="323"/>
      <c r="H2605" s="71"/>
    </row>
    <row r="2606" customFormat="false" ht="15" hidden="false" customHeight="true" outlineLevel="0" collapsed="false">
      <c r="A2606" s="71"/>
      <c r="B2606" s="71"/>
      <c r="C2606" s="273"/>
      <c r="D2606" s="322"/>
      <c r="E2606" s="322"/>
      <c r="F2606" s="323"/>
      <c r="G2606" s="323"/>
      <c r="H2606" s="71"/>
    </row>
    <row r="2607" customFormat="false" ht="15" hidden="false" customHeight="true" outlineLevel="0" collapsed="false">
      <c r="A2607" s="71"/>
      <c r="B2607" s="71"/>
      <c r="C2607" s="273"/>
      <c r="D2607" s="322"/>
      <c r="E2607" s="322"/>
      <c r="F2607" s="323"/>
      <c r="G2607" s="323"/>
      <c r="H2607" s="71"/>
    </row>
    <row r="2608" customFormat="false" ht="15" hidden="false" customHeight="true" outlineLevel="0" collapsed="false">
      <c r="A2608" s="71"/>
      <c r="B2608" s="71"/>
      <c r="C2608" s="273"/>
      <c r="D2608" s="322"/>
      <c r="E2608" s="322"/>
      <c r="F2608" s="323"/>
      <c r="G2608" s="323"/>
      <c r="H2608" s="71"/>
    </row>
    <row r="2609" customFormat="false" ht="15" hidden="false" customHeight="true" outlineLevel="0" collapsed="false">
      <c r="A2609" s="71"/>
      <c r="B2609" s="71"/>
      <c r="C2609" s="273"/>
      <c r="D2609" s="322"/>
      <c r="E2609" s="322"/>
      <c r="F2609" s="323"/>
      <c r="G2609" s="323"/>
      <c r="H2609" s="71"/>
    </row>
    <row r="2610" customFormat="false" ht="15" hidden="false" customHeight="true" outlineLevel="0" collapsed="false">
      <c r="A2610" s="71"/>
      <c r="B2610" s="71"/>
      <c r="C2610" s="273"/>
      <c r="D2610" s="322"/>
      <c r="E2610" s="322"/>
      <c r="F2610" s="323"/>
      <c r="G2610" s="323"/>
      <c r="H2610" s="71"/>
    </row>
    <row r="2611" customFormat="false" ht="15" hidden="false" customHeight="true" outlineLevel="0" collapsed="false">
      <c r="A2611" s="71"/>
      <c r="B2611" s="71"/>
      <c r="C2611" s="273"/>
      <c r="D2611" s="322"/>
      <c r="E2611" s="322"/>
      <c r="F2611" s="323"/>
      <c r="G2611" s="323"/>
      <c r="H2611" s="71"/>
    </row>
    <row r="2612" customFormat="false" ht="15" hidden="false" customHeight="true" outlineLevel="0" collapsed="false">
      <c r="A2612" s="71"/>
      <c r="B2612" s="71"/>
      <c r="C2612" s="273"/>
      <c r="D2612" s="322"/>
      <c r="E2612" s="322"/>
      <c r="F2612" s="323"/>
      <c r="G2612" s="323"/>
      <c r="H2612" s="71"/>
    </row>
    <row r="2613" customFormat="false" ht="15" hidden="false" customHeight="true" outlineLevel="0" collapsed="false">
      <c r="A2613" s="71"/>
      <c r="B2613" s="71"/>
      <c r="C2613" s="273"/>
      <c r="D2613" s="322"/>
      <c r="E2613" s="322"/>
      <c r="F2613" s="323"/>
      <c r="G2613" s="323"/>
      <c r="H2613" s="71"/>
    </row>
    <row r="2614" customFormat="false" ht="15" hidden="false" customHeight="true" outlineLevel="0" collapsed="false">
      <c r="A2614" s="71"/>
      <c r="B2614" s="71"/>
      <c r="C2614" s="273"/>
      <c r="D2614" s="322"/>
      <c r="E2614" s="322"/>
      <c r="F2614" s="323"/>
      <c r="G2614" s="323"/>
      <c r="H2614" s="71"/>
    </row>
    <row r="2615" customFormat="false" ht="15" hidden="false" customHeight="true" outlineLevel="0" collapsed="false">
      <c r="A2615" s="71"/>
      <c r="B2615" s="71"/>
      <c r="C2615" s="273"/>
      <c r="D2615" s="322"/>
      <c r="E2615" s="322"/>
      <c r="F2615" s="323"/>
      <c r="G2615" s="323"/>
      <c r="H2615" s="71"/>
    </row>
    <row r="2616" customFormat="false" ht="15" hidden="false" customHeight="true" outlineLevel="0" collapsed="false">
      <c r="A2616" s="71"/>
      <c r="B2616" s="71"/>
      <c r="C2616" s="273"/>
      <c r="D2616" s="322"/>
      <c r="E2616" s="322"/>
      <c r="F2616" s="323"/>
      <c r="G2616" s="323"/>
      <c r="H2616" s="71"/>
    </row>
    <row r="2617" customFormat="false" ht="15" hidden="false" customHeight="true" outlineLevel="0" collapsed="false">
      <c r="A2617" s="71"/>
      <c r="B2617" s="71"/>
      <c r="C2617" s="273"/>
      <c r="D2617" s="322"/>
      <c r="E2617" s="322"/>
      <c r="F2617" s="323"/>
      <c r="G2617" s="323"/>
      <c r="H2617" s="71"/>
    </row>
    <row r="2618" customFormat="false" ht="15" hidden="false" customHeight="true" outlineLevel="0" collapsed="false">
      <c r="A2618" s="71"/>
      <c r="B2618" s="71"/>
      <c r="C2618" s="273"/>
      <c r="D2618" s="322"/>
      <c r="E2618" s="322"/>
      <c r="F2618" s="323"/>
      <c r="G2618" s="323"/>
      <c r="H2618" s="71"/>
    </row>
    <row r="2619" customFormat="false" ht="15" hidden="false" customHeight="true" outlineLevel="0" collapsed="false">
      <c r="A2619" s="71"/>
      <c r="B2619" s="71"/>
      <c r="C2619" s="273"/>
      <c r="D2619" s="322"/>
      <c r="E2619" s="322"/>
      <c r="F2619" s="323"/>
      <c r="G2619" s="323"/>
      <c r="H2619" s="71"/>
    </row>
    <row r="2620" customFormat="false" ht="15" hidden="false" customHeight="true" outlineLevel="0" collapsed="false">
      <c r="A2620" s="71"/>
      <c r="B2620" s="71"/>
      <c r="C2620" s="273"/>
      <c r="D2620" s="322"/>
      <c r="E2620" s="322"/>
      <c r="F2620" s="323"/>
      <c r="G2620" s="323"/>
      <c r="H2620" s="71"/>
    </row>
    <row r="2621" customFormat="false" ht="15" hidden="false" customHeight="true" outlineLevel="0" collapsed="false">
      <c r="A2621" s="71"/>
      <c r="B2621" s="71"/>
      <c r="C2621" s="273"/>
      <c r="D2621" s="322"/>
      <c r="E2621" s="322"/>
      <c r="F2621" s="323"/>
      <c r="G2621" s="323"/>
      <c r="H2621" s="71"/>
    </row>
    <row r="2622" customFormat="false" ht="15" hidden="false" customHeight="true" outlineLevel="0" collapsed="false">
      <c r="A2622" s="71"/>
      <c r="B2622" s="71"/>
      <c r="C2622" s="273"/>
      <c r="D2622" s="322"/>
      <c r="E2622" s="322"/>
      <c r="F2622" s="323"/>
      <c r="G2622" s="323"/>
      <c r="H2622" s="71"/>
    </row>
    <row r="2623" customFormat="false" ht="15" hidden="false" customHeight="true" outlineLevel="0" collapsed="false">
      <c r="A2623" s="71"/>
      <c r="B2623" s="71"/>
      <c r="C2623" s="273"/>
      <c r="D2623" s="322"/>
      <c r="E2623" s="322"/>
      <c r="F2623" s="323"/>
      <c r="G2623" s="323"/>
      <c r="H2623" s="71"/>
    </row>
    <row r="2624" customFormat="false" ht="15" hidden="false" customHeight="true" outlineLevel="0" collapsed="false">
      <c r="A2624" s="71"/>
      <c r="B2624" s="71"/>
      <c r="C2624" s="273"/>
      <c r="D2624" s="322"/>
      <c r="E2624" s="322"/>
      <c r="F2624" s="323"/>
      <c r="G2624" s="323"/>
      <c r="H2624" s="71"/>
    </row>
    <row r="2625" customFormat="false" ht="15" hidden="false" customHeight="true" outlineLevel="0" collapsed="false">
      <c r="A2625" s="71"/>
      <c r="B2625" s="71"/>
      <c r="C2625" s="273"/>
      <c r="D2625" s="322"/>
      <c r="E2625" s="322"/>
      <c r="F2625" s="323"/>
      <c r="G2625" s="323"/>
      <c r="H2625" s="71"/>
    </row>
    <row r="2626" customFormat="false" ht="15" hidden="false" customHeight="true" outlineLevel="0" collapsed="false">
      <c r="A2626" s="71"/>
      <c r="B2626" s="71"/>
      <c r="C2626" s="273"/>
      <c r="D2626" s="322"/>
      <c r="E2626" s="322"/>
      <c r="F2626" s="323"/>
      <c r="G2626" s="323"/>
      <c r="H2626" s="71"/>
    </row>
    <row r="2627" customFormat="false" ht="15" hidden="false" customHeight="true" outlineLevel="0" collapsed="false">
      <c r="A2627" s="71"/>
      <c r="B2627" s="71"/>
      <c r="C2627" s="273"/>
      <c r="D2627" s="322"/>
      <c r="E2627" s="322"/>
      <c r="F2627" s="323"/>
      <c r="G2627" s="323"/>
      <c r="H2627" s="71"/>
    </row>
    <row r="2628" customFormat="false" ht="15" hidden="false" customHeight="true" outlineLevel="0" collapsed="false">
      <c r="A2628" s="71"/>
      <c r="B2628" s="71"/>
      <c r="C2628" s="273"/>
      <c r="D2628" s="322"/>
      <c r="E2628" s="322"/>
      <c r="F2628" s="323"/>
      <c r="G2628" s="323"/>
      <c r="H2628" s="71"/>
    </row>
    <row r="2629" customFormat="false" ht="15" hidden="false" customHeight="true" outlineLevel="0" collapsed="false">
      <c r="A2629" s="71"/>
      <c r="B2629" s="71"/>
      <c r="C2629" s="273"/>
      <c r="D2629" s="322"/>
      <c r="E2629" s="322"/>
      <c r="F2629" s="323"/>
      <c r="G2629" s="323"/>
      <c r="H2629" s="71"/>
    </row>
    <row r="2630" customFormat="false" ht="15" hidden="false" customHeight="true" outlineLevel="0" collapsed="false">
      <c r="A2630" s="71"/>
      <c r="B2630" s="71"/>
      <c r="C2630" s="273"/>
      <c r="D2630" s="322"/>
      <c r="E2630" s="322"/>
      <c r="F2630" s="323"/>
      <c r="G2630" s="323"/>
      <c r="H2630" s="71"/>
    </row>
    <row r="2631" customFormat="false" ht="15" hidden="false" customHeight="true" outlineLevel="0" collapsed="false">
      <c r="A2631" s="71"/>
      <c r="B2631" s="71"/>
      <c r="C2631" s="273"/>
      <c r="D2631" s="322"/>
      <c r="E2631" s="322"/>
      <c r="F2631" s="323"/>
      <c r="G2631" s="323"/>
      <c r="H2631" s="71"/>
    </row>
    <row r="2632" customFormat="false" ht="15" hidden="false" customHeight="true" outlineLevel="0" collapsed="false">
      <c r="A2632" s="71"/>
      <c r="B2632" s="71"/>
      <c r="C2632" s="273"/>
      <c r="D2632" s="322"/>
      <c r="E2632" s="322"/>
      <c r="F2632" s="323"/>
      <c r="G2632" s="323"/>
      <c r="H2632" s="71"/>
    </row>
    <row r="2633" customFormat="false" ht="15" hidden="false" customHeight="true" outlineLevel="0" collapsed="false">
      <c r="A2633" s="71"/>
      <c r="B2633" s="71"/>
      <c r="C2633" s="273"/>
      <c r="D2633" s="322"/>
      <c r="E2633" s="322"/>
      <c r="F2633" s="323"/>
      <c r="G2633" s="323"/>
      <c r="H2633" s="71"/>
    </row>
    <row r="2634" customFormat="false" ht="15" hidden="false" customHeight="true" outlineLevel="0" collapsed="false">
      <c r="A2634" s="71"/>
      <c r="B2634" s="71"/>
      <c r="C2634" s="273"/>
      <c r="D2634" s="322"/>
      <c r="E2634" s="322"/>
      <c r="F2634" s="323"/>
      <c r="G2634" s="323"/>
      <c r="H2634" s="71"/>
    </row>
    <row r="2635" customFormat="false" ht="15" hidden="false" customHeight="true" outlineLevel="0" collapsed="false">
      <c r="A2635" s="71"/>
      <c r="B2635" s="71"/>
      <c r="C2635" s="273"/>
      <c r="D2635" s="322"/>
      <c r="E2635" s="322"/>
      <c r="F2635" s="323"/>
      <c r="G2635" s="323"/>
      <c r="H2635" s="71"/>
    </row>
    <row r="2636" customFormat="false" ht="15" hidden="false" customHeight="true" outlineLevel="0" collapsed="false">
      <c r="A2636" s="71"/>
      <c r="B2636" s="71"/>
      <c r="C2636" s="273"/>
      <c r="D2636" s="322"/>
      <c r="E2636" s="322"/>
      <c r="F2636" s="323"/>
      <c r="G2636" s="323"/>
      <c r="H2636" s="71"/>
    </row>
    <row r="2637" customFormat="false" ht="15" hidden="false" customHeight="true" outlineLevel="0" collapsed="false">
      <c r="A2637" s="71"/>
      <c r="B2637" s="71"/>
      <c r="C2637" s="273"/>
      <c r="D2637" s="322"/>
      <c r="E2637" s="322"/>
      <c r="F2637" s="323"/>
      <c r="G2637" s="323"/>
      <c r="H2637" s="71"/>
    </row>
    <row r="2638" customFormat="false" ht="15" hidden="false" customHeight="true" outlineLevel="0" collapsed="false">
      <c r="A2638" s="71"/>
      <c r="B2638" s="71"/>
      <c r="C2638" s="273"/>
      <c r="D2638" s="322"/>
      <c r="E2638" s="322"/>
      <c r="F2638" s="323"/>
      <c r="G2638" s="323"/>
      <c r="H2638" s="71"/>
    </row>
    <row r="2639" customFormat="false" ht="15" hidden="false" customHeight="true" outlineLevel="0" collapsed="false">
      <c r="A2639" s="71"/>
      <c r="B2639" s="71"/>
      <c r="C2639" s="273"/>
      <c r="D2639" s="322"/>
      <c r="E2639" s="322"/>
      <c r="F2639" s="323"/>
      <c r="G2639" s="323"/>
      <c r="H2639" s="71"/>
    </row>
    <row r="2640" customFormat="false" ht="15" hidden="false" customHeight="true" outlineLevel="0" collapsed="false">
      <c r="A2640" s="71"/>
      <c r="B2640" s="71"/>
      <c r="C2640" s="273"/>
      <c r="D2640" s="322"/>
      <c r="E2640" s="322"/>
      <c r="F2640" s="323"/>
      <c r="G2640" s="323"/>
      <c r="H2640" s="71"/>
    </row>
    <row r="2641" customFormat="false" ht="15" hidden="false" customHeight="true" outlineLevel="0" collapsed="false">
      <c r="A2641" s="71"/>
      <c r="B2641" s="71"/>
      <c r="C2641" s="273"/>
      <c r="D2641" s="322"/>
      <c r="E2641" s="322"/>
      <c r="F2641" s="323"/>
      <c r="G2641" s="323"/>
      <c r="H2641" s="71"/>
    </row>
    <row r="2642" customFormat="false" ht="15" hidden="false" customHeight="true" outlineLevel="0" collapsed="false">
      <c r="A2642" s="71"/>
      <c r="B2642" s="71"/>
      <c r="C2642" s="273"/>
      <c r="D2642" s="322"/>
      <c r="E2642" s="322"/>
      <c r="F2642" s="323"/>
      <c r="G2642" s="323"/>
      <c r="H2642" s="71"/>
    </row>
    <row r="2643" customFormat="false" ht="15" hidden="false" customHeight="true" outlineLevel="0" collapsed="false">
      <c r="A2643" s="71"/>
      <c r="B2643" s="71"/>
      <c r="C2643" s="273"/>
      <c r="D2643" s="322"/>
      <c r="E2643" s="322"/>
      <c r="F2643" s="323"/>
      <c r="G2643" s="323"/>
      <c r="H2643" s="71"/>
    </row>
    <row r="2644" customFormat="false" ht="15" hidden="false" customHeight="true" outlineLevel="0" collapsed="false">
      <c r="A2644" s="71"/>
      <c r="B2644" s="71"/>
      <c r="C2644" s="273"/>
      <c r="D2644" s="322"/>
      <c r="E2644" s="322"/>
      <c r="F2644" s="323"/>
      <c r="G2644" s="323"/>
      <c r="H2644" s="71"/>
    </row>
    <row r="2645" customFormat="false" ht="15" hidden="false" customHeight="true" outlineLevel="0" collapsed="false">
      <c r="A2645" s="71"/>
      <c r="B2645" s="71"/>
      <c r="C2645" s="273"/>
      <c r="D2645" s="322"/>
      <c r="E2645" s="322"/>
      <c r="F2645" s="323"/>
      <c r="G2645" s="323"/>
      <c r="H2645" s="71"/>
    </row>
    <row r="2646" customFormat="false" ht="15" hidden="false" customHeight="true" outlineLevel="0" collapsed="false">
      <c r="A2646" s="71"/>
      <c r="B2646" s="71"/>
      <c r="C2646" s="273"/>
      <c r="D2646" s="322"/>
      <c r="E2646" s="322"/>
      <c r="F2646" s="323"/>
      <c r="G2646" s="323"/>
      <c r="H2646" s="71"/>
    </row>
    <row r="2647" customFormat="false" ht="15" hidden="false" customHeight="true" outlineLevel="0" collapsed="false">
      <c r="A2647" s="71"/>
      <c r="B2647" s="71"/>
      <c r="C2647" s="273"/>
      <c r="D2647" s="322"/>
      <c r="E2647" s="322"/>
      <c r="F2647" s="323"/>
      <c r="G2647" s="323"/>
      <c r="H2647" s="71"/>
    </row>
    <row r="2648" customFormat="false" ht="15" hidden="false" customHeight="true" outlineLevel="0" collapsed="false">
      <c r="A2648" s="71"/>
      <c r="B2648" s="71"/>
      <c r="C2648" s="273"/>
      <c r="D2648" s="322"/>
      <c r="E2648" s="322"/>
      <c r="F2648" s="323"/>
      <c r="G2648" s="323"/>
      <c r="H2648" s="71"/>
    </row>
    <row r="2649" customFormat="false" ht="15" hidden="false" customHeight="true" outlineLevel="0" collapsed="false">
      <c r="A2649" s="71"/>
      <c r="B2649" s="71"/>
      <c r="C2649" s="273"/>
      <c r="D2649" s="322"/>
      <c r="E2649" s="322"/>
      <c r="F2649" s="323"/>
      <c r="G2649" s="323"/>
      <c r="H2649" s="71"/>
    </row>
    <row r="2650" customFormat="false" ht="15" hidden="false" customHeight="true" outlineLevel="0" collapsed="false">
      <c r="A2650" s="71"/>
      <c r="B2650" s="71"/>
      <c r="C2650" s="273"/>
      <c r="D2650" s="322"/>
      <c r="E2650" s="322"/>
      <c r="F2650" s="323"/>
      <c r="G2650" s="323"/>
      <c r="H2650" s="71"/>
    </row>
    <row r="2651" customFormat="false" ht="15" hidden="false" customHeight="true" outlineLevel="0" collapsed="false">
      <c r="A2651" s="71"/>
      <c r="B2651" s="71"/>
      <c r="C2651" s="273"/>
      <c r="D2651" s="322"/>
      <c r="E2651" s="322"/>
      <c r="F2651" s="323"/>
      <c r="G2651" s="323"/>
      <c r="H2651" s="71"/>
    </row>
    <row r="2652" customFormat="false" ht="15" hidden="false" customHeight="true" outlineLevel="0" collapsed="false">
      <c r="A2652" s="71"/>
      <c r="B2652" s="71"/>
      <c r="C2652" s="273"/>
      <c r="D2652" s="322"/>
      <c r="E2652" s="322"/>
      <c r="F2652" s="323"/>
      <c r="G2652" s="323"/>
      <c r="H2652" s="71"/>
    </row>
    <row r="2653" customFormat="false" ht="15" hidden="false" customHeight="true" outlineLevel="0" collapsed="false">
      <c r="A2653" s="71"/>
      <c r="B2653" s="71"/>
      <c r="C2653" s="273"/>
      <c r="D2653" s="322"/>
      <c r="E2653" s="322"/>
      <c r="F2653" s="323"/>
      <c r="G2653" s="323"/>
      <c r="H2653" s="71"/>
    </row>
    <row r="2654" customFormat="false" ht="15" hidden="false" customHeight="true" outlineLevel="0" collapsed="false">
      <c r="A2654" s="71"/>
      <c r="B2654" s="71"/>
      <c r="C2654" s="273"/>
      <c r="D2654" s="322"/>
      <c r="E2654" s="322"/>
      <c r="F2654" s="323"/>
      <c r="G2654" s="323"/>
      <c r="H2654" s="71"/>
    </row>
    <row r="2655" customFormat="false" ht="15" hidden="false" customHeight="true" outlineLevel="0" collapsed="false">
      <c r="A2655" s="71"/>
      <c r="B2655" s="71"/>
      <c r="C2655" s="273"/>
      <c r="D2655" s="322"/>
      <c r="E2655" s="322"/>
      <c r="F2655" s="323"/>
      <c r="G2655" s="323"/>
      <c r="H2655" s="71"/>
    </row>
    <row r="2656" customFormat="false" ht="15" hidden="false" customHeight="true" outlineLevel="0" collapsed="false">
      <c r="A2656" s="71"/>
      <c r="B2656" s="71"/>
      <c r="C2656" s="273"/>
      <c r="D2656" s="322"/>
      <c r="E2656" s="322"/>
      <c r="F2656" s="323"/>
      <c r="G2656" s="323"/>
      <c r="H2656" s="71"/>
    </row>
    <row r="2657" customFormat="false" ht="15" hidden="false" customHeight="true" outlineLevel="0" collapsed="false">
      <c r="A2657" s="71"/>
      <c r="B2657" s="71"/>
      <c r="C2657" s="273"/>
      <c r="D2657" s="322"/>
      <c r="E2657" s="322"/>
      <c r="F2657" s="323"/>
      <c r="G2657" s="323"/>
      <c r="H2657" s="71"/>
    </row>
    <row r="2658" customFormat="false" ht="15" hidden="false" customHeight="true" outlineLevel="0" collapsed="false">
      <c r="A2658" s="71"/>
      <c r="B2658" s="71"/>
      <c r="C2658" s="273"/>
      <c r="D2658" s="322"/>
      <c r="E2658" s="322"/>
      <c r="F2658" s="323"/>
      <c r="G2658" s="323"/>
      <c r="H2658" s="71"/>
    </row>
    <row r="2659" customFormat="false" ht="15" hidden="false" customHeight="true" outlineLevel="0" collapsed="false">
      <c r="A2659" s="71"/>
      <c r="B2659" s="71"/>
      <c r="C2659" s="273"/>
      <c r="D2659" s="322"/>
      <c r="E2659" s="322"/>
      <c r="F2659" s="323"/>
      <c r="G2659" s="323"/>
      <c r="H2659" s="71"/>
    </row>
    <row r="2660" customFormat="false" ht="15" hidden="false" customHeight="true" outlineLevel="0" collapsed="false">
      <c r="A2660" s="71"/>
      <c r="B2660" s="71"/>
      <c r="C2660" s="273"/>
      <c r="D2660" s="322"/>
      <c r="E2660" s="322"/>
      <c r="F2660" s="323"/>
      <c r="G2660" s="323"/>
      <c r="H2660" s="71"/>
    </row>
    <row r="2661" customFormat="false" ht="15" hidden="false" customHeight="true" outlineLevel="0" collapsed="false">
      <c r="A2661" s="71"/>
      <c r="B2661" s="71"/>
      <c r="C2661" s="273"/>
      <c r="D2661" s="322"/>
      <c r="E2661" s="322"/>
      <c r="F2661" s="323"/>
      <c r="G2661" s="323"/>
      <c r="H2661" s="71"/>
    </row>
    <row r="2662" customFormat="false" ht="15" hidden="false" customHeight="true" outlineLevel="0" collapsed="false">
      <c r="A2662" s="71"/>
      <c r="B2662" s="71"/>
      <c r="C2662" s="273"/>
      <c r="D2662" s="322"/>
      <c r="E2662" s="322"/>
      <c r="F2662" s="323"/>
      <c r="G2662" s="323"/>
      <c r="H2662" s="71"/>
    </row>
    <row r="2663" customFormat="false" ht="15" hidden="false" customHeight="true" outlineLevel="0" collapsed="false">
      <c r="A2663" s="71"/>
      <c r="B2663" s="71"/>
      <c r="C2663" s="273"/>
      <c r="D2663" s="322"/>
      <c r="E2663" s="322"/>
      <c r="F2663" s="323"/>
      <c r="G2663" s="323"/>
      <c r="H2663" s="71"/>
    </row>
    <row r="2664" customFormat="false" ht="15" hidden="false" customHeight="true" outlineLevel="0" collapsed="false">
      <c r="A2664" s="71"/>
      <c r="B2664" s="71"/>
      <c r="C2664" s="273"/>
      <c r="D2664" s="322"/>
      <c r="E2664" s="322"/>
      <c r="F2664" s="323"/>
      <c r="G2664" s="323"/>
      <c r="H2664" s="71"/>
    </row>
    <row r="2665" customFormat="false" ht="15" hidden="false" customHeight="true" outlineLevel="0" collapsed="false">
      <c r="A2665" s="71"/>
      <c r="B2665" s="71"/>
      <c r="C2665" s="273"/>
      <c r="D2665" s="322"/>
      <c r="E2665" s="322"/>
      <c r="F2665" s="323"/>
      <c r="G2665" s="323"/>
      <c r="H2665" s="71"/>
    </row>
    <row r="2666" customFormat="false" ht="15" hidden="false" customHeight="true" outlineLevel="0" collapsed="false">
      <c r="A2666" s="71"/>
      <c r="B2666" s="71"/>
      <c r="C2666" s="273"/>
      <c r="D2666" s="322"/>
      <c r="E2666" s="322"/>
      <c r="F2666" s="323"/>
      <c r="G2666" s="323"/>
      <c r="H2666" s="71"/>
    </row>
    <row r="2667" customFormat="false" ht="15" hidden="false" customHeight="true" outlineLevel="0" collapsed="false">
      <c r="A2667" s="71"/>
      <c r="B2667" s="71"/>
      <c r="C2667" s="273"/>
      <c r="D2667" s="322"/>
      <c r="E2667" s="322"/>
      <c r="F2667" s="323"/>
      <c r="G2667" s="323"/>
      <c r="H2667" s="71"/>
    </row>
    <row r="2668" customFormat="false" ht="15" hidden="false" customHeight="true" outlineLevel="0" collapsed="false">
      <c r="A2668" s="71"/>
      <c r="B2668" s="71"/>
      <c r="C2668" s="273"/>
      <c r="D2668" s="322"/>
      <c r="E2668" s="322"/>
      <c r="F2668" s="323"/>
      <c r="G2668" s="323"/>
      <c r="H2668" s="71"/>
    </row>
    <row r="2669" customFormat="false" ht="15" hidden="false" customHeight="true" outlineLevel="0" collapsed="false">
      <c r="A2669" s="71"/>
      <c r="B2669" s="71"/>
      <c r="C2669" s="273"/>
      <c r="D2669" s="322"/>
      <c r="E2669" s="322"/>
      <c r="F2669" s="323"/>
      <c r="G2669" s="323"/>
      <c r="H2669" s="71"/>
    </row>
    <row r="2670" customFormat="false" ht="15" hidden="false" customHeight="true" outlineLevel="0" collapsed="false">
      <c r="A2670" s="71"/>
      <c r="B2670" s="71"/>
      <c r="C2670" s="273"/>
      <c r="D2670" s="322"/>
      <c r="E2670" s="322"/>
      <c r="F2670" s="323"/>
      <c r="G2670" s="323"/>
      <c r="H2670" s="71"/>
    </row>
    <row r="2671" customFormat="false" ht="15" hidden="false" customHeight="true" outlineLevel="0" collapsed="false">
      <c r="A2671" s="71"/>
      <c r="B2671" s="71"/>
      <c r="C2671" s="273"/>
      <c r="D2671" s="322"/>
      <c r="E2671" s="322"/>
      <c r="F2671" s="323"/>
      <c r="G2671" s="323"/>
      <c r="H2671" s="71"/>
    </row>
    <row r="2672" customFormat="false" ht="15" hidden="false" customHeight="true" outlineLevel="0" collapsed="false">
      <c r="A2672" s="71"/>
      <c r="B2672" s="71"/>
      <c r="C2672" s="273"/>
      <c r="D2672" s="322"/>
      <c r="E2672" s="322"/>
      <c r="F2672" s="323"/>
      <c r="G2672" s="323"/>
      <c r="H2672" s="71"/>
    </row>
    <row r="2673" customFormat="false" ht="15" hidden="false" customHeight="true" outlineLevel="0" collapsed="false">
      <c r="A2673" s="71"/>
      <c r="B2673" s="71"/>
      <c r="C2673" s="273"/>
      <c r="D2673" s="322"/>
      <c r="E2673" s="322"/>
      <c r="F2673" s="323"/>
      <c r="G2673" s="323"/>
      <c r="H2673" s="71"/>
    </row>
    <row r="2674" customFormat="false" ht="15" hidden="false" customHeight="true" outlineLevel="0" collapsed="false">
      <c r="A2674" s="71"/>
      <c r="B2674" s="71"/>
      <c r="C2674" s="273"/>
      <c r="D2674" s="322"/>
      <c r="E2674" s="322"/>
      <c r="F2674" s="323"/>
      <c r="G2674" s="323"/>
      <c r="H2674" s="71"/>
    </row>
    <row r="2675" customFormat="false" ht="15" hidden="false" customHeight="true" outlineLevel="0" collapsed="false">
      <c r="A2675" s="71"/>
      <c r="B2675" s="71"/>
      <c r="C2675" s="273"/>
      <c r="D2675" s="322"/>
      <c r="E2675" s="322"/>
      <c r="F2675" s="323"/>
      <c r="G2675" s="323"/>
      <c r="H2675" s="71"/>
    </row>
    <row r="2676" customFormat="false" ht="15" hidden="false" customHeight="true" outlineLevel="0" collapsed="false">
      <c r="A2676" s="71"/>
      <c r="B2676" s="71"/>
      <c r="C2676" s="273"/>
      <c r="D2676" s="322"/>
      <c r="E2676" s="322"/>
      <c r="F2676" s="323"/>
      <c r="G2676" s="323"/>
      <c r="H2676" s="71"/>
    </row>
    <row r="2677" customFormat="false" ht="15" hidden="false" customHeight="true" outlineLevel="0" collapsed="false">
      <c r="A2677" s="71"/>
      <c r="B2677" s="71"/>
      <c r="C2677" s="273"/>
      <c r="D2677" s="322"/>
      <c r="E2677" s="322"/>
      <c r="F2677" s="323"/>
      <c r="G2677" s="323"/>
      <c r="H2677" s="71"/>
    </row>
    <row r="2678" customFormat="false" ht="15" hidden="false" customHeight="true" outlineLevel="0" collapsed="false">
      <c r="A2678" s="71"/>
      <c r="B2678" s="71"/>
      <c r="C2678" s="273"/>
      <c r="D2678" s="322"/>
      <c r="E2678" s="322"/>
      <c r="F2678" s="323"/>
      <c r="G2678" s="323"/>
      <c r="H2678" s="71"/>
    </row>
    <row r="2679" customFormat="false" ht="15" hidden="false" customHeight="true" outlineLevel="0" collapsed="false">
      <c r="A2679" s="71"/>
      <c r="B2679" s="71"/>
      <c r="C2679" s="273"/>
      <c r="D2679" s="322"/>
      <c r="E2679" s="322"/>
      <c r="F2679" s="323"/>
      <c r="G2679" s="323"/>
      <c r="H2679" s="71"/>
    </row>
    <row r="2680" customFormat="false" ht="15" hidden="false" customHeight="true" outlineLevel="0" collapsed="false">
      <c r="A2680" s="71"/>
      <c r="B2680" s="71"/>
      <c r="C2680" s="273"/>
      <c r="D2680" s="322"/>
      <c r="E2680" s="322"/>
      <c r="F2680" s="323"/>
      <c r="G2680" s="323"/>
      <c r="H2680" s="71"/>
    </row>
    <row r="2681" customFormat="false" ht="15" hidden="false" customHeight="true" outlineLevel="0" collapsed="false">
      <c r="A2681" s="71"/>
      <c r="B2681" s="71"/>
      <c r="C2681" s="273"/>
      <c r="D2681" s="322"/>
      <c r="E2681" s="322"/>
      <c r="F2681" s="323"/>
      <c r="G2681" s="323"/>
      <c r="H2681" s="71"/>
    </row>
    <row r="2682" customFormat="false" ht="15" hidden="false" customHeight="true" outlineLevel="0" collapsed="false">
      <c r="A2682" s="71"/>
      <c r="B2682" s="71"/>
      <c r="C2682" s="273"/>
      <c r="D2682" s="322"/>
      <c r="E2682" s="322"/>
      <c r="F2682" s="323"/>
      <c r="G2682" s="323"/>
      <c r="H2682" s="71"/>
    </row>
    <row r="2683" customFormat="false" ht="15" hidden="false" customHeight="true" outlineLevel="0" collapsed="false">
      <c r="A2683" s="71"/>
      <c r="B2683" s="71"/>
      <c r="C2683" s="273"/>
      <c r="D2683" s="322"/>
      <c r="E2683" s="322"/>
      <c r="F2683" s="323"/>
      <c r="G2683" s="323"/>
      <c r="H2683" s="71"/>
    </row>
    <row r="2684" customFormat="false" ht="15" hidden="false" customHeight="true" outlineLevel="0" collapsed="false">
      <c r="A2684" s="71"/>
      <c r="B2684" s="71"/>
      <c r="C2684" s="273"/>
      <c r="D2684" s="322"/>
      <c r="E2684" s="322"/>
      <c r="F2684" s="323"/>
      <c r="G2684" s="323"/>
      <c r="H2684" s="71"/>
    </row>
    <row r="2685" customFormat="false" ht="15" hidden="false" customHeight="true" outlineLevel="0" collapsed="false">
      <c r="A2685" s="71"/>
      <c r="B2685" s="71"/>
      <c r="C2685" s="273"/>
      <c r="D2685" s="322"/>
      <c r="E2685" s="322"/>
      <c r="F2685" s="323"/>
      <c r="G2685" s="323"/>
      <c r="H2685" s="71"/>
    </row>
    <row r="2686" customFormat="false" ht="15" hidden="false" customHeight="true" outlineLevel="0" collapsed="false">
      <c r="A2686" s="71"/>
      <c r="B2686" s="71"/>
      <c r="C2686" s="273"/>
      <c r="D2686" s="322"/>
      <c r="E2686" s="322"/>
      <c r="F2686" s="323"/>
      <c r="G2686" s="323"/>
      <c r="H2686" s="71"/>
    </row>
    <row r="2687" customFormat="false" ht="15" hidden="false" customHeight="true" outlineLevel="0" collapsed="false">
      <c r="A2687" s="71"/>
      <c r="B2687" s="71"/>
      <c r="C2687" s="273"/>
      <c r="D2687" s="322"/>
      <c r="E2687" s="322"/>
      <c r="F2687" s="323"/>
      <c r="G2687" s="323"/>
      <c r="H2687" s="71"/>
    </row>
    <row r="2688" customFormat="false" ht="15" hidden="false" customHeight="true" outlineLevel="0" collapsed="false">
      <c r="A2688" s="71"/>
      <c r="B2688" s="71"/>
      <c r="C2688" s="273"/>
      <c r="D2688" s="322"/>
      <c r="E2688" s="322"/>
      <c r="F2688" s="323"/>
      <c r="G2688" s="323"/>
      <c r="H2688" s="71"/>
    </row>
    <row r="2689" customFormat="false" ht="15" hidden="false" customHeight="true" outlineLevel="0" collapsed="false">
      <c r="A2689" s="71"/>
      <c r="B2689" s="71"/>
      <c r="C2689" s="273"/>
      <c r="D2689" s="322"/>
      <c r="E2689" s="322"/>
      <c r="F2689" s="323"/>
      <c r="G2689" s="323"/>
      <c r="H2689" s="71"/>
    </row>
    <row r="2690" customFormat="false" ht="15" hidden="false" customHeight="true" outlineLevel="0" collapsed="false">
      <c r="A2690" s="71"/>
      <c r="B2690" s="71"/>
      <c r="C2690" s="273"/>
      <c r="D2690" s="322"/>
      <c r="E2690" s="322"/>
      <c r="F2690" s="323"/>
      <c r="G2690" s="323"/>
      <c r="H2690" s="71"/>
    </row>
    <row r="2691" customFormat="false" ht="15" hidden="false" customHeight="true" outlineLevel="0" collapsed="false">
      <c r="A2691" s="71"/>
      <c r="B2691" s="71"/>
      <c r="C2691" s="273"/>
      <c r="D2691" s="322"/>
      <c r="E2691" s="322"/>
      <c r="F2691" s="323"/>
      <c r="G2691" s="323"/>
      <c r="H2691" s="71"/>
    </row>
    <row r="2692" customFormat="false" ht="15" hidden="false" customHeight="true" outlineLevel="0" collapsed="false">
      <c r="A2692" s="71"/>
      <c r="B2692" s="71"/>
      <c r="C2692" s="273"/>
      <c r="D2692" s="322"/>
      <c r="E2692" s="322"/>
      <c r="F2692" s="323"/>
      <c r="G2692" s="323"/>
      <c r="H2692" s="71"/>
    </row>
    <row r="2693" customFormat="false" ht="15" hidden="false" customHeight="true" outlineLevel="0" collapsed="false">
      <c r="A2693" s="71"/>
      <c r="B2693" s="71"/>
      <c r="C2693" s="273"/>
      <c r="D2693" s="322"/>
      <c r="E2693" s="322"/>
      <c r="F2693" s="323"/>
      <c r="G2693" s="323"/>
      <c r="H2693" s="71"/>
    </row>
    <row r="2694" customFormat="false" ht="15" hidden="false" customHeight="true" outlineLevel="0" collapsed="false">
      <c r="A2694" s="71"/>
      <c r="B2694" s="71"/>
      <c r="C2694" s="273"/>
      <c r="D2694" s="322"/>
      <c r="E2694" s="322"/>
      <c r="F2694" s="323"/>
      <c r="G2694" s="323"/>
      <c r="H2694" s="71"/>
    </row>
    <row r="2695" customFormat="false" ht="15" hidden="false" customHeight="true" outlineLevel="0" collapsed="false">
      <c r="A2695" s="71"/>
      <c r="B2695" s="71"/>
      <c r="C2695" s="273"/>
      <c r="D2695" s="322"/>
      <c r="E2695" s="322"/>
      <c r="F2695" s="323"/>
      <c r="G2695" s="323"/>
      <c r="H2695" s="71"/>
    </row>
    <row r="2696" customFormat="false" ht="15" hidden="false" customHeight="true" outlineLevel="0" collapsed="false">
      <c r="A2696" s="71"/>
      <c r="B2696" s="71"/>
      <c r="C2696" s="273"/>
      <c r="D2696" s="322"/>
      <c r="E2696" s="322"/>
      <c r="F2696" s="323"/>
      <c r="G2696" s="323"/>
      <c r="H2696" s="71"/>
    </row>
    <row r="2697" customFormat="false" ht="15" hidden="false" customHeight="true" outlineLevel="0" collapsed="false">
      <c r="A2697" s="71"/>
      <c r="B2697" s="71"/>
      <c r="C2697" s="273"/>
      <c r="D2697" s="322"/>
      <c r="E2697" s="322"/>
      <c r="F2697" s="323"/>
      <c r="G2697" s="323"/>
      <c r="H2697" s="71"/>
    </row>
    <row r="2698" customFormat="false" ht="15" hidden="false" customHeight="true" outlineLevel="0" collapsed="false">
      <c r="A2698" s="71"/>
      <c r="B2698" s="71"/>
      <c r="C2698" s="273"/>
      <c r="D2698" s="322"/>
      <c r="E2698" s="322"/>
      <c r="F2698" s="323"/>
      <c r="G2698" s="323"/>
      <c r="H2698" s="71"/>
    </row>
    <row r="2699" customFormat="false" ht="15" hidden="false" customHeight="true" outlineLevel="0" collapsed="false">
      <c r="A2699" s="71"/>
      <c r="B2699" s="71"/>
      <c r="C2699" s="273"/>
      <c r="D2699" s="322"/>
      <c r="E2699" s="322"/>
      <c r="F2699" s="323"/>
      <c r="G2699" s="323"/>
      <c r="H2699" s="71"/>
    </row>
    <row r="2700" customFormat="false" ht="15" hidden="false" customHeight="true" outlineLevel="0" collapsed="false">
      <c r="A2700" s="71"/>
      <c r="B2700" s="71"/>
      <c r="C2700" s="273"/>
      <c r="D2700" s="322"/>
      <c r="E2700" s="322"/>
      <c r="F2700" s="323"/>
      <c r="G2700" s="323"/>
      <c r="H2700" s="71"/>
    </row>
    <row r="2701" customFormat="false" ht="15" hidden="false" customHeight="true" outlineLevel="0" collapsed="false">
      <c r="A2701" s="71"/>
      <c r="B2701" s="71"/>
      <c r="C2701" s="273"/>
      <c r="D2701" s="322"/>
      <c r="E2701" s="322"/>
      <c r="F2701" s="323"/>
      <c r="G2701" s="323"/>
      <c r="H2701" s="71"/>
    </row>
    <row r="2702" customFormat="false" ht="15" hidden="false" customHeight="true" outlineLevel="0" collapsed="false">
      <c r="A2702" s="71"/>
      <c r="B2702" s="71"/>
      <c r="C2702" s="273"/>
      <c r="D2702" s="322"/>
      <c r="E2702" s="322"/>
      <c r="F2702" s="323"/>
      <c r="G2702" s="323"/>
      <c r="H2702" s="71"/>
    </row>
    <row r="2703" customFormat="false" ht="15" hidden="false" customHeight="true" outlineLevel="0" collapsed="false">
      <c r="A2703" s="71"/>
      <c r="B2703" s="71"/>
      <c r="C2703" s="273"/>
      <c r="D2703" s="322"/>
      <c r="E2703" s="322"/>
      <c r="F2703" s="323"/>
      <c r="G2703" s="323"/>
      <c r="H2703" s="71"/>
    </row>
    <row r="2704" customFormat="false" ht="15" hidden="false" customHeight="true" outlineLevel="0" collapsed="false">
      <c r="A2704" s="71"/>
      <c r="B2704" s="71"/>
      <c r="C2704" s="273"/>
      <c r="D2704" s="322"/>
      <c r="E2704" s="322"/>
      <c r="F2704" s="323"/>
      <c r="G2704" s="323"/>
      <c r="H2704" s="71"/>
    </row>
    <row r="2705" customFormat="false" ht="15" hidden="false" customHeight="true" outlineLevel="0" collapsed="false">
      <c r="A2705" s="71"/>
      <c r="B2705" s="71"/>
      <c r="C2705" s="273"/>
      <c r="D2705" s="322"/>
      <c r="E2705" s="322"/>
      <c r="F2705" s="323"/>
      <c r="G2705" s="323"/>
      <c r="H2705" s="71"/>
    </row>
    <row r="2706" customFormat="false" ht="15" hidden="false" customHeight="true" outlineLevel="0" collapsed="false">
      <c r="A2706" s="71"/>
      <c r="B2706" s="71"/>
      <c r="C2706" s="273"/>
      <c r="D2706" s="322"/>
      <c r="E2706" s="322"/>
      <c r="F2706" s="323"/>
      <c r="G2706" s="323"/>
      <c r="H2706" s="71"/>
    </row>
    <row r="2707" customFormat="false" ht="15" hidden="false" customHeight="true" outlineLevel="0" collapsed="false">
      <c r="A2707" s="71"/>
      <c r="B2707" s="71"/>
      <c r="C2707" s="273"/>
      <c r="D2707" s="322"/>
      <c r="E2707" s="322"/>
      <c r="F2707" s="323"/>
      <c r="G2707" s="323"/>
      <c r="H2707" s="71"/>
    </row>
    <row r="2708" customFormat="false" ht="15" hidden="false" customHeight="true" outlineLevel="0" collapsed="false">
      <c r="A2708" s="71"/>
      <c r="B2708" s="71"/>
      <c r="C2708" s="273"/>
      <c r="D2708" s="322"/>
      <c r="E2708" s="322"/>
      <c r="F2708" s="323"/>
      <c r="G2708" s="323"/>
      <c r="H2708" s="71"/>
    </row>
    <row r="2709" customFormat="false" ht="15" hidden="false" customHeight="true" outlineLevel="0" collapsed="false">
      <c r="A2709" s="71"/>
      <c r="B2709" s="71"/>
      <c r="C2709" s="273"/>
      <c r="D2709" s="322"/>
      <c r="E2709" s="322"/>
      <c r="F2709" s="323"/>
      <c r="G2709" s="323"/>
      <c r="H2709" s="71"/>
    </row>
    <row r="2710" customFormat="false" ht="15" hidden="false" customHeight="true" outlineLevel="0" collapsed="false">
      <c r="A2710" s="71"/>
      <c r="B2710" s="71"/>
      <c r="C2710" s="273"/>
      <c r="D2710" s="322"/>
      <c r="E2710" s="322"/>
      <c r="F2710" s="323"/>
      <c r="G2710" s="323"/>
      <c r="H2710" s="71"/>
    </row>
    <row r="2711" customFormat="false" ht="15" hidden="false" customHeight="true" outlineLevel="0" collapsed="false">
      <c r="A2711" s="71"/>
      <c r="B2711" s="71"/>
      <c r="C2711" s="273"/>
      <c r="D2711" s="322"/>
      <c r="E2711" s="322"/>
      <c r="F2711" s="323"/>
      <c r="G2711" s="323"/>
      <c r="H2711" s="71"/>
    </row>
    <row r="2712" customFormat="false" ht="15" hidden="false" customHeight="true" outlineLevel="0" collapsed="false">
      <c r="A2712" s="71"/>
      <c r="B2712" s="71"/>
      <c r="C2712" s="273"/>
      <c r="D2712" s="322"/>
      <c r="E2712" s="322"/>
      <c r="F2712" s="323"/>
      <c r="G2712" s="323"/>
      <c r="H2712" s="71"/>
    </row>
    <row r="2713" customFormat="false" ht="15" hidden="false" customHeight="true" outlineLevel="0" collapsed="false">
      <c r="A2713" s="71"/>
      <c r="B2713" s="71"/>
      <c r="C2713" s="273"/>
      <c r="D2713" s="322"/>
      <c r="E2713" s="322"/>
      <c r="F2713" s="323"/>
      <c r="G2713" s="323"/>
      <c r="H2713" s="71"/>
    </row>
    <row r="2714" customFormat="false" ht="15" hidden="false" customHeight="true" outlineLevel="0" collapsed="false">
      <c r="A2714" s="71"/>
      <c r="B2714" s="71"/>
      <c r="C2714" s="273"/>
      <c r="D2714" s="322"/>
      <c r="E2714" s="322"/>
      <c r="F2714" s="323"/>
      <c r="G2714" s="323"/>
      <c r="H2714" s="71"/>
    </row>
    <row r="2715" customFormat="false" ht="15" hidden="false" customHeight="true" outlineLevel="0" collapsed="false">
      <c r="A2715" s="71"/>
      <c r="B2715" s="71"/>
      <c r="C2715" s="273"/>
      <c r="D2715" s="322"/>
      <c r="E2715" s="322"/>
      <c r="F2715" s="323"/>
      <c r="G2715" s="323"/>
      <c r="H2715" s="71"/>
    </row>
    <row r="2716" customFormat="false" ht="15" hidden="false" customHeight="true" outlineLevel="0" collapsed="false">
      <c r="A2716" s="71"/>
      <c r="B2716" s="71"/>
      <c r="C2716" s="273"/>
      <c r="D2716" s="322"/>
      <c r="E2716" s="322"/>
      <c r="F2716" s="323"/>
      <c r="G2716" s="323"/>
      <c r="H2716" s="71"/>
    </row>
    <row r="2717" customFormat="false" ht="15" hidden="false" customHeight="true" outlineLevel="0" collapsed="false">
      <c r="A2717" s="71"/>
      <c r="B2717" s="71"/>
      <c r="C2717" s="273"/>
      <c r="D2717" s="322"/>
      <c r="E2717" s="322"/>
      <c r="F2717" s="323"/>
      <c r="G2717" s="323"/>
      <c r="H2717" s="71"/>
    </row>
    <row r="2718" customFormat="false" ht="15" hidden="false" customHeight="true" outlineLevel="0" collapsed="false">
      <c r="A2718" s="71"/>
      <c r="B2718" s="71"/>
      <c r="C2718" s="273"/>
      <c r="D2718" s="322"/>
      <c r="E2718" s="322"/>
      <c r="F2718" s="323"/>
      <c r="G2718" s="323"/>
      <c r="H2718" s="71"/>
    </row>
    <row r="2719" customFormat="false" ht="15" hidden="false" customHeight="true" outlineLevel="0" collapsed="false">
      <c r="A2719" s="71"/>
      <c r="B2719" s="71"/>
      <c r="C2719" s="273"/>
      <c r="D2719" s="322"/>
      <c r="E2719" s="322"/>
      <c r="F2719" s="323"/>
      <c r="G2719" s="323"/>
      <c r="H2719" s="71"/>
    </row>
    <row r="2720" customFormat="false" ht="15" hidden="false" customHeight="true" outlineLevel="0" collapsed="false">
      <c r="A2720" s="71"/>
      <c r="B2720" s="71"/>
      <c r="C2720" s="273"/>
      <c r="D2720" s="322"/>
      <c r="E2720" s="322"/>
      <c r="F2720" s="323"/>
      <c r="G2720" s="323"/>
      <c r="H2720" s="71"/>
    </row>
    <row r="2721" customFormat="false" ht="15" hidden="false" customHeight="true" outlineLevel="0" collapsed="false">
      <c r="A2721" s="71"/>
      <c r="B2721" s="71"/>
      <c r="C2721" s="273"/>
      <c r="D2721" s="322"/>
      <c r="E2721" s="322"/>
      <c r="F2721" s="323"/>
      <c r="G2721" s="323"/>
      <c r="H2721" s="71"/>
    </row>
    <row r="2722" customFormat="false" ht="15" hidden="false" customHeight="true" outlineLevel="0" collapsed="false">
      <c r="A2722" s="71"/>
      <c r="B2722" s="71"/>
      <c r="C2722" s="273"/>
      <c r="D2722" s="322"/>
      <c r="E2722" s="322"/>
      <c r="F2722" s="323"/>
      <c r="G2722" s="323"/>
      <c r="H2722" s="71"/>
    </row>
    <row r="2723" customFormat="false" ht="15" hidden="false" customHeight="true" outlineLevel="0" collapsed="false">
      <c r="A2723" s="71"/>
      <c r="B2723" s="71"/>
      <c r="C2723" s="273"/>
      <c r="D2723" s="322"/>
      <c r="E2723" s="322"/>
      <c r="F2723" s="323"/>
      <c r="G2723" s="323"/>
      <c r="H2723" s="71"/>
    </row>
    <row r="2724" customFormat="false" ht="15" hidden="false" customHeight="true" outlineLevel="0" collapsed="false">
      <c r="A2724" s="71"/>
      <c r="B2724" s="71"/>
      <c r="C2724" s="273"/>
      <c r="D2724" s="322"/>
      <c r="E2724" s="322"/>
      <c r="F2724" s="323"/>
      <c r="G2724" s="323"/>
      <c r="H2724" s="71"/>
    </row>
    <row r="2725" customFormat="false" ht="15" hidden="false" customHeight="true" outlineLevel="0" collapsed="false">
      <c r="A2725" s="71"/>
      <c r="B2725" s="71"/>
      <c r="C2725" s="273"/>
      <c r="D2725" s="322"/>
      <c r="E2725" s="322"/>
      <c r="F2725" s="323"/>
      <c r="G2725" s="323"/>
      <c r="H2725" s="71"/>
    </row>
    <row r="2726" customFormat="false" ht="15" hidden="false" customHeight="true" outlineLevel="0" collapsed="false">
      <c r="A2726" s="71"/>
      <c r="B2726" s="71"/>
      <c r="C2726" s="273"/>
      <c r="D2726" s="322"/>
      <c r="E2726" s="322"/>
      <c r="F2726" s="323"/>
      <c r="G2726" s="323"/>
      <c r="H2726" s="71"/>
    </row>
    <row r="2727" customFormat="false" ht="15" hidden="false" customHeight="true" outlineLevel="0" collapsed="false">
      <c r="A2727" s="71"/>
      <c r="B2727" s="71"/>
      <c r="C2727" s="273"/>
      <c r="D2727" s="322"/>
      <c r="E2727" s="322"/>
      <c r="F2727" s="323"/>
      <c r="G2727" s="323"/>
      <c r="H2727" s="71"/>
    </row>
    <row r="2728" customFormat="false" ht="15" hidden="false" customHeight="true" outlineLevel="0" collapsed="false">
      <c r="A2728" s="71"/>
      <c r="B2728" s="71"/>
      <c r="C2728" s="273"/>
      <c r="D2728" s="322"/>
      <c r="E2728" s="322"/>
      <c r="F2728" s="323"/>
      <c r="G2728" s="323"/>
      <c r="H2728" s="71"/>
    </row>
    <row r="2729" customFormat="false" ht="15" hidden="false" customHeight="true" outlineLevel="0" collapsed="false">
      <c r="A2729" s="71"/>
      <c r="B2729" s="71"/>
      <c r="C2729" s="273"/>
      <c r="D2729" s="322"/>
      <c r="E2729" s="322"/>
      <c r="F2729" s="323"/>
      <c r="G2729" s="323"/>
      <c r="H2729" s="71"/>
    </row>
    <row r="2730" customFormat="false" ht="15" hidden="false" customHeight="true" outlineLevel="0" collapsed="false">
      <c r="A2730" s="71"/>
      <c r="B2730" s="71"/>
      <c r="C2730" s="273"/>
      <c r="D2730" s="322"/>
      <c r="E2730" s="322"/>
      <c r="F2730" s="323"/>
      <c r="G2730" s="323"/>
      <c r="H2730" s="71"/>
    </row>
    <row r="2731" customFormat="false" ht="15" hidden="false" customHeight="true" outlineLevel="0" collapsed="false">
      <c r="A2731" s="71"/>
      <c r="B2731" s="71"/>
      <c r="C2731" s="273"/>
      <c r="D2731" s="322"/>
      <c r="E2731" s="322"/>
      <c r="F2731" s="323"/>
      <c r="G2731" s="323"/>
      <c r="H2731" s="71"/>
    </row>
    <row r="2732" customFormat="false" ht="15" hidden="false" customHeight="true" outlineLevel="0" collapsed="false">
      <c r="A2732" s="71"/>
      <c r="B2732" s="71"/>
      <c r="C2732" s="273"/>
      <c r="D2732" s="322"/>
      <c r="E2732" s="322"/>
      <c r="F2732" s="323"/>
      <c r="G2732" s="323"/>
      <c r="H2732" s="71"/>
    </row>
    <row r="2733" customFormat="false" ht="15" hidden="false" customHeight="true" outlineLevel="0" collapsed="false">
      <c r="A2733" s="71"/>
      <c r="B2733" s="71"/>
      <c r="C2733" s="273"/>
      <c r="D2733" s="322"/>
      <c r="E2733" s="322"/>
      <c r="F2733" s="323"/>
      <c r="G2733" s="323"/>
      <c r="H2733" s="71"/>
    </row>
    <row r="2734" customFormat="false" ht="15" hidden="false" customHeight="true" outlineLevel="0" collapsed="false">
      <c r="A2734" s="71"/>
      <c r="B2734" s="71"/>
      <c r="C2734" s="273"/>
      <c r="D2734" s="322"/>
      <c r="E2734" s="322"/>
      <c r="F2734" s="323"/>
      <c r="G2734" s="323"/>
      <c r="H2734" s="71"/>
    </row>
    <row r="2735" customFormat="false" ht="15" hidden="false" customHeight="true" outlineLevel="0" collapsed="false">
      <c r="A2735" s="71"/>
      <c r="B2735" s="71"/>
      <c r="C2735" s="273"/>
      <c r="D2735" s="322"/>
      <c r="E2735" s="322"/>
      <c r="F2735" s="323"/>
      <c r="G2735" s="323"/>
      <c r="H2735" s="71"/>
    </row>
    <row r="2736" customFormat="false" ht="15" hidden="false" customHeight="true" outlineLevel="0" collapsed="false">
      <c r="A2736" s="71"/>
      <c r="B2736" s="71"/>
      <c r="C2736" s="273"/>
      <c r="D2736" s="322"/>
      <c r="E2736" s="322"/>
      <c r="F2736" s="323"/>
      <c r="G2736" s="323"/>
      <c r="H2736" s="71"/>
    </row>
    <row r="2737" customFormat="false" ht="15" hidden="false" customHeight="true" outlineLevel="0" collapsed="false">
      <c r="A2737" s="71"/>
      <c r="B2737" s="71"/>
      <c r="C2737" s="273"/>
      <c r="D2737" s="322"/>
      <c r="E2737" s="322"/>
      <c r="F2737" s="323"/>
      <c r="G2737" s="323"/>
      <c r="H2737" s="71"/>
    </row>
    <row r="2738" customFormat="false" ht="15" hidden="false" customHeight="true" outlineLevel="0" collapsed="false">
      <c r="A2738" s="71"/>
      <c r="B2738" s="71"/>
      <c r="C2738" s="273"/>
      <c r="D2738" s="322"/>
      <c r="E2738" s="322"/>
      <c r="F2738" s="323"/>
      <c r="G2738" s="323"/>
      <c r="H2738" s="71"/>
    </row>
    <row r="2739" customFormat="false" ht="15" hidden="false" customHeight="true" outlineLevel="0" collapsed="false">
      <c r="A2739" s="71"/>
      <c r="B2739" s="71"/>
      <c r="C2739" s="273"/>
      <c r="D2739" s="322"/>
      <c r="E2739" s="322"/>
      <c r="F2739" s="323"/>
      <c r="G2739" s="323"/>
      <c r="H2739" s="71"/>
    </row>
    <row r="2740" customFormat="false" ht="15" hidden="false" customHeight="true" outlineLevel="0" collapsed="false">
      <c r="A2740" s="71"/>
      <c r="B2740" s="71"/>
      <c r="C2740" s="273"/>
      <c r="D2740" s="322"/>
      <c r="E2740" s="322"/>
      <c r="F2740" s="323"/>
      <c r="G2740" s="323"/>
      <c r="H2740" s="71"/>
    </row>
    <row r="2741" customFormat="false" ht="15" hidden="false" customHeight="true" outlineLevel="0" collapsed="false">
      <c r="A2741" s="71"/>
      <c r="B2741" s="71"/>
      <c r="C2741" s="273"/>
      <c r="D2741" s="322"/>
      <c r="E2741" s="322"/>
      <c r="F2741" s="323"/>
      <c r="G2741" s="323"/>
      <c r="H2741" s="71"/>
    </row>
    <row r="2742" customFormat="false" ht="15" hidden="false" customHeight="true" outlineLevel="0" collapsed="false">
      <c r="A2742" s="71"/>
      <c r="B2742" s="71"/>
      <c r="C2742" s="273"/>
      <c r="D2742" s="322"/>
      <c r="E2742" s="322"/>
      <c r="F2742" s="323"/>
      <c r="G2742" s="323"/>
      <c r="H2742" s="71"/>
    </row>
    <row r="2743" customFormat="false" ht="15" hidden="false" customHeight="true" outlineLevel="0" collapsed="false">
      <c r="A2743" s="71"/>
      <c r="B2743" s="71"/>
      <c r="C2743" s="273"/>
      <c r="D2743" s="322"/>
      <c r="E2743" s="322"/>
      <c r="F2743" s="323"/>
      <c r="G2743" s="323"/>
      <c r="H2743" s="71"/>
    </row>
    <row r="2744" customFormat="false" ht="15" hidden="false" customHeight="true" outlineLevel="0" collapsed="false">
      <c r="A2744" s="71"/>
      <c r="B2744" s="71"/>
      <c r="C2744" s="273"/>
      <c r="D2744" s="322"/>
      <c r="E2744" s="322"/>
      <c r="F2744" s="323"/>
      <c r="G2744" s="323"/>
      <c r="H2744" s="71"/>
    </row>
    <row r="2745" customFormat="false" ht="15" hidden="false" customHeight="true" outlineLevel="0" collapsed="false">
      <c r="A2745" s="71"/>
      <c r="B2745" s="71"/>
      <c r="C2745" s="273"/>
      <c r="D2745" s="322"/>
      <c r="E2745" s="322"/>
      <c r="F2745" s="323"/>
      <c r="G2745" s="323"/>
      <c r="H2745" s="71"/>
    </row>
    <row r="2746" customFormat="false" ht="15" hidden="false" customHeight="true" outlineLevel="0" collapsed="false">
      <c r="A2746" s="71"/>
      <c r="B2746" s="71"/>
      <c r="C2746" s="273"/>
      <c r="D2746" s="322"/>
      <c r="E2746" s="322"/>
      <c r="F2746" s="323"/>
      <c r="G2746" s="323"/>
      <c r="H2746" s="71"/>
    </row>
    <row r="2747" customFormat="false" ht="15" hidden="false" customHeight="true" outlineLevel="0" collapsed="false">
      <c r="A2747" s="71"/>
      <c r="B2747" s="71"/>
      <c r="C2747" s="273"/>
      <c r="D2747" s="322"/>
      <c r="E2747" s="322"/>
      <c r="F2747" s="323"/>
      <c r="G2747" s="323"/>
      <c r="H2747" s="71"/>
    </row>
    <row r="2748" customFormat="false" ht="15" hidden="false" customHeight="true" outlineLevel="0" collapsed="false">
      <c r="A2748" s="71"/>
      <c r="B2748" s="71"/>
      <c r="C2748" s="273"/>
      <c r="D2748" s="322"/>
      <c r="E2748" s="322"/>
      <c r="F2748" s="323"/>
      <c r="G2748" s="323"/>
      <c r="H2748" s="71"/>
    </row>
    <row r="2749" customFormat="false" ht="15" hidden="false" customHeight="true" outlineLevel="0" collapsed="false">
      <c r="A2749" s="71"/>
      <c r="B2749" s="71"/>
      <c r="C2749" s="273"/>
      <c r="D2749" s="322"/>
      <c r="E2749" s="322"/>
      <c r="F2749" s="323"/>
      <c r="G2749" s="323"/>
      <c r="H2749" s="71"/>
    </row>
    <row r="2750" customFormat="false" ht="15" hidden="false" customHeight="true" outlineLevel="0" collapsed="false">
      <c r="A2750" s="71"/>
      <c r="B2750" s="71"/>
      <c r="C2750" s="273"/>
      <c r="D2750" s="322"/>
      <c r="E2750" s="322"/>
      <c r="F2750" s="323"/>
      <c r="G2750" s="323"/>
      <c r="H2750" s="71"/>
    </row>
    <row r="2751" customFormat="false" ht="15" hidden="false" customHeight="true" outlineLevel="0" collapsed="false">
      <c r="A2751" s="71"/>
      <c r="B2751" s="71"/>
      <c r="C2751" s="273"/>
      <c r="D2751" s="322"/>
      <c r="E2751" s="322"/>
      <c r="F2751" s="323"/>
      <c r="G2751" s="323"/>
      <c r="H2751" s="71"/>
    </row>
    <row r="2752" customFormat="false" ht="15" hidden="false" customHeight="true" outlineLevel="0" collapsed="false">
      <c r="A2752" s="71"/>
      <c r="B2752" s="71"/>
      <c r="C2752" s="273"/>
      <c r="D2752" s="322"/>
      <c r="E2752" s="322"/>
      <c r="F2752" s="323"/>
      <c r="G2752" s="323"/>
      <c r="H2752" s="71"/>
    </row>
    <row r="2753" customFormat="false" ht="15" hidden="false" customHeight="true" outlineLevel="0" collapsed="false">
      <c r="A2753" s="71"/>
      <c r="B2753" s="71"/>
      <c r="C2753" s="273"/>
      <c r="D2753" s="322"/>
      <c r="E2753" s="322"/>
      <c r="F2753" s="323"/>
      <c r="G2753" s="323"/>
      <c r="H2753" s="71"/>
    </row>
    <row r="2754" customFormat="false" ht="15" hidden="false" customHeight="true" outlineLevel="0" collapsed="false">
      <c r="A2754" s="71"/>
      <c r="B2754" s="71"/>
      <c r="C2754" s="273"/>
      <c r="D2754" s="322"/>
      <c r="E2754" s="322"/>
      <c r="F2754" s="323"/>
      <c r="G2754" s="323"/>
      <c r="H2754" s="71"/>
    </row>
    <row r="2755" customFormat="false" ht="15" hidden="false" customHeight="true" outlineLevel="0" collapsed="false">
      <c r="A2755" s="71"/>
      <c r="B2755" s="71"/>
      <c r="C2755" s="273"/>
      <c r="D2755" s="322"/>
      <c r="E2755" s="322"/>
      <c r="F2755" s="323"/>
      <c r="G2755" s="323"/>
      <c r="H2755" s="71"/>
    </row>
    <row r="2756" customFormat="false" ht="15" hidden="false" customHeight="true" outlineLevel="0" collapsed="false">
      <c r="A2756" s="71"/>
      <c r="B2756" s="71"/>
      <c r="C2756" s="273"/>
      <c r="D2756" s="322"/>
      <c r="E2756" s="322"/>
      <c r="F2756" s="323"/>
      <c r="G2756" s="323"/>
      <c r="H2756" s="71"/>
    </row>
    <row r="2757" customFormat="false" ht="15" hidden="false" customHeight="true" outlineLevel="0" collapsed="false">
      <c r="A2757" s="71"/>
      <c r="B2757" s="71"/>
      <c r="C2757" s="273"/>
      <c r="D2757" s="322"/>
      <c r="E2757" s="322"/>
      <c r="F2757" s="323"/>
      <c r="G2757" s="323"/>
      <c r="H2757" s="71"/>
    </row>
    <row r="2758" customFormat="false" ht="15" hidden="false" customHeight="true" outlineLevel="0" collapsed="false">
      <c r="A2758" s="71"/>
      <c r="B2758" s="71"/>
      <c r="C2758" s="273"/>
      <c r="D2758" s="322"/>
      <c r="E2758" s="322"/>
      <c r="F2758" s="323"/>
      <c r="G2758" s="323"/>
      <c r="H2758" s="71"/>
    </row>
    <row r="2759" customFormat="false" ht="15" hidden="false" customHeight="true" outlineLevel="0" collapsed="false">
      <c r="A2759" s="71"/>
      <c r="B2759" s="71"/>
      <c r="C2759" s="273"/>
      <c r="D2759" s="322"/>
      <c r="E2759" s="322"/>
      <c r="F2759" s="323"/>
      <c r="G2759" s="323"/>
      <c r="H2759" s="71"/>
    </row>
    <row r="2760" customFormat="false" ht="15" hidden="false" customHeight="true" outlineLevel="0" collapsed="false">
      <c r="A2760" s="71"/>
      <c r="B2760" s="71"/>
      <c r="C2760" s="273"/>
      <c r="D2760" s="322"/>
      <c r="E2760" s="322"/>
      <c r="F2760" s="323"/>
      <c r="G2760" s="323"/>
      <c r="H2760" s="71"/>
    </row>
    <row r="2761" customFormat="false" ht="15" hidden="false" customHeight="true" outlineLevel="0" collapsed="false">
      <c r="A2761" s="71"/>
      <c r="B2761" s="71"/>
      <c r="C2761" s="273"/>
      <c r="D2761" s="322"/>
      <c r="E2761" s="322"/>
      <c r="F2761" s="323"/>
      <c r="G2761" s="323"/>
      <c r="H2761" s="71"/>
    </row>
    <row r="2762" customFormat="false" ht="15" hidden="false" customHeight="true" outlineLevel="0" collapsed="false">
      <c r="A2762" s="71"/>
      <c r="B2762" s="71"/>
      <c r="C2762" s="273"/>
      <c r="D2762" s="322"/>
      <c r="E2762" s="322"/>
      <c r="F2762" s="323"/>
      <c r="G2762" s="323"/>
      <c r="H2762" s="71"/>
    </row>
    <row r="2763" customFormat="false" ht="15" hidden="false" customHeight="true" outlineLevel="0" collapsed="false">
      <c r="A2763" s="71"/>
      <c r="B2763" s="71"/>
      <c r="C2763" s="273"/>
      <c r="D2763" s="322"/>
      <c r="E2763" s="322"/>
      <c r="F2763" s="323"/>
      <c r="G2763" s="323"/>
      <c r="H2763" s="71"/>
    </row>
    <row r="2764" customFormat="false" ht="15" hidden="false" customHeight="true" outlineLevel="0" collapsed="false">
      <c r="A2764" s="71"/>
      <c r="B2764" s="71"/>
      <c r="C2764" s="273"/>
      <c r="D2764" s="322"/>
      <c r="E2764" s="322"/>
      <c r="F2764" s="323"/>
      <c r="G2764" s="323"/>
      <c r="H2764" s="71"/>
    </row>
    <row r="2765" customFormat="false" ht="15" hidden="false" customHeight="true" outlineLevel="0" collapsed="false">
      <c r="A2765" s="71"/>
      <c r="B2765" s="71"/>
      <c r="C2765" s="273"/>
      <c r="D2765" s="322"/>
      <c r="E2765" s="322"/>
      <c r="F2765" s="323"/>
      <c r="G2765" s="323"/>
      <c r="H2765" s="71"/>
    </row>
    <row r="2766" customFormat="false" ht="15" hidden="false" customHeight="true" outlineLevel="0" collapsed="false">
      <c r="A2766" s="71"/>
      <c r="B2766" s="71"/>
      <c r="C2766" s="273"/>
      <c r="D2766" s="322"/>
      <c r="E2766" s="322"/>
      <c r="F2766" s="323"/>
      <c r="G2766" s="323"/>
      <c r="H2766" s="71"/>
    </row>
    <row r="2767" customFormat="false" ht="15" hidden="false" customHeight="true" outlineLevel="0" collapsed="false">
      <c r="A2767" s="71"/>
      <c r="B2767" s="71"/>
      <c r="C2767" s="273"/>
      <c r="D2767" s="322"/>
      <c r="E2767" s="322"/>
      <c r="F2767" s="323"/>
      <c r="G2767" s="323"/>
      <c r="H2767" s="71"/>
    </row>
    <row r="2768" customFormat="false" ht="15" hidden="false" customHeight="true" outlineLevel="0" collapsed="false">
      <c r="A2768" s="71"/>
      <c r="B2768" s="71"/>
      <c r="C2768" s="273"/>
      <c r="D2768" s="322"/>
      <c r="E2768" s="322"/>
      <c r="F2768" s="323"/>
      <c r="G2768" s="323"/>
      <c r="H2768" s="71"/>
    </row>
    <row r="2769" customFormat="false" ht="15" hidden="false" customHeight="true" outlineLevel="0" collapsed="false">
      <c r="A2769" s="71"/>
      <c r="B2769" s="71"/>
      <c r="C2769" s="273"/>
      <c r="D2769" s="322"/>
      <c r="E2769" s="322"/>
      <c r="F2769" s="323"/>
      <c r="G2769" s="323"/>
      <c r="H2769" s="71"/>
    </row>
    <row r="2770" customFormat="false" ht="15" hidden="false" customHeight="true" outlineLevel="0" collapsed="false">
      <c r="A2770" s="71"/>
      <c r="B2770" s="71"/>
      <c r="C2770" s="273"/>
      <c r="D2770" s="322"/>
      <c r="E2770" s="322"/>
      <c r="F2770" s="323"/>
      <c r="G2770" s="323"/>
      <c r="H2770" s="71"/>
    </row>
    <row r="2771" customFormat="false" ht="15" hidden="false" customHeight="true" outlineLevel="0" collapsed="false">
      <c r="A2771" s="71"/>
      <c r="B2771" s="71"/>
      <c r="C2771" s="273"/>
      <c r="D2771" s="322"/>
      <c r="E2771" s="322"/>
      <c r="F2771" s="323"/>
      <c r="G2771" s="323"/>
      <c r="H2771" s="71"/>
    </row>
    <row r="2772" customFormat="false" ht="15" hidden="false" customHeight="true" outlineLevel="0" collapsed="false">
      <c r="A2772" s="71"/>
      <c r="B2772" s="71"/>
      <c r="C2772" s="273"/>
      <c r="D2772" s="322"/>
      <c r="E2772" s="322"/>
      <c r="F2772" s="323"/>
      <c r="G2772" s="323"/>
      <c r="H2772" s="71"/>
    </row>
    <row r="2773" customFormat="false" ht="15" hidden="false" customHeight="true" outlineLevel="0" collapsed="false">
      <c r="A2773" s="71"/>
      <c r="B2773" s="71"/>
      <c r="C2773" s="273"/>
      <c r="D2773" s="322"/>
      <c r="E2773" s="322"/>
      <c r="F2773" s="323"/>
      <c r="G2773" s="323"/>
      <c r="H2773" s="71"/>
    </row>
    <row r="2774" customFormat="false" ht="15" hidden="false" customHeight="true" outlineLevel="0" collapsed="false">
      <c r="A2774" s="71"/>
      <c r="B2774" s="71"/>
      <c r="C2774" s="273"/>
      <c r="D2774" s="322"/>
      <c r="E2774" s="322"/>
      <c r="F2774" s="323"/>
      <c r="G2774" s="323"/>
      <c r="H2774" s="71"/>
    </row>
    <row r="2775" customFormat="false" ht="15" hidden="false" customHeight="true" outlineLevel="0" collapsed="false">
      <c r="A2775" s="71"/>
      <c r="B2775" s="71"/>
      <c r="C2775" s="273"/>
      <c r="D2775" s="322"/>
      <c r="E2775" s="322"/>
      <c r="F2775" s="323"/>
      <c r="G2775" s="323"/>
      <c r="H2775" s="71"/>
    </row>
    <row r="2776" customFormat="false" ht="15" hidden="false" customHeight="true" outlineLevel="0" collapsed="false">
      <c r="A2776" s="71"/>
      <c r="B2776" s="71"/>
      <c r="C2776" s="273"/>
      <c r="D2776" s="322"/>
      <c r="E2776" s="322"/>
      <c r="F2776" s="323"/>
      <c r="G2776" s="323"/>
      <c r="H2776" s="71"/>
    </row>
    <row r="2777" customFormat="false" ht="15" hidden="false" customHeight="true" outlineLevel="0" collapsed="false">
      <c r="A2777" s="71"/>
      <c r="B2777" s="71"/>
      <c r="C2777" s="273"/>
      <c r="D2777" s="322"/>
      <c r="E2777" s="322"/>
      <c r="F2777" s="323"/>
      <c r="G2777" s="323"/>
      <c r="H2777" s="71"/>
    </row>
    <row r="2778" customFormat="false" ht="15" hidden="false" customHeight="true" outlineLevel="0" collapsed="false">
      <c r="A2778" s="71"/>
      <c r="B2778" s="71"/>
      <c r="C2778" s="273"/>
      <c r="D2778" s="322"/>
      <c r="E2778" s="322"/>
      <c r="F2778" s="323"/>
      <c r="G2778" s="323"/>
      <c r="H2778" s="71"/>
    </row>
    <row r="2779" customFormat="false" ht="15" hidden="false" customHeight="true" outlineLevel="0" collapsed="false">
      <c r="A2779" s="71"/>
      <c r="B2779" s="71"/>
      <c r="C2779" s="273"/>
      <c r="D2779" s="322"/>
      <c r="E2779" s="322"/>
      <c r="F2779" s="323"/>
      <c r="G2779" s="323"/>
      <c r="H2779" s="71"/>
    </row>
    <row r="2780" customFormat="false" ht="15" hidden="false" customHeight="true" outlineLevel="0" collapsed="false">
      <c r="A2780" s="71"/>
      <c r="B2780" s="71"/>
      <c r="C2780" s="273"/>
      <c r="D2780" s="322"/>
      <c r="E2780" s="322"/>
      <c r="F2780" s="323"/>
      <c r="G2780" s="323"/>
      <c r="H2780" s="71"/>
    </row>
    <row r="2781" customFormat="false" ht="15" hidden="false" customHeight="true" outlineLevel="0" collapsed="false">
      <c r="A2781" s="71"/>
      <c r="B2781" s="71"/>
      <c r="C2781" s="273"/>
      <c r="D2781" s="322"/>
      <c r="E2781" s="322"/>
      <c r="F2781" s="323"/>
      <c r="G2781" s="323"/>
      <c r="H2781" s="71"/>
    </row>
    <row r="2782" customFormat="false" ht="15" hidden="false" customHeight="true" outlineLevel="0" collapsed="false">
      <c r="A2782" s="71"/>
      <c r="B2782" s="71"/>
      <c r="C2782" s="273"/>
      <c r="D2782" s="322"/>
      <c r="E2782" s="322"/>
      <c r="F2782" s="323"/>
      <c r="G2782" s="323"/>
      <c r="H2782" s="71"/>
    </row>
    <row r="2783" customFormat="false" ht="15" hidden="false" customHeight="true" outlineLevel="0" collapsed="false">
      <c r="A2783" s="71"/>
      <c r="B2783" s="71"/>
      <c r="C2783" s="273"/>
      <c r="D2783" s="322"/>
      <c r="E2783" s="322"/>
      <c r="F2783" s="323"/>
      <c r="G2783" s="323"/>
      <c r="H2783" s="71"/>
    </row>
    <row r="2784" customFormat="false" ht="15" hidden="false" customHeight="true" outlineLevel="0" collapsed="false">
      <c r="A2784" s="71"/>
      <c r="B2784" s="71"/>
      <c r="C2784" s="273"/>
      <c r="D2784" s="322"/>
      <c r="E2784" s="322"/>
      <c r="F2784" s="323"/>
      <c r="G2784" s="323"/>
      <c r="H2784" s="71"/>
    </row>
    <row r="2785" customFormat="false" ht="15" hidden="false" customHeight="true" outlineLevel="0" collapsed="false">
      <c r="A2785" s="71"/>
      <c r="B2785" s="71"/>
      <c r="C2785" s="273"/>
      <c r="D2785" s="322"/>
      <c r="E2785" s="322"/>
      <c r="F2785" s="323"/>
      <c r="G2785" s="323"/>
      <c r="H2785" s="71"/>
    </row>
    <row r="2786" customFormat="false" ht="15" hidden="false" customHeight="true" outlineLevel="0" collapsed="false">
      <c r="A2786" s="71"/>
      <c r="B2786" s="71"/>
      <c r="C2786" s="273"/>
      <c r="D2786" s="322"/>
      <c r="E2786" s="322"/>
      <c r="F2786" s="323"/>
      <c r="G2786" s="323"/>
      <c r="H2786" s="71"/>
    </row>
    <row r="2787" customFormat="false" ht="15" hidden="false" customHeight="true" outlineLevel="0" collapsed="false">
      <c r="A2787" s="71"/>
      <c r="B2787" s="71"/>
      <c r="C2787" s="273"/>
      <c r="D2787" s="322"/>
      <c r="E2787" s="322"/>
      <c r="F2787" s="323"/>
      <c r="G2787" s="323"/>
      <c r="H2787" s="71"/>
    </row>
    <row r="2788" customFormat="false" ht="15" hidden="false" customHeight="true" outlineLevel="0" collapsed="false">
      <c r="A2788" s="71"/>
      <c r="B2788" s="71"/>
      <c r="C2788" s="273"/>
      <c r="D2788" s="322"/>
      <c r="E2788" s="322"/>
      <c r="F2788" s="323"/>
      <c r="G2788" s="323"/>
      <c r="H2788" s="71"/>
    </row>
    <row r="2789" customFormat="false" ht="15" hidden="false" customHeight="true" outlineLevel="0" collapsed="false">
      <c r="A2789" s="71"/>
      <c r="B2789" s="71"/>
      <c r="C2789" s="273"/>
      <c r="D2789" s="322"/>
      <c r="E2789" s="322"/>
      <c r="F2789" s="323"/>
      <c r="G2789" s="323"/>
      <c r="H2789" s="71"/>
    </row>
    <row r="2790" customFormat="false" ht="15" hidden="false" customHeight="true" outlineLevel="0" collapsed="false">
      <c r="A2790" s="71"/>
      <c r="B2790" s="71"/>
      <c r="C2790" s="273"/>
      <c r="D2790" s="322"/>
      <c r="E2790" s="322"/>
      <c r="F2790" s="323"/>
      <c r="G2790" s="323"/>
      <c r="H2790" s="71"/>
    </row>
    <row r="2791" customFormat="false" ht="15" hidden="false" customHeight="true" outlineLevel="0" collapsed="false">
      <c r="A2791" s="71"/>
      <c r="B2791" s="71"/>
      <c r="C2791" s="273"/>
      <c r="D2791" s="322"/>
      <c r="E2791" s="322"/>
      <c r="F2791" s="323"/>
      <c r="G2791" s="323"/>
      <c r="H2791" s="71"/>
    </row>
    <row r="2792" customFormat="false" ht="15" hidden="false" customHeight="true" outlineLevel="0" collapsed="false">
      <c r="A2792" s="71"/>
      <c r="B2792" s="71"/>
      <c r="C2792" s="273"/>
      <c r="D2792" s="322"/>
      <c r="E2792" s="322"/>
      <c r="F2792" s="323"/>
      <c r="G2792" s="323"/>
      <c r="H2792" s="71"/>
    </row>
    <row r="2793" customFormat="false" ht="15" hidden="false" customHeight="true" outlineLevel="0" collapsed="false">
      <c r="A2793" s="71"/>
      <c r="B2793" s="71"/>
      <c r="C2793" s="273"/>
      <c r="D2793" s="322"/>
      <c r="E2793" s="322"/>
      <c r="F2793" s="323"/>
      <c r="G2793" s="323"/>
      <c r="H2793" s="71"/>
    </row>
    <row r="2794" customFormat="false" ht="15" hidden="false" customHeight="true" outlineLevel="0" collapsed="false">
      <c r="A2794" s="71"/>
      <c r="B2794" s="71"/>
      <c r="C2794" s="273"/>
      <c r="D2794" s="322"/>
      <c r="E2794" s="322"/>
      <c r="F2794" s="323"/>
      <c r="G2794" s="323"/>
      <c r="H2794" s="71"/>
    </row>
    <row r="2795" customFormat="false" ht="15" hidden="false" customHeight="true" outlineLevel="0" collapsed="false">
      <c r="A2795" s="71"/>
      <c r="B2795" s="71"/>
      <c r="C2795" s="273"/>
      <c r="D2795" s="322"/>
      <c r="E2795" s="322"/>
      <c r="F2795" s="323"/>
      <c r="G2795" s="323"/>
      <c r="H2795" s="71"/>
    </row>
    <row r="2796" customFormat="false" ht="15" hidden="false" customHeight="true" outlineLevel="0" collapsed="false">
      <c r="A2796" s="71"/>
      <c r="B2796" s="71"/>
      <c r="C2796" s="273"/>
      <c r="D2796" s="322"/>
      <c r="E2796" s="322"/>
      <c r="F2796" s="323"/>
      <c r="G2796" s="323"/>
      <c r="H2796" s="71"/>
    </row>
    <row r="2797" customFormat="false" ht="15" hidden="false" customHeight="true" outlineLevel="0" collapsed="false">
      <c r="A2797" s="71"/>
      <c r="B2797" s="71"/>
      <c r="C2797" s="273"/>
      <c r="D2797" s="322"/>
      <c r="E2797" s="322"/>
      <c r="F2797" s="323"/>
      <c r="G2797" s="323"/>
      <c r="H2797" s="71"/>
    </row>
    <row r="2798" customFormat="false" ht="15" hidden="false" customHeight="true" outlineLevel="0" collapsed="false">
      <c r="A2798" s="71"/>
      <c r="B2798" s="71"/>
      <c r="C2798" s="273"/>
      <c r="D2798" s="322"/>
      <c r="E2798" s="322"/>
      <c r="F2798" s="323"/>
      <c r="G2798" s="323"/>
      <c r="H2798" s="71"/>
    </row>
    <row r="2799" customFormat="false" ht="15" hidden="false" customHeight="true" outlineLevel="0" collapsed="false">
      <c r="A2799" s="71"/>
      <c r="B2799" s="71"/>
      <c r="C2799" s="273"/>
      <c r="D2799" s="322"/>
      <c r="E2799" s="322"/>
      <c r="F2799" s="323"/>
      <c r="G2799" s="323"/>
      <c r="H2799" s="71"/>
    </row>
    <row r="2800" customFormat="false" ht="15" hidden="false" customHeight="true" outlineLevel="0" collapsed="false">
      <c r="A2800" s="71"/>
      <c r="B2800" s="71"/>
      <c r="C2800" s="273"/>
      <c r="D2800" s="322"/>
      <c r="E2800" s="322"/>
      <c r="F2800" s="323"/>
      <c r="G2800" s="323"/>
      <c r="H2800" s="71"/>
    </row>
    <row r="2801" customFormat="false" ht="15" hidden="false" customHeight="true" outlineLevel="0" collapsed="false">
      <c r="A2801" s="71"/>
      <c r="B2801" s="71"/>
      <c r="C2801" s="273"/>
      <c r="D2801" s="322"/>
      <c r="E2801" s="322"/>
      <c r="F2801" s="323"/>
      <c r="G2801" s="323"/>
      <c r="H2801" s="71"/>
    </row>
    <row r="2802" customFormat="false" ht="15" hidden="false" customHeight="true" outlineLevel="0" collapsed="false">
      <c r="A2802" s="71"/>
      <c r="B2802" s="71"/>
      <c r="C2802" s="273"/>
      <c r="D2802" s="322"/>
      <c r="E2802" s="322"/>
      <c r="F2802" s="323"/>
      <c r="G2802" s="323"/>
      <c r="H2802" s="71"/>
    </row>
    <row r="2803" customFormat="false" ht="15" hidden="false" customHeight="true" outlineLevel="0" collapsed="false">
      <c r="A2803" s="71"/>
      <c r="B2803" s="71"/>
      <c r="C2803" s="273"/>
      <c r="D2803" s="322"/>
      <c r="E2803" s="322"/>
      <c r="F2803" s="323"/>
      <c r="G2803" s="323"/>
      <c r="H2803" s="71"/>
    </row>
    <row r="2804" customFormat="false" ht="15" hidden="false" customHeight="true" outlineLevel="0" collapsed="false">
      <c r="A2804" s="71"/>
      <c r="B2804" s="71"/>
      <c r="C2804" s="273"/>
      <c r="D2804" s="322"/>
      <c r="E2804" s="322"/>
      <c r="F2804" s="323"/>
      <c r="G2804" s="323"/>
      <c r="H2804" s="71"/>
    </row>
    <row r="2805" customFormat="false" ht="15" hidden="false" customHeight="true" outlineLevel="0" collapsed="false">
      <c r="A2805" s="71"/>
      <c r="B2805" s="71"/>
      <c r="C2805" s="273"/>
      <c r="D2805" s="322"/>
      <c r="E2805" s="322"/>
      <c r="F2805" s="323"/>
      <c r="G2805" s="323"/>
      <c r="H2805" s="71"/>
    </row>
    <row r="2806" customFormat="false" ht="15" hidden="false" customHeight="true" outlineLevel="0" collapsed="false">
      <c r="A2806" s="71"/>
      <c r="B2806" s="71"/>
      <c r="C2806" s="273"/>
      <c r="D2806" s="322"/>
      <c r="E2806" s="322"/>
      <c r="F2806" s="323"/>
      <c r="G2806" s="323"/>
      <c r="H2806" s="71"/>
    </row>
    <row r="2807" customFormat="false" ht="15" hidden="false" customHeight="true" outlineLevel="0" collapsed="false">
      <c r="A2807" s="71"/>
      <c r="B2807" s="71"/>
      <c r="C2807" s="273"/>
      <c r="D2807" s="322"/>
      <c r="E2807" s="322"/>
      <c r="F2807" s="323"/>
      <c r="G2807" s="323"/>
      <c r="H2807" s="71"/>
    </row>
    <row r="2808" customFormat="false" ht="15" hidden="false" customHeight="true" outlineLevel="0" collapsed="false">
      <c r="A2808" s="71"/>
      <c r="B2808" s="71"/>
      <c r="C2808" s="273"/>
      <c r="D2808" s="322"/>
      <c r="E2808" s="322"/>
      <c r="F2808" s="323"/>
      <c r="G2808" s="323"/>
      <c r="H2808" s="71"/>
    </row>
    <row r="2809" customFormat="false" ht="15" hidden="false" customHeight="true" outlineLevel="0" collapsed="false">
      <c r="A2809" s="71"/>
      <c r="B2809" s="71"/>
      <c r="C2809" s="273"/>
      <c r="D2809" s="322"/>
      <c r="E2809" s="322"/>
      <c r="F2809" s="323"/>
      <c r="G2809" s="323"/>
      <c r="H2809" s="71"/>
    </row>
    <row r="2810" customFormat="false" ht="15" hidden="false" customHeight="true" outlineLevel="0" collapsed="false">
      <c r="A2810" s="71"/>
      <c r="B2810" s="71"/>
      <c r="C2810" s="273"/>
      <c r="D2810" s="322"/>
      <c r="E2810" s="322"/>
      <c r="F2810" s="323"/>
      <c r="G2810" s="323"/>
      <c r="H2810" s="71"/>
    </row>
    <row r="2811" customFormat="false" ht="15" hidden="false" customHeight="true" outlineLevel="0" collapsed="false">
      <c r="A2811" s="71"/>
      <c r="B2811" s="71"/>
      <c r="C2811" s="273"/>
      <c r="D2811" s="322"/>
      <c r="E2811" s="322"/>
      <c r="F2811" s="323"/>
      <c r="G2811" s="323"/>
      <c r="H2811" s="71"/>
    </row>
    <row r="2812" customFormat="false" ht="15" hidden="false" customHeight="true" outlineLevel="0" collapsed="false">
      <c r="A2812" s="71"/>
      <c r="B2812" s="71"/>
      <c r="C2812" s="273"/>
      <c r="D2812" s="322"/>
      <c r="E2812" s="322"/>
      <c r="F2812" s="323"/>
      <c r="G2812" s="323"/>
      <c r="H2812" s="71"/>
    </row>
    <row r="2813" customFormat="false" ht="15" hidden="false" customHeight="true" outlineLevel="0" collapsed="false">
      <c r="A2813" s="71"/>
      <c r="B2813" s="71"/>
      <c r="C2813" s="273"/>
      <c r="D2813" s="322"/>
      <c r="E2813" s="322"/>
      <c r="F2813" s="323"/>
      <c r="G2813" s="323"/>
      <c r="H2813" s="71"/>
    </row>
    <row r="2814" customFormat="false" ht="15" hidden="false" customHeight="true" outlineLevel="0" collapsed="false">
      <c r="A2814" s="71"/>
      <c r="B2814" s="71"/>
      <c r="C2814" s="273"/>
      <c r="D2814" s="322"/>
      <c r="E2814" s="322"/>
      <c r="F2814" s="323"/>
      <c r="G2814" s="323"/>
      <c r="H2814" s="71"/>
    </row>
    <row r="2815" customFormat="false" ht="15" hidden="false" customHeight="true" outlineLevel="0" collapsed="false">
      <c r="A2815" s="71"/>
      <c r="B2815" s="71"/>
      <c r="C2815" s="273"/>
      <c r="D2815" s="322"/>
      <c r="E2815" s="322"/>
      <c r="F2815" s="323"/>
      <c r="G2815" s="323"/>
      <c r="H2815" s="71"/>
    </row>
    <row r="2816" customFormat="false" ht="15" hidden="false" customHeight="true" outlineLevel="0" collapsed="false">
      <c r="A2816" s="71"/>
      <c r="B2816" s="71"/>
      <c r="C2816" s="273"/>
      <c r="D2816" s="322"/>
      <c r="E2816" s="322"/>
      <c r="F2816" s="323"/>
      <c r="G2816" s="323"/>
      <c r="H2816" s="71"/>
    </row>
    <row r="2817" customFormat="false" ht="15" hidden="false" customHeight="true" outlineLevel="0" collapsed="false">
      <c r="A2817" s="71"/>
      <c r="B2817" s="71"/>
      <c r="C2817" s="273"/>
      <c r="D2817" s="322"/>
      <c r="E2817" s="322"/>
      <c r="F2817" s="323"/>
      <c r="G2817" s="323"/>
      <c r="H2817" s="71"/>
    </row>
    <row r="2818" customFormat="false" ht="15" hidden="false" customHeight="true" outlineLevel="0" collapsed="false">
      <c r="A2818" s="71"/>
      <c r="B2818" s="71"/>
      <c r="C2818" s="273"/>
      <c r="D2818" s="322"/>
      <c r="E2818" s="322"/>
      <c r="F2818" s="323"/>
      <c r="G2818" s="323"/>
      <c r="H2818" s="71"/>
    </row>
    <row r="2819" customFormat="false" ht="15" hidden="false" customHeight="true" outlineLevel="0" collapsed="false">
      <c r="A2819" s="71"/>
      <c r="B2819" s="71"/>
      <c r="C2819" s="273"/>
      <c r="D2819" s="322"/>
      <c r="E2819" s="322"/>
      <c r="F2819" s="323"/>
      <c r="G2819" s="323"/>
      <c r="H2819" s="71"/>
    </row>
    <row r="2820" customFormat="false" ht="15" hidden="false" customHeight="true" outlineLevel="0" collapsed="false">
      <c r="A2820" s="71"/>
      <c r="B2820" s="71"/>
      <c r="C2820" s="273"/>
      <c r="D2820" s="322"/>
      <c r="E2820" s="322"/>
      <c r="F2820" s="323"/>
      <c r="G2820" s="323"/>
      <c r="H2820" s="71"/>
    </row>
    <row r="2821" customFormat="false" ht="15" hidden="false" customHeight="true" outlineLevel="0" collapsed="false">
      <c r="A2821" s="71"/>
      <c r="B2821" s="71"/>
      <c r="C2821" s="273"/>
      <c r="D2821" s="322"/>
      <c r="E2821" s="322"/>
      <c r="F2821" s="323"/>
      <c r="G2821" s="323"/>
      <c r="H2821" s="71"/>
    </row>
    <row r="2822" customFormat="false" ht="15" hidden="false" customHeight="true" outlineLevel="0" collapsed="false">
      <c r="A2822" s="71"/>
      <c r="B2822" s="71"/>
      <c r="C2822" s="273"/>
      <c r="D2822" s="322"/>
      <c r="E2822" s="322"/>
      <c r="F2822" s="323"/>
      <c r="G2822" s="323"/>
      <c r="H2822" s="71"/>
    </row>
    <row r="2823" customFormat="false" ht="15" hidden="false" customHeight="true" outlineLevel="0" collapsed="false">
      <c r="A2823" s="71"/>
      <c r="B2823" s="71"/>
      <c r="C2823" s="273"/>
      <c r="D2823" s="322"/>
      <c r="E2823" s="322"/>
      <c r="F2823" s="323"/>
      <c r="G2823" s="323"/>
      <c r="H2823" s="71"/>
    </row>
    <row r="2824" customFormat="false" ht="15" hidden="false" customHeight="true" outlineLevel="0" collapsed="false">
      <c r="A2824" s="71"/>
      <c r="B2824" s="71"/>
      <c r="C2824" s="273"/>
      <c r="D2824" s="322"/>
      <c r="E2824" s="322"/>
      <c r="F2824" s="323"/>
      <c r="G2824" s="323"/>
      <c r="H2824" s="71"/>
    </row>
    <row r="2825" customFormat="false" ht="15" hidden="false" customHeight="true" outlineLevel="0" collapsed="false">
      <c r="A2825" s="71"/>
      <c r="B2825" s="71"/>
      <c r="C2825" s="273"/>
      <c r="D2825" s="322"/>
      <c r="E2825" s="322"/>
      <c r="F2825" s="323"/>
      <c r="G2825" s="323"/>
      <c r="H2825" s="71"/>
    </row>
    <row r="2826" customFormat="false" ht="15" hidden="false" customHeight="true" outlineLevel="0" collapsed="false">
      <c r="A2826" s="71"/>
      <c r="B2826" s="71"/>
      <c r="C2826" s="273"/>
      <c r="D2826" s="322"/>
      <c r="E2826" s="322"/>
      <c r="F2826" s="323"/>
      <c r="G2826" s="323"/>
      <c r="H2826" s="71"/>
    </row>
    <row r="2827" customFormat="false" ht="15" hidden="false" customHeight="true" outlineLevel="0" collapsed="false">
      <c r="A2827" s="71"/>
      <c r="B2827" s="71"/>
      <c r="C2827" s="273"/>
      <c r="D2827" s="322"/>
      <c r="E2827" s="322"/>
      <c r="F2827" s="323"/>
      <c r="G2827" s="323"/>
      <c r="H2827" s="71"/>
    </row>
    <row r="2828" customFormat="false" ht="15" hidden="false" customHeight="true" outlineLevel="0" collapsed="false">
      <c r="A2828" s="71"/>
      <c r="B2828" s="71"/>
      <c r="C2828" s="273"/>
      <c r="D2828" s="322"/>
      <c r="E2828" s="322"/>
      <c r="F2828" s="323"/>
      <c r="G2828" s="323"/>
      <c r="H2828" s="71"/>
    </row>
    <row r="2829" customFormat="false" ht="15" hidden="false" customHeight="true" outlineLevel="0" collapsed="false">
      <c r="A2829" s="71"/>
      <c r="B2829" s="71"/>
      <c r="C2829" s="273"/>
      <c r="D2829" s="322"/>
      <c r="E2829" s="322"/>
      <c r="F2829" s="323"/>
      <c r="G2829" s="323"/>
      <c r="H2829" s="71"/>
    </row>
    <row r="2830" customFormat="false" ht="15" hidden="false" customHeight="true" outlineLevel="0" collapsed="false">
      <c r="A2830" s="71"/>
      <c r="B2830" s="71"/>
      <c r="C2830" s="273"/>
      <c r="D2830" s="322"/>
      <c r="E2830" s="322"/>
      <c r="F2830" s="323"/>
      <c r="G2830" s="323"/>
      <c r="H2830" s="71"/>
    </row>
    <row r="2831" customFormat="false" ht="15" hidden="false" customHeight="true" outlineLevel="0" collapsed="false">
      <c r="A2831" s="71"/>
      <c r="B2831" s="71"/>
      <c r="C2831" s="273"/>
      <c r="D2831" s="322"/>
      <c r="E2831" s="322"/>
      <c r="F2831" s="323"/>
      <c r="G2831" s="323"/>
      <c r="H2831" s="71"/>
    </row>
    <row r="2832" customFormat="false" ht="15" hidden="false" customHeight="true" outlineLevel="0" collapsed="false">
      <c r="A2832" s="71"/>
      <c r="B2832" s="71"/>
      <c r="C2832" s="273"/>
      <c r="D2832" s="322"/>
      <c r="E2832" s="322"/>
      <c r="F2832" s="323"/>
      <c r="G2832" s="323"/>
      <c r="H2832" s="71"/>
    </row>
    <row r="2833" customFormat="false" ht="15" hidden="false" customHeight="true" outlineLevel="0" collapsed="false">
      <c r="A2833" s="71"/>
      <c r="B2833" s="71"/>
      <c r="C2833" s="273"/>
      <c r="D2833" s="322"/>
      <c r="E2833" s="322"/>
      <c r="F2833" s="323"/>
      <c r="G2833" s="323"/>
      <c r="H2833" s="71"/>
    </row>
    <row r="2834" customFormat="false" ht="15" hidden="false" customHeight="true" outlineLevel="0" collapsed="false">
      <c r="A2834" s="71"/>
      <c r="B2834" s="71"/>
      <c r="C2834" s="273"/>
      <c r="D2834" s="322"/>
      <c r="E2834" s="322"/>
      <c r="F2834" s="323"/>
      <c r="G2834" s="323"/>
      <c r="H2834" s="71"/>
    </row>
    <row r="2835" customFormat="false" ht="15" hidden="false" customHeight="true" outlineLevel="0" collapsed="false">
      <c r="A2835" s="71"/>
      <c r="B2835" s="71"/>
      <c r="C2835" s="273"/>
      <c r="D2835" s="322"/>
      <c r="E2835" s="322"/>
      <c r="F2835" s="323"/>
      <c r="G2835" s="323"/>
      <c r="H2835" s="71"/>
    </row>
    <row r="2836" customFormat="false" ht="15" hidden="false" customHeight="true" outlineLevel="0" collapsed="false">
      <c r="A2836" s="71"/>
      <c r="B2836" s="71"/>
      <c r="C2836" s="273"/>
      <c r="D2836" s="322"/>
      <c r="E2836" s="322"/>
      <c r="F2836" s="323"/>
      <c r="G2836" s="323"/>
      <c r="H2836" s="71"/>
    </row>
    <row r="2837" customFormat="false" ht="15" hidden="false" customHeight="true" outlineLevel="0" collapsed="false">
      <c r="A2837" s="71"/>
      <c r="B2837" s="71"/>
      <c r="C2837" s="273"/>
      <c r="D2837" s="322"/>
      <c r="E2837" s="322"/>
      <c r="F2837" s="323"/>
      <c r="G2837" s="323"/>
      <c r="H2837" s="71"/>
    </row>
    <row r="2838" customFormat="false" ht="15" hidden="false" customHeight="true" outlineLevel="0" collapsed="false">
      <c r="A2838" s="71"/>
      <c r="B2838" s="71"/>
      <c r="C2838" s="273"/>
      <c r="D2838" s="322"/>
      <c r="E2838" s="322"/>
      <c r="F2838" s="323"/>
      <c r="G2838" s="323"/>
      <c r="H2838" s="71"/>
    </row>
    <row r="2839" customFormat="false" ht="15" hidden="false" customHeight="true" outlineLevel="0" collapsed="false">
      <c r="A2839" s="71"/>
      <c r="B2839" s="71"/>
      <c r="C2839" s="273"/>
      <c r="D2839" s="322"/>
      <c r="E2839" s="322"/>
      <c r="F2839" s="323"/>
      <c r="G2839" s="323"/>
      <c r="H2839" s="71"/>
    </row>
    <row r="2840" customFormat="false" ht="15" hidden="false" customHeight="true" outlineLevel="0" collapsed="false">
      <c r="A2840" s="71"/>
      <c r="B2840" s="71"/>
      <c r="C2840" s="273"/>
      <c r="D2840" s="322"/>
      <c r="E2840" s="322"/>
      <c r="F2840" s="323"/>
      <c r="G2840" s="323"/>
      <c r="H2840" s="71"/>
    </row>
    <row r="2841" customFormat="false" ht="15" hidden="false" customHeight="true" outlineLevel="0" collapsed="false">
      <c r="A2841" s="71"/>
      <c r="B2841" s="71"/>
      <c r="C2841" s="273"/>
      <c r="D2841" s="322"/>
      <c r="E2841" s="322"/>
      <c r="F2841" s="323"/>
      <c r="G2841" s="323"/>
      <c r="H2841" s="71"/>
    </row>
    <row r="2842" customFormat="false" ht="15" hidden="false" customHeight="true" outlineLevel="0" collapsed="false">
      <c r="A2842" s="71"/>
      <c r="B2842" s="71"/>
      <c r="C2842" s="273"/>
      <c r="D2842" s="322"/>
      <c r="E2842" s="322"/>
      <c r="F2842" s="323"/>
      <c r="G2842" s="323"/>
      <c r="H2842" s="71"/>
    </row>
    <row r="2843" customFormat="false" ht="15" hidden="false" customHeight="true" outlineLevel="0" collapsed="false">
      <c r="A2843" s="71"/>
      <c r="B2843" s="71"/>
      <c r="C2843" s="273"/>
      <c r="D2843" s="322"/>
      <c r="E2843" s="322"/>
      <c r="F2843" s="323"/>
      <c r="G2843" s="323"/>
      <c r="H2843" s="71"/>
    </row>
    <row r="2844" customFormat="false" ht="15" hidden="false" customHeight="true" outlineLevel="0" collapsed="false">
      <c r="A2844" s="71"/>
      <c r="B2844" s="71"/>
      <c r="C2844" s="273"/>
      <c r="D2844" s="322"/>
      <c r="E2844" s="322"/>
      <c r="F2844" s="323"/>
      <c r="G2844" s="323"/>
      <c r="H2844" s="71"/>
    </row>
    <row r="2845" customFormat="false" ht="15" hidden="false" customHeight="true" outlineLevel="0" collapsed="false">
      <c r="A2845" s="71"/>
      <c r="B2845" s="71"/>
      <c r="C2845" s="273"/>
      <c r="D2845" s="322"/>
      <c r="E2845" s="322"/>
      <c r="F2845" s="323"/>
      <c r="G2845" s="323"/>
      <c r="H2845" s="71"/>
    </row>
    <row r="2846" customFormat="false" ht="15" hidden="false" customHeight="true" outlineLevel="0" collapsed="false">
      <c r="A2846" s="71"/>
      <c r="B2846" s="71"/>
      <c r="C2846" s="273"/>
      <c r="D2846" s="322"/>
      <c r="E2846" s="322"/>
      <c r="F2846" s="323"/>
      <c r="G2846" s="323"/>
      <c r="H2846" s="71"/>
    </row>
    <row r="2847" customFormat="false" ht="15" hidden="false" customHeight="true" outlineLevel="0" collapsed="false">
      <c r="A2847" s="71"/>
      <c r="B2847" s="71"/>
      <c r="C2847" s="273"/>
      <c r="D2847" s="322"/>
      <c r="E2847" s="322"/>
      <c r="F2847" s="323"/>
      <c r="G2847" s="323"/>
      <c r="H2847" s="71"/>
    </row>
    <row r="2848" customFormat="false" ht="15" hidden="false" customHeight="true" outlineLevel="0" collapsed="false">
      <c r="A2848" s="71"/>
      <c r="B2848" s="71"/>
      <c r="C2848" s="273"/>
      <c r="D2848" s="322"/>
      <c r="E2848" s="322"/>
      <c r="F2848" s="323"/>
      <c r="G2848" s="323"/>
      <c r="H2848" s="71"/>
    </row>
    <row r="2849" customFormat="false" ht="15" hidden="false" customHeight="true" outlineLevel="0" collapsed="false">
      <c r="A2849" s="71"/>
      <c r="B2849" s="71"/>
      <c r="C2849" s="273"/>
      <c r="D2849" s="322"/>
      <c r="E2849" s="322"/>
      <c r="F2849" s="323"/>
      <c r="G2849" s="323"/>
      <c r="H2849" s="71"/>
    </row>
    <row r="2850" customFormat="false" ht="15" hidden="false" customHeight="true" outlineLevel="0" collapsed="false">
      <c r="A2850" s="71"/>
      <c r="B2850" s="71"/>
      <c r="C2850" s="273"/>
      <c r="D2850" s="322"/>
      <c r="E2850" s="322"/>
      <c r="F2850" s="323"/>
      <c r="G2850" s="323"/>
      <c r="H2850" s="71"/>
    </row>
    <row r="2851" customFormat="false" ht="15" hidden="false" customHeight="true" outlineLevel="0" collapsed="false">
      <c r="A2851" s="71"/>
      <c r="B2851" s="71"/>
      <c r="C2851" s="273"/>
      <c r="D2851" s="322"/>
      <c r="E2851" s="322"/>
      <c r="F2851" s="323"/>
      <c r="G2851" s="323"/>
      <c r="H2851" s="71"/>
    </row>
    <row r="2852" customFormat="false" ht="15" hidden="false" customHeight="true" outlineLevel="0" collapsed="false">
      <c r="A2852" s="71"/>
      <c r="B2852" s="71"/>
      <c r="C2852" s="273"/>
      <c r="D2852" s="322"/>
      <c r="E2852" s="322"/>
      <c r="F2852" s="323"/>
      <c r="G2852" s="323"/>
      <c r="H2852" s="71"/>
    </row>
    <row r="2853" customFormat="false" ht="15" hidden="false" customHeight="true" outlineLevel="0" collapsed="false">
      <c r="A2853" s="71"/>
      <c r="B2853" s="71"/>
      <c r="C2853" s="273"/>
      <c r="D2853" s="322"/>
      <c r="E2853" s="322"/>
      <c r="F2853" s="323"/>
      <c r="G2853" s="323"/>
      <c r="H2853" s="71"/>
    </row>
    <row r="2854" customFormat="false" ht="15" hidden="false" customHeight="true" outlineLevel="0" collapsed="false">
      <c r="A2854" s="71"/>
      <c r="B2854" s="71"/>
      <c r="C2854" s="273"/>
      <c r="D2854" s="322"/>
      <c r="E2854" s="322"/>
      <c r="F2854" s="323"/>
      <c r="G2854" s="323"/>
      <c r="H2854" s="71"/>
    </row>
    <row r="2855" customFormat="false" ht="15" hidden="false" customHeight="true" outlineLevel="0" collapsed="false">
      <c r="A2855" s="71"/>
      <c r="B2855" s="71"/>
      <c r="C2855" s="273"/>
      <c r="D2855" s="322"/>
      <c r="E2855" s="322"/>
      <c r="F2855" s="323"/>
      <c r="G2855" s="323"/>
      <c r="H2855" s="71"/>
    </row>
    <row r="2856" customFormat="false" ht="15" hidden="false" customHeight="true" outlineLevel="0" collapsed="false">
      <c r="A2856" s="71"/>
      <c r="B2856" s="71"/>
      <c r="C2856" s="273"/>
      <c r="D2856" s="322"/>
      <c r="E2856" s="322"/>
      <c r="F2856" s="323"/>
      <c r="G2856" s="323"/>
      <c r="H2856" s="71"/>
    </row>
    <row r="2857" customFormat="false" ht="15" hidden="false" customHeight="true" outlineLevel="0" collapsed="false">
      <c r="A2857" s="71"/>
      <c r="B2857" s="71"/>
      <c r="C2857" s="273"/>
      <c r="D2857" s="322"/>
      <c r="E2857" s="322"/>
      <c r="F2857" s="323"/>
      <c r="G2857" s="323"/>
      <c r="H2857" s="71"/>
    </row>
    <row r="2858" customFormat="false" ht="15" hidden="false" customHeight="true" outlineLevel="0" collapsed="false">
      <c r="A2858" s="71"/>
      <c r="B2858" s="71"/>
      <c r="C2858" s="273"/>
      <c r="D2858" s="322"/>
      <c r="E2858" s="322"/>
      <c r="F2858" s="323"/>
      <c r="G2858" s="323"/>
      <c r="H2858" s="71"/>
    </row>
    <row r="2859" customFormat="false" ht="15" hidden="false" customHeight="true" outlineLevel="0" collapsed="false">
      <c r="A2859" s="71"/>
      <c r="B2859" s="71"/>
      <c r="C2859" s="273"/>
      <c r="D2859" s="322"/>
      <c r="E2859" s="322"/>
      <c r="F2859" s="323"/>
      <c r="G2859" s="323"/>
      <c r="H2859" s="71"/>
    </row>
    <row r="2860" customFormat="false" ht="15" hidden="false" customHeight="true" outlineLevel="0" collapsed="false">
      <c r="A2860" s="71"/>
      <c r="B2860" s="71"/>
      <c r="C2860" s="273"/>
      <c r="D2860" s="322"/>
      <c r="E2860" s="322"/>
      <c r="F2860" s="323"/>
      <c r="G2860" s="323"/>
      <c r="H2860" s="71"/>
    </row>
    <row r="2861" customFormat="false" ht="15" hidden="false" customHeight="true" outlineLevel="0" collapsed="false">
      <c r="A2861" s="71"/>
      <c r="B2861" s="71"/>
      <c r="C2861" s="273"/>
      <c r="D2861" s="322"/>
      <c r="E2861" s="322"/>
      <c r="F2861" s="323"/>
      <c r="G2861" s="323"/>
      <c r="H2861" s="71"/>
    </row>
    <row r="2862" customFormat="false" ht="15" hidden="false" customHeight="true" outlineLevel="0" collapsed="false">
      <c r="A2862" s="71"/>
      <c r="B2862" s="71"/>
      <c r="C2862" s="273"/>
      <c r="D2862" s="322"/>
      <c r="E2862" s="322"/>
      <c r="F2862" s="323"/>
      <c r="G2862" s="323"/>
      <c r="H2862" s="71"/>
    </row>
    <row r="2863" customFormat="false" ht="15" hidden="false" customHeight="true" outlineLevel="0" collapsed="false">
      <c r="A2863" s="71"/>
      <c r="B2863" s="71"/>
      <c r="C2863" s="273"/>
      <c r="D2863" s="322"/>
      <c r="E2863" s="322"/>
      <c r="F2863" s="323"/>
      <c r="G2863" s="323"/>
      <c r="H2863" s="71"/>
    </row>
    <row r="2864" customFormat="false" ht="15" hidden="false" customHeight="true" outlineLevel="0" collapsed="false">
      <c r="A2864" s="71"/>
      <c r="B2864" s="71"/>
      <c r="C2864" s="273"/>
      <c r="D2864" s="322"/>
      <c r="E2864" s="322"/>
      <c r="F2864" s="323"/>
      <c r="G2864" s="323"/>
      <c r="H2864" s="71"/>
    </row>
    <row r="2865" customFormat="false" ht="15" hidden="false" customHeight="true" outlineLevel="0" collapsed="false">
      <c r="A2865" s="71"/>
      <c r="B2865" s="71"/>
      <c r="C2865" s="273"/>
      <c r="D2865" s="322"/>
      <c r="E2865" s="322"/>
      <c r="F2865" s="323"/>
      <c r="G2865" s="323"/>
      <c r="H2865" s="71"/>
    </row>
    <row r="2866" customFormat="false" ht="15" hidden="false" customHeight="true" outlineLevel="0" collapsed="false">
      <c r="A2866" s="71"/>
      <c r="B2866" s="71"/>
      <c r="C2866" s="273"/>
      <c r="D2866" s="322"/>
      <c r="E2866" s="322"/>
      <c r="F2866" s="323"/>
      <c r="G2866" s="323"/>
      <c r="H2866" s="71"/>
    </row>
    <row r="2867" customFormat="false" ht="15" hidden="false" customHeight="true" outlineLevel="0" collapsed="false">
      <c r="A2867" s="71"/>
      <c r="B2867" s="71"/>
      <c r="C2867" s="273"/>
      <c r="D2867" s="322"/>
      <c r="E2867" s="322"/>
      <c r="F2867" s="323"/>
      <c r="G2867" s="323"/>
      <c r="H2867" s="71"/>
    </row>
    <row r="2868" customFormat="false" ht="15" hidden="false" customHeight="true" outlineLevel="0" collapsed="false">
      <c r="A2868" s="71"/>
      <c r="B2868" s="71"/>
      <c r="C2868" s="273"/>
      <c r="D2868" s="322"/>
      <c r="E2868" s="322"/>
      <c r="F2868" s="323"/>
      <c r="G2868" s="323"/>
      <c r="H2868" s="71"/>
    </row>
    <row r="2869" customFormat="false" ht="15" hidden="false" customHeight="true" outlineLevel="0" collapsed="false">
      <c r="A2869" s="71"/>
      <c r="B2869" s="71"/>
      <c r="C2869" s="273"/>
      <c r="D2869" s="322"/>
      <c r="E2869" s="322"/>
      <c r="F2869" s="323"/>
      <c r="G2869" s="323"/>
      <c r="H2869" s="71"/>
    </row>
    <row r="2870" customFormat="false" ht="15" hidden="false" customHeight="true" outlineLevel="0" collapsed="false">
      <c r="A2870" s="71"/>
      <c r="B2870" s="71"/>
      <c r="C2870" s="273"/>
      <c r="D2870" s="322"/>
      <c r="E2870" s="322"/>
      <c r="F2870" s="323"/>
      <c r="G2870" s="323"/>
      <c r="H2870" s="71"/>
    </row>
    <row r="2871" customFormat="false" ht="15" hidden="false" customHeight="true" outlineLevel="0" collapsed="false">
      <c r="A2871" s="71"/>
      <c r="B2871" s="71"/>
      <c r="C2871" s="273"/>
      <c r="D2871" s="322"/>
      <c r="E2871" s="322"/>
      <c r="F2871" s="323"/>
      <c r="G2871" s="323"/>
      <c r="H2871" s="71"/>
    </row>
    <row r="2872" customFormat="false" ht="15" hidden="false" customHeight="true" outlineLevel="0" collapsed="false">
      <c r="A2872" s="71"/>
      <c r="B2872" s="71"/>
      <c r="C2872" s="273"/>
      <c r="D2872" s="322"/>
      <c r="E2872" s="322"/>
      <c r="F2872" s="323"/>
      <c r="G2872" s="323"/>
      <c r="H2872" s="71"/>
    </row>
    <row r="2873" customFormat="false" ht="15" hidden="false" customHeight="true" outlineLevel="0" collapsed="false">
      <c r="A2873" s="71"/>
      <c r="B2873" s="71"/>
      <c r="C2873" s="273"/>
      <c r="D2873" s="322"/>
      <c r="E2873" s="322"/>
      <c r="F2873" s="323"/>
      <c r="G2873" s="323"/>
      <c r="H2873" s="71"/>
    </row>
    <row r="2874" customFormat="false" ht="15" hidden="false" customHeight="true" outlineLevel="0" collapsed="false">
      <c r="A2874" s="71"/>
      <c r="B2874" s="71"/>
      <c r="C2874" s="273"/>
      <c r="D2874" s="322"/>
      <c r="E2874" s="322"/>
      <c r="F2874" s="323"/>
      <c r="G2874" s="323"/>
      <c r="H2874" s="71"/>
    </row>
    <row r="2875" customFormat="false" ht="15" hidden="false" customHeight="true" outlineLevel="0" collapsed="false">
      <c r="A2875" s="71"/>
      <c r="B2875" s="71"/>
      <c r="C2875" s="273"/>
      <c r="D2875" s="322"/>
      <c r="E2875" s="322"/>
      <c r="F2875" s="323"/>
      <c r="G2875" s="323"/>
      <c r="H2875" s="71"/>
    </row>
    <row r="2876" customFormat="false" ht="15" hidden="false" customHeight="true" outlineLevel="0" collapsed="false">
      <c r="A2876" s="71"/>
      <c r="B2876" s="71"/>
      <c r="C2876" s="273"/>
      <c r="D2876" s="322"/>
      <c r="E2876" s="322"/>
      <c r="F2876" s="323"/>
      <c r="G2876" s="323"/>
      <c r="H2876" s="71"/>
    </row>
    <row r="2877" customFormat="false" ht="15" hidden="false" customHeight="true" outlineLevel="0" collapsed="false">
      <c r="A2877" s="71"/>
      <c r="B2877" s="71"/>
      <c r="C2877" s="273"/>
      <c r="D2877" s="322"/>
      <c r="E2877" s="322"/>
      <c r="F2877" s="323"/>
      <c r="G2877" s="323"/>
      <c r="H2877" s="71"/>
    </row>
    <row r="2878" customFormat="false" ht="15" hidden="false" customHeight="true" outlineLevel="0" collapsed="false">
      <c r="A2878" s="71"/>
      <c r="B2878" s="71"/>
      <c r="C2878" s="273"/>
      <c r="D2878" s="322"/>
      <c r="E2878" s="322"/>
      <c r="F2878" s="323"/>
      <c r="G2878" s="323"/>
      <c r="H2878" s="71"/>
    </row>
    <row r="2879" customFormat="false" ht="15" hidden="false" customHeight="true" outlineLevel="0" collapsed="false">
      <c r="A2879" s="71"/>
      <c r="B2879" s="71"/>
      <c r="C2879" s="273"/>
      <c r="D2879" s="322"/>
      <c r="E2879" s="322"/>
      <c r="F2879" s="323"/>
      <c r="G2879" s="323"/>
      <c r="H2879" s="71"/>
    </row>
    <row r="2880" customFormat="false" ht="15" hidden="false" customHeight="true" outlineLevel="0" collapsed="false">
      <c r="A2880" s="71"/>
      <c r="B2880" s="71"/>
      <c r="C2880" s="273"/>
      <c r="D2880" s="322"/>
      <c r="E2880" s="322"/>
      <c r="F2880" s="323"/>
      <c r="G2880" s="323"/>
      <c r="H2880" s="71"/>
    </row>
    <row r="2881" customFormat="false" ht="15" hidden="false" customHeight="true" outlineLevel="0" collapsed="false">
      <c r="A2881" s="71"/>
      <c r="B2881" s="71"/>
      <c r="C2881" s="273"/>
      <c r="D2881" s="322"/>
      <c r="E2881" s="322"/>
      <c r="F2881" s="323"/>
      <c r="G2881" s="323"/>
      <c r="H2881" s="71"/>
    </row>
    <row r="2882" customFormat="false" ht="15" hidden="false" customHeight="true" outlineLevel="0" collapsed="false">
      <c r="A2882" s="71"/>
      <c r="B2882" s="71"/>
      <c r="C2882" s="273"/>
      <c r="D2882" s="322"/>
      <c r="E2882" s="322"/>
      <c r="F2882" s="323"/>
      <c r="G2882" s="323"/>
      <c r="H2882" s="71"/>
    </row>
    <row r="2883" customFormat="false" ht="15" hidden="false" customHeight="true" outlineLevel="0" collapsed="false">
      <c r="A2883" s="71"/>
      <c r="B2883" s="71"/>
      <c r="C2883" s="273"/>
      <c r="D2883" s="322"/>
      <c r="E2883" s="322"/>
      <c r="F2883" s="323"/>
      <c r="G2883" s="323"/>
      <c r="H2883" s="71"/>
    </row>
    <row r="2884" customFormat="false" ht="15" hidden="false" customHeight="true" outlineLevel="0" collapsed="false">
      <c r="A2884" s="71"/>
      <c r="B2884" s="71"/>
      <c r="C2884" s="273"/>
      <c r="D2884" s="322"/>
      <c r="E2884" s="322"/>
      <c r="F2884" s="323"/>
      <c r="G2884" s="323"/>
      <c r="H2884" s="71"/>
    </row>
    <row r="2885" customFormat="false" ht="15" hidden="false" customHeight="true" outlineLevel="0" collapsed="false">
      <c r="A2885" s="71"/>
      <c r="B2885" s="71"/>
      <c r="C2885" s="273"/>
      <c r="D2885" s="322"/>
      <c r="E2885" s="322"/>
      <c r="F2885" s="323"/>
      <c r="G2885" s="323"/>
      <c r="H2885" s="71"/>
    </row>
    <row r="2886" customFormat="false" ht="15" hidden="false" customHeight="true" outlineLevel="0" collapsed="false">
      <c r="A2886" s="71"/>
      <c r="B2886" s="71"/>
      <c r="C2886" s="273"/>
      <c r="D2886" s="322"/>
      <c r="E2886" s="322"/>
      <c r="F2886" s="323"/>
      <c r="G2886" s="323"/>
      <c r="H2886" s="71"/>
    </row>
    <row r="2887" customFormat="false" ht="15" hidden="false" customHeight="true" outlineLevel="0" collapsed="false">
      <c r="A2887" s="71"/>
      <c r="B2887" s="71"/>
      <c r="C2887" s="273"/>
      <c r="D2887" s="322"/>
      <c r="E2887" s="322"/>
      <c r="F2887" s="323"/>
      <c r="G2887" s="323"/>
      <c r="H2887" s="71"/>
    </row>
    <row r="2888" customFormat="false" ht="15" hidden="false" customHeight="true" outlineLevel="0" collapsed="false">
      <c r="A2888" s="71"/>
      <c r="B2888" s="71"/>
      <c r="C2888" s="273"/>
      <c r="D2888" s="322"/>
      <c r="E2888" s="322"/>
      <c r="F2888" s="323"/>
      <c r="G2888" s="323"/>
      <c r="H2888" s="71"/>
    </row>
    <row r="2889" customFormat="false" ht="15" hidden="false" customHeight="true" outlineLevel="0" collapsed="false">
      <c r="A2889" s="71"/>
      <c r="B2889" s="71"/>
      <c r="C2889" s="273"/>
      <c r="D2889" s="322"/>
      <c r="E2889" s="322"/>
      <c r="F2889" s="323"/>
      <c r="G2889" s="323"/>
      <c r="H2889" s="71"/>
    </row>
    <row r="2890" customFormat="false" ht="15" hidden="false" customHeight="true" outlineLevel="0" collapsed="false">
      <c r="A2890" s="71"/>
      <c r="B2890" s="71"/>
      <c r="C2890" s="273"/>
      <c r="D2890" s="322"/>
      <c r="E2890" s="322"/>
      <c r="F2890" s="323"/>
      <c r="G2890" s="323"/>
      <c r="H2890" s="71"/>
    </row>
    <row r="2891" customFormat="false" ht="15" hidden="false" customHeight="true" outlineLevel="0" collapsed="false">
      <c r="A2891" s="71"/>
      <c r="B2891" s="71"/>
      <c r="C2891" s="273"/>
      <c r="D2891" s="322"/>
      <c r="E2891" s="322"/>
      <c r="F2891" s="323"/>
      <c r="G2891" s="323"/>
      <c r="H2891" s="71"/>
    </row>
    <row r="2892" customFormat="false" ht="15" hidden="false" customHeight="true" outlineLevel="0" collapsed="false">
      <c r="A2892" s="71"/>
      <c r="B2892" s="71"/>
      <c r="C2892" s="273"/>
      <c r="D2892" s="322"/>
      <c r="E2892" s="322"/>
      <c r="F2892" s="323"/>
      <c r="G2892" s="323"/>
      <c r="H2892" s="71"/>
    </row>
    <row r="2893" customFormat="false" ht="15" hidden="false" customHeight="true" outlineLevel="0" collapsed="false">
      <c r="A2893" s="71"/>
      <c r="B2893" s="71"/>
      <c r="C2893" s="273"/>
      <c r="D2893" s="322"/>
      <c r="E2893" s="322"/>
      <c r="F2893" s="323"/>
      <c r="G2893" s="323"/>
      <c r="H2893" s="71"/>
    </row>
    <row r="2894" customFormat="false" ht="15" hidden="false" customHeight="true" outlineLevel="0" collapsed="false">
      <c r="A2894" s="71"/>
      <c r="B2894" s="71"/>
      <c r="C2894" s="273"/>
      <c r="D2894" s="322"/>
      <c r="E2894" s="322"/>
      <c r="F2894" s="323"/>
      <c r="G2894" s="323"/>
      <c r="H2894" s="71"/>
    </row>
    <row r="2895" customFormat="false" ht="15" hidden="false" customHeight="true" outlineLevel="0" collapsed="false">
      <c r="A2895" s="71"/>
      <c r="B2895" s="71"/>
      <c r="C2895" s="273"/>
      <c r="D2895" s="322"/>
      <c r="E2895" s="322"/>
      <c r="F2895" s="323"/>
      <c r="G2895" s="323"/>
      <c r="H2895" s="71"/>
    </row>
    <row r="2896" customFormat="false" ht="15" hidden="false" customHeight="true" outlineLevel="0" collapsed="false">
      <c r="A2896" s="71"/>
      <c r="B2896" s="71"/>
      <c r="C2896" s="273"/>
      <c r="D2896" s="322"/>
      <c r="E2896" s="322"/>
      <c r="F2896" s="323"/>
      <c r="G2896" s="323"/>
      <c r="H2896" s="71"/>
    </row>
    <row r="2897" customFormat="false" ht="15" hidden="false" customHeight="true" outlineLevel="0" collapsed="false">
      <c r="A2897" s="71"/>
      <c r="B2897" s="71"/>
      <c r="C2897" s="273"/>
      <c r="D2897" s="322"/>
      <c r="E2897" s="322"/>
      <c r="F2897" s="323"/>
      <c r="G2897" s="323"/>
      <c r="H2897" s="71"/>
    </row>
    <row r="2898" customFormat="false" ht="15" hidden="false" customHeight="true" outlineLevel="0" collapsed="false">
      <c r="A2898" s="71"/>
      <c r="B2898" s="71"/>
      <c r="C2898" s="273"/>
      <c r="D2898" s="322"/>
      <c r="E2898" s="322"/>
      <c r="F2898" s="323"/>
      <c r="G2898" s="323"/>
      <c r="H2898" s="71"/>
    </row>
    <row r="2899" customFormat="false" ht="15" hidden="false" customHeight="true" outlineLevel="0" collapsed="false">
      <c r="A2899" s="71"/>
      <c r="B2899" s="71"/>
      <c r="C2899" s="273"/>
      <c r="D2899" s="322"/>
      <c r="E2899" s="322"/>
      <c r="F2899" s="323"/>
      <c r="G2899" s="323"/>
      <c r="H2899" s="71"/>
    </row>
    <row r="2900" customFormat="false" ht="15" hidden="false" customHeight="true" outlineLevel="0" collapsed="false">
      <c r="A2900" s="71"/>
      <c r="B2900" s="71"/>
      <c r="C2900" s="273"/>
      <c r="D2900" s="322"/>
      <c r="E2900" s="322"/>
      <c r="F2900" s="323"/>
      <c r="G2900" s="323"/>
      <c r="H2900" s="71"/>
    </row>
    <row r="2901" customFormat="false" ht="15" hidden="false" customHeight="true" outlineLevel="0" collapsed="false">
      <c r="A2901" s="71"/>
      <c r="B2901" s="71"/>
      <c r="C2901" s="273"/>
      <c r="D2901" s="322"/>
      <c r="E2901" s="322"/>
      <c r="F2901" s="323"/>
      <c r="G2901" s="323"/>
      <c r="H2901" s="71"/>
    </row>
    <row r="2902" customFormat="false" ht="15" hidden="false" customHeight="true" outlineLevel="0" collapsed="false">
      <c r="A2902" s="71"/>
      <c r="B2902" s="71"/>
      <c r="C2902" s="273"/>
      <c r="D2902" s="322"/>
      <c r="E2902" s="322"/>
      <c r="F2902" s="323"/>
      <c r="G2902" s="323"/>
      <c r="H2902" s="71"/>
    </row>
    <row r="2903" customFormat="false" ht="15" hidden="false" customHeight="true" outlineLevel="0" collapsed="false">
      <c r="A2903" s="71"/>
      <c r="B2903" s="71"/>
      <c r="C2903" s="273"/>
      <c r="D2903" s="322"/>
      <c r="E2903" s="322"/>
      <c r="F2903" s="323"/>
      <c r="G2903" s="323"/>
      <c r="H2903" s="71"/>
    </row>
    <row r="2904" customFormat="false" ht="15" hidden="false" customHeight="true" outlineLevel="0" collapsed="false">
      <c r="A2904" s="71"/>
      <c r="B2904" s="71"/>
      <c r="C2904" s="273"/>
      <c r="D2904" s="322"/>
      <c r="E2904" s="322"/>
      <c r="F2904" s="323"/>
      <c r="G2904" s="323"/>
      <c r="H2904" s="71"/>
    </row>
    <row r="2905" customFormat="false" ht="15" hidden="false" customHeight="true" outlineLevel="0" collapsed="false">
      <c r="A2905" s="71"/>
      <c r="B2905" s="71"/>
      <c r="C2905" s="273"/>
      <c r="D2905" s="322"/>
      <c r="E2905" s="322"/>
      <c r="F2905" s="323"/>
      <c r="G2905" s="323"/>
      <c r="H2905" s="71"/>
    </row>
    <row r="2906" customFormat="false" ht="15" hidden="false" customHeight="true" outlineLevel="0" collapsed="false">
      <c r="A2906" s="71"/>
      <c r="B2906" s="71"/>
      <c r="C2906" s="273"/>
      <c r="D2906" s="322"/>
      <c r="E2906" s="322"/>
      <c r="F2906" s="323"/>
      <c r="G2906" s="323"/>
      <c r="H2906" s="71"/>
    </row>
    <row r="2907" customFormat="false" ht="15" hidden="false" customHeight="true" outlineLevel="0" collapsed="false">
      <c r="A2907" s="71"/>
      <c r="B2907" s="71"/>
      <c r="C2907" s="273"/>
      <c r="D2907" s="322"/>
      <c r="E2907" s="322"/>
      <c r="F2907" s="323"/>
      <c r="G2907" s="323"/>
      <c r="H2907" s="71"/>
    </row>
    <row r="2908" customFormat="false" ht="15" hidden="false" customHeight="true" outlineLevel="0" collapsed="false">
      <c r="A2908" s="71"/>
      <c r="B2908" s="71"/>
      <c r="C2908" s="273"/>
      <c r="D2908" s="322"/>
      <c r="E2908" s="322"/>
      <c r="F2908" s="323"/>
      <c r="G2908" s="323"/>
      <c r="H2908" s="71"/>
    </row>
    <row r="2909" customFormat="false" ht="15" hidden="false" customHeight="true" outlineLevel="0" collapsed="false">
      <c r="A2909" s="71"/>
      <c r="B2909" s="71"/>
      <c r="C2909" s="273"/>
      <c r="D2909" s="322"/>
      <c r="E2909" s="322"/>
      <c r="F2909" s="323"/>
      <c r="G2909" s="323"/>
      <c r="H2909" s="71"/>
    </row>
    <row r="2910" customFormat="false" ht="15" hidden="false" customHeight="true" outlineLevel="0" collapsed="false">
      <c r="A2910" s="71"/>
      <c r="B2910" s="71"/>
      <c r="C2910" s="273"/>
      <c r="D2910" s="322"/>
      <c r="E2910" s="322"/>
      <c r="F2910" s="323"/>
      <c r="G2910" s="323"/>
      <c r="H2910" s="71"/>
    </row>
    <row r="2911" customFormat="false" ht="15" hidden="false" customHeight="true" outlineLevel="0" collapsed="false">
      <c r="A2911" s="71"/>
      <c r="B2911" s="71"/>
      <c r="C2911" s="273"/>
      <c r="D2911" s="322"/>
      <c r="E2911" s="322"/>
      <c r="F2911" s="323"/>
      <c r="G2911" s="323"/>
      <c r="H2911" s="71"/>
    </row>
    <row r="2912" customFormat="false" ht="15" hidden="false" customHeight="true" outlineLevel="0" collapsed="false">
      <c r="A2912" s="71"/>
      <c r="B2912" s="71"/>
      <c r="C2912" s="273"/>
      <c r="D2912" s="322"/>
      <c r="E2912" s="322"/>
      <c r="F2912" s="323"/>
      <c r="G2912" s="323"/>
      <c r="H2912" s="71"/>
    </row>
    <row r="2913" customFormat="false" ht="15" hidden="false" customHeight="true" outlineLevel="0" collapsed="false">
      <c r="A2913" s="71"/>
      <c r="B2913" s="71"/>
      <c r="C2913" s="273"/>
      <c r="D2913" s="322"/>
      <c r="E2913" s="322"/>
      <c r="F2913" s="323"/>
      <c r="G2913" s="323"/>
      <c r="H2913" s="71"/>
    </row>
    <row r="2914" customFormat="false" ht="15" hidden="false" customHeight="true" outlineLevel="0" collapsed="false">
      <c r="A2914" s="71"/>
      <c r="B2914" s="71"/>
      <c r="C2914" s="273"/>
      <c r="D2914" s="322"/>
      <c r="E2914" s="322"/>
      <c r="F2914" s="323"/>
      <c r="G2914" s="323"/>
      <c r="H2914" s="71"/>
    </row>
    <row r="2915" customFormat="false" ht="15" hidden="false" customHeight="true" outlineLevel="0" collapsed="false">
      <c r="A2915" s="71"/>
      <c r="B2915" s="71"/>
      <c r="C2915" s="273"/>
      <c r="D2915" s="322"/>
      <c r="E2915" s="322"/>
      <c r="F2915" s="323"/>
      <c r="G2915" s="323"/>
      <c r="H2915" s="71"/>
    </row>
    <row r="2916" customFormat="false" ht="15" hidden="false" customHeight="true" outlineLevel="0" collapsed="false">
      <c r="A2916" s="71"/>
      <c r="B2916" s="71"/>
      <c r="C2916" s="273"/>
      <c r="D2916" s="322"/>
      <c r="E2916" s="322"/>
      <c r="F2916" s="323"/>
      <c r="G2916" s="323"/>
      <c r="H2916" s="71"/>
    </row>
    <row r="2917" customFormat="false" ht="15" hidden="false" customHeight="true" outlineLevel="0" collapsed="false">
      <c r="A2917" s="71"/>
      <c r="B2917" s="71"/>
      <c r="C2917" s="273"/>
      <c r="D2917" s="322"/>
      <c r="E2917" s="322"/>
      <c r="F2917" s="323"/>
      <c r="G2917" s="323"/>
      <c r="H2917" s="71"/>
    </row>
    <row r="2918" customFormat="false" ht="15" hidden="false" customHeight="true" outlineLevel="0" collapsed="false">
      <c r="A2918" s="71"/>
      <c r="B2918" s="71"/>
      <c r="C2918" s="273"/>
      <c r="D2918" s="322"/>
      <c r="E2918" s="322"/>
      <c r="F2918" s="323"/>
      <c r="G2918" s="323"/>
      <c r="H2918" s="71"/>
    </row>
    <row r="2919" customFormat="false" ht="15" hidden="false" customHeight="true" outlineLevel="0" collapsed="false">
      <c r="A2919" s="71"/>
      <c r="B2919" s="71"/>
      <c r="C2919" s="273"/>
      <c r="D2919" s="322"/>
      <c r="E2919" s="322"/>
      <c r="F2919" s="323"/>
      <c r="G2919" s="323"/>
      <c r="H2919" s="71"/>
    </row>
    <row r="2920" customFormat="false" ht="15" hidden="false" customHeight="true" outlineLevel="0" collapsed="false">
      <c r="A2920" s="71"/>
      <c r="B2920" s="71"/>
      <c r="C2920" s="273"/>
      <c r="D2920" s="322"/>
      <c r="E2920" s="322"/>
      <c r="F2920" s="323"/>
      <c r="G2920" s="323"/>
      <c r="H2920" s="71"/>
    </row>
    <row r="2921" customFormat="false" ht="15" hidden="false" customHeight="true" outlineLevel="0" collapsed="false">
      <c r="A2921" s="71"/>
      <c r="B2921" s="71"/>
      <c r="C2921" s="273"/>
      <c r="D2921" s="322"/>
      <c r="E2921" s="322"/>
      <c r="F2921" s="323"/>
      <c r="G2921" s="323"/>
      <c r="H2921" s="71"/>
    </row>
    <row r="2922" customFormat="false" ht="15" hidden="false" customHeight="true" outlineLevel="0" collapsed="false">
      <c r="A2922" s="71"/>
      <c r="B2922" s="71"/>
      <c r="C2922" s="273"/>
      <c r="D2922" s="322"/>
      <c r="E2922" s="322"/>
      <c r="F2922" s="323"/>
      <c r="G2922" s="323"/>
      <c r="H2922" s="71"/>
    </row>
    <row r="2923" customFormat="false" ht="15" hidden="false" customHeight="true" outlineLevel="0" collapsed="false">
      <c r="A2923" s="71"/>
      <c r="B2923" s="71"/>
      <c r="C2923" s="273"/>
      <c r="D2923" s="322"/>
      <c r="E2923" s="322"/>
      <c r="F2923" s="323"/>
      <c r="G2923" s="323"/>
      <c r="H2923" s="71"/>
    </row>
    <row r="2924" customFormat="false" ht="15" hidden="false" customHeight="true" outlineLevel="0" collapsed="false">
      <c r="A2924" s="71"/>
      <c r="B2924" s="71"/>
      <c r="C2924" s="273"/>
      <c r="D2924" s="322"/>
      <c r="E2924" s="322"/>
      <c r="F2924" s="323"/>
      <c r="G2924" s="323"/>
      <c r="H2924" s="71"/>
    </row>
    <row r="2925" customFormat="false" ht="15" hidden="false" customHeight="true" outlineLevel="0" collapsed="false">
      <c r="A2925" s="71"/>
      <c r="B2925" s="71"/>
      <c r="C2925" s="273"/>
      <c r="D2925" s="322"/>
      <c r="E2925" s="322"/>
      <c r="F2925" s="323"/>
      <c r="G2925" s="323"/>
      <c r="H2925" s="71"/>
    </row>
    <row r="2926" customFormat="false" ht="15" hidden="false" customHeight="true" outlineLevel="0" collapsed="false">
      <c r="A2926" s="71"/>
      <c r="B2926" s="71"/>
      <c r="C2926" s="273"/>
      <c r="D2926" s="322"/>
      <c r="E2926" s="322"/>
      <c r="F2926" s="323"/>
      <c r="G2926" s="323"/>
      <c r="H2926" s="71"/>
    </row>
    <row r="2927" customFormat="false" ht="15" hidden="false" customHeight="true" outlineLevel="0" collapsed="false">
      <c r="A2927" s="71"/>
      <c r="B2927" s="71"/>
      <c r="C2927" s="273"/>
      <c r="D2927" s="322"/>
      <c r="E2927" s="322"/>
      <c r="F2927" s="323"/>
      <c r="G2927" s="323"/>
      <c r="H2927" s="71"/>
    </row>
    <row r="2928" customFormat="false" ht="15" hidden="false" customHeight="true" outlineLevel="0" collapsed="false">
      <c r="A2928" s="71"/>
      <c r="B2928" s="71"/>
      <c r="C2928" s="273"/>
      <c r="D2928" s="322"/>
      <c r="E2928" s="322"/>
      <c r="F2928" s="323"/>
      <c r="G2928" s="323"/>
      <c r="H2928" s="71"/>
    </row>
    <row r="2929" customFormat="false" ht="15" hidden="false" customHeight="true" outlineLevel="0" collapsed="false">
      <c r="A2929" s="71"/>
      <c r="B2929" s="71"/>
      <c r="C2929" s="273"/>
      <c r="D2929" s="322"/>
      <c r="E2929" s="322"/>
      <c r="F2929" s="323"/>
      <c r="G2929" s="323"/>
      <c r="H2929" s="71"/>
    </row>
    <row r="2930" customFormat="false" ht="15" hidden="false" customHeight="true" outlineLevel="0" collapsed="false">
      <c r="A2930" s="71"/>
      <c r="B2930" s="71"/>
      <c r="C2930" s="273"/>
      <c r="D2930" s="322"/>
      <c r="E2930" s="322"/>
      <c r="F2930" s="323"/>
      <c r="G2930" s="323"/>
      <c r="H2930" s="71"/>
    </row>
    <row r="2931" customFormat="false" ht="15" hidden="false" customHeight="true" outlineLevel="0" collapsed="false">
      <c r="A2931" s="71"/>
      <c r="B2931" s="71"/>
      <c r="C2931" s="273"/>
      <c r="D2931" s="322"/>
      <c r="E2931" s="322"/>
      <c r="F2931" s="323"/>
      <c r="G2931" s="323"/>
      <c r="H2931" s="71"/>
    </row>
    <row r="2932" customFormat="false" ht="15" hidden="false" customHeight="true" outlineLevel="0" collapsed="false">
      <c r="A2932" s="71"/>
      <c r="B2932" s="71"/>
      <c r="C2932" s="273"/>
      <c r="D2932" s="322"/>
      <c r="E2932" s="322"/>
      <c r="F2932" s="323"/>
      <c r="G2932" s="323"/>
      <c r="H2932" s="71"/>
    </row>
    <row r="2933" customFormat="false" ht="15" hidden="false" customHeight="true" outlineLevel="0" collapsed="false">
      <c r="A2933" s="71"/>
      <c r="B2933" s="71"/>
      <c r="C2933" s="273"/>
      <c r="D2933" s="322"/>
      <c r="E2933" s="322"/>
      <c r="F2933" s="323"/>
      <c r="G2933" s="323"/>
      <c r="H2933" s="71"/>
    </row>
    <row r="2934" customFormat="false" ht="15" hidden="false" customHeight="true" outlineLevel="0" collapsed="false">
      <c r="A2934" s="71"/>
      <c r="B2934" s="71"/>
      <c r="C2934" s="273"/>
      <c r="D2934" s="322"/>
      <c r="E2934" s="322"/>
      <c r="F2934" s="323"/>
      <c r="G2934" s="323"/>
      <c r="H2934" s="71"/>
    </row>
    <row r="2935" customFormat="false" ht="15" hidden="false" customHeight="true" outlineLevel="0" collapsed="false">
      <c r="A2935" s="71"/>
      <c r="B2935" s="71"/>
      <c r="C2935" s="273"/>
      <c r="D2935" s="322"/>
      <c r="E2935" s="322"/>
      <c r="F2935" s="323"/>
      <c r="G2935" s="323"/>
      <c r="H2935" s="71"/>
    </row>
    <row r="2936" customFormat="false" ht="15" hidden="false" customHeight="true" outlineLevel="0" collapsed="false">
      <c r="A2936" s="71"/>
      <c r="B2936" s="71"/>
      <c r="C2936" s="273"/>
      <c r="D2936" s="322"/>
      <c r="E2936" s="322"/>
      <c r="F2936" s="323"/>
      <c r="G2936" s="323"/>
      <c r="H2936" s="71"/>
    </row>
    <row r="2937" customFormat="false" ht="15" hidden="false" customHeight="true" outlineLevel="0" collapsed="false">
      <c r="A2937" s="71"/>
      <c r="B2937" s="71"/>
      <c r="C2937" s="273"/>
      <c r="D2937" s="322"/>
      <c r="E2937" s="322"/>
      <c r="F2937" s="323"/>
      <c r="G2937" s="323"/>
      <c r="H2937" s="71"/>
    </row>
    <row r="2938" customFormat="false" ht="15" hidden="false" customHeight="true" outlineLevel="0" collapsed="false">
      <c r="A2938" s="71"/>
      <c r="B2938" s="71"/>
      <c r="C2938" s="273"/>
      <c r="D2938" s="322"/>
      <c r="E2938" s="322"/>
      <c r="F2938" s="323"/>
      <c r="G2938" s="323"/>
      <c r="H2938" s="71"/>
    </row>
    <row r="2939" customFormat="false" ht="15" hidden="false" customHeight="true" outlineLevel="0" collapsed="false">
      <c r="A2939" s="71"/>
      <c r="B2939" s="71"/>
      <c r="C2939" s="273"/>
      <c r="D2939" s="322"/>
      <c r="E2939" s="322"/>
      <c r="F2939" s="323"/>
      <c r="G2939" s="323"/>
      <c r="H2939" s="71"/>
    </row>
    <row r="2940" customFormat="false" ht="15" hidden="false" customHeight="true" outlineLevel="0" collapsed="false">
      <c r="A2940" s="71"/>
      <c r="B2940" s="71"/>
      <c r="C2940" s="273"/>
      <c r="D2940" s="322"/>
      <c r="E2940" s="322"/>
      <c r="F2940" s="323"/>
      <c r="G2940" s="323"/>
      <c r="H2940" s="71"/>
    </row>
    <row r="2941" customFormat="false" ht="15" hidden="false" customHeight="true" outlineLevel="0" collapsed="false">
      <c r="A2941" s="71"/>
      <c r="B2941" s="71"/>
      <c r="C2941" s="273"/>
      <c r="D2941" s="322"/>
      <c r="E2941" s="322"/>
      <c r="F2941" s="323"/>
      <c r="G2941" s="323"/>
      <c r="H2941" s="71"/>
    </row>
    <row r="2942" customFormat="false" ht="15" hidden="false" customHeight="true" outlineLevel="0" collapsed="false">
      <c r="A2942" s="71"/>
      <c r="B2942" s="71"/>
      <c r="C2942" s="273"/>
      <c r="D2942" s="322"/>
      <c r="E2942" s="322"/>
      <c r="F2942" s="323"/>
      <c r="G2942" s="323"/>
      <c r="H2942" s="71"/>
    </row>
    <row r="2943" customFormat="false" ht="15" hidden="false" customHeight="true" outlineLevel="0" collapsed="false">
      <c r="A2943" s="71"/>
      <c r="B2943" s="71"/>
      <c r="C2943" s="273"/>
      <c r="D2943" s="322"/>
      <c r="E2943" s="322"/>
      <c r="F2943" s="323"/>
      <c r="G2943" s="323"/>
      <c r="H2943" s="71"/>
    </row>
    <row r="2944" customFormat="false" ht="15" hidden="false" customHeight="true" outlineLevel="0" collapsed="false">
      <c r="A2944" s="71"/>
      <c r="B2944" s="71"/>
      <c r="C2944" s="273"/>
      <c r="D2944" s="322"/>
      <c r="E2944" s="322"/>
      <c r="F2944" s="323"/>
      <c r="G2944" s="323"/>
      <c r="H2944" s="71"/>
    </row>
    <row r="2945" customFormat="false" ht="15" hidden="false" customHeight="true" outlineLevel="0" collapsed="false">
      <c r="A2945" s="71"/>
      <c r="B2945" s="71"/>
      <c r="C2945" s="273"/>
      <c r="D2945" s="322"/>
      <c r="E2945" s="322"/>
      <c r="F2945" s="323"/>
      <c r="G2945" s="323"/>
      <c r="H2945" s="71"/>
    </row>
    <row r="2946" customFormat="false" ht="15" hidden="false" customHeight="true" outlineLevel="0" collapsed="false">
      <c r="A2946" s="71"/>
      <c r="B2946" s="71"/>
      <c r="C2946" s="273"/>
      <c r="D2946" s="322"/>
      <c r="E2946" s="322"/>
      <c r="F2946" s="323"/>
      <c r="G2946" s="323"/>
      <c r="H2946" s="71"/>
    </row>
    <row r="2947" customFormat="false" ht="15" hidden="false" customHeight="true" outlineLevel="0" collapsed="false">
      <c r="A2947" s="71"/>
      <c r="B2947" s="71"/>
      <c r="C2947" s="273"/>
      <c r="D2947" s="322"/>
      <c r="E2947" s="322"/>
      <c r="F2947" s="323"/>
      <c r="G2947" s="323"/>
      <c r="H2947" s="71"/>
    </row>
    <row r="2948" customFormat="false" ht="15" hidden="false" customHeight="true" outlineLevel="0" collapsed="false">
      <c r="A2948" s="71"/>
      <c r="B2948" s="71"/>
      <c r="C2948" s="273"/>
      <c r="D2948" s="322"/>
      <c r="E2948" s="322"/>
      <c r="F2948" s="323"/>
      <c r="G2948" s="323"/>
      <c r="H2948" s="71"/>
    </row>
    <row r="2949" customFormat="false" ht="15" hidden="false" customHeight="true" outlineLevel="0" collapsed="false">
      <c r="A2949" s="71"/>
      <c r="B2949" s="71"/>
      <c r="C2949" s="273"/>
      <c r="D2949" s="322"/>
      <c r="E2949" s="322"/>
      <c r="F2949" s="323"/>
      <c r="G2949" s="323"/>
      <c r="H2949" s="71"/>
    </row>
    <row r="2950" customFormat="false" ht="15" hidden="false" customHeight="true" outlineLevel="0" collapsed="false">
      <c r="A2950" s="71"/>
      <c r="B2950" s="71"/>
      <c r="C2950" s="273"/>
      <c r="D2950" s="322"/>
      <c r="E2950" s="322"/>
      <c r="F2950" s="323"/>
      <c r="G2950" s="323"/>
      <c r="H2950" s="71"/>
    </row>
    <row r="2951" customFormat="false" ht="15" hidden="false" customHeight="true" outlineLevel="0" collapsed="false">
      <c r="A2951" s="71"/>
      <c r="B2951" s="71"/>
      <c r="C2951" s="273"/>
      <c r="D2951" s="322"/>
      <c r="E2951" s="322"/>
      <c r="F2951" s="323"/>
      <c r="G2951" s="323"/>
      <c r="H2951" s="71"/>
    </row>
    <row r="2952" customFormat="false" ht="15" hidden="false" customHeight="true" outlineLevel="0" collapsed="false">
      <c r="A2952" s="71"/>
      <c r="B2952" s="71"/>
      <c r="C2952" s="273"/>
      <c r="D2952" s="322"/>
      <c r="E2952" s="322"/>
      <c r="F2952" s="323"/>
      <c r="G2952" s="323"/>
      <c r="H2952" s="71"/>
    </row>
    <row r="2953" customFormat="false" ht="15" hidden="false" customHeight="true" outlineLevel="0" collapsed="false">
      <c r="A2953" s="71"/>
      <c r="B2953" s="71"/>
      <c r="C2953" s="273"/>
      <c r="D2953" s="322"/>
      <c r="E2953" s="322"/>
      <c r="F2953" s="323"/>
      <c r="G2953" s="323"/>
      <c r="H2953" s="71"/>
    </row>
    <row r="2954" customFormat="false" ht="15" hidden="false" customHeight="true" outlineLevel="0" collapsed="false">
      <c r="A2954" s="71"/>
      <c r="B2954" s="71"/>
      <c r="C2954" s="273"/>
      <c r="D2954" s="322"/>
      <c r="E2954" s="322"/>
      <c r="F2954" s="323"/>
      <c r="G2954" s="323"/>
      <c r="H2954" s="71"/>
    </row>
    <row r="2955" customFormat="false" ht="15" hidden="false" customHeight="true" outlineLevel="0" collapsed="false">
      <c r="A2955" s="71"/>
      <c r="B2955" s="71"/>
      <c r="C2955" s="273"/>
      <c r="D2955" s="322"/>
      <c r="E2955" s="322"/>
      <c r="F2955" s="323"/>
      <c r="G2955" s="323"/>
      <c r="H2955" s="71"/>
    </row>
    <row r="2956" customFormat="false" ht="15" hidden="false" customHeight="true" outlineLevel="0" collapsed="false">
      <c r="A2956" s="71"/>
      <c r="B2956" s="71"/>
      <c r="C2956" s="273"/>
      <c r="D2956" s="322"/>
      <c r="E2956" s="322"/>
      <c r="F2956" s="323"/>
      <c r="G2956" s="323"/>
      <c r="H2956" s="71"/>
    </row>
    <row r="2957" customFormat="false" ht="15" hidden="false" customHeight="true" outlineLevel="0" collapsed="false">
      <c r="A2957" s="71"/>
      <c r="B2957" s="71"/>
      <c r="C2957" s="273"/>
      <c r="D2957" s="322"/>
      <c r="E2957" s="322"/>
      <c r="F2957" s="323"/>
      <c r="G2957" s="323"/>
      <c r="H2957" s="71"/>
    </row>
    <row r="2958" customFormat="false" ht="15" hidden="false" customHeight="true" outlineLevel="0" collapsed="false">
      <c r="A2958" s="71"/>
      <c r="B2958" s="71"/>
      <c r="C2958" s="273"/>
      <c r="D2958" s="322"/>
      <c r="E2958" s="322"/>
      <c r="F2958" s="323"/>
      <c r="G2958" s="323"/>
      <c r="H2958" s="71"/>
    </row>
    <row r="2959" customFormat="false" ht="15" hidden="false" customHeight="true" outlineLevel="0" collapsed="false">
      <c r="A2959" s="71"/>
      <c r="B2959" s="71"/>
      <c r="C2959" s="273"/>
      <c r="D2959" s="322"/>
      <c r="E2959" s="322"/>
      <c r="F2959" s="323"/>
      <c r="G2959" s="323"/>
      <c r="H2959" s="71"/>
    </row>
    <row r="2960" customFormat="false" ht="15" hidden="false" customHeight="true" outlineLevel="0" collapsed="false">
      <c r="A2960" s="71"/>
      <c r="B2960" s="71"/>
      <c r="C2960" s="273"/>
      <c r="D2960" s="322"/>
      <c r="E2960" s="322"/>
      <c r="F2960" s="323"/>
      <c r="G2960" s="323"/>
      <c r="H2960" s="71"/>
    </row>
    <row r="2961" customFormat="false" ht="15" hidden="false" customHeight="true" outlineLevel="0" collapsed="false">
      <c r="A2961" s="71"/>
      <c r="B2961" s="71"/>
      <c r="C2961" s="273"/>
      <c r="D2961" s="322"/>
      <c r="E2961" s="322"/>
      <c r="F2961" s="323"/>
      <c r="G2961" s="323"/>
      <c r="H2961" s="71"/>
    </row>
    <row r="2962" customFormat="false" ht="15" hidden="false" customHeight="true" outlineLevel="0" collapsed="false">
      <c r="A2962" s="71"/>
      <c r="B2962" s="71"/>
      <c r="C2962" s="273"/>
      <c r="D2962" s="322"/>
      <c r="E2962" s="322"/>
      <c r="F2962" s="323"/>
      <c r="G2962" s="323"/>
      <c r="H2962" s="71"/>
    </row>
    <row r="2963" customFormat="false" ht="15" hidden="false" customHeight="true" outlineLevel="0" collapsed="false">
      <c r="A2963" s="71"/>
      <c r="B2963" s="71"/>
      <c r="C2963" s="273"/>
      <c r="D2963" s="322"/>
      <c r="E2963" s="322"/>
      <c r="F2963" s="323"/>
      <c r="G2963" s="323"/>
      <c r="H2963" s="71"/>
    </row>
    <row r="2964" customFormat="false" ht="15" hidden="false" customHeight="true" outlineLevel="0" collapsed="false">
      <c r="A2964" s="71"/>
      <c r="B2964" s="71"/>
      <c r="C2964" s="273"/>
      <c r="D2964" s="322"/>
      <c r="E2964" s="322"/>
      <c r="F2964" s="323"/>
      <c r="G2964" s="323"/>
      <c r="H2964" s="71"/>
    </row>
    <row r="2965" customFormat="false" ht="15" hidden="false" customHeight="true" outlineLevel="0" collapsed="false">
      <c r="A2965" s="71"/>
      <c r="B2965" s="71"/>
      <c r="C2965" s="273"/>
      <c r="D2965" s="322"/>
      <c r="E2965" s="322"/>
      <c r="F2965" s="323"/>
      <c r="G2965" s="323"/>
      <c r="H2965" s="71"/>
    </row>
    <row r="2966" customFormat="false" ht="15" hidden="false" customHeight="true" outlineLevel="0" collapsed="false">
      <c r="A2966" s="71"/>
      <c r="B2966" s="71"/>
      <c r="C2966" s="273"/>
      <c r="D2966" s="322"/>
      <c r="E2966" s="322"/>
      <c r="F2966" s="323"/>
      <c r="G2966" s="323"/>
      <c r="H2966" s="71"/>
    </row>
    <row r="2967" customFormat="false" ht="15" hidden="false" customHeight="true" outlineLevel="0" collapsed="false">
      <c r="A2967" s="71"/>
      <c r="B2967" s="71"/>
      <c r="C2967" s="273"/>
      <c r="D2967" s="322"/>
      <c r="E2967" s="322"/>
      <c r="F2967" s="323"/>
      <c r="G2967" s="323"/>
      <c r="H2967" s="71"/>
    </row>
    <row r="2968" customFormat="false" ht="15" hidden="false" customHeight="true" outlineLevel="0" collapsed="false">
      <c r="A2968" s="71"/>
      <c r="B2968" s="71"/>
      <c r="C2968" s="273"/>
      <c r="D2968" s="322"/>
      <c r="E2968" s="322"/>
      <c r="F2968" s="323"/>
      <c r="G2968" s="323"/>
      <c r="H2968" s="71"/>
    </row>
    <row r="2969" customFormat="false" ht="15" hidden="false" customHeight="true" outlineLevel="0" collapsed="false">
      <c r="A2969" s="71"/>
      <c r="B2969" s="71"/>
      <c r="C2969" s="273"/>
      <c r="D2969" s="322"/>
      <c r="E2969" s="322"/>
      <c r="F2969" s="323"/>
      <c r="G2969" s="323"/>
      <c r="H2969" s="71"/>
    </row>
    <row r="2970" customFormat="false" ht="15" hidden="false" customHeight="true" outlineLevel="0" collapsed="false">
      <c r="A2970" s="71"/>
      <c r="B2970" s="71"/>
      <c r="C2970" s="273"/>
      <c r="D2970" s="322"/>
      <c r="E2970" s="322"/>
      <c r="F2970" s="323"/>
      <c r="G2970" s="323"/>
      <c r="H2970" s="71"/>
    </row>
    <row r="2971" customFormat="false" ht="15" hidden="false" customHeight="true" outlineLevel="0" collapsed="false">
      <c r="A2971" s="71"/>
      <c r="B2971" s="71"/>
      <c r="C2971" s="273"/>
      <c r="D2971" s="322"/>
      <c r="E2971" s="322"/>
      <c r="F2971" s="323"/>
      <c r="G2971" s="323"/>
      <c r="H2971" s="71"/>
    </row>
    <row r="2972" customFormat="false" ht="15" hidden="false" customHeight="true" outlineLevel="0" collapsed="false">
      <c r="A2972" s="71"/>
      <c r="B2972" s="71"/>
      <c r="C2972" s="273"/>
      <c r="D2972" s="322"/>
      <c r="E2972" s="322"/>
      <c r="F2972" s="323"/>
      <c r="G2972" s="323"/>
      <c r="H2972" s="71"/>
    </row>
    <row r="2973" customFormat="false" ht="15" hidden="false" customHeight="true" outlineLevel="0" collapsed="false">
      <c r="A2973" s="71"/>
      <c r="B2973" s="71"/>
      <c r="C2973" s="273"/>
      <c r="D2973" s="322"/>
      <c r="E2973" s="322"/>
      <c r="F2973" s="323"/>
      <c r="G2973" s="323"/>
      <c r="H2973" s="71"/>
    </row>
    <row r="2974" customFormat="false" ht="15" hidden="false" customHeight="true" outlineLevel="0" collapsed="false">
      <c r="A2974" s="71"/>
      <c r="B2974" s="71"/>
      <c r="C2974" s="273"/>
      <c r="D2974" s="322"/>
      <c r="E2974" s="322"/>
      <c r="F2974" s="323"/>
      <c r="G2974" s="323"/>
      <c r="H2974" s="71"/>
    </row>
    <row r="2975" customFormat="false" ht="15" hidden="false" customHeight="true" outlineLevel="0" collapsed="false">
      <c r="A2975" s="71"/>
      <c r="B2975" s="71"/>
      <c r="C2975" s="273"/>
      <c r="D2975" s="322"/>
      <c r="E2975" s="322"/>
      <c r="F2975" s="323"/>
      <c r="G2975" s="323"/>
      <c r="H2975" s="71"/>
    </row>
    <row r="2976" customFormat="false" ht="15" hidden="false" customHeight="true" outlineLevel="0" collapsed="false">
      <c r="A2976" s="71"/>
      <c r="B2976" s="71"/>
      <c r="C2976" s="273"/>
      <c r="D2976" s="322"/>
      <c r="E2976" s="322"/>
      <c r="F2976" s="323"/>
      <c r="G2976" s="323"/>
      <c r="H2976" s="71"/>
    </row>
    <row r="2977" customFormat="false" ht="15" hidden="false" customHeight="true" outlineLevel="0" collapsed="false">
      <c r="A2977" s="71"/>
      <c r="B2977" s="71"/>
      <c r="C2977" s="273"/>
      <c r="D2977" s="322"/>
      <c r="E2977" s="322"/>
      <c r="F2977" s="323"/>
      <c r="G2977" s="323"/>
      <c r="H2977" s="71"/>
    </row>
    <row r="2978" customFormat="false" ht="15" hidden="false" customHeight="true" outlineLevel="0" collapsed="false">
      <c r="A2978" s="71"/>
      <c r="B2978" s="71"/>
      <c r="C2978" s="273"/>
      <c r="D2978" s="322"/>
      <c r="E2978" s="322"/>
      <c r="F2978" s="323"/>
      <c r="G2978" s="323"/>
      <c r="H2978" s="71"/>
    </row>
    <row r="2979" customFormat="false" ht="15" hidden="false" customHeight="true" outlineLevel="0" collapsed="false">
      <c r="A2979" s="71"/>
      <c r="B2979" s="71"/>
      <c r="C2979" s="273"/>
      <c r="D2979" s="322"/>
      <c r="E2979" s="322"/>
      <c r="F2979" s="323"/>
      <c r="G2979" s="323"/>
      <c r="H2979" s="71"/>
    </row>
    <row r="2980" customFormat="false" ht="15" hidden="false" customHeight="true" outlineLevel="0" collapsed="false">
      <c r="A2980" s="71"/>
      <c r="B2980" s="71"/>
      <c r="C2980" s="273"/>
      <c r="D2980" s="322"/>
      <c r="E2980" s="322"/>
      <c r="F2980" s="323"/>
      <c r="G2980" s="323"/>
      <c r="H2980" s="71"/>
    </row>
    <row r="2981" customFormat="false" ht="15" hidden="false" customHeight="true" outlineLevel="0" collapsed="false">
      <c r="A2981" s="71"/>
      <c r="B2981" s="71"/>
      <c r="C2981" s="273"/>
      <c r="D2981" s="322"/>
      <c r="E2981" s="322"/>
      <c r="F2981" s="323"/>
      <c r="G2981" s="323"/>
      <c r="H2981" s="71"/>
    </row>
    <row r="2982" customFormat="false" ht="15" hidden="false" customHeight="true" outlineLevel="0" collapsed="false">
      <c r="A2982" s="71"/>
      <c r="B2982" s="71"/>
      <c r="C2982" s="273"/>
      <c r="D2982" s="322"/>
      <c r="E2982" s="322"/>
      <c r="F2982" s="323"/>
      <c r="G2982" s="323"/>
      <c r="H2982" s="71"/>
    </row>
    <row r="2983" customFormat="false" ht="15" hidden="false" customHeight="true" outlineLevel="0" collapsed="false">
      <c r="A2983" s="71"/>
      <c r="B2983" s="71"/>
      <c r="C2983" s="273"/>
      <c r="D2983" s="322"/>
      <c r="E2983" s="322"/>
      <c r="F2983" s="323"/>
      <c r="G2983" s="323"/>
      <c r="H2983" s="71"/>
    </row>
    <row r="2984" customFormat="false" ht="15" hidden="false" customHeight="true" outlineLevel="0" collapsed="false">
      <c r="A2984" s="71"/>
      <c r="B2984" s="71"/>
      <c r="C2984" s="273"/>
      <c r="D2984" s="322"/>
      <c r="E2984" s="322"/>
      <c r="F2984" s="323"/>
      <c r="G2984" s="323"/>
      <c r="H2984" s="71"/>
    </row>
    <row r="2985" customFormat="false" ht="15" hidden="false" customHeight="true" outlineLevel="0" collapsed="false">
      <c r="A2985" s="71"/>
      <c r="B2985" s="71"/>
      <c r="C2985" s="273"/>
      <c r="D2985" s="322"/>
      <c r="E2985" s="322"/>
      <c r="F2985" s="323"/>
      <c r="G2985" s="323"/>
      <c r="H2985" s="71"/>
    </row>
    <row r="2986" customFormat="false" ht="15" hidden="false" customHeight="true" outlineLevel="0" collapsed="false">
      <c r="A2986" s="71"/>
      <c r="B2986" s="71"/>
      <c r="C2986" s="273"/>
      <c r="D2986" s="322"/>
      <c r="E2986" s="322"/>
      <c r="F2986" s="323"/>
      <c r="G2986" s="323"/>
      <c r="H2986" s="71"/>
    </row>
    <row r="2987" customFormat="false" ht="15" hidden="false" customHeight="true" outlineLevel="0" collapsed="false">
      <c r="A2987" s="71"/>
      <c r="B2987" s="71"/>
      <c r="C2987" s="273"/>
      <c r="D2987" s="322"/>
      <c r="E2987" s="322"/>
      <c r="F2987" s="323"/>
      <c r="G2987" s="323"/>
      <c r="H2987" s="71"/>
    </row>
    <row r="2988" customFormat="false" ht="15" hidden="false" customHeight="true" outlineLevel="0" collapsed="false">
      <c r="A2988" s="71"/>
      <c r="B2988" s="71"/>
      <c r="C2988" s="273"/>
      <c r="D2988" s="322"/>
      <c r="E2988" s="322"/>
      <c r="F2988" s="323"/>
      <c r="G2988" s="323"/>
      <c r="H2988" s="71"/>
    </row>
    <row r="2989" customFormat="false" ht="15" hidden="false" customHeight="true" outlineLevel="0" collapsed="false">
      <c r="A2989" s="71"/>
      <c r="B2989" s="71"/>
      <c r="C2989" s="273"/>
      <c r="D2989" s="322"/>
      <c r="E2989" s="322"/>
      <c r="F2989" s="323"/>
      <c r="G2989" s="323"/>
      <c r="H2989" s="71"/>
    </row>
    <row r="2990" customFormat="false" ht="15" hidden="false" customHeight="true" outlineLevel="0" collapsed="false">
      <c r="A2990" s="71"/>
      <c r="B2990" s="71"/>
      <c r="C2990" s="273"/>
      <c r="D2990" s="322"/>
      <c r="E2990" s="322"/>
      <c r="F2990" s="323"/>
      <c r="G2990" s="323"/>
      <c r="H2990" s="71"/>
    </row>
    <row r="2991" customFormat="false" ht="15" hidden="false" customHeight="true" outlineLevel="0" collapsed="false">
      <c r="A2991" s="71"/>
      <c r="B2991" s="71"/>
      <c r="C2991" s="273"/>
      <c r="D2991" s="322"/>
      <c r="E2991" s="322"/>
      <c r="F2991" s="323"/>
      <c r="G2991" s="323"/>
      <c r="H2991" s="71"/>
    </row>
    <row r="2992" customFormat="false" ht="15" hidden="false" customHeight="true" outlineLevel="0" collapsed="false">
      <c r="A2992" s="71"/>
      <c r="B2992" s="71"/>
      <c r="C2992" s="273"/>
      <c r="D2992" s="322"/>
      <c r="E2992" s="322"/>
      <c r="F2992" s="323"/>
      <c r="G2992" s="323"/>
      <c r="H2992" s="71"/>
    </row>
    <row r="2993" customFormat="false" ht="15" hidden="false" customHeight="true" outlineLevel="0" collapsed="false">
      <c r="A2993" s="71"/>
      <c r="B2993" s="71"/>
      <c r="C2993" s="273"/>
      <c r="D2993" s="322"/>
      <c r="E2993" s="322"/>
      <c r="F2993" s="323"/>
      <c r="G2993" s="323"/>
      <c r="H2993" s="71"/>
    </row>
    <row r="2994" customFormat="false" ht="15" hidden="false" customHeight="true" outlineLevel="0" collapsed="false">
      <c r="A2994" s="71"/>
      <c r="B2994" s="71"/>
      <c r="C2994" s="273"/>
      <c r="D2994" s="322"/>
      <c r="E2994" s="322"/>
      <c r="F2994" s="323"/>
      <c r="G2994" s="323"/>
      <c r="H2994" s="71"/>
    </row>
    <row r="2995" customFormat="false" ht="15" hidden="false" customHeight="true" outlineLevel="0" collapsed="false">
      <c r="A2995" s="71"/>
      <c r="B2995" s="71"/>
      <c r="C2995" s="273"/>
      <c r="D2995" s="322"/>
      <c r="E2995" s="322"/>
      <c r="F2995" s="323"/>
      <c r="G2995" s="323"/>
      <c r="H2995" s="71"/>
    </row>
    <row r="2996" customFormat="false" ht="15" hidden="false" customHeight="true" outlineLevel="0" collapsed="false">
      <c r="A2996" s="71"/>
      <c r="B2996" s="71"/>
      <c r="C2996" s="273"/>
      <c r="D2996" s="322"/>
      <c r="E2996" s="322"/>
      <c r="F2996" s="323"/>
      <c r="G2996" s="323"/>
      <c r="H2996" s="71"/>
    </row>
    <row r="2997" customFormat="false" ht="15" hidden="false" customHeight="true" outlineLevel="0" collapsed="false">
      <c r="A2997" s="71"/>
      <c r="B2997" s="71"/>
      <c r="C2997" s="273"/>
      <c r="D2997" s="322"/>
      <c r="E2997" s="322"/>
      <c r="F2997" s="323"/>
      <c r="G2997" s="323"/>
      <c r="H2997" s="71"/>
    </row>
    <row r="2998" customFormat="false" ht="15" hidden="false" customHeight="true" outlineLevel="0" collapsed="false">
      <c r="A2998" s="71"/>
      <c r="B2998" s="71"/>
      <c r="C2998" s="273"/>
      <c r="D2998" s="322"/>
      <c r="E2998" s="322"/>
      <c r="F2998" s="323"/>
      <c r="G2998" s="323"/>
      <c r="H2998" s="71"/>
    </row>
    <row r="2999" customFormat="false" ht="15" hidden="false" customHeight="true" outlineLevel="0" collapsed="false">
      <c r="A2999" s="71"/>
      <c r="B2999" s="71"/>
      <c r="C2999" s="273"/>
      <c r="D2999" s="322"/>
      <c r="E2999" s="322"/>
      <c r="F2999" s="323"/>
      <c r="G2999" s="323"/>
      <c r="H2999" s="71"/>
    </row>
    <row r="3000" customFormat="false" ht="15" hidden="false" customHeight="true" outlineLevel="0" collapsed="false">
      <c r="A3000" s="71"/>
      <c r="B3000" s="71"/>
      <c r="C3000" s="273"/>
      <c r="D3000" s="322"/>
      <c r="E3000" s="322"/>
      <c r="F3000" s="323"/>
      <c r="G3000" s="323"/>
      <c r="H3000" s="71"/>
    </row>
    <row r="3001" customFormat="false" ht="15" hidden="false" customHeight="true" outlineLevel="0" collapsed="false">
      <c r="A3001" s="71"/>
      <c r="B3001" s="71"/>
      <c r="C3001" s="273"/>
      <c r="D3001" s="322"/>
      <c r="E3001" s="322"/>
      <c r="F3001" s="323"/>
      <c r="G3001" s="323"/>
      <c r="H3001" s="71"/>
    </row>
    <row r="3002" customFormat="false" ht="15" hidden="false" customHeight="true" outlineLevel="0" collapsed="false">
      <c r="A3002" s="71"/>
      <c r="B3002" s="71"/>
      <c r="C3002" s="273"/>
      <c r="D3002" s="322"/>
      <c r="E3002" s="322"/>
      <c r="F3002" s="323"/>
      <c r="G3002" s="323"/>
      <c r="H3002" s="71"/>
    </row>
    <row r="3003" customFormat="false" ht="15" hidden="false" customHeight="true" outlineLevel="0" collapsed="false">
      <c r="A3003" s="71"/>
      <c r="B3003" s="71"/>
      <c r="C3003" s="273"/>
      <c r="D3003" s="322"/>
      <c r="E3003" s="322"/>
      <c r="F3003" s="323"/>
      <c r="G3003" s="323"/>
      <c r="H3003" s="71"/>
    </row>
    <row r="3004" customFormat="false" ht="15" hidden="false" customHeight="true" outlineLevel="0" collapsed="false">
      <c r="A3004" s="71"/>
      <c r="B3004" s="71"/>
      <c r="C3004" s="273"/>
      <c r="D3004" s="322"/>
      <c r="E3004" s="322"/>
      <c r="F3004" s="323"/>
      <c r="G3004" s="323"/>
      <c r="H3004" s="71"/>
    </row>
    <row r="3005" customFormat="false" ht="15" hidden="false" customHeight="true" outlineLevel="0" collapsed="false">
      <c r="A3005" s="71"/>
      <c r="B3005" s="71"/>
      <c r="C3005" s="273"/>
      <c r="D3005" s="322"/>
      <c r="E3005" s="322"/>
      <c r="F3005" s="323"/>
      <c r="G3005" s="323"/>
      <c r="H3005" s="71"/>
    </row>
    <row r="3006" customFormat="false" ht="15" hidden="false" customHeight="true" outlineLevel="0" collapsed="false">
      <c r="A3006" s="71"/>
      <c r="B3006" s="71"/>
      <c r="C3006" s="273"/>
      <c r="D3006" s="322"/>
      <c r="E3006" s="322"/>
      <c r="F3006" s="323"/>
      <c r="G3006" s="323"/>
      <c r="H3006" s="71"/>
    </row>
    <row r="3007" customFormat="false" ht="15" hidden="false" customHeight="true" outlineLevel="0" collapsed="false">
      <c r="A3007" s="71"/>
      <c r="B3007" s="71"/>
      <c r="C3007" s="273"/>
      <c r="D3007" s="322"/>
      <c r="E3007" s="322"/>
      <c r="F3007" s="323"/>
      <c r="G3007" s="323"/>
      <c r="H3007" s="71"/>
    </row>
    <row r="3008" customFormat="false" ht="15" hidden="false" customHeight="true" outlineLevel="0" collapsed="false">
      <c r="A3008" s="71"/>
      <c r="B3008" s="71"/>
      <c r="C3008" s="273"/>
      <c r="D3008" s="322"/>
      <c r="E3008" s="322"/>
      <c r="F3008" s="323"/>
      <c r="G3008" s="323"/>
      <c r="H3008" s="71"/>
    </row>
    <row r="3009" customFormat="false" ht="15" hidden="false" customHeight="true" outlineLevel="0" collapsed="false">
      <c r="A3009" s="71"/>
      <c r="B3009" s="71"/>
      <c r="C3009" s="273"/>
      <c r="D3009" s="322"/>
      <c r="E3009" s="322"/>
      <c r="F3009" s="323"/>
      <c r="G3009" s="323"/>
      <c r="H3009" s="71"/>
    </row>
    <row r="3010" customFormat="false" ht="15" hidden="false" customHeight="true" outlineLevel="0" collapsed="false">
      <c r="A3010" s="71"/>
      <c r="B3010" s="71"/>
      <c r="C3010" s="273"/>
      <c r="D3010" s="322"/>
      <c r="E3010" s="322"/>
      <c r="F3010" s="323"/>
      <c r="G3010" s="323"/>
      <c r="H3010" s="71"/>
    </row>
    <row r="3011" customFormat="false" ht="15" hidden="false" customHeight="true" outlineLevel="0" collapsed="false">
      <c r="A3011" s="71"/>
      <c r="B3011" s="71"/>
      <c r="C3011" s="273"/>
      <c r="D3011" s="322"/>
      <c r="E3011" s="322"/>
      <c r="F3011" s="323"/>
      <c r="G3011" s="323"/>
      <c r="H3011" s="71"/>
    </row>
    <row r="3012" customFormat="false" ht="15" hidden="false" customHeight="true" outlineLevel="0" collapsed="false">
      <c r="A3012" s="71"/>
      <c r="B3012" s="71"/>
      <c r="C3012" s="273"/>
      <c r="D3012" s="322"/>
      <c r="E3012" s="322"/>
      <c r="F3012" s="323"/>
      <c r="G3012" s="323"/>
      <c r="H3012" s="71"/>
    </row>
    <row r="3013" customFormat="false" ht="15" hidden="false" customHeight="true" outlineLevel="0" collapsed="false">
      <c r="A3013" s="71"/>
      <c r="B3013" s="71"/>
      <c r="C3013" s="273"/>
      <c r="D3013" s="322"/>
      <c r="E3013" s="322"/>
      <c r="F3013" s="323"/>
      <c r="G3013" s="323"/>
      <c r="H3013" s="71"/>
    </row>
    <row r="3014" customFormat="false" ht="15" hidden="false" customHeight="true" outlineLevel="0" collapsed="false">
      <c r="A3014" s="71"/>
      <c r="B3014" s="71"/>
      <c r="C3014" s="273"/>
      <c r="D3014" s="322"/>
      <c r="E3014" s="322"/>
      <c r="F3014" s="323"/>
      <c r="G3014" s="323"/>
      <c r="H3014" s="71"/>
    </row>
    <row r="3015" customFormat="false" ht="15" hidden="false" customHeight="true" outlineLevel="0" collapsed="false">
      <c r="A3015" s="71"/>
      <c r="B3015" s="71"/>
      <c r="C3015" s="273"/>
      <c r="D3015" s="322"/>
      <c r="E3015" s="322"/>
      <c r="F3015" s="323"/>
      <c r="G3015" s="323"/>
      <c r="H3015" s="71"/>
    </row>
    <row r="3016" customFormat="false" ht="15" hidden="false" customHeight="true" outlineLevel="0" collapsed="false">
      <c r="A3016" s="71"/>
      <c r="B3016" s="71"/>
      <c r="C3016" s="273"/>
      <c r="D3016" s="322"/>
      <c r="E3016" s="322"/>
      <c r="F3016" s="323"/>
      <c r="G3016" s="323"/>
      <c r="H3016" s="71"/>
    </row>
    <row r="3017" customFormat="false" ht="15" hidden="false" customHeight="true" outlineLevel="0" collapsed="false">
      <c r="A3017" s="71"/>
      <c r="B3017" s="71"/>
      <c r="C3017" s="273"/>
      <c r="D3017" s="322"/>
      <c r="E3017" s="322"/>
      <c r="F3017" s="323"/>
      <c r="G3017" s="323"/>
      <c r="H3017" s="71"/>
    </row>
    <row r="3018" customFormat="false" ht="15" hidden="false" customHeight="true" outlineLevel="0" collapsed="false">
      <c r="A3018" s="71"/>
      <c r="B3018" s="71"/>
      <c r="C3018" s="273"/>
      <c r="D3018" s="322"/>
      <c r="E3018" s="322"/>
      <c r="F3018" s="323"/>
      <c r="G3018" s="323"/>
      <c r="H3018" s="71"/>
    </row>
    <row r="3019" customFormat="false" ht="15" hidden="false" customHeight="true" outlineLevel="0" collapsed="false">
      <c r="A3019" s="71"/>
      <c r="B3019" s="71"/>
      <c r="C3019" s="273"/>
      <c r="D3019" s="322"/>
      <c r="E3019" s="322"/>
      <c r="F3019" s="323"/>
      <c r="G3019" s="323"/>
      <c r="H3019" s="71"/>
    </row>
    <row r="3020" customFormat="false" ht="15" hidden="false" customHeight="true" outlineLevel="0" collapsed="false">
      <c r="A3020" s="71"/>
      <c r="B3020" s="71"/>
      <c r="C3020" s="273"/>
      <c r="D3020" s="322"/>
      <c r="E3020" s="322"/>
      <c r="F3020" s="323"/>
      <c r="G3020" s="323"/>
      <c r="H3020" s="71"/>
    </row>
    <row r="3021" customFormat="false" ht="15" hidden="false" customHeight="true" outlineLevel="0" collapsed="false">
      <c r="A3021" s="71"/>
      <c r="B3021" s="71"/>
      <c r="C3021" s="273"/>
      <c r="D3021" s="322"/>
      <c r="E3021" s="322"/>
      <c r="F3021" s="323"/>
      <c r="G3021" s="323"/>
      <c r="H3021" s="71"/>
    </row>
    <row r="3022" customFormat="false" ht="15" hidden="false" customHeight="true" outlineLevel="0" collapsed="false">
      <c r="A3022" s="71"/>
      <c r="B3022" s="71"/>
      <c r="C3022" s="273"/>
      <c r="D3022" s="322"/>
      <c r="E3022" s="322"/>
      <c r="F3022" s="323"/>
      <c r="G3022" s="323"/>
      <c r="H3022" s="71"/>
    </row>
    <row r="3023" customFormat="false" ht="15" hidden="false" customHeight="true" outlineLevel="0" collapsed="false">
      <c r="A3023" s="71"/>
      <c r="B3023" s="71"/>
      <c r="C3023" s="273"/>
      <c r="D3023" s="322"/>
      <c r="E3023" s="322"/>
      <c r="F3023" s="323"/>
      <c r="G3023" s="323"/>
      <c r="H3023" s="71"/>
    </row>
    <row r="3024" customFormat="false" ht="15" hidden="false" customHeight="true" outlineLevel="0" collapsed="false">
      <c r="A3024" s="71"/>
      <c r="B3024" s="71"/>
      <c r="C3024" s="273"/>
      <c r="D3024" s="322"/>
      <c r="E3024" s="322"/>
      <c r="F3024" s="323"/>
      <c r="G3024" s="323"/>
      <c r="H3024" s="71"/>
    </row>
    <row r="3025" customFormat="false" ht="15" hidden="false" customHeight="true" outlineLevel="0" collapsed="false">
      <c r="A3025" s="71"/>
      <c r="B3025" s="71"/>
      <c r="C3025" s="273"/>
      <c r="D3025" s="322"/>
      <c r="E3025" s="322"/>
      <c r="F3025" s="323"/>
      <c r="G3025" s="323"/>
      <c r="H3025" s="71"/>
    </row>
    <row r="3026" customFormat="false" ht="15" hidden="false" customHeight="true" outlineLevel="0" collapsed="false">
      <c r="A3026" s="71"/>
      <c r="B3026" s="71"/>
      <c r="C3026" s="273"/>
      <c r="D3026" s="322"/>
      <c r="E3026" s="322"/>
      <c r="F3026" s="323"/>
      <c r="G3026" s="323"/>
      <c r="H3026" s="71"/>
    </row>
    <row r="3027" customFormat="false" ht="15" hidden="false" customHeight="true" outlineLevel="0" collapsed="false">
      <c r="A3027" s="71"/>
      <c r="B3027" s="71"/>
      <c r="C3027" s="273"/>
      <c r="D3027" s="322"/>
      <c r="E3027" s="322"/>
      <c r="F3027" s="323"/>
      <c r="G3027" s="323"/>
      <c r="H3027" s="71"/>
    </row>
    <row r="3028" customFormat="false" ht="15" hidden="false" customHeight="true" outlineLevel="0" collapsed="false">
      <c r="A3028" s="71"/>
      <c r="B3028" s="71"/>
      <c r="C3028" s="273"/>
      <c r="D3028" s="322"/>
      <c r="E3028" s="322"/>
      <c r="F3028" s="323"/>
      <c r="G3028" s="323"/>
      <c r="H3028" s="71"/>
    </row>
    <row r="3029" customFormat="false" ht="15" hidden="false" customHeight="true" outlineLevel="0" collapsed="false">
      <c r="A3029" s="71"/>
      <c r="B3029" s="71"/>
      <c r="C3029" s="273"/>
      <c r="D3029" s="322"/>
      <c r="E3029" s="322"/>
      <c r="F3029" s="323"/>
      <c r="G3029" s="323"/>
      <c r="H3029" s="71"/>
    </row>
    <row r="3030" customFormat="false" ht="15" hidden="false" customHeight="true" outlineLevel="0" collapsed="false">
      <c r="A3030" s="71"/>
      <c r="B3030" s="71"/>
      <c r="C3030" s="273"/>
      <c r="D3030" s="322"/>
      <c r="E3030" s="322"/>
      <c r="F3030" s="323"/>
      <c r="G3030" s="323"/>
      <c r="H3030" s="71"/>
    </row>
    <row r="3031" customFormat="false" ht="15" hidden="false" customHeight="true" outlineLevel="0" collapsed="false">
      <c r="A3031" s="71"/>
      <c r="B3031" s="71"/>
      <c r="C3031" s="273"/>
      <c r="D3031" s="322"/>
      <c r="E3031" s="322"/>
      <c r="F3031" s="323"/>
      <c r="G3031" s="323"/>
      <c r="H3031" s="71"/>
    </row>
    <row r="3032" customFormat="false" ht="15" hidden="false" customHeight="true" outlineLevel="0" collapsed="false">
      <c r="A3032" s="71"/>
      <c r="B3032" s="71"/>
      <c r="C3032" s="273"/>
      <c r="D3032" s="322"/>
      <c r="E3032" s="322"/>
      <c r="F3032" s="323"/>
      <c r="G3032" s="323"/>
      <c r="H3032" s="71"/>
    </row>
    <row r="3033" customFormat="false" ht="15" hidden="false" customHeight="true" outlineLevel="0" collapsed="false">
      <c r="A3033" s="71"/>
      <c r="B3033" s="71"/>
      <c r="C3033" s="273"/>
      <c r="D3033" s="322"/>
      <c r="E3033" s="322"/>
      <c r="F3033" s="323"/>
      <c r="G3033" s="323"/>
      <c r="H3033" s="71"/>
    </row>
    <row r="3034" customFormat="false" ht="15" hidden="false" customHeight="true" outlineLevel="0" collapsed="false">
      <c r="A3034" s="71"/>
      <c r="B3034" s="71"/>
      <c r="C3034" s="273"/>
      <c r="D3034" s="322"/>
      <c r="E3034" s="322"/>
      <c r="F3034" s="323"/>
      <c r="G3034" s="323"/>
      <c r="H3034" s="71"/>
    </row>
    <row r="3035" customFormat="false" ht="15" hidden="false" customHeight="true" outlineLevel="0" collapsed="false">
      <c r="A3035" s="71"/>
      <c r="B3035" s="71"/>
      <c r="C3035" s="273"/>
      <c r="D3035" s="322"/>
      <c r="E3035" s="322"/>
      <c r="F3035" s="323"/>
      <c r="G3035" s="323"/>
      <c r="H3035" s="71"/>
    </row>
    <row r="3036" customFormat="false" ht="15" hidden="false" customHeight="true" outlineLevel="0" collapsed="false">
      <c r="A3036" s="71"/>
      <c r="B3036" s="71"/>
      <c r="C3036" s="273"/>
      <c r="D3036" s="322"/>
      <c r="E3036" s="322"/>
      <c r="F3036" s="323"/>
      <c r="G3036" s="323"/>
      <c r="H3036" s="71"/>
    </row>
    <row r="3037" customFormat="false" ht="15" hidden="false" customHeight="true" outlineLevel="0" collapsed="false">
      <c r="A3037" s="71"/>
      <c r="B3037" s="71"/>
      <c r="C3037" s="273"/>
      <c r="D3037" s="322"/>
      <c r="E3037" s="322"/>
      <c r="F3037" s="323"/>
      <c r="G3037" s="323"/>
      <c r="H3037" s="71"/>
    </row>
    <row r="3038" customFormat="false" ht="15" hidden="false" customHeight="true" outlineLevel="0" collapsed="false">
      <c r="A3038" s="71"/>
      <c r="B3038" s="71"/>
      <c r="C3038" s="273"/>
      <c r="D3038" s="322"/>
      <c r="E3038" s="322"/>
      <c r="F3038" s="323"/>
      <c r="G3038" s="323"/>
      <c r="H3038" s="71"/>
    </row>
    <row r="3039" customFormat="false" ht="15" hidden="false" customHeight="true" outlineLevel="0" collapsed="false">
      <c r="A3039" s="71"/>
      <c r="B3039" s="71"/>
      <c r="C3039" s="273"/>
      <c r="D3039" s="322"/>
      <c r="E3039" s="322"/>
      <c r="F3039" s="323"/>
      <c r="G3039" s="323"/>
      <c r="H3039" s="71"/>
    </row>
    <row r="3040" customFormat="false" ht="15" hidden="false" customHeight="true" outlineLevel="0" collapsed="false">
      <c r="A3040" s="71"/>
      <c r="B3040" s="71"/>
      <c r="C3040" s="273"/>
      <c r="D3040" s="322"/>
      <c r="E3040" s="322"/>
      <c r="F3040" s="323"/>
      <c r="G3040" s="323"/>
      <c r="H3040" s="71"/>
    </row>
    <row r="3041" customFormat="false" ht="15" hidden="false" customHeight="true" outlineLevel="0" collapsed="false">
      <c r="A3041" s="71"/>
      <c r="B3041" s="71"/>
      <c r="C3041" s="273"/>
      <c r="D3041" s="322"/>
      <c r="E3041" s="322"/>
      <c r="F3041" s="323"/>
      <c r="G3041" s="323"/>
      <c r="H3041" s="71"/>
    </row>
    <row r="3042" customFormat="false" ht="15" hidden="false" customHeight="true" outlineLevel="0" collapsed="false">
      <c r="A3042" s="71"/>
      <c r="B3042" s="71"/>
      <c r="C3042" s="273"/>
      <c r="D3042" s="322"/>
      <c r="E3042" s="322"/>
      <c r="F3042" s="323"/>
      <c r="G3042" s="323"/>
      <c r="H3042" s="71"/>
    </row>
    <row r="3043" customFormat="false" ht="15" hidden="false" customHeight="true" outlineLevel="0" collapsed="false">
      <c r="A3043" s="71"/>
      <c r="B3043" s="71"/>
      <c r="C3043" s="273"/>
      <c r="D3043" s="322"/>
      <c r="E3043" s="322"/>
      <c r="F3043" s="323"/>
      <c r="G3043" s="323"/>
      <c r="H3043" s="71"/>
    </row>
    <row r="3044" customFormat="false" ht="15" hidden="false" customHeight="true" outlineLevel="0" collapsed="false">
      <c r="A3044" s="71"/>
      <c r="B3044" s="71"/>
      <c r="C3044" s="273"/>
      <c r="D3044" s="322"/>
      <c r="E3044" s="322"/>
      <c r="F3044" s="323"/>
      <c r="G3044" s="323"/>
      <c r="H3044" s="71"/>
    </row>
    <row r="3045" customFormat="false" ht="15" hidden="false" customHeight="true" outlineLevel="0" collapsed="false">
      <c r="A3045" s="71"/>
      <c r="B3045" s="71"/>
      <c r="C3045" s="273"/>
      <c r="D3045" s="322"/>
      <c r="E3045" s="322"/>
      <c r="F3045" s="323"/>
      <c r="G3045" s="323"/>
      <c r="H3045" s="71"/>
    </row>
  </sheetData>
  <mergeCells count="133">
    <mergeCell ref="A73:B73"/>
    <mergeCell ref="A91:B91"/>
    <mergeCell ref="A96:B96"/>
    <mergeCell ref="A97:B97"/>
    <mergeCell ref="A106:B106"/>
    <mergeCell ref="A107:B107"/>
    <mergeCell ref="A113:B113"/>
    <mergeCell ref="A114:B114"/>
    <mergeCell ref="A125:B125"/>
    <mergeCell ref="A126:B126"/>
    <mergeCell ref="A141:B141"/>
    <mergeCell ref="A142:B142"/>
    <mergeCell ref="A154:B154"/>
    <mergeCell ref="A155:B155"/>
    <mergeCell ref="A159:B159"/>
    <mergeCell ref="A160:B160"/>
    <mergeCell ref="A163:B163"/>
    <mergeCell ref="A164:B164"/>
    <mergeCell ref="A178:B178"/>
    <mergeCell ref="A179:B179"/>
    <mergeCell ref="A197:B197"/>
    <mergeCell ref="A198:B198"/>
    <mergeCell ref="D200:D210"/>
    <mergeCell ref="A223:B223"/>
    <mergeCell ref="A234:B234"/>
    <mergeCell ref="A256:B256"/>
    <mergeCell ref="A272:B272"/>
    <mergeCell ref="A289:B289"/>
    <mergeCell ref="A290:B290"/>
    <mergeCell ref="A306:B306"/>
    <mergeCell ref="A307:B307"/>
    <mergeCell ref="A314:B314"/>
    <mergeCell ref="A315:B315"/>
    <mergeCell ref="A331:B331"/>
    <mergeCell ref="A332:B332"/>
    <mergeCell ref="A439:B439"/>
    <mergeCell ref="A440:B440"/>
    <mergeCell ref="F440:G440"/>
    <mergeCell ref="A534:B534"/>
    <mergeCell ref="A535:B535"/>
    <mergeCell ref="A555:B555"/>
    <mergeCell ref="A556:B556"/>
    <mergeCell ref="A558:A578"/>
    <mergeCell ref="A579:A620"/>
    <mergeCell ref="A621:A629"/>
    <mergeCell ref="A630:A641"/>
    <mergeCell ref="A642:A651"/>
    <mergeCell ref="A655:B655"/>
    <mergeCell ref="A657:A662"/>
    <mergeCell ref="A663:A667"/>
    <mergeCell ref="A668:A672"/>
    <mergeCell ref="A673:A679"/>
    <mergeCell ref="A682:B682"/>
    <mergeCell ref="A683:B683"/>
    <mergeCell ref="A726:B726"/>
    <mergeCell ref="A727:B727"/>
    <mergeCell ref="A742:B742"/>
    <mergeCell ref="A743:B743"/>
    <mergeCell ref="A786:B786"/>
    <mergeCell ref="A787:B787"/>
    <mergeCell ref="D794:D800"/>
    <mergeCell ref="D801:D810"/>
    <mergeCell ref="D811:D819"/>
    <mergeCell ref="D820:D831"/>
    <mergeCell ref="A835:B835"/>
    <mergeCell ref="A836:B836"/>
    <mergeCell ref="A843:B843"/>
    <mergeCell ref="A844:B844"/>
    <mergeCell ref="A851:B851"/>
    <mergeCell ref="A852:B852"/>
    <mergeCell ref="A856:B856"/>
    <mergeCell ref="A857:B857"/>
    <mergeCell ref="A873:B873"/>
    <mergeCell ref="A874:B874"/>
    <mergeCell ref="A886:B886"/>
    <mergeCell ref="A887:B887"/>
    <mergeCell ref="A894:B894"/>
    <mergeCell ref="A895:B895"/>
    <mergeCell ref="A901:B901"/>
    <mergeCell ref="A902:B902"/>
    <mergeCell ref="A906:B906"/>
    <mergeCell ref="A907:B907"/>
    <mergeCell ref="A976:B976"/>
    <mergeCell ref="A977:B977"/>
    <mergeCell ref="A1025:B1025"/>
    <mergeCell ref="A1026:B1026"/>
    <mergeCell ref="A1081:B1081"/>
    <mergeCell ref="A1082:B1082"/>
    <mergeCell ref="A1101:B1101"/>
    <mergeCell ref="A1102:B1102"/>
    <mergeCell ref="A1122:B1122"/>
    <mergeCell ref="A1123:B1123"/>
    <mergeCell ref="A1129:B1129"/>
    <mergeCell ref="A1130:B1130"/>
    <mergeCell ref="A1141:B1141"/>
    <mergeCell ref="A1142:B1142"/>
    <mergeCell ref="A1153:B1153"/>
    <mergeCell ref="A1154:B1154"/>
    <mergeCell ref="A1167:B1167"/>
    <mergeCell ref="A1168:B1168"/>
    <mergeCell ref="A1183:B1183"/>
    <mergeCell ref="A1184:B1184"/>
    <mergeCell ref="A1205:B1205"/>
    <mergeCell ref="A1206:B1206"/>
    <mergeCell ref="A1259:B1259"/>
    <mergeCell ref="A1260:B1260"/>
    <mergeCell ref="A1274:B1274"/>
    <mergeCell ref="A1275:B1275"/>
    <mergeCell ref="A1288:B1288"/>
    <mergeCell ref="A1289:B1289"/>
    <mergeCell ref="A1309:B1309"/>
    <mergeCell ref="A1310:B1310"/>
    <mergeCell ref="A1334:B1334"/>
    <mergeCell ref="A1335:B1335"/>
    <mergeCell ref="A1358:B1358"/>
    <mergeCell ref="A1359:B1359"/>
    <mergeCell ref="A1373:B1373"/>
    <mergeCell ref="A1374:B1374"/>
    <mergeCell ref="A1394:B1394"/>
    <mergeCell ref="A1395:B1395"/>
    <mergeCell ref="A1476:B1476"/>
    <mergeCell ref="A1477:B1477"/>
    <mergeCell ref="A1495:B1495"/>
    <mergeCell ref="A1496:B1496"/>
    <mergeCell ref="A1519:B1519"/>
    <mergeCell ref="A1520:B1520"/>
    <mergeCell ref="A1529:B1529"/>
    <mergeCell ref="A1530:B1530"/>
    <mergeCell ref="A1580:B1580"/>
    <mergeCell ref="A1581:B1581"/>
    <mergeCell ref="A1595:B1595"/>
    <mergeCell ref="A1596:B1596"/>
    <mergeCell ref="A1903:B19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D050"/>
    <pageSetUpPr fitToPage="false"/>
  </sheetPr>
  <dimension ref="A1:BF1535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B7" activeCellId="0" sqref="B7"/>
    </sheetView>
  </sheetViews>
  <sheetFormatPr defaultColWidth="9.19140625" defaultRowHeight="14.15" zeroHeight="false" outlineLevelRow="1" outlineLevelCol="0"/>
  <cols>
    <col collapsed="false" customWidth="true" hidden="false" outlineLevel="0" max="1" min="1" style="324" width="45.18"/>
    <col collapsed="false" customWidth="true" hidden="false" outlineLevel="0" max="2" min="2" style="325" width="9.27"/>
    <col collapsed="false" customWidth="true" hidden="false" outlineLevel="0" max="3" min="3" style="324" width="9.27"/>
    <col collapsed="false" customWidth="true" hidden="false" outlineLevel="0" max="4" min="4" style="324" width="9.82"/>
    <col collapsed="false" customWidth="true" hidden="false" outlineLevel="0" max="6" min="5" style="324" width="9.54"/>
    <col collapsed="false" customWidth="false" hidden="false" outlineLevel="0" max="7" min="7" style="324" width="9.18"/>
    <col collapsed="false" customWidth="true" hidden="false" outlineLevel="0" max="8" min="8" style="324" width="4.44"/>
    <col collapsed="false" customWidth="true" hidden="false" outlineLevel="0" max="17" min="9" style="324" width="2.72"/>
    <col collapsed="false" customWidth="true" hidden="false" outlineLevel="0" max="18" min="18" style="324" width="4.56"/>
    <col collapsed="false" customWidth="true" hidden="false" outlineLevel="0" max="20" min="19" style="324" width="2.72"/>
    <col collapsed="false" customWidth="true" hidden="false" outlineLevel="0" max="21" min="21" style="324" width="4.29"/>
    <col collapsed="false" customWidth="true" hidden="false" outlineLevel="0" max="33" min="22" style="324" width="2.72"/>
    <col collapsed="false" customWidth="true" hidden="false" outlineLevel="0" max="34" min="34" style="324" width="4.56"/>
    <col collapsed="false" customWidth="true" hidden="false" outlineLevel="0" max="40" min="35" style="324" width="2.72"/>
    <col collapsed="false" customWidth="true" hidden="false" outlineLevel="0" max="42" min="41" style="326" width="2.72"/>
    <col collapsed="false" customWidth="true" hidden="false" outlineLevel="0" max="44" min="43" style="327" width="2.72"/>
    <col collapsed="false" customWidth="false" hidden="false" outlineLevel="0" max="58" min="45" style="327" width="9.18"/>
    <col collapsed="false" customWidth="false" hidden="false" outlineLevel="0" max="1024" min="59" style="324" width="9.18"/>
  </cols>
  <sheetData>
    <row r="1" customFormat="false" ht="14.15" hidden="false" customHeight="true" outlineLevel="0" collapsed="false">
      <c r="A1" s="328" t="s">
        <v>1745</v>
      </c>
      <c r="B1" s="329"/>
      <c r="C1" s="329"/>
      <c r="D1" s="330" t="s">
        <v>1746</v>
      </c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0"/>
      <c r="Z1" s="330"/>
      <c r="AA1" s="330"/>
      <c r="AB1" s="331"/>
      <c r="AC1" s="331"/>
      <c r="AD1" s="331"/>
      <c r="AE1" s="331"/>
      <c r="AF1" s="331"/>
      <c r="AG1" s="331"/>
      <c r="AH1" s="331"/>
      <c r="AI1" s="331"/>
      <c r="AJ1" s="331"/>
      <c r="AK1" s="331"/>
      <c r="AL1" s="332"/>
      <c r="AM1" s="332"/>
      <c r="AN1" s="332"/>
      <c r="AO1" s="332"/>
      <c r="AP1" s="332"/>
      <c r="AQ1" s="333"/>
      <c r="AR1" s="333"/>
      <c r="AS1" s="333"/>
      <c r="AT1" s="334"/>
      <c r="AU1" s="334"/>
      <c r="AV1" s="334"/>
      <c r="AW1" s="334"/>
      <c r="AX1" s="334"/>
      <c r="AY1" s="334"/>
      <c r="AZ1" s="334"/>
      <c r="BA1" s="334"/>
      <c r="BB1" s="334"/>
      <c r="BC1" s="335"/>
      <c r="BD1" s="335"/>
      <c r="BE1" s="335"/>
    </row>
    <row r="2" customFormat="false" ht="14.15" hidden="false" customHeight="true" outlineLevel="0" collapsed="false">
      <c r="A2" s="336" t="n">
        <f aca="false">'Смета Внутр'!H2503</f>
        <v>907556.8762</v>
      </c>
      <c r="B2" s="337"/>
      <c r="C2" s="337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0"/>
      <c r="AA2" s="330"/>
      <c r="AB2" s="331"/>
      <c r="AC2" s="331"/>
      <c r="AD2" s="331"/>
      <c r="AE2" s="331"/>
      <c r="AF2" s="331"/>
      <c r="AG2" s="331"/>
      <c r="AH2" s="331"/>
      <c r="AI2" s="331"/>
      <c r="AJ2" s="331"/>
      <c r="AK2" s="331"/>
      <c r="AL2" s="332"/>
      <c r="AM2" s="332"/>
      <c r="AN2" s="332"/>
      <c r="AO2" s="332"/>
      <c r="AP2" s="332"/>
      <c r="AQ2" s="333"/>
      <c r="AR2" s="333"/>
      <c r="AS2" s="333"/>
      <c r="AT2" s="334"/>
      <c r="AU2" s="334"/>
      <c r="AV2" s="334"/>
      <c r="AW2" s="334"/>
      <c r="AX2" s="334"/>
      <c r="AY2" s="334"/>
      <c r="AZ2" s="334"/>
      <c r="BA2" s="334"/>
      <c r="BB2" s="334"/>
      <c r="BC2" s="335"/>
      <c r="BD2" s="335"/>
      <c r="BE2" s="335"/>
    </row>
    <row r="3" customFormat="false" ht="18.75" hidden="false" customHeight="true" outlineLevel="0" collapsed="false">
      <c r="A3" s="338" t="s">
        <v>1747</v>
      </c>
      <c r="B3" s="339"/>
      <c r="C3" s="340"/>
      <c r="D3" s="340"/>
      <c r="E3" s="340"/>
      <c r="F3" s="340"/>
      <c r="G3" s="341"/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2"/>
      <c r="Y3" s="342"/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3"/>
      <c r="AM3" s="343"/>
      <c r="AN3" s="343"/>
      <c r="AO3" s="344"/>
      <c r="AP3" s="344"/>
      <c r="AQ3" s="345"/>
      <c r="AR3" s="345"/>
      <c r="AS3" s="345"/>
      <c r="AT3" s="346"/>
      <c r="AU3" s="346"/>
      <c r="AV3" s="346"/>
      <c r="AW3" s="346"/>
      <c r="AX3" s="346"/>
      <c r="AY3" s="346"/>
      <c r="AZ3" s="335"/>
      <c r="BA3" s="335"/>
      <c r="BB3" s="335"/>
      <c r="BC3" s="335"/>
      <c r="BD3" s="335"/>
      <c r="BE3" s="335"/>
    </row>
    <row r="4" customFormat="false" ht="14.15" hidden="false" customHeight="true" outlineLevel="0" collapsed="false">
      <c r="D4" s="347"/>
      <c r="E4" s="347"/>
      <c r="F4" s="347"/>
      <c r="G4" s="347"/>
      <c r="H4" s="348" t="s">
        <v>156</v>
      </c>
      <c r="J4" s="348"/>
      <c r="K4" s="349"/>
      <c r="L4" s="350"/>
      <c r="M4" s="350"/>
      <c r="N4" s="350"/>
      <c r="O4" s="350"/>
      <c r="P4" s="350"/>
      <c r="Q4" s="350"/>
      <c r="R4" s="350"/>
      <c r="S4" s="350"/>
      <c r="T4" s="350"/>
      <c r="U4" s="350"/>
      <c r="V4" s="350"/>
      <c r="W4" s="350"/>
      <c r="X4" s="350"/>
      <c r="Y4" s="350"/>
      <c r="Z4" s="350"/>
      <c r="AA4" s="350"/>
      <c r="AB4" s="350"/>
      <c r="AC4" s="350"/>
      <c r="AD4" s="349"/>
      <c r="AE4" s="349"/>
      <c r="AF4" s="349"/>
      <c r="AG4" s="349"/>
      <c r="AH4" s="349"/>
      <c r="AI4" s="349"/>
      <c r="AJ4" s="347"/>
      <c r="AK4" s="347"/>
      <c r="AL4" s="347"/>
      <c r="AM4" s="347"/>
      <c r="AN4" s="347"/>
      <c r="AO4" s="351"/>
      <c r="AP4" s="351"/>
      <c r="AQ4" s="335"/>
      <c r="AR4" s="335"/>
      <c r="AS4" s="335"/>
      <c r="AT4" s="335"/>
      <c r="AU4" s="335"/>
      <c r="AV4" s="335"/>
      <c r="AW4" s="335"/>
      <c r="AX4" s="335"/>
      <c r="AY4" s="335"/>
      <c r="AZ4" s="335"/>
      <c r="BA4" s="335"/>
      <c r="BB4" s="335"/>
      <c r="BC4" s="335"/>
      <c r="BD4" s="335"/>
      <c r="BE4" s="335"/>
    </row>
    <row r="5" customFormat="false" ht="14.15" hidden="false" customHeight="true" outlineLevel="0" collapsed="false">
      <c r="A5" s="352" t="s">
        <v>1748</v>
      </c>
      <c r="D5" s="347"/>
      <c r="E5" s="347"/>
      <c r="F5" s="347"/>
      <c r="G5" s="347"/>
      <c r="H5" s="353" t="n">
        <v>5.3</v>
      </c>
      <c r="J5" s="353"/>
      <c r="K5" s="349"/>
      <c r="L5" s="350"/>
      <c r="M5" s="350"/>
      <c r="N5" s="350"/>
      <c r="O5" s="350"/>
      <c r="P5" s="350"/>
      <c r="Q5" s="350"/>
      <c r="R5" s="350"/>
      <c r="S5" s="350"/>
      <c r="T5" s="350"/>
      <c r="U5" s="350"/>
      <c r="V5" s="350"/>
      <c r="W5" s="350"/>
      <c r="X5" s="350"/>
      <c r="Y5" s="350"/>
      <c r="Z5" s="350"/>
      <c r="AA5" s="350"/>
      <c r="AB5" s="350"/>
      <c r="AC5" s="350"/>
      <c r="AD5" s="349"/>
      <c r="AE5" s="349"/>
      <c r="AF5" s="349"/>
      <c r="AG5" s="349"/>
      <c r="AH5" s="349"/>
      <c r="AI5" s="349"/>
      <c r="AJ5" s="347"/>
      <c r="AK5" s="347"/>
      <c r="AL5" s="347"/>
      <c r="AM5" s="347"/>
      <c r="AN5" s="347"/>
      <c r="AO5" s="351"/>
      <c r="AP5" s="351"/>
      <c r="AQ5" s="335"/>
      <c r="AR5" s="335"/>
      <c r="AS5" s="335"/>
      <c r="AT5" s="335"/>
      <c r="AU5" s="335"/>
      <c r="AV5" s="335"/>
      <c r="AW5" s="335"/>
      <c r="AX5" s="335"/>
      <c r="AY5" s="335"/>
      <c r="AZ5" s="335"/>
      <c r="BA5" s="335"/>
      <c r="BB5" s="335"/>
      <c r="BC5" s="335"/>
      <c r="BD5" s="335"/>
      <c r="BE5" s="335"/>
    </row>
    <row r="6" customFormat="false" ht="14.15" hidden="false" customHeight="true" outlineLevel="0" collapsed="false">
      <c r="A6" s="354" t="s">
        <v>1749</v>
      </c>
      <c r="C6" s="355"/>
      <c r="D6" s="355"/>
      <c r="G6" s="356"/>
      <c r="I6" s="353"/>
      <c r="J6" s="353"/>
      <c r="K6" s="349"/>
      <c r="L6" s="350"/>
      <c r="M6" s="350"/>
      <c r="N6" s="350"/>
      <c r="O6" s="350"/>
      <c r="P6" s="350"/>
      <c r="Q6" s="350"/>
      <c r="R6" s="350"/>
      <c r="S6" s="350"/>
      <c r="T6" s="350"/>
      <c r="U6" s="350"/>
      <c r="V6" s="350"/>
      <c r="W6" s="350"/>
      <c r="X6" s="350"/>
      <c r="Y6" s="350"/>
      <c r="Z6" s="350"/>
      <c r="AA6" s="350"/>
      <c r="AB6" s="350"/>
      <c r="AC6" s="350"/>
      <c r="AD6" s="349"/>
      <c r="AE6" s="349"/>
      <c r="AF6" s="349"/>
      <c r="AG6" s="349"/>
      <c r="AH6" s="349"/>
      <c r="AI6" s="349"/>
      <c r="AJ6" s="347"/>
      <c r="AK6" s="347"/>
      <c r="AL6" s="347"/>
      <c r="AM6" s="347"/>
      <c r="AN6" s="347"/>
      <c r="AO6" s="351"/>
      <c r="AP6" s="351"/>
      <c r="AQ6" s="335"/>
      <c r="AR6" s="335"/>
      <c r="AS6" s="335"/>
      <c r="AT6" s="335"/>
      <c r="AU6" s="335"/>
      <c r="AV6" s="335"/>
      <c r="AW6" s="335"/>
      <c r="AX6" s="335"/>
      <c r="AY6" s="335"/>
      <c r="AZ6" s="335"/>
      <c r="BA6" s="335"/>
      <c r="BB6" s="335"/>
      <c r="BC6" s="335"/>
      <c r="BD6" s="335"/>
      <c r="BE6" s="335"/>
    </row>
    <row r="7" s="355" customFormat="true" ht="14.15" hidden="false" customHeight="true" outlineLevel="0" collapsed="false">
      <c r="A7" s="352" t="s">
        <v>1750</v>
      </c>
      <c r="B7" s="352"/>
      <c r="G7" s="357"/>
      <c r="H7" s="324"/>
      <c r="K7" s="349"/>
      <c r="L7" s="350"/>
      <c r="M7" s="350"/>
      <c r="N7" s="350"/>
      <c r="O7" s="350"/>
      <c r="P7" s="350"/>
      <c r="Q7" s="350"/>
      <c r="R7" s="350"/>
      <c r="S7" s="350"/>
      <c r="T7" s="350"/>
      <c r="U7" s="350"/>
      <c r="V7" s="350"/>
      <c r="W7" s="350"/>
      <c r="X7" s="350"/>
      <c r="Y7" s="350"/>
      <c r="Z7" s="350"/>
      <c r="AA7" s="350"/>
      <c r="AB7" s="350"/>
      <c r="AC7" s="350"/>
      <c r="AD7" s="349"/>
      <c r="AE7" s="349"/>
      <c r="AF7" s="349"/>
      <c r="AG7" s="349"/>
      <c r="AH7" s="349"/>
      <c r="AI7" s="349"/>
      <c r="AJ7" s="358"/>
      <c r="AK7" s="358"/>
      <c r="AL7" s="358"/>
      <c r="AM7" s="358"/>
      <c r="AN7" s="358"/>
      <c r="AO7" s="359"/>
      <c r="AP7" s="359"/>
      <c r="AQ7" s="334"/>
      <c r="AR7" s="334"/>
      <c r="AS7" s="334"/>
      <c r="AT7" s="334"/>
      <c r="AU7" s="334"/>
      <c r="AV7" s="334"/>
      <c r="AW7" s="334"/>
      <c r="AX7" s="334"/>
      <c r="AY7" s="334"/>
      <c r="AZ7" s="334"/>
      <c r="BA7" s="334"/>
      <c r="BB7" s="334"/>
      <c r="BC7" s="334"/>
      <c r="BD7" s="334"/>
      <c r="BE7" s="334"/>
      <c r="BF7" s="360"/>
    </row>
    <row r="8" customFormat="false" ht="14.15" hidden="false" customHeight="true" outlineLevel="0" collapsed="false">
      <c r="A8" s="361" t="s">
        <v>1751</v>
      </c>
      <c r="C8" s="355"/>
      <c r="D8" s="355"/>
      <c r="G8" s="356"/>
      <c r="I8" s="355"/>
      <c r="J8" s="355"/>
      <c r="K8" s="349"/>
      <c r="L8" s="350"/>
      <c r="M8" s="350"/>
      <c r="N8" s="350"/>
      <c r="O8" s="350"/>
      <c r="P8" s="350"/>
      <c r="Q8" s="350"/>
      <c r="R8" s="350"/>
      <c r="S8" s="350"/>
      <c r="T8" s="350"/>
      <c r="U8" s="350"/>
      <c r="V8" s="350"/>
      <c r="W8" s="350"/>
      <c r="X8" s="350"/>
      <c r="Y8" s="350"/>
      <c r="Z8" s="350"/>
      <c r="AA8" s="350"/>
      <c r="AB8" s="350"/>
      <c r="AC8" s="350"/>
      <c r="AD8" s="349"/>
      <c r="AE8" s="349"/>
      <c r="AF8" s="349"/>
      <c r="AG8" s="349"/>
      <c r="AH8" s="349"/>
      <c r="AI8" s="349"/>
      <c r="AJ8" s="347"/>
      <c r="AK8" s="347"/>
      <c r="AL8" s="347"/>
      <c r="AM8" s="347"/>
      <c r="AN8" s="347"/>
      <c r="AO8" s="351"/>
      <c r="AP8" s="351"/>
      <c r="AQ8" s="335"/>
      <c r="AR8" s="335"/>
      <c r="AS8" s="335"/>
      <c r="AT8" s="335"/>
      <c r="AU8" s="335"/>
      <c r="AV8" s="335"/>
      <c r="AW8" s="335"/>
      <c r="AX8" s="335"/>
      <c r="AY8" s="335"/>
      <c r="AZ8" s="335"/>
      <c r="BA8" s="335"/>
      <c r="BB8" s="335"/>
      <c r="BC8" s="335"/>
      <c r="BD8" s="335"/>
      <c r="BE8" s="335"/>
    </row>
    <row r="9" s="355" customFormat="true" ht="14.15" hidden="false" customHeight="true" outlineLevel="0" collapsed="false">
      <c r="A9" s="362"/>
      <c r="B9" s="363"/>
      <c r="G9" s="357"/>
      <c r="H9" s="348" t="s">
        <v>156</v>
      </c>
      <c r="I9" s="324"/>
      <c r="J9" s="348"/>
      <c r="K9" s="349"/>
      <c r="L9" s="350"/>
      <c r="M9" s="350"/>
      <c r="N9" s="350"/>
      <c r="O9" s="350"/>
      <c r="P9" s="350"/>
      <c r="Q9" s="350"/>
      <c r="R9" s="350"/>
      <c r="S9" s="350"/>
      <c r="T9" s="350"/>
      <c r="U9" s="350"/>
      <c r="V9" s="350"/>
      <c r="W9" s="350"/>
      <c r="X9" s="350"/>
      <c r="Y9" s="350"/>
      <c r="Z9" s="350"/>
      <c r="AA9" s="350"/>
      <c r="AB9" s="350"/>
      <c r="AC9" s="350"/>
      <c r="AD9" s="349"/>
      <c r="AE9" s="349"/>
      <c r="AF9" s="349"/>
      <c r="AG9" s="349"/>
      <c r="AH9" s="349"/>
      <c r="AI9" s="349"/>
      <c r="AJ9" s="358"/>
      <c r="AK9" s="358"/>
      <c r="AL9" s="358"/>
      <c r="AM9" s="358"/>
      <c r="AN9" s="358"/>
      <c r="AO9" s="359"/>
      <c r="AP9" s="359"/>
      <c r="AQ9" s="334"/>
      <c r="AR9" s="334"/>
      <c r="AS9" s="334"/>
      <c r="AT9" s="334"/>
      <c r="AU9" s="334"/>
      <c r="AV9" s="334"/>
      <c r="AW9" s="334"/>
      <c r="AX9" s="334"/>
      <c r="AY9" s="334"/>
      <c r="AZ9" s="334"/>
      <c r="BA9" s="334"/>
      <c r="BB9" s="334"/>
      <c r="BC9" s="334"/>
      <c r="BD9" s="334"/>
      <c r="BE9" s="334"/>
      <c r="BF9" s="360"/>
    </row>
    <row r="10" s="355" customFormat="true" ht="14.15" hidden="false" customHeight="true" outlineLevel="0" collapsed="false">
      <c r="A10" s="364" t="s">
        <v>1752</v>
      </c>
      <c r="B10" s="365" t="s">
        <v>120</v>
      </c>
      <c r="C10" s="364" t="s">
        <v>1753</v>
      </c>
      <c r="G10" s="357"/>
      <c r="H10" s="353" t="n">
        <v>5.2</v>
      </c>
      <c r="I10" s="324"/>
      <c r="J10" s="353"/>
      <c r="K10" s="349"/>
      <c r="L10" s="350"/>
      <c r="M10" s="350"/>
      <c r="N10" s="350"/>
      <c r="O10" s="350"/>
      <c r="P10" s="350"/>
      <c r="Q10" s="350"/>
      <c r="R10" s="350"/>
      <c r="S10" s="350"/>
      <c r="T10" s="350"/>
      <c r="U10" s="350"/>
      <c r="V10" s="350"/>
      <c r="W10" s="350"/>
      <c r="X10" s="350"/>
      <c r="Y10" s="350"/>
      <c r="Z10" s="350"/>
      <c r="AA10" s="350"/>
      <c r="AB10" s="350"/>
      <c r="AC10" s="350"/>
      <c r="AD10" s="349"/>
      <c r="AE10" s="349"/>
      <c r="AF10" s="349"/>
      <c r="AG10" s="349"/>
      <c r="AH10" s="349"/>
      <c r="AI10" s="349"/>
      <c r="AJ10" s="358"/>
      <c r="AK10" s="358"/>
      <c r="AL10" s="358"/>
      <c r="AM10" s="358"/>
      <c r="AN10" s="358"/>
      <c r="AO10" s="359"/>
      <c r="AP10" s="359"/>
      <c r="AQ10" s="334"/>
      <c r="AR10" s="334"/>
      <c r="AS10" s="334"/>
      <c r="AT10" s="334"/>
      <c r="AU10" s="334"/>
      <c r="AV10" s="334"/>
      <c r="AW10" s="334"/>
      <c r="AX10" s="334"/>
      <c r="AY10" s="334"/>
      <c r="AZ10" s="334"/>
      <c r="BA10" s="334"/>
      <c r="BB10" s="334"/>
      <c r="BC10" s="334"/>
      <c r="BD10" s="334"/>
      <c r="BE10" s="334"/>
      <c r="BF10" s="360"/>
    </row>
    <row r="11" customFormat="false" ht="14.15" hidden="false" customHeight="true" outlineLevel="0" collapsed="false">
      <c r="A11" s="366" t="s">
        <v>1754</v>
      </c>
      <c r="B11" s="367" t="s">
        <v>156</v>
      </c>
      <c r="C11" s="368" t="n">
        <v>10</v>
      </c>
      <c r="G11" s="356"/>
      <c r="H11" s="347"/>
      <c r="I11" s="353"/>
      <c r="J11" s="353"/>
      <c r="K11" s="349"/>
      <c r="L11" s="350"/>
      <c r="M11" s="350"/>
      <c r="N11" s="350"/>
      <c r="O11" s="350"/>
      <c r="P11" s="350"/>
      <c r="Q11" s="350"/>
      <c r="R11" s="350"/>
      <c r="S11" s="350"/>
      <c r="T11" s="350"/>
      <c r="U11" s="350"/>
      <c r="V11" s="350"/>
      <c r="W11" s="350"/>
      <c r="X11" s="350"/>
      <c r="Y11" s="350"/>
      <c r="Z11" s="350"/>
      <c r="AA11" s="350"/>
      <c r="AB11" s="350"/>
      <c r="AC11" s="350"/>
      <c r="AD11" s="349"/>
      <c r="AE11" s="349"/>
      <c r="AF11" s="349"/>
      <c r="AG11" s="349"/>
      <c r="AH11" s="349"/>
      <c r="AI11" s="349"/>
      <c r="AJ11" s="347"/>
      <c r="AK11" s="347"/>
      <c r="AL11" s="347"/>
      <c r="AM11" s="347"/>
      <c r="AN11" s="347"/>
      <c r="AO11" s="351"/>
      <c r="AP11" s="351"/>
      <c r="AQ11" s="335"/>
      <c r="AR11" s="335"/>
      <c r="AS11" s="335"/>
      <c r="AT11" s="335"/>
      <c r="AU11" s="335"/>
      <c r="AV11" s="335"/>
      <c r="AW11" s="335"/>
      <c r="AX11" s="335"/>
      <c r="AY11" s="335"/>
      <c r="AZ11" s="335"/>
      <c r="BA11" s="335"/>
      <c r="BB11" s="335"/>
      <c r="BC11" s="335"/>
      <c r="BD11" s="335"/>
      <c r="BE11" s="335"/>
    </row>
    <row r="12" s="355" customFormat="true" ht="14.15" hidden="false" customHeight="true" outlineLevel="0" collapsed="false">
      <c r="A12" s="366" t="s">
        <v>1755</v>
      </c>
      <c r="B12" s="367" t="s">
        <v>156</v>
      </c>
      <c r="C12" s="368" t="n">
        <v>10</v>
      </c>
      <c r="G12" s="357"/>
      <c r="H12" s="348" t="s">
        <v>156</v>
      </c>
      <c r="I12" s="349"/>
      <c r="J12" s="349"/>
      <c r="K12" s="349"/>
      <c r="L12" s="350"/>
      <c r="M12" s="350"/>
      <c r="N12" s="350"/>
      <c r="O12" s="350"/>
      <c r="P12" s="350"/>
      <c r="Q12" s="350"/>
      <c r="R12" s="350"/>
      <c r="S12" s="350"/>
      <c r="T12" s="350"/>
      <c r="U12" s="350"/>
      <c r="V12" s="350"/>
      <c r="W12" s="350"/>
      <c r="X12" s="350"/>
      <c r="Y12" s="350"/>
      <c r="Z12" s="350"/>
      <c r="AA12" s="350"/>
      <c r="AB12" s="350"/>
      <c r="AC12" s="350"/>
      <c r="AD12" s="349"/>
      <c r="AE12" s="349"/>
      <c r="AF12" s="349"/>
      <c r="AG12" s="349"/>
      <c r="AH12" s="349"/>
      <c r="AI12" s="349"/>
      <c r="AJ12" s="358"/>
      <c r="AK12" s="358"/>
      <c r="AL12" s="358"/>
      <c r="AM12" s="358"/>
      <c r="AN12" s="358"/>
      <c r="AO12" s="359"/>
      <c r="AP12" s="359"/>
      <c r="AQ12" s="334"/>
      <c r="AR12" s="334"/>
      <c r="AS12" s="334"/>
      <c r="AT12" s="334"/>
      <c r="AU12" s="334"/>
      <c r="AV12" s="334"/>
      <c r="AW12" s="334"/>
      <c r="AX12" s="334"/>
      <c r="AY12" s="334"/>
      <c r="AZ12" s="334"/>
      <c r="BA12" s="334"/>
      <c r="BB12" s="334"/>
      <c r="BC12" s="334"/>
      <c r="BD12" s="334"/>
      <c r="BE12" s="334"/>
      <c r="BF12" s="360"/>
    </row>
    <row r="13" s="355" customFormat="true" ht="14.15" hidden="false" customHeight="true" outlineLevel="0" collapsed="false">
      <c r="A13" s="366" t="s">
        <v>1756</v>
      </c>
      <c r="B13" s="367" t="s">
        <v>156</v>
      </c>
      <c r="C13" s="369" t="n">
        <v>3</v>
      </c>
      <c r="G13" s="357"/>
      <c r="H13" s="349" t="n">
        <v>3.2</v>
      </c>
      <c r="I13" s="349"/>
      <c r="J13" s="349"/>
      <c r="K13" s="349"/>
      <c r="L13" s="324"/>
      <c r="M13" s="348"/>
      <c r="N13" s="350"/>
      <c r="O13" s="350"/>
      <c r="P13" s="350"/>
      <c r="Q13" s="350"/>
      <c r="R13" s="350"/>
      <c r="S13" s="350"/>
      <c r="T13" s="350"/>
      <c r="U13" s="350"/>
      <c r="V13" s="350"/>
      <c r="W13" s="350"/>
      <c r="X13" s="350"/>
      <c r="Y13" s="350"/>
      <c r="Z13" s="350"/>
      <c r="AA13" s="350"/>
      <c r="AB13" s="350"/>
      <c r="AC13" s="350"/>
      <c r="AD13" s="349"/>
      <c r="AE13" s="349"/>
      <c r="AF13" s="349"/>
      <c r="AG13" s="349"/>
      <c r="AH13" s="349"/>
      <c r="AI13" s="349"/>
      <c r="AJ13" s="358"/>
      <c r="AK13" s="358"/>
      <c r="AL13" s="358"/>
      <c r="AM13" s="358"/>
      <c r="AN13" s="358"/>
      <c r="AO13" s="359"/>
      <c r="AP13" s="359"/>
      <c r="AQ13" s="334"/>
      <c r="AR13" s="334"/>
      <c r="AS13" s="334"/>
      <c r="AT13" s="334"/>
      <c r="AU13" s="334"/>
      <c r="AV13" s="334"/>
      <c r="AW13" s="334"/>
      <c r="AX13" s="334"/>
      <c r="AY13" s="334"/>
      <c r="AZ13" s="334"/>
      <c r="BA13" s="334"/>
      <c r="BB13" s="334"/>
      <c r="BC13" s="334"/>
      <c r="BD13" s="334"/>
      <c r="BE13" s="334"/>
      <c r="BF13" s="360"/>
    </row>
    <row r="14" s="355" customFormat="true" ht="14.15" hidden="false" customHeight="true" outlineLevel="0" collapsed="false">
      <c r="A14" s="370" t="s">
        <v>1757</v>
      </c>
      <c r="B14" s="367" t="s">
        <v>156</v>
      </c>
      <c r="C14" s="369" t="n">
        <v>8</v>
      </c>
      <c r="G14" s="357"/>
      <c r="H14" s="347"/>
      <c r="I14" s="349"/>
      <c r="J14" s="349"/>
      <c r="K14" s="358"/>
      <c r="L14" s="324"/>
      <c r="M14" s="349"/>
      <c r="N14" s="350"/>
      <c r="O14" s="350"/>
      <c r="P14" s="350"/>
      <c r="Q14" s="350"/>
      <c r="R14" s="350"/>
      <c r="S14" s="350"/>
      <c r="T14" s="350"/>
      <c r="U14" s="350"/>
      <c r="V14" s="350"/>
      <c r="W14" s="350"/>
      <c r="X14" s="350"/>
      <c r="Y14" s="350"/>
      <c r="Z14" s="350"/>
      <c r="AA14" s="350"/>
      <c r="AB14" s="350"/>
      <c r="AC14" s="350"/>
      <c r="AD14" s="349"/>
      <c r="AE14" s="349"/>
      <c r="AF14" s="349"/>
      <c r="AG14" s="349"/>
      <c r="AH14" s="349"/>
      <c r="AI14" s="349"/>
      <c r="AJ14" s="358"/>
      <c r="AK14" s="358"/>
      <c r="AL14" s="358"/>
      <c r="AM14" s="358"/>
      <c r="AN14" s="358"/>
      <c r="AO14" s="359"/>
      <c r="AP14" s="359"/>
      <c r="AQ14" s="334"/>
      <c r="AR14" s="334"/>
      <c r="AS14" s="334"/>
      <c r="AT14" s="334"/>
      <c r="AU14" s="334"/>
      <c r="AV14" s="334"/>
      <c r="AW14" s="334"/>
      <c r="AX14" s="334"/>
      <c r="AY14" s="334"/>
      <c r="AZ14" s="334"/>
      <c r="BA14" s="334"/>
      <c r="BB14" s="334"/>
      <c r="BC14" s="334"/>
      <c r="BD14" s="334"/>
      <c r="BE14" s="334"/>
      <c r="BF14" s="360"/>
    </row>
    <row r="15" s="355" customFormat="true" ht="14.15" hidden="false" customHeight="true" outlineLevel="0" collapsed="false">
      <c r="A15" s="366" t="s">
        <v>1758</v>
      </c>
      <c r="B15" s="367" t="s">
        <v>156</v>
      </c>
      <c r="C15" s="369" t="n">
        <v>1.2</v>
      </c>
      <c r="G15" s="357"/>
      <c r="H15" s="347"/>
      <c r="I15" s="349"/>
      <c r="J15" s="349"/>
      <c r="K15" s="358"/>
      <c r="L15" s="349"/>
      <c r="M15" s="349"/>
      <c r="N15" s="350"/>
      <c r="O15" s="350"/>
      <c r="P15" s="350"/>
      <c r="Q15" s="358"/>
      <c r="R15" s="350"/>
      <c r="S15" s="350"/>
      <c r="T15" s="349" t="s">
        <v>1759</v>
      </c>
      <c r="U15" s="350"/>
      <c r="V15" s="350"/>
      <c r="W15" s="350"/>
      <c r="X15" s="350"/>
      <c r="Y15" s="350"/>
      <c r="Z15" s="350"/>
      <c r="AA15" s="350"/>
      <c r="AB15" s="350"/>
      <c r="AC15" s="350"/>
      <c r="AD15" s="349"/>
      <c r="AE15" s="349"/>
      <c r="AF15" s="349"/>
      <c r="AG15" s="349"/>
      <c r="AH15" s="349"/>
      <c r="AI15" s="349"/>
      <c r="AJ15" s="358"/>
      <c r="AK15" s="358"/>
      <c r="AL15" s="358"/>
      <c r="AM15" s="358"/>
      <c r="AN15" s="358"/>
      <c r="AO15" s="359"/>
      <c r="AP15" s="359"/>
      <c r="AQ15" s="334"/>
      <c r="AR15" s="334"/>
      <c r="AS15" s="334"/>
      <c r="AT15" s="334"/>
      <c r="AU15" s="334"/>
      <c r="AV15" s="334"/>
      <c r="AW15" s="334"/>
      <c r="AX15" s="334"/>
      <c r="AY15" s="334"/>
      <c r="AZ15" s="334"/>
      <c r="BA15" s="334"/>
      <c r="BB15" s="334"/>
      <c r="BC15" s="334"/>
      <c r="BD15" s="334"/>
      <c r="BE15" s="334"/>
      <c r="BF15" s="360"/>
    </row>
    <row r="16" s="355" customFormat="true" ht="14.15" hidden="false" customHeight="true" outlineLevel="0" collapsed="false">
      <c r="A16" s="366" t="s">
        <v>1760</v>
      </c>
      <c r="B16" s="367" t="s">
        <v>156</v>
      </c>
      <c r="C16" s="369" t="n">
        <v>2.2</v>
      </c>
      <c r="G16" s="357"/>
      <c r="H16" s="371" t="s">
        <v>156</v>
      </c>
      <c r="I16" s="349"/>
      <c r="J16" s="324"/>
      <c r="K16" s="371"/>
      <c r="L16" s="349"/>
      <c r="M16" s="349"/>
      <c r="N16" s="349"/>
      <c r="O16" s="349"/>
      <c r="P16" s="349"/>
      <c r="Q16" s="349"/>
      <c r="R16" s="349"/>
      <c r="S16" s="349"/>
      <c r="T16" s="358"/>
      <c r="U16" s="349"/>
      <c r="V16" s="349"/>
      <c r="W16" s="349"/>
      <c r="X16" s="349"/>
      <c r="Y16" s="349"/>
      <c r="Z16" s="349"/>
      <c r="AA16" s="349"/>
      <c r="AB16" s="349"/>
      <c r="AC16" s="349"/>
      <c r="AD16" s="349"/>
      <c r="AE16" s="349"/>
      <c r="AF16" s="349"/>
      <c r="AG16" s="349"/>
      <c r="AH16" s="349"/>
      <c r="AI16" s="349"/>
      <c r="AJ16" s="358"/>
      <c r="AK16" s="358"/>
      <c r="AL16" s="358"/>
      <c r="AM16" s="358"/>
      <c r="AN16" s="358"/>
      <c r="AO16" s="359"/>
      <c r="AP16" s="359"/>
      <c r="AQ16" s="334"/>
      <c r="AR16" s="334"/>
      <c r="AS16" s="334"/>
      <c r="AT16" s="334"/>
      <c r="AU16" s="334"/>
      <c r="AV16" s="334"/>
      <c r="AW16" s="334"/>
      <c r="AX16" s="334"/>
      <c r="AY16" s="334"/>
      <c r="AZ16" s="334"/>
      <c r="BA16" s="334"/>
      <c r="BB16" s="334"/>
      <c r="BC16" s="334"/>
      <c r="BD16" s="334"/>
      <c r="BE16" s="334"/>
      <c r="BF16" s="360"/>
    </row>
    <row r="17" s="355" customFormat="true" ht="14.15" hidden="false" customHeight="true" outlineLevel="0" collapsed="false">
      <c r="A17" s="372"/>
      <c r="B17" s="352"/>
      <c r="G17" s="357"/>
      <c r="H17" s="349" t="n">
        <v>3</v>
      </c>
      <c r="I17" s="349"/>
      <c r="J17" s="324"/>
      <c r="K17" s="349"/>
      <c r="L17" s="349"/>
      <c r="M17" s="349"/>
      <c r="N17" s="349"/>
      <c r="O17" s="349"/>
      <c r="P17" s="349"/>
      <c r="Q17" s="349"/>
      <c r="R17" s="349"/>
      <c r="S17" s="349"/>
      <c r="T17" s="349"/>
      <c r="U17" s="349"/>
      <c r="V17" s="349"/>
      <c r="W17" s="349"/>
      <c r="X17" s="349"/>
      <c r="Y17" s="349"/>
      <c r="Z17" s="349"/>
      <c r="AA17" s="349"/>
      <c r="AB17" s="349"/>
      <c r="AC17" s="349"/>
      <c r="AD17" s="349"/>
      <c r="AE17" s="349"/>
      <c r="AF17" s="349"/>
      <c r="AG17" s="349"/>
      <c r="AH17" s="349"/>
      <c r="AI17" s="349"/>
      <c r="AJ17" s="358"/>
      <c r="AK17" s="358"/>
      <c r="AL17" s="358"/>
      <c r="AM17" s="358"/>
      <c r="AN17" s="358"/>
      <c r="AO17" s="359"/>
      <c r="AP17" s="359"/>
      <c r="AQ17" s="334"/>
      <c r="AR17" s="334"/>
      <c r="AS17" s="334"/>
      <c r="AT17" s="334"/>
      <c r="AU17" s="334"/>
      <c r="AV17" s="334"/>
      <c r="AW17" s="334"/>
      <c r="AX17" s="334"/>
      <c r="AY17" s="334"/>
      <c r="AZ17" s="334"/>
      <c r="BA17" s="334"/>
      <c r="BB17" s="334"/>
      <c r="BC17" s="334"/>
      <c r="BD17" s="334"/>
      <c r="BE17" s="334"/>
      <c r="BF17" s="360"/>
    </row>
    <row r="18" customFormat="false" ht="14.15" hidden="false" customHeight="true" outlineLevel="0" collapsed="false">
      <c r="A18" s="352" t="s">
        <v>1761</v>
      </c>
      <c r="B18" s="352"/>
      <c r="C18" s="355"/>
      <c r="G18" s="356"/>
      <c r="H18" s="347"/>
      <c r="I18" s="349"/>
      <c r="J18" s="349"/>
      <c r="K18" s="349"/>
      <c r="L18" s="349"/>
      <c r="M18" s="349"/>
      <c r="N18" s="349"/>
      <c r="O18" s="349"/>
      <c r="P18" s="349"/>
      <c r="Q18" s="349"/>
      <c r="R18" s="349"/>
      <c r="S18" s="349"/>
      <c r="T18" s="349"/>
      <c r="U18" s="349"/>
      <c r="V18" s="349"/>
      <c r="W18" s="349"/>
      <c r="X18" s="349"/>
      <c r="Y18" s="349"/>
      <c r="Z18" s="349"/>
      <c r="AA18" s="349"/>
      <c r="AB18" s="349"/>
      <c r="AC18" s="349"/>
      <c r="AD18" s="349"/>
      <c r="AE18" s="349"/>
      <c r="AF18" s="349"/>
      <c r="AG18" s="349"/>
      <c r="AH18" s="349"/>
      <c r="AI18" s="349"/>
      <c r="AJ18" s="343"/>
      <c r="AK18" s="347"/>
      <c r="AL18" s="347"/>
      <c r="AM18" s="347"/>
      <c r="AN18" s="347"/>
      <c r="AO18" s="351"/>
      <c r="AP18" s="351"/>
      <c r="AQ18" s="335"/>
      <c r="AR18" s="335"/>
      <c r="AS18" s="335"/>
      <c r="AT18" s="345"/>
      <c r="AU18" s="345"/>
      <c r="AV18" s="345"/>
      <c r="AW18" s="373"/>
      <c r="AX18" s="373"/>
      <c r="AY18" s="373"/>
      <c r="AZ18" s="335"/>
      <c r="BA18" s="335"/>
      <c r="BB18" s="335"/>
      <c r="BC18" s="335" t="n">
        <v>1</v>
      </c>
      <c r="BD18" s="374" t="n">
        <f aca="false">H25</f>
        <v>0</v>
      </c>
      <c r="BE18" s="335"/>
    </row>
    <row r="19" customFormat="false" ht="14.15" hidden="false" customHeight="true" outlineLevel="0" collapsed="false">
      <c r="A19" s="361" t="s">
        <v>1762</v>
      </c>
      <c r="G19" s="356"/>
      <c r="H19" s="347"/>
      <c r="I19" s="349"/>
      <c r="J19" s="349"/>
      <c r="K19" s="349"/>
      <c r="L19" s="349"/>
      <c r="M19" s="349"/>
      <c r="N19" s="349"/>
      <c r="O19" s="349"/>
      <c r="P19" s="349"/>
      <c r="Q19" s="349"/>
      <c r="R19" s="349"/>
      <c r="S19" s="349"/>
      <c r="T19" s="349"/>
      <c r="U19" s="349"/>
      <c r="V19" s="349"/>
      <c r="W19" s="349"/>
      <c r="X19" s="349"/>
      <c r="Y19" s="349"/>
      <c r="Z19" s="349"/>
      <c r="AA19" s="349"/>
      <c r="AB19" s="349"/>
      <c r="AC19" s="349"/>
      <c r="AD19" s="349"/>
      <c r="AE19" s="349"/>
      <c r="AF19" s="349"/>
      <c r="AG19" s="349"/>
      <c r="AH19" s="349"/>
      <c r="AI19" s="349"/>
      <c r="AJ19" s="343"/>
      <c r="AK19" s="347"/>
      <c r="AL19" s="347"/>
      <c r="AM19" s="347"/>
      <c r="AN19" s="347"/>
      <c r="AO19" s="351"/>
      <c r="AP19" s="351"/>
      <c r="AQ19" s="335"/>
      <c r="AR19" s="335"/>
      <c r="AS19" s="335"/>
      <c r="AT19" s="345"/>
      <c r="AU19" s="345"/>
      <c r="AV19" s="345"/>
      <c r="AW19" s="373"/>
      <c r="AX19" s="373"/>
      <c r="AY19" s="373"/>
      <c r="AZ19" s="335"/>
      <c r="BA19" s="335"/>
      <c r="BB19" s="335"/>
      <c r="BC19" s="335"/>
      <c r="BD19" s="374"/>
      <c r="BE19" s="335"/>
    </row>
    <row r="20" customFormat="false" ht="14.15" hidden="false" customHeight="true" outlineLevel="0" collapsed="false">
      <c r="A20" s="375" t="s">
        <v>1763</v>
      </c>
      <c r="B20" s="375"/>
      <c r="C20" s="375"/>
      <c r="G20" s="356"/>
      <c r="H20" s="348" t="s">
        <v>156</v>
      </c>
      <c r="I20" s="349"/>
      <c r="J20" s="349"/>
      <c r="K20" s="349"/>
      <c r="L20" s="349"/>
      <c r="M20" s="349"/>
      <c r="N20" s="349"/>
      <c r="O20" s="349"/>
      <c r="P20" s="349"/>
      <c r="Q20" s="349"/>
      <c r="R20" s="349"/>
      <c r="S20" s="349"/>
      <c r="T20" s="349"/>
      <c r="U20" s="349"/>
      <c r="V20" s="349"/>
      <c r="W20" s="349"/>
      <c r="X20" s="349"/>
      <c r="Y20" s="349"/>
      <c r="Z20" s="349"/>
      <c r="AA20" s="349"/>
      <c r="AB20" s="349"/>
      <c r="AC20" s="349"/>
      <c r="AD20" s="349"/>
      <c r="AE20" s="349"/>
      <c r="AF20" s="349"/>
      <c r="AG20" s="349"/>
      <c r="AH20" s="349"/>
      <c r="AI20" s="349"/>
      <c r="AJ20" s="343"/>
      <c r="AK20" s="347"/>
      <c r="AL20" s="347"/>
      <c r="AM20" s="347"/>
      <c r="AN20" s="347"/>
      <c r="AO20" s="351"/>
      <c r="AP20" s="351"/>
      <c r="AQ20" s="335"/>
      <c r="AR20" s="335"/>
      <c r="AS20" s="335"/>
      <c r="AT20" s="345"/>
      <c r="AU20" s="345"/>
      <c r="AV20" s="345"/>
      <c r="AW20" s="373"/>
      <c r="AX20" s="373"/>
      <c r="AY20" s="373"/>
      <c r="AZ20" s="335"/>
      <c r="BA20" s="335"/>
      <c r="BB20" s="335"/>
      <c r="BC20" s="335"/>
      <c r="BD20" s="374"/>
      <c r="BE20" s="335"/>
    </row>
    <row r="21" customFormat="false" ht="14.15" hidden="false" customHeight="true" outlineLevel="0" collapsed="false">
      <c r="A21" s="376" t="s">
        <v>1764</v>
      </c>
      <c r="B21" s="367" t="s">
        <v>156</v>
      </c>
      <c r="C21" s="377" t="n">
        <v>3</v>
      </c>
      <c r="G21" s="356"/>
      <c r="H21" s="349" t="n">
        <v>0.2</v>
      </c>
      <c r="I21" s="349"/>
      <c r="J21" s="349"/>
      <c r="K21" s="349"/>
      <c r="M21" s="348"/>
      <c r="N21" s="349"/>
      <c r="O21" s="349"/>
      <c r="P21" s="349"/>
      <c r="Q21" s="349"/>
      <c r="R21" s="349"/>
      <c r="S21" s="349"/>
      <c r="T21" s="349"/>
      <c r="U21" s="349"/>
      <c r="V21" s="349"/>
      <c r="W21" s="349"/>
      <c r="X21" s="349"/>
      <c r="Y21" s="349"/>
      <c r="Z21" s="349"/>
      <c r="AA21" s="349"/>
      <c r="AB21" s="349"/>
      <c r="AC21" s="349"/>
      <c r="AD21" s="349"/>
      <c r="AE21" s="349"/>
      <c r="AF21" s="349"/>
      <c r="AG21" s="349"/>
      <c r="AH21" s="349"/>
      <c r="AI21" s="349"/>
      <c r="AJ21" s="343"/>
      <c r="AK21" s="347"/>
      <c r="AL21" s="347"/>
      <c r="AM21" s="347"/>
      <c r="AN21" s="347"/>
      <c r="AO21" s="351"/>
      <c r="AP21" s="351"/>
      <c r="AQ21" s="335"/>
      <c r="AR21" s="335"/>
      <c r="AS21" s="335"/>
      <c r="AT21" s="345"/>
      <c r="AU21" s="345"/>
      <c r="AV21" s="345"/>
      <c r="AW21" s="373"/>
      <c r="AX21" s="373"/>
      <c r="AY21" s="373"/>
      <c r="AZ21" s="335"/>
      <c r="BA21" s="335"/>
      <c r="BB21" s="335"/>
      <c r="BC21" s="335"/>
      <c r="BD21" s="374"/>
      <c r="BE21" s="335"/>
    </row>
    <row r="22" customFormat="false" ht="14.15" hidden="false" customHeight="true" outlineLevel="0" collapsed="false">
      <c r="A22" s="376" t="s">
        <v>1765</v>
      </c>
      <c r="B22" s="367" t="s">
        <v>156</v>
      </c>
      <c r="C22" s="377" t="n">
        <v>4</v>
      </c>
      <c r="G22" s="356"/>
      <c r="H22" s="347"/>
      <c r="I22" s="349"/>
      <c r="J22" s="349"/>
      <c r="K22" s="349"/>
      <c r="M22" s="349"/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  <c r="AA22" s="349"/>
      <c r="AB22" s="349"/>
      <c r="AC22" s="349"/>
      <c r="AD22" s="349"/>
      <c r="AE22" s="349"/>
      <c r="AF22" s="349"/>
      <c r="AG22" s="349"/>
      <c r="AH22" s="349"/>
      <c r="AI22" s="349"/>
      <c r="AJ22" s="343"/>
      <c r="AK22" s="347"/>
      <c r="AL22" s="347"/>
      <c r="AM22" s="347"/>
      <c r="AN22" s="347"/>
      <c r="AO22" s="351"/>
      <c r="AP22" s="351"/>
      <c r="AQ22" s="335"/>
      <c r="AR22" s="335"/>
      <c r="AS22" s="335"/>
      <c r="AT22" s="345"/>
      <c r="AU22" s="345"/>
      <c r="AV22" s="345"/>
      <c r="AW22" s="373"/>
      <c r="AX22" s="373"/>
      <c r="AY22" s="373"/>
      <c r="AZ22" s="335"/>
      <c r="BA22" s="335"/>
      <c r="BB22" s="335"/>
      <c r="BC22" s="335"/>
      <c r="BD22" s="374"/>
      <c r="BE22" s="335"/>
    </row>
    <row r="23" customFormat="false" ht="14.15" hidden="false" customHeight="true" outlineLevel="0" collapsed="false">
      <c r="A23" s="376" t="s">
        <v>1766</v>
      </c>
      <c r="B23" s="367" t="s">
        <v>156</v>
      </c>
      <c r="C23" s="378" t="n">
        <v>0</v>
      </c>
      <c r="G23" s="356"/>
      <c r="H23" s="347"/>
      <c r="I23" s="349"/>
      <c r="J23" s="349"/>
      <c r="K23" s="379"/>
      <c r="L23" s="349"/>
      <c r="M23" s="349"/>
      <c r="N23" s="349"/>
      <c r="O23" s="349"/>
      <c r="P23" s="349"/>
      <c r="Q23" s="358"/>
      <c r="R23" s="349"/>
      <c r="S23" s="349"/>
      <c r="T23" s="380" t="s">
        <v>1767</v>
      </c>
      <c r="U23" s="349"/>
      <c r="V23" s="349"/>
      <c r="W23" s="349"/>
      <c r="X23" s="349"/>
      <c r="Y23" s="349"/>
      <c r="Z23" s="349"/>
      <c r="AA23" s="349"/>
      <c r="AB23" s="349"/>
      <c r="AC23" s="349"/>
      <c r="AD23" s="349"/>
      <c r="AE23" s="349"/>
      <c r="AF23" s="349"/>
      <c r="AG23" s="349"/>
      <c r="AH23" s="349"/>
      <c r="AI23" s="349"/>
      <c r="AJ23" s="343"/>
      <c r="AK23" s="347"/>
      <c r="AL23" s="347"/>
      <c r="AM23" s="347"/>
      <c r="AN23" s="347"/>
      <c r="AO23" s="351"/>
      <c r="AP23" s="351"/>
      <c r="AQ23" s="335"/>
      <c r="AR23" s="335"/>
      <c r="AS23" s="335"/>
      <c r="AT23" s="345"/>
      <c r="AU23" s="345"/>
      <c r="AV23" s="345"/>
      <c r="AW23" s="373"/>
      <c r="AX23" s="373"/>
      <c r="AY23" s="373"/>
      <c r="AZ23" s="335"/>
      <c r="BA23" s="335"/>
      <c r="BB23" s="335"/>
      <c r="BC23" s="335"/>
      <c r="BD23" s="374"/>
      <c r="BE23" s="335"/>
    </row>
    <row r="24" customFormat="false" ht="14.15" hidden="false" customHeight="true" outlineLevel="0" collapsed="false">
      <c r="A24" s="376" t="s">
        <v>1768</v>
      </c>
      <c r="B24" s="367" t="s">
        <v>156</v>
      </c>
      <c r="C24" s="378" t="n">
        <v>1.5</v>
      </c>
      <c r="G24" s="356"/>
      <c r="H24" s="348" t="s">
        <v>156</v>
      </c>
      <c r="I24" s="349"/>
      <c r="K24" s="348"/>
      <c r="L24" s="358"/>
      <c r="M24" s="349"/>
      <c r="N24" s="349"/>
      <c r="O24" s="349"/>
      <c r="P24" s="349"/>
      <c r="Q24" s="349"/>
      <c r="R24" s="349"/>
      <c r="S24" s="349"/>
      <c r="T24" s="349"/>
      <c r="U24" s="349"/>
      <c r="V24" s="349"/>
      <c r="W24" s="349"/>
      <c r="X24" s="349"/>
      <c r="Y24" s="349"/>
      <c r="Z24" s="349"/>
      <c r="AA24" s="349"/>
      <c r="AB24" s="349"/>
      <c r="AC24" s="349"/>
      <c r="AD24" s="349"/>
      <c r="AE24" s="349"/>
      <c r="AF24" s="349"/>
      <c r="AG24" s="349"/>
      <c r="AH24" s="349"/>
      <c r="AI24" s="349"/>
      <c r="AJ24" s="343"/>
      <c r="AK24" s="347"/>
      <c r="AL24" s="347"/>
      <c r="AM24" s="347"/>
      <c r="AN24" s="347"/>
      <c r="AO24" s="351"/>
      <c r="AP24" s="351"/>
      <c r="AQ24" s="335"/>
      <c r="AR24" s="335"/>
      <c r="AS24" s="335"/>
      <c r="AT24" s="345"/>
      <c r="AU24" s="345"/>
      <c r="AV24" s="345"/>
      <c r="AW24" s="373"/>
      <c r="AX24" s="373"/>
      <c r="AY24" s="373"/>
      <c r="AZ24" s="335"/>
      <c r="BA24" s="335"/>
      <c r="BB24" s="335"/>
      <c r="BC24" s="335"/>
      <c r="BD24" s="374"/>
      <c r="BE24" s="335"/>
    </row>
    <row r="25" customFormat="false" ht="14.15" hidden="false" customHeight="true" outlineLevel="0" collapsed="false">
      <c r="G25" s="356"/>
      <c r="H25" s="349" t="n">
        <v>0</v>
      </c>
      <c r="I25" s="349"/>
      <c r="K25" s="349"/>
      <c r="L25" s="349"/>
      <c r="M25" s="349"/>
      <c r="N25" s="349"/>
      <c r="O25" s="349"/>
      <c r="P25" s="349"/>
      <c r="Q25" s="349"/>
      <c r="R25" s="349"/>
      <c r="S25" s="349"/>
      <c r="T25" s="349"/>
      <c r="U25" s="349"/>
      <c r="V25" s="349"/>
      <c r="W25" s="349"/>
      <c r="X25" s="349"/>
      <c r="Y25" s="349"/>
      <c r="Z25" s="349"/>
      <c r="AA25" s="349"/>
      <c r="AB25" s="349"/>
      <c r="AC25" s="349"/>
      <c r="AD25" s="349"/>
      <c r="AE25" s="349"/>
      <c r="AF25" s="349"/>
      <c r="AG25" s="349"/>
      <c r="AH25" s="349"/>
      <c r="AI25" s="349"/>
      <c r="AJ25" s="343"/>
      <c r="AK25" s="347"/>
      <c r="AL25" s="347"/>
      <c r="AM25" s="347"/>
      <c r="AN25" s="347"/>
      <c r="AO25" s="351"/>
      <c r="AP25" s="351"/>
      <c r="AQ25" s="335"/>
      <c r="AR25" s="335"/>
      <c r="AS25" s="335"/>
      <c r="AT25" s="345"/>
      <c r="AU25" s="345"/>
      <c r="AV25" s="345"/>
      <c r="AW25" s="373"/>
      <c r="AX25" s="373"/>
      <c r="AY25" s="373"/>
      <c r="AZ25" s="335"/>
      <c r="BA25" s="335"/>
      <c r="BB25" s="335"/>
      <c r="BC25" s="335"/>
      <c r="BD25" s="374"/>
      <c r="BE25" s="335"/>
    </row>
    <row r="26" customFormat="false" ht="14.15" hidden="false" customHeight="true" outlineLevel="0" collapsed="false">
      <c r="A26" s="352" t="s">
        <v>1769</v>
      </c>
      <c r="B26" s="352"/>
      <c r="C26" s="355"/>
      <c r="G26" s="356"/>
      <c r="H26" s="347"/>
      <c r="I26" s="379"/>
      <c r="J26" s="349"/>
      <c r="K26" s="349"/>
      <c r="L26" s="349"/>
      <c r="M26" s="349"/>
      <c r="N26" s="349"/>
      <c r="O26" s="349"/>
      <c r="P26" s="349"/>
      <c r="Q26" s="349"/>
      <c r="R26" s="349"/>
      <c r="S26" s="349"/>
      <c r="T26" s="349"/>
      <c r="U26" s="349"/>
      <c r="V26" s="349"/>
      <c r="W26" s="349"/>
      <c r="X26" s="349"/>
      <c r="Y26" s="349"/>
      <c r="Z26" s="349"/>
      <c r="AA26" s="349"/>
      <c r="AB26" s="349"/>
      <c r="AC26" s="349"/>
      <c r="AD26" s="349"/>
      <c r="AE26" s="349"/>
      <c r="AF26" s="349"/>
      <c r="AG26" s="349"/>
      <c r="AH26" s="349"/>
      <c r="AI26" s="349"/>
      <c r="AJ26" s="343"/>
      <c r="AK26" s="347"/>
      <c r="AL26" s="347"/>
      <c r="AM26" s="347"/>
      <c r="AN26" s="347"/>
      <c r="AO26" s="351"/>
      <c r="AP26" s="351"/>
      <c r="AQ26" s="335"/>
      <c r="AR26" s="335"/>
      <c r="AS26" s="335"/>
      <c r="AT26" s="345"/>
      <c r="AU26" s="345"/>
      <c r="AV26" s="345"/>
      <c r="AW26" s="373"/>
      <c r="AX26" s="373"/>
      <c r="AY26" s="373"/>
      <c r="AZ26" s="335"/>
      <c r="BA26" s="335"/>
      <c r="BB26" s="335"/>
      <c r="BC26" s="335"/>
      <c r="BD26" s="374"/>
      <c r="BE26" s="335"/>
    </row>
    <row r="27" customFormat="false" ht="14.15" hidden="false" customHeight="true" outlineLevel="0" collapsed="false">
      <c r="A27" s="361" t="s">
        <v>1770</v>
      </c>
      <c r="G27" s="356"/>
      <c r="H27" s="347"/>
      <c r="I27" s="349"/>
      <c r="J27" s="358"/>
      <c r="K27" s="349"/>
      <c r="L27" s="349"/>
      <c r="M27" s="349"/>
      <c r="N27" s="349"/>
      <c r="O27" s="349"/>
      <c r="P27" s="349"/>
      <c r="Q27" s="349"/>
      <c r="R27" s="349"/>
      <c r="S27" s="349"/>
      <c r="T27" s="349"/>
      <c r="U27" s="349"/>
      <c r="V27" s="349"/>
      <c r="W27" s="349"/>
      <c r="X27" s="349"/>
      <c r="Y27" s="349"/>
      <c r="Z27" s="349"/>
      <c r="AA27" s="349"/>
      <c r="AB27" s="349"/>
      <c r="AC27" s="349"/>
      <c r="AD27" s="349"/>
      <c r="AE27" s="349"/>
      <c r="AF27" s="349"/>
      <c r="AG27" s="349"/>
      <c r="AH27" s="349"/>
      <c r="AI27" s="349"/>
      <c r="AJ27" s="343"/>
      <c r="AK27" s="347"/>
      <c r="AL27" s="347"/>
      <c r="AM27" s="347"/>
      <c r="AN27" s="347"/>
      <c r="AO27" s="351"/>
      <c r="AP27" s="351"/>
      <c r="AQ27" s="335"/>
      <c r="AR27" s="335"/>
      <c r="AS27" s="335"/>
      <c r="AT27" s="345"/>
      <c r="AU27" s="345"/>
      <c r="AV27" s="345"/>
      <c r="AW27" s="373"/>
      <c r="AX27" s="373"/>
      <c r="AY27" s="373"/>
      <c r="AZ27" s="335"/>
      <c r="BA27" s="335"/>
      <c r="BB27" s="335"/>
      <c r="BC27" s="335"/>
      <c r="BD27" s="374"/>
      <c r="BE27" s="335"/>
    </row>
    <row r="28" customFormat="false" ht="14.15" hidden="false" customHeight="true" outlineLevel="0" collapsed="false">
      <c r="A28" s="375" t="s">
        <v>1771</v>
      </c>
      <c r="B28" s="375"/>
      <c r="C28" s="375"/>
      <c r="G28" s="356"/>
      <c r="H28" s="347"/>
      <c r="I28" s="349"/>
      <c r="J28" s="349"/>
      <c r="K28" s="349"/>
      <c r="L28" s="349"/>
      <c r="M28" s="349"/>
      <c r="N28" s="349"/>
      <c r="O28" s="349"/>
      <c r="P28" s="349"/>
      <c r="Q28" s="349"/>
      <c r="R28" s="349"/>
      <c r="S28" s="349"/>
      <c r="T28" s="349"/>
      <c r="U28" s="349"/>
      <c r="V28" s="349"/>
      <c r="W28" s="349"/>
      <c r="X28" s="349"/>
      <c r="Y28" s="349"/>
      <c r="Z28" s="349"/>
      <c r="AA28" s="349"/>
      <c r="AB28" s="349"/>
      <c r="AC28" s="349"/>
      <c r="AD28" s="349"/>
      <c r="AE28" s="349"/>
      <c r="AF28" s="349"/>
      <c r="AG28" s="349"/>
      <c r="AH28" s="349"/>
      <c r="AI28" s="349"/>
      <c r="AJ28" s="343"/>
      <c r="AK28" s="347"/>
      <c r="AL28" s="347"/>
      <c r="AM28" s="347"/>
      <c r="AN28" s="347"/>
      <c r="AO28" s="351"/>
      <c r="AP28" s="351"/>
      <c r="AQ28" s="335"/>
      <c r="AR28" s="335"/>
      <c r="AS28" s="335"/>
      <c r="AT28" s="345"/>
      <c r="AU28" s="345"/>
      <c r="AV28" s="345"/>
      <c r="AW28" s="373"/>
      <c r="AX28" s="373"/>
      <c r="AY28" s="373"/>
      <c r="AZ28" s="335"/>
      <c r="BA28" s="335"/>
      <c r="BB28" s="335"/>
      <c r="BC28" s="335"/>
      <c r="BD28" s="374"/>
      <c r="BE28" s="335"/>
    </row>
    <row r="29" customFormat="false" ht="14.15" hidden="false" customHeight="true" outlineLevel="0" collapsed="false">
      <c r="A29" s="376" t="s">
        <v>1772</v>
      </c>
      <c r="B29" s="367" t="s">
        <v>156</v>
      </c>
      <c r="C29" s="381" t="n">
        <v>4</v>
      </c>
      <c r="G29" s="356"/>
      <c r="H29" s="347"/>
      <c r="I29" s="349"/>
      <c r="J29" s="349"/>
      <c r="K29" s="349"/>
      <c r="L29" s="349"/>
      <c r="M29" s="349"/>
      <c r="N29" s="349"/>
      <c r="O29" s="349"/>
      <c r="P29" s="349"/>
      <c r="Q29" s="349"/>
      <c r="R29" s="349"/>
      <c r="S29" s="349"/>
      <c r="T29" s="349"/>
      <c r="U29" s="349"/>
      <c r="V29" s="349"/>
      <c r="W29" s="349"/>
      <c r="X29" s="349"/>
      <c r="Y29" s="349"/>
      <c r="Z29" s="349"/>
      <c r="AA29" s="349"/>
      <c r="AB29" s="349"/>
      <c r="AC29" s="349"/>
      <c r="AD29" s="349" t="s">
        <v>1773</v>
      </c>
      <c r="AE29" s="349"/>
      <c r="AF29" s="349"/>
      <c r="AG29" s="349"/>
      <c r="AH29" s="349"/>
      <c r="AI29" s="349"/>
      <c r="AJ29" s="343"/>
      <c r="AK29" s="347"/>
      <c r="AL29" s="347"/>
      <c r="AM29" s="347"/>
      <c r="AN29" s="347"/>
      <c r="AO29" s="351"/>
      <c r="AP29" s="351"/>
      <c r="AQ29" s="335"/>
      <c r="AR29" s="335"/>
      <c r="AS29" s="335"/>
      <c r="AT29" s="345"/>
      <c r="AU29" s="345"/>
      <c r="AV29" s="345"/>
      <c r="AW29" s="373"/>
      <c r="AX29" s="373"/>
      <c r="AY29" s="373"/>
      <c r="AZ29" s="335"/>
      <c r="BA29" s="335"/>
      <c r="BB29" s="335"/>
      <c r="BC29" s="335"/>
      <c r="BD29" s="374"/>
      <c r="BE29" s="335"/>
    </row>
    <row r="30" customFormat="false" ht="14.15" hidden="false" customHeight="true" outlineLevel="0" collapsed="false">
      <c r="A30" s="376" t="s">
        <v>1774</v>
      </c>
      <c r="B30" s="367" t="s">
        <v>156</v>
      </c>
      <c r="C30" s="366" t="n">
        <v>5</v>
      </c>
      <c r="G30" s="356"/>
      <c r="H30" s="347"/>
      <c r="I30" s="349"/>
      <c r="J30" s="349"/>
      <c r="K30" s="349"/>
      <c r="L30" s="349"/>
      <c r="M30" s="349"/>
      <c r="N30" s="349"/>
      <c r="O30" s="349"/>
      <c r="P30" s="349"/>
      <c r="Q30" s="349"/>
      <c r="R30" s="382" t="s">
        <v>1775</v>
      </c>
      <c r="S30" s="349"/>
      <c r="T30" s="349"/>
      <c r="U30" s="349"/>
      <c r="V30" s="349"/>
      <c r="W30" s="349"/>
      <c r="X30" s="349"/>
      <c r="Y30" s="349"/>
      <c r="Z30" s="349"/>
      <c r="AA30" s="349"/>
      <c r="AB30" s="349"/>
      <c r="AC30" s="349"/>
      <c r="AD30" s="349"/>
      <c r="AE30" s="349"/>
      <c r="AF30" s="349"/>
      <c r="AG30" s="349"/>
      <c r="AH30" s="349"/>
      <c r="AI30" s="349"/>
      <c r="AJ30" s="343"/>
      <c r="AK30" s="347"/>
      <c r="AL30" s="347"/>
      <c r="AM30" s="347"/>
      <c r="AN30" s="347"/>
      <c r="AO30" s="351"/>
      <c r="AP30" s="351"/>
      <c r="AQ30" s="335"/>
      <c r="AR30" s="335"/>
      <c r="AS30" s="335"/>
      <c r="AT30" s="345"/>
      <c r="AU30" s="345"/>
      <c r="AV30" s="345"/>
      <c r="AW30" s="373"/>
      <c r="AX30" s="373"/>
      <c r="AY30" s="373"/>
      <c r="AZ30" s="335"/>
      <c r="BA30" s="335"/>
      <c r="BB30" s="335"/>
      <c r="BC30" s="335"/>
      <c r="BD30" s="374"/>
      <c r="BE30" s="335"/>
    </row>
    <row r="31" customFormat="false" ht="14.15" hidden="false" customHeight="true" outlineLevel="0" collapsed="false">
      <c r="G31" s="356"/>
      <c r="AJ31" s="343"/>
      <c r="AK31" s="347"/>
      <c r="AL31" s="347"/>
      <c r="AM31" s="347"/>
      <c r="AN31" s="347"/>
      <c r="AO31" s="351"/>
      <c r="AP31" s="351"/>
      <c r="AQ31" s="335"/>
      <c r="AR31" s="335"/>
      <c r="AS31" s="335"/>
      <c r="AT31" s="345"/>
      <c r="AU31" s="345"/>
      <c r="AV31" s="345"/>
      <c r="AW31" s="373"/>
      <c r="AX31" s="373"/>
      <c r="AY31" s="373"/>
      <c r="AZ31" s="335"/>
      <c r="BA31" s="335"/>
      <c r="BB31" s="335"/>
      <c r="BC31" s="335"/>
      <c r="BD31" s="374"/>
      <c r="BE31" s="335"/>
    </row>
    <row r="32" customFormat="false" ht="14.15" hidden="true" customHeight="true" outlineLevel="1" collapsed="false">
      <c r="A32" s="364" t="s">
        <v>1776</v>
      </c>
      <c r="B32" s="383" t="s">
        <v>120</v>
      </c>
      <c r="C32" s="384" t="s">
        <v>1777</v>
      </c>
      <c r="D32" s="384" t="s">
        <v>1778</v>
      </c>
      <c r="E32" s="384" t="s">
        <v>1779</v>
      </c>
      <c r="F32" s="385"/>
      <c r="G32" s="386"/>
      <c r="AJ32" s="387"/>
      <c r="AK32" s="347"/>
      <c r="AL32" s="347"/>
      <c r="AM32" s="347"/>
      <c r="AN32" s="347"/>
      <c r="AO32" s="351"/>
      <c r="AP32" s="351"/>
      <c r="AQ32" s="335"/>
      <c r="AR32" s="335"/>
      <c r="AS32" s="335"/>
      <c r="AT32" s="388"/>
      <c r="AU32" s="345"/>
      <c r="AV32" s="345"/>
      <c r="AW32" s="373"/>
      <c r="AX32" s="373"/>
      <c r="AY32" s="373"/>
      <c r="AZ32" s="335"/>
      <c r="BA32" s="335"/>
      <c r="BB32" s="335"/>
      <c r="BC32" s="335" t="n">
        <v>2</v>
      </c>
      <c r="BD32" s="374" t="n">
        <f aca="false">H21</f>
        <v>0.2</v>
      </c>
      <c r="BE32" s="335"/>
    </row>
    <row r="33" customFormat="false" ht="14.15" hidden="true" customHeight="true" outlineLevel="1" collapsed="false">
      <c r="A33" s="389" t="s">
        <v>1780</v>
      </c>
      <c r="B33" s="367" t="s">
        <v>156</v>
      </c>
      <c r="C33" s="378" t="n">
        <v>0.6</v>
      </c>
      <c r="D33" s="390" t="s">
        <v>1781</v>
      </c>
      <c r="E33" s="378" t="n">
        <v>0.15</v>
      </c>
      <c r="F33" s="355"/>
      <c r="G33" s="391"/>
      <c r="AJ33" s="387"/>
      <c r="AK33" s="347"/>
      <c r="AL33" s="347"/>
      <c r="AM33" s="347"/>
      <c r="AN33" s="347"/>
      <c r="AO33" s="351"/>
      <c r="AP33" s="351"/>
      <c r="AQ33" s="335"/>
      <c r="AR33" s="335"/>
      <c r="AS33" s="335"/>
      <c r="AT33" s="374"/>
      <c r="AU33" s="345"/>
      <c r="AV33" s="345"/>
      <c r="AW33" s="373"/>
      <c r="AX33" s="373"/>
      <c r="AY33" s="373"/>
      <c r="AZ33" s="335"/>
      <c r="BA33" s="335"/>
      <c r="BB33" s="335"/>
      <c r="BC33" s="335" t="n">
        <v>3</v>
      </c>
      <c r="BD33" s="374" t="n">
        <f aca="false">H17</f>
        <v>3</v>
      </c>
      <c r="BE33" s="335"/>
    </row>
    <row r="34" customFormat="false" ht="14.15" hidden="true" customHeight="true" outlineLevel="1" collapsed="false">
      <c r="A34" s="324" t="s">
        <v>1782</v>
      </c>
      <c r="F34" s="357"/>
      <c r="G34" s="355"/>
      <c r="AJ34" s="387"/>
      <c r="AK34" s="347"/>
      <c r="AL34" s="347"/>
      <c r="AM34" s="347"/>
      <c r="AN34" s="347"/>
      <c r="AO34" s="351"/>
      <c r="AP34" s="351"/>
      <c r="AQ34" s="335"/>
      <c r="AR34" s="335"/>
      <c r="AS34" s="335"/>
      <c r="AT34" s="374"/>
      <c r="AU34" s="345"/>
      <c r="AV34" s="345"/>
      <c r="AW34" s="373"/>
      <c r="AX34" s="373"/>
      <c r="AY34" s="373"/>
      <c r="AZ34" s="335"/>
      <c r="BA34" s="335"/>
      <c r="BB34" s="335"/>
      <c r="BC34" s="335"/>
      <c r="BD34" s="374"/>
      <c r="BE34" s="335"/>
    </row>
    <row r="35" customFormat="false" ht="14.15" hidden="true" customHeight="true" outlineLevel="1" collapsed="false">
      <c r="A35" s="392" t="s">
        <v>1783</v>
      </c>
      <c r="B35" s="367" t="s">
        <v>156</v>
      </c>
      <c r="C35" s="378" t="n">
        <v>0.4</v>
      </c>
      <c r="D35" s="355"/>
      <c r="E35" s="357"/>
      <c r="F35" s="357"/>
      <c r="G35" s="355"/>
      <c r="AJ35" s="387"/>
      <c r="AK35" s="347"/>
      <c r="AL35" s="347"/>
      <c r="AM35" s="347"/>
      <c r="AN35" s="347"/>
      <c r="AO35" s="351"/>
      <c r="AP35" s="351"/>
      <c r="AQ35" s="335"/>
      <c r="AR35" s="335"/>
      <c r="AS35" s="335"/>
      <c r="AT35" s="374"/>
      <c r="AU35" s="345"/>
      <c r="AV35" s="345"/>
      <c r="AW35" s="373"/>
      <c r="AX35" s="373"/>
      <c r="AY35" s="373"/>
      <c r="AZ35" s="335"/>
      <c r="BA35" s="335"/>
      <c r="BB35" s="335"/>
      <c r="BC35" s="335"/>
      <c r="BD35" s="374"/>
      <c r="BE35" s="335"/>
    </row>
    <row r="36" customFormat="false" ht="14.15" hidden="true" customHeight="true" outlineLevel="1" collapsed="false">
      <c r="A36" s="324" t="s">
        <v>1784</v>
      </c>
      <c r="F36" s="357"/>
      <c r="G36" s="355"/>
      <c r="AJ36" s="387"/>
      <c r="AK36" s="347"/>
      <c r="AL36" s="347"/>
      <c r="AM36" s="347"/>
      <c r="AN36" s="347"/>
      <c r="AO36" s="351"/>
      <c r="AP36" s="351"/>
      <c r="AQ36" s="335"/>
      <c r="AR36" s="335"/>
      <c r="AS36" s="335"/>
      <c r="AT36" s="374"/>
      <c r="AU36" s="345"/>
      <c r="AV36" s="345"/>
      <c r="AW36" s="373"/>
      <c r="AX36" s="373"/>
      <c r="AY36" s="373"/>
      <c r="AZ36" s="335"/>
      <c r="BA36" s="335"/>
      <c r="BB36" s="335"/>
      <c r="BC36" s="335"/>
      <c r="BD36" s="374"/>
      <c r="BE36" s="335"/>
    </row>
    <row r="37" customFormat="false" ht="14.15" hidden="true" customHeight="true" outlineLevel="1" collapsed="false">
      <c r="A37" s="393" t="s">
        <v>493</v>
      </c>
      <c r="F37" s="357"/>
      <c r="G37" s="355"/>
      <c r="AJ37" s="387"/>
      <c r="AK37" s="347"/>
      <c r="AL37" s="347"/>
      <c r="AM37" s="347"/>
      <c r="AN37" s="347"/>
      <c r="AO37" s="351"/>
      <c r="AP37" s="351"/>
      <c r="AQ37" s="335"/>
      <c r="AR37" s="335"/>
      <c r="AS37" s="335"/>
      <c r="AT37" s="374"/>
      <c r="AU37" s="345"/>
      <c r="AV37" s="345"/>
      <c r="AW37" s="373"/>
      <c r="AX37" s="373"/>
      <c r="AY37" s="373"/>
      <c r="AZ37" s="335"/>
      <c r="BA37" s="335"/>
      <c r="BB37" s="335"/>
      <c r="BC37" s="335"/>
      <c r="BD37" s="374"/>
      <c r="BE37" s="335"/>
    </row>
    <row r="38" customFormat="false" ht="14.15" hidden="true" customHeight="true" outlineLevel="1" collapsed="false">
      <c r="A38" s="393" t="s">
        <v>493</v>
      </c>
      <c r="F38" s="385"/>
      <c r="G38" s="357"/>
      <c r="AJ38" s="387"/>
      <c r="AK38" s="347"/>
      <c r="AL38" s="347"/>
      <c r="AM38" s="347"/>
      <c r="AN38" s="347"/>
      <c r="AO38" s="351"/>
      <c r="AP38" s="351"/>
      <c r="AQ38" s="335"/>
      <c r="AR38" s="335"/>
      <c r="AS38" s="335"/>
      <c r="AT38" s="374"/>
      <c r="AU38" s="388"/>
      <c r="AV38" s="345"/>
      <c r="AW38" s="373"/>
      <c r="AX38" s="373"/>
      <c r="AY38" s="373"/>
      <c r="AZ38" s="335"/>
      <c r="BA38" s="335"/>
      <c r="BB38" s="335"/>
      <c r="BC38" s="335" t="n">
        <v>4</v>
      </c>
      <c r="BD38" s="374" t="n">
        <f aca="false">H13</f>
        <v>3.2</v>
      </c>
      <c r="BE38" s="335"/>
    </row>
    <row r="39" customFormat="false" ht="14.15" hidden="true" customHeight="true" outlineLevel="1" collapsed="false">
      <c r="A39" s="392" t="s">
        <v>294</v>
      </c>
      <c r="B39" s="386"/>
      <c r="C39" s="355"/>
      <c r="D39" s="355"/>
      <c r="E39" s="357"/>
      <c r="F39" s="355"/>
      <c r="G39" s="357"/>
      <c r="AJ39" s="387"/>
      <c r="AK39" s="347"/>
      <c r="AL39" s="347"/>
      <c r="AM39" s="347"/>
      <c r="AN39" s="347"/>
      <c r="AO39" s="351"/>
      <c r="AP39" s="351"/>
      <c r="AQ39" s="335"/>
      <c r="AR39" s="335"/>
      <c r="AS39" s="335"/>
      <c r="AT39" s="374"/>
      <c r="AU39" s="388"/>
      <c r="AV39" s="345"/>
      <c r="AW39" s="373"/>
      <c r="AX39" s="373"/>
      <c r="AY39" s="373"/>
      <c r="AZ39" s="335"/>
      <c r="BA39" s="335"/>
      <c r="BB39" s="335"/>
      <c r="BC39" s="335" t="n">
        <v>5</v>
      </c>
      <c r="BD39" s="374" t="n">
        <f aca="false">H10</f>
        <v>5.2</v>
      </c>
      <c r="BE39" s="335"/>
    </row>
    <row r="40" customFormat="false" ht="14.15" hidden="true" customHeight="true" outlineLevel="1" collapsed="false">
      <c r="A40" s="392" t="s">
        <v>753</v>
      </c>
      <c r="B40" s="386"/>
      <c r="C40" s="355"/>
      <c r="D40" s="355"/>
      <c r="E40" s="357"/>
      <c r="F40" s="357"/>
      <c r="G40" s="355"/>
      <c r="AJ40" s="387"/>
      <c r="AK40" s="347"/>
      <c r="AL40" s="347"/>
      <c r="AM40" s="347"/>
      <c r="AN40" s="347"/>
      <c r="AO40" s="351"/>
      <c r="AP40" s="351"/>
      <c r="AQ40" s="335"/>
      <c r="AR40" s="335"/>
      <c r="AS40" s="335"/>
      <c r="AT40" s="374"/>
      <c r="AU40" s="388"/>
      <c r="AV40" s="345"/>
      <c r="AW40" s="373"/>
      <c r="AX40" s="373"/>
      <c r="AY40" s="373"/>
      <c r="AZ40" s="335"/>
      <c r="BA40" s="335"/>
      <c r="BB40" s="335"/>
      <c r="BC40" s="335"/>
      <c r="BD40" s="374"/>
      <c r="BE40" s="335"/>
    </row>
    <row r="41" customFormat="false" ht="14.15" hidden="true" customHeight="true" outlineLevel="1" collapsed="false">
      <c r="A41" s="394" t="s">
        <v>785</v>
      </c>
      <c r="B41" s="386"/>
      <c r="C41" s="355"/>
      <c r="D41" s="355"/>
      <c r="E41" s="357"/>
      <c r="F41" s="357"/>
      <c r="AJ41" s="387"/>
      <c r="AK41" s="347"/>
      <c r="AL41" s="347"/>
      <c r="AM41" s="347"/>
      <c r="AN41" s="347"/>
      <c r="AO41" s="351"/>
      <c r="AP41" s="351"/>
      <c r="AQ41" s="335"/>
      <c r="AR41" s="335"/>
      <c r="AS41" s="335"/>
      <c r="AT41" s="374"/>
      <c r="AU41" s="388"/>
      <c r="AV41" s="345"/>
      <c r="AW41" s="373"/>
      <c r="AX41" s="373"/>
      <c r="AY41" s="373"/>
      <c r="AZ41" s="335"/>
      <c r="BA41" s="335"/>
      <c r="BB41" s="335"/>
      <c r="BC41" s="335"/>
      <c r="BD41" s="374"/>
      <c r="BE41" s="335"/>
    </row>
    <row r="42" customFormat="false" ht="14.15" hidden="true" customHeight="true" outlineLevel="1" collapsed="false">
      <c r="A42" s="364" t="s">
        <v>1785</v>
      </c>
      <c r="B42" s="365" t="s">
        <v>120</v>
      </c>
      <c r="C42" s="384" t="s">
        <v>1777</v>
      </c>
      <c r="D42" s="384" t="s">
        <v>1778</v>
      </c>
      <c r="E42" s="384" t="s">
        <v>1779</v>
      </c>
      <c r="F42" s="357"/>
      <c r="AJ42" s="387"/>
      <c r="AK42" s="347"/>
      <c r="AL42" s="347"/>
      <c r="AM42" s="347"/>
      <c r="AN42" s="347"/>
      <c r="AO42" s="351"/>
      <c r="AP42" s="351"/>
      <c r="AQ42" s="335"/>
      <c r="AR42" s="335"/>
      <c r="AS42" s="335"/>
      <c r="AT42" s="374"/>
      <c r="AU42" s="388"/>
      <c r="AV42" s="345"/>
      <c r="AW42" s="373"/>
      <c r="AX42" s="373"/>
      <c r="AY42" s="373"/>
      <c r="AZ42" s="335"/>
      <c r="BA42" s="335"/>
      <c r="BB42" s="335"/>
      <c r="BC42" s="335"/>
      <c r="BD42" s="374"/>
      <c r="BE42" s="335"/>
    </row>
    <row r="43" customFormat="false" ht="14.15" hidden="true" customHeight="true" outlineLevel="1" collapsed="false">
      <c r="A43" s="392" t="s">
        <v>1780</v>
      </c>
      <c r="B43" s="367" t="s">
        <v>156</v>
      </c>
      <c r="C43" s="378" t="n">
        <v>0.6</v>
      </c>
      <c r="D43" s="390" t="s">
        <v>1781</v>
      </c>
      <c r="E43" s="378" t="n">
        <v>0.2</v>
      </c>
      <c r="F43" s="385"/>
      <c r="AJ43" s="387"/>
      <c r="AK43" s="347"/>
      <c r="AL43" s="347"/>
      <c r="AM43" s="347"/>
      <c r="AN43" s="347"/>
      <c r="AO43" s="351"/>
      <c r="AP43" s="351"/>
      <c r="AQ43" s="335"/>
      <c r="AR43" s="335"/>
      <c r="AS43" s="335"/>
      <c r="AT43" s="374"/>
      <c r="AU43" s="374"/>
      <c r="AV43" s="345"/>
      <c r="AW43" s="373"/>
      <c r="AX43" s="373"/>
      <c r="AY43" s="373"/>
      <c r="AZ43" s="335"/>
      <c r="BA43" s="335"/>
      <c r="BB43" s="335"/>
      <c r="BC43" s="335" t="n">
        <v>6</v>
      </c>
      <c r="BD43" s="374" t="n">
        <f aca="false">H5</f>
        <v>5.3</v>
      </c>
      <c r="BE43" s="335"/>
    </row>
    <row r="44" customFormat="false" ht="14.15" hidden="true" customHeight="true" outlineLevel="1" collapsed="false">
      <c r="A44" s="392" t="s">
        <v>732</v>
      </c>
      <c r="B44" s="386"/>
      <c r="C44" s="355"/>
      <c r="D44" s="355"/>
      <c r="E44" s="357"/>
      <c r="F44" s="355"/>
      <c r="AJ44" s="387"/>
      <c r="AK44" s="347"/>
      <c r="AL44" s="347"/>
      <c r="AM44" s="347"/>
      <c r="AN44" s="347"/>
      <c r="AO44" s="351"/>
      <c r="AP44" s="351"/>
      <c r="AQ44" s="335"/>
      <c r="AR44" s="335"/>
      <c r="AS44" s="335"/>
      <c r="AT44" s="374"/>
      <c r="AU44" s="374"/>
      <c r="AV44" s="395"/>
      <c r="AW44" s="374"/>
      <c r="AX44" s="374"/>
      <c r="AY44" s="374"/>
      <c r="AZ44" s="335"/>
      <c r="BA44" s="335"/>
      <c r="BB44" s="335"/>
      <c r="BC44" s="335"/>
      <c r="BD44" s="374"/>
      <c r="BE44" s="335"/>
    </row>
    <row r="45" customFormat="false" ht="14.15" hidden="true" customHeight="true" outlineLevel="1" collapsed="false">
      <c r="A45" s="324" t="s">
        <v>1786</v>
      </c>
      <c r="G45" s="356"/>
      <c r="AJ45" s="387"/>
      <c r="AK45" s="347"/>
      <c r="AL45" s="347"/>
      <c r="AM45" s="347"/>
      <c r="AN45" s="347"/>
      <c r="AO45" s="351"/>
      <c r="AP45" s="351"/>
      <c r="AQ45" s="335"/>
      <c r="AR45" s="335"/>
      <c r="AS45" s="335"/>
      <c r="AT45" s="374"/>
      <c r="AU45" s="374"/>
      <c r="AV45" s="388"/>
      <c r="AW45" s="388"/>
      <c r="AX45" s="374"/>
      <c r="AY45" s="374"/>
      <c r="AZ45" s="335"/>
      <c r="BA45" s="335"/>
      <c r="BB45" s="335"/>
      <c r="BC45" s="335"/>
      <c r="BD45" s="374"/>
      <c r="BE45" s="335"/>
    </row>
    <row r="46" customFormat="false" ht="14.15" hidden="true" customHeight="true" outlineLevel="1" collapsed="false">
      <c r="A46" s="393" t="s">
        <v>493</v>
      </c>
      <c r="G46" s="356"/>
      <c r="AJ46" s="387"/>
      <c r="AK46" s="347"/>
      <c r="AL46" s="347"/>
      <c r="AM46" s="347"/>
      <c r="AN46" s="347"/>
      <c r="AO46" s="351"/>
      <c r="AP46" s="351"/>
      <c r="AQ46" s="335"/>
      <c r="AR46" s="335"/>
      <c r="AS46" s="335"/>
      <c r="AT46" s="374"/>
      <c r="AU46" s="374"/>
      <c r="AV46" s="388"/>
      <c r="AW46" s="388"/>
      <c r="AX46" s="374"/>
      <c r="AY46" s="374"/>
      <c r="AZ46" s="335"/>
      <c r="BA46" s="335"/>
      <c r="BB46" s="335"/>
      <c r="BC46" s="335"/>
      <c r="BD46" s="374"/>
      <c r="BE46" s="335"/>
    </row>
    <row r="47" customFormat="false" ht="14.15" hidden="true" customHeight="true" outlineLevel="1" collapsed="false">
      <c r="A47" s="393" t="s">
        <v>493</v>
      </c>
      <c r="G47" s="356"/>
      <c r="AJ47" s="387"/>
      <c r="AK47" s="347"/>
      <c r="AL47" s="347"/>
      <c r="AM47" s="347"/>
      <c r="AN47" s="347"/>
      <c r="AO47" s="351"/>
      <c r="AP47" s="351"/>
      <c r="AQ47" s="335"/>
      <c r="AR47" s="335"/>
      <c r="AS47" s="335"/>
      <c r="AT47" s="374"/>
      <c r="AU47" s="374"/>
      <c r="AV47" s="388"/>
      <c r="AW47" s="388"/>
      <c r="AX47" s="374"/>
      <c r="AY47" s="374"/>
      <c r="AZ47" s="335"/>
      <c r="BA47" s="335"/>
      <c r="BB47" s="335"/>
      <c r="BC47" s="335"/>
      <c r="BD47" s="374"/>
      <c r="BE47" s="335"/>
    </row>
    <row r="48" customFormat="false" ht="14.15" hidden="true" customHeight="true" outlineLevel="1" collapsed="false">
      <c r="A48" s="392" t="s">
        <v>753</v>
      </c>
      <c r="B48" s="386"/>
      <c r="C48" s="355"/>
      <c r="D48" s="355"/>
      <c r="E48" s="357"/>
      <c r="G48" s="356"/>
      <c r="H48" s="347"/>
      <c r="AJ48" s="387"/>
      <c r="AK48" s="347"/>
      <c r="AL48" s="347"/>
      <c r="AM48" s="347"/>
      <c r="AN48" s="347"/>
      <c r="AO48" s="351"/>
      <c r="AP48" s="351"/>
      <c r="AQ48" s="335"/>
      <c r="AR48" s="335"/>
      <c r="AS48" s="335"/>
      <c r="AT48" s="374"/>
      <c r="AU48" s="374"/>
      <c r="AV48" s="388"/>
      <c r="AW48" s="388"/>
      <c r="AX48" s="374"/>
      <c r="AY48" s="374"/>
      <c r="AZ48" s="335"/>
      <c r="BA48" s="335"/>
      <c r="BB48" s="335"/>
      <c r="BC48" s="335"/>
      <c r="BD48" s="374"/>
      <c r="BE48" s="335"/>
    </row>
    <row r="49" customFormat="false" ht="14.15" hidden="true" customHeight="true" outlineLevel="1" collapsed="false">
      <c r="A49" s="392" t="s">
        <v>785</v>
      </c>
      <c r="B49" s="386"/>
      <c r="C49" s="355"/>
      <c r="D49" s="355"/>
      <c r="E49" s="357"/>
      <c r="G49" s="356"/>
      <c r="H49" s="347"/>
      <c r="AJ49" s="387"/>
      <c r="AK49" s="347"/>
      <c r="AL49" s="347"/>
      <c r="AM49" s="347"/>
      <c r="AN49" s="347"/>
      <c r="AO49" s="351"/>
      <c r="AP49" s="351"/>
      <c r="AQ49" s="335"/>
      <c r="AR49" s="335"/>
      <c r="AS49" s="335"/>
      <c r="AT49" s="374"/>
      <c r="AU49" s="374"/>
      <c r="AV49" s="374"/>
      <c r="AW49" s="388"/>
      <c r="AX49" s="374"/>
      <c r="AY49" s="374"/>
      <c r="AZ49" s="335"/>
      <c r="BA49" s="335"/>
      <c r="BB49" s="335"/>
      <c r="BC49" s="335"/>
      <c r="BD49" s="335"/>
      <c r="BE49" s="335"/>
    </row>
    <row r="50" customFormat="false" ht="14.15" hidden="true" customHeight="true" outlineLevel="1" collapsed="false">
      <c r="A50" s="364" t="s">
        <v>1787</v>
      </c>
      <c r="B50" s="365" t="s">
        <v>120</v>
      </c>
      <c r="C50" s="384" t="s">
        <v>1777</v>
      </c>
      <c r="D50" s="384" t="s">
        <v>1778</v>
      </c>
      <c r="E50" s="396" t="s">
        <v>1779</v>
      </c>
      <c r="G50" s="357"/>
      <c r="AJ50" s="387"/>
      <c r="AK50" s="347"/>
      <c r="AL50" s="347"/>
      <c r="AM50" s="347"/>
      <c r="AN50" s="347"/>
      <c r="AO50" s="351"/>
      <c r="AP50" s="351"/>
      <c r="AQ50" s="335"/>
      <c r="AR50" s="335"/>
      <c r="AS50" s="335"/>
      <c r="AT50" s="374"/>
      <c r="AU50" s="374"/>
      <c r="AV50" s="374"/>
      <c r="AW50" s="388"/>
      <c r="AX50" s="374"/>
      <c r="AY50" s="374"/>
      <c r="AZ50" s="335"/>
      <c r="BA50" s="335"/>
      <c r="BB50" s="335"/>
      <c r="BC50" s="335"/>
      <c r="BD50" s="335"/>
      <c r="BE50" s="335"/>
    </row>
    <row r="51" customFormat="false" ht="14.15" hidden="true" customHeight="true" outlineLevel="1" collapsed="false">
      <c r="A51" s="392" t="s">
        <v>1780</v>
      </c>
      <c r="B51" s="397" t="s">
        <v>156</v>
      </c>
      <c r="C51" s="378" t="n">
        <v>0.6</v>
      </c>
      <c r="D51" s="390" t="s">
        <v>1788</v>
      </c>
      <c r="E51" s="398" t="n">
        <v>0.25</v>
      </c>
      <c r="G51" s="399"/>
      <c r="AJ51" s="387"/>
      <c r="AK51" s="347"/>
      <c r="AL51" s="347"/>
      <c r="AM51" s="347"/>
      <c r="AN51" s="347"/>
      <c r="AO51" s="351"/>
      <c r="AP51" s="351"/>
      <c r="AQ51" s="335"/>
      <c r="AR51" s="335"/>
      <c r="AS51" s="335"/>
      <c r="AT51" s="374"/>
      <c r="AU51" s="374"/>
      <c r="AV51" s="374"/>
      <c r="AW51" s="388"/>
      <c r="AX51" s="374"/>
      <c r="AY51" s="374"/>
      <c r="AZ51" s="335"/>
      <c r="BA51" s="335"/>
      <c r="BB51" s="335"/>
      <c r="BC51" s="335"/>
      <c r="BD51" s="335"/>
      <c r="BE51" s="335"/>
    </row>
    <row r="52" customFormat="false" ht="14.15" hidden="true" customHeight="true" outlineLevel="1" collapsed="false">
      <c r="A52" s="324" t="s">
        <v>1789</v>
      </c>
      <c r="B52" s="386"/>
      <c r="C52" s="355"/>
      <c r="D52" s="400"/>
      <c r="E52" s="355"/>
      <c r="G52" s="399"/>
      <c r="AJ52" s="387"/>
      <c r="AK52" s="347"/>
      <c r="AL52" s="347"/>
      <c r="AM52" s="347"/>
      <c r="AN52" s="347"/>
      <c r="AO52" s="351"/>
      <c r="AP52" s="351"/>
      <c r="AQ52" s="335"/>
      <c r="AR52" s="335"/>
      <c r="AS52" s="335"/>
      <c r="AT52" s="374"/>
      <c r="AU52" s="374"/>
      <c r="AV52" s="374"/>
      <c r="AW52" s="388"/>
      <c r="AX52" s="374"/>
      <c r="AY52" s="374"/>
      <c r="AZ52" s="335"/>
      <c r="BA52" s="335"/>
      <c r="BB52" s="335"/>
      <c r="BC52" s="335"/>
      <c r="BD52" s="335"/>
      <c r="BE52" s="335"/>
    </row>
    <row r="53" customFormat="false" ht="14.15" hidden="true" customHeight="true" outlineLevel="1" collapsed="false">
      <c r="A53" s="393" t="s">
        <v>493</v>
      </c>
      <c r="B53" s="386"/>
      <c r="C53" s="355"/>
      <c r="D53" s="400"/>
      <c r="E53" s="355"/>
      <c r="G53" s="399"/>
      <c r="AJ53" s="387"/>
      <c r="AK53" s="347"/>
      <c r="AL53" s="347"/>
      <c r="AM53" s="347"/>
      <c r="AN53" s="347"/>
      <c r="AO53" s="351"/>
      <c r="AP53" s="351"/>
      <c r="AQ53" s="335"/>
      <c r="AR53" s="335"/>
      <c r="AS53" s="335"/>
      <c r="AT53" s="374"/>
      <c r="AU53" s="374"/>
      <c r="AV53" s="374"/>
      <c r="AW53" s="388"/>
      <c r="AX53" s="374"/>
      <c r="AY53" s="374"/>
      <c r="AZ53" s="335"/>
      <c r="BA53" s="335"/>
      <c r="BB53" s="335"/>
      <c r="BC53" s="335"/>
      <c r="BD53" s="335"/>
      <c r="BE53" s="335"/>
    </row>
    <row r="54" customFormat="false" ht="14.15" hidden="true" customHeight="true" outlineLevel="1" collapsed="false">
      <c r="A54" s="393" t="s">
        <v>271</v>
      </c>
      <c r="B54" s="386"/>
      <c r="C54" s="355"/>
      <c r="D54" s="400"/>
      <c r="E54" s="355"/>
      <c r="G54" s="399"/>
      <c r="AJ54" s="387"/>
      <c r="AK54" s="347"/>
      <c r="AL54" s="347"/>
      <c r="AM54" s="347"/>
      <c r="AN54" s="347"/>
      <c r="AO54" s="351"/>
      <c r="AP54" s="351"/>
      <c r="AQ54" s="335"/>
      <c r="AR54" s="335"/>
      <c r="AS54" s="335"/>
      <c r="AT54" s="374"/>
      <c r="AU54" s="374"/>
      <c r="AV54" s="374"/>
      <c r="AW54" s="388"/>
      <c r="AX54" s="374"/>
      <c r="AY54" s="374"/>
      <c r="AZ54" s="335"/>
      <c r="BA54" s="335"/>
      <c r="BB54" s="335"/>
      <c r="BC54" s="335"/>
      <c r="BD54" s="335"/>
      <c r="BE54" s="335"/>
    </row>
    <row r="55" customFormat="false" ht="14.15" hidden="true" customHeight="true" outlineLevel="1" collapsed="false">
      <c r="A55" s="401" t="s">
        <v>708</v>
      </c>
      <c r="G55" s="399"/>
      <c r="AJ55" s="387"/>
      <c r="AK55" s="347"/>
      <c r="AL55" s="347"/>
      <c r="AM55" s="347"/>
      <c r="AN55" s="347"/>
      <c r="AO55" s="351"/>
      <c r="AP55" s="351"/>
      <c r="AQ55" s="335"/>
      <c r="AR55" s="335"/>
      <c r="AS55" s="335"/>
      <c r="AT55" s="374"/>
      <c r="AU55" s="374"/>
      <c r="AV55" s="374"/>
      <c r="AW55" s="388"/>
      <c r="AX55" s="374"/>
      <c r="AY55" s="374"/>
      <c r="AZ55" s="335"/>
      <c r="BA55" s="335"/>
      <c r="BB55" s="335"/>
      <c r="BC55" s="335"/>
      <c r="BD55" s="335"/>
      <c r="BE55" s="335"/>
    </row>
    <row r="56" customFormat="false" ht="14.15" hidden="true" customHeight="true" outlineLevel="1" collapsed="false">
      <c r="A56" s="401" t="s">
        <v>1790</v>
      </c>
      <c r="G56" s="399"/>
      <c r="AJ56" s="387"/>
      <c r="AK56" s="347"/>
      <c r="AL56" s="347"/>
      <c r="AM56" s="347"/>
      <c r="AN56" s="347"/>
      <c r="AO56" s="351"/>
      <c r="AP56" s="351"/>
      <c r="AQ56" s="335"/>
      <c r="AR56" s="335"/>
      <c r="AS56" s="335"/>
      <c r="AT56" s="374"/>
      <c r="AU56" s="374"/>
      <c r="AV56" s="374"/>
      <c r="AW56" s="388"/>
      <c r="AX56" s="374"/>
      <c r="AY56" s="374"/>
      <c r="AZ56" s="335"/>
      <c r="BA56" s="335"/>
      <c r="BB56" s="335"/>
      <c r="BC56" s="335"/>
      <c r="BD56" s="335"/>
      <c r="BE56" s="335"/>
    </row>
    <row r="57" customFormat="false" ht="14.15" hidden="true" customHeight="true" outlineLevel="1" collapsed="false">
      <c r="A57" s="401" t="s">
        <v>1791</v>
      </c>
      <c r="G57" s="399"/>
      <c r="AJ57" s="387"/>
      <c r="AK57" s="347"/>
      <c r="AL57" s="347"/>
      <c r="AM57" s="347"/>
      <c r="AN57" s="347"/>
      <c r="AO57" s="351"/>
      <c r="AP57" s="351"/>
      <c r="AQ57" s="335"/>
      <c r="AR57" s="335"/>
      <c r="AS57" s="335"/>
      <c r="AT57" s="374"/>
      <c r="AU57" s="374"/>
      <c r="AV57" s="374"/>
      <c r="AW57" s="388"/>
      <c r="AX57" s="374"/>
      <c r="AY57" s="374"/>
      <c r="AZ57" s="335"/>
      <c r="BA57" s="335"/>
      <c r="BB57" s="335"/>
      <c r="BC57" s="335"/>
      <c r="BD57" s="335"/>
      <c r="BE57" s="335"/>
    </row>
    <row r="58" customFormat="false" ht="14.15" hidden="true" customHeight="true" outlineLevel="1" collapsed="false">
      <c r="G58" s="399"/>
      <c r="AJ58" s="387"/>
      <c r="AK58" s="347"/>
      <c r="AL58" s="347"/>
      <c r="AM58" s="347"/>
      <c r="AN58" s="347"/>
      <c r="AO58" s="351"/>
      <c r="AP58" s="351"/>
      <c r="AQ58" s="335"/>
      <c r="AR58" s="335"/>
      <c r="AS58" s="335"/>
      <c r="AT58" s="374"/>
      <c r="AU58" s="374"/>
      <c r="AV58" s="374"/>
      <c r="AW58" s="388"/>
      <c r="AX58" s="374"/>
      <c r="AY58" s="374"/>
      <c r="AZ58" s="335"/>
      <c r="BA58" s="335"/>
      <c r="BB58" s="335"/>
      <c r="BC58" s="335"/>
      <c r="BD58" s="335"/>
      <c r="BE58" s="335"/>
    </row>
    <row r="59" customFormat="false" ht="14.15" hidden="true" customHeight="true" outlineLevel="1" collapsed="false">
      <c r="A59" s="402" t="s">
        <v>1792</v>
      </c>
      <c r="G59" s="357"/>
      <c r="H59" s="347"/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55"/>
      <c r="AJ59" s="387"/>
      <c r="AK59" s="347"/>
      <c r="AL59" s="347"/>
      <c r="AM59" s="347"/>
      <c r="AN59" s="347"/>
      <c r="AO59" s="351"/>
      <c r="AP59" s="351"/>
      <c r="AQ59" s="335"/>
      <c r="AR59" s="335"/>
      <c r="AS59" s="335"/>
      <c r="AT59" s="374"/>
      <c r="AU59" s="374"/>
      <c r="AV59" s="374"/>
      <c r="AW59" s="388"/>
      <c r="AX59" s="374"/>
      <c r="AY59" s="374"/>
      <c r="AZ59" s="335"/>
      <c r="BA59" s="335"/>
      <c r="BB59" s="335"/>
      <c r="BC59" s="335"/>
      <c r="BD59" s="335"/>
      <c r="BE59" s="335"/>
    </row>
    <row r="60" customFormat="false" ht="14.15" hidden="true" customHeight="true" outlineLevel="1" collapsed="false">
      <c r="A60" s="403" t="s">
        <v>162</v>
      </c>
      <c r="B60" s="404" t="s">
        <v>1793</v>
      </c>
      <c r="C60" s="378" t="n">
        <v>1</v>
      </c>
      <c r="G60" s="357"/>
      <c r="H60" s="347"/>
      <c r="J60" s="355"/>
      <c r="K60" s="355"/>
      <c r="L60" s="355"/>
      <c r="M60" s="355"/>
      <c r="N60" s="355"/>
      <c r="O60" s="355"/>
      <c r="P60" s="355"/>
      <c r="Q60" s="355"/>
      <c r="R60" s="355"/>
      <c r="S60" s="355"/>
      <c r="T60" s="355"/>
      <c r="U60" s="355"/>
      <c r="V60" s="355"/>
      <c r="AJ60" s="387"/>
      <c r="AK60" s="347"/>
      <c r="AL60" s="347"/>
      <c r="AM60" s="347"/>
      <c r="AN60" s="347"/>
      <c r="AO60" s="351"/>
      <c r="AP60" s="351"/>
      <c r="AQ60" s="335"/>
      <c r="AR60" s="335"/>
      <c r="AS60" s="335"/>
      <c r="AT60" s="374"/>
      <c r="AU60" s="374"/>
      <c r="AV60" s="374"/>
      <c r="AW60" s="388"/>
      <c r="AX60" s="374"/>
      <c r="AY60" s="374"/>
      <c r="AZ60" s="335"/>
      <c r="BA60" s="335"/>
      <c r="BB60" s="335"/>
      <c r="BC60" s="335"/>
      <c r="BD60" s="335"/>
      <c r="BE60" s="335"/>
    </row>
    <row r="61" customFormat="false" ht="14.15" hidden="true" customHeight="true" outlineLevel="1" collapsed="false">
      <c r="A61" s="401" t="s">
        <v>168</v>
      </c>
      <c r="B61" s="404" t="s">
        <v>1793</v>
      </c>
      <c r="C61" s="370" t="n">
        <v>0</v>
      </c>
      <c r="G61" s="357"/>
      <c r="H61" s="347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55"/>
      <c r="AJ61" s="387"/>
      <c r="AK61" s="347"/>
      <c r="AL61" s="347"/>
      <c r="AM61" s="347"/>
      <c r="AN61" s="347"/>
      <c r="AO61" s="351"/>
      <c r="AP61" s="351"/>
      <c r="AQ61" s="335"/>
      <c r="AR61" s="335"/>
      <c r="AS61" s="335"/>
      <c r="AT61" s="374"/>
      <c r="AU61" s="374"/>
      <c r="AV61" s="374"/>
      <c r="AW61" s="388"/>
      <c r="AX61" s="374"/>
      <c r="AY61" s="374"/>
      <c r="AZ61" s="335"/>
      <c r="BA61" s="335"/>
      <c r="BB61" s="335"/>
      <c r="BC61" s="335"/>
      <c r="BD61" s="335"/>
      <c r="BE61" s="335"/>
    </row>
    <row r="62" customFormat="false" ht="14.15" hidden="true" customHeight="true" outlineLevel="1" collapsed="false">
      <c r="A62" s="401" t="s">
        <v>1794</v>
      </c>
      <c r="B62" s="404" t="s">
        <v>1793</v>
      </c>
      <c r="C62" s="370" t="n">
        <v>0</v>
      </c>
      <c r="G62" s="357"/>
      <c r="H62" s="347"/>
      <c r="J62" s="355"/>
      <c r="K62" s="355"/>
      <c r="AJ62" s="387"/>
      <c r="AK62" s="347"/>
      <c r="AL62" s="347"/>
      <c r="AM62" s="347"/>
      <c r="AN62" s="347"/>
      <c r="AO62" s="351"/>
      <c r="AP62" s="351"/>
      <c r="AQ62" s="335"/>
      <c r="AR62" s="335"/>
      <c r="AS62" s="335"/>
      <c r="AT62" s="374"/>
      <c r="AU62" s="374"/>
      <c r="AV62" s="374"/>
      <c r="AW62" s="388"/>
      <c r="AX62" s="374"/>
      <c r="AY62" s="374"/>
      <c r="AZ62" s="335"/>
      <c r="BA62" s="335"/>
      <c r="BB62" s="335"/>
      <c r="BC62" s="335"/>
      <c r="BD62" s="374"/>
      <c r="BE62" s="335"/>
    </row>
    <row r="63" customFormat="false" ht="14.15" hidden="true" customHeight="true" outlineLevel="1" collapsed="false">
      <c r="A63" s="405" t="s">
        <v>1795</v>
      </c>
      <c r="B63" s="404" t="s">
        <v>1796</v>
      </c>
      <c r="C63" s="406" t="n">
        <v>5000</v>
      </c>
      <c r="G63" s="357"/>
      <c r="H63" s="347"/>
      <c r="J63" s="355"/>
      <c r="K63" s="355"/>
      <c r="AJ63" s="387"/>
      <c r="AK63" s="347"/>
      <c r="AL63" s="347"/>
      <c r="AM63" s="347"/>
      <c r="AN63" s="347"/>
      <c r="AO63" s="351"/>
      <c r="AP63" s="351"/>
      <c r="AQ63" s="335"/>
      <c r="AR63" s="335"/>
      <c r="AS63" s="335"/>
      <c r="AT63" s="374"/>
      <c r="AU63" s="374"/>
      <c r="AV63" s="335"/>
      <c r="AW63" s="407"/>
      <c r="AX63" s="374"/>
      <c r="AY63" s="374"/>
      <c r="AZ63" s="335"/>
      <c r="BA63" s="335"/>
      <c r="BB63" s="335"/>
      <c r="BC63" s="335"/>
      <c r="BD63" s="335"/>
      <c r="BE63" s="335"/>
    </row>
    <row r="64" customFormat="false" ht="14.15" hidden="false" customHeight="true" outlineLevel="0" collapsed="false">
      <c r="A64" s="408" t="s">
        <v>1797</v>
      </c>
      <c r="B64" s="408"/>
      <c r="C64" s="408"/>
      <c r="D64" s="408"/>
      <c r="E64" s="408"/>
      <c r="F64" s="409" t="s">
        <v>1798</v>
      </c>
      <c r="G64" s="357"/>
      <c r="H64" s="347"/>
      <c r="J64" s="355"/>
      <c r="K64" s="355"/>
      <c r="AJ64" s="387"/>
      <c r="AK64" s="347"/>
      <c r="AL64" s="347"/>
      <c r="AM64" s="347"/>
      <c r="AN64" s="347"/>
      <c r="AO64" s="351"/>
      <c r="AP64" s="351"/>
      <c r="AQ64" s="335"/>
      <c r="AR64" s="335"/>
      <c r="AS64" s="335"/>
      <c r="AT64" s="374"/>
      <c r="AU64" s="374"/>
      <c r="AV64" s="335"/>
      <c r="AW64" s="407"/>
      <c r="AX64" s="374"/>
      <c r="AY64" s="374"/>
      <c r="AZ64" s="335"/>
      <c r="BA64" s="335"/>
      <c r="BB64" s="335"/>
      <c r="BC64" s="335"/>
      <c r="BD64" s="335"/>
      <c r="BE64" s="335"/>
    </row>
    <row r="65" customFormat="false" ht="14.15" hidden="false" customHeight="true" outlineLevel="0" collapsed="false">
      <c r="G65" s="357"/>
      <c r="H65" s="347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AJ65" s="387"/>
      <c r="AK65" s="347"/>
      <c r="AL65" s="347"/>
      <c r="AM65" s="347"/>
      <c r="AN65" s="347"/>
      <c r="AO65" s="351"/>
      <c r="AP65" s="351"/>
      <c r="AQ65" s="335"/>
      <c r="AR65" s="335"/>
      <c r="AS65" s="335"/>
      <c r="AT65" s="374"/>
      <c r="AU65" s="374"/>
      <c r="AV65" s="335"/>
      <c r="AW65" s="335"/>
      <c r="AX65" s="374"/>
      <c r="AY65" s="374"/>
      <c r="AZ65" s="335"/>
      <c r="BA65" s="335"/>
      <c r="BB65" s="335"/>
      <c r="BC65" s="335"/>
      <c r="BD65" s="335"/>
      <c r="BE65" s="335"/>
    </row>
    <row r="66" customFormat="false" ht="14.15" hidden="true" customHeight="true" outlineLevel="1" collapsed="false">
      <c r="A66" s="364" t="s">
        <v>1799</v>
      </c>
      <c r="B66" s="365" t="s">
        <v>120</v>
      </c>
      <c r="C66" s="367" t="s">
        <v>1800</v>
      </c>
      <c r="D66" s="367" t="s">
        <v>1801</v>
      </c>
      <c r="E66" s="410" t="s">
        <v>1802</v>
      </c>
      <c r="F66" s="386"/>
      <c r="H66" s="411" t="s">
        <v>1803</v>
      </c>
      <c r="I66" s="411"/>
      <c r="J66" s="411"/>
      <c r="K66" s="411"/>
      <c r="L66" s="411"/>
      <c r="M66" s="411"/>
      <c r="N66" s="411"/>
      <c r="O66" s="411"/>
      <c r="P66" s="411"/>
      <c r="Q66" s="411"/>
      <c r="R66" s="411"/>
      <c r="S66" s="411"/>
      <c r="T66" s="411"/>
      <c r="U66" s="411"/>
      <c r="V66" s="411"/>
      <c r="W66" s="411"/>
      <c r="X66" s="411"/>
      <c r="Y66" s="411"/>
      <c r="Z66" s="411"/>
      <c r="AA66" s="411"/>
      <c r="AB66" s="411"/>
      <c r="AC66" s="412"/>
      <c r="AD66" s="412"/>
      <c r="AE66" s="412"/>
      <c r="AJ66" s="353"/>
      <c r="AK66" s="347"/>
      <c r="AL66" s="347"/>
      <c r="AM66" s="347"/>
      <c r="AN66" s="347"/>
      <c r="AO66" s="351"/>
      <c r="AP66" s="351"/>
      <c r="AQ66" s="335"/>
      <c r="AR66" s="335"/>
      <c r="AS66" s="335"/>
      <c r="AT66" s="373"/>
      <c r="AU66" s="373"/>
      <c r="AV66" s="374"/>
      <c r="AW66" s="374"/>
      <c r="AX66" s="374"/>
      <c r="AY66" s="374"/>
      <c r="AZ66" s="335"/>
      <c r="BA66" s="335"/>
      <c r="BB66" s="335"/>
      <c r="BC66" s="335"/>
      <c r="BD66" s="335"/>
      <c r="BE66" s="335"/>
    </row>
    <row r="67" customFormat="false" ht="14.15" hidden="true" customHeight="true" outlineLevel="1" collapsed="false">
      <c r="A67" s="235" t="s">
        <v>1804</v>
      </c>
      <c r="B67" s="235"/>
      <c r="C67" s="235"/>
      <c r="D67" s="235"/>
      <c r="E67" s="235"/>
      <c r="F67" s="386"/>
      <c r="H67" s="411"/>
      <c r="I67" s="411"/>
      <c r="J67" s="411"/>
      <c r="K67" s="411"/>
      <c r="L67" s="411"/>
      <c r="M67" s="411"/>
      <c r="N67" s="411"/>
      <c r="O67" s="411"/>
      <c r="P67" s="411"/>
      <c r="Q67" s="411"/>
      <c r="R67" s="411"/>
      <c r="S67" s="411"/>
      <c r="T67" s="411"/>
      <c r="U67" s="411"/>
      <c r="V67" s="411"/>
      <c r="W67" s="411"/>
      <c r="X67" s="411"/>
      <c r="Y67" s="411"/>
      <c r="Z67" s="411"/>
      <c r="AA67" s="411"/>
      <c r="AB67" s="411"/>
      <c r="AC67" s="413" t="s">
        <v>1798</v>
      </c>
      <c r="AD67" s="413"/>
      <c r="AE67" s="413"/>
      <c r="AJ67" s="353"/>
      <c r="AK67" s="347"/>
      <c r="AL67" s="347"/>
      <c r="AM67" s="347"/>
      <c r="AN67" s="347"/>
      <c r="AO67" s="351"/>
      <c r="AP67" s="351"/>
      <c r="AQ67" s="335"/>
      <c r="AR67" s="335"/>
      <c r="AS67" s="335"/>
      <c r="AT67" s="373"/>
      <c r="AU67" s="373"/>
      <c r="AV67" s="374"/>
      <c r="AW67" s="374"/>
      <c r="AX67" s="374"/>
      <c r="AY67" s="374"/>
      <c r="AZ67" s="335"/>
      <c r="BA67" s="335"/>
      <c r="BB67" s="335"/>
      <c r="BC67" s="335"/>
      <c r="BD67" s="335"/>
      <c r="BE67" s="335"/>
    </row>
    <row r="68" customFormat="false" ht="14.15" hidden="true" customHeight="true" outlineLevel="1" collapsed="false">
      <c r="A68" s="368" t="s">
        <v>1805</v>
      </c>
      <c r="B68" s="364" t="s">
        <v>156</v>
      </c>
      <c r="C68" s="368" t="n">
        <v>1</v>
      </c>
      <c r="D68" s="368" t="n">
        <v>1.2</v>
      </c>
      <c r="E68" s="414" t="n">
        <v>1</v>
      </c>
      <c r="H68" s="415" t="s">
        <v>1806</v>
      </c>
      <c r="I68" s="416"/>
      <c r="J68" s="417"/>
      <c r="K68" s="417"/>
      <c r="L68" s="417"/>
      <c r="M68" s="417"/>
      <c r="N68" s="417"/>
      <c r="O68" s="417"/>
      <c r="P68" s="417"/>
      <c r="Q68" s="417"/>
      <c r="R68" s="417"/>
      <c r="S68" s="417"/>
      <c r="T68" s="417"/>
      <c r="U68" s="417"/>
      <c r="V68" s="417"/>
      <c r="W68" s="417"/>
      <c r="X68" s="417"/>
      <c r="Y68" s="417"/>
      <c r="Z68" s="183" t="n">
        <v>1</v>
      </c>
      <c r="AA68" s="183"/>
      <c r="AB68" s="183"/>
      <c r="AJ68" s="353"/>
      <c r="AK68" s="347"/>
      <c r="AL68" s="347"/>
      <c r="AM68" s="347"/>
      <c r="AN68" s="347"/>
      <c r="AO68" s="351"/>
      <c r="AP68" s="351"/>
      <c r="AQ68" s="335"/>
      <c r="AR68" s="335"/>
      <c r="AS68" s="335"/>
      <c r="AT68" s="373"/>
      <c r="AU68" s="373"/>
      <c r="AV68" s="374"/>
      <c r="AW68" s="374"/>
      <c r="AX68" s="374"/>
      <c r="AY68" s="374"/>
      <c r="AZ68" s="335"/>
      <c r="BA68" s="335"/>
      <c r="BB68" s="335"/>
      <c r="BC68" s="335"/>
      <c r="BD68" s="335"/>
      <c r="BE68" s="335"/>
    </row>
    <row r="69" customFormat="false" ht="14.15" hidden="true" customHeight="true" outlineLevel="1" collapsed="false">
      <c r="A69" s="368" t="s">
        <v>1807</v>
      </c>
      <c r="B69" s="364" t="s">
        <v>156</v>
      </c>
      <c r="C69" s="368" t="n">
        <v>0.6</v>
      </c>
      <c r="D69" s="368" t="n">
        <v>0.6</v>
      </c>
      <c r="E69" s="414" t="n">
        <v>0</v>
      </c>
      <c r="H69" s="418" t="s">
        <v>1808</v>
      </c>
      <c r="I69" s="418"/>
      <c r="J69" s="418"/>
      <c r="K69" s="418"/>
      <c r="L69" s="418"/>
      <c r="M69" s="418"/>
      <c r="N69" s="418"/>
      <c r="O69" s="418"/>
      <c r="P69" s="418"/>
      <c r="Q69" s="418"/>
      <c r="R69" s="418"/>
      <c r="S69" s="418"/>
      <c r="T69" s="418"/>
      <c r="U69" s="418"/>
      <c r="V69" s="418"/>
      <c r="W69" s="418"/>
      <c r="X69" s="418"/>
      <c r="Y69" s="418"/>
      <c r="Z69" s="183" t="n">
        <v>1</v>
      </c>
      <c r="AA69" s="183"/>
      <c r="AB69" s="183"/>
      <c r="AJ69" s="353"/>
      <c r="AK69" s="347"/>
      <c r="AL69" s="347"/>
      <c r="AM69" s="347"/>
      <c r="AN69" s="347"/>
      <c r="AO69" s="351"/>
      <c r="AP69" s="351"/>
      <c r="AQ69" s="335"/>
      <c r="AR69" s="335"/>
      <c r="AS69" s="335"/>
      <c r="AT69" s="373"/>
      <c r="AU69" s="373"/>
      <c r="AV69" s="374"/>
      <c r="AW69" s="374"/>
      <c r="AX69" s="374"/>
      <c r="AY69" s="374"/>
      <c r="AZ69" s="335"/>
      <c r="BA69" s="335"/>
      <c r="BB69" s="335"/>
      <c r="BC69" s="335"/>
      <c r="BD69" s="335"/>
      <c r="BE69" s="335"/>
    </row>
    <row r="70" customFormat="false" ht="14.15" hidden="true" customHeight="true" outlineLevel="1" collapsed="false">
      <c r="A70" s="368" t="s">
        <v>1809</v>
      </c>
      <c r="B70" s="364" t="s">
        <v>156</v>
      </c>
      <c r="C70" s="368" t="n">
        <v>1</v>
      </c>
      <c r="D70" s="368" t="n">
        <v>2</v>
      </c>
      <c r="E70" s="414" t="n">
        <v>0</v>
      </c>
      <c r="H70" s="364" t="s">
        <v>1810</v>
      </c>
      <c r="I70" s="364"/>
      <c r="J70" s="364"/>
      <c r="K70" s="364"/>
      <c r="L70" s="364"/>
      <c r="M70" s="364"/>
      <c r="N70" s="364"/>
      <c r="O70" s="364"/>
      <c r="P70" s="364"/>
      <c r="Q70" s="364"/>
      <c r="R70" s="364"/>
      <c r="S70" s="364"/>
      <c r="T70" s="364"/>
      <c r="U70" s="364"/>
      <c r="V70" s="364"/>
      <c r="W70" s="364" t="s">
        <v>208</v>
      </c>
      <c r="X70" s="364"/>
      <c r="Y70" s="364"/>
      <c r="Z70" s="419" t="s">
        <v>1802</v>
      </c>
      <c r="AA70" s="419"/>
      <c r="AB70" s="419"/>
      <c r="AC70" s="420" t="s">
        <v>1798</v>
      </c>
      <c r="AD70" s="420"/>
      <c r="AE70" s="420"/>
      <c r="AF70" s="347"/>
      <c r="AG70" s="347"/>
      <c r="AH70" s="347"/>
      <c r="AI70" s="347"/>
      <c r="AJ70" s="347"/>
      <c r="AK70" s="347"/>
      <c r="AL70" s="347"/>
      <c r="AM70" s="347"/>
      <c r="AN70" s="347"/>
      <c r="AO70" s="351"/>
      <c r="AP70" s="351"/>
      <c r="AQ70" s="335"/>
      <c r="AR70" s="335"/>
      <c r="AS70" s="373"/>
      <c r="AT70" s="373"/>
      <c r="AU70" s="373"/>
      <c r="AV70" s="374"/>
      <c r="AW70" s="374"/>
      <c r="AX70" s="374"/>
      <c r="AY70" s="374"/>
      <c r="AZ70" s="335"/>
      <c r="BA70" s="335"/>
      <c r="BB70" s="335"/>
      <c r="BC70" s="335"/>
      <c r="BD70" s="335"/>
      <c r="BE70" s="335"/>
    </row>
    <row r="71" customFormat="false" ht="14.15" hidden="true" customHeight="true" outlineLevel="1" collapsed="false">
      <c r="A71" s="421" t="s">
        <v>1811</v>
      </c>
      <c r="B71" s="367" t="s">
        <v>156</v>
      </c>
      <c r="C71" s="366" t="n">
        <v>0.6</v>
      </c>
      <c r="D71" s="366" t="n">
        <v>1.5</v>
      </c>
      <c r="E71" s="422" t="n">
        <v>0</v>
      </c>
      <c r="H71" s="423" t="s">
        <v>1230</v>
      </c>
      <c r="I71" s="423"/>
      <c r="J71" s="423"/>
      <c r="K71" s="423"/>
      <c r="L71" s="423"/>
      <c r="M71" s="423"/>
      <c r="N71" s="423"/>
      <c r="O71" s="423"/>
      <c r="P71" s="423"/>
      <c r="Q71" s="423"/>
      <c r="R71" s="423"/>
      <c r="S71" s="423"/>
      <c r="T71" s="423"/>
      <c r="U71" s="423"/>
      <c r="V71" s="423"/>
      <c r="W71" s="364" t="s">
        <v>159</v>
      </c>
      <c r="X71" s="364"/>
      <c r="Y71" s="364"/>
      <c r="Z71" s="183" t="n">
        <v>1</v>
      </c>
      <c r="AA71" s="183"/>
      <c r="AB71" s="183"/>
      <c r="AF71" s="347"/>
      <c r="AG71" s="347"/>
      <c r="AH71" s="347"/>
      <c r="AI71" s="347"/>
      <c r="AJ71" s="347"/>
      <c r="AK71" s="347"/>
      <c r="AL71" s="347"/>
      <c r="AM71" s="347"/>
      <c r="AN71" s="347"/>
      <c r="AO71" s="351"/>
      <c r="AP71" s="351"/>
      <c r="AQ71" s="335"/>
      <c r="AR71" s="335"/>
      <c r="AS71" s="373"/>
      <c r="AT71" s="373"/>
      <c r="AU71" s="373"/>
      <c r="AV71" s="374"/>
      <c r="AW71" s="374"/>
      <c r="AX71" s="374"/>
      <c r="AY71" s="374"/>
      <c r="AZ71" s="335"/>
      <c r="BA71" s="335"/>
      <c r="BB71" s="335"/>
      <c r="BC71" s="335"/>
      <c r="BD71" s="335"/>
      <c r="BE71" s="335"/>
    </row>
    <row r="72" customFormat="false" ht="14.15" hidden="true" customHeight="true" outlineLevel="1" collapsed="false">
      <c r="A72" s="421" t="s">
        <v>1812</v>
      </c>
      <c r="B72" s="367" t="s">
        <v>156</v>
      </c>
      <c r="C72" s="366" t="n">
        <v>0.5</v>
      </c>
      <c r="D72" s="366" t="n">
        <v>1.5</v>
      </c>
      <c r="E72" s="422" t="n">
        <v>0</v>
      </c>
      <c r="H72" s="423" t="s">
        <v>1229</v>
      </c>
      <c r="I72" s="423"/>
      <c r="J72" s="423"/>
      <c r="K72" s="423"/>
      <c r="L72" s="423"/>
      <c r="M72" s="423"/>
      <c r="N72" s="423"/>
      <c r="O72" s="423"/>
      <c r="P72" s="423"/>
      <c r="Q72" s="423"/>
      <c r="R72" s="423"/>
      <c r="S72" s="423"/>
      <c r="T72" s="423"/>
      <c r="U72" s="423"/>
      <c r="V72" s="423"/>
      <c r="W72" s="364" t="s">
        <v>159</v>
      </c>
      <c r="X72" s="364"/>
      <c r="Y72" s="364"/>
      <c r="Z72" s="183" t="n">
        <v>2</v>
      </c>
      <c r="AA72" s="183"/>
      <c r="AB72" s="183"/>
      <c r="AG72" s="347"/>
      <c r="AH72" s="347"/>
      <c r="AI72" s="347"/>
      <c r="AJ72" s="347"/>
      <c r="AK72" s="347"/>
      <c r="AL72" s="347"/>
      <c r="AM72" s="347"/>
      <c r="AN72" s="347"/>
      <c r="AO72" s="351"/>
      <c r="AP72" s="351"/>
      <c r="AQ72" s="335"/>
      <c r="AR72" s="335"/>
      <c r="AS72" s="373"/>
      <c r="AT72" s="373"/>
      <c r="AU72" s="373"/>
      <c r="AV72" s="374"/>
      <c r="AW72" s="374"/>
      <c r="AX72" s="374"/>
      <c r="AY72" s="374"/>
      <c r="AZ72" s="335"/>
      <c r="BA72" s="335"/>
      <c r="BB72" s="335"/>
      <c r="BC72" s="335"/>
      <c r="BD72" s="335"/>
      <c r="BE72" s="335"/>
    </row>
    <row r="73" customFormat="false" ht="14.15" hidden="true" customHeight="true" outlineLevel="1" collapsed="false">
      <c r="A73" s="421" t="s">
        <v>1813</v>
      </c>
      <c r="B73" s="364" t="s">
        <v>156</v>
      </c>
      <c r="C73" s="368" t="n">
        <v>0.8</v>
      </c>
      <c r="D73" s="368" t="n">
        <v>2.1</v>
      </c>
      <c r="E73" s="414" t="n">
        <v>0</v>
      </c>
      <c r="H73" s="423" t="s">
        <v>1230</v>
      </c>
      <c r="I73" s="423"/>
      <c r="J73" s="423"/>
      <c r="K73" s="423"/>
      <c r="L73" s="423"/>
      <c r="M73" s="423"/>
      <c r="N73" s="423"/>
      <c r="O73" s="423"/>
      <c r="P73" s="423"/>
      <c r="Q73" s="423"/>
      <c r="R73" s="423"/>
      <c r="S73" s="423"/>
      <c r="T73" s="423"/>
      <c r="U73" s="423"/>
      <c r="V73" s="423"/>
      <c r="W73" s="364" t="s">
        <v>159</v>
      </c>
      <c r="X73" s="364"/>
      <c r="Y73" s="364"/>
      <c r="Z73" s="183" t="n">
        <v>5</v>
      </c>
      <c r="AA73" s="183"/>
      <c r="AB73" s="183"/>
      <c r="AG73" s="347"/>
      <c r="AH73" s="347"/>
      <c r="AI73" s="347"/>
      <c r="AJ73" s="347"/>
      <c r="AK73" s="347"/>
      <c r="AL73" s="347"/>
      <c r="AM73" s="347"/>
      <c r="AN73" s="347"/>
      <c r="AO73" s="351"/>
      <c r="AP73" s="351"/>
      <c r="AQ73" s="335"/>
      <c r="AR73" s="335"/>
      <c r="AS73" s="373"/>
      <c r="AT73" s="373"/>
      <c r="AU73" s="373"/>
      <c r="AV73" s="374"/>
      <c r="AW73" s="374"/>
      <c r="AX73" s="374"/>
      <c r="AY73" s="374"/>
      <c r="AZ73" s="335"/>
      <c r="BA73" s="335"/>
      <c r="BB73" s="335"/>
      <c r="BC73" s="335"/>
      <c r="BD73" s="335"/>
      <c r="BE73" s="335"/>
    </row>
    <row r="74" customFormat="false" ht="14.15" hidden="true" customHeight="true" outlineLevel="1" collapsed="false">
      <c r="A74" s="366" t="s">
        <v>1814</v>
      </c>
      <c r="B74" s="367" t="s">
        <v>156</v>
      </c>
      <c r="C74" s="366" t="n">
        <v>2</v>
      </c>
      <c r="D74" s="366" t="n">
        <v>2</v>
      </c>
      <c r="E74" s="422" t="n">
        <v>0</v>
      </c>
      <c r="H74" s="423" t="s">
        <v>1227</v>
      </c>
      <c r="I74" s="423"/>
      <c r="J74" s="423"/>
      <c r="K74" s="423"/>
      <c r="L74" s="423"/>
      <c r="M74" s="423"/>
      <c r="N74" s="423"/>
      <c r="O74" s="423"/>
      <c r="P74" s="423"/>
      <c r="Q74" s="423"/>
      <c r="R74" s="423"/>
      <c r="S74" s="423"/>
      <c r="T74" s="423"/>
      <c r="U74" s="423"/>
      <c r="V74" s="423"/>
      <c r="W74" s="364" t="s">
        <v>159</v>
      </c>
      <c r="X74" s="364"/>
      <c r="Y74" s="364"/>
      <c r="Z74" s="183" t="n">
        <v>0</v>
      </c>
      <c r="AA74" s="183"/>
      <c r="AB74" s="183"/>
      <c r="AG74" s="347"/>
      <c r="AH74" s="347"/>
      <c r="AI74" s="347"/>
      <c r="AJ74" s="347"/>
      <c r="AK74" s="347"/>
      <c r="AL74" s="347"/>
      <c r="AM74" s="347"/>
      <c r="AN74" s="347"/>
      <c r="AO74" s="351"/>
      <c r="AP74" s="351"/>
      <c r="AQ74" s="335"/>
      <c r="AR74" s="335"/>
      <c r="AS74" s="373"/>
      <c r="AT74" s="373"/>
      <c r="AU74" s="373"/>
      <c r="AV74" s="374"/>
      <c r="AW74" s="374"/>
      <c r="AX74" s="374"/>
      <c r="AY74" s="374"/>
      <c r="AZ74" s="335"/>
      <c r="BA74" s="335"/>
      <c r="BB74" s="335"/>
      <c r="BC74" s="335"/>
      <c r="BD74" s="335"/>
      <c r="BE74" s="335"/>
    </row>
    <row r="75" customFormat="false" ht="14.15" hidden="true" customHeight="true" outlineLevel="1" collapsed="false">
      <c r="A75" s="366" t="s">
        <v>1815</v>
      </c>
      <c r="B75" s="367" t="s">
        <v>156</v>
      </c>
      <c r="C75" s="366" t="n">
        <v>0</v>
      </c>
      <c r="D75" s="366" t="n">
        <v>3</v>
      </c>
      <c r="E75" s="422" t="n">
        <v>0</v>
      </c>
      <c r="H75" s="347"/>
      <c r="I75" s="358"/>
      <c r="AG75" s="347"/>
      <c r="AH75" s="347"/>
      <c r="AI75" s="347"/>
      <c r="AJ75" s="347"/>
      <c r="AK75" s="347"/>
      <c r="AL75" s="347"/>
      <c r="AM75" s="347"/>
      <c r="AN75" s="347"/>
      <c r="AO75" s="351"/>
      <c r="AP75" s="351"/>
      <c r="AQ75" s="335"/>
      <c r="AR75" s="335"/>
      <c r="AS75" s="373"/>
      <c r="AT75" s="373"/>
      <c r="AU75" s="373"/>
      <c r="AV75" s="374"/>
      <c r="AW75" s="374"/>
      <c r="AX75" s="374"/>
      <c r="AY75" s="374"/>
      <c r="AZ75" s="335"/>
      <c r="BA75" s="335"/>
      <c r="BB75" s="335"/>
      <c r="BC75" s="335"/>
      <c r="BD75" s="335"/>
      <c r="BE75" s="335"/>
    </row>
    <row r="76" customFormat="false" ht="14.15" hidden="true" customHeight="true" outlineLevel="1" collapsed="false">
      <c r="A76" s="235" t="s">
        <v>1816</v>
      </c>
      <c r="B76" s="235"/>
      <c r="C76" s="235"/>
      <c r="D76" s="235"/>
      <c r="E76" s="235"/>
      <c r="H76" s="424" t="s">
        <v>1817</v>
      </c>
      <c r="I76" s="424"/>
      <c r="J76" s="424"/>
      <c r="K76" s="424"/>
      <c r="L76" s="424"/>
      <c r="M76" s="424"/>
      <c r="N76" s="424"/>
      <c r="O76" s="424"/>
      <c r="P76" s="424"/>
      <c r="Q76" s="424"/>
      <c r="R76" s="424"/>
      <c r="S76" s="424"/>
      <c r="T76" s="424"/>
      <c r="U76" s="424"/>
      <c r="V76" s="424"/>
      <c r="W76" s="425" t="s">
        <v>120</v>
      </c>
      <c r="X76" s="425"/>
      <c r="Y76" s="425"/>
      <c r="Z76" s="425" t="s">
        <v>1753</v>
      </c>
      <c r="AA76" s="425"/>
      <c r="AB76" s="425"/>
      <c r="AG76" s="347"/>
      <c r="AH76" s="347"/>
      <c r="AI76" s="347"/>
      <c r="AJ76" s="347"/>
      <c r="AK76" s="347"/>
      <c r="AL76" s="347"/>
      <c r="AM76" s="347"/>
      <c r="AN76" s="347"/>
      <c r="AO76" s="351"/>
      <c r="AP76" s="351"/>
      <c r="AQ76" s="335"/>
      <c r="AR76" s="335"/>
      <c r="AS76" s="373"/>
      <c r="AT76" s="373"/>
      <c r="AU76" s="373"/>
      <c r="AV76" s="374"/>
      <c r="AW76" s="374"/>
      <c r="AX76" s="374"/>
      <c r="AY76" s="374"/>
      <c r="AZ76" s="335"/>
      <c r="BA76" s="335"/>
      <c r="BB76" s="335"/>
      <c r="BC76" s="335"/>
      <c r="BD76" s="335"/>
      <c r="BE76" s="335"/>
    </row>
    <row r="77" customFormat="false" ht="14.15" hidden="true" customHeight="true" outlineLevel="1" collapsed="false">
      <c r="A77" s="421" t="s">
        <v>1818</v>
      </c>
      <c r="B77" s="367" t="s">
        <v>156</v>
      </c>
      <c r="C77" s="366" t="n">
        <v>0.6</v>
      </c>
      <c r="D77" s="366" t="n">
        <v>0.6</v>
      </c>
      <c r="E77" s="422" t="n">
        <v>0</v>
      </c>
      <c r="H77" s="283" t="s">
        <v>1819</v>
      </c>
      <c r="I77" s="283"/>
      <c r="J77" s="283"/>
      <c r="K77" s="283"/>
      <c r="L77" s="283"/>
      <c r="M77" s="283"/>
      <c r="N77" s="283"/>
      <c r="O77" s="283"/>
      <c r="P77" s="283"/>
      <c r="Q77" s="283"/>
      <c r="R77" s="283"/>
      <c r="S77" s="283"/>
      <c r="T77" s="283"/>
      <c r="U77" s="283"/>
      <c r="V77" s="283"/>
      <c r="W77" s="364" t="s">
        <v>1820</v>
      </c>
      <c r="X77" s="364"/>
      <c r="Y77" s="364"/>
      <c r="Z77" s="426" t="s">
        <v>1821</v>
      </c>
      <c r="AA77" s="426"/>
      <c r="AB77" s="426"/>
      <c r="AG77" s="347"/>
      <c r="AH77" s="347"/>
      <c r="AI77" s="347"/>
      <c r="AJ77" s="347"/>
      <c r="AK77" s="347"/>
      <c r="AL77" s="347"/>
      <c r="AM77" s="347"/>
      <c r="AN77" s="347"/>
      <c r="AO77" s="351"/>
      <c r="AP77" s="351"/>
      <c r="AQ77" s="335"/>
      <c r="AR77" s="335"/>
      <c r="AS77" s="373"/>
      <c r="AT77" s="373"/>
      <c r="AU77" s="373"/>
      <c r="AV77" s="374"/>
      <c r="AW77" s="374"/>
      <c r="AX77" s="374"/>
      <c r="AY77" s="374"/>
      <c r="AZ77" s="335"/>
      <c r="BA77" s="335"/>
      <c r="BB77" s="335"/>
      <c r="BC77" s="335"/>
      <c r="BD77" s="335"/>
      <c r="BE77" s="335"/>
    </row>
    <row r="78" customFormat="false" ht="14.15" hidden="true" customHeight="true" outlineLevel="1" collapsed="false">
      <c r="A78" s="421" t="s">
        <v>1822</v>
      </c>
      <c r="B78" s="367" t="s">
        <v>156</v>
      </c>
      <c r="C78" s="366" t="n">
        <v>0.8</v>
      </c>
      <c r="D78" s="366" t="n">
        <v>0.8</v>
      </c>
      <c r="E78" s="422" t="n">
        <v>0</v>
      </c>
      <c r="H78" s="283" t="s">
        <v>1823</v>
      </c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283"/>
      <c r="T78" s="283"/>
      <c r="U78" s="283"/>
      <c r="V78" s="283"/>
      <c r="W78" s="364" t="s">
        <v>1820</v>
      </c>
      <c r="X78" s="364"/>
      <c r="Y78" s="364"/>
      <c r="Z78" s="426" t="s">
        <v>1821</v>
      </c>
      <c r="AA78" s="426"/>
      <c r="AB78" s="426"/>
      <c r="AG78" s="347"/>
      <c r="AH78" s="347"/>
      <c r="AI78" s="347"/>
      <c r="AJ78" s="347"/>
      <c r="AK78" s="347"/>
      <c r="AL78" s="347"/>
      <c r="AM78" s="347"/>
      <c r="AN78" s="347"/>
      <c r="AO78" s="351"/>
      <c r="AP78" s="351"/>
      <c r="AQ78" s="335"/>
      <c r="AR78" s="335"/>
      <c r="AS78" s="373"/>
      <c r="AT78" s="373"/>
      <c r="AU78" s="373"/>
      <c r="AV78" s="374"/>
      <c r="AW78" s="374"/>
      <c r="AX78" s="374"/>
      <c r="AY78" s="374"/>
      <c r="AZ78" s="335"/>
      <c r="BA78" s="335"/>
      <c r="BB78" s="335"/>
      <c r="BC78" s="335"/>
      <c r="BD78" s="335"/>
      <c r="BE78" s="335"/>
    </row>
    <row r="79" customFormat="false" ht="14.15" hidden="true" customHeight="true" outlineLevel="1" collapsed="false">
      <c r="A79" s="421" t="s">
        <v>1824</v>
      </c>
      <c r="B79" s="367" t="s">
        <v>156</v>
      </c>
      <c r="C79" s="366" t="n">
        <v>1</v>
      </c>
      <c r="D79" s="366" t="n">
        <v>0.7</v>
      </c>
      <c r="E79" s="422" t="n">
        <v>0</v>
      </c>
      <c r="H79" s="283" t="s">
        <v>1825</v>
      </c>
      <c r="I79" s="283"/>
      <c r="J79" s="283"/>
      <c r="K79" s="283"/>
      <c r="L79" s="283"/>
      <c r="M79" s="283"/>
      <c r="N79" s="283"/>
      <c r="O79" s="283"/>
      <c r="P79" s="283"/>
      <c r="Q79" s="283"/>
      <c r="R79" s="283"/>
      <c r="S79" s="283"/>
      <c r="T79" s="283"/>
      <c r="U79" s="283"/>
      <c r="V79" s="283"/>
      <c r="W79" s="364" t="s">
        <v>1820</v>
      </c>
      <c r="X79" s="364"/>
      <c r="Y79" s="364"/>
      <c r="Z79" s="426" t="s">
        <v>1821</v>
      </c>
      <c r="AA79" s="426"/>
      <c r="AB79" s="426"/>
      <c r="AG79" s="347"/>
      <c r="AH79" s="347"/>
      <c r="AI79" s="347"/>
      <c r="AJ79" s="347"/>
      <c r="AK79" s="347"/>
      <c r="AL79" s="347"/>
      <c r="AM79" s="347"/>
      <c r="AN79" s="347"/>
      <c r="AO79" s="351"/>
      <c r="AP79" s="351"/>
      <c r="AQ79" s="335"/>
      <c r="AR79" s="335"/>
      <c r="AS79" s="373"/>
      <c r="AT79" s="373"/>
      <c r="AU79" s="373"/>
      <c r="AV79" s="374"/>
      <c r="AW79" s="374"/>
      <c r="AX79" s="374"/>
      <c r="AY79" s="374"/>
      <c r="AZ79" s="335"/>
      <c r="BA79" s="335"/>
      <c r="BB79" s="335"/>
      <c r="BC79" s="335"/>
      <c r="BD79" s="335"/>
      <c r="BE79" s="335"/>
    </row>
    <row r="80" customFormat="false" ht="14.15" hidden="true" customHeight="true" outlineLevel="1" collapsed="false">
      <c r="A80" s="421" t="s">
        <v>1826</v>
      </c>
      <c r="B80" s="367" t="s">
        <v>156</v>
      </c>
      <c r="C80" s="366" t="n">
        <v>5</v>
      </c>
      <c r="D80" s="366" t="n">
        <v>3</v>
      </c>
      <c r="E80" s="422" t="n">
        <v>0</v>
      </c>
      <c r="H80" s="283" t="s">
        <v>1827</v>
      </c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283"/>
      <c r="T80" s="283"/>
      <c r="U80" s="283"/>
      <c r="V80" s="283"/>
      <c r="W80" s="364" t="s">
        <v>1820</v>
      </c>
      <c r="X80" s="364"/>
      <c r="Y80" s="364"/>
      <c r="Z80" s="426" t="s">
        <v>1821</v>
      </c>
      <c r="AA80" s="426"/>
      <c r="AB80" s="426"/>
      <c r="AG80" s="347"/>
      <c r="AH80" s="347"/>
      <c r="AI80" s="347"/>
      <c r="AJ80" s="347"/>
      <c r="AK80" s="347"/>
      <c r="AL80" s="347"/>
      <c r="AM80" s="347"/>
      <c r="AN80" s="347"/>
      <c r="AO80" s="351"/>
      <c r="AP80" s="351"/>
      <c r="AQ80" s="335"/>
      <c r="AR80" s="335"/>
      <c r="AS80" s="373"/>
      <c r="AT80" s="373"/>
      <c r="AU80" s="373"/>
      <c r="AV80" s="374"/>
      <c r="AW80" s="374"/>
      <c r="AX80" s="374"/>
      <c r="AY80" s="374"/>
      <c r="AZ80" s="335"/>
      <c r="BA80" s="335"/>
      <c r="BB80" s="335"/>
      <c r="BC80" s="335"/>
      <c r="BD80" s="335"/>
      <c r="BE80" s="335"/>
    </row>
    <row r="81" customFormat="false" ht="14.15" hidden="true" customHeight="true" outlineLevel="1" collapsed="false">
      <c r="A81" s="421" t="s">
        <v>1828</v>
      </c>
      <c r="B81" s="367" t="s">
        <v>156</v>
      </c>
      <c r="C81" s="366" t="n">
        <v>6</v>
      </c>
      <c r="D81" s="366" t="n">
        <v>2</v>
      </c>
      <c r="E81" s="422" t="n">
        <v>0</v>
      </c>
      <c r="H81" s="283" t="s">
        <v>1829</v>
      </c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364" t="s">
        <v>1820</v>
      </c>
      <c r="X81" s="364"/>
      <c r="Y81" s="364"/>
      <c r="Z81" s="426" t="s">
        <v>1798</v>
      </c>
      <c r="AA81" s="426"/>
      <c r="AB81" s="426"/>
      <c r="AF81" s="347"/>
      <c r="AG81" s="347"/>
      <c r="AH81" s="347"/>
      <c r="AI81" s="347"/>
      <c r="AJ81" s="347"/>
      <c r="AK81" s="347"/>
      <c r="AL81" s="347"/>
      <c r="AM81" s="347"/>
      <c r="AN81" s="347"/>
      <c r="AO81" s="351"/>
      <c r="AP81" s="351"/>
      <c r="AQ81" s="335"/>
      <c r="AR81" s="335"/>
      <c r="AS81" s="373"/>
      <c r="AT81" s="373"/>
      <c r="AU81" s="373"/>
      <c r="AV81" s="374"/>
      <c r="AW81" s="374"/>
      <c r="AX81" s="374"/>
      <c r="AY81" s="374"/>
      <c r="AZ81" s="335"/>
      <c r="BA81" s="335"/>
      <c r="BB81" s="335"/>
      <c r="BC81" s="335"/>
      <c r="BD81" s="335"/>
      <c r="BE81" s="335"/>
    </row>
    <row r="82" customFormat="false" ht="14.15" hidden="true" customHeight="true" outlineLevel="1" collapsed="false">
      <c r="A82" s="421" t="s">
        <v>1830</v>
      </c>
      <c r="B82" s="364" t="s">
        <v>156</v>
      </c>
      <c r="C82" s="368" t="n">
        <v>0.8</v>
      </c>
      <c r="D82" s="368" t="n">
        <v>2.1</v>
      </c>
      <c r="E82" s="414" t="n">
        <v>0</v>
      </c>
      <c r="H82" s="283" t="s">
        <v>1831</v>
      </c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283"/>
      <c r="T82" s="283"/>
      <c r="U82" s="283"/>
      <c r="V82" s="283"/>
      <c r="W82" s="364" t="s">
        <v>1820</v>
      </c>
      <c r="X82" s="364"/>
      <c r="Y82" s="364"/>
      <c r="Z82" s="426" t="s">
        <v>1798</v>
      </c>
      <c r="AA82" s="426"/>
      <c r="AB82" s="426"/>
      <c r="AF82" s="347"/>
      <c r="AG82" s="347"/>
      <c r="AH82" s="347"/>
      <c r="AI82" s="347"/>
      <c r="AJ82" s="347"/>
      <c r="AK82" s="347"/>
      <c r="AL82" s="347"/>
      <c r="AM82" s="347"/>
      <c r="AN82" s="347"/>
      <c r="AO82" s="351"/>
      <c r="AP82" s="351"/>
      <c r="AQ82" s="335"/>
      <c r="AR82" s="335"/>
      <c r="AS82" s="373"/>
      <c r="AT82" s="373"/>
      <c r="AU82" s="373"/>
      <c r="AV82" s="374"/>
      <c r="AW82" s="374"/>
      <c r="AX82" s="374"/>
      <c r="AY82" s="374"/>
      <c r="AZ82" s="335"/>
      <c r="BA82" s="335"/>
      <c r="BB82" s="335"/>
      <c r="BC82" s="335"/>
      <c r="BD82" s="335"/>
      <c r="BE82" s="335"/>
    </row>
    <row r="83" customFormat="false" ht="14.15" hidden="true" customHeight="true" outlineLevel="1" collapsed="false">
      <c r="B83" s="324"/>
      <c r="F83" s="355"/>
      <c r="G83" s="355"/>
      <c r="H83" s="283" t="s">
        <v>1832</v>
      </c>
      <c r="I83" s="283"/>
      <c r="J83" s="283"/>
      <c r="K83" s="283"/>
      <c r="L83" s="283"/>
      <c r="M83" s="283"/>
      <c r="N83" s="283"/>
      <c r="O83" s="283"/>
      <c r="P83" s="283"/>
      <c r="Q83" s="283"/>
      <c r="R83" s="283"/>
      <c r="S83" s="283"/>
      <c r="T83" s="283"/>
      <c r="U83" s="283"/>
      <c r="V83" s="283"/>
      <c r="W83" s="364" t="s">
        <v>1820</v>
      </c>
      <c r="X83" s="364"/>
      <c r="Y83" s="364"/>
      <c r="Z83" s="426" t="s">
        <v>1798</v>
      </c>
      <c r="AA83" s="426"/>
      <c r="AB83" s="426"/>
      <c r="AF83" s="347"/>
      <c r="AG83" s="347"/>
      <c r="AH83" s="347"/>
      <c r="AI83" s="347"/>
      <c r="AJ83" s="347"/>
      <c r="AK83" s="347"/>
      <c r="AL83" s="347"/>
      <c r="AM83" s="347"/>
      <c r="AN83" s="347"/>
      <c r="AO83" s="351"/>
      <c r="AP83" s="351"/>
      <c r="AQ83" s="335"/>
      <c r="AR83" s="335"/>
      <c r="AS83" s="373"/>
      <c r="AT83" s="373"/>
      <c r="AU83" s="373"/>
      <c r="AV83" s="374"/>
      <c r="AW83" s="374"/>
      <c r="AX83" s="374"/>
      <c r="AY83" s="374"/>
      <c r="AZ83" s="335"/>
      <c r="BA83" s="335"/>
      <c r="BB83" s="335"/>
      <c r="BC83" s="335"/>
      <c r="BD83" s="335"/>
      <c r="BE83" s="335"/>
    </row>
    <row r="84" customFormat="false" ht="14.15" hidden="true" customHeight="true" outlineLevel="1" collapsed="false">
      <c r="A84" s="427" t="s">
        <v>1833</v>
      </c>
      <c r="B84" s="365" t="s">
        <v>120</v>
      </c>
      <c r="C84" s="428" t="s">
        <v>1800</v>
      </c>
      <c r="D84" s="428" t="s">
        <v>293</v>
      </c>
      <c r="E84" s="428" t="s">
        <v>1802</v>
      </c>
      <c r="F84" s="244"/>
      <c r="G84" s="357"/>
      <c r="H84" s="283" t="s">
        <v>1834</v>
      </c>
      <c r="I84" s="283"/>
      <c r="J84" s="283"/>
      <c r="K84" s="283"/>
      <c r="L84" s="283"/>
      <c r="M84" s="283"/>
      <c r="N84" s="283"/>
      <c r="O84" s="283"/>
      <c r="P84" s="283"/>
      <c r="Q84" s="283"/>
      <c r="R84" s="283"/>
      <c r="S84" s="283"/>
      <c r="T84" s="283"/>
      <c r="U84" s="283"/>
      <c r="V84" s="283"/>
      <c r="W84" s="364" t="s">
        <v>1820</v>
      </c>
      <c r="X84" s="364"/>
      <c r="Y84" s="364"/>
      <c r="Z84" s="426" t="s">
        <v>1821</v>
      </c>
      <c r="AA84" s="426"/>
      <c r="AB84" s="426"/>
      <c r="AC84" s="347"/>
      <c r="AD84" s="347"/>
      <c r="AE84" s="347"/>
      <c r="AF84" s="347"/>
      <c r="AG84" s="347"/>
      <c r="AH84" s="347"/>
      <c r="AI84" s="347"/>
      <c r="AJ84" s="347"/>
      <c r="AK84" s="347"/>
      <c r="AL84" s="347"/>
      <c r="AM84" s="347"/>
      <c r="AN84" s="347"/>
      <c r="AO84" s="351"/>
      <c r="AP84" s="351"/>
      <c r="AQ84" s="335"/>
      <c r="AR84" s="335"/>
      <c r="AS84" s="373"/>
      <c r="AT84" s="373"/>
      <c r="AU84" s="373"/>
      <c r="AV84" s="374"/>
      <c r="AW84" s="374"/>
      <c r="AX84" s="374"/>
      <c r="AY84" s="374"/>
      <c r="AZ84" s="335"/>
      <c r="BA84" s="335"/>
      <c r="BB84" s="335"/>
      <c r="BC84" s="335"/>
      <c r="BD84" s="335"/>
      <c r="BE84" s="335"/>
    </row>
    <row r="85" customFormat="false" ht="14.15" hidden="true" customHeight="true" outlineLevel="1" collapsed="false">
      <c r="A85" s="421" t="s">
        <v>1835</v>
      </c>
      <c r="B85" s="364" t="s">
        <v>156</v>
      </c>
      <c r="C85" s="366" t="n">
        <v>0.8</v>
      </c>
      <c r="D85" s="366" t="n">
        <v>2</v>
      </c>
      <c r="E85" s="366" t="n">
        <v>0</v>
      </c>
      <c r="F85" s="244"/>
      <c r="G85" s="357"/>
      <c r="H85" s="283" t="s">
        <v>1218</v>
      </c>
      <c r="I85" s="283"/>
      <c r="J85" s="283"/>
      <c r="K85" s="283"/>
      <c r="L85" s="283"/>
      <c r="M85" s="283"/>
      <c r="N85" s="283"/>
      <c r="O85" s="283"/>
      <c r="P85" s="283"/>
      <c r="Q85" s="283"/>
      <c r="R85" s="283"/>
      <c r="S85" s="283"/>
      <c r="T85" s="283"/>
      <c r="U85" s="283"/>
      <c r="V85" s="283"/>
      <c r="W85" s="364" t="s">
        <v>1820</v>
      </c>
      <c r="X85" s="364"/>
      <c r="Y85" s="364"/>
      <c r="Z85" s="426" t="s">
        <v>1821</v>
      </c>
      <c r="AA85" s="426"/>
      <c r="AB85" s="426"/>
      <c r="AC85" s="347"/>
      <c r="AD85" s="347"/>
      <c r="AE85" s="347"/>
      <c r="AF85" s="347"/>
      <c r="AG85" s="347"/>
      <c r="AH85" s="347"/>
      <c r="AI85" s="347"/>
      <c r="AJ85" s="347"/>
      <c r="AK85" s="347"/>
      <c r="AL85" s="347"/>
      <c r="AM85" s="347"/>
      <c r="AN85" s="347"/>
      <c r="AO85" s="351"/>
      <c r="AP85" s="351"/>
      <c r="AQ85" s="335"/>
      <c r="AR85" s="335"/>
      <c r="AS85" s="373"/>
      <c r="AT85" s="373"/>
      <c r="AU85" s="373"/>
      <c r="AV85" s="374"/>
      <c r="AW85" s="374"/>
      <c r="AX85" s="374"/>
      <c r="AY85" s="374"/>
      <c r="AZ85" s="335"/>
      <c r="BA85" s="335"/>
      <c r="BB85" s="335"/>
      <c r="BC85" s="335"/>
      <c r="BD85" s="335"/>
      <c r="BE85" s="335"/>
    </row>
    <row r="86" customFormat="false" ht="14.15" hidden="true" customHeight="true" outlineLevel="1" collapsed="false">
      <c r="A86" s="368" t="s">
        <v>1836</v>
      </c>
      <c r="B86" s="364" t="s">
        <v>156</v>
      </c>
      <c r="C86" s="366" t="n">
        <v>0.9</v>
      </c>
      <c r="D86" s="366" t="n">
        <v>2.1</v>
      </c>
      <c r="E86" s="366" t="n">
        <v>0</v>
      </c>
      <c r="F86" s="244"/>
      <c r="G86" s="357"/>
      <c r="H86" s="429" t="s">
        <v>151</v>
      </c>
      <c r="I86" s="429"/>
      <c r="J86" s="429"/>
      <c r="K86" s="429"/>
      <c r="L86" s="429"/>
      <c r="M86" s="429"/>
      <c r="N86" s="429"/>
      <c r="O86" s="429"/>
      <c r="P86" s="429"/>
      <c r="Q86" s="429"/>
      <c r="R86" s="429"/>
      <c r="S86" s="429"/>
      <c r="T86" s="429"/>
      <c r="U86" s="429"/>
      <c r="V86" s="429"/>
      <c r="W86" s="429"/>
      <c r="X86" s="429"/>
      <c r="Y86" s="429"/>
      <c r="Z86" s="429"/>
      <c r="AA86" s="429"/>
      <c r="AB86" s="429"/>
      <c r="AC86" s="347"/>
      <c r="AD86" s="347"/>
      <c r="AE86" s="347"/>
      <c r="AF86" s="347"/>
      <c r="AG86" s="347"/>
      <c r="AH86" s="347"/>
      <c r="AI86" s="347"/>
      <c r="AJ86" s="347"/>
      <c r="AK86" s="347"/>
      <c r="AL86" s="347"/>
      <c r="AM86" s="347"/>
      <c r="AN86" s="347"/>
      <c r="AO86" s="351"/>
      <c r="AP86" s="351"/>
      <c r="AQ86" s="335"/>
      <c r="AR86" s="335"/>
      <c r="AS86" s="373"/>
      <c r="AT86" s="373"/>
      <c r="AU86" s="373"/>
      <c r="AV86" s="374"/>
      <c r="AW86" s="374"/>
      <c r="AX86" s="374"/>
      <c r="AY86" s="374"/>
      <c r="AZ86" s="335"/>
      <c r="BA86" s="335"/>
      <c r="BB86" s="335"/>
      <c r="BC86" s="335"/>
      <c r="BD86" s="335"/>
      <c r="BE86" s="335"/>
    </row>
    <row r="87" customFormat="false" ht="14.15" hidden="true" customHeight="true" outlineLevel="1" collapsed="false">
      <c r="A87" s="368" t="s">
        <v>1837</v>
      </c>
      <c r="B87" s="364" t="s">
        <v>156</v>
      </c>
      <c r="C87" s="366" t="n">
        <v>1</v>
      </c>
      <c r="D87" s="366" t="n">
        <v>2</v>
      </c>
      <c r="E87" s="366" t="n">
        <v>0</v>
      </c>
      <c r="F87" s="244"/>
      <c r="G87" s="357"/>
      <c r="H87" s="430" t="s">
        <v>152</v>
      </c>
      <c r="I87" s="430"/>
      <c r="J87" s="430"/>
      <c r="K87" s="430"/>
      <c r="L87" s="430"/>
      <c r="M87" s="430"/>
      <c r="N87" s="430"/>
      <c r="O87" s="430"/>
      <c r="P87" s="430"/>
      <c r="Q87" s="430"/>
      <c r="R87" s="430"/>
      <c r="S87" s="430"/>
      <c r="T87" s="430"/>
      <c r="U87" s="430"/>
      <c r="V87" s="430"/>
      <c r="W87" s="404" t="s">
        <v>154</v>
      </c>
      <c r="X87" s="404"/>
      <c r="Y87" s="404"/>
      <c r="Z87" s="183" t="n">
        <v>0</v>
      </c>
      <c r="AA87" s="183"/>
      <c r="AB87" s="183"/>
      <c r="AC87" s="347"/>
      <c r="AD87" s="347"/>
      <c r="AE87" s="347"/>
      <c r="AF87" s="347"/>
      <c r="AG87" s="347"/>
      <c r="AH87" s="347"/>
      <c r="AI87" s="347"/>
      <c r="AJ87" s="347"/>
      <c r="AK87" s="347"/>
      <c r="AL87" s="347"/>
      <c r="AM87" s="347"/>
      <c r="AN87" s="347"/>
      <c r="AO87" s="351"/>
      <c r="AP87" s="351"/>
      <c r="AQ87" s="335"/>
      <c r="AR87" s="335"/>
      <c r="AS87" s="373"/>
      <c r="AT87" s="373"/>
      <c r="AU87" s="373"/>
      <c r="AV87" s="374"/>
      <c r="AW87" s="374"/>
      <c r="AX87" s="374"/>
      <c r="AY87" s="374"/>
      <c r="AZ87" s="335"/>
      <c r="BA87" s="335"/>
      <c r="BB87" s="335"/>
      <c r="BC87" s="335"/>
      <c r="BD87" s="335"/>
      <c r="BE87" s="335"/>
    </row>
    <row r="88" customFormat="false" ht="14.15" hidden="true" customHeight="true" outlineLevel="1" collapsed="false">
      <c r="A88" s="431"/>
      <c r="B88" s="432"/>
      <c r="C88" s="431"/>
      <c r="D88" s="431"/>
      <c r="E88" s="431"/>
      <c r="F88" s="244"/>
      <c r="G88" s="357"/>
      <c r="H88" s="433" t="s">
        <v>152</v>
      </c>
      <c r="I88" s="433"/>
      <c r="J88" s="433"/>
      <c r="K88" s="433"/>
      <c r="L88" s="433"/>
      <c r="M88" s="433"/>
      <c r="N88" s="433"/>
      <c r="O88" s="433"/>
      <c r="P88" s="433"/>
      <c r="Q88" s="433"/>
      <c r="R88" s="433"/>
      <c r="S88" s="433"/>
      <c r="T88" s="433"/>
      <c r="U88" s="433"/>
      <c r="V88" s="433"/>
      <c r="W88" s="404" t="s">
        <v>159</v>
      </c>
      <c r="X88" s="404"/>
      <c r="Y88" s="404"/>
      <c r="Z88" s="263" t="n">
        <v>3</v>
      </c>
      <c r="AA88" s="263"/>
      <c r="AB88" s="263"/>
      <c r="AC88" s="347"/>
      <c r="AD88" s="347"/>
      <c r="AE88" s="347"/>
      <c r="AF88" s="347"/>
      <c r="AG88" s="347"/>
      <c r="AH88" s="347"/>
      <c r="AI88" s="347"/>
      <c r="AJ88" s="347"/>
      <c r="AK88" s="347"/>
      <c r="AL88" s="347"/>
      <c r="AM88" s="347"/>
      <c r="AN88" s="347"/>
      <c r="AO88" s="351"/>
      <c r="AP88" s="351"/>
      <c r="AQ88" s="335"/>
      <c r="AR88" s="335"/>
      <c r="AS88" s="373"/>
      <c r="AT88" s="373"/>
      <c r="AU88" s="373"/>
      <c r="AV88" s="374"/>
      <c r="AW88" s="374"/>
      <c r="AX88" s="374"/>
      <c r="AY88" s="374"/>
      <c r="AZ88" s="335"/>
      <c r="BA88" s="335"/>
      <c r="BB88" s="335"/>
      <c r="BC88" s="335"/>
      <c r="BD88" s="335"/>
      <c r="BE88" s="335"/>
    </row>
    <row r="89" customFormat="false" ht="14.15" hidden="true" customHeight="true" outlineLevel="1" collapsed="false">
      <c r="A89" s="427" t="s">
        <v>1838</v>
      </c>
      <c r="B89" s="365" t="s">
        <v>120</v>
      </c>
      <c r="C89" s="428" t="s">
        <v>1800</v>
      </c>
      <c r="D89" s="428" t="s">
        <v>293</v>
      </c>
      <c r="E89" s="428" t="s">
        <v>1802</v>
      </c>
      <c r="F89" s="357"/>
      <c r="G89" s="357"/>
      <c r="K89" s="347"/>
      <c r="L89" s="347"/>
      <c r="M89" s="348"/>
      <c r="N89" s="348"/>
      <c r="O89" s="348"/>
      <c r="P89" s="348"/>
      <c r="Q89" s="347"/>
      <c r="R89" s="347"/>
      <c r="S89" s="347"/>
      <c r="T89" s="347"/>
      <c r="U89" s="347"/>
      <c r="V89" s="347"/>
      <c r="W89" s="325"/>
      <c r="X89" s="347"/>
      <c r="Y89" s="347"/>
      <c r="AA89" s="347"/>
      <c r="AB89" s="347"/>
      <c r="AC89" s="347"/>
      <c r="AD89" s="347"/>
      <c r="AE89" s="347"/>
      <c r="AF89" s="347"/>
      <c r="AG89" s="347"/>
      <c r="AH89" s="347"/>
      <c r="AI89" s="347"/>
      <c r="AJ89" s="347"/>
      <c r="AK89" s="347"/>
      <c r="AL89" s="347"/>
      <c r="AM89" s="347"/>
      <c r="AN89" s="347"/>
      <c r="AO89" s="351"/>
      <c r="AP89" s="351"/>
      <c r="AQ89" s="335"/>
      <c r="AR89" s="335"/>
      <c r="AS89" s="373"/>
      <c r="AT89" s="373"/>
      <c r="AU89" s="373"/>
      <c r="AV89" s="374"/>
      <c r="AW89" s="374"/>
      <c r="AX89" s="374"/>
      <c r="AY89" s="374"/>
      <c r="AZ89" s="335"/>
      <c r="BA89" s="335"/>
      <c r="BB89" s="335"/>
      <c r="BC89" s="335"/>
      <c r="BD89" s="335"/>
      <c r="BE89" s="335"/>
    </row>
    <row r="90" customFormat="false" ht="14.15" hidden="true" customHeight="true" outlineLevel="1" collapsed="false">
      <c r="A90" s="235" t="s">
        <v>1839</v>
      </c>
      <c r="B90" s="235"/>
      <c r="C90" s="235"/>
      <c r="D90" s="235"/>
      <c r="E90" s="235"/>
      <c r="F90" s="357"/>
      <c r="G90" s="357"/>
      <c r="H90" s="261" t="s">
        <v>1840</v>
      </c>
      <c r="I90" s="261"/>
      <c r="J90" s="261"/>
      <c r="K90" s="261"/>
      <c r="L90" s="261"/>
      <c r="M90" s="261"/>
      <c r="N90" s="261"/>
      <c r="O90" s="261"/>
      <c r="P90" s="261"/>
      <c r="Q90" s="261"/>
      <c r="R90" s="261"/>
      <c r="S90" s="261"/>
      <c r="T90" s="261"/>
      <c r="U90" s="261"/>
      <c r="V90" s="261"/>
      <c r="W90" s="404" t="s">
        <v>1796</v>
      </c>
      <c r="X90" s="404"/>
      <c r="Y90" s="404"/>
      <c r="Z90" s="434" t="n">
        <v>5000</v>
      </c>
      <c r="AA90" s="434"/>
      <c r="AB90" s="434"/>
      <c r="AC90" s="347"/>
      <c r="AD90" s="347"/>
      <c r="AE90" s="347"/>
      <c r="AF90" s="347"/>
      <c r="AG90" s="347"/>
      <c r="AH90" s="347"/>
      <c r="AI90" s="347"/>
      <c r="AJ90" s="347"/>
      <c r="AK90" s="347"/>
      <c r="AL90" s="347"/>
      <c r="AM90" s="347"/>
      <c r="AN90" s="347"/>
      <c r="AO90" s="351"/>
      <c r="AP90" s="351"/>
      <c r="AQ90" s="335"/>
      <c r="AR90" s="335"/>
      <c r="AS90" s="373"/>
      <c r="AT90" s="373"/>
      <c r="AU90" s="373"/>
      <c r="AV90" s="374"/>
      <c r="AW90" s="374"/>
      <c r="AX90" s="374"/>
      <c r="AY90" s="374"/>
      <c r="AZ90" s="335"/>
      <c r="BA90" s="335"/>
      <c r="BB90" s="335"/>
      <c r="BC90" s="335"/>
      <c r="BD90" s="335"/>
      <c r="BE90" s="335"/>
    </row>
    <row r="91" customFormat="false" ht="14.15" hidden="true" customHeight="true" outlineLevel="1" collapsed="false">
      <c r="A91" s="421" t="s">
        <v>1841</v>
      </c>
      <c r="B91" s="364" t="s">
        <v>156</v>
      </c>
      <c r="C91" s="366" t="n">
        <v>0.8</v>
      </c>
      <c r="D91" s="366" t="n">
        <v>2.1</v>
      </c>
      <c r="E91" s="366" t="n">
        <v>0</v>
      </c>
      <c r="F91" s="357"/>
      <c r="G91" s="357"/>
      <c r="K91" s="347"/>
      <c r="L91" s="347"/>
      <c r="M91" s="348"/>
      <c r="N91" s="348"/>
      <c r="O91" s="348"/>
      <c r="P91" s="348"/>
      <c r="Q91" s="347"/>
      <c r="R91" s="347"/>
      <c r="S91" s="347"/>
      <c r="T91" s="347"/>
      <c r="U91" s="347"/>
      <c r="V91" s="34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7"/>
      <c r="AH91" s="347"/>
      <c r="AI91" s="347"/>
      <c r="AJ91" s="347"/>
      <c r="AK91" s="347"/>
      <c r="AL91" s="347"/>
      <c r="AM91" s="347"/>
      <c r="AN91" s="347"/>
      <c r="AO91" s="351"/>
      <c r="AP91" s="351"/>
      <c r="AQ91" s="335"/>
      <c r="AR91" s="335"/>
      <c r="AS91" s="373"/>
      <c r="AT91" s="373"/>
      <c r="AU91" s="373"/>
      <c r="AV91" s="374"/>
      <c r="AW91" s="374"/>
      <c r="AX91" s="374"/>
      <c r="AY91" s="374"/>
      <c r="AZ91" s="335"/>
      <c r="BA91" s="335"/>
      <c r="BB91" s="335"/>
      <c r="BC91" s="335"/>
      <c r="BD91" s="335"/>
      <c r="BE91" s="335"/>
    </row>
    <row r="92" customFormat="false" ht="14.15" hidden="true" customHeight="true" outlineLevel="1" collapsed="false">
      <c r="A92" s="421" t="s">
        <v>1842</v>
      </c>
      <c r="B92" s="364" t="s">
        <v>156</v>
      </c>
      <c r="C92" s="366" t="n">
        <v>0.6</v>
      </c>
      <c r="D92" s="366" t="n">
        <v>2</v>
      </c>
      <c r="E92" s="366" t="n">
        <v>0</v>
      </c>
      <c r="F92" s="357"/>
      <c r="G92" s="357"/>
      <c r="H92" s="347"/>
      <c r="I92" s="358"/>
      <c r="AE92" s="347"/>
      <c r="AF92" s="347"/>
      <c r="AG92" s="347"/>
      <c r="AH92" s="347"/>
      <c r="AI92" s="347"/>
      <c r="AJ92" s="347"/>
      <c r="AK92" s="347"/>
      <c r="AL92" s="347"/>
      <c r="AM92" s="347"/>
      <c r="AN92" s="347"/>
      <c r="AO92" s="351"/>
      <c r="AP92" s="351"/>
      <c r="AQ92" s="335"/>
      <c r="AR92" s="335"/>
      <c r="AS92" s="373"/>
      <c r="AT92" s="373"/>
      <c r="AU92" s="373"/>
      <c r="AV92" s="374"/>
      <c r="AW92" s="374"/>
      <c r="AX92" s="374"/>
      <c r="AY92" s="374"/>
      <c r="AZ92" s="335"/>
      <c r="BA92" s="335"/>
      <c r="BB92" s="335"/>
      <c r="BC92" s="335"/>
      <c r="BD92" s="335"/>
      <c r="BE92" s="335"/>
    </row>
    <row r="93" customFormat="false" ht="14.15" hidden="true" customHeight="true" outlineLevel="1" collapsed="false">
      <c r="A93" s="366" t="s">
        <v>1843</v>
      </c>
      <c r="B93" s="364" t="s">
        <v>156</v>
      </c>
      <c r="C93" s="366" t="n">
        <v>2</v>
      </c>
      <c r="D93" s="366" t="n">
        <v>2.3</v>
      </c>
      <c r="E93" s="366" t="n">
        <v>0</v>
      </c>
      <c r="F93" s="357"/>
      <c r="G93" s="357"/>
      <c r="H93" s="347"/>
      <c r="I93" s="358"/>
      <c r="AE93" s="347"/>
      <c r="AF93" s="347"/>
      <c r="AG93" s="347"/>
      <c r="AH93" s="347"/>
      <c r="AI93" s="347"/>
      <c r="AJ93" s="347"/>
      <c r="AK93" s="347"/>
      <c r="AL93" s="347"/>
      <c r="AM93" s="347"/>
      <c r="AN93" s="347"/>
      <c r="AO93" s="351"/>
      <c r="AP93" s="351"/>
      <c r="AQ93" s="335"/>
      <c r="AR93" s="335"/>
      <c r="AS93" s="373"/>
      <c r="AT93" s="373"/>
      <c r="AU93" s="373"/>
      <c r="AV93" s="374"/>
      <c r="AW93" s="374"/>
      <c r="AX93" s="374"/>
      <c r="AY93" s="374"/>
      <c r="AZ93" s="335"/>
      <c r="BA93" s="335"/>
      <c r="BB93" s="335"/>
      <c r="BC93" s="335"/>
      <c r="BD93" s="335"/>
      <c r="BE93" s="335"/>
    </row>
    <row r="94" customFormat="false" ht="14.15" hidden="true" customHeight="true" outlineLevel="1" collapsed="false">
      <c r="A94" s="235" t="s">
        <v>1844</v>
      </c>
      <c r="B94" s="235"/>
      <c r="C94" s="235"/>
      <c r="D94" s="235"/>
      <c r="E94" s="235"/>
      <c r="F94" s="357"/>
      <c r="G94" s="357"/>
      <c r="H94" s="347"/>
      <c r="I94" s="358"/>
      <c r="AE94" s="347"/>
      <c r="AF94" s="347"/>
      <c r="AG94" s="347"/>
      <c r="AH94" s="347"/>
      <c r="AI94" s="347"/>
      <c r="AJ94" s="347"/>
      <c r="AK94" s="347"/>
      <c r="AL94" s="347"/>
      <c r="AM94" s="347"/>
      <c r="AN94" s="347"/>
      <c r="AO94" s="351"/>
      <c r="AP94" s="351"/>
      <c r="AQ94" s="335"/>
      <c r="AR94" s="335"/>
      <c r="AS94" s="373"/>
      <c r="AT94" s="373"/>
      <c r="AU94" s="373"/>
      <c r="AV94" s="374"/>
      <c r="AW94" s="374"/>
      <c r="AX94" s="374"/>
      <c r="AY94" s="374"/>
      <c r="AZ94" s="335"/>
      <c r="BA94" s="335"/>
      <c r="BB94" s="335"/>
      <c r="BC94" s="335"/>
      <c r="BD94" s="335"/>
      <c r="BE94" s="335"/>
    </row>
    <row r="95" customFormat="false" ht="14.15" hidden="true" customHeight="true" outlineLevel="1" collapsed="false">
      <c r="A95" s="421" t="s">
        <v>1845</v>
      </c>
      <c r="B95" s="364" t="s">
        <v>156</v>
      </c>
      <c r="C95" s="366" t="n">
        <v>0.9</v>
      </c>
      <c r="D95" s="366" t="n">
        <v>2.1</v>
      </c>
      <c r="E95" s="366" t="n">
        <v>0</v>
      </c>
      <c r="F95" s="357"/>
      <c r="G95" s="357"/>
      <c r="H95" s="347"/>
      <c r="I95" s="358"/>
      <c r="AE95" s="347"/>
      <c r="AF95" s="347"/>
      <c r="AG95" s="347"/>
      <c r="AH95" s="347"/>
      <c r="AI95" s="347"/>
      <c r="AJ95" s="347"/>
      <c r="AK95" s="347"/>
      <c r="AL95" s="347"/>
      <c r="AM95" s="347"/>
      <c r="AN95" s="347"/>
      <c r="AO95" s="351"/>
      <c r="AP95" s="351"/>
      <c r="AQ95" s="335"/>
      <c r="AR95" s="335"/>
      <c r="AS95" s="373"/>
      <c r="AT95" s="373"/>
      <c r="AU95" s="373"/>
      <c r="AV95" s="374"/>
      <c r="AW95" s="374"/>
      <c r="AX95" s="374"/>
      <c r="AY95" s="374"/>
      <c r="AZ95" s="335"/>
      <c r="BA95" s="335"/>
      <c r="BB95" s="335"/>
      <c r="BC95" s="335"/>
      <c r="BD95" s="335"/>
      <c r="BE95" s="335"/>
    </row>
    <row r="96" customFormat="false" ht="14.15" hidden="true" customHeight="true" outlineLevel="1" collapsed="false">
      <c r="A96" s="421" t="s">
        <v>1846</v>
      </c>
      <c r="B96" s="364"/>
      <c r="C96" s="366" t="n">
        <v>1</v>
      </c>
      <c r="D96" s="366" t="n">
        <v>2</v>
      </c>
      <c r="E96" s="366" t="n">
        <v>0</v>
      </c>
      <c r="F96" s="357"/>
      <c r="G96" s="357"/>
      <c r="H96" s="347"/>
      <c r="I96" s="358"/>
      <c r="AE96" s="347"/>
      <c r="AF96" s="347"/>
      <c r="AG96" s="347"/>
      <c r="AH96" s="347"/>
      <c r="AI96" s="347"/>
      <c r="AJ96" s="347"/>
      <c r="AK96" s="347"/>
      <c r="AL96" s="347"/>
      <c r="AM96" s="347"/>
      <c r="AN96" s="347"/>
      <c r="AO96" s="351"/>
      <c r="AP96" s="351"/>
      <c r="AQ96" s="335"/>
      <c r="AR96" s="335"/>
      <c r="AS96" s="373"/>
      <c r="AT96" s="373"/>
      <c r="AU96" s="373"/>
      <c r="AV96" s="374"/>
      <c r="AW96" s="374"/>
      <c r="AX96" s="374"/>
      <c r="AY96" s="374"/>
      <c r="AZ96" s="335"/>
      <c r="BA96" s="335"/>
      <c r="BB96" s="335"/>
      <c r="BC96" s="335"/>
      <c r="BD96" s="335"/>
      <c r="BE96" s="335"/>
    </row>
    <row r="97" customFormat="false" ht="14.15" hidden="true" customHeight="true" outlineLevel="1" collapsed="false">
      <c r="A97" s="366" t="s">
        <v>1847</v>
      </c>
      <c r="B97" s="364" t="s">
        <v>156</v>
      </c>
      <c r="C97" s="366" t="n">
        <v>1.4</v>
      </c>
      <c r="D97" s="366" t="n">
        <v>3</v>
      </c>
      <c r="E97" s="366" t="n">
        <v>0</v>
      </c>
      <c r="F97" s="357"/>
      <c r="G97" s="357"/>
      <c r="H97" s="347"/>
      <c r="I97" s="358"/>
      <c r="AE97" s="347"/>
      <c r="AF97" s="347"/>
      <c r="AG97" s="347"/>
      <c r="AH97" s="347"/>
      <c r="AI97" s="347"/>
      <c r="AJ97" s="347"/>
      <c r="AK97" s="347"/>
      <c r="AL97" s="347"/>
      <c r="AM97" s="347"/>
      <c r="AN97" s="347"/>
      <c r="AO97" s="351"/>
      <c r="AP97" s="351"/>
      <c r="AQ97" s="335"/>
      <c r="AR97" s="335"/>
      <c r="AS97" s="373"/>
      <c r="AT97" s="373"/>
      <c r="AU97" s="373"/>
      <c r="AV97" s="374"/>
      <c r="AW97" s="374"/>
      <c r="AX97" s="374"/>
      <c r="AY97" s="374"/>
      <c r="AZ97" s="335"/>
      <c r="BA97" s="335"/>
      <c r="BB97" s="335"/>
      <c r="BC97" s="335"/>
      <c r="BD97" s="335"/>
      <c r="BE97" s="335"/>
    </row>
    <row r="98" customFormat="false" ht="14.15" hidden="true" customHeight="true" outlineLevel="1" collapsed="false">
      <c r="A98" s="235" t="s">
        <v>1848</v>
      </c>
      <c r="B98" s="235"/>
      <c r="C98" s="235"/>
      <c r="D98" s="235"/>
      <c r="E98" s="235"/>
      <c r="F98" s="357"/>
      <c r="G98" s="357"/>
      <c r="H98" s="347"/>
      <c r="I98" s="358"/>
      <c r="AE98" s="347"/>
      <c r="AF98" s="347"/>
      <c r="AG98" s="347"/>
      <c r="AH98" s="347"/>
      <c r="AI98" s="347"/>
      <c r="AJ98" s="347"/>
      <c r="AK98" s="347"/>
      <c r="AL98" s="347"/>
      <c r="AM98" s="347"/>
      <c r="AN98" s="347"/>
      <c r="AO98" s="351"/>
      <c r="AP98" s="351"/>
      <c r="AQ98" s="335"/>
      <c r="AR98" s="335"/>
      <c r="AS98" s="373"/>
      <c r="AT98" s="373"/>
      <c r="AU98" s="373"/>
      <c r="AV98" s="374"/>
      <c r="AW98" s="374"/>
      <c r="AX98" s="374"/>
      <c r="AY98" s="374"/>
      <c r="AZ98" s="335"/>
      <c r="BA98" s="335"/>
      <c r="BB98" s="335"/>
      <c r="BC98" s="335"/>
      <c r="BD98" s="335"/>
      <c r="BE98" s="335"/>
    </row>
    <row r="99" customFormat="false" ht="14.15" hidden="true" customHeight="true" outlineLevel="1" collapsed="false">
      <c r="A99" s="421" t="s">
        <v>1849</v>
      </c>
      <c r="B99" s="364" t="s">
        <v>156</v>
      </c>
      <c r="C99" s="366" t="n">
        <v>0.8</v>
      </c>
      <c r="D99" s="366" t="n">
        <v>2.1</v>
      </c>
      <c r="E99" s="366" t="n">
        <v>0</v>
      </c>
      <c r="F99" s="357"/>
      <c r="G99" s="357"/>
      <c r="H99" s="347"/>
      <c r="I99" s="358"/>
      <c r="AE99" s="347"/>
      <c r="AF99" s="347"/>
      <c r="AG99" s="347"/>
      <c r="AH99" s="347"/>
      <c r="AI99" s="347"/>
      <c r="AJ99" s="347"/>
      <c r="AK99" s="347"/>
      <c r="AL99" s="347"/>
      <c r="AM99" s="347"/>
      <c r="AN99" s="347"/>
      <c r="AO99" s="351"/>
      <c r="AP99" s="351"/>
      <c r="AQ99" s="335"/>
      <c r="AR99" s="335"/>
      <c r="AS99" s="373"/>
      <c r="AT99" s="373"/>
      <c r="AU99" s="373"/>
      <c r="AV99" s="374"/>
      <c r="AW99" s="374"/>
      <c r="AX99" s="374"/>
      <c r="AY99" s="374"/>
      <c r="AZ99" s="335"/>
      <c r="BA99" s="335"/>
      <c r="BB99" s="335"/>
      <c r="BC99" s="335"/>
      <c r="BD99" s="335"/>
      <c r="BE99" s="335"/>
    </row>
    <row r="100" customFormat="false" ht="14.15" hidden="true" customHeight="true" outlineLevel="1" collapsed="false">
      <c r="A100" s="421" t="s">
        <v>1850</v>
      </c>
      <c r="B100" s="364" t="s">
        <v>156</v>
      </c>
      <c r="C100" s="366" t="n">
        <v>1</v>
      </c>
      <c r="D100" s="366" t="n">
        <v>2</v>
      </c>
      <c r="E100" s="366" t="n">
        <v>0</v>
      </c>
      <c r="F100" s="357"/>
      <c r="G100" s="357"/>
      <c r="H100" s="347"/>
      <c r="I100" s="358"/>
      <c r="AE100" s="347"/>
      <c r="AF100" s="347"/>
      <c r="AG100" s="347"/>
      <c r="AH100" s="347"/>
      <c r="AI100" s="347"/>
      <c r="AJ100" s="347"/>
      <c r="AK100" s="347"/>
      <c r="AL100" s="347"/>
      <c r="AM100" s="347"/>
      <c r="AN100" s="347"/>
      <c r="AO100" s="351"/>
      <c r="AP100" s="351"/>
      <c r="AQ100" s="335"/>
      <c r="AR100" s="335"/>
      <c r="AS100" s="373"/>
      <c r="AT100" s="373"/>
      <c r="AU100" s="373"/>
      <c r="AV100" s="374"/>
      <c r="AW100" s="374"/>
      <c r="AX100" s="374"/>
      <c r="AY100" s="374"/>
      <c r="AZ100" s="335"/>
      <c r="BA100" s="335"/>
      <c r="BB100" s="335"/>
      <c r="BC100" s="335"/>
      <c r="BD100" s="335"/>
      <c r="BE100" s="335"/>
    </row>
    <row r="101" customFormat="false" ht="14.15" hidden="true" customHeight="true" outlineLevel="1" collapsed="false">
      <c r="A101" s="366" t="s">
        <v>1851</v>
      </c>
      <c r="B101" s="364" t="s">
        <v>156</v>
      </c>
      <c r="C101" s="366" t="n">
        <v>2</v>
      </c>
      <c r="D101" s="366" t="n">
        <v>2.2</v>
      </c>
      <c r="E101" s="366" t="n">
        <v>0</v>
      </c>
      <c r="F101" s="357"/>
      <c r="G101" s="357"/>
      <c r="H101" s="347"/>
      <c r="I101" s="358"/>
      <c r="AE101" s="347"/>
      <c r="AF101" s="347"/>
      <c r="AG101" s="347"/>
      <c r="AH101" s="347"/>
      <c r="AI101" s="347"/>
      <c r="AJ101" s="347"/>
      <c r="AK101" s="347"/>
      <c r="AL101" s="347"/>
      <c r="AM101" s="347"/>
      <c r="AN101" s="347"/>
      <c r="AO101" s="351"/>
      <c r="AP101" s="351"/>
      <c r="AQ101" s="335"/>
      <c r="AR101" s="335"/>
      <c r="AS101" s="373"/>
      <c r="AT101" s="373"/>
      <c r="AU101" s="373"/>
      <c r="AV101" s="374"/>
      <c r="AW101" s="374"/>
      <c r="AX101" s="374"/>
      <c r="AY101" s="374"/>
      <c r="AZ101" s="335"/>
      <c r="BA101" s="335"/>
      <c r="BB101" s="335"/>
      <c r="BC101" s="335"/>
      <c r="BD101" s="335"/>
      <c r="BE101" s="335"/>
    </row>
    <row r="102" customFormat="false" ht="14.15" hidden="true" customHeight="true" outlineLevel="1" collapsed="false">
      <c r="A102" s="235" t="s">
        <v>1852</v>
      </c>
      <c r="B102" s="235"/>
      <c r="C102" s="235"/>
      <c r="D102" s="235"/>
      <c r="E102" s="235"/>
      <c r="F102" s="357"/>
      <c r="G102" s="357"/>
      <c r="H102" s="347"/>
      <c r="I102" s="358"/>
      <c r="AE102" s="347"/>
      <c r="AF102" s="347"/>
      <c r="AG102" s="347"/>
      <c r="AH102" s="347"/>
      <c r="AI102" s="347"/>
      <c r="AJ102" s="347"/>
      <c r="AK102" s="347"/>
      <c r="AL102" s="347"/>
      <c r="AM102" s="347"/>
      <c r="AN102" s="347"/>
      <c r="AO102" s="351"/>
      <c r="AP102" s="351"/>
      <c r="AQ102" s="335"/>
      <c r="AR102" s="335"/>
      <c r="AS102" s="373"/>
      <c r="AT102" s="373"/>
      <c r="AU102" s="373"/>
      <c r="AV102" s="374"/>
      <c r="AW102" s="374"/>
      <c r="AX102" s="374"/>
      <c r="AY102" s="374"/>
      <c r="AZ102" s="335"/>
      <c r="BA102" s="335"/>
      <c r="BB102" s="335"/>
      <c r="BC102" s="335"/>
      <c r="BD102" s="335"/>
      <c r="BE102" s="335"/>
    </row>
    <row r="103" customFormat="false" ht="14.15" hidden="true" customHeight="true" outlineLevel="1" collapsed="false">
      <c r="A103" s="421" t="s">
        <v>1853</v>
      </c>
      <c r="B103" s="364" t="s">
        <v>156</v>
      </c>
      <c r="C103" s="366" t="n">
        <v>1</v>
      </c>
      <c r="D103" s="366" t="n">
        <v>2</v>
      </c>
      <c r="E103" s="366" t="n">
        <v>0</v>
      </c>
      <c r="F103" s="357"/>
      <c r="G103" s="357"/>
      <c r="H103" s="347"/>
      <c r="I103" s="358"/>
      <c r="AE103" s="347"/>
      <c r="AF103" s="347"/>
      <c r="AG103" s="347"/>
      <c r="AH103" s="347"/>
      <c r="AI103" s="347"/>
      <c r="AJ103" s="347"/>
      <c r="AK103" s="347"/>
      <c r="AL103" s="347"/>
      <c r="AM103" s="347"/>
      <c r="AN103" s="347"/>
      <c r="AO103" s="351"/>
      <c r="AP103" s="351"/>
      <c r="AQ103" s="335"/>
      <c r="AR103" s="335"/>
      <c r="AS103" s="373"/>
      <c r="AT103" s="373"/>
      <c r="AU103" s="373"/>
      <c r="AV103" s="374"/>
      <c r="AW103" s="374"/>
      <c r="AX103" s="374"/>
      <c r="AY103" s="374"/>
      <c r="AZ103" s="335"/>
      <c r="BA103" s="335"/>
      <c r="BB103" s="335"/>
      <c r="BC103" s="335"/>
      <c r="BD103" s="335"/>
      <c r="BE103" s="335"/>
    </row>
    <row r="104" customFormat="false" ht="14.15" hidden="true" customHeight="true" outlineLevel="1" collapsed="false">
      <c r="A104" s="421" t="s">
        <v>1854</v>
      </c>
      <c r="B104" s="364" t="s">
        <v>156</v>
      </c>
      <c r="C104" s="366" t="n">
        <v>1</v>
      </c>
      <c r="D104" s="366" t="n">
        <v>2</v>
      </c>
      <c r="E104" s="366" t="n">
        <v>0</v>
      </c>
      <c r="F104" s="357"/>
      <c r="G104" s="357"/>
      <c r="H104" s="347"/>
      <c r="I104" s="358"/>
      <c r="AE104" s="347"/>
      <c r="AF104" s="347"/>
      <c r="AG104" s="347"/>
      <c r="AH104" s="347"/>
      <c r="AI104" s="347"/>
      <c r="AJ104" s="347"/>
      <c r="AK104" s="347"/>
      <c r="AL104" s="347"/>
      <c r="AM104" s="347"/>
      <c r="AN104" s="347"/>
      <c r="AO104" s="351"/>
      <c r="AP104" s="351"/>
      <c r="AQ104" s="335"/>
      <c r="AR104" s="335"/>
      <c r="AS104" s="373"/>
      <c r="AT104" s="373"/>
      <c r="AU104" s="373"/>
      <c r="AV104" s="374"/>
      <c r="AW104" s="374"/>
      <c r="AX104" s="374"/>
      <c r="AY104" s="374"/>
      <c r="AZ104" s="335"/>
      <c r="BA104" s="335"/>
      <c r="BB104" s="335"/>
      <c r="BC104" s="335"/>
      <c r="BD104" s="335"/>
      <c r="BE104" s="335"/>
    </row>
    <row r="105" customFormat="false" ht="14.15" hidden="true" customHeight="true" outlineLevel="1" collapsed="false">
      <c r="A105" s="366" t="s">
        <v>1855</v>
      </c>
      <c r="B105" s="364" t="s">
        <v>156</v>
      </c>
      <c r="C105" s="366" t="n">
        <v>2</v>
      </c>
      <c r="D105" s="366" t="n">
        <v>2</v>
      </c>
      <c r="E105" s="366" t="n">
        <v>0</v>
      </c>
      <c r="F105" s="357"/>
      <c r="G105" s="357"/>
      <c r="H105" s="347"/>
      <c r="I105" s="358"/>
      <c r="AE105" s="347"/>
      <c r="AF105" s="347"/>
      <c r="AG105" s="347"/>
      <c r="AH105" s="347"/>
      <c r="AI105" s="347"/>
      <c r="AJ105" s="347"/>
      <c r="AK105" s="347"/>
      <c r="AL105" s="347"/>
      <c r="AM105" s="347"/>
      <c r="AN105" s="347"/>
      <c r="AO105" s="351"/>
      <c r="AP105" s="351"/>
      <c r="AQ105" s="335"/>
      <c r="AR105" s="335"/>
      <c r="AS105" s="373"/>
      <c r="AT105" s="373"/>
      <c r="AU105" s="373"/>
      <c r="AV105" s="374"/>
      <c r="AW105" s="374"/>
      <c r="AX105" s="374"/>
      <c r="AY105" s="374"/>
      <c r="AZ105" s="335"/>
      <c r="BA105" s="335"/>
      <c r="BB105" s="335"/>
      <c r="BC105" s="335"/>
      <c r="BD105" s="335"/>
      <c r="BE105" s="335"/>
    </row>
    <row r="106" customFormat="false" ht="14.15" hidden="false" customHeight="true" outlineLevel="0" collapsed="false">
      <c r="A106" s="408" t="s">
        <v>1856</v>
      </c>
      <c r="B106" s="408"/>
      <c r="C106" s="408"/>
      <c r="D106" s="408"/>
      <c r="E106" s="408"/>
      <c r="F106" s="357"/>
      <c r="G106" s="357"/>
      <c r="H106" s="347"/>
      <c r="I106" s="358"/>
      <c r="AE106" s="347"/>
      <c r="AF106" s="347"/>
      <c r="AG106" s="347"/>
      <c r="AH106" s="347"/>
      <c r="AI106" s="347"/>
      <c r="AJ106" s="347"/>
      <c r="AK106" s="347"/>
      <c r="AL106" s="347"/>
      <c r="AM106" s="347"/>
      <c r="AN106" s="347"/>
      <c r="AO106" s="351"/>
      <c r="AP106" s="351"/>
      <c r="AQ106" s="335"/>
      <c r="AR106" s="335"/>
      <c r="AS106" s="373"/>
      <c r="AT106" s="373"/>
      <c r="AU106" s="373"/>
      <c r="AV106" s="374"/>
      <c r="AW106" s="374"/>
      <c r="AX106" s="374"/>
      <c r="AY106" s="374"/>
      <c r="AZ106" s="335"/>
      <c r="BA106" s="335"/>
      <c r="BB106" s="335"/>
      <c r="BC106" s="335"/>
      <c r="BD106" s="335"/>
      <c r="BE106" s="335"/>
    </row>
    <row r="107" customFormat="false" ht="14.15" hidden="false" customHeight="true" outlineLevel="0" collapsed="false">
      <c r="B107" s="324"/>
      <c r="F107" s="357"/>
      <c r="G107" s="357"/>
      <c r="H107" s="347"/>
      <c r="AI107" s="347"/>
      <c r="AJ107" s="347"/>
      <c r="AK107" s="347"/>
      <c r="AL107" s="347"/>
      <c r="AM107" s="347"/>
      <c r="AN107" s="347"/>
      <c r="AO107" s="351"/>
      <c r="AP107" s="351"/>
      <c r="AQ107" s="335"/>
      <c r="AR107" s="335"/>
      <c r="AS107" s="373"/>
      <c r="AT107" s="373"/>
      <c r="AU107" s="373"/>
      <c r="AV107" s="374"/>
      <c r="AW107" s="374"/>
      <c r="AX107" s="374"/>
      <c r="AY107" s="374"/>
      <c r="AZ107" s="335"/>
      <c r="BA107" s="335"/>
      <c r="BB107" s="335"/>
      <c r="BC107" s="335"/>
      <c r="BD107" s="335"/>
      <c r="BE107" s="335"/>
    </row>
    <row r="108" customFormat="false" ht="14.15" hidden="true" customHeight="true" outlineLevel="1" collapsed="false">
      <c r="A108" s="431"/>
      <c r="B108" s="431"/>
      <c r="C108" s="431"/>
      <c r="D108" s="431"/>
      <c r="E108" s="435" t="s">
        <v>1857</v>
      </c>
      <c r="F108" s="435"/>
      <c r="H108" s="436" t="s">
        <v>1858</v>
      </c>
      <c r="I108" s="436"/>
      <c r="J108" s="436"/>
      <c r="K108" s="436"/>
      <c r="L108" s="436"/>
      <c r="M108" s="436"/>
      <c r="N108" s="436"/>
      <c r="O108" s="436"/>
      <c r="P108" s="436"/>
      <c r="Q108" s="436"/>
      <c r="R108" s="436"/>
      <c r="S108" s="436"/>
      <c r="T108" s="436"/>
      <c r="U108" s="436"/>
      <c r="V108" s="436"/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347"/>
      <c r="AI108" s="347"/>
      <c r="AJ108" s="347"/>
      <c r="AK108" s="347"/>
      <c r="AL108" s="347"/>
      <c r="AM108" s="347"/>
      <c r="AN108" s="347"/>
      <c r="AO108" s="351"/>
      <c r="AP108" s="351"/>
      <c r="AQ108" s="335"/>
      <c r="AR108" s="335"/>
      <c r="AS108" s="373"/>
      <c r="AT108" s="373"/>
      <c r="AU108" s="373"/>
      <c r="AV108" s="374"/>
      <c r="AW108" s="374"/>
      <c r="AX108" s="374"/>
      <c r="AY108" s="374"/>
      <c r="AZ108" s="335"/>
      <c r="BA108" s="335"/>
      <c r="BB108" s="335"/>
      <c r="BC108" s="335"/>
      <c r="BD108" s="335"/>
      <c r="BE108" s="335"/>
    </row>
    <row r="109" customFormat="false" ht="14.15" hidden="true" customHeight="true" outlineLevel="1" collapsed="false">
      <c r="A109" s="431"/>
      <c r="B109" s="431"/>
      <c r="C109" s="431"/>
      <c r="D109" s="437"/>
      <c r="E109" s="435"/>
      <c r="F109" s="435"/>
      <c r="H109" s="436"/>
      <c r="I109" s="436"/>
      <c r="J109" s="436"/>
      <c r="K109" s="436"/>
      <c r="L109" s="436"/>
      <c r="M109" s="436"/>
      <c r="N109" s="436"/>
      <c r="O109" s="436"/>
      <c r="P109" s="436"/>
      <c r="Q109" s="436"/>
      <c r="R109" s="436"/>
      <c r="S109" s="436"/>
      <c r="T109" s="436"/>
      <c r="U109" s="436"/>
      <c r="V109" s="436"/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347"/>
      <c r="AI109" s="347"/>
      <c r="AJ109" s="347"/>
      <c r="AK109" s="347"/>
      <c r="AL109" s="347"/>
      <c r="AM109" s="347"/>
      <c r="AN109" s="347"/>
      <c r="AO109" s="351"/>
      <c r="AP109" s="351"/>
      <c r="AQ109" s="335"/>
      <c r="AR109" s="335"/>
      <c r="AS109" s="373"/>
      <c r="AT109" s="373"/>
      <c r="AU109" s="373"/>
      <c r="AV109" s="374"/>
      <c r="AW109" s="374"/>
      <c r="AX109" s="374"/>
      <c r="AY109" s="374"/>
      <c r="AZ109" s="335"/>
      <c r="BA109" s="335"/>
      <c r="BB109" s="335"/>
      <c r="BC109" s="335"/>
      <c r="BD109" s="335"/>
      <c r="BE109" s="335"/>
    </row>
    <row r="110" customFormat="false" ht="14.15" hidden="true" customHeight="true" outlineLevel="1" collapsed="false">
      <c r="A110" s="431"/>
      <c r="B110" s="431"/>
      <c r="C110" s="431"/>
      <c r="D110" s="437"/>
      <c r="E110" s="435"/>
      <c r="F110" s="435"/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436"/>
      <c r="S110" s="436"/>
      <c r="T110" s="436"/>
      <c r="U110" s="436"/>
      <c r="V110" s="436"/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347"/>
      <c r="AI110" s="347"/>
      <c r="AJ110" s="347"/>
      <c r="AK110" s="347"/>
      <c r="AL110" s="347"/>
      <c r="AM110" s="347"/>
      <c r="AN110" s="347"/>
      <c r="AO110" s="351"/>
      <c r="AP110" s="351"/>
      <c r="AQ110" s="335"/>
      <c r="AR110" s="335"/>
      <c r="AS110" s="373"/>
      <c r="AT110" s="373"/>
      <c r="AU110" s="373"/>
      <c r="AV110" s="374"/>
      <c r="AW110" s="374"/>
      <c r="AX110" s="374"/>
      <c r="AY110" s="374"/>
      <c r="AZ110" s="335"/>
      <c r="BA110" s="335"/>
      <c r="BB110" s="335"/>
      <c r="BC110" s="335"/>
      <c r="BD110" s="335"/>
      <c r="BE110" s="335"/>
    </row>
    <row r="111" customFormat="false" ht="14.15" hidden="true" customHeight="true" outlineLevel="1" collapsed="false">
      <c r="A111" s="367" t="s">
        <v>1236</v>
      </c>
      <c r="B111" s="425" t="s">
        <v>208</v>
      </c>
      <c r="C111" s="425" t="s">
        <v>1859</v>
      </c>
      <c r="D111" s="425" t="s">
        <v>1802</v>
      </c>
      <c r="E111" s="438" t="s">
        <v>1860</v>
      </c>
      <c r="F111" s="438" t="s">
        <v>1861</v>
      </c>
      <c r="J111" s="439"/>
      <c r="AJ111" s="347"/>
      <c r="AK111" s="347"/>
      <c r="AL111" s="347"/>
      <c r="AM111" s="347"/>
      <c r="AN111" s="347"/>
      <c r="AO111" s="351"/>
      <c r="AP111" s="351"/>
      <c r="AQ111" s="335"/>
      <c r="AR111" s="335"/>
      <c r="AS111" s="373"/>
      <c r="AT111" s="373"/>
      <c r="AU111" s="373"/>
      <c r="AV111" s="374"/>
      <c r="AW111" s="374"/>
      <c r="AX111" s="374"/>
      <c r="AY111" s="374"/>
      <c r="AZ111" s="335"/>
      <c r="BA111" s="335"/>
      <c r="BB111" s="335"/>
      <c r="BC111" s="335"/>
      <c r="BD111" s="335"/>
      <c r="BE111" s="335"/>
    </row>
    <row r="112" customFormat="false" ht="14.15" hidden="true" customHeight="true" outlineLevel="1" collapsed="false">
      <c r="A112" s="440" t="s">
        <v>1862</v>
      </c>
      <c r="B112" s="367" t="s">
        <v>156</v>
      </c>
      <c r="C112" s="441" t="n">
        <v>6</v>
      </c>
      <c r="D112" s="441" t="n">
        <v>2</v>
      </c>
      <c r="E112" s="442" t="n">
        <v>0</v>
      </c>
      <c r="F112" s="442" t="n">
        <v>0</v>
      </c>
      <c r="J112" s="347"/>
      <c r="K112" s="347"/>
      <c r="L112" s="358"/>
      <c r="M112" s="347" t="s">
        <v>1863</v>
      </c>
      <c r="N112" s="358"/>
      <c r="O112" s="371"/>
      <c r="P112" s="371"/>
      <c r="Q112" s="371"/>
      <c r="R112" s="371"/>
      <c r="S112" s="371"/>
      <c r="T112" s="371"/>
      <c r="U112" s="358"/>
      <c r="V112" s="358"/>
      <c r="W112" s="347" t="s">
        <v>1864</v>
      </c>
      <c r="X112" s="358"/>
      <c r="Y112" s="358"/>
      <c r="Z112" s="347"/>
      <c r="AA112" s="347"/>
      <c r="AB112" s="347"/>
      <c r="AC112" s="347"/>
      <c r="AD112" s="347"/>
      <c r="AE112" s="347"/>
      <c r="AF112" s="347"/>
      <c r="AG112" s="347"/>
      <c r="AH112" s="347"/>
      <c r="AJ112" s="347"/>
      <c r="AK112" s="347"/>
      <c r="AL112" s="347"/>
      <c r="AM112" s="347"/>
      <c r="AN112" s="347"/>
      <c r="AO112" s="351"/>
      <c r="AP112" s="351"/>
      <c r="AQ112" s="335"/>
      <c r="AR112" s="335"/>
      <c r="AS112" s="373"/>
      <c r="AT112" s="373"/>
      <c r="AU112" s="373"/>
      <c r="AV112" s="374"/>
      <c r="AW112" s="374"/>
      <c r="AX112" s="374"/>
      <c r="AY112" s="374"/>
      <c r="AZ112" s="335"/>
      <c r="BA112" s="335"/>
      <c r="BB112" s="335"/>
      <c r="BC112" s="335"/>
      <c r="BD112" s="335"/>
      <c r="BE112" s="335"/>
    </row>
    <row r="113" customFormat="false" ht="14.15" hidden="true" customHeight="true" outlineLevel="1" collapsed="false">
      <c r="A113" s="440"/>
      <c r="B113" s="367" t="s">
        <v>156</v>
      </c>
      <c r="C113" s="441" t="n">
        <v>4</v>
      </c>
      <c r="D113" s="441" t="n">
        <v>1</v>
      </c>
      <c r="E113" s="442" t="n">
        <v>0</v>
      </c>
      <c r="F113" s="442" t="n">
        <v>0</v>
      </c>
      <c r="J113" s="347"/>
      <c r="L113" s="358"/>
      <c r="M113" s="347" t="s">
        <v>1865</v>
      </c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47" t="s">
        <v>1865</v>
      </c>
      <c r="Z113" s="412"/>
      <c r="AA113" s="412"/>
      <c r="AB113" s="412"/>
      <c r="AC113" s="412"/>
      <c r="AE113" s="412"/>
      <c r="AF113" s="412"/>
      <c r="AG113" s="412"/>
      <c r="AH113" s="412"/>
      <c r="AJ113" s="347"/>
      <c r="AK113" s="347"/>
      <c r="AL113" s="347"/>
      <c r="AM113" s="347"/>
      <c r="AN113" s="347"/>
      <c r="AO113" s="351"/>
      <c r="AP113" s="351"/>
      <c r="AQ113" s="335"/>
      <c r="AR113" s="335"/>
      <c r="AS113" s="373"/>
      <c r="AT113" s="373"/>
      <c r="AU113" s="373"/>
      <c r="AV113" s="374"/>
      <c r="AW113" s="374"/>
      <c r="AX113" s="374"/>
      <c r="AY113" s="374"/>
      <c r="AZ113" s="335"/>
      <c r="BA113" s="335"/>
      <c r="BB113" s="335"/>
      <c r="BC113" s="335"/>
      <c r="BD113" s="335"/>
      <c r="BE113" s="335"/>
    </row>
    <row r="114" customFormat="false" ht="14.15" hidden="true" customHeight="true" outlineLevel="1" collapsed="false">
      <c r="A114" s="440"/>
      <c r="B114" s="367" t="s">
        <v>156</v>
      </c>
      <c r="C114" s="441" t="n">
        <v>0</v>
      </c>
      <c r="D114" s="441" t="n">
        <v>0</v>
      </c>
      <c r="E114" s="442" t="n">
        <v>0</v>
      </c>
      <c r="F114" s="442" t="n">
        <v>0</v>
      </c>
      <c r="J114" s="347"/>
      <c r="K114" s="347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412"/>
      <c r="AA114" s="412"/>
      <c r="AB114" s="412"/>
      <c r="AC114" s="412"/>
      <c r="AD114" s="412"/>
      <c r="AE114" s="412"/>
      <c r="AF114" s="412"/>
      <c r="AG114" s="412"/>
      <c r="AH114" s="412"/>
      <c r="AI114" s="347"/>
      <c r="AJ114" s="347"/>
      <c r="AK114" s="347"/>
      <c r="AL114" s="347"/>
      <c r="AM114" s="347"/>
      <c r="AN114" s="347"/>
      <c r="AO114" s="351"/>
      <c r="AP114" s="351"/>
      <c r="AQ114" s="335"/>
      <c r="AR114" s="335"/>
      <c r="AS114" s="373"/>
      <c r="AT114" s="373"/>
      <c r="AU114" s="373"/>
      <c r="AV114" s="374"/>
      <c r="AW114" s="374"/>
      <c r="AX114" s="374"/>
      <c r="AY114" s="374"/>
      <c r="AZ114" s="335"/>
      <c r="BA114" s="335"/>
      <c r="BB114" s="335"/>
      <c r="BC114" s="335"/>
      <c r="BD114" s="335"/>
      <c r="BE114" s="335"/>
    </row>
    <row r="115" customFormat="false" ht="14.15" hidden="true" customHeight="true" outlineLevel="1" collapsed="false">
      <c r="A115" s="440"/>
      <c r="B115" s="367" t="s">
        <v>156</v>
      </c>
      <c r="C115" s="441" t="n">
        <v>0</v>
      </c>
      <c r="D115" s="441" t="n">
        <v>0</v>
      </c>
      <c r="E115" s="442" t="n">
        <v>0</v>
      </c>
      <c r="F115" s="442" t="n">
        <v>0</v>
      </c>
      <c r="J115" s="347"/>
      <c r="K115" s="347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412"/>
      <c r="AA115" s="412"/>
      <c r="AB115" s="412"/>
      <c r="AC115" s="412"/>
      <c r="AD115" s="412"/>
      <c r="AE115" s="412"/>
      <c r="AF115" s="412"/>
      <c r="AG115" s="412"/>
      <c r="AH115" s="412"/>
      <c r="AI115" s="347"/>
      <c r="AJ115" s="347"/>
      <c r="AK115" s="347"/>
      <c r="AL115" s="347"/>
      <c r="AM115" s="347"/>
      <c r="AN115" s="347"/>
      <c r="AO115" s="351"/>
      <c r="AP115" s="351"/>
      <c r="AQ115" s="335"/>
      <c r="AR115" s="335"/>
      <c r="AS115" s="373"/>
      <c r="AT115" s="373"/>
      <c r="AU115" s="373"/>
      <c r="AV115" s="374"/>
      <c r="AW115" s="374"/>
      <c r="AX115" s="374"/>
      <c r="AY115" s="374"/>
      <c r="AZ115" s="335"/>
      <c r="BA115" s="335"/>
      <c r="BB115" s="335"/>
      <c r="BC115" s="335"/>
      <c r="BD115" s="335"/>
      <c r="BE115" s="335"/>
    </row>
    <row r="116" customFormat="false" ht="14.15" hidden="true" customHeight="true" outlineLevel="1" collapsed="false">
      <c r="A116" s="443" t="s">
        <v>1866</v>
      </c>
      <c r="B116" s="367" t="s">
        <v>156</v>
      </c>
      <c r="C116" s="441" t="n">
        <v>1.8</v>
      </c>
      <c r="D116" s="441" t="n">
        <v>1</v>
      </c>
      <c r="E116" s="442" t="n">
        <v>0</v>
      </c>
      <c r="F116" s="442" t="n">
        <v>0</v>
      </c>
      <c r="J116" s="347"/>
      <c r="K116" s="347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412"/>
      <c r="AA116" s="412"/>
      <c r="AB116" s="412"/>
      <c r="AC116" s="412"/>
      <c r="AD116" s="412"/>
      <c r="AE116" s="412"/>
      <c r="AF116" s="412"/>
      <c r="AG116" s="412"/>
      <c r="AH116" s="412"/>
      <c r="AI116" s="347"/>
      <c r="AJ116" s="347"/>
      <c r="AK116" s="347"/>
      <c r="AL116" s="347"/>
      <c r="AM116" s="347"/>
      <c r="AN116" s="347"/>
      <c r="AO116" s="351"/>
      <c r="AP116" s="351"/>
      <c r="AQ116" s="335"/>
      <c r="AR116" s="335"/>
      <c r="AS116" s="373"/>
      <c r="AT116" s="373"/>
      <c r="AU116" s="373"/>
      <c r="AV116" s="374"/>
      <c r="AW116" s="374"/>
      <c r="AX116" s="374"/>
      <c r="AY116" s="374"/>
      <c r="AZ116" s="335"/>
      <c r="BA116" s="335"/>
      <c r="BB116" s="335"/>
      <c r="BC116" s="335"/>
      <c r="BD116" s="335"/>
      <c r="BE116" s="335"/>
    </row>
    <row r="117" customFormat="false" ht="14.15" hidden="true" customHeight="true" outlineLevel="1" collapsed="false">
      <c r="A117" s="443"/>
      <c r="B117" s="367" t="s">
        <v>156</v>
      </c>
      <c r="C117" s="441" t="n">
        <v>0</v>
      </c>
      <c r="D117" s="441" t="n">
        <v>0</v>
      </c>
      <c r="E117" s="442" t="n">
        <v>0</v>
      </c>
      <c r="F117" s="442" t="n">
        <v>0</v>
      </c>
      <c r="J117" s="347"/>
      <c r="K117" s="347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47"/>
      <c r="AA117" s="347"/>
      <c r="AB117" s="347"/>
      <c r="AC117" s="347"/>
      <c r="AD117" s="347"/>
      <c r="AE117" s="347"/>
      <c r="AF117" s="347"/>
      <c r="AG117" s="347"/>
      <c r="AH117" s="347"/>
      <c r="AI117" s="347"/>
      <c r="AJ117" s="347"/>
      <c r="AK117" s="347"/>
      <c r="AL117" s="347"/>
      <c r="AO117" s="351"/>
      <c r="AP117" s="351"/>
      <c r="AQ117" s="335"/>
      <c r="AR117" s="335"/>
      <c r="AS117" s="373"/>
      <c r="AT117" s="373"/>
      <c r="AU117" s="373"/>
      <c r="AV117" s="374"/>
      <c r="AW117" s="374"/>
      <c r="AX117" s="374"/>
      <c r="AY117" s="374"/>
      <c r="AZ117" s="335"/>
      <c r="BA117" s="335"/>
      <c r="BB117" s="335"/>
      <c r="BC117" s="335"/>
      <c r="BD117" s="335"/>
      <c r="BE117" s="335"/>
    </row>
    <row r="118" customFormat="false" ht="14.15" hidden="true" customHeight="true" outlineLevel="1" collapsed="false">
      <c r="A118" s="443"/>
      <c r="B118" s="367" t="s">
        <v>156</v>
      </c>
      <c r="C118" s="441" t="n">
        <v>0</v>
      </c>
      <c r="D118" s="441" t="n">
        <v>0</v>
      </c>
      <c r="E118" s="442" t="n">
        <v>0</v>
      </c>
      <c r="F118" s="442" t="n">
        <v>0</v>
      </c>
      <c r="J118" s="347"/>
      <c r="K118" s="347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47"/>
      <c r="AA118" s="444"/>
      <c r="AB118" s="444"/>
      <c r="AC118" s="444"/>
      <c r="AD118" s="371"/>
      <c r="AE118" s="371"/>
      <c r="AF118" s="371"/>
      <c r="AG118" s="371"/>
      <c r="AH118" s="358"/>
      <c r="AI118" s="347"/>
      <c r="AJ118" s="347"/>
      <c r="AK118" s="347"/>
      <c r="AL118" s="347"/>
      <c r="AO118" s="445"/>
      <c r="AP118" s="445"/>
      <c r="AQ118" s="346"/>
      <c r="AR118" s="346"/>
      <c r="AS118" s="346"/>
      <c r="AT118" s="335"/>
      <c r="AU118" s="335"/>
      <c r="AV118" s="335"/>
      <c r="AW118" s="335"/>
      <c r="AX118" s="335"/>
      <c r="AY118" s="335"/>
      <c r="AZ118" s="335"/>
      <c r="BA118" s="335"/>
      <c r="BB118" s="335"/>
      <c r="BC118" s="335"/>
      <c r="BD118" s="335"/>
      <c r="BE118" s="335"/>
    </row>
    <row r="119" customFormat="false" ht="14.15" hidden="true" customHeight="true" outlineLevel="1" collapsed="false">
      <c r="A119" s="443"/>
      <c r="B119" s="367" t="s">
        <v>156</v>
      </c>
      <c r="C119" s="441" t="n">
        <v>0</v>
      </c>
      <c r="D119" s="441" t="n">
        <v>0</v>
      </c>
      <c r="E119" s="442" t="n">
        <v>0</v>
      </c>
      <c r="F119" s="442" t="n">
        <v>0</v>
      </c>
      <c r="J119" s="347"/>
      <c r="K119" s="347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47"/>
      <c r="AA119" s="347"/>
      <c r="AB119" s="347"/>
      <c r="AC119" s="347"/>
      <c r="AD119" s="347"/>
      <c r="AE119" s="347"/>
      <c r="AF119" s="347"/>
      <c r="AG119" s="347"/>
      <c r="AH119" s="371"/>
      <c r="AI119" s="412"/>
      <c r="AJ119" s="412"/>
      <c r="AK119" s="412"/>
      <c r="AL119" s="347"/>
      <c r="AO119" s="445"/>
      <c r="AP119" s="445"/>
      <c r="AQ119" s="346"/>
      <c r="AR119" s="346"/>
      <c r="AS119" s="346"/>
      <c r="AT119" s="335"/>
      <c r="AU119" s="335"/>
      <c r="AV119" s="335"/>
      <c r="AW119" s="335"/>
      <c r="AX119" s="335"/>
      <c r="AY119" s="335"/>
      <c r="AZ119" s="335"/>
      <c r="BA119" s="335"/>
      <c r="BB119" s="335"/>
      <c r="BC119" s="335"/>
      <c r="BD119" s="335"/>
      <c r="BE119" s="335"/>
    </row>
    <row r="120" customFormat="false" ht="14.15" hidden="true" customHeight="true" outlineLevel="1" collapsed="false">
      <c r="A120" s="440" t="s">
        <v>1867</v>
      </c>
      <c r="B120" s="367" t="s">
        <v>156</v>
      </c>
      <c r="C120" s="441" t="n">
        <v>0</v>
      </c>
      <c r="D120" s="441" t="n">
        <v>0</v>
      </c>
      <c r="E120" s="349"/>
      <c r="F120" s="442" t="n">
        <v>0</v>
      </c>
      <c r="J120" s="347"/>
      <c r="K120" s="347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47"/>
      <c r="AA120" s="358"/>
      <c r="AB120" s="358"/>
      <c r="AC120" s="358"/>
      <c r="AD120" s="358"/>
      <c r="AE120" s="358"/>
      <c r="AF120" s="358"/>
      <c r="AG120" s="358"/>
      <c r="AH120" s="358"/>
      <c r="AI120" s="412"/>
      <c r="AJ120" s="412"/>
      <c r="AK120" s="412"/>
      <c r="AL120" s="347"/>
      <c r="AO120" s="445"/>
      <c r="AP120" s="445"/>
      <c r="AQ120" s="346"/>
      <c r="AR120" s="346"/>
      <c r="AS120" s="346"/>
      <c r="AT120" s="335"/>
      <c r="AU120" s="335"/>
      <c r="AV120" s="335"/>
      <c r="AW120" s="335"/>
      <c r="AX120" s="335"/>
      <c r="AY120" s="335"/>
      <c r="AZ120" s="335"/>
      <c r="BA120" s="335"/>
      <c r="BB120" s="335"/>
      <c r="BC120" s="335"/>
      <c r="BD120" s="335"/>
      <c r="BE120" s="335"/>
    </row>
    <row r="121" customFormat="false" ht="14.15" hidden="true" customHeight="true" outlineLevel="1" collapsed="false">
      <c r="A121" s="440"/>
      <c r="B121" s="367" t="s">
        <v>156</v>
      </c>
      <c r="C121" s="441" t="n">
        <v>0</v>
      </c>
      <c r="D121" s="441" t="n">
        <v>0</v>
      </c>
      <c r="E121" s="349"/>
      <c r="F121" s="442" t="n">
        <v>0</v>
      </c>
      <c r="J121" s="347"/>
      <c r="K121" s="347"/>
      <c r="L121" s="358"/>
      <c r="M121" s="358"/>
      <c r="N121" s="358"/>
      <c r="O121" s="358"/>
      <c r="P121" s="358"/>
      <c r="Q121" s="358"/>
      <c r="S121" s="358"/>
      <c r="T121" s="358"/>
      <c r="U121" s="371" t="s">
        <v>1868</v>
      </c>
      <c r="V121" s="358"/>
      <c r="W121" s="358"/>
      <c r="X121" s="358"/>
      <c r="Y121" s="358"/>
      <c r="Z121" s="347"/>
      <c r="AA121" s="358"/>
      <c r="AB121" s="358"/>
      <c r="AC121" s="358"/>
      <c r="AD121" s="358"/>
      <c r="AE121" s="358"/>
      <c r="AF121" s="358"/>
      <c r="AG121" s="358"/>
      <c r="AH121" s="358"/>
      <c r="AI121" s="412"/>
      <c r="AJ121" s="412"/>
      <c r="AK121" s="412"/>
      <c r="AL121" s="371"/>
      <c r="AO121" s="445"/>
      <c r="AP121" s="445"/>
      <c r="AQ121" s="346"/>
      <c r="AR121" s="346"/>
      <c r="AS121" s="346"/>
      <c r="AT121" s="335"/>
      <c r="AU121" s="335"/>
      <c r="AV121" s="335"/>
      <c r="AW121" s="335"/>
      <c r="AX121" s="335"/>
      <c r="AY121" s="335"/>
      <c r="AZ121" s="335"/>
      <c r="BA121" s="335"/>
      <c r="BB121" s="335"/>
      <c r="BC121" s="335"/>
      <c r="BD121" s="335"/>
      <c r="BE121" s="335"/>
    </row>
    <row r="122" customFormat="false" ht="14.15" hidden="true" customHeight="true" outlineLevel="1" collapsed="false">
      <c r="A122" s="440"/>
      <c r="B122" s="367" t="s">
        <v>156</v>
      </c>
      <c r="C122" s="441" t="n">
        <v>0</v>
      </c>
      <c r="D122" s="441" t="n">
        <v>0</v>
      </c>
      <c r="E122" s="349"/>
      <c r="F122" s="442" t="n">
        <v>0</v>
      </c>
      <c r="J122" s="347"/>
      <c r="K122" s="347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47"/>
      <c r="AA122" s="358"/>
      <c r="AB122" s="358"/>
      <c r="AC122" s="358"/>
      <c r="AD122" s="358"/>
      <c r="AE122" s="358"/>
      <c r="AF122" s="358"/>
      <c r="AG122" s="358"/>
      <c r="AH122" s="358"/>
      <c r="AI122" s="412"/>
      <c r="AJ122" s="412"/>
      <c r="AK122" s="412"/>
      <c r="AL122" s="347"/>
      <c r="AO122" s="351"/>
      <c r="AP122" s="351"/>
      <c r="AQ122" s="335"/>
      <c r="AR122" s="335"/>
      <c r="AS122" s="346"/>
      <c r="AT122" s="335"/>
      <c r="AU122" s="335"/>
      <c r="AV122" s="335"/>
      <c r="AW122" s="335"/>
      <c r="AX122" s="335"/>
      <c r="AY122" s="335"/>
      <c r="AZ122" s="335"/>
      <c r="BA122" s="335"/>
      <c r="BB122" s="335"/>
      <c r="BC122" s="335"/>
      <c r="BD122" s="335"/>
      <c r="BE122" s="335"/>
    </row>
    <row r="123" customFormat="false" ht="14.15" hidden="true" customHeight="true" outlineLevel="1" collapsed="false">
      <c r="A123" s="440"/>
      <c r="B123" s="367" t="s">
        <v>156</v>
      </c>
      <c r="C123" s="441" t="n">
        <v>0</v>
      </c>
      <c r="D123" s="441" t="n">
        <v>0</v>
      </c>
      <c r="E123" s="349"/>
      <c r="F123" s="442" t="n">
        <v>0</v>
      </c>
      <c r="J123" s="347"/>
      <c r="K123" s="347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47"/>
      <c r="AA123" s="358"/>
      <c r="AB123" s="358"/>
      <c r="AC123" s="358"/>
      <c r="AD123" s="358"/>
      <c r="AE123" s="358"/>
      <c r="AF123" s="358"/>
      <c r="AG123" s="358"/>
      <c r="AH123" s="358"/>
      <c r="AI123" s="347"/>
      <c r="AJ123" s="347"/>
      <c r="AK123" s="347"/>
      <c r="AL123" s="347"/>
      <c r="AO123" s="351"/>
      <c r="AP123" s="351"/>
      <c r="AQ123" s="335"/>
      <c r="AR123" s="335"/>
      <c r="AS123" s="335"/>
      <c r="AT123" s="335"/>
      <c r="AU123" s="335"/>
      <c r="AV123" s="335"/>
      <c r="AW123" s="335"/>
      <c r="AX123" s="335"/>
      <c r="AY123" s="335"/>
      <c r="AZ123" s="335"/>
      <c r="BA123" s="335"/>
      <c r="BB123" s="335"/>
      <c r="BC123" s="335"/>
      <c r="BD123" s="335"/>
      <c r="BE123" s="335"/>
    </row>
    <row r="124" customFormat="false" ht="14.15" hidden="true" customHeight="true" outlineLevel="1" collapsed="false">
      <c r="A124" s="443" t="s">
        <v>1869</v>
      </c>
      <c r="B124" s="367" t="s">
        <v>156</v>
      </c>
      <c r="C124" s="441" t="n">
        <v>3</v>
      </c>
      <c r="D124" s="441" t="n">
        <v>2</v>
      </c>
      <c r="E124" s="349"/>
      <c r="F124" s="442" t="n">
        <v>0</v>
      </c>
      <c r="J124" s="347"/>
      <c r="K124" s="347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47"/>
      <c r="AA124" s="358"/>
      <c r="AB124" s="358"/>
      <c r="AC124" s="358"/>
      <c r="AD124" s="358"/>
      <c r="AE124" s="358"/>
      <c r="AF124" s="358"/>
      <c r="AG124" s="358"/>
      <c r="AH124" s="358"/>
      <c r="AI124" s="358"/>
      <c r="AJ124" s="358"/>
      <c r="AK124" s="358"/>
      <c r="AL124" s="358"/>
      <c r="AO124" s="359"/>
      <c r="AP124" s="351"/>
      <c r="AQ124" s="346"/>
      <c r="AR124" s="346"/>
      <c r="AS124" s="346"/>
      <c r="AT124" s="335"/>
      <c r="AU124" s="335"/>
      <c r="AV124" s="335"/>
      <c r="AW124" s="335"/>
      <c r="AX124" s="335"/>
      <c r="AY124" s="335"/>
      <c r="AZ124" s="335"/>
      <c r="BA124" s="335"/>
      <c r="BB124" s="335"/>
      <c r="BC124" s="335"/>
      <c r="BD124" s="335"/>
      <c r="BE124" s="335"/>
    </row>
    <row r="125" customFormat="false" ht="14.15" hidden="true" customHeight="true" outlineLevel="1" collapsed="false">
      <c r="A125" s="443"/>
      <c r="B125" s="367" t="s">
        <v>156</v>
      </c>
      <c r="C125" s="441" t="n">
        <v>0</v>
      </c>
      <c r="D125" s="441" t="n">
        <v>0</v>
      </c>
      <c r="E125" s="349"/>
      <c r="F125" s="442" t="n">
        <v>0</v>
      </c>
      <c r="J125" s="347"/>
      <c r="K125" s="347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47"/>
      <c r="AA125" s="358"/>
      <c r="AB125" s="358"/>
      <c r="AC125" s="358"/>
      <c r="AD125" s="358"/>
      <c r="AE125" s="358"/>
      <c r="AF125" s="358"/>
      <c r="AG125" s="358"/>
      <c r="AH125" s="358"/>
      <c r="AI125" s="371"/>
      <c r="AJ125" s="371"/>
      <c r="AK125" s="371"/>
      <c r="AL125" s="371"/>
      <c r="AO125" s="445"/>
      <c r="AP125" s="445"/>
      <c r="AQ125" s="335"/>
      <c r="AR125" s="335"/>
      <c r="AS125" s="335"/>
      <c r="AT125" s="335"/>
      <c r="AU125" s="335"/>
      <c r="AV125" s="335"/>
      <c r="AW125" s="334"/>
      <c r="AX125" s="335"/>
      <c r="AY125" s="335"/>
      <c r="AZ125" s="335"/>
      <c r="BA125" s="335"/>
      <c r="BB125" s="335"/>
      <c r="BC125" s="335"/>
      <c r="BD125" s="335"/>
      <c r="BE125" s="335"/>
    </row>
    <row r="126" customFormat="false" ht="14.15" hidden="true" customHeight="true" outlineLevel="1" collapsed="false">
      <c r="A126" s="443"/>
      <c r="B126" s="367" t="s">
        <v>156</v>
      </c>
      <c r="C126" s="441" t="n">
        <v>0</v>
      </c>
      <c r="D126" s="441" t="n">
        <v>0</v>
      </c>
      <c r="E126" s="349"/>
      <c r="F126" s="442" t="n">
        <v>0</v>
      </c>
      <c r="J126" s="347"/>
      <c r="K126" s="347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47"/>
      <c r="AA126" s="358"/>
      <c r="AB126" s="358"/>
      <c r="AC126" s="358"/>
      <c r="AD126" s="358"/>
      <c r="AE126" s="358"/>
      <c r="AF126" s="358"/>
      <c r="AG126" s="358"/>
      <c r="AH126" s="358"/>
      <c r="AI126" s="358"/>
      <c r="AJ126" s="358"/>
      <c r="AK126" s="358"/>
      <c r="AL126" s="358"/>
      <c r="AO126" s="359"/>
      <c r="AP126" s="445"/>
      <c r="AQ126" s="334"/>
      <c r="AR126" s="334"/>
      <c r="AS126" s="334"/>
      <c r="AT126" s="334"/>
      <c r="AU126" s="334"/>
      <c r="AV126" s="334"/>
      <c r="AW126" s="334"/>
      <c r="AX126" s="335"/>
      <c r="AY126" s="335"/>
      <c r="AZ126" s="335"/>
      <c r="BA126" s="335"/>
      <c r="BB126" s="335"/>
      <c r="BC126" s="335"/>
      <c r="BD126" s="335"/>
      <c r="BE126" s="335"/>
    </row>
    <row r="127" customFormat="false" ht="14.15" hidden="true" customHeight="true" outlineLevel="1" collapsed="false">
      <c r="A127" s="443"/>
      <c r="B127" s="367" t="s">
        <v>156</v>
      </c>
      <c r="C127" s="441" t="n">
        <v>0</v>
      </c>
      <c r="D127" s="441" t="n">
        <v>0</v>
      </c>
      <c r="E127" s="446"/>
      <c r="F127" s="447" t="n">
        <v>0</v>
      </c>
      <c r="J127" s="347"/>
      <c r="K127" s="347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47"/>
      <c r="AA127" s="358"/>
      <c r="AB127" s="358"/>
      <c r="AC127" s="358"/>
      <c r="AD127" s="358"/>
      <c r="AE127" s="358"/>
      <c r="AF127" s="358"/>
      <c r="AG127" s="358"/>
      <c r="AH127" s="358"/>
      <c r="AI127" s="358"/>
      <c r="AJ127" s="358"/>
      <c r="AK127" s="358"/>
      <c r="AL127" s="358"/>
      <c r="AO127" s="359"/>
      <c r="AP127" s="359"/>
      <c r="AQ127" s="334"/>
      <c r="AR127" s="334"/>
      <c r="AS127" s="334"/>
      <c r="AT127" s="334"/>
      <c r="AU127" s="334"/>
      <c r="AV127" s="334"/>
      <c r="AW127" s="334"/>
      <c r="AX127" s="335"/>
      <c r="AY127" s="335"/>
      <c r="AZ127" s="335"/>
      <c r="BA127" s="335"/>
      <c r="BB127" s="335"/>
      <c r="BC127" s="335"/>
      <c r="BD127" s="335"/>
      <c r="BE127" s="335"/>
    </row>
    <row r="128" customFormat="false" ht="14.15" hidden="true" customHeight="true" outlineLevel="1" collapsed="false">
      <c r="A128" s="448" t="s">
        <v>1870</v>
      </c>
      <c r="B128" s="367" t="s">
        <v>156</v>
      </c>
      <c r="C128" s="441" t="n">
        <v>3.5</v>
      </c>
      <c r="D128" s="441" t="n">
        <v>1</v>
      </c>
      <c r="E128" s="449" t="n">
        <v>1.1</v>
      </c>
      <c r="F128" s="449" t="n">
        <v>2.2</v>
      </c>
      <c r="J128" s="347"/>
      <c r="K128" s="347"/>
      <c r="M128" s="358"/>
      <c r="N128" s="358"/>
      <c r="O128" s="358"/>
      <c r="P128" s="450" t="s">
        <v>1871</v>
      </c>
      <c r="Q128" s="358"/>
      <c r="S128" s="358"/>
      <c r="T128" s="358"/>
      <c r="U128" s="358"/>
      <c r="X128" s="358"/>
      <c r="Y128" s="358"/>
      <c r="Z128" s="347"/>
      <c r="AA128" s="450" t="s">
        <v>1871</v>
      </c>
      <c r="AB128" s="358"/>
      <c r="AC128" s="358"/>
      <c r="AD128" s="358"/>
      <c r="AE128" s="358"/>
      <c r="AF128" s="358"/>
      <c r="AG128" s="358"/>
      <c r="AH128" s="358"/>
      <c r="AI128" s="358"/>
      <c r="AJ128" s="358"/>
      <c r="AK128" s="358"/>
      <c r="AL128" s="358"/>
      <c r="AO128" s="359"/>
      <c r="AP128" s="359"/>
      <c r="AQ128" s="334"/>
      <c r="AR128" s="334"/>
      <c r="AS128" s="334"/>
      <c r="AT128" s="334"/>
      <c r="AU128" s="334"/>
      <c r="AV128" s="334"/>
      <c r="AW128" s="334"/>
      <c r="AX128" s="335"/>
      <c r="AY128" s="335"/>
      <c r="AZ128" s="335"/>
      <c r="BA128" s="335"/>
      <c r="BB128" s="335"/>
      <c r="BC128" s="335"/>
      <c r="BD128" s="335"/>
      <c r="BE128" s="335"/>
    </row>
    <row r="129" customFormat="false" ht="14.15" hidden="true" customHeight="true" outlineLevel="1" collapsed="false">
      <c r="A129" s="448"/>
      <c r="B129" s="367" t="s">
        <v>156</v>
      </c>
      <c r="C129" s="441" t="n">
        <v>0</v>
      </c>
      <c r="D129" s="441" t="n">
        <v>0</v>
      </c>
      <c r="E129" s="449" t="n">
        <v>0</v>
      </c>
      <c r="F129" s="449" t="n">
        <v>0</v>
      </c>
      <c r="J129" s="347"/>
      <c r="M129" s="358"/>
      <c r="N129" s="358"/>
      <c r="O129" s="358"/>
      <c r="P129" s="358"/>
      <c r="Q129" s="358"/>
      <c r="R129" s="358"/>
      <c r="S129" s="358"/>
      <c r="T129" s="358"/>
      <c r="U129" s="358"/>
      <c r="V129" s="347"/>
      <c r="W129" s="347"/>
      <c r="X129" s="358"/>
      <c r="Y129" s="358"/>
      <c r="Z129" s="358"/>
      <c r="AA129" s="358"/>
      <c r="AB129" s="358"/>
      <c r="AC129" s="358"/>
      <c r="AD129" s="358"/>
      <c r="AE129" s="358"/>
      <c r="AF129" s="358"/>
      <c r="AI129" s="358"/>
      <c r="AJ129" s="358"/>
      <c r="AK129" s="358"/>
      <c r="AL129" s="358"/>
      <c r="AO129" s="359"/>
      <c r="AP129" s="359"/>
      <c r="AQ129" s="334"/>
      <c r="AR129" s="334"/>
      <c r="AS129" s="334"/>
      <c r="AT129" s="334"/>
      <c r="AU129" s="334"/>
      <c r="AV129" s="334"/>
      <c r="AW129" s="334"/>
      <c r="AX129" s="335"/>
      <c r="AY129" s="335"/>
      <c r="AZ129" s="335"/>
      <c r="BA129" s="335"/>
      <c r="BB129" s="335"/>
      <c r="BC129" s="335"/>
      <c r="BD129" s="335"/>
      <c r="BE129" s="335"/>
    </row>
    <row r="130" customFormat="false" ht="14.15" hidden="true" customHeight="true" outlineLevel="1" collapsed="false">
      <c r="A130" s="448"/>
      <c r="B130" s="367" t="s">
        <v>156</v>
      </c>
      <c r="C130" s="441" t="n">
        <v>0</v>
      </c>
      <c r="D130" s="441" t="n">
        <v>0</v>
      </c>
      <c r="E130" s="449" t="n">
        <v>0</v>
      </c>
      <c r="F130" s="449" t="n">
        <v>0</v>
      </c>
      <c r="J130" s="356"/>
      <c r="K130" s="356"/>
      <c r="L130" s="356"/>
      <c r="M130" s="356"/>
      <c r="N130" s="358"/>
      <c r="O130" s="358"/>
      <c r="P130" s="358"/>
      <c r="Q130" s="358"/>
      <c r="R130" s="358"/>
      <c r="S130" s="358"/>
      <c r="T130" s="358"/>
      <c r="U130" s="358"/>
      <c r="V130" s="347"/>
      <c r="W130" s="347"/>
      <c r="X130" s="358"/>
      <c r="Y130" s="358"/>
      <c r="Z130" s="358"/>
      <c r="AA130" s="358"/>
      <c r="AB130" s="358"/>
      <c r="AC130" s="358"/>
      <c r="AD130" s="358"/>
      <c r="AE130" s="358"/>
      <c r="AF130" s="358"/>
      <c r="AI130" s="358"/>
      <c r="AJ130" s="358"/>
      <c r="AK130" s="358"/>
      <c r="AL130" s="358"/>
      <c r="AO130" s="359"/>
      <c r="AP130" s="359"/>
      <c r="AQ130" s="334"/>
      <c r="AR130" s="334"/>
      <c r="AS130" s="334"/>
      <c r="AT130" s="334"/>
      <c r="AU130" s="334"/>
      <c r="AV130" s="334"/>
      <c r="AW130" s="334"/>
      <c r="AX130" s="335"/>
      <c r="AY130" s="335"/>
      <c r="AZ130" s="335"/>
      <c r="BA130" s="335"/>
      <c r="BB130" s="335"/>
      <c r="BC130" s="335"/>
      <c r="BD130" s="335"/>
      <c r="BE130" s="335"/>
    </row>
    <row r="131" customFormat="false" ht="14.15" hidden="true" customHeight="true" outlineLevel="1" collapsed="false">
      <c r="A131" s="448"/>
      <c r="B131" s="367" t="s">
        <v>156</v>
      </c>
      <c r="C131" s="441" t="n">
        <v>0</v>
      </c>
      <c r="D131" s="441" t="n">
        <v>0</v>
      </c>
      <c r="E131" s="449" t="n">
        <v>0</v>
      </c>
      <c r="F131" s="449" t="n">
        <v>0</v>
      </c>
      <c r="J131" s="347"/>
      <c r="K131" s="347"/>
      <c r="L131" s="358"/>
      <c r="M131" s="358"/>
      <c r="N131" s="358"/>
      <c r="O131" s="347"/>
      <c r="P131" s="358"/>
      <c r="Q131" s="358"/>
      <c r="R131" s="358"/>
      <c r="S131" s="358"/>
      <c r="T131" s="358"/>
      <c r="U131" s="358"/>
      <c r="V131" s="347"/>
      <c r="W131" s="347"/>
      <c r="X131" s="358"/>
      <c r="Y131" s="358"/>
      <c r="Z131" s="358"/>
      <c r="AA131" s="347"/>
      <c r="AB131" s="358"/>
      <c r="AC131" s="358"/>
      <c r="AD131" s="358"/>
      <c r="AE131" s="358"/>
      <c r="AF131" s="358"/>
      <c r="AG131" s="358"/>
      <c r="AH131" s="358"/>
      <c r="AI131" s="358"/>
      <c r="AJ131" s="358"/>
      <c r="AK131" s="358"/>
      <c r="AL131" s="358"/>
      <c r="AO131" s="359"/>
      <c r="AP131" s="359"/>
      <c r="AQ131" s="334"/>
      <c r="AR131" s="334"/>
      <c r="AS131" s="334"/>
      <c r="AT131" s="334"/>
      <c r="AU131" s="334"/>
      <c r="AV131" s="334"/>
      <c r="AW131" s="334"/>
      <c r="AX131" s="335"/>
      <c r="AY131" s="335"/>
      <c r="AZ131" s="335"/>
      <c r="BA131" s="335"/>
      <c r="BB131" s="335"/>
      <c r="BC131" s="335"/>
      <c r="BD131" s="335"/>
      <c r="BE131" s="335"/>
    </row>
    <row r="132" customFormat="false" ht="14.15" hidden="true" customHeight="true" outlineLevel="1" collapsed="false">
      <c r="A132" s="448" t="s">
        <v>1872</v>
      </c>
      <c r="B132" s="367" t="s">
        <v>156</v>
      </c>
      <c r="C132" s="441" t="n">
        <v>0</v>
      </c>
      <c r="D132" s="441" t="n">
        <v>0</v>
      </c>
      <c r="E132" s="449" t="n">
        <v>0</v>
      </c>
      <c r="F132" s="449" t="n">
        <v>0</v>
      </c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  <c r="AD132" s="358"/>
      <c r="AE132" s="358"/>
      <c r="AF132" s="358"/>
      <c r="AG132" s="358"/>
      <c r="AH132" s="358"/>
      <c r="AI132" s="358"/>
      <c r="AJ132" s="358"/>
      <c r="AK132" s="358"/>
      <c r="AL132" s="358"/>
      <c r="AO132" s="359"/>
      <c r="AP132" s="359"/>
      <c r="AQ132" s="334"/>
      <c r="AR132" s="334"/>
      <c r="AS132" s="334"/>
      <c r="AT132" s="334"/>
      <c r="AU132" s="334"/>
      <c r="AV132" s="334"/>
      <c r="AW132" s="334"/>
      <c r="AX132" s="335"/>
      <c r="AY132" s="335"/>
      <c r="AZ132" s="335"/>
      <c r="BA132" s="335"/>
      <c r="BB132" s="335"/>
      <c r="BC132" s="335"/>
      <c r="BD132" s="335"/>
      <c r="BE132" s="335"/>
    </row>
    <row r="133" customFormat="false" ht="14.15" hidden="true" customHeight="true" outlineLevel="1" collapsed="false">
      <c r="A133" s="448"/>
      <c r="B133" s="367" t="s">
        <v>156</v>
      </c>
      <c r="C133" s="441" t="n">
        <v>0</v>
      </c>
      <c r="D133" s="441" t="n">
        <v>0</v>
      </c>
      <c r="E133" s="449" t="n">
        <v>0</v>
      </c>
      <c r="F133" s="449" t="n">
        <v>0</v>
      </c>
      <c r="J133" s="347"/>
      <c r="K133" s="347"/>
      <c r="L133" s="347"/>
      <c r="M133" s="347"/>
      <c r="N133" s="347"/>
      <c r="O133" s="347"/>
      <c r="P133" s="347"/>
      <c r="Q133" s="347"/>
      <c r="R133" s="347"/>
      <c r="T133" s="347"/>
      <c r="U133" s="347"/>
      <c r="V133" s="347"/>
      <c r="W133" s="347"/>
      <c r="Z133" s="347"/>
      <c r="AA133" s="347"/>
      <c r="AB133" s="450"/>
      <c r="AC133" s="450"/>
      <c r="AD133" s="347"/>
      <c r="AE133" s="347"/>
      <c r="AG133" s="358"/>
      <c r="AH133" s="358"/>
      <c r="AI133" s="358"/>
      <c r="AJ133" s="358"/>
      <c r="AK133" s="358"/>
      <c r="AL133" s="358"/>
      <c r="AO133" s="359"/>
      <c r="AP133" s="359"/>
      <c r="AQ133" s="334"/>
      <c r="AR133" s="334"/>
      <c r="AS133" s="334"/>
      <c r="AT133" s="334"/>
      <c r="AU133" s="334"/>
      <c r="AV133" s="334"/>
      <c r="AW133" s="334"/>
      <c r="AX133" s="335"/>
      <c r="AY133" s="335"/>
      <c r="AZ133" s="335"/>
      <c r="BA133" s="335"/>
      <c r="BB133" s="335"/>
      <c r="BC133" s="335"/>
      <c r="BD133" s="335"/>
      <c r="BE133" s="335"/>
    </row>
    <row r="134" customFormat="false" ht="14.15" hidden="true" customHeight="true" outlineLevel="1" collapsed="false">
      <c r="A134" s="448"/>
      <c r="B134" s="367" t="s">
        <v>156</v>
      </c>
      <c r="C134" s="441" t="n">
        <v>0</v>
      </c>
      <c r="D134" s="441" t="n">
        <v>0</v>
      </c>
      <c r="E134" s="449" t="n">
        <v>0</v>
      </c>
      <c r="F134" s="449" t="n">
        <v>0</v>
      </c>
      <c r="H134" s="444" t="s">
        <v>1873</v>
      </c>
      <c r="J134" s="347"/>
      <c r="K134" s="347"/>
      <c r="L134" s="347"/>
      <c r="M134" s="347"/>
      <c r="N134" s="347"/>
      <c r="O134" s="451" t="s">
        <v>1874</v>
      </c>
      <c r="P134" s="347"/>
      <c r="Q134" s="347" t="s">
        <v>1873</v>
      </c>
      <c r="S134" s="347"/>
      <c r="T134" s="347"/>
      <c r="U134" s="347"/>
      <c r="V134" s="347"/>
      <c r="W134" s="347"/>
      <c r="X134" s="452" t="s">
        <v>1874</v>
      </c>
      <c r="Z134" s="452" t="s">
        <v>1874</v>
      </c>
      <c r="AA134" s="347"/>
      <c r="AB134" s="347"/>
      <c r="AC134" s="347"/>
      <c r="AE134" s="347"/>
      <c r="AF134" s="358"/>
      <c r="AG134" s="452" t="s">
        <v>1874</v>
      </c>
      <c r="AH134" s="358"/>
      <c r="AI134" s="358"/>
      <c r="AJ134" s="358"/>
      <c r="AK134" s="358"/>
      <c r="AL134" s="358"/>
      <c r="AO134" s="359"/>
      <c r="AP134" s="359"/>
      <c r="AQ134" s="334"/>
      <c r="AR134" s="334"/>
      <c r="AS134" s="334"/>
      <c r="AT134" s="334"/>
      <c r="AU134" s="334"/>
      <c r="AV134" s="334"/>
      <c r="AW134" s="334"/>
      <c r="AX134" s="335"/>
      <c r="AY134" s="335"/>
      <c r="AZ134" s="335"/>
      <c r="BA134" s="335"/>
      <c r="BB134" s="335"/>
      <c r="BC134" s="335"/>
      <c r="BD134" s="335"/>
      <c r="BE134" s="335"/>
    </row>
    <row r="135" customFormat="false" ht="14.15" hidden="true" customHeight="true" outlineLevel="1" collapsed="false">
      <c r="A135" s="448"/>
      <c r="B135" s="367" t="s">
        <v>156</v>
      </c>
      <c r="C135" s="441" t="n">
        <v>0</v>
      </c>
      <c r="D135" s="441" t="n">
        <v>0</v>
      </c>
      <c r="E135" s="449" t="n">
        <v>0</v>
      </c>
      <c r="F135" s="449" t="n">
        <v>0</v>
      </c>
      <c r="K135" s="347"/>
      <c r="M135" s="347"/>
      <c r="N135" s="347"/>
      <c r="O135" s="347"/>
      <c r="P135" s="347"/>
      <c r="Q135" s="347"/>
      <c r="R135" s="347"/>
      <c r="S135" s="347"/>
      <c r="T135" s="347"/>
      <c r="U135" s="347"/>
      <c r="W135" s="347"/>
      <c r="Y135" s="347"/>
      <c r="Z135" s="347"/>
      <c r="AA135" s="347"/>
      <c r="AB135" s="347"/>
      <c r="AC135" s="347"/>
      <c r="AD135" s="347"/>
      <c r="AE135" s="347"/>
      <c r="AF135" s="358"/>
      <c r="AG135" s="358"/>
      <c r="AH135" s="358"/>
      <c r="AI135" s="358"/>
      <c r="AJ135" s="358"/>
      <c r="AK135" s="358"/>
      <c r="AL135" s="358"/>
      <c r="AO135" s="359"/>
      <c r="AP135" s="359"/>
      <c r="AQ135" s="334"/>
      <c r="AR135" s="334"/>
      <c r="AS135" s="334"/>
      <c r="AT135" s="334"/>
      <c r="AU135" s="334"/>
      <c r="AV135" s="334"/>
      <c r="AW135" s="334"/>
      <c r="AX135" s="335"/>
      <c r="AY135" s="335"/>
      <c r="AZ135" s="335"/>
      <c r="BA135" s="335"/>
      <c r="BB135" s="335"/>
      <c r="BC135" s="335"/>
      <c r="BD135" s="335"/>
      <c r="BE135" s="335"/>
    </row>
    <row r="136" customFormat="false" ht="14.15" hidden="true" customHeight="true" outlineLevel="1" collapsed="false">
      <c r="A136" s="443" t="s">
        <v>1875</v>
      </c>
      <c r="B136" s="367" t="s">
        <v>156</v>
      </c>
      <c r="C136" s="441" t="n">
        <v>4</v>
      </c>
      <c r="D136" s="441" t="n">
        <v>1</v>
      </c>
      <c r="E136" s="382"/>
      <c r="F136" s="449" t="n">
        <v>2.2</v>
      </c>
      <c r="AG136" s="358"/>
      <c r="AH136" s="358"/>
      <c r="AI136" s="358"/>
      <c r="AJ136" s="358"/>
      <c r="AK136" s="358"/>
      <c r="AL136" s="358"/>
      <c r="AO136" s="359"/>
      <c r="AP136" s="359"/>
      <c r="AQ136" s="334"/>
      <c r="AR136" s="334"/>
      <c r="AS136" s="334"/>
      <c r="AT136" s="334"/>
      <c r="AU136" s="334"/>
      <c r="AV136" s="334"/>
      <c r="AW136" s="334"/>
      <c r="AX136" s="335"/>
      <c r="AY136" s="335"/>
      <c r="AZ136" s="335"/>
      <c r="BA136" s="335"/>
      <c r="BB136" s="335"/>
      <c r="BC136" s="335"/>
      <c r="BD136" s="335"/>
      <c r="BE136" s="335"/>
    </row>
    <row r="137" customFormat="false" ht="14.15" hidden="true" customHeight="true" outlineLevel="1" collapsed="false">
      <c r="A137" s="443"/>
      <c r="B137" s="367" t="s">
        <v>156</v>
      </c>
      <c r="C137" s="441" t="n">
        <v>2</v>
      </c>
      <c r="D137" s="441" t="n">
        <v>1</v>
      </c>
      <c r="E137" s="382"/>
      <c r="F137" s="449" t="n">
        <v>2.2</v>
      </c>
      <c r="AG137" s="358"/>
      <c r="AH137" s="358"/>
      <c r="AI137" s="358"/>
      <c r="AJ137" s="358"/>
      <c r="AK137" s="358"/>
      <c r="AL137" s="358"/>
      <c r="AO137" s="359"/>
      <c r="AP137" s="359"/>
      <c r="AQ137" s="334"/>
      <c r="AR137" s="334"/>
      <c r="AS137" s="334"/>
      <c r="AT137" s="334"/>
      <c r="AU137" s="334"/>
      <c r="AV137" s="334"/>
      <c r="AW137" s="334"/>
      <c r="AX137" s="335"/>
      <c r="AY137" s="335"/>
      <c r="AZ137" s="335"/>
      <c r="BA137" s="335"/>
      <c r="BB137" s="335"/>
      <c r="BC137" s="335"/>
      <c r="BD137" s="335"/>
      <c r="BE137" s="335"/>
    </row>
    <row r="138" customFormat="false" ht="14.15" hidden="true" customHeight="true" outlineLevel="1" collapsed="false">
      <c r="A138" s="443"/>
      <c r="B138" s="367" t="s">
        <v>156</v>
      </c>
      <c r="C138" s="441" t="n">
        <v>3</v>
      </c>
      <c r="D138" s="441" t="n">
        <v>1</v>
      </c>
      <c r="E138" s="382"/>
      <c r="F138" s="449" t="n">
        <v>2.2</v>
      </c>
      <c r="K138" s="324" t="s">
        <v>1876</v>
      </c>
      <c r="T138" s="324" t="s">
        <v>1876</v>
      </c>
      <c r="AC138" s="324" t="s">
        <v>1876</v>
      </c>
      <c r="AG138" s="358"/>
      <c r="AH138" s="358"/>
      <c r="AI138" s="358"/>
      <c r="AJ138" s="358"/>
      <c r="AK138" s="358"/>
      <c r="AL138" s="358"/>
      <c r="AO138" s="359"/>
      <c r="AP138" s="359"/>
      <c r="AQ138" s="334"/>
      <c r="AR138" s="334"/>
      <c r="AS138" s="334"/>
      <c r="AT138" s="334"/>
      <c r="AU138" s="334"/>
      <c r="AV138" s="334"/>
      <c r="AW138" s="334"/>
      <c r="AX138" s="335"/>
      <c r="AY138" s="335"/>
      <c r="AZ138" s="335"/>
      <c r="BA138" s="335"/>
      <c r="BB138" s="335"/>
      <c r="BC138" s="335"/>
      <c r="BD138" s="335"/>
      <c r="BE138" s="335"/>
    </row>
    <row r="139" customFormat="false" ht="14.15" hidden="true" customHeight="true" outlineLevel="1" collapsed="false">
      <c r="A139" s="443"/>
      <c r="B139" s="367" t="s">
        <v>156</v>
      </c>
      <c r="C139" s="441" t="n">
        <v>0</v>
      </c>
      <c r="D139" s="441" t="n">
        <v>0</v>
      </c>
      <c r="E139" s="382"/>
      <c r="F139" s="449" t="n">
        <v>0</v>
      </c>
      <c r="H139" s="453" t="s">
        <v>1877</v>
      </c>
      <c r="I139" s="453"/>
      <c r="J139" s="453"/>
      <c r="K139" s="453"/>
      <c r="L139" s="453"/>
      <c r="M139" s="453"/>
      <c r="N139" s="453"/>
      <c r="O139" s="453"/>
      <c r="R139" s="453" t="s">
        <v>1878</v>
      </c>
      <c r="S139" s="453"/>
      <c r="T139" s="453"/>
      <c r="U139" s="453"/>
      <c r="V139" s="453"/>
      <c r="W139" s="453"/>
      <c r="X139" s="453"/>
      <c r="Y139" s="454"/>
      <c r="Z139" s="453" t="s">
        <v>1879</v>
      </c>
      <c r="AA139" s="453"/>
      <c r="AB139" s="453"/>
      <c r="AC139" s="453"/>
      <c r="AD139" s="453"/>
      <c r="AE139" s="453"/>
      <c r="AF139" s="453"/>
      <c r="AG139" s="453"/>
      <c r="AI139" s="358"/>
      <c r="AJ139" s="358"/>
      <c r="AK139" s="358"/>
      <c r="AL139" s="358"/>
      <c r="AO139" s="359"/>
      <c r="AP139" s="359"/>
      <c r="AQ139" s="334"/>
      <c r="AR139" s="334"/>
      <c r="AS139" s="334"/>
      <c r="AT139" s="334"/>
      <c r="AU139" s="334"/>
      <c r="AV139" s="334"/>
      <c r="AW139" s="334"/>
      <c r="AX139" s="335"/>
      <c r="AY139" s="335"/>
      <c r="AZ139" s="335"/>
      <c r="BA139" s="335"/>
      <c r="BB139" s="335"/>
      <c r="BC139" s="335"/>
      <c r="BD139" s="335"/>
      <c r="BE139" s="335"/>
    </row>
    <row r="140" customFormat="false" ht="14.15" hidden="true" customHeight="true" outlineLevel="1" collapsed="false">
      <c r="A140" s="443" t="s">
        <v>1880</v>
      </c>
      <c r="B140" s="455" t="s">
        <v>156</v>
      </c>
      <c r="C140" s="456" t="n">
        <v>0</v>
      </c>
      <c r="D140" s="441" t="n">
        <v>0</v>
      </c>
      <c r="E140" s="382"/>
      <c r="F140" s="449" t="n">
        <v>0</v>
      </c>
      <c r="H140" s="453"/>
      <c r="I140" s="453"/>
      <c r="J140" s="453"/>
      <c r="K140" s="453"/>
      <c r="L140" s="453"/>
      <c r="M140" s="453"/>
      <c r="N140" s="453"/>
      <c r="O140" s="453"/>
      <c r="R140" s="453"/>
      <c r="S140" s="453"/>
      <c r="T140" s="453"/>
      <c r="U140" s="453"/>
      <c r="V140" s="453"/>
      <c r="W140" s="453"/>
      <c r="X140" s="453"/>
      <c r="Y140" s="454"/>
      <c r="Z140" s="453"/>
      <c r="AA140" s="453"/>
      <c r="AB140" s="453"/>
      <c r="AC140" s="453"/>
      <c r="AD140" s="453"/>
      <c r="AE140" s="453"/>
      <c r="AF140" s="453"/>
      <c r="AG140" s="453"/>
      <c r="AI140" s="358"/>
      <c r="AJ140" s="358"/>
      <c r="AK140" s="358"/>
      <c r="AL140" s="358"/>
      <c r="AO140" s="359"/>
      <c r="AP140" s="359"/>
      <c r="AQ140" s="334"/>
      <c r="AR140" s="334"/>
      <c r="AS140" s="334"/>
      <c r="AT140" s="334"/>
      <c r="AU140" s="334"/>
      <c r="AV140" s="334"/>
      <c r="AW140" s="334"/>
      <c r="AX140" s="335"/>
      <c r="AY140" s="335"/>
      <c r="AZ140" s="335"/>
      <c r="BA140" s="335"/>
      <c r="BB140" s="335"/>
      <c r="BC140" s="335"/>
      <c r="BD140" s="335"/>
      <c r="BE140" s="335"/>
    </row>
    <row r="141" customFormat="false" ht="14.15" hidden="true" customHeight="true" outlineLevel="1" collapsed="false">
      <c r="A141" s="443"/>
      <c r="B141" s="367" t="s">
        <v>156</v>
      </c>
      <c r="C141" s="441" t="n">
        <v>0</v>
      </c>
      <c r="D141" s="441" t="n">
        <v>0</v>
      </c>
      <c r="E141" s="382"/>
      <c r="F141" s="449" t="n">
        <v>0</v>
      </c>
      <c r="H141" s="453"/>
      <c r="I141" s="453"/>
      <c r="J141" s="453"/>
      <c r="K141" s="453"/>
      <c r="L141" s="453"/>
      <c r="M141" s="453"/>
      <c r="N141" s="453"/>
      <c r="O141" s="453"/>
      <c r="R141" s="453"/>
      <c r="S141" s="453"/>
      <c r="T141" s="453"/>
      <c r="U141" s="453"/>
      <c r="V141" s="453"/>
      <c r="W141" s="453"/>
      <c r="X141" s="453"/>
      <c r="Z141" s="453"/>
      <c r="AA141" s="453"/>
      <c r="AB141" s="453"/>
      <c r="AC141" s="453"/>
      <c r="AD141" s="453"/>
      <c r="AE141" s="453"/>
      <c r="AF141" s="453"/>
      <c r="AG141" s="453"/>
      <c r="AI141" s="358"/>
      <c r="AJ141" s="358"/>
      <c r="AK141" s="358"/>
      <c r="AL141" s="358"/>
      <c r="AO141" s="359"/>
      <c r="AP141" s="359"/>
      <c r="AQ141" s="334"/>
      <c r="AR141" s="334"/>
      <c r="AS141" s="334"/>
      <c r="AT141" s="334"/>
      <c r="AU141" s="334"/>
      <c r="AV141" s="334"/>
      <c r="AW141" s="334"/>
      <c r="AX141" s="335"/>
      <c r="AY141" s="335"/>
      <c r="AZ141" s="335"/>
      <c r="BA141" s="335"/>
      <c r="BB141" s="335"/>
      <c r="BC141" s="335"/>
      <c r="BD141" s="335"/>
      <c r="BE141" s="335"/>
    </row>
    <row r="142" customFormat="false" ht="14.15" hidden="true" customHeight="true" outlineLevel="1" collapsed="false">
      <c r="A142" s="443"/>
      <c r="B142" s="367" t="s">
        <v>156</v>
      </c>
      <c r="C142" s="441" t="n">
        <v>0</v>
      </c>
      <c r="D142" s="441" t="n">
        <v>0</v>
      </c>
      <c r="E142" s="382"/>
      <c r="F142" s="449" t="n">
        <v>0</v>
      </c>
      <c r="H142" s="453"/>
      <c r="I142" s="453"/>
      <c r="J142" s="453"/>
      <c r="K142" s="453"/>
      <c r="L142" s="453"/>
      <c r="M142" s="453"/>
      <c r="N142" s="453"/>
      <c r="O142" s="453"/>
      <c r="R142" s="453"/>
      <c r="S142" s="453"/>
      <c r="T142" s="453"/>
      <c r="U142" s="453"/>
      <c r="V142" s="453"/>
      <c r="W142" s="453"/>
      <c r="X142" s="453"/>
      <c r="Z142" s="453"/>
      <c r="AA142" s="453"/>
      <c r="AB142" s="453"/>
      <c r="AC142" s="453"/>
      <c r="AD142" s="453"/>
      <c r="AE142" s="453"/>
      <c r="AF142" s="453"/>
      <c r="AG142" s="453"/>
      <c r="AH142" s="358"/>
      <c r="AI142" s="358"/>
      <c r="AJ142" s="358"/>
      <c r="AK142" s="358"/>
      <c r="AL142" s="358"/>
      <c r="AM142" s="358"/>
      <c r="AN142" s="358"/>
      <c r="AO142" s="359"/>
      <c r="AP142" s="359"/>
      <c r="AQ142" s="334"/>
      <c r="AR142" s="334"/>
      <c r="AS142" s="334"/>
      <c r="AT142" s="334"/>
      <c r="AU142" s="334"/>
      <c r="AV142" s="334"/>
      <c r="AW142" s="334"/>
      <c r="AX142" s="335"/>
      <c r="AY142" s="335"/>
      <c r="AZ142" s="335"/>
      <c r="BA142" s="335"/>
      <c r="BB142" s="335"/>
      <c r="BC142" s="335"/>
      <c r="BD142" s="335"/>
      <c r="BE142" s="335"/>
    </row>
    <row r="143" customFormat="false" ht="14.15" hidden="true" customHeight="true" outlineLevel="1" collapsed="false">
      <c r="A143" s="443"/>
      <c r="B143" s="367" t="s">
        <v>156</v>
      </c>
      <c r="C143" s="441" t="n">
        <v>0</v>
      </c>
      <c r="D143" s="441" t="n">
        <v>0</v>
      </c>
      <c r="E143" s="457"/>
      <c r="F143" s="449" t="n">
        <v>0</v>
      </c>
      <c r="AI143" s="358"/>
      <c r="AJ143" s="358"/>
      <c r="AK143" s="358"/>
      <c r="AL143" s="358"/>
      <c r="AM143" s="358"/>
      <c r="AN143" s="371"/>
      <c r="AO143" s="359"/>
      <c r="AP143" s="359"/>
      <c r="AQ143" s="334"/>
      <c r="AR143" s="334"/>
      <c r="AS143" s="334"/>
      <c r="AT143" s="334"/>
      <c r="AU143" s="334"/>
      <c r="AV143" s="334"/>
      <c r="AW143" s="334"/>
      <c r="AX143" s="335"/>
      <c r="AY143" s="335"/>
      <c r="AZ143" s="335"/>
      <c r="BA143" s="335"/>
      <c r="BB143" s="335"/>
      <c r="BC143" s="335"/>
      <c r="BD143" s="335"/>
      <c r="BE143" s="335"/>
    </row>
    <row r="144" customFormat="false" ht="14.15" hidden="true" customHeight="true" outlineLevel="1" collapsed="false">
      <c r="A144" s="347"/>
      <c r="B144" s="450"/>
      <c r="C144" s="347"/>
      <c r="D144" s="347"/>
      <c r="E144" s="347"/>
      <c r="F144" s="347"/>
      <c r="G144" s="347"/>
      <c r="H144" s="458" t="s">
        <v>1881</v>
      </c>
      <c r="I144" s="458"/>
      <c r="J144" s="458"/>
      <c r="K144" s="458"/>
      <c r="L144" s="458"/>
      <c r="M144" s="458"/>
      <c r="N144" s="458"/>
      <c r="O144" s="458"/>
      <c r="P144" s="458"/>
      <c r="Q144" s="458"/>
      <c r="R144" s="458"/>
      <c r="S144" s="458"/>
      <c r="T144" s="458"/>
      <c r="U144" s="458"/>
      <c r="V144" s="458"/>
      <c r="W144" s="458"/>
      <c r="X144" s="458"/>
      <c r="Y144" s="458"/>
      <c r="Z144" s="458"/>
      <c r="AA144" s="458"/>
      <c r="AB144" s="458"/>
      <c r="AC144" s="458"/>
      <c r="AD144" s="458"/>
      <c r="AE144" s="458"/>
      <c r="AF144" s="458"/>
      <c r="AG144" s="458"/>
      <c r="AH144" s="358"/>
      <c r="AI144" s="358"/>
      <c r="AJ144" s="358"/>
      <c r="AK144" s="358"/>
      <c r="AL144" s="358"/>
      <c r="AM144" s="358"/>
      <c r="AN144" s="358"/>
      <c r="AO144" s="359"/>
      <c r="AP144" s="359"/>
      <c r="AQ144" s="334"/>
      <c r="AR144" s="334"/>
      <c r="AS144" s="334"/>
      <c r="AT144" s="334"/>
      <c r="AU144" s="334"/>
      <c r="AV144" s="334"/>
      <c r="AW144" s="334"/>
      <c r="AX144" s="335"/>
      <c r="AY144" s="335"/>
      <c r="AZ144" s="335"/>
      <c r="BA144" s="335"/>
      <c r="BB144" s="335"/>
      <c r="BC144" s="335"/>
      <c r="BD144" s="335"/>
      <c r="BE144" s="335"/>
    </row>
    <row r="145" customFormat="false" ht="20.25" hidden="true" customHeight="true" outlineLevel="1" collapsed="false">
      <c r="A145" s="347"/>
      <c r="B145" s="450"/>
      <c r="C145" s="347"/>
      <c r="D145" s="347"/>
      <c r="E145" s="347"/>
      <c r="F145" s="347"/>
      <c r="G145" s="347"/>
      <c r="H145" s="458"/>
      <c r="I145" s="458"/>
      <c r="J145" s="458"/>
      <c r="K145" s="458"/>
      <c r="L145" s="458"/>
      <c r="M145" s="458"/>
      <c r="N145" s="458"/>
      <c r="O145" s="458"/>
      <c r="P145" s="458"/>
      <c r="Q145" s="458"/>
      <c r="R145" s="458"/>
      <c r="S145" s="458"/>
      <c r="T145" s="458"/>
      <c r="U145" s="458"/>
      <c r="V145" s="458"/>
      <c r="W145" s="458"/>
      <c r="X145" s="458"/>
      <c r="Y145" s="458"/>
      <c r="Z145" s="458"/>
      <c r="AA145" s="458"/>
      <c r="AB145" s="458"/>
      <c r="AC145" s="458"/>
      <c r="AD145" s="458"/>
      <c r="AE145" s="458"/>
      <c r="AF145" s="458"/>
      <c r="AG145" s="458"/>
      <c r="AH145" s="358"/>
      <c r="AI145" s="358"/>
      <c r="AJ145" s="358"/>
      <c r="AK145" s="358"/>
      <c r="AL145" s="358"/>
      <c r="AM145" s="358"/>
      <c r="AN145" s="358"/>
      <c r="AO145" s="359"/>
      <c r="AP145" s="359"/>
      <c r="AQ145" s="334"/>
      <c r="AR145" s="334"/>
      <c r="AS145" s="334"/>
      <c r="AT145" s="334"/>
      <c r="AU145" s="334"/>
      <c r="AV145" s="334"/>
      <c r="AW145" s="334"/>
      <c r="AX145" s="335"/>
      <c r="AY145" s="335"/>
      <c r="AZ145" s="335"/>
      <c r="BA145" s="335"/>
      <c r="BB145" s="335"/>
      <c r="BC145" s="335"/>
      <c r="BD145" s="335"/>
      <c r="BE145" s="335"/>
    </row>
    <row r="146" customFormat="false" ht="14.25" hidden="false" customHeight="true" outlineLevel="0" collapsed="false">
      <c r="A146" s="408" t="s">
        <v>1882</v>
      </c>
      <c r="B146" s="408"/>
      <c r="C146" s="408"/>
      <c r="D146" s="408"/>
      <c r="E146" s="408"/>
      <c r="F146" s="347"/>
      <c r="G146" s="347"/>
      <c r="H146" s="459"/>
      <c r="I146" s="459"/>
      <c r="J146" s="459"/>
      <c r="K146" s="459"/>
      <c r="L146" s="459"/>
      <c r="M146" s="459"/>
      <c r="N146" s="459"/>
      <c r="O146" s="459"/>
      <c r="P146" s="459"/>
      <c r="Q146" s="459"/>
      <c r="R146" s="459"/>
      <c r="S146" s="459"/>
      <c r="T146" s="459"/>
      <c r="U146" s="459"/>
      <c r="V146" s="459"/>
      <c r="W146" s="459"/>
      <c r="X146" s="459"/>
      <c r="Y146" s="459"/>
      <c r="Z146" s="459"/>
      <c r="AA146" s="459"/>
      <c r="AB146" s="459"/>
      <c r="AC146" s="459"/>
      <c r="AD146" s="459"/>
      <c r="AE146" s="459"/>
      <c r="AF146" s="459"/>
      <c r="AG146" s="459"/>
      <c r="AH146" s="358"/>
      <c r="AI146" s="358"/>
      <c r="AJ146" s="358"/>
      <c r="AK146" s="358"/>
      <c r="AL146" s="358"/>
      <c r="AM146" s="358"/>
      <c r="AN146" s="358"/>
      <c r="AO146" s="359"/>
      <c r="AP146" s="359"/>
      <c r="AQ146" s="334"/>
      <c r="AR146" s="334"/>
      <c r="AS146" s="334"/>
      <c r="AT146" s="334"/>
      <c r="AU146" s="334"/>
      <c r="AV146" s="334"/>
      <c r="AW146" s="334"/>
      <c r="AX146" s="335"/>
      <c r="AY146" s="335"/>
      <c r="AZ146" s="335"/>
      <c r="BA146" s="335"/>
      <c r="BB146" s="335"/>
      <c r="BC146" s="335"/>
      <c r="BD146" s="335"/>
      <c r="BE146" s="335"/>
    </row>
    <row r="147" customFormat="false" ht="14.15" hidden="false" customHeight="true" outlineLevel="0" collapsed="false">
      <c r="A147" s="347"/>
      <c r="B147" s="450"/>
      <c r="C147" s="347"/>
      <c r="D147" s="347"/>
      <c r="E147" s="347"/>
      <c r="F147" s="347"/>
      <c r="G147" s="347"/>
      <c r="AG147" s="358"/>
      <c r="AH147" s="358"/>
      <c r="AI147" s="358"/>
      <c r="AJ147" s="358"/>
      <c r="AK147" s="358"/>
      <c r="AL147" s="358"/>
      <c r="AM147" s="358"/>
      <c r="AN147" s="358"/>
      <c r="AO147" s="359"/>
      <c r="AP147" s="359"/>
      <c r="AQ147" s="334"/>
      <c r="AR147" s="334"/>
      <c r="AS147" s="334"/>
      <c r="AT147" s="334"/>
      <c r="AU147" s="334"/>
      <c r="AV147" s="334"/>
      <c r="AW147" s="334"/>
      <c r="AX147" s="335"/>
      <c r="AY147" s="335"/>
      <c r="AZ147" s="335"/>
      <c r="BA147" s="335"/>
      <c r="BB147" s="335"/>
      <c r="BC147" s="335"/>
      <c r="BD147" s="335"/>
      <c r="BE147" s="335"/>
    </row>
    <row r="148" customFormat="false" ht="14.15" hidden="true" customHeight="true" outlineLevel="1" collapsed="false">
      <c r="A148" s="460" t="s">
        <v>1883</v>
      </c>
      <c r="B148" s="460"/>
      <c r="C148" s="460"/>
      <c r="D148" s="460"/>
      <c r="E148" s="460"/>
      <c r="H148" s="347"/>
      <c r="I148" s="461"/>
      <c r="J148" s="347"/>
      <c r="K148" s="347"/>
      <c r="L148" s="347"/>
      <c r="M148" s="411" t="s">
        <v>1883</v>
      </c>
      <c r="N148" s="411"/>
      <c r="O148" s="411"/>
      <c r="P148" s="411"/>
      <c r="Q148" s="411"/>
      <c r="R148" s="411"/>
      <c r="S148" s="411"/>
      <c r="T148" s="411"/>
      <c r="U148" s="411"/>
      <c r="V148" s="411"/>
      <c r="W148" s="411"/>
      <c r="X148" s="411"/>
      <c r="Y148" s="411"/>
      <c r="Z148" s="411"/>
      <c r="AA148" s="411"/>
      <c r="AB148" s="411"/>
      <c r="AC148" s="411"/>
      <c r="AD148" s="411"/>
      <c r="AE148" s="411"/>
      <c r="AF148" s="411"/>
      <c r="AG148" s="358"/>
      <c r="AH148" s="358"/>
      <c r="AI148" s="358"/>
      <c r="AJ148" s="358"/>
      <c r="AK148" s="358"/>
      <c r="AL148" s="358"/>
      <c r="AM148" s="358"/>
      <c r="AN148" s="358"/>
      <c r="AO148" s="359"/>
      <c r="AP148" s="359"/>
      <c r="AQ148" s="334"/>
      <c r="AR148" s="334"/>
      <c r="AS148" s="334"/>
      <c r="AT148" s="334"/>
      <c r="AU148" s="334"/>
      <c r="AV148" s="334"/>
      <c r="AW148" s="334"/>
      <c r="AX148" s="335"/>
      <c r="AY148" s="335"/>
      <c r="AZ148" s="335"/>
      <c r="BA148" s="335"/>
      <c r="BB148" s="335"/>
      <c r="BC148" s="335"/>
      <c r="BD148" s="335"/>
      <c r="BE148" s="335"/>
    </row>
    <row r="149" customFormat="false" ht="14.15" hidden="true" customHeight="true" outlineLevel="1" collapsed="false">
      <c r="A149" s="356"/>
      <c r="B149" s="462"/>
      <c r="C149" s="356"/>
      <c r="D149" s="356"/>
      <c r="E149" s="356"/>
      <c r="F149" s="356"/>
      <c r="G149" s="350"/>
      <c r="M149" s="411"/>
      <c r="N149" s="411"/>
      <c r="O149" s="411"/>
      <c r="P149" s="411"/>
      <c r="Q149" s="411"/>
      <c r="R149" s="411"/>
      <c r="S149" s="411"/>
      <c r="T149" s="411"/>
      <c r="U149" s="411"/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358"/>
      <c r="AH149" s="358"/>
      <c r="AI149" s="358"/>
      <c r="AJ149" s="358"/>
      <c r="AK149" s="358"/>
      <c r="AL149" s="358"/>
      <c r="AM149" s="358"/>
      <c r="AN149" s="358"/>
      <c r="AO149" s="359"/>
      <c r="AP149" s="359"/>
      <c r="AQ149" s="334"/>
      <c r="AR149" s="334"/>
      <c r="AS149" s="334"/>
      <c r="AT149" s="334"/>
      <c r="AU149" s="334"/>
      <c r="AV149" s="334"/>
      <c r="AW149" s="334"/>
      <c r="AX149" s="335"/>
      <c r="AY149" s="335"/>
      <c r="AZ149" s="335"/>
      <c r="BA149" s="335"/>
      <c r="BB149" s="335"/>
      <c r="BC149" s="335"/>
      <c r="BD149" s="335"/>
      <c r="BE149" s="335"/>
    </row>
    <row r="150" customFormat="false" ht="14.15" hidden="true" customHeight="true" outlineLevel="1" collapsed="false">
      <c r="A150" s="408" t="s">
        <v>1884</v>
      </c>
      <c r="B150" s="408"/>
      <c r="C150" s="408"/>
      <c r="D150" s="408"/>
      <c r="E150" s="377" t="n">
        <v>1</v>
      </c>
      <c r="F150" s="391"/>
      <c r="G150" s="353"/>
      <c r="AG150" s="358"/>
      <c r="AH150" s="358"/>
      <c r="AI150" s="358"/>
      <c r="AJ150" s="358"/>
      <c r="AK150" s="358"/>
      <c r="AL150" s="358"/>
      <c r="AM150" s="358"/>
      <c r="AN150" s="358"/>
      <c r="AO150" s="359"/>
      <c r="AP150" s="359"/>
      <c r="AQ150" s="334"/>
      <c r="AR150" s="334"/>
      <c r="AS150" s="334"/>
      <c r="AT150" s="334"/>
      <c r="AU150" s="334"/>
      <c r="AV150" s="334"/>
      <c r="AW150" s="334"/>
      <c r="AX150" s="335"/>
      <c r="AY150" s="335"/>
      <c r="AZ150" s="335"/>
      <c r="BA150" s="335"/>
      <c r="BB150" s="335"/>
      <c r="BC150" s="335"/>
      <c r="BD150" s="335"/>
      <c r="BE150" s="335"/>
    </row>
    <row r="151" customFormat="false" ht="14.15" hidden="true" customHeight="true" outlineLevel="1" collapsed="false">
      <c r="A151" s="408" t="s">
        <v>1885</v>
      </c>
      <c r="B151" s="408"/>
      <c r="C151" s="408"/>
      <c r="D151" s="408"/>
      <c r="E151" s="377" t="n">
        <v>1</v>
      </c>
      <c r="F151" s="391"/>
      <c r="G151" s="353"/>
      <c r="AG151" s="358"/>
      <c r="AH151" s="358"/>
      <c r="AI151" s="358"/>
      <c r="AJ151" s="358"/>
      <c r="AK151" s="358"/>
      <c r="AL151" s="358"/>
      <c r="AM151" s="358"/>
      <c r="AN151" s="358"/>
      <c r="AO151" s="359"/>
      <c r="AP151" s="359"/>
      <c r="AQ151" s="334"/>
      <c r="AR151" s="334"/>
      <c r="AS151" s="334"/>
      <c r="AT151" s="334"/>
      <c r="AU151" s="334"/>
      <c r="AV151" s="334"/>
      <c r="AW151" s="334"/>
      <c r="AX151" s="335"/>
      <c r="AY151" s="335"/>
      <c r="AZ151" s="335"/>
      <c r="BA151" s="335"/>
      <c r="BB151" s="335"/>
      <c r="BC151" s="335"/>
      <c r="BD151" s="335"/>
      <c r="BE151" s="335"/>
    </row>
    <row r="152" customFormat="false" ht="14.15" hidden="true" customHeight="true" outlineLevel="1" collapsed="false">
      <c r="D152" s="463"/>
      <c r="E152" s="463"/>
      <c r="F152" s="463"/>
      <c r="G152" s="353"/>
      <c r="AG152" s="358"/>
      <c r="AH152" s="358"/>
      <c r="AI152" s="358"/>
      <c r="AJ152" s="358"/>
      <c r="AK152" s="358"/>
      <c r="AL152" s="358"/>
      <c r="AM152" s="358"/>
      <c r="AN152" s="358"/>
      <c r="AO152" s="359"/>
      <c r="AP152" s="359"/>
      <c r="AQ152" s="334"/>
      <c r="AR152" s="334"/>
      <c r="AS152" s="334"/>
      <c r="AT152" s="334"/>
      <c r="AU152" s="334"/>
      <c r="AV152" s="334"/>
      <c r="AW152" s="334"/>
      <c r="AX152" s="335"/>
      <c r="AY152" s="335"/>
      <c r="AZ152" s="335"/>
      <c r="BA152" s="335"/>
      <c r="BB152" s="335"/>
      <c r="BC152" s="335"/>
      <c r="BD152" s="335"/>
      <c r="BE152" s="335"/>
    </row>
    <row r="153" customFormat="false" ht="14.15" hidden="true" customHeight="true" outlineLevel="1" collapsed="false">
      <c r="A153" s="425" t="s">
        <v>1093</v>
      </c>
      <c r="B153" s="425" t="s">
        <v>208</v>
      </c>
      <c r="C153" s="425" t="s">
        <v>156</v>
      </c>
      <c r="D153" s="357"/>
      <c r="E153" s="357"/>
      <c r="F153" s="357"/>
      <c r="G153" s="353"/>
      <c r="AG153" s="358"/>
      <c r="AH153" s="358"/>
      <c r="AI153" s="358"/>
      <c r="AJ153" s="358"/>
      <c r="AK153" s="358"/>
      <c r="AL153" s="358"/>
      <c r="AM153" s="358"/>
      <c r="AN153" s="358"/>
      <c r="AO153" s="359"/>
      <c r="AP153" s="359"/>
      <c r="AQ153" s="334"/>
      <c r="AR153" s="334"/>
      <c r="AS153" s="334"/>
      <c r="AT153" s="334"/>
      <c r="AU153" s="334"/>
      <c r="AV153" s="334"/>
      <c r="AW153" s="334"/>
      <c r="AX153" s="335"/>
      <c r="AY153" s="335"/>
      <c r="AZ153" s="335"/>
      <c r="BA153" s="335"/>
      <c r="BB153" s="335"/>
      <c r="BC153" s="335"/>
      <c r="BD153" s="335"/>
      <c r="BE153" s="335"/>
    </row>
    <row r="154" customFormat="false" ht="14.15" hidden="true" customHeight="true" outlineLevel="1" collapsed="false">
      <c r="A154" s="464" t="s">
        <v>1886</v>
      </c>
      <c r="B154" s="464" t="s">
        <v>1887</v>
      </c>
      <c r="C154" s="370" t="s">
        <v>1888</v>
      </c>
      <c r="D154" s="446"/>
      <c r="G154" s="353"/>
      <c r="AE154" s="349"/>
      <c r="AF154" s="350"/>
      <c r="AG154" s="350"/>
      <c r="AH154" s="358"/>
      <c r="AI154" s="358"/>
      <c r="AJ154" s="358"/>
      <c r="AK154" s="358"/>
      <c r="AL154" s="358"/>
      <c r="AM154" s="358"/>
      <c r="AN154" s="358"/>
      <c r="AO154" s="359"/>
      <c r="AP154" s="359"/>
      <c r="AQ154" s="334"/>
      <c r="AR154" s="334"/>
      <c r="AS154" s="334"/>
      <c r="AT154" s="334"/>
      <c r="AU154" s="334"/>
      <c r="AV154" s="334"/>
      <c r="AW154" s="334"/>
      <c r="AX154" s="335"/>
      <c r="AY154" s="335"/>
      <c r="AZ154" s="335"/>
      <c r="BA154" s="335"/>
      <c r="BB154" s="335"/>
      <c r="BC154" s="335"/>
      <c r="BD154" s="335"/>
      <c r="BE154" s="335"/>
    </row>
    <row r="155" customFormat="false" ht="14.15" hidden="true" customHeight="true" outlineLevel="1" collapsed="false">
      <c r="A155" s="464"/>
      <c r="B155" s="409" t="s">
        <v>1821</v>
      </c>
      <c r="C155" s="409" t="s">
        <v>1798</v>
      </c>
      <c r="D155" s="446"/>
      <c r="G155" s="353"/>
      <c r="H155" s="350"/>
      <c r="I155" s="350"/>
      <c r="J155" s="350"/>
      <c r="K155" s="349"/>
      <c r="L155" s="349"/>
      <c r="M155" s="350"/>
      <c r="N155" s="350"/>
      <c r="O155" s="350"/>
      <c r="P155" s="350"/>
      <c r="Q155" s="350"/>
      <c r="R155" s="350"/>
      <c r="S155" s="350"/>
      <c r="T155" s="350"/>
      <c r="U155" s="350"/>
      <c r="V155" s="350"/>
      <c r="W155" s="350"/>
      <c r="X155" s="358"/>
      <c r="Y155" s="358"/>
      <c r="Z155" s="379"/>
      <c r="AA155" s="379"/>
      <c r="AB155" s="350"/>
      <c r="AC155" s="350"/>
      <c r="AD155" s="350"/>
      <c r="AE155" s="349"/>
      <c r="AF155" s="349"/>
      <c r="AG155" s="349"/>
      <c r="AH155" s="358"/>
      <c r="AI155" s="358"/>
      <c r="AJ155" s="358"/>
      <c r="AK155" s="358"/>
      <c r="AL155" s="358"/>
      <c r="AM155" s="358"/>
      <c r="AN155" s="358"/>
      <c r="AO155" s="359"/>
      <c r="AP155" s="359"/>
      <c r="AQ155" s="334"/>
      <c r="AR155" s="334"/>
      <c r="AS155" s="334"/>
      <c r="AT155" s="334"/>
      <c r="AU155" s="334"/>
      <c r="AV155" s="334"/>
      <c r="AW155" s="334"/>
      <c r="AX155" s="335"/>
      <c r="AY155" s="335"/>
      <c r="AZ155" s="335"/>
      <c r="BA155" s="335"/>
      <c r="BB155" s="335"/>
      <c r="BC155" s="335"/>
      <c r="BD155" s="335"/>
      <c r="BE155" s="335"/>
    </row>
    <row r="156" customFormat="false" ht="14.15" hidden="true" customHeight="true" outlineLevel="1" collapsed="false">
      <c r="A156" s="324" t="s">
        <v>1889</v>
      </c>
      <c r="B156" s="371"/>
      <c r="C156" s="371"/>
      <c r="D156" s="446"/>
      <c r="G156" s="353"/>
      <c r="H156" s="353"/>
      <c r="I156" s="353"/>
      <c r="J156" s="349"/>
      <c r="K156" s="349"/>
      <c r="L156" s="349"/>
      <c r="M156" s="387"/>
      <c r="N156" s="387"/>
      <c r="O156" s="387"/>
      <c r="P156" s="387"/>
      <c r="Q156" s="387"/>
      <c r="R156" s="387"/>
      <c r="S156" s="387"/>
      <c r="T156" s="387"/>
      <c r="U156" s="349"/>
      <c r="V156" s="349"/>
      <c r="W156" s="349"/>
      <c r="X156" s="358"/>
      <c r="Y156" s="358"/>
      <c r="Z156" s="379"/>
      <c r="AA156" s="379"/>
      <c r="AB156" s="349"/>
      <c r="AC156" s="349"/>
      <c r="AD156" s="349"/>
      <c r="AE156" s="353"/>
      <c r="AF156" s="349"/>
      <c r="AG156" s="349"/>
      <c r="AH156" s="358"/>
      <c r="AI156" s="358"/>
      <c r="AJ156" s="358"/>
      <c r="AK156" s="358"/>
      <c r="AL156" s="358"/>
      <c r="AM156" s="358"/>
      <c r="AN156" s="358"/>
      <c r="AO156" s="359"/>
      <c r="AP156" s="359"/>
      <c r="AQ156" s="334"/>
      <c r="AR156" s="334"/>
      <c r="AS156" s="334"/>
      <c r="AT156" s="334"/>
      <c r="AU156" s="334"/>
      <c r="AV156" s="334"/>
      <c r="AW156" s="334"/>
      <c r="AX156" s="335"/>
      <c r="AY156" s="335"/>
      <c r="AZ156" s="335"/>
      <c r="BA156" s="335"/>
      <c r="BB156" s="335"/>
      <c r="BC156" s="335"/>
      <c r="BD156" s="335"/>
      <c r="BE156" s="335"/>
    </row>
    <row r="157" customFormat="false" ht="14.15" hidden="true" customHeight="true" outlineLevel="1" collapsed="false">
      <c r="A157" s="465" t="s">
        <v>1890</v>
      </c>
      <c r="D157" s="446"/>
      <c r="G157" s="353"/>
      <c r="H157" s="348"/>
      <c r="I157" s="348"/>
      <c r="J157" s="349"/>
      <c r="K157" s="349"/>
      <c r="L157" s="349"/>
      <c r="M157" s="387"/>
      <c r="N157" s="387"/>
      <c r="O157" s="387"/>
      <c r="P157" s="387"/>
      <c r="Q157" s="387"/>
      <c r="R157" s="387"/>
      <c r="S157" s="387"/>
      <c r="T157" s="387"/>
      <c r="U157" s="349"/>
      <c r="V157" s="349"/>
      <c r="W157" s="349"/>
      <c r="X157" s="349"/>
      <c r="Y157" s="349"/>
      <c r="Z157" s="349"/>
      <c r="AA157" s="349"/>
      <c r="AB157" s="349"/>
      <c r="AC157" s="349"/>
      <c r="AD157" s="349"/>
      <c r="AE157" s="353"/>
      <c r="AF157" s="353"/>
      <c r="AG157" s="353"/>
      <c r="AH157" s="358"/>
      <c r="AI157" s="358"/>
      <c r="AJ157" s="358"/>
      <c r="AK157" s="358"/>
      <c r="AL157" s="358"/>
      <c r="AM157" s="358"/>
      <c r="AN157" s="358"/>
      <c r="AO157" s="359"/>
      <c r="AP157" s="359"/>
      <c r="AQ157" s="334"/>
      <c r="AR157" s="334"/>
      <c r="AS157" s="334"/>
      <c r="AT157" s="334"/>
      <c r="AU157" s="334"/>
      <c r="AV157" s="334"/>
      <c r="AW157" s="334"/>
      <c r="AX157" s="335"/>
      <c r="AY157" s="335"/>
      <c r="AZ157" s="335"/>
      <c r="BA157" s="335"/>
      <c r="BB157" s="335"/>
      <c r="BC157" s="335"/>
      <c r="BD157" s="335"/>
      <c r="BE157" s="335"/>
    </row>
    <row r="158" customFormat="false" ht="14.15" hidden="true" customHeight="true" outlineLevel="1" collapsed="false">
      <c r="A158" s="466" t="s">
        <v>1891</v>
      </c>
      <c r="B158" s="467"/>
      <c r="C158" s="468"/>
      <c r="D158" s="348"/>
      <c r="E158" s="348"/>
      <c r="F158" s="348"/>
      <c r="G158" s="353"/>
      <c r="H158" s="349"/>
      <c r="I158" s="349"/>
      <c r="J158" s="353"/>
      <c r="K158" s="349"/>
      <c r="L158" s="349"/>
      <c r="M158" s="387"/>
      <c r="N158" s="349"/>
      <c r="O158" s="349"/>
      <c r="P158" s="349"/>
      <c r="Q158" s="349"/>
      <c r="R158" s="349"/>
      <c r="S158" s="349"/>
      <c r="T158" s="349"/>
      <c r="U158" s="349"/>
      <c r="V158" s="349"/>
      <c r="W158" s="349"/>
      <c r="X158" s="349"/>
      <c r="Y158" s="349"/>
      <c r="Z158" s="349"/>
      <c r="AA158" s="349"/>
      <c r="AB158" s="353"/>
      <c r="AC158" s="353"/>
      <c r="AD158" s="353"/>
      <c r="AE158" s="353"/>
      <c r="AF158" s="469"/>
      <c r="AG158" s="353"/>
      <c r="AH158" s="358"/>
      <c r="AI158" s="358"/>
      <c r="AJ158" s="358"/>
      <c r="AK158" s="358"/>
      <c r="AL158" s="358"/>
      <c r="AM158" s="358"/>
      <c r="AN158" s="358"/>
      <c r="AO158" s="359"/>
      <c r="AP158" s="359"/>
      <c r="AQ158" s="334"/>
      <c r="AR158" s="334"/>
      <c r="AS158" s="334"/>
      <c r="AT158" s="334"/>
      <c r="AU158" s="334"/>
      <c r="AV158" s="334"/>
      <c r="AW158" s="334"/>
      <c r="AX158" s="335"/>
      <c r="AY158" s="335"/>
      <c r="AZ158" s="335"/>
      <c r="BA158" s="335"/>
      <c r="BB158" s="335"/>
      <c r="BC158" s="335"/>
      <c r="BD158" s="335"/>
      <c r="BE158" s="335"/>
    </row>
    <row r="159" customFormat="false" ht="14.15" hidden="true" customHeight="true" outlineLevel="1" collapsed="false">
      <c r="A159" s="470" t="s">
        <v>493</v>
      </c>
      <c r="B159" s="467"/>
      <c r="C159" s="468"/>
      <c r="D159" s="446"/>
      <c r="E159" s="446"/>
      <c r="F159" s="446"/>
      <c r="G159" s="353"/>
      <c r="H159" s="349"/>
      <c r="I159" s="349"/>
      <c r="J159" s="353"/>
      <c r="K159" s="349"/>
      <c r="L159" s="349"/>
      <c r="M159" s="387"/>
      <c r="N159" s="349"/>
      <c r="O159" s="349"/>
      <c r="P159" s="349"/>
      <c r="Q159" s="349"/>
      <c r="R159" s="349"/>
      <c r="S159" s="349"/>
      <c r="T159" s="349"/>
      <c r="U159" s="349"/>
      <c r="V159" s="349"/>
      <c r="W159" s="349"/>
      <c r="X159" s="349"/>
      <c r="Y159" s="349"/>
      <c r="Z159" s="349"/>
      <c r="AA159" s="349"/>
      <c r="AB159" s="353"/>
      <c r="AC159" s="353"/>
      <c r="AD159" s="353"/>
      <c r="AE159" s="353"/>
      <c r="AF159" s="349"/>
      <c r="AG159" s="353"/>
      <c r="AH159" s="358"/>
      <c r="AI159" s="358"/>
      <c r="AJ159" s="358"/>
      <c r="AK159" s="358"/>
      <c r="AL159" s="358"/>
      <c r="AM159" s="358"/>
      <c r="AN159" s="358"/>
      <c r="AO159" s="359"/>
      <c r="AP159" s="359"/>
      <c r="AQ159" s="334"/>
      <c r="AR159" s="334"/>
      <c r="AS159" s="334"/>
      <c r="AT159" s="334"/>
      <c r="AU159" s="334"/>
      <c r="AV159" s="334"/>
      <c r="AW159" s="334"/>
      <c r="AX159" s="335"/>
      <c r="AY159" s="335"/>
      <c r="AZ159" s="335"/>
      <c r="BA159" s="335"/>
      <c r="BB159" s="335"/>
      <c r="BC159" s="335"/>
      <c r="BD159" s="335"/>
      <c r="BE159" s="335"/>
    </row>
    <row r="160" customFormat="false" ht="14.15" hidden="true" customHeight="true" outlineLevel="1" collapsed="false">
      <c r="A160" s="265" t="s">
        <v>1892</v>
      </c>
      <c r="B160" s="404" t="s">
        <v>156</v>
      </c>
      <c r="C160" s="471" t="n">
        <v>0.8</v>
      </c>
      <c r="D160" s="446"/>
      <c r="E160" s="446"/>
      <c r="F160" s="446"/>
      <c r="G160" s="353"/>
      <c r="H160" s="353"/>
      <c r="I160" s="353"/>
      <c r="J160" s="353"/>
      <c r="K160" s="349"/>
      <c r="L160" s="349"/>
      <c r="M160" s="387"/>
      <c r="N160" s="349"/>
      <c r="O160" s="349"/>
      <c r="P160" s="349"/>
      <c r="Q160" s="349"/>
      <c r="R160" s="349"/>
      <c r="S160" s="380"/>
      <c r="T160" s="349"/>
      <c r="U160" s="349"/>
      <c r="V160" s="349"/>
      <c r="W160" s="349"/>
      <c r="X160" s="349"/>
      <c r="Y160" s="349"/>
      <c r="Z160" s="349"/>
      <c r="AA160" s="349"/>
      <c r="AB160" s="353"/>
      <c r="AC160" s="353"/>
      <c r="AD160" s="353"/>
      <c r="AE160" s="353"/>
      <c r="AF160" s="349"/>
      <c r="AG160" s="353"/>
      <c r="AH160" s="358"/>
      <c r="AI160" s="358"/>
      <c r="AJ160" s="358"/>
      <c r="AK160" s="358"/>
      <c r="AL160" s="358"/>
      <c r="AM160" s="358"/>
      <c r="AN160" s="358"/>
      <c r="AO160" s="359"/>
      <c r="AP160" s="359"/>
      <c r="AQ160" s="334"/>
      <c r="AR160" s="334"/>
      <c r="AS160" s="334"/>
      <c r="AT160" s="334"/>
      <c r="AU160" s="334"/>
      <c r="AV160" s="334"/>
      <c r="AW160" s="334"/>
      <c r="AX160" s="335"/>
      <c r="AY160" s="335"/>
      <c r="AZ160" s="335"/>
      <c r="BA160" s="335"/>
      <c r="BB160" s="335"/>
      <c r="BC160" s="335"/>
      <c r="BD160" s="335"/>
      <c r="BE160" s="335"/>
    </row>
    <row r="161" customFormat="false" ht="14.15" hidden="true" customHeight="true" outlineLevel="1" collapsed="false">
      <c r="A161" s="265" t="s">
        <v>1893</v>
      </c>
      <c r="B161" s="404" t="s">
        <v>156</v>
      </c>
      <c r="C161" s="471" t="n">
        <v>1</v>
      </c>
      <c r="D161" s="446"/>
      <c r="E161" s="353"/>
      <c r="F161" s="472" t="s">
        <v>1894</v>
      </c>
      <c r="G161" s="353"/>
      <c r="H161" s="353"/>
      <c r="I161" s="353"/>
      <c r="J161" s="353"/>
      <c r="K161" s="349"/>
      <c r="L161" s="349"/>
      <c r="M161" s="387"/>
      <c r="N161" s="349"/>
      <c r="O161" s="349"/>
      <c r="P161" s="349"/>
      <c r="Q161" s="349"/>
      <c r="R161" s="349"/>
      <c r="S161" s="349"/>
      <c r="T161" s="349"/>
      <c r="U161" s="349"/>
      <c r="V161" s="349"/>
      <c r="W161" s="349"/>
      <c r="X161" s="349"/>
      <c r="Y161" s="349"/>
      <c r="Z161" s="349"/>
      <c r="AA161" s="349"/>
      <c r="AB161" s="353"/>
      <c r="AC161" s="353"/>
      <c r="AD161" s="353" t="s">
        <v>1895</v>
      </c>
      <c r="AE161" s="353"/>
      <c r="AF161" s="348"/>
      <c r="AG161" s="348"/>
      <c r="AH161" s="358"/>
      <c r="AI161" s="358"/>
      <c r="AJ161" s="358"/>
      <c r="AK161" s="358"/>
      <c r="AL161" s="358"/>
      <c r="AM161" s="358"/>
      <c r="AN161" s="358"/>
      <c r="AO161" s="359"/>
      <c r="AP161" s="359"/>
      <c r="AQ161" s="334"/>
      <c r="AR161" s="334"/>
      <c r="AS161" s="334"/>
      <c r="AT161" s="334"/>
      <c r="AU161" s="334"/>
      <c r="AV161" s="334"/>
      <c r="AW161" s="334"/>
      <c r="AX161" s="335"/>
      <c r="AY161" s="335"/>
      <c r="AZ161" s="335"/>
      <c r="BA161" s="335"/>
      <c r="BB161" s="335"/>
      <c r="BC161" s="335"/>
      <c r="BD161" s="335"/>
      <c r="BE161" s="335"/>
    </row>
    <row r="162" customFormat="false" ht="14.15" hidden="true" customHeight="true" outlineLevel="1" collapsed="false">
      <c r="A162" s="265" t="s">
        <v>1896</v>
      </c>
      <c r="B162" s="404" t="s">
        <v>156</v>
      </c>
      <c r="C162" s="471" t="n">
        <v>0.7</v>
      </c>
      <c r="D162" s="446"/>
      <c r="E162" s="353"/>
      <c r="F162" s="472"/>
      <c r="G162" s="353"/>
      <c r="H162" s="353"/>
      <c r="I162" s="353"/>
      <c r="J162" s="353"/>
      <c r="K162" s="349"/>
      <c r="L162" s="349"/>
      <c r="M162" s="387"/>
      <c r="N162" s="349"/>
      <c r="O162" s="349"/>
      <c r="P162" s="349"/>
      <c r="Q162" s="349"/>
      <c r="R162" s="349"/>
      <c r="S162" s="349"/>
      <c r="T162" s="349"/>
      <c r="U162" s="349"/>
      <c r="V162" s="349"/>
      <c r="W162" s="349"/>
      <c r="X162" s="349"/>
      <c r="Y162" s="349"/>
      <c r="Z162" s="349"/>
      <c r="AA162" s="349"/>
      <c r="AB162" s="353"/>
      <c r="AC162" s="353"/>
      <c r="AD162" s="349"/>
      <c r="AE162" s="355"/>
      <c r="AF162" s="349"/>
      <c r="AG162" s="349"/>
      <c r="AH162" s="358"/>
      <c r="AI162" s="358"/>
      <c r="AJ162" s="358"/>
      <c r="AK162" s="358"/>
      <c r="AL162" s="358"/>
      <c r="AM162" s="358"/>
      <c r="AN162" s="358"/>
      <c r="AO162" s="359"/>
      <c r="AP162" s="359"/>
      <c r="AQ162" s="334"/>
      <c r="AR162" s="334"/>
      <c r="AS162" s="334"/>
      <c r="AT162" s="334"/>
      <c r="AU162" s="334"/>
      <c r="AV162" s="334"/>
      <c r="AW162" s="334"/>
      <c r="AX162" s="335"/>
      <c r="AY162" s="335"/>
      <c r="AZ162" s="335"/>
      <c r="BA162" s="335"/>
      <c r="BB162" s="335"/>
      <c r="BC162" s="335"/>
      <c r="BD162" s="335"/>
      <c r="BE162" s="335"/>
    </row>
    <row r="163" customFormat="false" ht="14.15" hidden="true" customHeight="true" outlineLevel="1" collapsed="false">
      <c r="A163" s="265" t="s">
        <v>1897</v>
      </c>
      <c r="B163" s="404" t="s">
        <v>156</v>
      </c>
      <c r="C163" s="471" t="n">
        <v>1</v>
      </c>
      <c r="D163" s="446"/>
      <c r="E163" s="353"/>
      <c r="F163" s="472"/>
      <c r="G163" s="349"/>
      <c r="H163" s="353"/>
      <c r="I163" s="353"/>
      <c r="J163" s="353"/>
      <c r="K163" s="349"/>
      <c r="L163" s="349"/>
      <c r="M163" s="387"/>
      <c r="N163" s="349"/>
      <c r="O163" s="349"/>
      <c r="P163" s="349"/>
      <c r="Q163" s="349"/>
      <c r="R163" s="349"/>
      <c r="S163" s="349"/>
      <c r="T163" s="349"/>
      <c r="U163" s="349"/>
      <c r="V163" s="349"/>
      <c r="W163" s="349"/>
      <c r="X163" s="349"/>
      <c r="Y163" s="349"/>
      <c r="Z163" s="349"/>
      <c r="AA163" s="349"/>
      <c r="AB163" s="353"/>
      <c r="AC163" s="353"/>
      <c r="AD163" s="353"/>
      <c r="AE163" s="355"/>
      <c r="AF163" s="349"/>
      <c r="AG163" s="349"/>
      <c r="AH163" s="358"/>
      <c r="AI163" s="358"/>
      <c r="AJ163" s="358"/>
      <c r="AK163" s="358"/>
      <c r="AL163" s="358"/>
      <c r="AM163" s="358"/>
      <c r="AN163" s="358"/>
      <c r="AO163" s="359"/>
      <c r="AP163" s="359"/>
      <c r="AQ163" s="334"/>
      <c r="AR163" s="334"/>
      <c r="AS163" s="334"/>
      <c r="AT163" s="334"/>
      <c r="AU163" s="334"/>
      <c r="AV163" s="334"/>
      <c r="AW163" s="334"/>
      <c r="AX163" s="335"/>
      <c r="AY163" s="335"/>
      <c r="AZ163" s="335"/>
      <c r="BA163" s="335"/>
      <c r="BB163" s="335"/>
      <c r="BC163" s="335"/>
      <c r="BD163" s="335"/>
      <c r="BE163" s="335"/>
    </row>
    <row r="164" customFormat="false" ht="14.15" hidden="true" customHeight="true" outlineLevel="1" collapsed="false">
      <c r="D164" s="446"/>
      <c r="E164" s="353"/>
      <c r="F164" s="472"/>
      <c r="G164" s="349"/>
      <c r="H164" s="353"/>
      <c r="I164" s="353"/>
      <c r="J164" s="353"/>
      <c r="K164" s="349"/>
      <c r="L164" s="349"/>
      <c r="M164" s="387"/>
      <c r="N164" s="349"/>
      <c r="O164" s="349"/>
      <c r="P164" s="349"/>
      <c r="Q164" s="349"/>
      <c r="R164" s="349"/>
      <c r="S164" s="349"/>
      <c r="T164" s="349"/>
      <c r="U164" s="349"/>
      <c r="V164" s="349"/>
      <c r="W164" s="349"/>
      <c r="X164" s="349"/>
      <c r="Y164" s="349"/>
      <c r="Z164" s="349"/>
      <c r="AA164" s="349"/>
      <c r="AB164" s="353"/>
      <c r="AC164" s="353"/>
      <c r="AD164" s="353"/>
      <c r="AE164" s="355"/>
      <c r="AF164" s="353"/>
      <c r="AG164" s="353"/>
      <c r="AH164" s="358"/>
      <c r="AI164" s="358"/>
      <c r="AJ164" s="358"/>
      <c r="AK164" s="358"/>
      <c r="AL164" s="358"/>
      <c r="AM164" s="358"/>
      <c r="AN164" s="358"/>
      <c r="AO164" s="359"/>
      <c r="AP164" s="359"/>
      <c r="AQ164" s="334"/>
      <c r="AR164" s="334"/>
      <c r="AS164" s="334"/>
      <c r="AT164" s="334"/>
      <c r="AU164" s="334"/>
      <c r="AV164" s="334"/>
      <c r="AW164" s="334"/>
      <c r="AX164" s="335"/>
      <c r="AY164" s="335"/>
      <c r="AZ164" s="335"/>
      <c r="BA164" s="335"/>
      <c r="BB164" s="335"/>
      <c r="BC164" s="335"/>
      <c r="BD164" s="335"/>
      <c r="BE164" s="335"/>
    </row>
    <row r="165" customFormat="false" ht="14.15" hidden="true" customHeight="true" outlineLevel="1" collapsed="false">
      <c r="A165" s="473" t="s">
        <v>1898</v>
      </c>
      <c r="B165" s="402" t="s">
        <v>208</v>
      </c>
      <c r="C165" s="402" t="s">
        <v>853</v>
      </c>
      <c r="D165" s="425" t="s">
        <v>1800</v>
      </c>
      <c r="E165" s="353"/>
      <c r="F165" s="353"/>
      <c r="G165" s="349"/>
      <c r="H165" s="353"/>
      <c r="I165" s="353"/>
      <c r="J165" s="353"/>
      <c r="K165" s="349"/>
      <c r="L165" s="349"/>
      <c r="M165" s="387"/>
      <c r="N165" s="349"/>
      <c r="O165" s="349"/>
      <c r="P165" s="349"/>
      <c r="Q165" s="349"/>
      <c r="R165" s="349"/>
      <c r="S165" s="349"/>
      <c r="T165" s="349"/>
      <c r="U165" s="349"/>
      <c r="V165" s="349"/>
      <c r="W165" s="349"/>
      <c r="X165" s="349"/>
      <c r="Y165" s="349"/>
      <c r="Z165" s="349"/>
      <c r="AA165" s="349"/>
      <c r="AB165" s="353"/>
      <c r="AC165" s="353"/>
      <c r="AD165" s="353"/>
      <c r="AE165" s="349"/>
      <c r="AF165" s="348"/>
      <c r="AG165" s="348"/>
      <c r="AH165" s="358"/>
      <c r="AI165" s="358"/>
      <c r="AJ165" s="358"/>
      <c r="AK165" s="358"/>
      <c r="AL165" s="358"/>
      <c r="AM165" s="358"/>
      <c r="AN165" s="358"/>
      <c r="AO165" s="359"/>
      <c r="AP165" s="359"/>
      <c r="AQ165" s="334"/>
      <c r="AR165" s="334"/>
      <c r="AS165" s="334"/>
      <c r="AT165" s="334"/>
      <c r="AU165" s="334"/>
      <c r="AV165" s="334"/>
      <c r="AW165" s="334"/>
      <c r="AX165" s="335"/>
      <c r="AY165" s="335"/>
      <c r="AZ165" s="335"/>
      <c r="BA165" s="335"/>
      <c r="BB165" s="335"/>
      <c r="BC165" s="335"/>
      <c r="BD165" s="335"/>
      <c r="BE165" s="335"/>
    </row>
    <row r="166" customFormat="false" ht="14.15" hidden="true" customHeight="true" outlineLevel="1" collapsed="false">
      <c r="A166" s="473"/>
      <c r="B166" s="402" t="s">
        <v>156</v>
      </c>
      <c r="C166" s="370" t="n">
        <v>3</v>
      </c>
      <c r="D166" s="474" t="n">
        <v>2</v>
      </c>
      <c r="E166" s="353"/>
      <c r="F166" s="353"/>
      <c r="G166" s="350"/>
      <c r="H166" s="353" t="s">
        <v>1899</v>
      </c>
      <c r="I166" s="353"/>
      <c r="J166" s="353"/>
      <c r="K166" s="349"/>
      <c r="L166" s="349"/>
      <c r="M166" s="387"/>
      <c r="N166" s="349"/>
      <c r="O166" s="349"/>
      <c r="P166" s="349"/>
      <c r="Q166" s="349"/>
      <c r="R166" s="349"/>
      <c r="S166" s="349"/>
      <c r="T166" s="349"/>
      <c r="U166" s="349"/>
      <c r="V166" s="349"/>
      <c r="W166" s="349"/>
      <c r="X166" s="349"/>
      <c r="Y166" s="349"/>
      <c r="Z166" s="349"/>
      <c r="AA166" s="349"/>
      <c r="AB166" s="353"/>
      <c r="AC166" s="353"/>
      <c r="AD166" s="353"/>
      <c r="AE166" s="350"/>
      <c r="AF166" s="349"/>
      <c r="AG166" s="349"/>
      <c r="AH166" s="358"/>
      <c r="AI166" s="358"/>
      <c r="AJ166" s="358"/>
      <c r="AK166" s="358"/>
      <c r="AL166" s="358"/>
      <c r="AM166" s="358"/>
      <c r="AN166" s="358"/>
      <c r="AO166" s="359"/>
      <c r="AP166" s="359"/>
      <c r="AQ166" s="334"/>
      <c r="AR166" s="334"/>
      <c r="AS166" s="334"/>
      <c r="AT166" s="334"/>
      <c r="AU166" s="334"/>
      <c r="AV166" s="334"/>
      <c r="AW166" s="334"/>
      <c r="AX166" s="335"/>
      <c r="AY166" s="335"/>
      <c r="AZ166" s="335"/>
      <c r="BA166" s="335"/>
      <c r="BB166" s="335"/>
      <c r="BC166" s="335"/>
      <c r="BD166" s="335"/>
      <c r="BE166" s="335"/>
    </row>
    <row r="167" customFormat="false" ht="14.15" hidden="true" customHeight="true" outlineLevel="1" collapsed="false">
      <c r="A167" s="473" t="s">
        <v>1900</v>
      </c>
      <c r="B167" s="402" t="s">
        <v>208</v>
      </c>
      <c r="C167" s="402" t="s">
        <v>853</v>
      </c>
      <c r="D167" s="425" t="s">
        <v>1800</v>
      </c>
      <c r="E167" s="353"/>
      <c r="F167" s="353"/>
      <c r="G167" s="353"/>
      <c r="H167" s="353"/>
      <c r="I167" s="353"/>
      <c r="J167" s="353"/>
      <c r="K167" s="349"/>
      <c r="L167" s="349"/>
      <c r="M167" s="387"/>
      <c r="N167" s="349"/>
      <c r="O167" s="349"/>
      <c r="P167" s="349"/>
      <c r="Q167" s="349"/>
      <c r="R167" s="349"/>
      <c r="S167" s="349"/>
      <c r="T167" s="349"/>
      <c r="U167" s="349"/>
      <c r="V167" s="349"/>
      <c r="W167" s="349"/>
      <c r="X167" s="349"/>
      <c r="Y167" s="349"/>
      <c r="Z167" s="349"/>
      <c r="AA167" s="349"/>
      <c r="AB167" s="353"/>
      <c r="AC167" s="353"/>
      <c r="AD167" s="353"/>
      <c r="AE167" s="349"/>
      <c r="AF167" s="349"/>
      <c r="AG167" s="349"/>
      <c r="AH167" s="358"/>
      <c r="AI167" s="358"/>
      <c r="AJ167" s="358"/>
      <c r="AK167" s="358"/>
      <c r="AL167" s="358"/>
      <c r="AM167" s="358"/>
      <c r="AN167" s="358"/>
      <c r="AO167" s="359"/>
      <c r="AP167" s="359"/>
      <c r="AQ167" s="334"/>
      <c r="AR167" s="334"/>
      <c r="AS167" s="334"/>
      <c r="AT167" s="334"/>
      <c r="AU167" s="334"/>
      <c r="AV167" s="334"/>
      <c r="AW167" s="334"/>
      <c r="AX167" s="335"/>
      <c r="AY167" s="335"/>
      <c r="AZ167" s="335"/>
      <c r="BA167" s="335"/>
      <c r="BB167" s="335"/>
      <c r="BC167" s="335"/>
      <c r="BD167" s="335"/>
      <c r="BE167" s="335"/>
    </row>
    <row r="168" customFormat="false" ht="14.15" hidden="true" customHeight="true" outlineLevel="1" collapsed="false">
      <c r="A168" s="473"/>
      <c r="B168" s="402" t="s">
        <v>156</v>
      </c>
      <c r="C168" s="370"/>
      <c r="D168" s="474"/>
      <c r="G168" s="353"/>
      <c r="H168" s="353"/>
      <c r="I168" s="353"/>
      <c r="J168" s="353"/>
      <c r="K168" s="349"/>
      <c r="L168" s="349"/>
      <c r="M168" s="387"/>
      <c r="N168" s="349"/>
      <c r="O168" s="349"/>
      <c r="P168" s="349"/>
      <c r="Q168" s="349"/>
      <c r="R168" s="349"/>
      <c r="S168" s="349"/>
      <c r="T168" s="349"/>
      <c r="U168" s="349"/>
      <c r="V168" s="349"/>
      <c r="W168" s="349"/>
      <c r="X168" s="349"/>
      <c r="Y168" s="349"/>
      <c r="Z168" s="349"/>
      <c r="AA168" s="349"/>
      <c r="AB168" s="353"/>
      <c r="AC168" s="353"/>
      <c r="AD168" s="353"/>
      <c r="AE168" s="349"/>
      <c r="AF168" s="355"/>
      <c r="AG168" s="353"/>
      <c r="AH168" s="358"/>
      <c r="AI168" s="358"/>
      <c r="AJ168" s="358"/>
      <c r="AK168" s="358"/>
      <c r="AL168" s="358"/>
      <c r="AM168" s="358"/>
      <c r="AN168" s="358"/>
      <c r="AO168" s="359"/>
      <c r="AP168" s="359"/>
      <c r="AQ168" s="334"/>
      <c r="AR168" s="334"/>
      <c r="AS168" s="334"/>
      <c r="AT168" s="334"/>
      <c r="AU168" s="334"/>
      <c r="AV168" s="334"/>
      <c r="AW168" s="334"/>
      <c r="AX168" s="335"/>
      <c r="AY168" s="335"/>
      <c r="AZ168" s="335"/>
      <c r="BA168" s="335"/>
      <c r="BB168" s="335"/>
      <c r="BC168" s="335"/>
      <c r="BD168" s="335"/>
      <c r="BE168" s="335"/>
    </row>
    <row r="169" customFormat="false" ht="14.15" hidden="true" customHeight="true" outlineLevel="1" collapsed="false">
      <c r="A169" s="475" t="s">
        <v>1901</v>
      </c>
      <c r="B169" s="402" t="s">
        <v>208</v>
      </c>
      <c r="C169" s="402" t="s">
        <v>853</v>
      </c>
      <c r="D169" s="425" t="s">
        <v>1902</v>
      </c>
      <c r="G169" s="353"/>
      <c r="H169" s="349"/>
      <c r="I169" s="349"/>
      <c r="J169" s="349" t="s">
        <v>1903</v>
      </c>
      <c r="K169" s="349"/>
      <c r="L169" s="349"/>
      <c r="M169" s="349"/>
      <c r="N169" s="349"/>
      <c r="O169" s="349"/>
      <c r="P169" s="349"/>
      <c r="Q169" s="349"/>
      <c r="R169" s="349"/>
      <c r="S169" s="349"/>
      <c r="U169" s="349"/>
      <c r="V169" s="349"/>
      <c r="W169" s="349" t="s">
        <v>1904</v>
      </c>
      <c r="X169" s="349"/>
      <c r="Y169" s="349"/>
      <c r="Z169" s="358"/>
      <c r="AA169" s="349"/>
      <c r="AB169" s="353"/>
      <c r="AC169" s="353"/>
      <c r="AD169" s="353"/>
      <c r="AE169" s="353"/>
      <c r="AF169" s="348"/>
      <c r="AG169" s="348"/>
      <c r="AH169" s="358"/>
      <c r="AI169" s="358"/>
      <c r="AJ169" s="358"/>
      <c r="AK169" s="358"/>
      <c r="AL169" s="358"/>
      <c r="AM169" s="358"/>
      <c r="AN169" s="358"/>
      <c r="AO169" s="359"/>
      <c r="AP169" s="359"/>
      <c r="AQ169" s="334"/>
      <c r="AR169" s="334"/>
      <c r="AS169" s="334"/>
      <c r="AT169" s="334"/>
      <c r="AU169" s="334"/>
      <c r="AV169" s="334"/>
      <c r="AW169" s="334"/>
      <c r="AX169" s="335"/>
      <c r="AY169" s="335"/>
      <c r="AZ169" s="335"/>
      <c r="BA169" s="335"/>
      <c r="BB169" s="335"/>
      <c r="BC169" s="335"/>
      <c r="BD169" s="335"/>
      <c r="BE169" s="335"/>
    </row>
    <row r="170" customFormat="false" ht="14.15" hidden="true" customHeight="true" outlineLevel="1" collapsed="false">
      <c r="A170" s="470" t="s">
        <v>294</v>
      </c>
      <c r="B170" s="402" t="s">
        <v>156</v>
      </c>
      <c r="C170" s="370"/>
      <c r="D170" s="474"/>
      <c r="G170" s="353"/>
      <c r="H170" s="349"/>
      <c r="I170" s="349"/>
      <c r="J170" s="353"/>
      <c r="K170" s="349"/>
      <c r="L170" s="349"/>
      <c r="O170" s="349"/>
      <c r="P170" s="349"/>
      <c r="Q170" s="349"/>
      <c r="R170" s="349"/>
      <c r="S170" s="347"/>
      <c r="T170" s="349" t="s">
        <v>1905</v>
      </c>
      <c r="U170" s="349"/>
      <c r="V170" s="349"/>
      <c r="W170" s="349"/>
      <c r="X170" s="349" t="s">
        <v>1906</v>
      </c>
      <c r="Y170" s="349"/>
      <c r="Z170" s="349"/>
      <c r="AA170" s="349"/>
      <c r="AB170" s="353"/>
      <c r="AC170" s="353"/>
      <c r="AD170" s="353"/>
      <c r="AE170" s="469"/>
      <c r="AF170" s="349"/>
      <c r="AG170" s="349"/>
      <c r="AH170" s="358"/>
      <c r="AI170" s="358"/>
      <c r="AJ170" s="358"/>
      <c r="AK170" s="358"/>
      <c r="AL170" s="358"/>
      <c r="AM170" s="358"/>
      <c r="AN170" s="358"/>
      <c r="AO170" s="359"/>
      <c r="AP170" s="359"/>
      <c r="AQ170" s="334"/>
      <c r="AR170" s="334"/>
      <c r="AS170" s="334"/>
      <c r="AT170" s="334"/>
      <c r="AU170" s="334"/>
      <c r="AV170" s="334"/>
      <c r="AW170" s="334"/>
      <c r="AX170" s="335"/>
      <c r="AY170" s="335"/>
      <c r="AZ170" s="335"/>
      <c r="BA170" s="335"/>
      <c r="BB170" s="335"/>
      <c r="BC170" s="335"/>
      <c r="BD170" s="335"/>
      <c r="BE170" s="335"/>
    </row>
    <row r="171" customFormat="false" ht="14.15" hidden="true" customHeight="true" outlineLevel="1" collapsed="false">
      <c r="A171" s="324" t="s">
        <v>1907</v>
      </c>
      <c r="D171" s="446"/>
      <c r="G171" s="353"/>
      <c r="H171" s="349"/>
      <c r="I171" s="349"/>
      <c r="J171" s="353"/>
      <c r="K171" s="349"/>
      <c r="L171" s="349"/>
      <c r="O171" s="349"/>
      <c r="P171" s="349"/>
      <c r="Q171" s="349"/>
      <c r="R171" s="349"/>
      <c r="S171" s="347"/>
      <c r="T171" s="347"/>
      <c r="U171" s="349"/>
      <c r="V171" s="349"/>
      <c r="W171" s="349"/>
      <c r="X171" s="349"/>
      <c r="Y171" s="349"/>
      <c r="Z171" s="349"/>
      <c r="AA171" s="349"/>
      <c r="AB171" s="349"/>
      <c r="AC171" s="349"/>
      <c r="AD171" s="349"/>
      <c r="AE171" s="349"/>
      <c r="AF171" s="349"/>
      <c r="AG171" s="349"/>
      <c r="AH171" s="358"/>
      <c r="AI171" s="358"/>
      <c r="AJ171" s="358"/>
      <c r="AK171" s="358"/>
      <c r="AL171" s="358"/>
      <c r="AM171" s="358"/>
      <c r="AN171" s="358"/>
      <c r="AO171" s="359"/>
      <c r="AP171" s="359"/>
      <c r="AQ171" s="334"/>
      <c r="AR171" s="334"/>
      <c r="AS171" s="334"/>
      <c r="AT171" s="334"/>
      <c r="AU171" s="334"/>
      <c r="AV171" s="334"/>
      <c r="AW171" s="334"/>
      <c r="AX171" s="335"/>
      <c r="AY171" s="335"/>
      <c r="AZ171" s="335"/>
      <c r="BA171" s="335"/>
      <c r="BB171" s="335"/>
      <c r="BC171" s="335"/>
      <c r="BD171" s="335"/>
      <c r="BE171" s="335"/>
    </row>
    <row r="172" customFormat="false" ht="14.15" hidden="true" customHeight="true" outlineLevel="1" collapsed="false">
      <c r="A172" s="476" t="s">
        <v>1908</v>
      </c>
      <c r="B172" s="477"/>
      <c r="C172" s="468"/>
      <c r="D172" s="446"/>
      <c r="E172" s="349"/>
      <c r="F172" s="349"/>
      <c r="G172" s="353"/>
      <c r="H172" s="350"/>
      <c r="I172" s="350"/>
      <c r="J172" s="350"/>
      <c r="K172" s="349"/>
      <c r="L172" s="349"/>
      <c r="M172" s="350"/>
      <c r="N172" s="350"/>
      <c r="O172" s="350"/>
      <c r="P172" s="350"/>
      <c r="Q172" s="350"/>
      <c r="R172" s="350"/>
      <c r="S172" s="350"/>
      <c r="T172" s="350"/>
      <c r="U172" s="350"/>
      <c r="V172" s="350"/>
      <c r="W172" s="350"/>
      <c r="X172" s="358"/>
      <c r="Y172" s="358"/>
      <c r="Z172" s="379"/>
      <c r="AA172" s="379"/>
      <c r="AB172" s="350"/>
      <c r="AC172" s="350"/>
      <c r="AD172" s="350"/>
      <c r="AE172" s="349"/>
      <c r="AF172" s="355"/>
      <c r="AG172" s="355"/>
      <c r="AH172" s="358"/>
      <c r="AI172" s="358"/>
      <c r="AJ172" s="358"/>
      <c r="AK172" s="358"/>
      <c r="AL172" s="358"/>
      <c r="AM172" s="358"/>
      <c r="AN172" s="358"/>
      <c r="AO172" s="359"/>
      <c r="AP172" s="359"/>
      <c r="AQ172" s="334"/>
      <c r="AR172" s="334"/>
      <c r="AS172" s="334"/>
      <c r="AT172" s="334"/>
      <c r="AU172" s="334"/>
      <c r="AV172" s="334"/>
      <c r="AW172" s="334"/>
      <c r="AX172" s="335"/>
      <c r="AY172" s="335"/>
      <c r="AZ172" s="335"/>
      <c r="BA172" s="335"/>
      <c r="BB172" s="335"/>
      <c r="BC172" s="335"/>
      <c r="BD172" s="335"/>
      <c r="BE172" s="335"/>
    </row>
    <row r="173" customFormat="false" ht="14.15" hidden="true" customHeight="true" outlineLevel="1" collapsed="false">
      <c r="A173" s="324" t="s">
        <v>1909</v>
      </c>
      <c r="D173" s="446"/>
      <c r="E173" s="349"/>
      <c r="F173" s="349"/>
      <c r="G173" s="353"/>
      <c r="H173" s="353"/>
      <c r="I173" s="353"/>
      <c r="J173" s="349"/>
      <c r="K173" s="349"/>
      <c r="L173" s="349"/>
      <c r="M173" s="387"/>
      <c r="N173" s="387"/>
      <c r="O173" s="387"/>
      <c r="P173" s="387"/>
      <c r="Q173" s="387"/>
      <c r="R173" s="387"/>
      <c r="S173" s="387"/>
      <c r="T173" s="387"/>
      <c r="U173" s="349"/>
      <c r="V173" s="349"/>
      <c r="W173" s="349"/>
      <c r="X173" s="358"/>
      <c r="Y173" s="358"/>
      <c r="Z173" s="379"/>
      <c r="AA173" s="379"/>
      <c r="AB173" s="349"/>
      <c r="AC173" s="349"/>
      <c r="AD173" s="349"/>
      <c r="AE173" s="353"/>
      <c r="AF173" s="348"/>
      <c r="AG173" s="348"/>
      <c r="AH173" s="358"/>
      <c r="AI173" s="358"/>
      <c r="AJ173" s="358"/>
      <c r="AK173" s="358"/>
      <c r="AL173" s="358"/>
      <c r="AM173" s="358"/>
      <c r="AN173" s="358"/>
      <c r="AO173" s="359"/>
      <c r="AP173" s="359"/>
      <c r="AQ173" s="334"/>
      <c r="AR173" s="334"/>
      <c r="AS173" s="334"/>
      <c r="AT173" s="334"/>
      <c r="AU173" s="334"/>
      <c r="AV173" s="334"/>
      <c r="AW173" s="334"/>
      <c r="AX173" s="335"/>
      <c r="AY173" s="335"/>
      <c r="AZ173" s="335"/>
      <c r="BA173" s="335"/>
      <c r="BB173" s="335"/>
      <c r="BC173" s="335"/>
      <c r="BD173" s="335"/>
      <c r="BE173" s="335"/>
    </row>
    <row r="174" customFormat="false" ht="14.15" hidden="true" customHeight="true" outlineLevel="1" collapsed="false">
      <c r="A174" s="478" t="s">
        <v>270</v>
      </c>
      <c r="D174" s="446"/>
      <c r="E174" s="349"/>
      <c r="F174" s="349"/>
      <c r="G174" s="353"/>
      <c r="H174" s="348"/>
      <c r="I174" s="348"/>
      <c r="J174" s="349"/>
      <c r="K174" s="349"/>
      <c r="L174" s="349"/>
      <c r="M174" s="387"/>
      <c r="N174" s="387"/>
      <c r="O174" s="387"/>
      <c r="P174" s="387"/>
      <c r="Q174" s="387"/>
      <c r="R174" s="387"/>
      <c r="S174" s="387"/>
      <c r="T174" s="387"/>
      <c r="U174" s="349"/>
      <c r="V174" s="349"/>
      <c r="W174" s="349"/>
      <c r="X174" s="349"/>
      <c r="Y174" s="349"/>
      <c r="Z174" s="349"/>
      <c r="AA174" s="349"/>
      <c r="AB174" s="349"/>
      <c r="AC174" s="349"/>
      <c r="AD174" s="349"/>
      <c r="AE174" s="353"/>
      <c r="AF174" s="349"/>
      <c r="AG174" s="349"/>
      <c r="AH174" s="358"/>
      <c r="AI174" s="358"/>
      <c r="AJ174" s="358"/>
      <c r="AK174" s="358"/>
      <c r="AL174" s="358"/>
      <c r="AM174" s="358"/>
      <c r="AN174" s="358"/>
      <c r="AO174" s="359"/>
      <c r="AP174" s="359"/>
      <c r="AQ174" s="334"/>
      <c r="AR174" s="334"/>
      <c r="AS174" s="334"/>
      <c r="AT174" s="334"/>
      <c r="AU174" s="334"/>
      <c r="AV174" s="334"/>
      <c r="AW174" s="334"/>
      <c r="AX174" s="335"/>
      <c r="AY174" s="335"/>
      <c r="AZ174" s="335"/>
      <c r="BA174" s="335"/>
      <c r="BB174" s="335"/>
      <c r="BC174" s="335"/>
      <c r="BD174" s="335"/>
      <c r="BE174" s="335"/>
    </row>
    <row r="175" customFormat="false" ht="14.15" hidden="true" customHeight="true" outlineLevel="1" collapsed="false">
      <c r="A175" s="324" t="s">
        <v>1910</v>
      </c>
      <c r="D175" s="446"/>
      <c r="E175" s="349"/>
      <c r="F175" s="349"/>
      <c r="G175" s="353"/>
      <c r="H175" s="349"/>
      <c r="I175" s="349"/>
      <c r="J175" s="353"/>
      <c r="K175" s="349"/>
      <c r="L175" s="349"/>
      <c r="M175" s="387"/>
      <c r="N175" s="349"/>
      <c r="O175" s="349"/>
      <c r="P175" s="349"/>
      <c r="Q175" s="349"/>
      <c r="R175" s="349"/>
      <c r="S175" s="349"/>
      <c r="T175" s="349"/>
      <c r="U175" s="349"/>
      <c r="V175" s="349"/>
      <c r="W175" s="349"/>
      <c r="X175" s="349"/>
      <c r="Y175" s="349"/>
      <c r="Z175" s="349"/>
      <c r="AA175" s="349"/>
      <c r="AB175" s="353"/>
      <c r="AC175" s="353"/>
      <c r="AD175" s="353"/>
      <c r="AE175" s="353"/>
      <c r="AF175" s="349"/>
      <c r="AG175" s="349"/>
      <c r="AH175" s="358"/>
      <c r="AI175" s="358"/>
      <c r="AJ175" s="358"/>
      <c r="AK175" s="358"/>
      <c r="AL175" s="358"/>
      <c r="AM175" s="358"/>
      <c r="AN175" s="358"/>
      <c r="AO175" s="359"/>
      <c r="AP175" s="359"/>
      <c r="AQ175" s="334"/>
      <c r="AR175" s="334"/>
      <c r="AS175" s="334"/>
      <c r="AT175" s="334"/>
      <c r="AU175" s="334"/>
      <c r="AV175" s="334"/>
      <c r="AW175" s="334"/>
      <c r="AX175" s="335"/>
      <c r="AY175" s="335"/>
      <c r="AZ175" s="335"/>
      <c r="BA175" s="335"/>
      <c r="BB175" s="335"/>
      <c r="BC175" s="335"/>
      <c r="BD175" s="335"/>
      <c r="BE175" s="335"/>
    </row>
    <row r="176" customFormat="false" ht="14.15" hidden="true" customHeight="true" outlineLevel="1" collapsed="false">
      <c r="A176" s="478" t="s">
        <v>271</v>
      </c>
      <c r="D176" s="446"/>
      <c r="E176" s="468"/>
      <c r="F176" s="468"/>
      <c r="G176" s="353"/>
      <c r="H176" s="349"/>
      <c r="I176" s="349"/>
      <c r="J176" s="353"/>
      <c r="K176" s="349"/>
      <c r="L176" s="349"/>
      <c r="M176" s="387"/>
      <c r="N176" s="349"/>
      <c r="O176" s="349"/>
      <c r="P176" s="349"/>
      <c r="Q176" s="349"/>
      <c r="R176" s="349"/>
      <c r="S176" s="349"/>
      <c r="T176" s="349"/>
      <c r="U176" s="349"/>
      <c r="V176" s="349"/>
      <c r="W176" s="349"/>
      <c r="X176" s="349"/>
      <c r="Y176" s="349"/>
      <c r="Z176" s="349"/>
      <c r="AA176" s="349"/>
      <c r="AB176" s="353"/>
      <c r="AC176" s="353"/>
      <c r="AD176" s="353"/>
      <c r="AE176" s="353"/>
      <c r="AF176" s="358"/>
      <c r="AG176" s="358"/>
      <c r="AH176" s="358"/>
      <c r="AI176" s="358"/>
      <c r="AJ176" s="358"/>
      <c r="AK176" s="358"/>
      <c r="AL176" s="358"/>
      <c r="AM176" s="358"/>
      <c r="AN176" s="358"/>
      <c r="AO176" s="359"/>
      <c r="AP176" s="359"/>
      <c r="AQ176" s="334"/>
      <c r="AR176" s="334"/>
      <c r="AS176" s="334"/>
      <c r="AT176" s="334"/>
      <c r="AU176" s="334"/>
      <c r="AV176" s="334"/>
      <c r="AW176" s="334"/>
      <c r="AX176" s="335"/>
      <c r="AY176" s="335"/>
      <c r="AZ176" s="335"/>
      <c r="BA176" s="335"/>
      <c r="BB176" s="335"/>
      <c r="BC176" s="335"/>
      <c r="BD176" s="335"/>
      <c r="BE176" s="335"/>
    </row>
    <row r="177" customFormat="false" ht="14.15" hidden="true" customHeight="true" outlineLevel="1" collapsed="false">
      <c r="A177" s="324" t="s">
        <v>1911</v>
      </c>
      <c r="D177" s="446"/>
      <c r="E177" s="479"/>
      <c r="F177" s="472" t="s">
        <v>1912</v>
      </c>
      <c r="G177" s="353"/>
      <c r="H177" s="353"/>
      <c r="I177" s="353"/>
      <c r="J177" s="353"/>
      <c r="K177" s="349"/>
      <c r="L177" s="349"/>
      <c r="M177" s="387"/>
      <c r="N177" s="349"/>
      <c r="O177" s="349"/>
      <c r="P177" s="349"/>
      <c r="Q177" s="349"/>
      <c r="R177" s="349"/>
      <c r="S177" s="380"/>
      <c r="T177" s="349"/>
      <c r="U177" s="349"/>
      <c r="V177" s="349"/>
      <c r="W177" s="349"/>
      <c r="X177" s="349"/>
      <c r="Y177" s="349"/>
      <c r="Z177" s="349"/>
      <c r="AA177" s="349"/>
      <c r="AB177" s="353"/>
      <c r="AC177" s="353"/>
      <c r="AD177" s="353"/>
      <c r="AE177" s="353"/>
      <c r="AF177" s="358"/>
      <c r="AG177" s="358"/>
      <c r="AH177" s="358"/>
      <c r="AI177" s="358"/>
      <c r="AJ177" s="358"/>
      <c r="AK177" s="358"/>
      <c r="AL177" s="358"/>
      <c r="AM177" s="358"/>
      <c r="AN177" s="358"/>
      <c r="AO177" s="359"/>
      <c r="AP177" s="359"/>
      <c r="AQ177" s="334"/>
      <c r="AR177" s="334"/>
      <c r="AS177" s="334"/>
      <c r="AT177" s="334"/>
      <c r="AU177" s="334"/>
      <c r="AV177" s="334"/>
      <c r="AW177" s="334"/>
      <c r="AX177" s="335"/>
      <c r="AY177" s="335"/>
      <c r="AZ177" s="335"/>
      <c r="BA177" s="335"/>
      <c r="BB177" s="335"/>
      <c r="BC177" s="335"/>
      <c r="BD177" s="335"/>
      <c r="BE177" s="335"/>
    </row>
    <row r="178" customFormat="false" ht="14.15" hidden="true" customHeight="true" outlineLevel="1" collapsed="false">
      <c r="A178" s="480" t="s">
        <v>493</v>
      </c>
      <c r="D178" s="479"/>
      <c r="E178" s="347"/>
      <c r="F178" s="472"/>
      <c r="G178" s="353"/>
      <c r="H178" s="353"/>
      <c r="I178" s="353"/>
      <c r="J178" s="353"/>
      <c r="K178" s="349"/>
      <c r="L178" s="349"/>
      <c r="M178" s="387"/>
      <c r="N178" s="349"/>
      <c r="O178" s="349"/>
      <c r="P178" s="349"/>
      <c r="Q178" s="349"/>
      <c r="R178" s="349"/>
      <c r="S178" s="349"/>
      <c r="T178" s="349"/>
      <c r="U178" s="349"/>
      <c r="V178" s="349"/>
      <c r="W178" s="349"/>
      <c r="X178" s="349"/>
      <c r="Y178" s="349"/>
      <c r="Z178" s="349"/>
      <c r="AA178" s="349"/>
      <c r="AB178" s="353"/>
      <c r="AC178" s="353"/>
      <c r="AD178" s="353" t="s">
        <v>1895</v>
      </c>
      <c r="AE178" s="353"/>
      <c r="AF178" s="358"/>
      <c r="AG178" s="358"/>
      <c r="AH178" s="358"/>
      <c r="AI178" s="358"/>
      <c r="AJ178" s="358"/>
      <c r="AK178" s="358"/>
      <c r="AL178" s="358"/>
      <c r="AM178" s="358"/>
      <c r="AN178" s="358"/>
      <c r="AO178" s="359"/>
      <c r="AP178" s="359"/>
      <c r="AQ178" s="334"/>
      <c r="AR178" s="334"/>
      <c r="AS178" s="334"/>
      <c r="AT178" s="334"/>
      <c r="AU178" s="334"/>
      <c r="AV178" s="334"/>
      <c r="AW178" s="334"/>
      <c r="AX178" s="335"/>
      <c r="AY178" s="335"/>
      <c r="AZ178" s="335"/>
      <c r="BA178" s="335"/>
      <c r="BB178" s="335"/>
      <c r="BC178" s="335"/>
      <c r="BD178" s="335"/>
      <c r="BE178" s="335"/>
    </row>
    <row r="179" customFormat="false" ht="14.15" hidden="true" customHeight="true" outlineLevel="1" collapsed="false">
      <c r="A179" s="324" t="s">
        <v>1913</v>
      </c>
      <c r="D179" s="358"/>
      <c r="E179" s="347"/>
      <c r="F179" s="472"/>
      <c r="G179" s="353"/>
      <c r="H179" s="353"/>
      <c r="I179" s="353"/>
      <c r="J179" s="353"/>
      <c r="K179" s="349"/>
      <c r="L179" s="349"/>
      <c r="M179" s="387"/>
      <c r="N179" s="349"/>
      <c r="O179" s="349"/>
      <c r="P179" s="349"/>
      <c r="Q179" s="349"/>
      <c r="R179" s="349"/>
      <c r="S179" s="349"/>
      <c r="T179" s="349"/>
      <c r="U179" s="349"/>
      <c r="V179" s="349"/>
      <c r="W179" s="349"/>
      <c r="X179" s="349"/>
      <c r="Y179" s="349"/>
      <c r="Z179" s="349"/>
      <c r="AA179" s="349"/>
      <c r="AB179" s="353"/>
      <c r="AC179" s="353"/>
      <c r="AD179" s="349"/>
      <c r="AE179" s="355"/>
      <c r="AF179" s="358"/>
      <c r="AG179" s="358"/>
      <c r="AH179" s="358"/>
      <c r="AI179" s="358"/>
      <c r="AJ179" s="358"/>
      <c r="AK179" s="358"/>
      <c r="AL179" s="358"/>
      <c r="AM179" s="358"/>
      <c r="AN179" s="358"/>
      <c r="AO179" s="359"/>
      <c r="AP179" s="359"/>
      <c r="AQ179" s="334"/>
      <c r="AR179" s="334"/>
      <c r="AS179" s="334"/>
      <c r="AT179" s="334"/>
      <c r="AU179" s="334"/>
      <c r="AV179" s="334"/>
      <c r="AW179" s="334"/>
      <c r="AX179" s="335"/>
      <c r="AY179" s="335"/>
      <c r="AZ179" s="335"/>
      <c r="BA179" s="335"/>
      <c r="BB179" s="335"/>
      <c r="BC179" s="335"/>
      <c r="BD179" s="335"/>
      <c r="BE179" s="335"/>
    </row>
    <row r="180" customFormat="false" ht="14.15" hidden="true" customHeight="true" outlineLevel="1" collapsed="false">
      <c r="A180" s="481" t="s">
        <v>708</v>
      </c>
      <c r="B180" s="477"/>
      <c r="C180" s="468"/>
      <c r="D180" s="347"/>
      <c r="E180" s="347"/>
      <c r="F180" s="472"/>
      <c r="G180" s="349"/>
      <c r="H180" s="353"/>
      <c r="I180" s="353"/>
      <c r="J180" s="353"/>
      <c r="K180" s="349"/>
      <c r="L180" s="349"/>
      <c r="M180" s="387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  <c r="AA180" s="349"/>
      <c r="AB180" s="353"/>
      <c r="AC180" s="353"/>
      <c r="AD180" s="353"/>
      <c r="AE180" s="355"/>
      <c r="AF180" s="358"/>
      <c r="AG180" s="358"/>
      <c r="AH180" s="358"/>
      <c r="AI180" s="358"/>
      <c r="AJ180" s="358"/>
      <c r="AK180" s="358"/>
      <c r="AL180" s="358"/>
      <c r="AM180" s="358"/>
      <c r="AN180" s="358"/>
      <c r="AO180" s="359"/>
      <c r="AP180" s="359"/>
      <c r="AQ180" s="334"/>
      <c r="AR180" s="334"/>
      <c r="AS180" s="334"/>
      <c r="AT180" s="334"/>
      <c r="AU180" s="334"/>
      <c r="AV180" s="334"/>
      <c r="AW180" s="334"/>
      <c r="AX180" s="335"/>
      <c r="AY180" s="335"/>
      <c r="AZ180" s="335"/>
      <c r="BA180" s="335"/>
      <c r="BB180" s="335"/>
      <c r="BC180" s="335"/>
      <c r="BD180" s="335"/>
      <c r="BE180" s="335"/>
    </row>
    <row r="181" customFormat="false" ht="14.15" hidden="true" customHeight="true" outlineLevel="1" collapsed="false">
      <c r="A181" s="261" t="s">
        <v>1914</v>
      </c>
      <c r="B181" s="404" t="s">
        <v>159</v>
      </c>
      <c r="C181" s="265" t="n">
        <v>0</v>
      </c>
      <c r="D181" s="347"/>
      <c r="E181" s="347"/>
      <c r="F181" s="347"/>
      <c r="G181" s="349"/>
      <c r="H181" s="353"/>
      <c r="I181" s="353"/>
      <c r="J181" s="353"/>
      <c r="K181" s="349"/>
      <c r="L181" s="349"/>
      <c r="M181" s="387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  <c r="AA181" s="349"/>
      <c r="AB181" s="353"/>
      <c r="AC181" s="353"/>
      <c r="AD181" s="353"/>
      <c r="AE181" s="355"/>
      <c r="AF181" s="358"/>
      <c r="AG181" s="358"/>
      <c r="AH181" s="358"/>
      <c r="AI181" s="358"/>
      <c r="AJ181" s="358"/>
      <c r="AK181" s="358"/>
      <c r="AL181" s="358"/>
      <c r="AM181" s="358"/>
      <c r="AN181" s="358"/>
      <c r="AO181" s="359"/>
      <c r="AP181" s="359"/>
      <c r="AQ181" s="334"/>
      <c r="AR181" s="334"/>
      <c r="AS181" s="334"/>
      <c r="AT181" s="334"/>
      <c r="AU181" s="334"/>
      <c r="AV181" s="334"/>
      <c r="AW181" s="334"/>
      <c r="AX181" s="335"/>
      <c r="AY181" s="335"/>
      <c r="AZ181" s="335"/>
      <c r="BA181" s="335"/>
      <c r="BB181" s="335"/>
      <c r="BC181" s="335"/>
      <c r="BD181" s="335"/>
      <c r="BE181" s="335"/>
    </row>
    <row r="182" customFormat="false" ht="14.15" hidden="true" customHeight="true" outlineLevel="1" collapsed="false">
      <c r="A182" s="482" t="s">
        <v>1915</v>
      </c>
      <c r="B182" s="483" t="s">
        <v>159</v>
      </c>
      <c r="C182" s="484" t="n">
        <v>0</v>
      </c>
      <c r="D182" s="347"/>
      <c r="E182" s="347"/>
      <c r="F182" s="347"/>
      <c r="G182" s="347"/>
      <c r="H182" s="353"/>
      <c r="I182" s="353"/>
      <c r="J182" s="353"/>
      <c r="K182" s="349"/>
      <c r="L182" s="349"/>
      <c r="M182" s="387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  <c r="AA182" s="349"/>
      <c r="AB182" s="353"/>
      <c r="AC182" s="353"/>
      <c r="AD182" s="353"/>
      <c r="AE182" s="358"/>
      <c r="AF182" s="358"/>
      <c r="AG182" s="358"/>
      <c r="AH182" s="358"/>
      <c r="AI182" s="358"/>
      <c r="AJ182" s="358"/>
      <c r="AK182" s="358"/>
      <c r="AL182" s="358"/>
      <c r="AM182" s="358"/>
      <c r="AN182" s="358"/>
      <c r="AO182" s="359"/>
      <c r="AP182" s="359"/>
      <c r="AQ182" s="334"/>
      <c r="AR182" s="334"/>
      <c r="AS182" s="334"/>
      <c r="AT182" s="334"/>
      <c r="AU182" s="334"/>
      <c r="AV182" s="334"/>
      <c r="AW182" s="334"/>
      <c r="AX182" s="335"/>
      <c r="AY182" s="335"/>
      <c r="AZ182" s="335"/>
      <c r="BA182" s="335"/>
      <c r="BB182" s="335"/>
      <c r="BC182" s="335"/>
      <c r="BD182" s="335"/>
      <c r="BE182" s="335"/>
    </row>
    <row r="183" customFormat="false" ht="14.15" hidden="true" customHeight="true" outlineLevel="1" collapsed="false">
      <c r="A183" s="485" t="s">
        <v>1916</v>
      </c>
      <c r="B183" s="404" t="s">
        <v>159</v>
      </c>
      <c r="C183" s="265" t="n">
        <v>0</v>
      </c>
      <c r="D183" s="347"/>
      <c r="E183" s="347"/>
      <c r="F183" s="347"/>
      <c r="G183" s="347"/>
      <c r="H183" s="353" t="s">
        <v>1899</v>
      </c>
      <c r="I183" s="353"/>
      <c r="J183" s="353"/>
      <c r="K183" s="349"/>
      <c r="L183" s="349"/>
      <c r="M183" s="387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53"/>
      <c r="AC183" s="353"/>
      <c r="AD183" s="353"/>
      <c r="AE183" s="358"/>
      <c r="AF183" s="358"/>
      <c r="AG183" s="358"/>
      <c r="AH183" s="358"/>
      <c r="AI183" s="358"/>
      <c r="AJ183" s="358"/>
      <c r="AK183" s="358"/>
      <c r="AL183" s="358"/>
      <c r="AM183" s="358"/>
      <c r="AN183" s="358"/>
      <c r="AO183" s="359"/>
      <c r="AP183" s="359"/>
      <c r="AQ183" s="334"/>
      <c r="AR183" s="334"/>
      <c r="AS183" s="334"/>
      <c r="AT183" s="334"/>
      <c r="AU183" s="334"/>
      <c r="AV183" s="334"/>
      <c r="AW183" s="334"/>
      <c r="AX183" s="335"/>
      <c r="AY183" s="335"/>
      <c r="AZ183" s="335"/>
      <c r="BA183" s="335"/>
      <c r="BB183" s="335"/>
      <c r="BC183" s="335"/>
      <c r="BD183" s="335"/>
      <c r="BE183" s="335"/>
    </row>
    <row r="184" customFormat="false" ht="14.15" hidden="true" customHeight="true" outlineLevel="1" collapsed="false">
      <c r="A184" s="324" t="s">
        <v>1917</v>
      </c>
      <c r="D184" s="347"/>
      <c r="E184" s="347"/>
      <c r="F184" s="347"/>
      <c r="G184" s="347"/>
      <c r="H184" s="353"/>
      <c r="I184" s="353"/>
      <c r="J184" s="353"/>
      <c r="K184" s="349"/>
      <c r="L184" s="349"/>
      <c r="M184" s="387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53"/>
      <c r="AC184" s="353"/>
      <c r="AD184" s="353"/>
      <c r="AE184" s="358"/>
      <c r="AF184" s="358"/>
      <c r="AG184" s="358"/>
      <c r="AH184" s="358"/>
      <c r="AI184" s="358"/>
      <c r="AJ184" s="358"/>
      <c r="AK184" s="358"/>
      <c r="AL184" s="358"/>
      <c r="AM184" s="358"/>
      <c r="AN184" s="358"/>
      <c r="AO184" s="359"/>
      <c r="AP184" s="359"/>
      <c r="AQ184" s="334"/>
      <c r="AR184" s="334"/>
      <c r="AS184" s="334"/>
      <c r="AT184" s="334"/>
      <c r="AU184" s="334"/>
      <c r="AV184" s="334"/>
      <c r="AW184" s="334"/>
      <c r="AX184" s="335"/>
      <c r="AY184" s="335"/>
      <c r="AZ184" s="335"/>
      <c r="BA184" s="335"/>
      <c r="BB184" s="335"/>
      <c r="BC184" s="335"/>
      <c r="BD184" s="335"/>
      <c r="BE184" s="335"/>
    </row>
    <row r="185" customFormat="false" ht="14.15" hidden="true" customHeight="true" outlineLevel="1" collapsed="false">
      <c r="A185" s="478" t="s">
        <v>1918</v>
      </c>
      <c r="B185" s="324"/>
      <c r="D185" s="347"/>
      <c r="E185" s="347"/>
      <c r="F185" s="347"/>
      <c r="G185" s="347"/>
      <c r="H185" s="353"/>
      <c r="I185" s="353"/>
      <c r="J185" s="353"/>
      <c r="K185" s="349"/>
      <c r="L185" s="349"/>
      <c r="M185" s="387"/>
      <c r="N185" s="349"/>
      <c r="O185" s="349"/>
      <c r="P185" s="349"/>
      <c r="Q185" s="349"/>
      <c r="R185" s="349"/>
      <c r="S185" s="349"/>
      <c r="T185" s="349"/>
      <c r="U185" s="349"/>
      <c r="V185" s="349"/>
      <c r="W185" s="349"/>
      <c r="X185" s="349"/>
      <c r="Y185" s="349"/>
      <c r="Z185" s="349"/>
      <c r="AA185" s="349"/>
      <c r="AB185" s="353"/>
      <c r="AC185" s="353"/>
      <c r="AD185" s="353"/>
      <c r="AE185" s="358"/>
      <c r="AF185" s="358"/>
      <c r="AG185" s="358"/>
      <c r="AH185" s="358"/>
      <c r="AI185" s="358"/>
      <c r="AJ185" s="358"/>
      <c r="AK185" s="358"/>
      <c r="AL185" s="358"/>
      <c r="AM185" s="358"/>
      <c r="AN185" s="358"/>
      <c r="AO185" s="359"/>
      <c r="AP185" s="359"/>
      <c r="AQ185" s="334"/>
      <c r="AR185" s="334"/>
      <c r="AS185" s="334"/>
      <c r="AT185" s="334"/>
      <c r="AU185" s="334"/>
      <c r="AV185" s="334"/>
      <c r="AW185" s="334"/>
      <c r="AX185" s="335"/>
      <c r="AY185" s="335"/>
      <c r="AZ185" s="335"/>
      <c r="BA185" s="335"/>
      <c r="BB185" s="335"/>
      <c r="BC185" s="335"/>
      <c r="BD185" s="335"/>
      <c r="BE185" s="335"/>
    </row>
    <row r="186" customFormat="false" ht="14.15" hidden="true" customHeight="true" outlineLevel="1" collapsed="false">
      <c r="A186" s="486" t="s">
        <v>1919</v>
      </c>
      <c r="B186" s="324"/>
      <c r="D186" s="347"/>
      <c r="E186" s="347"/>
      <c r="F186" s="347"/>
      <c r="G186" s="347"/>
      <c r="H186" s="349"/>
      <c r="I186" s="349"/>
      <c r="J186" s="349" t="s">
        <v>1920</v>
      </c>
      <c r="K186" s="349"/>
      <c r="L186" s="349"/>
      <c r="M186" s="349"/>
      <c r="N186" s="349"/>
      <c r="O186" s="349"/>
      <c r="P186" s="349"/>
      <c r="Q186" s="349"/>
      <c r="R186" s="349"/>
      <c r="S186" s="349"/>
      <c r="U186" s="349"/>
      <c r="V186" s="349"/>
      <c r="W186" s="349" t="s">
        <v>1904</v>
      </c>
      <c r="X186" s="349"/>
      <c r="Y186" s="349"/>
      <c r="Z186" s="358"/>
      <c r="AA186" s="349"/>
      <c r="AB186" s="353"/>
      <c r="AC186" s="353"/>
      <c r="AD186" s="353"/>
      <c r="AE186" s="358"/>
      <c r="AF186" s="358"/>
      <c r="AG186" s="358"/>
      <c r="AH186" s="358"/>
      <c r="AI186" s="358"/>
      <c r="AJ186" s="358"/>
      <c r="AK186" s="358"/>
      <c r="AL186" s="358"/>
      <c r="AM186" s="358"/>
      <c r="AN186" s="358"/>
      <c r="AO186" s="359"/>
      <c r="AP186" s="359"/>
      <c r="AQ186" s="334"/>
      <c r="AR186" s="334"/>
      <c r="AS186" s="334"/>
      <c r="AT186" s="334"/>
      <c r="AU186" s="334"/>
      <c r="AV186" s="334"/>
      <c r="AW186" s="334"/>
      <c r="AX186" s="335"/>
      <c r="AY186" s="335"/>
      <c r="AZ186" s="335"/>
      <c r="BA186" s="335"/>
      <c r="BB186" s="335"/>
      <c r="BC186" s="335"/>
      <c r="BD186" s="335"/>
      <c r="BE186" s="335"/>
    </row>
    <row r="187" customFormat="false" ht="14.15" hidden="true" customHeight="true" outlineLevel="1" collapsed="false">
      <c r="A187" s="478" t="s">
        <v>1921</v>
      </c>
      <c r="B187" s="324"/>
      <c r="D187" s="347"/>
      <c r="E187" s="347"/>
      <c r="F187" s="347"/>
      <c r="G187" s="347"/>
      <c r="H187" s="349"/>
      <c r="I187" s="349"/>
      <c r="J187" s="353"/>
      <c r="K187" s="349"/>
      <c r="L187" s="349"/>
      <c r="O187" s="349"/>
      <c r="P187" s="349"/>
      <c r="Q187" s="349"/>
      <c r="R187" s="349"/>
      <c r="S187" s="347"/>
      <c r="T187" s="349" t="s">
        <v>1905</v>
      </c>
      <c r="U187" s="349"/>
      <c r="V187" s="349"/>
      <c r="W187" s="349"/>
      <c r="X187" s="349" t="s">
        <v>1903</v>
      </c>
      <c r="Y187" s="349"/>
      <c r="Z187" s="349"/>
      <c r="AA187" s="349"/>
      <c r="AB187" s="353"/>
      <c r="AC187" s="353"/>
      <c r="AD187" s="353"/>
      <c r="AE187" s="358"/>
      <c r="AF187" s="358"/>
      <c r="AG187" s="358"/>
      <c r="AH187" s="358"/>
      <c r="AI187" s="358"/>
      <c r="AJ187" s="358"/>
      <c r="AK187" s="358"/>
      <c r="AL187" s="358"/>
      <c r="AM187" s="358"/>
      <c r="AN187" s="358"/>
      <c r="AO187" s="359"/>
      <c r="AP187" s="359"/>
      <c r="AQ187" s="334"/>
      <c r="AR187" s="334"/>
      <c r="AS187" s="334"/>
      <c r="AT187" s="334"/>
      <c r="AU187" s="334"/>
      <c r="AV187" s="334"/>
      <c r="AW187" s="334"/>
      <c r="AX187" s="335"/>
      <c r="AY187" s="335"/>
      <c r="AZ187" s="335"/>
      <c r="BA187" s="335"/>
      <c r="BB187" s="335"/>
      <c r="BC187" s="335"/>
      <c r="BD187" s="335"/>
      <c r="BE187" s="335"/>
    </row>
    <row r="188" customFormat="false" ht="14.15" hidden="true" customHeight="true" outlineLevel="1" collapsed="false">
      <c r="A188" s="487"/>
      <c r="B188" s="324"/>
      <c r="D188" s="347"/>
      <c r="E188" s="347"/>
      <c r="F188" s="347"/>
      <c r="G188" s="347"/>
      <c r="H188" s="349"/>
      <c r="I188" s="349"/>
      <c r="J188" s="353"/>
      <c r="K188" s="349"/>
      <c r="L188" s="349"/>
      <c r="O188" s="349"/>
      <c r="P188" s="349"/>
      <c r="Q188" s="349"/>
      <c r="R188" s="349"/>
      <c r="S188" s="347"/>
      <c r="T188" s="349"/>
      <c r="U188" s="349"/>
      <c r="V188" s="349"/>
      <c r="W188" s="349"/>
      <c r="X188" s="349"/>
      <c r="Y188" s="349"/>
      <c r="Z188" s="349"/>
      <c r="AA188" s="349"/>
      <c r="AB188" s="353"/>
      <c r="AC188" s="353"/>
      <c r="AD188" s="353"/>
      <c r="AE188" s="358"/>
      <c r="AF188" s="358"/>
      <c r="AG188" s="358"/>
      <c r="AH188" s="358"/>
      <c r="AI188" s="358"/>
      <c r="AJ188" s="358"/>
      <c r="AK188" s="358"/>
      <c r="AL188" s="358"/>
      <c r="AM188" s="358"/>
      <c r="AN188" s="358"/>
      <c r="AO188" s="359"/>
      <c r="AP188" s="359"/>
      <c r="AQ188" s="334"/>
      <c r="AR188" s="334"/>
      <c r="AS188" s="334"/>
      <c r="AT188" s="334"/>
      <c r="AU188" s="334"/>
      <c r="AV188" s="334"/>
      <c r="AW188" s="334"/>
      <c r="AX188" s="335"/>
      <c r="AY188" s="335"/>
      <c r="AZ188" s="335"/>
      <c r="BA188" s="335"/>
      <c r="BB188" s="335"/>
      <c r="BC188" s="335"/>
      <c r="BD188" s="335"/>
      <c r="BE188" s="335"/>
    </row>
    <row r="189" customFormat="false" ht="14.15" hidden="true" customHeight="true" outlineLevel="1" collapsed="false">
      <c r="A189" s="324" t="s">
        <v>1922</v>
      </c>
      <c r="D189" s="347"/>
      <c r="E189" s="347"/>
      <c r="F189" s="347"/>
      <c r="G189" s="347"/>
      <c r="H189" s="347"/>
      <c r="I189" s="461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7"/>
      <c r="AD189" s="358"/>
      <c r="AE189" s="358"/>
      <c r="AF189" s="358"/>
      <c r="AG189" s="358"/>
      <c r="AH189" s="358"/>
      <c r="AI189" s="358"/>
      <c r="AJ189" s="358"/>
      <c r="AK189" s="358"/>
      <c r="AL189" s="358"/>
      <c r="AM189" s="358"/>
      <c r="AN189" s="358"/>
      <c r="AO189" s="359"/>
      <c r="AP189" s="359"/>
      <c r="AQ189" s="334"/>
      <c r="AR189" s="334"/>
      <c r="AS189" s="334"/>
      <c r="AT189" s="334"/>
      <c r="AU189" s="334"/>
      <c r="AV189" s="334"/>
      <c r="AW189" s="334"/>
      <c r="AX189" s="335"/>
      <c r="AY189" s="335"/>
      <c r="AZ189" s="335"/>
      <c r="BA189" s="335"/>
      <c r="BB189" s="335"/>
      <c r="BC189" s="335"/>
      <c r="BD189" s="335"/>
      <c r="BE189" s="335"/>
    </row>
    <row r="190" customFormat="false" ht="14.15" hidden="true" customHeight="true" outlineLevel="1" collapsed="false">
      <c r="A190" s="403" t="s">
        <v>152</v>
      </c>
      <c r="B190" s="404" t="s">
        <v>1793</v>
      </c>
      <c r="C190" s="378" t="n">
        <v>4</v>
      </c>
      <c r="D190" s="347"/>
      <c r="E190" s="347"/>
      <c r="F190" s="347"/>
      <c r="G190" s="347"/>
      <c r="H190" s="347"/>
      <c r="I190" s="461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7"/>
      <c r="AD190" s="358"/>
      <c r="AE190" s="358"/>
      <c r="AF190" s="358"/>
      <c r="AG190" s="358"/>
      <c r="AH190" s="358"/>
      <c r="AI190" s="358"/>
      <c r="AJ190" s="358"/>
      <c r="AK190" s="358"/>
      <c r="AL190" s="358"/>
      <c r="AM190" s="358"/>
      <c r="AN190" s="358"/>
      <c r="AO190" s="359"/>
      <c r="AP190" s="359"/>
      <c r="AQ190" s="334"/>
      <c r="AR190" s="334"/>
      <c r="AS190" s="334"/>
      <c r="AT190" s="334"/>
      <c r="AU190" s="334"/>
      <c r="AV190" s="334"/>
      <c r="AW190" s="334"/>
      <c r="AX190" s="335"/>
      <c r="AY190" s="335"/>
      <c r="AZ190" s="335"/>
      <c r="BA190" s="335"/>
      <c r="BB190" s="335"/>
      <c r="BC190" s="335"/>
      <c r="BD190" s="335"/>
      <c r="BE190" s="335"/>
    </row>
    <row r="191" customFormat="false" ht="14.15" hidden="true" customHeight="true" outlineLevel="1" collapsed="false">
      <c r="A191" s="401" t="s">
        <v>152</v>
      </c>
      <c r="B191" s="404" t="s">
        <v>1793</v>
      </c>
      <c r="C191" s="370" t="n">
        <v>0</v>
      </c>
      <c r="D191" s="347"/>
      <c r="E191" s="347"/>
      <c r="F191" s="347"/>
      <c r="G191" s="347"/>
      <c r="H191" s="347"/>
      <c r="I191" s="461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7"/>
      <c r="AD191" s="358"/>
      <c r="AE191" s="358"/>
      <c r="AF191" s="358"/>
      <c r="AG191" s="358"/>
      <c r="AH191" s="358"/>
      <c r="AI191" s="358"/>
      <c r="AJ191" s="358"/>
      <c r="AK191" s="358"/>
      <c r="AL191" s="358"/>
      <c r="AM191" s="358"/>
      <c r="AN191" s="358"/>
      <c r="AO191" s="359"/>
      <c r="AP191" s="359"/>
      <c r="AQ191" s="334"/>
      <c r="AR191" s="334"/>
      <c r="AS191" s="334"/>
      <c r="AT191" s="334"/>
      <c r="AU191" s="334"/>
      <c r="AV191" s="334"/>
      <c r="AW191" s="334"/>
      <c r="AX191" s="335"/>
      <c r="AY191" s="335"/>
      <c r="AZ191" s="335"/>
      <c r="BA191" s="335"/>
      <c r="BB191" s="335"/>
      <c r="BC191" s="335"/>
      <c r="BD191" s="335"/>
      <c r="BE191" s="335"/>
    </row>
    <row r="192" customFormat="false" ht="14.15" hidden="true" customHeight="true" outlineLevel="1" collapsed="false">
      <c r="D192" s="347"/>
      <c r="E192" s="347"/>
      <c r="F192" s="347"/>
      <c r="G192" s="347"/>
      <c r="H192" s="347"/>
      <c r="I192" s="461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7"/>
      <c r="AD192" s="358"/>
      <c r="AE192" s="358"/>
      <c r="AF192" s="358"/>
      <c r="AG192" s="358"/>
      <c r="AH192" s="358"/>
      <c r="AI192" s="358"/>
      <c r="AJ192" s="358"/>
      <c r="AK192" s="358"/>
      <c r="AL192" s="358"/>
      <c r="AM192" s="358"/>
      <c r="AN192" s="358"/>
      <c r="AO192" s="359"/>
      <c r="AP192" s="359"/>
      <c r="AQ192" s="334"/>
      <c r="AR192" s="334"/>
      <c r="AS192" s="334"/>
      <c r="AT192" s="334"/>
      <c r="AU192" s="334"/>
      <c r="AV192" s="334"/>
      <c r="AW192" s="334"/>
      <c r="AX192" s="335"/>
      <c r="AY192" s="335"/>
      <c r="AZ192" s="335"/>
      <c r="BA192" s="335"/>
      <c r="BB192" s="335"/>
      <c r="BC192" s="335"/>
      <c r="BD192" s="335"/>
      <c r="BE192" s="335"/>
    </row>
    <row r="193" customFormat="false" ht="14.15" hidden="true" customHeight="true" outlineLevel="1" collapsed="false">
      <c r="A193" s="405" t="s">
        <v>1923</v>
      </c>
      <c r="B193" s="404" t="s">
        <v>1796</v>
      </c>
      <c r="C193" s="488" t="n">
        <v>10000</v>
      </c>
      <c r="D193" s="347"/>
      <c r="E193" s="347"/>
      <c r="F193" s="347"/>
      <c r="G193" s="347"/>
      <c r="H193" s="347"/>
      <c r="I193" s="461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7"/>
      <c r="AD193" s="358"/>
      <c r="AE193" s="358"/>
      <c r="AF193" s="358"/>
      <c r="AG193" s="358"/>
      <c r="AH193" s="358"/>
      <c r="AI193" s="358"/>
      <c r="AJ193" s="358"/>
      <c r="AK193" s="358"/>
      <c r="AL193" s="358"/>
      <c r="AM193" s="358"/>
      <c r="AN193" s="358"/>
      <c r="AO193" s="359"/>
      <c r="AP193" s="359"/>
      <c r="AQ193" s="334"/>
      <c r="AR193" s="334"/>
      <c r="AS193" s="334"/>
      <c r="AT193" s="334"/>
      <c r="AU193" s="334"/>
      <c r="AV193" s="334"/>
      <c r="AW193" s="334"/>
      <c r="AX193" s="335"/>
      <c r="AY193" s="335"/>
      <c r="AZ193" s="335"/>
      <c r="BA193" s="335"/>
      <c r="BB193" s="335"/>
      <c r="BC193" s="335"/>
      <c r="BD193" s="335"/>
      <c r="BE193" s="335"/>
    </row>
    <row r="194" customFormat="false" ht="14.15" hidden="false" customHeight="true" outlineLevel="0" collapsed="false">
      <c r="A194" s="408" t="s">
        <v>1924</v>
      </c>
      <c r="B194" s="408"/>
      <c r="C194" s="408"/>
      <c r="D194" s="408"/>
      <c r="E194" s="408"/>
      <c r="F194" s="409" t="s">
        <v>1798</v>
      </c>
      <c r="G194" s="347"/>
      <c r="H194" s="347"/>
      <c r="I194" s="461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7"/>
      <c r="AD194" s="358"/>
      <c r="AE194" s="358"/>
      <c r="AF194" s="358"/>
      <c r="AG194" s="358"/>
      <c r="AH194" s="358"/>
      <c r="AI194" s="358"/>
      <c r="AJ194" s="358"/>
      <c r="AK194" s="358"/>
      <c r="AL194" s="358"/>
      <c r="AM194" s="358"/>
      <c r="AN194" s="358"/>
      <c r="AO194" s="359"/>
      <c r="AP194" s="359"/>
      <c r="AQ194" s="334"/>
      <c r="AR194" s="334"/>
      <c r="AS194" s="334"/>
      <c r="AT194" s="334"/>
      <c r="AU194" s="334"/>
      <c r="AV194" s="334"/>
      <c r="AW194" s="334"/>
      <c r="AX194" s="335"/>
      <c r="AY194" s="335"/>
      <c r="AZ194" s="335"/>
      <c r="BA194" s="335"/>
      <c r="BB194" s="335"/>
      <c r="BC194" s="335"/>
      <c r="BD194" s="335"/>
      <c r="BE194" s="335"/>
    </row>
    <row r="195" customFormat="false" ht="14.15" hidden="false" customHeight="true" outlineLevel="0" collapsed="false">
      <c r="A195" s="347"/>
      <c r="B195" s="450"/>
      <c r="C195" s="347"/>
      <c r="D195" s="347"/>
      <c r="E195" s="347"/>
      <c r="F195" s="347"/>
      <c r="G195" s="347"/>
      <c r="H195" s="347"/>
      <c r="I195" s="461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7"/>
      <c r="AD195" s="358"/>
      <c r="AE195" s="358"/>
      <c r="AF195" s="358"/>
      <c r="AG195" s="358"/>
      <c r="AH195" s="358"/>
      <c r="AI195" s="358"/>
      <c r="AJ195" s="358"/>
      <c r="AK195" s="358"/>
      <c r="AL195" s="358"/>
      <c r="AM195" s="358"/>
      <c r="AN195" s="358"/>
      <c r="AO195" s="359"/>
      <c r="AP195" s="359"/>
      <c r="AQ195" s="334"/>
      <c r="AR195" s="334"/>
      <c r="AS195" s="334"/>
      <c r="AT195" s="334"/>
      <c r="AU195" s="334"/>
      <c r="AV195" s="334"/>
      <c r="AW195" s="334"/>
      <c r="AX195" s="335"/>
      <c r="AY195" s="335"/>
      <c r="AZ195" s="335"/>
      <c r="BA195" s="335"/>
      <c r="BB195" s="335"/>
      <c r="BC195" s="335"/>
      <c r="BD195" s="335"/>
      <c r="BE195" s="335"/>
    </row>
    <row r="196" customFormat="false" ht="14.15" hidden="true" customHeight="true" outlineLevel="1" collapsed="false">
      <c r="A196" s="460" t="s">
        <v>1925</v>
      </c>
      <c r="B196" s="460"/>
      <c r="C196" s="460"/>
      <c r="D196" s="460"/>
      <c r="E196" s="460"/>
      <c r="H196" s="347"/>
      <c r="I196" s="461"/>
      <c r="J196" s="347"/>
      <c r="K196" s="347"/>
      <c r="L196" s="347"/>
      <c r="M196" s="411" t="s">
        <v>1925</v>
      </c>
      <c r="N196" s="411"/>
      <c r="O196" s="411"/>
      <c r="P196" s="411"/>
      <c r="Q196" s="411"/>
      <c r="R196" s="411"/>
      <c r="S196" s="411"/>
      <c r="T196" s="411"/>
      <c r="U196" s="411"/>
      <c r="V196" s="411"/>
      <c r="W196" s="411"/>
      <c r="X196" s="411"/>
      <c r="Y196" s="411"/>
      <c r="Z196" s="411"/>
      <c r="AA196" s="411"/>
      <c r="AB196" s="411"/>
      <c r="AC196" s="411"/>
      <c r="AD196" s="411"/>
      <c r="AE196" s="411"/>
      <c r="AF196" s="411"/>
      <c r="AG196" s="358"/>
      <c r="AH196" s="358"/>
      <c r="AI196" s="358"/>
      <c r="AJ196" s="358"/>
      <c r="AK196" s="358"/>
      <c r="AL196" s="358"/>
      <c r="AM196" s="358"/>
      <c r="AN196" s="358"/>
      <c r="AO196" s="359"/>
      <c r="AP196" s="359"/>
      <c r="AQ196" s="334"/>
      <c r="AR196" s="334"/>
      <c r="AS196" s="334"/>
      <c r="AT196" s="334"/>
      <c r="AU196" s="334"/>
      <c r="AV196" s="346"/>
      <c r="AW196" s="334"/>
      <c r="AX196" s="335"/>
      <c r="AY196" s="335"/>
      <c r="AZ196" s="335"/>
      <c r="BA196" s="335"/>
      <c r="BB196" s="335"/>
      <c r="BC196" s="335"/>
      <c r="BD196" s="335"/>
      <c r="BE196" s="335"/>
    </row>
    <row r="197" customFormat="false" ht="14.15" hidden="true" customHeight="true" outlineLevel="1" collapsed="false">
      <c r="A197" s="356"/>
      <c r="B197" s="462"/>
      <c r="C197" s="356"/>
      <c r="D197" s="356"/>
      <c r="E197" s="356"/>
      <c r="F197" s="356"/>
      <c r="G197" s="347"/>
      <c r="H197" s="347"/>
      <c r="I197" s="461"/>
      <c r="J197" s="347"/>
      <c r="K197" s="347"/>
      <c r="L197" s="347"/>
      <c r="M197" s="411"/>
      <c r="N197" s="411"/>
      <c r="O197" s="411"/>
      <c r="P197" s="411"/>
      <c r="Q197" s="411"/>
      <c r="R197" s="411"/>
      <c r="S197" s="411"/>
      <c r="T197" s="411"/>
      <c r="U197" s="411"/>
      <c r="V197" s="411"/>
      <c r="W197" s="411"/>
      <c r="X197" s="411"/>
      <c r="Y197" s="411"/>
      <c r="Z197" s="411"/>
      <c r="AA197" s="411"/>
      <c r="AB197" s="411"/>
      <c r="AC197" s="411"/>
      <c r="AD197" s="411"/>
      <c r="AE197" s="411"/>
      <c r="AF197" s="411"/>
      <c r="AG197" s="358"/>
      <c r="AH197" s="358"/>
      <c r="AI197" s="358"/>
      <c r="AJ197" s="358"/>
      <c r="AK197" s="358"/>
      <c r="AL197" s="358"/>
      <c r="AM197" s="358"/>
      <c r="AN197" s="358"/>
      <c r="AO197" s="359"/>
      <c r="AP197" s="359"/>
      <c r="AQ197" s="334"/>
      <c r="AR197" s="334"/>
      <c r="AS197" s="334"/>
      <c r="AT197" s="334"/>
      <c r="AU197" s="334"/>
      <c r="AV197" s="346"/>
      <c r="AW197" s="335"/>
      <c r="AX197" s="335"/>
      <c r="AY197" s="335"/>
      <c r="AZ197" s="335"/>
      <c r="BA197" s="335"/>
      <c r="BB197" s="335"/>
      <c r="BC197" s="335"/>
      <c r="BD197" s="335"/>
      <c r="BE197" s="335"/>
    </row>
    <row r="198" customFormat="false" ht="14.15" hidden="true" customHeight="true" outlineLevel="1" collapsed="false">
      <c r="A198" s="408" t="s">
        <v>1884</v>
      </c>
      <c r="B198" s="408"/>
      <c r="C198" s="408"/>
      <c r="D198" s="408"/>
      <c r="E198" s="377" t="n">
        <v>1</v>
      </c>
      <c r="F198" s="391"/>
      <c r="G198" s="347"/>
      <c r="H198" s="347"/>
      <c r="I198" s="461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7"/>
      <c r="AD198" s="347"/>
      <c r="AE198" s="347"/>
      <c r="AF198" s="347"/>
      <c r="AG198" s="347"/>
      <c r="AH198" s="347"/>
      <c r="AI198" s="347"/>
      <c r="AJ198" s="347"/>
      <c r="AK198" s="347"/>
      <c r="AL198" s="347"/>
      <c r="AM198" s="347"/>
      <c r="AN198" s="347"/>
      <c r="AO198" s="351"/>
      <c r="AP198" s="351"/>
      <c r="AQ198" s="335"/>
      <c r="AR198" s="335"/>
      <c r="AS198" s="335"/>
      <c r="AT198" s="335"/>
      <c r="AU198" s="335"/>
      <c r="AV198" s="335"/>
      <c r="AW198" s="335"/>
      <c r="AX198" s="335"/>
      <c r="AY198" s="335"/>
      <c r="AZ198" s="335"/>
      <c r="BA198" s="335"/>
      <c r="BB198" s="335"/>
      <c r="BC198" s="335"/>
      <c r="BD198" s="335"/>
      <c r="BE198" s="335"/>
    </row>
    <row r="199" customFormat="false" ht="14.15" hidden="true" customHeight="true" outlineLevel="1" collapsed="false">
      <c r="A199" s="408" t="s">
        <v>1885</v>
      </c>
      <c r="B199" s="408"/>
      <c r="C199" s="408"/>
      <c r="D199" s="408"/>
      <c r="E199" s="377" t="n">
        <v>1</v>
      </c>
      <c r="F199" s="391"/>
      <c r="G199" s="347"/>
      <c r="H199" s="347"/>
      <c r="I199" s="358"/>
      <c r="J199" s="358"/>
      <c r="K199" s="358"/>
      <c r="L199" s="358"/>
      <c r="M199" s="358"/>
      <c r="N199" s="358"/>
      <c r="P199" s="34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  <c r="AD199" s="358"/>
      <c r="AE199" s="358"/>
      <c r="AF199" s="358"/>
      <c r="AG199" s="358"/>
      <c r="AH199" s="358"/>
      <c r="AI199" s="358"/>
      <c r="AJ199" s="358"/>
      <c r="AK199" s="358"/>
      <c r="AL199" s="358"/>
      <c r="AM199" s="358"/>
      <c r="AN199" s="358"/>
      <c r="AO199" s="351"/>
      <c r="AP199" s="351"/>
      <c r="AQ199" s="335"/>
      <c r="AR199" s="335"/>
      <c r="AS199" s="335"/>
      <c r="AT199" s="335"/>
      <c r="AU199" s="335"/>
      <c r="AV199" s="335"/>
      <c r="AW199" s="335"/>
      <c r="AX199" s="335"/>
      <c r="AY199" s="335"/>
      <c r="AZ199" s="335"/>
      <c r="BA199" s="335"/>
      <c r="BB199" s="335"/>
      <c r="BC199" s="335"/>
      <c r="BD199" s="335"/>
      <c r="BE199" s="335"/>
    </row>
    <row r="200" customFormat="false" ht="14.15" hidden="true" customHeight="true" outlineLevel="1" collapsed="false">
      <c r="D200" s="463"/>
      <c r="E200" s="463"/>
      <c r="F200" s="463"/>
      <c r="G200" s="347"/>
      <c r="H200" s="347"/>
      <c r="I200" s="358"/>
      <c r="J200" s="358"/>
      <c r="K200" s="358"/>
      <c r="L200" s="358"/>
      <c r="M200" s="358"/>
      <c r="AP200" s="351"/>
      <c r="AQ200" s="335"/>
      <c r="AR200" s="335"/>
      <c r="AS200" s="335"/>
      <c r="AT200" s="335"/>
      <c r="AU200" s="335"/>
      <c r="AV200" s="335"/>
      <c r="AW200" s="335"/>
      <c r="AX200" s="335"/>
      <c r="AY200" s="335"/>
      <c r="AZ200" s="335"/>
      <c r="BA200" s="335"/>
      <c r="BB200" s="335"/>
      <c r="BC200" s="335"/>
      <c r="BD200" s="335"/>
      <c r="BE200" s="335"/>
    </row>
    <row r="201" customFormat="false" ht="14.15" hidden="true" customHeight="true" outlineLevel="1" collapsed="false">
      <c r="A201" s="425" t="s">
        <v>1093</v>
      </c>
      <c r="B201" s="425" t="s">
        <v>208</v>
      </c>
      <c r="C201" s="425" t="s">
        <v>156</v>
      </c>
      <c r="D201" s="357"/>
      <c r="E201" s="357"/>
      <c r="F201" s="489" t="s">
        <v>156</v>
      </c>
      <c r="G201" s="347"/>
      <c r="H201" s="387"/>
      <c r="I201" s="349"/>
      <c r="J201" s="349"/>
      <c r="K201" s="349"/>
      <c r="M201" s="348"/>
      <c r="AP201" s="351"/>
      <c r="AQ201" s="335"/>
      <c r="AR201" s="335"/>
      <c r="AS201" s="335"/>
      <c r="AT201" s="335"/>
      <c r="AU201" s="335"/>
      <c r="AV201" s="335"/>
      <c r="AW201" s="335"/>
      <c r="AX201" s="335"/>
      <c r="AY201" s="335"/>
      <c r="AZ201" s="335"/>
      <c r="BA201" s="335"/>
      <c r="BB201" s="335"/>
      <c r="BC201" s="335"/>
      <c r="BD201" s="335"/>
      <c r="BE201" s="335"/>
    </row>
    <row r="202" customFormat="false" ht="14.15" hidden="true" customHeight="true" outlineLevel="1" collapsed="false">
      <c r="A202" s="324" t="s">
        <v>1889</v>
      </c>
      <c r="B202" s="371"/>
      <c r="C202" s="371"/>
      <c r="D202" s="358"/>
      <c r="E202" s="358"/>
      <c r="F202" s="382" t="n">
        <v>8.1</v>
      </c>
      <c r="G202" s="347"/>
      <c r="H202" s="387"/>
      <c r="I202" s="349"/>
      <c r="J202" s="349"/>
      <c r="K202" s="349"/>
      <c r="M202" s="349"/>
      <c r="AP202" s="351"/>
      <c r="AQ202" s="335"/>
      <c r="AR202" s="335"/>
      <c r="AS202" s="335"/>
      <c r="AT202" s="335"/>
      <c r="AU202" s="335"/>
      <c r="AV202" s="335"/>
      <c r="AW202" s="335"/>
      <c r="AX202" s="335"/>
      <c r="AY202" s="335"/>
      <c r="AZ202" s="335"/>
      <c r="BA202" s="335"/>
      <c r="BB202" s="335"/>
      <c r="BC202" s="335"/>
      <c r="BD202" s="335"/>
      <c r="BE202" s="335"/>
    </row>
    <row r="203" customFormat="false" ht="14.15" hidden="true" customHeight="true" outlineLevel="1" collapsed="false">
      <c r="A203" s="465" t="s">
        <v>1068</v>
      </c>
      <c r="D203" s="358"/>
      <c r="E203" s="490"/>
      <c r="F203" s="490"/>
      <c r="G203" s="347"/>
      <c r="H203" s="358"/>
      <c r="J203" s="349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  <c r="AD203" s="358"/>
      <c r="AE203" s="358"/>
      <c r="AF203" s="358"/>
      <c r="AG203" s="358"/>
      <c r="AH203" s="358"/>
      <c r="AI203" s="351"/>
      <c r="AP203" s="351"/>
      <c r="AQ203" s="335"/>
      <c r="AR203" s="335"/>
      <c r="AS203" s="335"/>
      <c r="AT203" s="335"/>
      <c r="AU203" s="335"/>
      <c r="AV203" s="335"/>
      <c r="AW203" s="335"/>
      <c r="AX203" s="335"/>
      <c r="AY203" s="335"/>
      <c r="AZ203" s="335"/>
      <c r="BA203" s="335"/>
      <c r="BB203" s="335"/>
      <c r="BC203" s="335"/>
      <c r="BD203" s="335"/>
      <c r="BE203" s="335"/>
    </row>
    <row r="204" customFormat="false" ht="14.15" hidden="true" customHeight="true" outlineLevel="1" collapsed="false">
      <c r="A204" s="466" t="s">
        <v>1891</v>
      </c>
      <c r="B204" s="467"/>
      <c r="C204" s="468"/>
      <c r="D204" s="358"/>
      <c r="E204" s="490"/>
      <c r="F204" s="489" t="s">
        <v>156</v>
      </c>
      <c r="G204" s="347"/>
      <c r="H204" s="358"/>
      <c r="I204" s="349"/>
      <c r="J204" s="349"/>
      <c r="K204" s="358"/>
      <c r="L204" s="358"/>
      <c r="M204" s="358"/>
      <c r="N204" s="358"/>
      <c r="O204" s="358"/>
      <c r="P204" s="358"/>
      <c r="Q204" s="358"/>
      <c r="R204" s="358"/>
      <c r="S204" s="358"/>
      <c r="T204" s="371" t="s">
        <v>1926</v>
      </c>
      <c r="U204" s="358"/>
      <c r="V204" s="358"/>
      <c r="W204" s="358"/>
      <c r="X204" s="358"/>
      <c r="Y204" s="358"/>
      <c r="Z204" s="358"/>
      <c r="AA204" s="358"/>
      <c r="AB204" s="358"/>
      <c r="AC204" s="358"/>
      <c r="AD204" s="358"/>
      <c r="AE204" s="358"/>
      <c r="AF204" s="358"/>
      <c r="AG204" s="358"/>
      <c r="AH204" s="358"/>
      <c r="AI204" s="351"/>
      <c r="AP204" s="351"/>
      <c r="AQ204" s="335"/>
      <c r="AR204" s="335"/>
      <c r="AS204" s="335"/>
      <c r="AT204" s="335"/>
      <c r="AU204" s="335"/>
      <c r="AV204" s="335"/>
      <c r="AW204" s="335"/>
      <c r="AX204" s="335"/>
      <c r="AY204" s="335"/>
      <c r="AZ204" s="335"/>
      <c r="BA204" s="335"/>
      <c r="BB204" s="335"/>
      <c r="BC204" s="335"/>
      <c r="BD204" s="335"/>
      <c r="BE204" s="335"/>
    </row>
    <row r="205" customFormat="false" ht="14.15" hidden="true" customHeight="true" outlineLevel="1" collapsed="false">
      <c r="A205" s="470" t="s">
        <v>493</v>
      </c>
      <c r="B205" s="467"/>
      <c r="C205" s="468"/>
      <c r="D205" s="479"/>
      <c r="E205" s="491"/>
      <c r="F205" s="382" t="n">
        <v>7.8</v>
      </c>
      <c r="G205" s="347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71"/>
      <c r="U205" s="358"/>
      <c r="V205" s="358"/>
      <c r="W205" s="358"/>
      <c r="X205" s="358"/>
      <c r="Y205" s="358"/>
      <c r="Z205" s="358"/>
      <c r="AA205" s="358"/>
      <c r="AB205" s="358"/>
      <c r="AC205" s="358"/>
      <c r="AD205" s="358"/>
      <c r="AE205" s="358"/>
      <c r="AF205" s="358"/>
      <c r="AG205" s="358"/>
      <c r="AH205" s="358"/>
      <c r="AI205" s="351"/>
      <c r="AP205" s="351"/>
      <c r="AQ205" s="335"/>
      <c r="AR205" s="335"/>
      <c r="AS205" s="335"/>
      <c r="AT205" s="335"/>
      <c r="AU205" s="335"/>
      <c r="AV205" s="335"/>
      <c r="AW205" s="335"/>
      <c r="AX205" s="335"/>
      <c r="AY205" s="335"/>
      <c r="AZ205" s="335"/>
      <c r="BA205" s="335"/>
      <c r="BB205" s="335"/>
      <c r="BC205" s="335"/>
      <c r="BD205" s="335"/>
      <c r="BE205" s="335"/>
    </row>
    <row r="206" customFormat="false" ht="14.15" hidden="true" customHeight="true" outlineLevel="1" collapsed="false">
      <c r="A206" s="265" t="s">
        <v>1927</v>
      </c>
      <c r="B206" s="404" t="s">
        <v>156</v>
      </c>
      <c r="C206" s="471" t="n">
        <v>0.5</v>
      </c>
      <c r="D206" s="479"/>
      <c r="E206" s="491"/>
      <c r="F206" s="491"/>
      <c r="G206" s="347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  <c r="AD206" s="358"/>
      <c r="AE206" s="358"/>
      <c r="AF206" s="358"/>
      <c r="AG206" s="358"/>
      <c r="AH206" s="358"/>
      <c r="AI206" s="351"/>
      <c r="AP206" s="351"/>
      <c r="AQ206" s="335"/>
      <c r="AR206" s="335"/>
      <c r="AS206" s="335"/>
      <c r="AT206" s="335"/>
      <c r="AU206" s="335"/>
      <c r="AV206" s="335"/>
      <c r="AW206" s="335"/>
      <c r="AX206" s="335"/>
      <c r="AY206" s="335"/>
      <c r="AZ206" s="335"/>
      <c r="BA206" s="335"/>
      <c r="BB206" s="335"/>
      <c r="BC206" s="335"/>
      <c r="BD206" s="335"/>
      <c r="BE206" s="335"/>
    </row>
    <row r="207" customFormat="false" ht="14.15" hidden="true" customHeight="true" outlineLevel="1" collapsed="false">
      <c r="A207" s="265" t="s">
        <v>1927</v>
      </c>
      <c r="B207" s="404" t="s">
        <v>156</v>
      </c>
      <c r="C207" s="471" t="n">
        <v>0.5</v>
      </c>
      <c r="D207" s="479"/>
      <c r="E207" s="491"/>
      <c r="F207" s="489" t="s">
        <v>156</v>
      </c>
      <c r="G207" s="347"/>
      <c r="H207" s="349"/>
      <c r="I207" s="349"/>
      <c r="J207" s="349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  <c r="AD207" s="358"/>
      <c r="AE207" s="358"/>
      <c r="AF207" s="358"/>
      <c r="AG207" s="358"/>
      <c r="AH207" s="358"/>
      <c r="AI207" s="351"/>
      <c r="AP207" s="351"/>
      <c r="AQ207" s="335"/>
      <c r="AR207" s="335"/>
      <c r="AS207" s="335"/>
      <c r="AT207" s="335"/>
      <c r="AU207" s="335"/>
      <c r="AV207" s="335"/>
      <c r="AW207" s="335"/>
      <c r="AX207" s="335"/>
      <c r="AY207" s="335"/>
      <c r="AZ207" s="335"/>
      <c r="BA207" s="335"/>
      <c r="BB207" s="335"/>
      <c r="BC207" s="335"/>
      <c r="BD207" s="335"/>
      <c r="BE207" s="335"/>
    </row>
    <row r="208" customFormat="false" ht="14.15" hidden="true" customHeight="true" outlineLevel="1" collapsed="false">
      <c r="A208" s="265" t="s">
        <v>1896</v>
      </c>
      <c r="B208" s="404" t="s">
        <v>156</v>
      </c>
      <c r="C208" s="471" t="n">
        <v>0.8</v>
      </c>
      <c r="D208" s="347"/>
      <c r="E208" s="347"/>
      <c r="F208" s="382" t="n">
        <v>5</v>
      </c>
      <c r="G208" s="347"/>
      <c r="H208" s="349"/>
      <c r="I208" s="349"/>
      <c r="J208" s="349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  <c r="AD208" s="358"/>
      <c r="AE208" s="358"/>
      <c r="AF208" s="452" t="s">
        <v>1928</v>
      </c>
      <c r="AG208" s="358"/>
      <c r="AH208" s="358"/>
      <c r="AI208" s="351"/>
      <c r="AP208" s="351"/>
      <c r="AQ208" s="335"/>
      <c r="AR208" s="335"/>
      <c r="AS208" s="335"/>
      <c r="AT208" s="335"/>
      <c r="AU208" s="335"/>
      <c r="AV208" s="335"/>
      <c r="AW208" s="335"/>
      <c r="AX208" s="335"/>
      <c r="AY208" s="335"/>
      <c r="AZ208" s="335"/>
      <c r="BA208" s="335"/>
      <c r="BB208" s="335"/>
      <c r="BC208" s="335"/>
      <c r="BD208" s="335"/>
      <c r="BE208" s="335"/>
    </row>
    <row r="209" customFormat="false" ht="14.15" hidden="true" customHeight="true" outlineLevel="1" collapsed="false">
      <c r="A209" s="265" t="s">
        <v>1897</v>
      </c>
      <c r="B209" s="404" t="s">
        <v>156</v>
      </c>
      <c r="C209" s="471" t="n">
        <v>0.8</v>
      </c>
      <c r="D209" s="347"/>
      <c r="E209" s="347"/>
      <c r="F209" s="347"/>
      <c r="G209" s="347"/>
      <c r="H209" s="349"/>
      <c r="I209" s="349"/>
      <c r="J209" s="349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  <c r="AD209" s="358"/>
      <c r="AE209" s="358"/>
      <c r="AF209" s="358"/>
      <c r="AG209" s="358"/>
      <c r="AH209" s="358"/>
      <c r="AI209" s="351"/>
      <c r="AP209" s="351"/>
      <c r="AQ209" s="335"/>
      <c r="AR209" s="335"/>
      <c r="AS209" s="335"/>
      <c r="AT209" s="335"/>
      <c r="AU209" s="335"/>
      <c r="AV209" s="335"/>
      <c r="AW209" s="335"/>
      <c r="AX209" s="335"/>
      <c r="AY209" s="335"/>
      <c r="AZ209" s="335"/>
      <c r="BA209" s="335"/>
      <c r="BB209" s="335"/>
      <c r="BC209" s="335" t="s">
        <v>1929</v>
      </c>
      <c r="BD209" s="374" t="n">
        <f aca="false">F211</f>
        <v>4.7</v>
      </c>
      <c r="BE209" s="335"/>
    </row>
    <row r="210" customFormat="false" ht="14.15" hidden="true" customHeight="true" outlineLevel="1" collapsed="false">
      <c r="D210" s="347"/>
      <c r="E210" s="347"/>
      <c r="F210" s="489" t="s">
        <v>156</v>
      </c>
      <c r="H210" s="349"/>
      <c r="I210" s="349"/>
      <c r="J210" s="349"/>
      <c r="K210" s="358" t="s">
        <v>1928</v>
      </c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 t="s">
        <v>1930</v>
      </c>
      <c r="AD210" s="358"/>
      <c r="AE210" s="358"/>
      <c r="AF210" s="358"/>
      <c r="AG210" s="358"/>
      <c r="AH210" s="358"/>
      <c r="AI210" s="351"/>
      <c r="AP210" s="351"/>
      <c r="AQ210" s="335"/>
      <c r="AR210" s="335"/>
      <c r="AS210" s="335"/>
      <c r="AT210" s="335"/>
      <c r="AU210" s="335"/>
      <c r="AV210" s="335"/>
      <c r="AW210" s="335"/>
      <c r="AX210" s="335"/>
      <c r="AY210" s="335"/>
      <c r="AZ210" s="335"/>
      <c r="BA210" s="335"/>
      <c r="BB210" s="335"/>
      <c r="BC210" s="335" t="s">
        <v>1931</v>
      </c>
      <c r="BD210" s="374" t="n">
        <f aca="false">F221</f>
        <v>5.3</v>
      </c>
      <c r="BE210" s="335"/>
    </row>
    <row r="211" customFormat="false" ht="14.15" hidden="true" customHeight="true" outlineLevel="1" collapsed="false">
      <c r="A211" s="402" t="s">
        <v>1932</v>
      </c>
      <c r="B211" s="402" t="s">
        <v>208</v>
      </c>
      <c r="C211" s="402" t="s">
        <v>853</v>
      </c>
      <c r="D211" s="425" t="s">
        <v>1800</v>
      </c>
      <c r="E211" s="347"/>
      <c r="F211" s="382" t="n">
        <v>4.7</v>
      </c>
      <c r="H211" s="349"/>
      <c r="I211" s="349"/>
      <c r="J211" s="349"/>
      <c r="K211" s="358"/>
      <c r="L211" s="358"/>
      <c r="M211" s="358"/>
      <c r="N211" s="358"/>
      <c r="O211" s="358"/>
      <c r="P211" s="358"/>
      <c r="Q211" s="358"/>
      <c r="R211" s="358" t="s">
        <v>1904</v>
      </c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  <c r="AD211" s="358"/>
      <c r="AE211" s="358"/>
      <c r="AF211" s="358"/>
      <c r="AG211" s="358"/>
      <c r="AH211" s="358"/>
      <c r="AI211" s="351"/>
      <c r="AP211" s="351"/>
      <c r="AQ211" s="335"/>
      <c r="AR211" s="335"/>
      <c r="AS211" s="335"/>
      <c r="AT211" s="335"/>
      <c r="AU211" s="335"/>
      <c r="AV211" s="335"/>
      <c r="AW211" s="335"/>
      <c r="AX211" s="335"/>
      <c r="AY211" s="335"/>
      <c r="AZ211" s="335"/>
      <c r="BA211" s="335"/>
      <c r="BB211" s="335"/>
      <c r="BC211" s="335"/>
      <c r="BD211" s="374"/>
      <c r="BE211" s="335"/>
    </row>
    <row r="212" customFormat="false" ht="14.15" hidden="true" customHeight="true" outlineLevel="1" collapsed="false">
      <c r="A212" s="402"/>
      <c r="B212" s="402" t="s">
        <v>156</v>
      </c>
      <c r="C212" s="370"/>
      <c r="D212" s="474"/>
      <c r="E212" s="347"/>
      <c r="F212" s="347"/>
      <c r="H212" s="349"/>
      <c r="I212" s="349"/>
      <c r="J212" s="349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  <c r="AD212" s="358"/>
      <c r="AE212" s="358"/>
      <c r="AF212" s="358"/>
      <c r="AG212" s="358"/>
      <c r="AH212" s="358"/>
      <c r="AI212" s="351"/>
      <c r="AP212" s="351"/>
      <c r="AQ212" s="335"/>
      <c r="AR212" s="335"/>
      <c r="AS212" s="335"/>
      <c r="AT212" s="335"/>
      <c r="AU212" s="335"/>
      <c r="AV212" s="335"/>
      <c r="AW212" s="335"/>
      <c r="AX212" s="335"/>
      <c r="AY212" s="335"/>
      <c r="AZ212" s="335"/>
      <c r="BA212" s="335"/>
      <c r="BB212" s="335"/>
      <c r="BC212" s="335" t="s">
        <v>1933</v>
      </c>
      <c r="BD212" s="374" t="n">
        <f aca="false">F208</f>
        <v>5</v>
      </c>
      <c r="BE212" s="335"/>
    </row>
    <row r="213" customFormat="false" ht="14.15" hidden="true" customHeight="true" outlineLevel="1" collapsed="false">
      <c r="A213" s="324" t="s">
        <v>1901</v>
      </c>
      <c r="B213" s="402" t="s">
        <v>208</v>
      </c>
      <c r="C213" s="402" t="s">
        <v>853</v>
      </c>
      <c r="D213" s="425" t="s">
        <v>1902</v>
      </c>
      <c r="E213" s="347"/>
      <c r="F213" s="347"/>
      <c r="G213" s="347"/>
      <c r="H213" s="349"/>
      <c r="I213" s="349"/>
      <c r="J213" s="349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  <c r="AD213" s="358"/>
      <c r="AE213" s="358"/>
      <c r="AF213" s="358"/>
      <c r="AG213" s="358"/>
      <c r="AH213" s="358"/>
      <c r="AI213" s="351"/>
      <c r="AP213" s="351"/>
      <c r="AQ213" s="335"/>
      <c r="AR213" s="335"/>
      <c r="AS213" s="335"/>
      <c r="AT213" s="335"/>
      <c r="AU213" s="335"/>
      <c r="AV213" s="335"/>
      <c r="AW213" s="335"/>
      <c r="AX213" s="335"/>
      <c r="AY213" s="335"/>
      <c r="AZ213" s="335"/>
      <c r="BA213" s="335"/>
      <c r="BB213" s="335"/>
      <c r="BC213" s="335" t="s">
        <v>1934</v>
      </c>
      <c r="BD213" s="374" t="n">
        <f aca="false">F205</f>
        <v>7.8</v>
      </c>
      <c r="BE213" s="335"/>
    </row>
    <row r="214" customFormat="false" ht="14.15" hidden="true" customHeight="true" outlineLevel="1" collapsed="false">
      <c r="A214" s="470" t="s">
        <v>312</v>
      </c>
      <c r="B214" s="402" t="s">
        <v>156</v>
      </c>
      <c r="C214" s="370"/>
      <c r="D214" s="474"/>
      <c r="E214" s="358"/>
      <c r="G214" s="347"/>
      <c r="H214" s="349"/>
      <c r="I214" s="349"/>
      <c r="J214" s="349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  <c r="AD214" s="358"/>
      <c r="AE214" s="358"/>
      <c r="AF214" s="358"/>
      <c r="AG214" s="358"/>
      <c r="AH214" s="358"/>
      <c r="AI214" s="351"/>
      <c r="AP214" s="351"/>
      <c r="AQ214" s="335"/>
      <c r="AR214" s="335"/>
      <c r="AS214" s="335"/>
      <c r="AT214" s="335"/>
      <c r="AU214" s="335"/>
      <c r="AV214" s="335"/>
      <c r="AW214" s="335"/>
      <c r="AX214" s="335"/>
      <c r="AY214" s="335"/>
      <c r="AZ214" s="335"/>
      <c r="BA214" s="335"/>
      <c r="BB214" s="335"/>
      <c r="BC214" s="335" t="s">
        <v>1935</v>
      </c>
      <c r="BD214" s="374" t="n">
        <f aca="false">F202</f>
        <v>8.1</v>
      </c>
      <c r="BE214" s="335"/>
    </row>
    <row r="215" customFormat="false" ht="14.15" hidden="true" customHeight="true" outlineLevel="1" collapsed="false">
      <c r="A215" s="324" t="s">
        <v>1907</v>
      </c>
      <c r="D215" s="479"/>
      <c r="E215" s="468"/>
      <c r="G215" s="347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71" t="s">
        <v>1899</v>
      </c>
      <c r="W215" s="358"/>
      <c r="X215" s="358"/>
      <c r="Y215" s="358"/>
      <c r="Z215" s="358"/>
      <c r="AA215" s="358"/>
      <c r="AB215" s="358"/>
      <c r="AC215" s="358"/>
      <c r="AD215" s="358"/>
      <c r="AE215" s="358"/>
      <c r="AF215" s="358"/>
      <c r="AG215" s="358"/>
      <c r="AH215" s="358"/>
      <c r="AI215" s="351"/>
      <c r="AP215" s="351"/>
      <c r="AQ215" s="335"/>
      <c r="AR215" s="335"/>
      <c r="AS215" s="335"/>
      <c r="AT215" s="335"/>
      <c r="AU215" s="335"/>
      <c r="AV215" s="335"/>
      <c r="AW215" s="335"/>
      <c r="AX215" s="335"/>
      <c r="AY215" s="335"/>
      <c r="AZ215" s="335"/>
      <c r="BA215" s="335"/>
      <c r="BB215" s="335"/>
      <c r="BC215" s="335" t="s">
        <v>1936</v>
      </c>
      <c r="BD215" s="335" t="n">
        <f aca="false">F217</f>
        <v>60</v>
      </c>
      <c r="BE215" s="335"/>
    </row>
    <row r="216" customFormat="false" ht="14.15" hidden="true" customHeight="true" outlineLevel="1" collapsed="false">
      <c r="A216" s="476" t="s">
        <v>1908</v>
      </c>
      <c r="B216" s="477"/>
      <c r="C216" s="468"/>
      <c r="D216" s="358"/>
      <c r="E216" s="358"/>
      <c r="F216" s="489" t="s">
        <v>1937</v>
      </c>
      <c r="G216" s="412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71"/>
      <c r="W216" s="358"/>
      <c r="X216" s="358"/>
      <c r="Y216" s="358"/>
      <c r="Z216" s="358"/>
      <c r="AA216" s="358"/>
      <c r="AB216" s="358"/>
      <c r="AC216" s="358"/>
      <c r="AD216" s="358"/>
      <c r="AE216" s="358"/>
      <c r="AF216" s="358"/>
      <c r="AG216" s="358"/>
      <c r="AH216" s="358"/>
      <c r="AI216" s="351"/>
      <c r="AP216" s="351"/>
      <c r="AQ216" s="335"/>
      <c r="AR216" s="335"/>
      <c r="AS216" s="335"/>
      <c r="AT216" s="335"/>
      <c r="AU216" s="335"/>
      <c r="AV216" s="335"/>
      <c r="AW216" s="335"/>
      <c r="AX216" s="335"/>
      <c r="AY216" s="335"/>
      <c r="AZ216" s="335"/>
      <c r="BA216" s="335"/>
      <c r="BB216" s="335"/>
      <c r="BC216" s="335"/>
      <c r="BD216" s="335"/>
      <c r="BE216" s="335"/>
    </row>
    <row r="217" customFormat="false" ht="14.15" hidden="true" customHeight="true" outlineLevel="1" collapsed="false">
      <c r="A217" s="324" t="s">
        <v>1909</v>
      </c>
      <c r="D217" s="479"/>
      <c r="E217" s="468"/>
      <c r="F217" s="452" t="n">
        <v>60</v>
      </c>
      <c r="G217" s="412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  <c r="AD217" s="358"/>
      <c r="AE217" s="358"/>
      <c r="AF217" s="358"/>
      <c r="AG217" s="358"/>
      <c r="AH217" s="358"/>
      <c r="AI217" s="351"/>
      <c r="AP217" s="351"/>
      <c r="AQ217" s="335"/>
      <c r="AR217" s="335"/>
      <c r="AS217" s="335"/>
      <c r="AT217" s="335"/>
      <c r="AU217" s="335"/>
      <c r="AV217" s="335"/>
      <c r="AW217" s="335"/>
      <c r="AX217" s="335"/>
      <c r="AY217" s="335"/>
      <c r="AZ217" s="335"/>
      <c r="BA217" s="335"/>
      <c r="BB217" s="335"/>
      <c r="BC217" s="335"/>
      <c r="BD217" s="335"/>
      <c r="BE217" s="335"/>
    </row>
    <row r="218" customFormat="false" ht="14.15" hidden="true" customHeight="true" outlineLevel="1" collapsed="false">
      <c r="A218" s="478" t="s">
        <v>270</v>
      </c>
      <c r="D218" s="479"/>
      <c r="E218" s="468"/>
      <c r="G218" s="412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  <c r="AD218" s="358"/>
      <c r="AE218" s="358"/>
      <c r="AF218" s="358"/>
      <c r="AG218" s="358"/>
      <c r="AH218" s="358"/>
      <c r="AI218" s="351"/>
      <c r="AJ218" s="347"/>
      <c r="AK218" s="347"/>
      <c r="AL218" s="347"/>
      <c r="AM218" s="347"/>
      <c r="AN218" s="347"/>
      <c r="AO218" s="351"/>
      <c r="AP218" s="351"/>
      <c r="AQ218" s="335"/>
      <c r="AR218" s="335"/>
      <c r="AS218" s="335"/>
      <c r="AT218" s="335"/>
      <c r="AU218" s="335"/>
      <c r="AV218" s="335"/>
      <c r="AW218" s="335"/>
      <c r="AX218" s="335"/>
      <c r="AY218" s="335"/>
      <c r="AZ218" s="335"/>
      <c r="BA218" s="335"/>
      <c r="BB218" s="335"/>
      <c r="BC218" s="335"/>
      <c r="BD218" s="335"/>
      <c r="BE218" s="335"/>
    </row>
    <row r="219" customFormat="false" ht="14.15" hidden="true" customHeight="true" outlineLevel="1" collapsed="false">
      <c r="A219" s="324" t="s">
        <v>1910</v>
      </c>
      <c r="D219" s="479"/>
      <c r="E219" s="468"/>
      <c r="F219" s="468"/>
      <c r="G219" s="412"/>
      <c r="H219" s="412"/>
      <c r="I219" s="412"/>
      <c r="J219" s="412"/>
      <c r="K219" s="412"/>
      <c r="L219" s="412"/>
      <c r="N219" s="358"/>
      <c r="O219" s="412"/>
      <c r="P219" s="412"/>
      <c r="Q219" s="412"/>
      <c r="R219" s="412"/>
      <c r="S219" s="412"/>
      <c r="T219" s="412"/>
      <c r="U219" s="412"/>
      <c r="V219" s="412"/>
      <c r="W219" s="412"/>
      <c r="X219" s="412"/>
      <c r="Y219" s="358"/>
      <c r="Z219" s="358"/>
      <c r="AA219" s="358"/>
      <c r="AB219" s="358"/>
      <c r="AC219" s="358"/>
      <c r="AD219" s="358"/>
      <c r="AE219" s="358"/>
      <c r="AF219" s="358"/>
      <c r="AG219" s="358"/>
      <c r="AH219" s="358"/>
      <c r="AI219" s="351"/>
      <c r="AJ219" s="347"/>
      <c r="AK219" s="347"/>
      <c r="AL219" s="347"/>
      <c r="AM219" s="347"/>
      <c r="AN219" s="347"/>
      <c r="AO219" s="351"/>
      <c r="AP219" s="351"/>
      <c r="AQ219" s="335"/>
      <c r="AR219" s="335"/>
      <c r="AS219" s="335"/>
      <c r="AT219" s="335"/>
      <c r="AU219" s="335"/>
      <c r="AV219" s="335"/>
      <c r="AW219" s="335"/>
      <c r="AX219" s="335"/>
      <c r="AY219" s="335"/>
      <c r="AZ219" s="335"/>
      <c r="BA219" s="335"/>
      <c r="BB219" s="335"/>
      <c r="BC219" s="335"/>
      <c r="BD219" s="335"/>
      <c r="BE219" s="335"/>
    </row>
    <row r="220" customFormat="false" ht="14.15" hidden="true" customHeight="true" outlineLevel="1" collapsed="false">
      <c r="A220" s="478" t="s">
        <v>277</v>
      </c>
      <c r="D220" s="479"/>
      <c r="E220" s="468"/>
      <c r="F220" s="489" t="s">
        <v>156</v>
      </c>
      <c r="G220" s="412"/>
      <c r="H220" s="412"/>
      <c r="I220" s="412"/>
      <c r="J220" s="412"/>
      <c r="K220" s="412"/>
      <c r="L220" s="412"/>
      <c r="M220" s="358"/>
      <c r="N220" s="358"/>
      <c r="O220" s="412"/>
      <c r="P220" s="412"/>
      <c r="Q220" s="412"/>
      <c r="R220" s="412"/>
      <c r="S220" s="412"/>
      <c r="T220" s="412"/>
      <c r="U220" s="412"/>
      <c r="V220" s="412"/>
      <c r="W220" s="412"/>
      <c r="X220" s="412"/>
      <c r="Y220" s="358"/>
      <c r="Z220" s="358"/>
      <c r="AA220" s="358"/>
      <c r="AB220" s="358"/>
      <c r="AC220" s="358"/>
      <c r="AD220" s="358"/>
      <c r="AE220" s="358"/>
      <c r="AF220" s="358"/>
      <c r="AG220" s="358"/>
      <c r="AH220" s="358"/>
      <c r="AI220" s="351"/>
      <c r="AJ220" s="347"/>
      <c r="AK220" s="347"/>
      <c r="AL220" s="347"/>
      <c r="AM220" s="347"/>
      <c r="AN220" s="347"/>
      <c r="AO220" s="351"/>
      <c r="AP220" s="351"/>
      <c r="AQ220" s="335"/>
      <c r="AR220" s="335"/>
      <c r="AS220" s="335"/>
      <c r="AT220" s="335"/>
      <c r="AU220" s="335"/>
      <c r="AV220" s="335"/>
      <c r="AW220" s="335"/>
      <c r="AX220" s="335"/>
      <c r="AY220" s="335"/>
      <c r="AZ220" s="335"/>
      <c r="BA220" s="335"/>
      <c r="BB220" s="335"/>
      <c r="BC220" s="335"/>
      <c r="BD220" s="335"/>
      <c r="BE220" s="335"/>
    </row>
    <row r="221" customFormat="false" ht="14.15" hidden="true" customHeight="true" outlineLevel="1" collapsed="false">
      <c r="A221" s="324" t="s">
        <v>1911</v>
      </c>
      <c r="D221" s="479"/>
      <c r="E221" s="468"/>
      <c r="F221" s="349" t="n">
        <f aca="false">H5</f>
        <v>5.3</v>
      </c>
      <c r="G221" s="412"/>
      <c r="AJ221" s="347"/>
      <c r="AK221" s="347"/>
      <c r="AL221" s="347"/>
      <c r="AM221" s="347"/>
      <c r="AN221" s="347"/>
      <c r="AO221" s="351"/>
      <c r="AP221" s="351"/>
      <c r="AQ221" s="335"/>
      <c r="AR221" s="335"/>
      <c r="AS221" s="335"/>
      <c r="AT221" s="335"/>
      <c r="AU221" s="335"/>
      <c r="AV221" s="335"/>
      <c r="AW221" s="335"/>
      <c r="AX221" s="335"/>
      <c r="AY221" s="335"/>
      <c r="AZ221" s="335"/>
      <c r="BA221" s="335"/>
      <c r="BB221" s="335"/>
      <c r="BC221" s="335"/>
      <c r="BD221" s="335"/>
      <c r="BE221" s="335"/>
    </row>
    <row r="222" customFormat="false" ht="14.15" hidden="true" customHeight="true" outlineLevel="1" collapsed="false">
      <c r="A222" s="480" t="s">
        <v>977</v>
      </c>
      <c r="D222" s="479"/>
      <c r="E222" s="468"/>
      <c r="F222" s="468"/>
      <c r="G222" s="412"/>
      <c r="AJ222" s="347"/>
      <c r="AK222" s="347"/>
      <c r="AL222" s="347"/>
      <c r="AM222" s="347"/>
      <c r="AN222" s="347"/>
      <c r="AO222" s="351"/>
      <c r="AP222" s="351"/>
      <c r="AQ222" s="335"/>
      <c r="AR222" s="335"/>
      <c r="AS222" s="335"/>
      <c r="AT222" s="335"/>
      <c r="AU222" s="335"/>
      <c r="AV222" s="335"/>
      <c r="AW222" s="335"/>
      <c r="AX222" s="335"/>
      <c r="AY222" s="335"/>
      <c r="AZ222" s="335"/>
      <c r="BA222" s="335"/>
      <c r="BB222" s="335"/>
      <c r="BC222" s="335"/>
      <c r="BD222" s="335"/>
      <c r="BE222" s="335"/>
    </row>
    <row r="223" customFormat="false" ht="14.15" hidden="true" customHeight="true" outlineLevel="1" collapsed="false">
      <c r="A223" s="324" t="s">
        <v>1913</v>
      </c>
      <c r="D223" s="479"/>
      <c r="E223" s="468"/>
      <c r="F223" s="468"/>
      <c r="G223" s="412"/>
      <c r="AJ223" s="347"/>
      <c r="AK223" s="347"/>
      <c r="AL223" s="347"/>
      <c r="AM223" s="347"/>
      <c r="AN223" s="347"/>
      <c r="AO223" s="351"/>
      <c r="AP223" s="351"/>
      <c r="AQ223" s="335"/>
      <c r="AR223" s="335"/>
      <c r="AS223" s="335"/>
      <c r="AT223" s="335"/>
      <c r="AU223" s="335"/>
      <c r="AV223" s="335"/>
      <c r="AW223" s="335"/>
      <c r="AX223" s="335"/>
      <c r="AY223" s="335"/>
      <c r="AZ223" s="335"/>
      <c r="BA223" s="335"/>
      <c r="BB223" s="335"/>
      <c r="BC223" s="335"/>
      <c r="BD223" s="335"/>
      <c r="BE223" s="335"/>
    </row>
    <row r="224" customFormat="false" ht="14.15" hidden="true" customHeight="true" outlineLevel="1" collapsed="false">
      <c r="A224" s="481" t="s">
        <v>708</v>
      </c>
      <c r="B224" s="477"/>
      <c r="C224" s="468"/>
      <c r="D224" s="479"/>
      <c r="E224" s="468"/>
      <c r="F224" s="468"/>
      <c r="G224" s="412"/>
      <c r="AJ224" s="347"/>
      <c r="AK224" s="347"/>
      <c r="AL224" s="347"/>
      <c r="AM224" s="347"/>
      <c r="AN224" s="347"/>
      <c r="AO224" s="351"/>
      <c r="AP224" s="351"/>
      <c r="AQ224" s="335"/>
      <c r="AR224" s="335"/>
      <c r="AS224" s="335"/>
      <c r="AT224" s="335"/>
      <c r="AU224" s="335"/>
      <c r="AV224" s="335"/>
      <c r="AW224" s="335"/>
      <c r="AX224" s="335"/>
      <c r="AY224" s="335"/>
      <c r="AZ224" s="335"/>
      <c r="BA224" s="335"/>
      <c r="BB224" s="335"/>
      <c r="BC224" s="335"/>
      <c r="BD224" s="335"/>
      <c r="BE224" s="335"/>
    </row>
    <row r="225" customFormat="false" ht="14.15" hidden="true" customHeight="true" outlineLevel="1" collapsed="false">
      <c r="A225" s="261" t="s">
        <v>1914</v>
      </c>
      <c r="B225" s="404" t="s">
        <v>159</v>
      </c>
      <c r="C225" s="265" t="n">
        <v>0</v>
      </c>
      <c r="D225" s="358"/>
      <c r="E225" s="479"/>
      <c r="F225" s="479"/>
      <c r="G225" s="347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7"/>
      <c r="AD225" s="347"/>
      <c r="AE225" s="347"/>
      <c r="AF225" s="347"/>
      <c r="AG225" s="347"/>
      <c r="AH225" s="347"/>
      <c r="AI225" s="347"/>
      <c r="AJ225" s="347"/>
      <c r="AK225" s="347"/>
      <c r="AL225" s="347"/>
      <c r="AM225" s="347"/>
      <c r="AN225" s="347"/>
      <c r="AO225" s="351"/>
      <c r="AP225" s="351"/>
      <c r="AQ225" s="335"/>
      <c r="AR225" s="335"/>
      <c r="AS225" s="335"/>
      <c r="AT225" s="335"/>
      <c r="AU225" s="335"/>
      <c r="AV225" s="335"/>
      <c r="AW225" s="335"/>
      <c r="AX225" s="335"/>
      <c r="AY225" s="335"/>
      <c r="AZ225" s="335"/>
      <c r="BA225" s="335"/>
      <c r="BB225" s="335"/>
      <c r="BC225" s="335"/>
      <c r="BD225" s="335"/>
      <c r="BE225" s="335"/>
    </row>
    <row r="226" customFormat="false" ht="14.15" hidden="true" customHeight="true" outlineLevel="1" collapsed="false">
      <c r="A226" s="482" t="s">
        <v>1915</v>
      </c>
      <c r="B226" s="483" t="s">
        <v>159</v>
      </c>
      <c r="C226" s="484" t="n">
        <v>0</v>
      </c>
      <c r="D226" s="347"/>
      <c r="E226" s="347"/>
      <c r="F226" s="347"/>
      <c r="G226" s="347"/>
      <c r="H226" s="347"/>
      <c r="I226" s="492"/>
      <c r="J226" s="347"/>
      <c r="K226" s="347"/>
      <c r="L226" s="347"/>
      <c r="M226" s="347"/>
      <c r="N226" s="347"/>
      <c r="O226" s="412"/>
      <c r="P226" s="412"/>
      <c r="Q226" s="412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7"/>
      <c r="AD226" s="347"/>
      <c r="AE226" s="347"/>
      <c r="AF226" s="347"/>
      <c r="AG226" s="347"/>
      <c r="AH226" s="347"/>
      <c r="AI226" s="347"/>
      <c r="AJ226" s="347"/>
      <c r="AK226" s="347"/>
      <c r="AL226" s="412"/>
      <c r="AM226" s="412"/>
      <c r="AN226" s="412"/>
      <c r="AO226" s="493"/>
      <c r="AP226" s="351"/>
      <c r="AQ226" s="335"/>
      <c r="AR226" s="335"/>
      <c r="AS226" s="335"/>
      <c r="AT226" s="335"/>
      <c r="AU226" s="335"/>
      <c r="AV226" s="335"/>
      <c r="AW226" s="335"/>
      <c r="AX226" s="335"/>
      <c r="AY226" s="335"/>
      <c r="AZ226" s="335"/>
      <c r="BA226" s="335"/>
      <c r="BB226" s="335"/>
      <c r="BC226" s="335"/>
      <c r="BD226" s="335"/>
      <c r="BE226" s="335"/>
    </row>
    <row r="227" customFormat="false" ht="14.15" hidden="true" customHeight="true" outlineLevel="1" collapsed="false">
      <c r="A227" s="485" t="s">
        <v>1916</v>
      </c>
      <c r="B227" s="404" t="s">
        <v>159</v>
      </c>
      <c r="C227" s="265" t="n">
        <v>0</v>
      </c>
      <c r="D227" s="347"/>
      <c r="E227" s="347"/>
      <c r="F227" s="347"/>
      <c r="G227" s="347"/>
      <c r="H227" s="347"/>
      <c r="I227" s="492"/>
      <c r="J227" s="347"/>
      <c r="K227" s="347"/>
      <c r="L227" s="347"/>
      <c r="M227" s="347"/>
      <c r="N227" s="347"/>
      <c r="O227" s="412"/>
      <c r="P227" s="412"/>
      <c r="Q227" s="412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7"/>
      <c r="AD227" s="347"/>
      <c r="AE227" s="347"/>
      <c r="AF227" s="347"/>
      <c r="AG227" s="347"/>
      <c r="AH227" s="347"/>
      <c r="AI227" s="347"/>
      <c r="AJ227" s="347"/>
      <c r="AK227" s="347"/>
      <c r="AL227" s="412"/>
      <c r="AM227" s="412"/>
      <c r="AN227" s="412"/>
      <c r="AO227" s="493"/>
      <c r="AP227" s="351"/>
      <c r="AQ227" s="335"/>
      <c r="AR227" s="335"/>
      <c r="AS227" s="335"/>
      <c r="AT227" s="335"/>
      <c r="AU227" s="335"/>
      <c r="AV227" s="335"/>
      <c r="AW227" s="335"/>
      <c r="AX227" s="335"/>
      <c r="AY227" s="335"/>
      <c r="AZ227" s="335"/>
      <c r="BA227" s="335"/>
      <c r="BB227" s="335"/>
      <c r="BC227" s="335"/>
      <c r="BD227" s="335"/>
      <c r="BE227" s="335"/>
    </row>
    <row r="228" customFormat="false" ht="14.15" hidden="true" customHeight="true" outlineLevel="1" collapsed="false">
      <c r="A228" s="324" t="s">
        <v>1917</v>
      </c>
      <c r="D228" s="347"/>
      <c r="E228" s="347"/>
      <c r="F228" s="347"/>
      <c r="G228" s="347"/>
      <c r="H228" s="347"/>
      <c r="I228" s="492"/>
      <c r="J228" s="347"/>
      <c r="K228" s="347"/>
      <c r="L228" s="347"/>
      <c r="M228" s="347"/>
      <c r="N228" s="347"/>
      <c r="O228" s="412"/>
      <c r="P228" s="412"/>
      <c r="Q228" s="412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7"/>
      <c r="AD228" s="347"/>
      <c r="AE228" s="347"/>
      <c r="AF228" s="347"/>
      <c r="AG228" s="347"/>
      <c r="AH228" s="347"/>
      <c r="AI228" s="347"/>
      <c r="AJ228" s="347"/>
      <c r="AK228" s="347"/>
      <c r="AL228" s="412"/>
      <c r="AM228" s="412"/>
      <c r="AN228" s="412"/>
      <c r="AO228" s="493"/>
      <c r="AP228" s="351"/>
      <c r="AQ228" s="335"/>
      <c r="AR228" s="335"/>
      <c r="AS228" s="335"/>
      <c r="AT228" s="335"/>
      <c r="AU228" s="335"/>
      <c r="AV228" s="335"/>
      <c r="AW228" s="335"/>
      <c r="AX228" s="335"/>
      <c r="AY228" s="335"/>
      <c r="AZ228" s="335"/>
      <c r="BA228" s="335"/>
      <c r="BB228" s="335"/>
      <c r="BC228" s="335"/>
      <c r="BD228" s="335"/>
      <c r="BE228" s="335"/>
    </row>
    <row r="229" customFormat="false" ht="14.15" hidden="true" customHeight="true" outlineLevel="1" collapsed="false">
      <c r="A229" s="478" t="s">
        <v>1938</v>
      </c>
      <c r="B229" s="324"/>
      <c r="D229" s="347"/>
      <c r="E229" s="347"/>
      <c r="F229" s="347"/>
      <c r="G229" s="347"/>
      <c r="H229" s="347"/>
      <c r="I229" s="492"/>
      <c r="J229" s="347"/>
      <c r="K229" s="347"/>
      <c r="L229" s="347"/>
      <c r="M229" s="347"/>
      <c r="N229" s="347"/>
      <c r="O229" s="412"/>
      <c r="P229" s="412"/>
      <c r="Q229" s="412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7"/>
      <c r="AD229" s="347"/>
      <c r="AE229" s="347"/>
      <c r="AF229" s="347"/>
      <c r="AG229" s="347"/>
      <c r="AH229" s="347"/>
      <c r="AI229" s="347"/>
      <c r="AJ229" s="347"/>
      <c r="AK229" s="347"/>
      <c r="AL229" s="412"/>
      <c r="AM229" s="412"/>
      <c r="AN229" s="412"/>
      <c r="AO229" s="493"/>
      <c r="AP229" s="351"/>
      <c r="AQ229" s="335"/>
      <c r="AR229" s="335"/>
      <c r="AS229" s="335"/>
      <c r="AT229" s="335"/>
      <c r="AU229" s="335"/>
      <c r="AV229" s="335"/>
      <c r="AW229" s="335"/>
      <c r="AX229" s="335"/>
      <c r="AY229" s="335"/>
      <c r="AZ229" s="335"/>
      <c r="BA229" s="335"/>
      <c r="BB229" s="335"/>
      <c r="BC229" s="335"/>
      <c r="BD229" s="335"/>
      <c r="BE229" s="335"/>
    </row>
    <row r="230" customFormat="false" ht="14.15" hidden="true" customHeight="true" outlineLevel="1" collapsed="false">
      <c r="A230" s="486" t="s">
        <v>1919</v>
      </c>
      <c r="B230" s="324"/>
      <c r="D230" s="347"/>
      <c r="E230" s="347"/>
      <c r="F230" s="347"/>
      <c r="G230" s="347"/>
      <c r="H230" s="347"/>
      <c r="I230" s="492"/>
      <c r="J230" s="347"/>
      <c r="K230" s="347"/>
      <c r="L230" s="347"/>
      <c r="M230" s="347"/>
      <c r="N230" s="347"/>
      <c r="O230" s="412"/>
      <c r="P230" s="412"/>
      <c r="Q230" s="412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7"/>
      <c r="AD230" s="347"/>
      <c r="AE230" s="347"/>
      <c r="AF230" s="347"/>
      <c r="AG230" s="347"/>
      <c r="AH230" s="347"/>
      <c r="AI230" s="347"/>
      <c r="AJ230" s="347"/>
      <c r="AK230" s="347"/>
      <c r="AL230" s="412"/>
      <c r="AM230" s="412"/>
      <c r="AN230" s="412"/>
      <c r="AO230" s="493"/>
      <c r="AP230" s="351"/>
      <c r="AQ230" s="335"/>
      <c r="AR230" s="335"/>
      <c r="AS230" s="335"/>
      <c r="AT230" s="335"/>
      <c r="AU230" s="335"/>
      <c r="AV230" s="335"/>
      <c r="AW230" s="335"/>
      <c r="AX230" s="335"/>
      <c r="AY230" s="335"/>
      <c r="AZ230" s="335"/>
      <c r="BA230" s="335"/>
      <c r="BB230" s="335"/>
      <c r="BC230" s="335"/>
      <c r="BD230" s="335"/>
      <c r="BE230" s="335"/>
    </row>
    <row r="231" customFormat="false" ht="14.15" hidden="true" customHeight="true" outlineLevel="1" collapsed="false">
      <c r="A231" s="478" t="s">
        <v>1939</v>
      </c>
      <c r="B231" s="324"/>
      <c r="D231" s="347"/>
      <c r="E231" s="347"/>
      <c r="F231" s="347"/>
      <c r="G231" s="347"/>
      <c r="H231" s="347"/>
      <c r="I231" s="492"/>
      <c r="J231" s="347"/>
      <c r="K231" s="347"/>
      <c r="L231" s="347"/>
      <c r="M231" s="347"/>
      <c r="N231" s="347"/>
      <c r="O231" s="412"/>
      <c r="P231" s="412"/>
      <c r="Q231" s="412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7"/>
      <c r="AD231" s="347"/>
      <c r="AE231" s="347"/>
      <c r="AF231" s="347"/>
      <c r="AG231" s="347"/>
      <c r="AH231" s="347"/>
      <c r="AI231" s="347"/>
      <c r="AJ231" s="347"/>
      <c r="AK231" s="347"/>
      <c r="AL231" s="412"/>
      <c r="AM231" s="412"/>
      <c r="AN231" s="412"/>
      <c r="AO231" s="493"/>
      <c r="AP231" s="351"/>
      <c r="AQ231" s="335"/>
      <c r="AR231" s="335"/>
      <c r="AS231" s="335"/>
      <c r="AT231" s="335"/>
      <c r="AU231" s="335"/>
      <c r="AV231" s="335"/>
      <c r="AW231" s="335"/>
      <c r="AX231" s="335"/>
      <c r="AY231" s="335"/>
      <c r="AZ231" s="335"/>
      <c r="BA231" s="335"/>
      <c r="BB231" s="335"/>
      <c r="BC231" s="335"/>
      <c r="BD231" s="335"/>
      <c r="BE231" s="335"/>
    </row>
    <row r="232" customFormat="false" ht="14.15" hidden="true" customHeight="true" outlineLevel="1" collapsed="false">
      <c r="A232" s="324" t="s">
        <v>1922</v>
      </c>
      <c r="D232" s="347"/>
      <c r="E232" s="347"/>
      <c r="F232" s="347"/>
      <c r="G232" s="347"/>
      <c r="H232" s="347"/>
      <c r="I232" s="492"/>
      <c r="J232" s="347"/>
      <c r="K232" s="347"/>
      <c r="L232" s="347"/>
      <c r="M232" s="347"/>
      <c r="N232" s="347"/>
      <c r="O232" s="412"/>
      <c r="P232" s="412"/>
      <c r="Q232" s="412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7"/>
      <c r="AD232" s="347"/>
      <c r="AE232" s="347"/>
      <c r="AF232" s="347"/>
      <c r="AG232" s="347"/>
      <c r="AH232" s="347"/>
      <c r="AI232" s="347"/>
      <c r="AJ232" s="347"/>
      <c r="AK232" s="347"/>
      <c r="AL232" s="412"/>
      <c r="AM232" s="412"/>
      <c r="AN232" s="412"/>
      <c r="AO232" s="493"/>
      <c r="AP232" s="351"/>
      <c r="AQ232" s="335"/>
      <c r="AR232" s="335"/>
      <c r="AS232" s="335"/>
      <c r="AT232" s="335"/>
      <c r="AU232" s="335"/>
      <c r="AV232" s="335"/>
      <c r="AW232" s="335"/>
      <c r="AX232" s="335"/>
      <c r="AY232" s="335"/>
      <c r="AZ232" s="335"/>
      <c r="BA232" s="335"/>
      <c r="BB232" s="335"/>
      <c r="BC232" s="335"/>
      <c r="BD232" s="335"/>
      <c r="BE232" s="335"/>
    </row>
    <row r="233" customFormat="false" ht="14.15" hidden="true" customHeight="true" outlineLevel="1" collapsed="false">
      <c r="A233" s="403" t="s">
        <v>152</v>
      </c>
      <c r="B233" s="404" t="s">
        <v>1793</v>
      </c>
      <c r="C233" s="378" t="n">
        <v>4</v>
      </c>
      <c r="D233" s="347"/>
      <c r="E233" s="347"/>
      <c r="F233" s="347"/>
      <c r="G233" s="347"/>
      <c r="H233" s="347"/>
      <c r="I233" s="492"/>
      <c r="J233" s="347"/>
      <c r="K233" s="347"/>
      <c r="L233" s="347"/>
      <c r="M233" s="347"/>
      <c r="N233" s="347"/>
      <c r="O233" s="412"/>
      <c r="P233" s="412"/>
      <c r="Q233" s="412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7"/>
      <c r="AD233" s="347"/>
      <c r="AE233" s="347"/>
      <c r="AF233" s="347"/>
      <c r="AG233" s="347"/>
      <c r="AH233" s="347"/>
      <c r="AI233" s="347"/>
      <c r="AJ233" s="347"/>
      <c r="AK233" s="347"/>
      <c r="AL233" s="412"/>
      <c r="AM233" s="412"/>
      <c r="AN233" s="412"/>
      <c r="AO233" s="493"/>
      <c r="AP233" s="351"/>
      <c r="AQ233" s="335"/>
      <c r="AR233" s="335"/>
      <c r="AS233" s="335"/>
      <c r="AT233" s="335"/>
      <c r="AU233" s="335"/>
      <c r="AV233" s="335"/>
      <c r="AW233" s="335"/>
      <c r="AX233" s="335"/>
      <c r="AY233" s="335"/>
      <c r="AZ233" s="335"/>
      <c r="BA233" s="335"/>
      <c r="BB233" s="335"/>
      <c r="BC233" s="335"/>
      <c r="BD233" s="335"/>
      <c r="BE233" s="335"/>
    </row>
    <row r="234" customFormat="false" ht="14.15" hidden="true" customHeight="true" outlineLevel="1" collapsed="false">
      <c r="A234" s="401" t="s">
        <v>152</v>
      </c>
      <c r="B234" s="404" t="s">
        <v>1793</v>
      </c>
      <c r="C234" s="370" t="n">
        <v>0</v>
      </c>
      <c r="D234" s="347"/>
      <c r="E234" s="347"/>
      <c r="F234" s="347"/>
      <c r="G234" s="347"/>
      <c r="H234" s="347"/>
      <c r="I234" s="492"/>
      <c r="J234" s="347"/>
      <c r="K234" s="347"/>
      <c r="L234" s="347"/>
      <c r="M234" s="347"/>
      <c r="N234" s="347"/>
      <c r="O234" s="412"/>
      <c r="P234" s="412"/>
      <c r="Q234" s="412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7"/>
      <c r="AD234" s="347"/>
      <c r="AE234" s="347"/>
      <c r="AF234" s="347"/>
      <c r="AG234" s="347"/>
      <c r="AH234" s="347"/>
      <c r="AI234" s="347"/>
      <c r="AJ234" s="347"/>
      <c r="AK234" s="347"/>
      <c r="AL234" s="412"/>
      <c r="AM234" s="412"/>
      <c r="AN234" s="412"/>
      <c r="AO234" s="493"/>
      <c r="AP234" s="351"/>
      <c r="AQ234" s="335"/>
      <c r="AR234" s="335"/>
      <c r="AS234" s="335"/>
      <c r="AT234" s="335"/>
      <c r="AU234" s="335"/>
      <c r="AV234" s="335"/>
      <c r="AW234" s="335"/>
      <c r="AX234" s="335"/>
      <c r="AY234" s="335"/>
      <c r="AZ234" s="335"/>
      <c r="BA234" s="335"/>
      <c r="BB234" s="335"/>
      <c r="BC234" s="335"/>
      <c r="BD234" s="335"/>
      <c r="BE234" s="335"/>
    </row>
    <row r="235" customFormat="false" ht="14.15" hidden="true" customHeight="true" outlineLevel="1" collapsed="false">
      <c r="D235" s="347"/>
      <c r="E235" s="347"/>
      <c r="F235" s="347"/>
      <c r="G235" s="347"/>
      <c r="H235" s="347"/>
      <c r="I235" s="492"/>
      <c r="J235" s="347"/>
      <c r="K235" s="347"/>
      <c r="L235" s="347"/>
      <c r="M235" s="347"/>
      <c r="N235" s="347"/>
      <c r="O235" s="412"/>
      <c r="P235" s="412"/>
      <c r="Q235" s="412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7"/>
      <c r="AD235" s="347"/>
      <c r="AE235" s="347"/>
      <c r="AF235" s="347"/>
      <c r="AG235" s="347"/>
      <c r="AH235" s="347"/>
      <c r="AI235" s="347"/>
      <c r="AJ235" s="347"/>
      <c r="AK235" s="347"/>
      <c r="AL235" s="412"/>
      <c r="AM235" s="412"/>
      <c r="AN235" s="412"/>
      <c r="AO235" s="493"/>
      <c r="AP235" s="351"/>
      <c r="AQ235" s="335"/>
      <c r="AR235" s="335"/>
      <c r="AS235" s="335"/>
      <c r="AT235" s="335"/>
      <c r="AU235" s="335"/>
      <c r="AV235" s="335"/>
      <c r="AW235" s="335"/>
      <c r="AX235" s="335"/>
      <c r="AY235" s="335"/>
      <c r="AZ235" s="335"/>
      <c r="BA235" s="335"/>
      <c r="BB235" s="335"/>
      <c r="BC235" s="335"/>
      <c r="BD235" s="335"/>
      <c r="BE235" s="335"/>
    </row>
    <row r="236" customFormat="false" ht="14.15" hidden="true" customHeight="true" outlineLevel="1" collapsed="false">
      <c r="A236" s="405" t="s">
        <v>1940</v>
      </c>
      <c r="B236" s="404" t="s">
        <v>1796</v>
      </c>
      <c r="C236" s="488" t="n">
        <v>0</v>
      </c>
      <c r="D236" s="347"/>
      <c r="E236" s="347"/>
      <c r="F236" s="347"/>
      <c r="G236" s="347"/>
      <c r="H236" s="347"/>
      <c r="I236" s="492"/>
      <c r="J236" s="347"/>
      <c r="K236" s="347"/>
      <c r="L236" s="347"/>
      <c r="M236" s="347"/>
      <c r="N236" s="347"/>
      <c r="O236" s="412"/>
      <c r="P236" s="412"/>
      <c r="Q236" s="412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7"/>
      <c r="AD236" s="347"/>
      <c r="AE236" s="347"/>
      <c r="AF236" s="347"/>
      <c r="AG236" s="347"/>
      <c r="AH236" s="347"/>
      <c r="AI236" s="347"/>
      <c r="AJ236" s="347"/>
      <c r="AK236" s="347"/>
      <c r="AL236" s="412"/>
      <c r="AM236" s="412"/>
      <c r="AN236" s="412"/>
      <c r="AO236" s="493"/>
      <c r="AP236" s="351"/>
      <c r="AQ236" s="335"/>
      <c r="AR236" s="335"/>
      <c r="AS236" s="335"/>
      <c r="AT236" s="335"/>
      <c r="AU236" s="335"/>
      <c r="AV236" s="335"/>
      <c r="AW236" s="335"/>
      <c r="AX236" s="335"/>
      <c r="AY236" s="335"/>
      <c r="AZ236" s="335"/>
      <c r="BA236" s="335"/>
      <c r="BB236" s="335"/>
      <c r="BC236" s="335"/>
      <c r="BD236" s="335"/>
      <c r="BE236" s="335"/>
    </row>
    <row r="237" customFormat="false" ht="14.15" hidden="false" customHeight="true" outlineLevel="0" collapsed="false">
      <c r="A237" s="408" t="s">
        <v>1941</v>
      </c>
      <c r="B237" s="408"/>
      <c r="C237" s="408"/>
      <c r="D237" s="408"/>
      <c r="E237" s="408"/>
      <c r="F237" s="409" t="s">
        <v>1798</v>
      </c>
      <c r="G237" s="347"/>
      <c r="H237" s="347"/>
      <c r="I237" s="492"/>
      <c r="J237" s="347"/>
      <c r="K237" s="347"/>
      <c r="L237" s="347"/>
      <c r="M237" s="347"/>
      <c r="N237" s="347"/>
      <c r="O237" s="412"/>
      <c r="P237" s="412"/>
      <c r="Q237" s="412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7"/>
      <c r="AD237" s="347"/>
      <c r="AE237" s="347"/>
      <c r="AF237" s="347"/>
      <c r="AG237" s="347"/>
      <c r="AH237" s="347"/>
      <c r="AI237" s="347"/>
      <c r="AJ237" s="347"/>
      <c r="AK237" s="347"/>
      <c r="AL237" s="412"/>
      <c r="AM237" s="412"/>
      <c r="AN237" s="412"/>
      <c r="AO237" s="493"/>
      <c r="AP237" s="351"/>
      <c r="AQ237" s="335"/>
      <c r="AR237" s="335"/>
      <c r="AS237" s="335"/>
      <c r="AT237" s="335"/>
      <c r="AU237" s="335"/>
      <c r="AV237" s="335"/>
      <c r="AW237" s="335"/>
      <c r="AX237" s="335"/>
      <c r="AY237" s="335"/>
      <c r="AZ237" s="335"/>
      <c r="BA237" s="335"/>
      <c r="BB237" s="335"/>
      <c r="BC237" s="335"/>
      <c r="BD237" s="335"/>
      <c r="BE237" s="335"/>
    </row>
    <row r="238" customFormat="false" ht="14.15" hidden="false" customHeight="true" outlineLevel="0" collapsed="false">
      <c r="A238" s="347"/>
      <c r="B238" s="450"/>
      <c r="C238" s="347"/>
      <c r="D238" s="347"/>
      <c r="E238" s="347"/>
      <c r="F238" s="347"/>
      <c r="G238" s="347"/>
      <c r="H238" s="347"/>
      <c r="I238" s="492"/>
      <c r="J238" s="347"/>
      <c r="K238" s="347"/>
      <c r="L238" s="347"/>
      <c r="M238" s="347"/>
      <c r="N238" s="347"/>
      <c r="O238" s="412"/>
      <c r="P238" s="412"/>
      <c r="Q238" s="412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7"/>
      <c r="AD238" s="347"/>
      <c r="AE238" s="347"/>
      <c r="AF238" s="347"/>
      <c r="AG238" s="347"/>
      <c r="AH238" s="347"/>
      <c r="AI238" s="347"/>
      <c r="AJ238" s="347"/>
      <c r="AK238" s="347"/>
      <c r="AL238" s="412"/>
      <c r="AM238" s="412"/>
      <c r="AN238" s="412"/>
      <c r="AO238" s="493"/>
      <c r="AP238" s="351"/>
      <c r="AQ238" s="335"/>
      <c r="AR238" s="335"/>
      <c r="AS238" s="335"/>
      <c r="AT238" s="335"/>
      <c r="AU238" s="335"/>
      <c r="AV238" s="335"/>
      <c r="AW238" s="335"/>
      <c r="AX238" s="335"/>
      <c r="AY238" s="335"/>
      <c r="AZ238" s="335"/>
      <c r="BA238" s="335"/>
      <c r="BB238" s="335"/>
      <c r="BC238" s="335"/>
      <c r="BD238" s="335"/>
      <c r="BE238" s="335"/>
    </row>
    <row r="239" customFormat="false" ht="14.15" hidden="true" customHeight="true" outlineLevel="1" collapsed="false">
      <c r="A239" s="460" t="s">
        <v>1942</v>
      </c>
      <c r="B239" s="460"/>
      <c r="C239" s="460"/>
      <c r="D239" s="460"/>
      <c r="E239" s="460"/>
      <c r="H239" s="347"/>
      <c r="I239" s="492"/>
      <c r="J239" s="411" t="s">
        <v>1942</v>
      </c>
      <c r="K239" s="411"/>
      <c r="L239" s="411"/>
      <c r="M239" s="411"/>
      <c r="N239" s="411"/>
      <c r="O239" s="411"/>
      <c r="P239" s="411"/>
      <c r="Q239" s="411"/>
      <c r="R239" s="411"/>
      <c r="S239" s="411"/>
      <c r="T239" s="411"/>
      <c r="U239" s="411"/>
      <c r="V239" s="411"/>
      <c r="W239" s="411"/>
      <c r="X239" s="411"/>
      <c r="Y239" s="411"/>
      <c r="Z239" s="411"/>
      <c r="AA239" s="411"/>
      <c r="AB239" s="411"/>
      <c r="AC239" s="411"/>
      <c r="AD239" s="347"/>
      <c r="AE239" s="347"/>
      <c r="AF239" s="347"/>
      <c r="AG239" s="347"/>
      <c r="AH239" s="347"/>
      <c r="AI239" s="347"/>
      <c r="AJ239" s="347"/>
      <c r="AK239" s="347"/>
      <c r="AL239" s="347"/>
      <c r="AM239" s="347"/>
      <c r="AN239" s="347"/>
      <c r="AO239" s="351"/>
      <c r="AP239" s="351"/>
      <c r="AQ239" s="335"/>
      <c r="AR239" s="335"/>
      <c r="AS239" s="335"/>
      <c r="AT239" s="335"/>
      <c r="AU239" s="335"/>
      <c r="AV239" s="335"/>
      <c r="AW239" s="335"/>
      <c r="AX239" s="335"/>
      <c r="AY239" s="335"/>
      <c r="AZ239" s="335"/>
      <c r="BA239" s="335"/>
      <c r="BB239" s="335"/>
      <c r="BC239" s="335"/>
      <c r="BD239" s="335"/>
      <c r="BE239" s="335"/>
    </row>
    <row r="240" customFormat="false" ht="14.15" hidden="true" customHeight="true" outlineLevel="1" collapsed="false">
      <c r="A240" s="494" t="s">
        <v>1884</v>
      </c>
      <c r="B240" s="494"/>
      <c r="C240" s="494"/>
      <c r="D240" s="494"/>
      <c r="E240" s="495" t="n">
        <v>1</v>
      </c>
      <c r="F240" s="490"/>
      <c r="G240" s="490"/>
      <c r="H240" s="347"/>
      <c r="I240" s="347"/>
      <c r="J240" s="411"/>
      <c r="K240" s="411"/>
      <c r="L240" s="411"/>
      <c r="M240" s="411"/>
      <c r="N240" s="411"/>
      <c r="O240" s="411"/>
      <c r="P240" s="411"/>
      <c r="Q240" s="411"/>
      <c r="R240" s="411"/>
      <c r="S240" s="411"/>
      <c r="T240" s="411"/>
      <c r="U240" s="411"/>
      <c r="V240" s="411"/>
      <c r="W240" s="411"/>
      <c r="X240" s="411"/>
      <c r="Y240" s="411"/>
      <c r="Z240" s="411"/>
      <c r="AA240" s="411"/>
      <c r="AB240" s="411"/>
      <c r="AC240" s="411"/>
      <c r="AD240" s="347"/>
      <c r="AE240" s="347"/>
      <c r="AF240" s="347"/>
      <c r="AG240" s="347"/>
      <c r="AH240" s="347"/>
      <c r="AI240" s="347"/>
      <c r="AJ240" s="347"/>
      <c r="AK240" s="347"/>
      <c r="AL240" s="347"/>
      <c r="AM240" s="347"/>
      <c r="AN240" s="347"/>
      <c r="AO240" s="351"/>
      <c r="AP240" s="351"/>
      <c r="AQ240" s="335"/>
      <c r="AR240" s="335"/>
      <c r="AS240" s="335"/>
      <c r="AT240" s="335"/>
      <c r="AU240" s="335"/>
      <c r="AV240" s="335"/>
      <c r="AW240" s="335"/>
      <c r="AX240" s="335"/>
      <c r="AY240" s="335"/>
      <c r="AZ240" s="335"/>
      <c r="BA240" s="335"/>
      <c r="BB240" s="335"/>
      <c r="BC240" s="335"/>
      <c r="BD240" s="335"/>
      <c r="BE240" s="335"/>
    </row>
    <row r="241" customFormat="false" ht="14.15" hidden="true" customHeight="true" outlineLevel="1" collapsed="false">
      <c r="A241" s="494" t="s">
        <v>1885</v>
      </c>
      <c r="B241" s="494"/>
      <c r="C241" s="494"/>
      <c r="D241" s="494"/>
      <c r="E241" s="495" t="n">
        <v>1</v>
      </c>
      <c r="F241" s="452"/>
      <c r="G241" s="347"/>
      <c r="H241" s="358"/>
      <c r="I241" s="347"/>
      <c r="J241" s="347"/>
      <c r="K241" s="347"/>
      <c r="L241" s="347"/>
      <c r="M241" s="347"/>
      <c r="N241" s="347"/>
      <c r="O241" s="347"/>
      <c r="P241" s="347"/>
      <c r="Q241" s="347"/>
      <c r="R241" s="496"/>
      <c r="S241" s="496"/>
      <c r="T241" s="496"/>
      <c r="U241" s="496"/>
      <c r="V241" s="496"/>
      <c r="W241" s="496"/>
      <c r="X241" s="496"/>
      <c r="Y241" s="496"/>
      <c r="Z241" s="496"/>
      <c r="AA241" s="496"/>
      <c r="AB241" s="496"/>
      <c r="AC241" s="496"/>
      <c r="AD241" s="496"/>
      <c r="AE241" s="496"/>
      <c r="AF241" s="496"/>
      <c r="AG241" s="496"/>
      <c r="AH241" s="496"/>
      <c r="AI241" s="496"/>
      <c r="AJ241" s="496"/>
      <c r="AK241" s="496"/>
      <c r="AL241" s="347"/>
      <c r="AM241" s="347"/>
      <c r="AN241" s="347"/>
      <c r="AO241" s="351"/>
      <c r="AP241" s="351"/>
      <c r="AQ241" s="335"/>
      <c r="AR241" s="335"/>
      <c r="AS241" s="335"/>
      <c r="AT241" s="335"/>
      <c r="AU241" s="335"/>
      <c r="AV241" s="335"/>
      <c r="AW241" s="335"/>
      <c r="AX241" s="335"/>
      <c r="AY241" s="335"/>
      <c r="AZ241" s="335"/>
      <c r="BA241" s="335"/>
      <c r="BB241" s="335"/>
      <c r="BC241" s="335"/>
      <c r="BD241" s="335"/>
      <c r="BE241" s="335"/>
    </row>
    <row r="242" customFormat="false" ht="14.15" hidden="true" customHeight="true" outlineLevel="1" collapsed="false">
      <c r="F242" s="452"/>
      <c r="G242" s="497"/>
      <c r="H242" s="358"/>
      <c r="I242" s="347"/>
      <c r="J242" s="347"/>
      <c r="K242" s="347"/>
      <c r="L242" s="347"/>
      <c r="M242" s="347"/>
      <c r="N242" s="347"/>
      <c r="O242" s="347"/>
      <c r="P242" s="347"/>
      <c r="Q242" s="347"/>
      <c r="R242" s="496"/>
      <c r="S242" s="496"/>
      <c r="T242" s="496"/>
      <c r="U242" s="496"/>
      <c r="V242" s="496"/>
      <c r="W242" s="496"/>
      <c r="X242" s="496"/>
      <c r="Y242" s="496"/>
      <c r="Z242" s="496"/>
      <c r="AA242" s="496"/>
      <c r="AB242" s="496"/>
      <c r="AC242" s="496"/>
      <c r="AD242" s="496"/>
      <c r="AE242" s="496"/>
      <c r="AF242" s="496"/>
      <c r="AG242" s="496"/>
      <c r="AH242" s="496"/>
      <c r="AI242" s="496"/>
      <c r="AJ242" s="496"/>
      <c r="AK242" s="496"/>
      <c r="AL242" s="347"/>
      <c r="AM242" s="347"/>
      <c r="AN242" s="347"/>
      <c r="AO242" s="351"/>
      <c r="AP242" s="351"/>
      <c r="AQ242" s="335"/>
      <c r="AR242" s="335"/>
      <c r="AS242" s="335"/>
      <c r="AT242" s="335"/>
      <c r="AU242" s="335"/>
      <c r="AV242" s="335"/>
      <c r="AW242" s="335"/>
      <c r="AX242" s="335"/>
      <c r="AY242" s="335"/>
      <c r="AZ242" s="335"/>
      <c r="BA242" s="335"/>
      <c r="BB242" s="335"/>
      <c r="BC242" s="335"/>
      <c r="BD242" s="335"/>
      <c r="BE242" s="335"/>
    </row>
    <row r="243" customFormat="false" ht="14.15" hidden="true" customHeight="true" outlineLevel="1" collapsed="false">
      <c r="A243" s="425" t="s">
        <v>1093</v>
      </c>
      <c r="B243" s="425" t="s">
        <v>208</v>
      </c>
      <c r="C243" s="425" t="s">
        <v>156</v>
      </c>
      <c r="D243" s="498"/>
      <c r="E243" s="499"/>
      <c r="F243" s="499"/>
      <c r="G243" s="347"/>
      <c r="H243" s="348" t="s">
        <v>156</v>
      </c>
      <c r="AK243" s="347"/>
      <c r="AL243" s="347"/>
      <c r="AM243" s="347"/>
      <c r="AN243" s="347"/>
      <c r="AO243" s="351"/>
      <c r="AP243" s="351"/>
      <c r="AQ243" s="335"/>
      <c r="AR243" s="335"/>
      <c r="AS243" s="335"/>
      <c r="AT243" s="335"/>
      <c r="AU243" s="335"/>
      <c r="AV243" s="335"/>
      <c r="AW243" s="335"/>
      <c r="AX243" s="335"/>
      <c r="AY243" s="335"/>
      <c r="AZ243" s="335"/>
      <c r="BA243" s="335"/>
      <c r="BB243" s="335"/>
      <c r="BC243" s="335"/>
      <c r="BD243" s="335"/>
      <c r="BE243" s="335"/>
    </row>
    <row r="244" customFormat="false" ht="14.15" hidden="true" customHeight="true" outlineLevel="1" collapsed="false">
      <c r="A244" s="324" t="s">
        <v>1889</v>
      </c>
      <c r="B244" s="500"/>
      <c r="C244" s="501"/>
      <c r="D244" s="498"/>
      <c r="E244" s="499"/>
      <c r="F244" s="499"/>
      <c r="G244" s="347"/>
      <c r="H244" s="353" t="n">
        <v>9.1</v>
      </c>
      <c r="AK244" s="347"/>
      <c r="AL244" s="347"/>
      <c r="AM244" s="347"/>
      <c r="AN244" s="347"/>
      <c r="AO244" s="351"/>
      <c r="AP244" s="351"/>
      <c r="AQ244" s="335"/>
      <c r="AR244" s="335"/>
      <c r="AS244" s="335"/>
      <c r="AT244" s="335"/>
      <c r="AU244" s="335"/>
      <c r="AV244" s="335"/>
      <c r="AW244" s="335"/>
      <c r="AX244" s="335"/>
      <c r="AY244" s="335"/>
      <c r="AZ244" s="335"/>
      <c r="BA244" s="335"/>
      <c r="BB244" s="335"/>
      <c r="BC244" s="335"/>
      <c r="BD244" s="335"/>
      <c r="BE244" s="335"/>
    </row>
    <row r="245" customFormat="false" ht="14.15" hidden="true" customHeight="true" outlineLevel="1" collapsed="false">
      <c r="A245" s="465" t="s">
        <v>1890</v>
      </c>
      <c r="D245" s="347"/>
      <c r="E245" s="358"/>
      <c r="F245" s="358"/>
      <c r="G245" s="358"/>
      <c r="H245" s="358"/>
      <c r="I245" s="358"/>
      <c r="J245" s="358"/>
      <c r="K245" s="358"/>
      <c r="L245" s="358"/>
      <c r="N245" s="34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  <c r="AF245" s="358"/>
      <c r="AG245" s="358"/>
      <c r="AH245" s="358"/>
      <c r="AK245" s="347"/>
      <c r="AL245" s="347"/>
      <c r="AM245" s="347"/>
      <c r="AN245" s="347"/>
      <c r="AO245" s="351"/>
      <c r="AP245" s="351"/>
      <c r="AQ245" s="335"/>
      <c r="AR245" s="335"/>
      <c r="AS245" s="335"/>
      <c r="AT245" s="335"/>
      <c r="AU245" s="335"/>
      <c r="AV245" s="335"/>
      <c r="AW245" s="335"/>
      <c r="AX245" s="335"/>
      <c r="AY245" s="335"/>
      <c r="AZ245" s="335"/>
      <c r="BA245" s="335"/>
      <c r="BB245" s="335"/>
      <c r="BC245" s="335"/>
      <c r="BD245" s="335"/>
      <c r="BE245" s="335"/>
    </row>
    <row r="246" customFormat="false" ht="14.15" hidden="true" customHeight="true" outlineLevel="1" collapsed="false">
      <c r="A246" s="466" t="s">
        <v>1891</v>
      </c>
      <c r="D246" s="347"/>
      <c r="E246" s="358"/>
      <c r="F246" s="358"/>
      <c r="G246" s="358"/>
      <c r="H246" s="348" t="s">
        <v>156</v>
      </c>
      <c r="J246" s="348"/>
      <c r="K246" s="358"/>
      <c r="L246" s="358"/>
      <c r="N246" s="353"/>
      <c r="O246" s="358"/>
      <c r="P246" s="358"/>
      <c r="Q246" s="358"/>
      <c r="R246" s="358"/>
      <c r="S246" s="358"/>
      <c r="T246" s="358"/>
      <c r="U246" s="358" t="s">
        <v>1926</v>
      </c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  <c r="AF246" s="452" t="s">
        <v>1937</v>
      </c>
      <c r="AG246" s="358"/>
      <c r="AH246" s="358"/>
      <c r="AK246" s="347"/>
      <c r="AL246" s="347"/>
      <c r="AM246" s="347"/>
      <c r="AN246" s="347"/>
      <c r="AO246" s="351"/>
      <c r="AP246" s="351"/>
      <c r="AQ246" s="335"/>
      <c r="AR246" s="335"/>
      <c r="AS246" s="335"/>
      <c r="AT246" s="335"/>
      <c r="AU246" s="335"/>
      <c r="AV246" s="335"/>
      <c r="AW246" s="335"/>
      <c r="AX246" s="335"/>
      <c r="AY246" s="335"/>
      <c r="AZ246" s="335"/>
      <c r="BA246" s="335"/>
      <c r="BB246" s="335"/>
      <c r="BC246" s="335"/>
      <c r="BD246" s="335"/>
      <c r="BE246" s="335"/>
    </row>
    <row r="247" customFormat="false" ht="14.15" hidden="true" customHeight="true" outlineLevel="1" collapsed="false">
      <c r="A247" s="470" t="s">
        <v>493</v>
      </c>
      <c r="B247" s="467"/>
      <c r="C247" s="502"/>
      <c r="D247" s="347"/>
      <c r="E247" s="358"/>
      <c r="F247" s="358"/>
      <c r="G247" s="358"/>
      <c r="H247" s="371" t="n">
        <v>7.9</v>
      </c>
      <c r="J247" s="371"/>
      <c r="K247" s="412"/>
      <c r="L247" s="412"/>
      <c r="M247" s="353"/>
      <c r="N247" s="353"/>
      <c r="O247" s="412"/>
      <c r="P247" s="412"/>
      <c r="Q247" s="412"/>
      <c r="R247" s="412"/>
      <c r="S247" s="412"/>
      <c r="T247" s="412"/>
      <c r="U247" s="412"/>
      <c r="V247" s="412"/>
      <c r="W247" s="412"/>
      <c r="X247" s="412"/>
      <c r="Y247" s="412"/>
      <c r="Z247" s="412"/>
      <c r="AA247" s="358"/>
      <c r="AB247" s="358"/>
      <c r="AC247" s="358"/>
      <c r="AD247" s="358"/>
      <c r="AE247" s="358"/>
      <c r="AF247" s="371" t="n">
        <v>41</v>
      </c>
      <c r="AG247" s="371"/>
      <c r="AH247" s="358"/>
      <c r="AK247" s="347"/>
      <c r="AL247" s="347"/>
      <c r="AM247" s="347"/>
      <c r="AN247" s="347"/>
      <c r="AO247" s="351"/>
      <c r="AP247" s="351"/>
      <c r="AQ247" s="335"/>
      <c r="AR247" s="335"/>
      <c r="AS247" s="335"/>
      <c r="AT247" s="335"/>
      <c r="AU247" s="335"/>
      <c r="AV247" s="335"/>
      <c r="AW247" s="335"/>
      <c r="AX247" s="335"/>
      <c r="AY247" s="335"/>
      <c r="AZ247" s="335"/>
      <c r="BA247" s="335"/>
      <c r="BB247" s="335"/>
      <c r="BC247" s="335"/>
      <c r="BD247" s="335"/>
      <c r="BE247" s="335"/>
    </row>
    <row r="248" customFormat="false" ht="14.15" hidden="true" customHeight="true" outlineLevel="1" collapsed="false">
      <c r="A248" s="405" t="s">
        <v>1943</v>
      </c>
      <c r="B248" s="404" t="s">
        <v>156</v>
      </c>
      <c r="C248" s="471" t="n">
        <v>5</v>
      </c>
      <c r="D248" s="347"/>
      <c r="E248" s="358"/>
      <c r="F248" s="358"/>
      <c r="G248" s="358"/>
      <c r="H248" s="358"/>
      <c r="I248" s="371"/>
      <c r="J248" s="371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  <c r="AF248" s="371"/>
      <c r="AG248" s="371"/>
      <c r="AH248" s="358"/>
      <c r="AK248" s="347"/>
      <c r="AL248" s="347"/>
      <c r="AM248" s="347"/>
      <c r="AN248" s="347"/>
      <c r="AO248" s="351"/>
      <c r="AP248" s="351"/>
      <c r="AQ248" s="335"/>
      <c r="AR248" s="335"/>
      <c r="AS248" s="335"/>
      <c r="AT248" s="335"/>
      <c r="AU248" s="335"/>
      <c r="AV248" s="335"/>
      <c r="AW248" s="335"/>
      <c r="AX248" s="335"/>
      <c r="AY248" s="335"/>
      <c r="AZ248" s="335"/>
      <c r="BA248" s="335"/>
      <c r="BB248" s="335"/>
      <c r="BC248" s="335"/>
      <c r="BD248" s="335"/>
      <c r="BE248" s="335"/>
    </row>
    <row r="249" customFormat="false" ht="14.15" hidden="true" customHeight="true" outlineLevel="1" collapsed="false">
      <c r="A249" s="405" t="s">
        <v>1927</v>
      </c>
      <c r="B249" s="404" t="s">
        <v>156</v>
      </c>
      <c r="C249" s="471" t="n">
        <v>0.5</v>
      </c>
      <c r="D249" s="347"/>
      <c r="E249" s="348" t="s">
        <v>156</v>
      </c>
      <c r="F249" s="34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  <c r="AF249" s="358"/>
      <c r="AG249" s="358"/>
      <c r="AH249" s="358"/>
      <c r="AK249" s="347"/>
      <c r="AL249" s="347"/>
      <c r="AM249" s="347"/>
      <c r="AN249" s="347"/>
      <c r="AO249" s="351"/>
      <c r="AP249" s="351"/>
      <c r="AQ249" s="335"/>
      <c r="AR249" s="335"/>
      <c r="AS249" s="335"/>
      <c r="AT249" s="335"/>
      <c r="AU249" s="335"/>
      <c r="AV249" s="335"/>
      <c r="AW249" s="335"/>
      <c r="AX249" s="335" t="n">
        <v>1</v>
      </c>
      <c r="AY249" s="374" t="n">
        <f aca="false">E256</f>
        <v>5.3</v>
      </c>
      <c r="AZ249" s="335" t="s">
        <v>1931</v>
      </c>
      <c r="BA249" s="335"/>
      <c r="BB249" s="335"/>
      <c r="BC249" s="335"/>
      <c r="BD249" s="335"/>
      <c r="BE249" s="335"/>
    </row>
    <row r="250" customFormat="false" ht="14.15" hidden="true" customHeight="true" outlineLevel="1" collapsed="false">
      <c r="A250" s="265" t="s">
        <v>1896</v>
      </c>
      <c r="B250" s="404" t="s">
        <v>156</v>
      </c>
      <c r="C250" s="471" t="n">
        <v>0.5</v>
      </c>
      <c r="D250" s="479"/>
      <c r="E250" s="371" t="n">
        <v>5.6</v>
      </c>
      <c r="F250" s="371"/>
      <c r="G250" s="358"/>
      <c r="I250" s="34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 t="s">
        <v>1928</v>
      </c>
      <c r="AE250" s="358"/>
      <c r="AF250" s="358"/>
      <c r="AG250" s="358"/>
      <c r="AH250" s="358"/>
      <c r="AK250" s="347"/>
      <c r="AL250" s="347"/>
      <c r="AM250" s="347"/>
      <c r="AN250" s="347"/>
      <c r="AO250" s="351"/>
      <c r="AP250" s="351"/>
      <c r="AQ250" s="335"/>
      <c r="AR250" s="335"/>
      <c r="AS250" s="335"/>
      <c r="AT250" s="335"/>
      <c r="AU250" s="335"/>
      <c r="AV250" s="335"/>
      <c r="AW250" s="335"/>
      <c r="AX250" s="335" t="n">
        <v>2</v>
      </c>
      <c r="AY250" s="335" t="n">
        <f aca="false">E250</f>
        <v>5.6</v>
      </c>
      <c r="AZ250" s="335" t="s">
        <v>1944</v>
      </c>
      <c r="BA250" s="335"/>
      <c r="BB250" s="335"/>
      <c r="BC250" s="335"/>
      <c r="BD250" s="335"/>
      <c r="BE250" s="335"/>
    </row>
    <row r="251" customFormat="false" ht="14.15" hidden="true" customHeight="true" outlineLevel="1" collapsed="false">
      <c r="A251" s="324" t="s">
        <v>1907</v>
      </c>
      <c r="D251" s="479"/>
      <c r="E251" s="358"/>
      <c r="F251" s="358"/>
      <c r="G251" s="358"/>
      <c r="I251" s="371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  <c r="AF251" s="358"/>
      <c r="AG251" s="358"/>
      <c r="AH251" s="358"/>
      <c r="AK251" s="347"/>
      <c r="AL251" s="347"/>
      <c r="AM251" s="347"/>
      <c r="AN251" s="347"/>
      <c r="AO251" s="351"/>
      <c r="AP251" s="351"/>
      <c r="AQ251" s="335"/>
      <c r="AR251" s="335"/>
      <c r="AS251" s="335"/>
      <c r="AT251" s="335"/>
      <c r="AU251" s="335"/>
      <c r="AV251" s="335"/>
      <c r="AW251" s="335"/>
      <c r="AX251" s="335" t="n">
        <v>3</v>
      </c>
      <c r="AY251" s="335" t="n">
        <f aca="false">H247</f>
        <v>7.9</v>
      </c>
      <c r="AZ251" s="335" t="s">
        <v>1945</v>
      </c>
      <c r="BA251" s="335"/>
      <c r="BB251" s="335"/>
      <c r="BC251" s="335"/>
      <c r="BD251" s="335"/>
      <c r="BE251" s="335"/>
    </row>
    <row r="252" customFormat="false" ht="14.15" hidden="true" customHeight="true" outlineLevel="1" collapsed="false">
      <c r="A252" s="476" t="s">
        <v>1908</v>
      </c>
      <c r="B252" s="477"/>
      <c r="C252" s="468"/>
      <c r="D252" s="479"/>
      <c r="E252" s="358"/>
      <c r="F252" s="358"/>
      <c r="G252" s="358"/>
      <c r="H252" s="371"/>
      <c r="I252" s="371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 t="s">
        <v>1930</v>
      </c>
      <c r="V252" s="358"/>
      <c r="W252" s="358"/>
      <c r="X252" s="371" t="s">
        <v>1946</v>
      </c>
      <c r="Y252" s="371"/>
      <c r="Z252" s="358"/>
      <c r="AA252" s="358"/>
      <c r="AB252" s="358"/>
      <c r="AC252" s="358"/>
      <c r="AD252" s="358"/>
      <c r="AE252" s="358"/>
      <c r="AF252" s="358"/>
      <c r="AG252" s="358"/>
      <c r="AH252" s="358"/>
      <c r="AK252" s="347"/>
      <c r="AL252" s="347"/>
      <c r="AM252" s="347"/>
      <c r="AN252" s="347"/>
      <c r="AO252" s="351"/>
      <c r="AP252" s="351"/>
      <c r="AQ252" s="335"/>
      <c r="AR252" s="335"/>
      <c r="AS252" s="335"/>
      <c r="AT252" s="335"/>
      <c r="AU252" s="335"/>
      <c r="AV252" s="335"/>
      <c r="AW252" s="335"/>
      <c r="AX252" s="335" t="n">
        <v>4</v>
      </c>
      <c r="AY252" s="374" t="n">
        <f aca="false">H244</f>
        <v>9.1</v>
      </c>
      <c r="AZ252" s="335" t="s">
        <v>1546</v>
      </c>
      <c r="BA252" s="335"/>
      <c r="BB252" s="335"/>
      <c r="BC252" s="335"/>
      <c r="BD252" s="335"/>
      <c r="BE252" s="335"/>
    </row>
    <row r="253" customFormat="false" ht="14.15" hidden="true" customHeight="true" outlineLevel="1" collapsed="false">
      <c r="A253" s="324" t="s">
        <v>1909</v>
      </c>
      <c r="D253" s="479"/>
      <c r="E253" s="355"/>
      <c r="F253" s="355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 t="s">
        <v>1947</v>
      </c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  <c r="AF253" s="358"/>
      <c r="AG253" s="358"/>
      <c r="AH253" s="358"/>
      <c r="AK253" s="347"/>
      <c r="AL253" s="347"/>
      <c r="AM253" s="347"/>
      <c r="AN253" s="347"/>
      <c r="AO253" s="351"/>
      <c r="AP253" s="351"/>
      <c r="AQ253" s="335"/>
      <c r="AR253" s="335"/>
      <c r="AS253" s="335"/>
      <c r="AT253" s="335"/>
      <c r="AU253" s="335"/>
      <c r="AV253" s="335"/>
      <c r="AW253" s="335"/>
      <c r="AX253" s="335" t="n">
        <v>5</v>
      </c>
      <c r="AY253" s="335" t="n">
        <f aca="false">G261</f>
        <v>48</v>
      </c>
      <c r="AZ253" s="335" t="s">
        <v>1948</v>
      </c>
      <c r="BA253" s="335"/>
      <c r="BB253" s="335"/>
      <c r="BC253" s="335"/>
      <c r="BD253" s="335"/>
      <c r="BE253" s="335"/>
    </row>
    <row r="254" customFormat="false" ht="14.15" hidden="true" customHeight="true" outlineLevel="1" collapsed="false">
      <c r="A254" s="478" t="s">
        <v>268</v>
      </c>
      <c r="D254" s="358"/>
      <c r="E254" s="355"/>
      <c r="F254" s="355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  <c r="AF254" s="358"/>
      <c r="AG254" s="358"/>
      <c r="AH254" s="358"/>
      <c r="AK254" s="347"/>
      <c r="AL254" s="347"/>
      <c r="AM254" s="347"/>
      <c r="AN254" s="347"/>
      <c r="AO254" s="351"/>
      <c r="AP254" s="351"/>
      <c r="AQ254" s="335"/>
      <c r="AR254" s="335"/>
      <c r="AS254" s="335"/>
      <c r="AT254" s="335"/>
      <c r="AU254" s="335"/>
      <c r="AV254" s="335"/>
      <c r="AW254" s="335"/>
      <c r="AX254" s="335" t="n">
        <v>6</v>
      </c>
      <c r="AY254" s="335" t="n">
        <f aca="false">AF247</f>
        <v>41</v>
      </c>
      <c r="AZ254" s="335" t="s">
        <v>1949</v>
      </c>
      <c r="BA254" s="335"/>
      <c r="BB254" s="335"/>
      <c r="BC254" s="335"/>
      <c r="BD254" s="335"/>
      <c r="BE254" s="335"/>
    </row>
    <row r="255" customFormat="false" ht="14.15" hidden="true" customHeight="true" outlineLevel="1" collapsed="false">
      <c r="A255" s="324" t="s">
        <v>1910</v>
      </c>
      <c r="D255" s="479"/>
      <c r="E255" s="348" t="s">
        <v>156</v>
      </c>
      <c r="F255" s="348"/>
      <c r="G255" s="34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  <c r="AF255" s="358"/>
      <c r="AG255" s="358"/>
      <c r="AH255" s="358"/>
      <c r="AK255" s="347"/>
      <c r="AL255" s="347"/>
      <c r="AM255" s="347"/>
      <c r="AN255" s="347"/>
      <c r="AO255" s="351"/>
      <c r="AP255" s="351"/>
      <c r="AQ255" s="335"/>
      <c r="AR255" s="335"/>
      <c r="AS255" s="335"/>
      <c r="AT255" s="335"/>
      <c r="AU255" s="335"/>
      <c r="AV255" s="335"/>
      <c r="AW255" s="335"/>
      <c r="AX255" s="335"/>
      <c r="AY255" s="335"/>
      <c r="AZ255" s="335"/>
      <c r="BA255" s="335"/>
      <c r="BB255" s="335"/>
      <c r="BC255" s="335"/>
      <c r="BD255" s="335"/>
      <c r="BE255" s="335"/>
    </row>
    <row r="256" customFormat="false" ht="14.15" hidden="true" customHeight="true" outlineLevel="1" collapsed="false">
      <c r="A256" s="478" t="s">
        <v>271</v>
      </c>
      <c r="D256" s="479"/>
      <c r="E256" s="353" t="n">
        <f aca="false">H5</f>
        <v>5.3</v>
      </c>
      <c r="F256" s="353"/>
      <c r="G256" s="353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  <c r="AF256" s="358"/>
      <c r="AG256" s="358"/>
      <c r="AH256" s="358"/>
      <c r="AK256" s="347"/>
      <c r="AL256" s="347"/>
      <c r="AM256" s="347"/>
      <c r="AN256" s="347"/>
      <c r="AO256" s="351"/>
      <c r="AP256" s="351"/>
      <c r="AQ256" s="335"/>
      <c r="AR256" s="335"/>
      <c r="AS256" s="335"/>
      <c r="AT256" s="335"/>
      <c r="AU256" s="335"/>
      <c r="AV256" s="335"/>
      <c r="AW256" s="335"/>
      <c r="AX256" s="335"/>
      <c r="AY256" s="335"/>
      <c r="AZ256" s="335"/>
      <c r="BA256" s="335"/>
      <c r="BB256" s="335"/>
      <c r="BC256" s="335"/>
      <c r="BD256" s="335"/>
      <c r="BE256" s="335"/>
    </row>
    <row r="257" customFormat="false" ht="14.15" hidden="true" customHeight="true" outlineLevel="1" collapsed="false">
      <c r="A257" s="324" t="s">
        <v>1911</v>
      </c>
      <c r="D257" s="347"/>
      <c r="E257" s="353"/>
      <c r="F257" s="353"/>
      <c r="G257" s="353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  <c r="AF257" s="358"/>
      <c r="AG257" s="358"/>
      <c r="AH257" s="358"/>
      <c r="AK257" s="347"/>
      <c r="AL257" s="347"/>
      <c r="AM257" s="347"/>
      <c r="AN257" s="347"/>
      <c r="AO257" s="351"/>
      <c r="AP257" s="351"/>
      <c r="AQ257" s="335"/>
      <c r="AR257" s="335"/>
      <c r="AS257" s="335"/>
      <c r="AT257" s="335"/>
      <c r="AU257" s="335"/>
      <c r="AV257" s="335"/>
      <c r="AW257" s="335"/>
      <c r="AX257" s="335"/>
      <c r="AY257" s="335"/>
      <c r="AZ257" s="335"/>
      <c r="BA257" s="335"/>
      <c r="BB257" s="335"/>
      <c r="BC257" s="335"/>
      <c r="BD257" s="335"/>
      <c r="BE257" s="335"/>
    </row>
    <row r="258" customFormat="false" ht="14.15" hidden="true" customHeight="true" outlineLevel="1" collapsed="false">
      <c r="A258" s="480" t="s">
        <v>493</v>
      </c>
      <c r="D258" s="347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  <c r="AF258" s="358"/>
      <c r="AG258" s="358"/>
      <c r="AH258" s="358"/>
      <c r="AK258" s="347"/>
      <c r="AL258" s="347"/>
      <c r="AM258" s="347"/>
      <c r="AN258" s="347"/>
      <c r="AO258" s="351"/>
      <c r="AP258" s="351"/>
      <c r="AQ258" s="335"/>
      <c r="AR258" s="335"/>
      <c r="AS258" s="335"/>
      <c r="AT258" s="335"/>
      <c r="AU258" s="335"/>
      <c r="AV258" s="335"/>
      <c r="AW258" s="335"/>
      <c r="AX258" s="335"/>
      <c r="AY258" s="335"/>
      <c r="AZ258" s="335"/>
      <c r="BA258" s="335"/>
      <c r="BB258" s="335"/>
      <c r="BC258" s="335"/>
      <c r="BD258" s="335"/>
      <c r="BE258" s="335"/>
    </row>
    <row r="259" customFormat="false" ht="14.15" hidden="true" customHeight="true" outlineLevel="1" collapsed="false">
      <c r="A259" s="324" t="s">
        <v>1913</v>
      </c>
      <c r="D259" s="347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  <c r="AF259" s="358"/>
      <c r="AG259" s="358" t="s">
        <v>1904</v>
      </c>
      <c r="AH259" s="358"/>
      <c r="AK259" s="347"/>
      <c r="AL259" s="347"/>
      <c r="AM259" s="347"/>
      <c r="AN259" s="347"/>
      <c r="AO259" s="351"/>
      <c r="AP259" s="351"/>
      <c r="AQ259" s="335"/>
      <c r="AR259" s="335"/>
      <c r="AS259" s="335"/>
      <c r="AT259" s="335"/>
      <c r="AU259" s="335"/>
      <c r="AV259" s="335"/>
      <c r="AW259" s="335"/>
      <c r="AX259" s="335"/>
      <c r="AY259" s="335"/>
      <c r="AZ259" s="335"/>
      <c r="BA259" s="335"/>
      <c r="BB259" s="335"/>
      <c r="BC259" s="335"/>
      <c r="BD259" s="335"/>
      <c r="BE259" s="335"/>
    </row>
    <row r="260" customFormat="false" ht="14.15" hidden="true" customHeight="true" outlineLevel="1" collapsed="false">
      <c r="A260" s="481" t="s">
        <v>708</v>
      </c>
      <c r="D260" s="347"/>
      <c r="E260" s="358"/>
      <c r="F260" s="358"/>
      <c r="G260" s="358" t="s">
        <v>1937</v>
      </c>
      <c r="H260" s="358"/>
      <c r="I260" s="358"/>
      <c r="J260" s="358" t="s">
        <v>1899</v>
      </c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 t="s">
        <v>1950</v>
      </c>
      <c r="AC260" s="358"/>
      <c r="AD260" s="358"/>
      <c r="AE260" s="358"/>
      <c r="AF260" s="358"/>
      <c r="AG260" s="358"/>
      <c r="AH260" s="358"/>
      <c r="AK260" s="347"/>
      <c r="AL260" s="347"/>
      <c r="AM260" s="347"/>
      <c r="AN260" s="347"/>
      <c r="AO260" s="351"/>
      <c r="AP260" s="351"/>
      <c r="AQ260" s="335"/>
      <c r="AR260" s="335"/>
      <c r="AS260" s="335"/>
      <c r="AT260" s="335"/>
      <c r="AU260" s="335"/>
      <c r="AV260" s="335"/>
      <c r="AW260" s="335"/>
      <c r="AX260" s="335"/>
      <c r="AY260" s="335"/>
      <c r="AZ260" s="335"/>
      <c r="BA260" s="335"/>
      <c r="BB260" s="335"/>
      <c r="BC260" s="335"/>
      <c r="BD260" s="335"/>
      <c r="BE260" s="335"/>
    </row>
    <row r="261" customFormat="false" ht="14.15" hidden="true" customHeight="true" outlineLevel="1" collapsed="false">
      <c r="A261" s="485" t="s">
        <v>1914</v>
      </c>
      <c r="B261" s="404" t="s">
        <v>159</v>
      </c>
      <c r="C261" s="265" t="n">
        <v>0</v>
      </c>
      <c r="D261" s="347"/>
      <c r="E261" s="358"/>
      <c r="F261" s="358"/>
      <c r="G261" s="503" t="n">
        <v>48</v>
      </c>
      <c r="H261" s="371"/>
      <c r="I261" s="358"/>
      <c r="J261" s="358"/>
      <c r="K261" s="358"/>
      <c r="L261" s="358"/>
      <c r="M261" s="358"/>
      <c r="N261" s="358"/>
      <c r="O261" s="358" t="s">
        <v>1951</v>
      </c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  <c r="AF261" s="358"/>
      <c r="AG261" s="358"/>
      <c r="AH261" s="358"/>
      <c r="AI261" s="347"/>
      <c r="AJ261" s="347"/>
      <c r="AK261" s="347"/>
      <c r="AL261" s="347"/>
      <c r="AM261" s="347"/>
      <c r="AN261" s="347"/>
      <c r="AO261" s="351"/>
      <c r="AP261" s="351"/>
      <c r="AQ261" s="335"/>
      <c r="AR261" s="335"/>
      <c r="AS261" s="335"/>
      <c r="AT261" s="335"/>
      <c r="AU261" s="335"/>
      <c r="AV261" s="335"/>
      <c r="AW261" s="335"/>
      <c r="AX261" s="335"/>
      <c r="AY261" s="335"/>
      <c r="AZ261" s="335"/>
      <c r="BA261" s="335"/>
      <c r="BB261" s="335"/>
      <c r="BC261" s="335"/>
      <c r="BD261" s="335"/>
      <c r="BE261" s="335"/>
    </row>
    <row r="262" customFormat="false" ht="14.15" hidden="true" customHeight="true" outlineLevel="1" collapsed="false">
      <c r="A262" s="485" t="s">
        <v>1915</v>
      </c>
      <c r="B262" s="404" t="s">
        <v>159</v>
      </c>
      <c r="C262" s="265" t="n">
        <v>0</v>
      </c>
      <c r="D262" s="347"/>
      <c r="E262" s="358"/>
      <c r="F262" s="358"/>
      <c r="G262" s="371"/>
      <c r="H262" s="371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 t="s">
        <v>1899</v>
      </c>
      <c r="T262" s="358"/>
      <c r="U262" s="358" t="s">
        <v>1904</v>
      </c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  <c r="AF262" s="358"/>
      <c r="AG262" s="358"/>
      <c r="AH262" s="358"/>
      <c r="AI262" s="347"/>
      <c r="AJ262" s="347"/>
      <c r="AK262" s="347"/>
      <c r="AL262" s="347"/>
      <c r="AM262" s="347"/>
      <c r="AN262" s="347"/>
      <c r="AO262" s="351"/>
      <c r="AP262" s="351"/>
      <c r="AQ262" s="335"/>
      <c r="AR262" s="335"/>
      <c r="AS262" s="335"/>
      <c r="AT262" s="335"/>
      <c r="AU262" s="335"/>
      <c r="AV262" s="335"/>
      <c r="AW262" s="335"/>
      <c r="AX262" s="335"/>
      <c r="AY262" s="335"/>
      <c r="AZ262" s="335"/>
      <c r="BA262" s="335"/>
      <c r="BB262" s="335"/>
      <c r="BC262" s="335"/>
      <c r="BD262" s="335"/>
      <c r="BE262" s="335"/>
    </row>
    <row r="263" customFormat="false" ht="14.15" hidden="true" customHeight="true" outlineLevel="1" collapsed="false">
      <c r="A263" s="485" t="s">
        <v>1916</v>
      </c>
      <c r="B263" s="404" t="s">
        <v>159</v>
      </c>
      <c r="C263" s="265" t="n">
        <v>0</v>
      </c>
      <c r="D263" s="479"/>
      <c r="E263" s="501"/>
      <c r="F263" s="501"/>
      <c r="G263" s="504"/>
      <c r="H263" s="505"/>
      <c r="I263" s="461"/>
      <c r="J263" s="461"/>
      <c r="K263" s="461"/>
      <c r="L263" s="461"/>
      <c r="M263" s="461"/>
      <c r="N263" s="371"/>
      <c r="O263" s="412"/>
      <c r="P263" s="412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  <c r="AF263" s="358"/>
      <c r="AG263" s="358"/>
      <c r="AH263" s="358"/>
      <c r="AI263" s="347"/>
      <c r="AJ263" s="347"/>
      <c r="AK263" s="347"/>
      <c r="AL263" s="347"/>
      <c r="AM263" s="347"/>
      <c r="AN263" s="347"/>
      <c r="AO263" s="351"/>
      <c r="AP263" s="351"/>
      <c r="AQ263" s="346"/>
      <c r="AR263" s="346"/>
      <c r="AS263" s="346"/>
      <c r="AT263" s="335"/>
      <c r="AU263" s="335"/>
      <c r="AV263" s="335"/>
      <c r="AW263" s="335"/>
      <c r="AX263" s="335"/>
      <c r="AY263" s="335"/>
      <c r="AZ263" s="335"/>
      <c r="BA263" s="335"/>
      <c r="BB263" s="335"/>
      <c r="BC263" s="335"/>
      <c r="BD263" s="335"/>
      <c r="BE263" s="335"/>
    </row>
    <row r="264" customFormat="false" ht="14.15" hidden="true" customHeight="true" outlineLevel="1" collapsed="false">
      <c r="A264" s="324" t="s">
        <v>1917</v>
      </c>
      <c r="D264" s="479"/>
      <c r="E264" s="501"/>
      <c r="F264" s="501"/>
      <c r="G264" s="504"/>
      <c r="H264" s="505"/>
      <c r="I264" s="461"/>
      <c r="J264" s="461"/>
      <c r="K264" s="461"/>
      <c r="L264" s="461"/>
      <c r="M264" s="461"/>
      <c r="N264" s="371"/>
      <c r="O264" s="412"/>
      <c r="P264" s="412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7"/>
      <c r="AD264" s="347"/>
      <c r="AE264" s="347"/>
      <c r="AF264" s="347"/>
      <c r="AG264" s="347"/>
      <c r="AH264" s="347"/>
      <c r="AI264" s="347"/>
      <c r="AJ264" s="347"/>
      <c r="AK264" s="347"/>
      <c r="AL264" s="347"/>
      <c r="AM264" s="347"/>
      <c r="AN264" s="347"/>
      <c r="AO264" s="351"/>
      <c r="AP264" s="351"/>
      <c r="AQ264" s="346"/>
      <c r="AR264" s="346"/>
      <c r="AS264" s="346"/>
      <c r="AT264" s="335"/>
      <c r="AU264" s="335"/>
      <c r="AV264" s="335"/>
      <c r="AW264" s="335"/>
      <c r="AX264" s="335"/>
      <c r="AY264" s="335"/>
      <c r="AZ264" s="335"/>
      <c r="BA264" s="335"/>
      <c r="BB264" s="335"/>
      <c r="BC264" s="335"/>
      <c r="BD264" s="335"/>
      <c r="BE264" s="335"/>
    </row>
    <row r="265" customFormat="false" ht="14.15" hidden="true" customHeight="true" outlineLevel="1" collapsed="false">
      <c r="A265" s="478" t="s">
        <v>1918</v>
      </c>
      <c r="D265" s="479"/>
      <c r="E265" s="501"/>
      <c r="F265" s="501"/>
      <c r="G265" s="504"/>
      <c r="H265" s="505"/>
      <c r="I265" s="461"/>
      <c r="J265" s="461"/>
      <c r="K265" s="461"/>
      <c r="L265" s="461"/>
      <c r="M265" s="461"/>
      <c r="N265" s="371"/>
      <c r="O265" s="412"/>
      <c r="P265" s="412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7"/>
      <c r="AD265" s="347"/>
      <c r="AE265" s="347"/>
      <c r="AF265" s="347"/>
      <c r="AG265" s="347"/>
      <c r="AH265" s="347"/>
      <c r="AI265" s="347"/>
      <c r="AJ265" s="347"/>
      <c r="AK265" s="347"/>
      <c r="AL265" s="347"/>
      <c r="AM265" s="347"/>
      <c r="AN265" s="347"/>
      <c r="AO265" s="351"/>
      <c r="AP265" s="351"/>
      <c r="AQ265" s="346"/>
      <c r="AR265" s="346"/>
      <c r="AS265" s="346"/>
      <c r="AT265" s="335"/>
      <c r="AU265" s="335"/>
      <c r="AV265" s="335"/>
      <c r="AW265" s="335"/>
      <c r="AX265" s="335"/>
      <c r="AY265" s="335"/>
      <c r="AZ265" s="335"/>
      <c r="BA265" s="335"/>
      <c r="BB265" s="335"/>
      <c r="BC265" s="335"/>
      <c r="BD265" s="335"/>
      <c r="BE265" s="335"/>
    </row>
    <row r="266" customFormat="false" ht="14.15" hidden="true" customHeight="true" outlineLevel="1" collapsed="false">
      <c r="A266" s="324" t="s">
        <v>1919</v>
      </c>
      <c r="D266" s="479"/>
      <c r="E266" s="501"/>
      <c r="F266" s="501"/>
      <c r="G266" s="504"/>
      <c r="H266" s="505"/>
      <c r="I266" s="461"/>
      <c r="J266" s="461"/>
      <c r="K266" s="461"/>
      <c r="L266" s="461"/>
      <c r="M266" s="461"/>
      <c r="N266" s="371"/>
      <c r="O266" s="412"/>
      <c r="P266" s="412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7"/>
      <c r="AD266" s="347"/>
      <c r="AE266" s="347"/>
      <c r="AF266" s="347"/>
      <c r="AG266" s="347"/>
      <c r="AH266" s="347"/>
      <c r="AI266" s="347"/>
      <c r="AJ266" s="347"/>
      <c r="AK266" s="347"/>
      <c r="AL266" s="347"/>
      <c r="AM266" s="347"/>
      <c r="AN266" s="347"/>
      <c r="AO266" s="351"/>
      <c r="AP266" s="351"/>
      <c r="AQ266" s="346"/>
      <c r="AR266" s="346"/>
      <c r="AS266" s="346"/>
      <c r="AT266" s="335"/>
      <c r="AU266" s="335"/>
      <c r="AV266" s="335"/>
      <c r="AW266" s="335"/>
      <c r="AX266" s="335"/>
      <c r="AY266" s="335"/>
      <c r="AZ266" s="335"/>
      <c r="BA266" s="335"/>
      <c r="BB266" s="335"/>
      <c r="BC266" s="335"/>
      <c r="BD266" s="335"/>
      <c r="BE266" s="335"/>
    </row>
    <row r="267" customFormat="false" ht="14.15" hidden="true" customHeight="true" outlineLevel="1" collapsed="false">
      <c r="A267" s="478" t="s">
        <v>1921</v>
      </c>
      <c r="D267" s="479"/>
      <c r="E267" s="501"/>
      <c r="F267" s="501"/>
      <c r="G267" s="504"/>
      <c r="H267" s="505"/>
      <c r="I267" s="461"/>
      <c r="J267" s="461"/>
      <c r="K267" s="461"/>
      <c r="L267" s="461"/>
      <c r="M267" s="461"/>
      <c r="N267" s="371"/>
      <c r="O267" s="412"/>
      <c r="P267" s="412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7"/>
      <c r="AD267" s="347"/>
      <c r="AE267" s="347"/>
      <c r="AF267" s="347"/>
      <c r="AG267" s="347"/>
      <c r="AH267" s="347"/>
      <c r="AI267" s="347"/>
      <c r="AJ267" s="347"/>
      <c r="AK267" s="347"/>
      <c r="AL267" s="347"/>
      <c r="AM267" s="347"/>
      <c r="AN267" s="347"/>
      <c r="AO267" s="351"/>
      <c r="AP267" s="351"/>
      <c r="AQ267" s="346"/>
      <c r="AR267" s="346"/>
      <c r="AS267" s="346"/>
      <c r="AT267" s="335"/>
      <c r="AU267" s="335"/>
      <c r="AV267" s="335"/>
      <c r="AW267" s="335"/>
      <c r="AX267" s="335"/>
      <c r="AY267" s="335"/>
      <c r="AZ267" s="335"/>
      <c r="BA267" s="335"/>
      <c r="BB267" s="335"/>
      <c r="BC267" s="335"/>
      <c r="BD267" s="335"/>
      <c r="BE267" s="335"/>
    </row>
    <row r="268" customFormat="false" ht="14.15" hidden="true" customHeight="true" outlineLevel="1" collapsed="false">
      <c r="A268" s="324" t="s">
        <v>1922</v>
      </c>
      <c r="D268" s="479"/>
      <c r="E268" s="501"/>
      <c r="F268" s="501"/>
      <c r="G268" s="504"/>
      <c r="H268" s="505"/>
      <c r="I268" s="461"/>
      <c r="J268" s="461"/>
      <c r="K268" s="461"/>
      <c r="L268" s="461"/>
      <c r="M268" s="461"/>
      <c r="N268" s="371"/>
      <c r="O268" s="412"/>
      <c r="P268" s="412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7"/>
      <c r="AD268" s="347"/>
      <c r="AE268" s="347"/>
      <c r="AF268" s="347"/>
      <c r="AG268" s="347"/>
      <c r="AH268" s="347"/>
      <c r="AI268" s="347"/>
      <c r="AJ268" s="347"/>
      <c r="AK268" s="347"/>
      <c r="AL268" s="347"/>
      <c r="AM268" s="347"/>
      <c r="AN268" s="347"/>
      <c r="AO268" s="351"/>
      <c r="AP268" s="351"/>
      <c r="AQ268" s="346"/>
      <c r="AR268" s="346"/>
      <c r="AS268" s="346"/>
      <c r="AT268" s="335"/>
      <c r="AU268" s="335"/>
      <c r="AV268" s="335"/>
      <c r="AW268" s="335"/>
      <c r="AX268" s="335"/>
      <c r="AY268" s="335"/>
      <c r="AZ268" s="335"/>
      <c r="BA268" s="335"/>
      <c r="BB268" s="335"/>
      <c r="BC268" s="335"/>
      <c r="BD268" s="335"/>
      <c r="BE268" s="335"/>
    </row>
    <row r="269" customFormat="false" ht="14.15" hidden="true" customHeight="true" outlineLevel="1" collapsed="false">
      <c r="A269" s="403" t="s">
        <v>152</v>
      </c>
      <c r="B269" s="404" t="s">
        <v>1793</v>
      </c>
      <c r="C269" s="378" t="n">
        <v>4</v>
      </c>
      <c r="D269" s="479"/>
      <c r="E269" s="501"/>
      <c r="F269" s="501"/>
      <c r="G269" s="504"/>
      <c r="H269" s="505"/>
      <c r="I269" s="461"/>
      <c r="J269" s="461"/>
      <c r="K269" s="461"/>
      <c r="L269" s="461"/>
      <c r="M269" s="461"/>
      <c r="N269" s="371"/>
      <c r="O269" s="412"/>
      <c r="P269" s="412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7"/>
      <c r="AD269" s="347"/>
      <c r="AE269" s="347"/>
      <c r="AF269" s="347"/>
      <c r="AG269" s="347"/>
      <c r="AH269" s="347"/>
      <c r="AI269" s="347"/>
      <c r="AJ269" s="347"/>
      <c r="AK269" s="347"/>
      <c r="AL269" s="347"/>
      <c r="AM269" s="347"/>
      <c r="AN269" s="347"/>
      <c r="AO269" s="351"/>
      <c r="AP269" s="351"/>
      <c r="AQ269" s="346"/>
      <c r="AR269" s="346"/>
      <c r="AS269" s="346"/>
      <c r="AT269" s="335"/>
      <c r="AU269" s="335"/>
      <c r="AV269" s="335"/>
      <c r="AW269" s="335"/>
      <c r="AX269" s="335"/>
      <c r="AY269" s="335"/>
      <c r="AZ269" s="335"/>
      <c r="BA269" s="335"/>
      <c r="BB269" s="335"/>
      <c r="BC269" s="335"/>
      <c r="BD269" s="335"/>
      <c r="BE269" s="335"/>
    </row>
    <row r="270" customFormat="false" ht="14.15" hidden="true" customHeight="true" outlineLevel="1" collapsed="false">
      <c r="A270" s="393" t="s">
        <v>152</v>
      </c>
      <c r="B270" s="404" t="s">
        <v>1793</v>
      </c>
      <c r="C270" s="370" t="n">
        <v>0</v>
      </c>
      <c r="D270" s="479"/>
      <c r="E270" s="501"/>
      <c r="F270" s="501"/>
      <c r="G270" s="504"/>
      <c r="H270" s="505"/>
      <c r="I270" s="461"/>
      <c r="J270" s="461"/>
      <c r="K270" s="461"/>
      <c r="L270" s="461"/>
      <c r="M270" s="461"/>
      <c r="N270" s="371"/>
      <c r="O270" s="412"/>
      <c r="P270" s="412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7"/>
      <c r="AD270" s="347"/>
      <c r="AE270" s="347"/>
      <c r="AF270" s="347"/>
      <c r="AG270" s="347"/>
      <c r="AH270" s="347"/>
      <c r="AI270" s="347"/>
      <c r="AJ270" s="347"/>
      <c r="AK270" s="347"/>
      <c r="AL270" s="347"/>
      <c r="AM270" s="347"/>
      <c r="AN270" s="347"/>
      <c r="AO270" s="351"/>
      <c r="AP270" s="351"/>
      <c r="AQ270" s="346"/>
      <c r="AR270" s="346"/>
      <c r="AS270" s="346"/>
      <c r="AT270" s="335"/>
      <c r="AU270" s="335"/>
      <c r="AV270" s="335"/>
      <c r="AW270" s="335"/>
      <c r="AX270" s="335"/>
      <c r="AY270" s="335"/>
      <c r="AZ270" s="335"/>
      <c r="BA270" s="335"/>
      <c r="BB270" s="335"/>
      <c r="BC270" s="335"/>
      <c r="BD270" s="335"/>
      <c r="BE270" s="335"/>
    </row>
    <row r="271" customFormat="false" ht="14.15" hidden="true" customHeight="true" outlineLevel="1" collapsed="false">
      <c r="D271" s="479"/>
      <c r="E271" s="501"/>
      <c r="F271" s="501"/>
      <c r="G271" s="504"/>
      <c r="H271" s="505"/>
      <c r="I271" s="461"/>
      <c r="J271" s="461"/>
      <c r="K271" s="461"/>
      <c r="L271" s="461"/>
      <c r="M271" s="461"/>
      <c r="N271" s="371"/>
      <c r="O271" s="412"/>
      <c r="P271" s="412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7"/>
      <c r="AD271" s="347"/>
      <c r="AE271" s="347"/>
      <c r="AF271" s="347"/>
      <c r="AG271" s="347"/>
      <c r="AH271" s="347"/>
      <c r="AI271" s="347"/>
      <c r="AJ271" s="347"/>
      <c r="AK271" s="347"/>
      <c r="AL271" s="347"/>
      <c r="AM271" s="347"/>
      <c r="AN271" s="347"/>
      <c r="AO271" s="351"/>
      <c r="AP271" s="351"/>
      <c r="AQ271" s="346"/>
      <c r="AR271" s="346"/>
      <c r="AS271" s="346"/>
      <c r="AT271" s="335"/>
      <c r="AU271" s="335"/>
      <c r="AV271" s="335"/>
      <c r="AW271" s="335"/>
      <c r="AX271" s="335"/>
      <c r="AY271" s="335"/>
      <c r="AZ271" s="335"/>
      <c r="BA271" s="335"/>
      <c r="BB271" s="335"/>
      <c r="BC271" s="335"/>
      <c r="BD271" s="335"/>
      <c r="BE271" s="335"/>
    </row>
    <row r="272" customFormat="false" ht="14.15" hidden="true" customHeight="true" outlineLevel="1" collapsed="false">
      <c r="A272" s="405" t="s">
        <v>1952</v>
      </c>
      <c r="B272" s="404" t="s">
        <v>1796</v>
      </c>
      <c r="C272" s="488" t="n">
        <v>10000</v>
      </c>
      <c r="D272" s="479"/>
      <c r="E272" s="501"/>
      <c r="F272" s="501"/>
      <c r="G272" s="504"/>
      <c r="H272" s="505"/>
      <c r="I272" s="461"/>
      <c r="J272" s="461"/>
      <c r="K272" s="461"/>
      <c r="L272" s="461"/>
      <c r="M272" s="461"/>
      <c r="N272" s="371"/>
      <c r="O272" s="412"/>
      <c r="P272" s="412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7"/>
      <c r="AD272" s="347"/>
      <c r="AE272" s="347"/>
      <c r="AF272" s="347"/>
      <c r="AG272" s="347"/>
      <c r="AH272" s="347"/>
      <c r="AI272" s="347"/>
      <c r="AJ272" s="347"/>
      <c r="AK272" s="347"/>
      <c r="AL272" s="347"/>
      <c r="AM272" s="347"/>
      <c r="AN272" s="347"/>
      <c r="AO272" s="351"/>
      <c r="AP272" s="351"/>
      <c r="AQ272" s="346"/>
      <c r="AR272" s="346"/>
      <c r="AS272" s="346"/>
      <c r="AT272" s="335"/>
      <c r="AU272" s="335"/>
      <c r="AV272" s="335"/>
      <c r="AW272" s="335"/>
      <c r="AX272" s="335"/>
      <c r="AY272" s="335"/>
      <c r="AZ272" s="335"/>
      <c r="BA272" s="335"/>
      <c r="BB272" s="335"/>
      <c r="BC272" s="335"/>
      <c r="BD272" s="335"/>
      <c r="BE272" s="335"/>
    </row>
    <row r="273" customFormat="false" ht="14.15" hidden="false" customHeight="true" outlineLevel="0" collapsed="false">
      <c r="A273" s="408" t="s">
        <v>1953</v>
      </c>
      <c r="B273" s="408"/>
      <c r="C273" s="408"/>
      <c r="D273" s="408"/>
      <c r="E273" s="408"/>
      <c r="F273" s="409" t="s">
        <v>1798</v>
      </c>
      <c r="G273" s="504"/>
      <c r="H273" s="505"/>
      <c r="I273" s="461"/>
      <c r="J273" s="461"/>
      <c r="K273" s="461"/>
      <c r="L273" s="461"/>
      <c r="M273" s="461"/>
      <c r="N273" s="371"/>
      <c r="O273" s="412"/>
      <c r="P273" s="412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7"/>
      <c r="AD273" s="347"/>
      <c r="AE273" s="347"/>
      <c r="AF273" s="347"/>
      <c r="AG273" s="347"/>
      <c r="AH273" s="347"/>
      <c r="AI273" s="347"/>
      <c r="AJ273" s="347"/>
      <c r="AK273" s="347"/>
      <c r="AL273" s="347"/>
      <c r="AM273" s="347"/>
      <c r="AN273" s="347"/>
      <c r="AO273" s="351"/>
      <c r="AP273" s="351"/>
      <c r="AQ273" s="346"/>
      <c r="AR273" s="346"/>
      <c r="AS273" s="346"/>
      <c r="AT273" s="335"/>
      <c r="AU273" s="335"/>
      <c r="AV273" s="335"/>
      <c r="AW273" s="335"/>
      <c r="AX273" s="335"/>
      <c r="AY273" s="335"/>
      <c r="AZ273" s="335"/>
      <c r="BA273" s="335"/>
      <c r="BB273" s="335"/>
      <c r="BC273" s="335"/>
      <c r="BD273" s="335"/>
      <c r="BE273" s="335"/>
    </row>
    <row r="274" customFormat="false" ht="14.15" hidden="false" customHeight="true" outlineLevel="0" collapsed="false">
      <c r="A274" s="477"/>
      <c r="B274" s="477"/>
      <c r="C274" s="477"/>
      <c r="D274" s="479"/>
      <c r="E274" s="501"/>
      <c r="F274" s="501"/>
      <c r="G274" s="504"/>
      <c r="H274" s="505"/>
      <c r="I274" s="461"/>
      <c r="J274" s="461"/>
      <c r="K274" s="461"/>
      <c r="AG274" s="347"/>
      <c r="AH274" s="347"/>
      <c r="AI274" s="347"/>
      <c r="AJ274" s="347"/>
      <c r="AK274" s="347"/>
      <c r="AL274" s="347"/>
      <c r="AM274" s="347"/>
      <c r="AN274" s="347"/>
      <c r="AO274" s="351"/>
      <c r="AP274" s="351"/>
      <c r="AQ274" s="346"/>
      <c r="AR274" s="346"/>
      <c r="AS274" s="346"/>
      <c r="AT274" s="335"/>
      <c r="AU274" s="335"/>
      <c r="AV274" s="335"/>
      <c r="AW274" s="335"/>
      <c r="AX274" s="335"/>
      <c r="AY274" s="335"/>
      <c r="AZ274" s="335"/>
      <c r="BA274" s="335"/>
      <c r="BB274" s="335"/>
      <c r="BC274" s="335"/>
      <c r="BD274" s="335"/>
      <c r="BE274" s="335"/>
    </row>
    <row r="275" customFormat="false" ht="14.15" hidden="true" customHeight="true" outlineLevel="1" collapsed="false">
      <c r="A275" s="460" t="s">
        <v>1954</v>
      </c>
      <c r="B275" s="460"/>
      <c r="C275" s="460"/>
      <c r="D275" s="460"/>
      <c r="E275" s="460"/>
      <c r="H275" s="347"/>
      <c r="I275" s="347"/>
      <c r="J275" s="411" t="s">
        <v>1955</v>
      </c>
      <c r="K275" s="411"/>
      <c r="L275" s="411"/>
      <c r="M275" s="411"/>
      <c r="N275" s="411"/>
      <c r="O275" s="411"/>
      <c r="P275" s="411"/>
      <c r="Q275" s="411"/>
      <c r="R275" s="411"/>
      <c r="S275" s="411"/>
      <c r="T275" s="411"/>
      <c r="U275" s="411"/>
      <c r="V275" s="411"/>
      <c r="W275" s="411"/>
      <c r="X275" s="411"/>
      <c r="Y275" s="411"/>
      <c r="Z275" s="411"/>
      <c r="AA275" s="411"/>
      <c r="AB275" s="411"/>
      <c r="AC275" s="411"/>
      <c r="AG275" s="347"/>
      <c r="AH275" s="347"/>
      <c r="AI275" s="347"/>
      <c r="AJ275" s="347"/>
      <c r="AK275" s="347"/>
      <c r="AL275" s="347"/>
      <c r="AM275" s="347"/>
      <c r="AN275" s="347"/>
      <c r="AO275" s="351"/>
      <c r="AP275" s="351"/>
      <c r="AQ275" s="346"/>
      <c r="AR275" s="346"/>
      <c r="AS275" s="346"/>
      <c r="AT275" s="335"/>
      <c r="AU275" s="335"/>
      <c r="AV275" s="335"/>
      <c r="AW275" s="335"/>
      <c r="AX275" s="335"/>
      <c r="AY275" s="335"/>
      <c r="AZ275" s="335"/>
      <c r="BA275" s="335"/>
      <c r="BB275" s="335"/>
      <c r="BC275" s="335"/>
      <c r="BD275" s="335"/>
      <c r="BE275" s="335"/>
    </row>
    <row r="276" customFormat="false" ht="14.15" hidden="true" customHeight="true" outlineLevel="1" collapsed="false">
      <c r="A276" s="347"/>
      <c r="B276" s="506"/>
      <c r="C276" s="507"/>
      <c r="D276" s="507"/>
      <c r="E276" s="507"/>
      <c r="F276" s="490"/>
      <c r="G276" s="358"/>
      <c r="H276" s="358"/>
      <c r="I276" s="461"/>
      <c r="J276" s="411"/>
      <c r="K276" s="411"/>
      <c r="L276" s="411"/>
      <c r="M276" s="411"/>
      <c r="N276" s="411"/>
      <c r="O276" s="411"/>
      <c r="P276" s="411"/>
      <c r="Q276" s="411"/>
      <c r="R276" s="411"/>
      <c r="S276" s="411"/>
      <c r="T276" s="411"/>
      <c r="U276" s="411"/>
      <c r="V276" s="411"/>
      <c r="W276" s="411"/>
      <c r="X276" s="411"/>
      <c r="Y276" s="411"/>
      <c r="Z276" s="411"/>
      <c r="AA276" s="411"/>
      <c r="AB276" s="411"/>
      <c r="AC276" s="411"/>
      <c r="AD276" s="496"/>
      <c r="AE276" s="496"/>
      <c r="AF276" s="496"/>
      <c r="AG276" s="496"/>
      <c r="AH276" s="496"/>
      <c r="AI276" s="496"/>
      <c r="AJ276" s="496"/>
      <c r="AK276" s="496"/>
      <c r="AL276" s="347"/>
      <c r="AM276" s="347"/>
      <c r="AN276" s="347"/>
      <c r="AO276" s="351"/>
      <c r="AP276" s="351"/>
      <c r="AQ276" s="346"/>
      <c r="AR276" s="346"/>
      <c r="AS276" s="346"/>
      <c r="AT276" s="335"/>
      <c r="AU276" s="335"/>
      <c r="AV276" s="335"/>
      <c r="AW276" s="335"/>
      <c r="AX276" s="335"/>
      <c r="AY276" s="335"/>
      <c r="AZ276" s="335"/>
      <c r="BA276" s="335"/>
      <c r="BB276" s="335"/>
      <c r="BC276" s="335"/>
      <c r="BD276" s="335"/>
      <c r="BE276" s="335"/>
    </row>
    <row r="277" customFormat="false" ht="14.15" hidden="true" customHeight="true" outlineLevel="1" collapsed="false">
      <c r="A277" s="508" t="s">
        <v>1884</v>
      </c>
      <c r="B277" s="508"/>
      <c r="C277" s="508"/>
      <c r="D277" s="508"/>
      <c r="E277" s="495" t="n">
        <v>1</v>
      </c>
      <c r="F277" s="452"/>
      <c r="G277" s="497"/>
      <c r="H277" s="358"/>
      <c r="I277" s="461"/>
      <c r="J277" s="347"/>
      <c r="K277" s="347"/>
      <c r="L277" s="347"/>
      <c r="M277" s="461"/>
      <c r="N277" s="371"/>
      <c r="O277" s="412"/>
      <c r="P277" s="412"/>
      <c r="Q277" s="347"/>
      <c r="R277" s="496"/>
      <c r="S277" s="496"/>
      <c r="T277" s="496"/>
      <c r="U277" s="496"/>
      <c r="V277" s="496"/>
      <c r="W277" s="496"/>
      <c r="X277" s="496"/>
      <c r="Y277" s="496"/>
      <c r="Z277" s="496"/>
      <c r="AA277" s="496"/>
      <c r="AB277" s="496"/>
      <c r="AC277" s="496"/>
      <c r="AD277" s="496"/>
      <c r="AE277" s="496"/>
      <c r="AF277" s="496"/>
      <c r="AG277" s="496"/>
      <c r="AH277" s="496"/>
      <c r="AI277" s="496"/>
      <c r="AJ277" s="496"/>
      <c r="AK277" s="496"/>
      <c r="AL277" s="347"/>
      <c r="AM277" s="347"/>
      <c r="AN277" s="347"/>
      <c r="AO277" s="351"/>
      <c r="AP277" s="351"/>
      <c r="AQ277" s="346"/>
      <c r="AR277" s="346"/>
      <c r="AS277" s="346"/>
      <c r="AT277" s="335"/>
      <c r="AU277" s="335"/>
      <c r="AV277" s="335"/>
      <c r="AW277" s="335"/>
      <c r="AX277" s="335"/>
      <c r="AY277" s="335"/>
      <c r="AZ277" s="335"/>
      <c r="BA277" s="335"/>
      <c r="BB277" s="335"/>
      <c r="BC277" s="335"/>
      <c r="BD277" s="335"/>
      <c r="BE277" s="335"/>
    </row>
    <row r="278" customFormat="false" ht="14.15" hidden="true" customHeight="true" outlineLevel="1" collapsed="false">
      <c r="A278" s="494" t="s">
        <v>1885</v>
      </c>
      <c r="B278" s="494"/>
      <c r="C278" s="494"/>
      <c r="D278" s="494"/>
      <c r="E278" s="495" t="n">
        <v>1</v>
      </c>
      <c r="F278" s="452"/>
      <c r="G278" s="463"/>
      <c r="H278" s="358"/>
      <c r="I278" s="461"/>
      <c r="J278" s="347"/>
      <c r="K278" s="347"/>
      <c r="L278" s="347"/>
      <c r="M278" s="461"/>
      <c r="N278" s="371"/>
      <c r="O278" s="412"/>
      <c r="P278" s="412"/>
      <c r="Q278" s="347"/>
      <c r="R278" s="496"/>
      <c r="S278" s="496"/>
      <c r="T278" s="496"/>
      <c r="U278" s="496"/>
      <c r="V278" s="496"/>
      <c r="W278" s="496"/>
      <c r="X278" s="496"/>
      <c r="Y278" s="496"/>
      <c r="Z278" s="496"/>
      <c r="AA278" s="496"/>
      <c r="AB278" s="496"/>
      <c r="AC278" s="496"/>
      <c r="AD278" s="496"/>
      <c r="AE278" s="496"/>
      <c r="AF278" s="496"/>
      <c r="AG278" s="496"/>
      <c r="AH278" s="496"/>
      <c r="AI278" s="496"/>
      <c r="AJ278" s="496"/>
      <c r="AK278" s="496"/>
      <c r="AL278" s="347"/>
      <c r="AM278" s="347"/>
      <c r="AN278" s="347"/>
      <c r="AO278" s="351"/>
      <c r="AP278" s="351"/>
      <c r="AQ278" s="346"/>
      <c r="AR278" s="346"/>
      <c r="AS278" s="346"/>
      <c r="AT278" s="335"/>
      <c r="AU278" s="335"/>
      <c r="AV278" s="335"/>
      <c r="AW278" s="335"/>
      <c r="AX278" s="335"/>
      <c r="AY278" s="335"/>
      <c r="AZ278" s="335"/>
      <c r="BA278" s="335"/>
      <c r="BB278" s="335"/>
      <c r="BC278" s="335"/>
      <c r="BD278" s="335"/>
      <c r="BE278" s="335"/>
    </row>
    <row r="279" customFormat="false" ht="14.15" hidden="true" customHeight="true" outlineLevel="1" collapsed="false">
      <c r="B279" s="500"/>
      <c r="C279" s="501"/>
      <c r="D279" s="498"/>
      <c r="E279" s="499"/>
      <c r="F279" s="499"/>
      <c r="G279" s="463"/>
      <c r="AQ279" s="346"/>
      <c r="AR279" s="346"/>
      <c r="AS279" s="346"/>
      <c r="AT279" s="335"/>
      <c r="AU279" s="335"/>
      <c r="AV279" s="335"/>
      <c r="AW279" s="335"/>
      <c r="AX279" s="335"/>
      <c r="AY279" s="335"/>
      <c r="AZ279" s="335"/>
      <c r="BA279" s="335"/>
      <c r="BB279" s="335"/>
      <c r="BC279" s="335"/>
      <c r="BD279" s="335"/>
      <c r="BE279" s="335"/>
    </row>
    <row r="280" customFormat="false" ht="14.15" hidden="true" customHeight="true" outlineLevel="1" collapsed="false">
      <c r="A280" s="425" t="s">
        <v>1093</v>
      </c>
      <c r="B280" s="425" t="s">
        <v>208</v>
      </c>
      <c r="C280" s="425" t="s">
        <v>156</v>
      </c>
      <c r="D280" s="347"/>
      <c r="E280" s="347"/>
      <c r="F280" s="347"/>
      <c r="G280" s="467"/>
      <c r="AQ280" s="335"/>
      <c r="AR280" s="335"/>
      <c r="AS280" s="335"/>
      <c r="AT280" s="335"/>
      <c r="AU280" s="346"/>
      <c r="AV280" s="346"/>
      <c r="AW280" s="335"/>
      <c r="AX280" s="335"/>
      <c r="AY280" s="335"/>
      <c r="AZ280" s="335"/>
      <c r="BA280" s="335"/>
      <c r="BB280" s="335"/>
      <c r="BC280" s="335"/>
      <c r="BD280" s="335"/>
      <c r="BE280" s="335"/>
    </row>
    <row r="281" customFormat="false" ht="14.15" hidden="true" customHeight="true" outlineLevel="1" collapsed="false">
      <c r="A281" s="324" t="s">
        <v>1889</v>
      </c>
      <c r="D281" s="489" t="s">
        <v>156</v>
      </c>
      <c r="E281" s="347"/>
      <c r="F281" s="347"/>
      <c r="G281" s="467"/>
      <c r="AQ281" s="335"/>
      <c r="AR281" s="335"/>
      <c r="AS281" s="335"/>
      <c r="AT281" s="335"/>
      <c r="AU281" s="346"/>
      <c r="AV281" s="346"/>
      <c r="AW281" s="335"/>
      <c r="AX281" s="335"/>
      <c r="AY281" s="335"/>
      <c r="AZ281" s="335"/>
      <c r="BA281" s="335"/>
      <c r="BB281" s="335"/>
      <c r="BC281" s="335"/>
      <c r="BD281" s="335"/>
      <c r="BE281" s="335"/>
    </row>
    <row r="282" customFormat="false" ht="14.15" hidden="true" customHeight="true" outlineLevel="1" collapsed="false">
      <c r="A282" s="465" t="s">
        <v>1890</v>
      </c>
      <c r="D282" s="382" t="n">
        <v>7.48</v>
      </c>
      <c r="E282" s="347"/>
      <c r="F282" s="347"/>
      <c r="G282" s="467"/>
      <c r="AQ282" s="335"/>
      <c r="AR282" s="335"/>
      <c r="AS282" s="335"/>
      <c r="AT282" s="335"/>
      <c r="AU282" s="335"/>
      <c r="AV282" s="335"/>
      <c r="AW282" s="335"/>
      <c r="AX282" s="335"/>
      <c r="AY282" s="335"/>
      <c r="AZ282" s="335"/>
      <c r="BA282" s="335"/>
      <c r="BB282" s="335"/>
      <c r="BC282" s="335"/>
      <c r="BD282" s="335"/>
      <c r="BE282" s="335"/>
    </row>
    <row r="283" customFormat="false" ht="14.15" hidden="true" customHeight="true" outlineLevel="1" collapsed="false">
      <c r="A283" s="466" t="s">
        <v>1891</v>
      </c>
      <c r="B283" s="467"/>
      <c r="C283" s="502"/>
      <c r="D283" s="358"/>
      <c r="E283" s="358"/>
      <c r="F283" s="358"/>
      <c r="G283" s="357"/>
      <c r="H283" s="355"/>
      <c r="I283" s="355"/>
      <c r="J283" s="355"/>
      <c r="K283" s="355"/>
      <c r="L283" s="355"/>
      <c r="M283" s="355"/>
      <c r="N283" s="355"/>
      <c r="O283" s="355"/>
      <c r="P283" s="355"/>
      <c r="Q283" s="355"/>
      <c r="R283" s="355"/>
      <c r="S283" s="355"/>
      <c r="T283" s="355"/>
      <c r="U283" s="355"/>
      <c r="V283" s="355"/>
      <c r="W283" s="355"/>
      <c r="X283" s="355"/>
      <c r="Y283" s="355"/>
      <c r="Z283" s="355"/>
      <c r="AA283" s="355"/>
      <c r="AB283" s="355"/>
      <c r="AC283" s="355"/>
      <c r="AD283" s="355"/>
      <c r="AE283" s="355"/>
      <c r="AF283" s="355"/>
      <c r="AG283" s="355"/>
      <c r="AH283" s="355"/>
      <c r="AI283" s="355"/>
      <c r="AJ283" s="355"/>
      <c r="AK283" s="355"/>
      <c r="AQ283" s="335"/>
      <c r="AR283" s="335"/>
      <c r="AS283" s="335"/>
      <c r="AT283" s="335"/>
      <c r="AU283" s="335"/>
      <c r="AV283" s="335"/>
      <c r="AW283" s="335"/>
      <c r="AX283" s="335"/>
      <c r="AY283" s="335"/>
      <c r="AZ283" s="335"/>
      <c r="BA283" s="335"/>
      <c r="BB283" s="335"/>
      <c r="BC283" s="335"/>
      <c r="BD283" s="335"/>
      <c r="BE283" s="335"/>
    </row>
    <row r="284" customFormat="false" ht="14.15" hidden="true" customHeight="true" outlineLevel="1" collapsed="false">
      <c r="A284" s="470" t="s">
        <v>493</v>
      </c>
      <c r="B284" s="467"/>
      <c r="C284" s="502"/>
      <c r="D284" s="348"/>
      <c r="E284" s="348"/>
      <c r="F284" s="348"/>
      <c r="G284" s="348"/>
      <c r="H284" s="350"/>
      <c r="I284" s="349"/>
      <c r="J284" s="349"/>
      <c r="K284" s="349"/>
      <c r="L284" s="358"/>
      <c r="M284" s="358"/>
      <c r="N284" s="349"/>
      <c r="O284" s="349"/>
      <c r="P284" s="358"/>
      <c r="Q284" s="358"/>
      <c r="R284" s="358"/>
      <c r="S284" s="358"/>
      <c r="T284" s="358" t="s">
        <v>1926</v>
      </c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  <c r="AF284" s="358"/>
      <c r="AG284" s="358" t="s">
        <v>1937</v>
      </c>
      <c r="AH284" s="358"/>
      <c r="AI284" s="445"/>
      <c r="AJ284" s="359"/>
      <c r="AK284" s="355"/>
      <c r="AQ284" s="335"/>
      <c r="AR284" s="335"/>
      <c r="AS284" s="335"/>
      <c r="AT284" s="335"/>
      <c r="AU284" s="335"/>
      <c r="AV284" s="335"/>
      <c r="AW284" s="335"/>
      <c r="AX284" s="335"/>
      <c r="AY284" s="335"/>
      <c r="AZ284" s="335"/>
      <c r="BA284" s="335"/>
      <c r="BB284" s="335"/>
      <c r="BC284" s="335"/>
      <c r="BD284" s="335"/>
      <c r="BE284" s="335"/>
    </row>
    <row r="285" customFormat="false" ht="14.15" hidden="true" customHeight="true" outlineLevel="1" collapsed="false">
      <c r="A285" s="474" t="s">
        <v>1956</v>
      </c>
      <c r="B285" s="425" t="s">
        <v>156</v>
      </c>
      <c r="C285" s="366" t="n">
        <v>0.5</v>
      </c>
      <c r="D285" s="489" t="s">
        <v>156</v>
      </c>
      <c r="E285" s="348"/>
      <c r="F285" s="348"/>
      <c r="G285" s="348"/>
      <c r="H285" s="350"/>
      <c r="J285" s="348"/>
      <c r="K285" s="349"/>
      <c r="L285" s="349"/>
      <c r="M285" s="349"/>
      <c r="N285" s="349"/>
      <c r="O285" s="349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  <c r="AF285" s="358"/>
      <c r="AG285" s="358" t="n">
        <v>24</v>
      </c>
      <c r="AH285" s="358"/>
      <c r="AI285" s="445"/>
      <c r="AJ285" s="445"/>
      <c r="AK285" s="355"/>
      <c r="AQ285" s="335"/>
      <c r="AR285" s="335"/>
      <c r="AS285" s="335"/>
      <c r="AT285" s="335"/>
      <c r="AU285" s="335"/>
      <c r="AV285" s="335"/>
      <c r="AW285" s="335"/>
      <c r="AX285" s="335"/>
      <c r="AY285" s="335"/>
      <c r="AZ285" s="335"/>
      <c r="BA285" s="335"/>
      <c r="BB285" s="335"/>
      <c r="BC285" s="335" t="n">
        <v>1</v>
      </c>
      <c r="BD285" s="374" t="n">
        <f aca="false">D297</f>
        <v>3.7</v>
      </c>
      <c r="BE285" s="335"/>
    </row>
    <row r="286" customFormat="false" ht="14.15" hidden="true" customHeight="true" outlineLevel="1" collapsed="false">
      <c r="A286" s="265" t="s">
        <v>1943</v>
      </c>
      <c r="B286" s="404" t="s">
        <v>156</v>
      </c>
      <c r="C286" s="471" t="n">
        <v>6</v>
      </c>
      <c r="D286" s="382" t="n">
        <v>6.4</v>
      </c>
      <c r="E286" s="348"/>
      <c r="F286" s="348"/>
      <c r="G286" s="348"/>
      <c r="H286" s="350"/>
      <c r="J286" s="349"/>
      <c r="K286" s="349"/>
      <c r="L286" s="349"/>
      <c r="M286" s="349"/>
      <c r="N286" s="349"/>
      <c r="O286" s="349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 t="s">
        <v>1928</v>
      </c>
      <c r="AE286" s="358"/>
      <c r="AF286" s="358"/>
      <c r="AG286" s="358"/>
      <c r="AH286" s="358"/>
      <c r="AI286" s="445"/>
      <c r="AJ286" s="445"/>
      <c r="AK286" s="355"/>
      <c r="AQ286" s="335"/>
      <c r="AR286" s="335"/>
      <c r="AS286" s="335"/>
      <c r="AT286" s="335"/>
      <c r="AU286" s="335"/>
      <c r="AV286" s="335"/>
      <c r="AW286" s="335"/>
      <c r="AX286" s="335"/>
      <c r="AY286" s="335"/>
      <c r="AZ286" s="335"/>
      <c r="BA286" s="335"/>
      <c r="BB286" s="335"/>
      <c r="BC286" s="335" t="n">
        <v>2</v>
      </c>
      <c r="BD286" s="374" t="n">
        <f aca="false">D294</f>
        <v>4</v>
      </c>
      <c r="BE286" s="335"/>
    </row>
    <row r="287" customFormat="false" ht="14.15" hidden="true" customHeight="true" outlineLevel="1" collapsed="false">
      <c r="A287" s="265" t="s">
        <v>1896</v>
      </c>
      <c r="B287" s="404" t="s">
        <v>156</v>
      </c>
      <c r="C287" s="471" t="n">
        <v>0.5</v>
      </c>
      <c r="D287" s="489"/>
      <c r="E287" s="348"/>
      <c r="F287" s="348"/>
      <c r="G287" s="348"/>
      <c r="H287" s="350"/>
      <c r="I287" s="349"/>
      <c r="J287" s="349"/>
      <c r="K287" s="349"/>
      <c r="L287" s="349"/>
      <c r="M287" s="349"/>
      <c r="N287" s="349"/>
      <c r="O287" s="349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  <c r="AF287" s="358"/>
      <c r="AG287" s="358"/>
      <c r="AH287" s="358"/>
      <c r="AI287" s="445"/>
      <c r="AJ287" s="445"/>
      <c r="AK287" s="355"/>
      <c r="AQ287" s="335"/>
      <c r="AR287" s="335"/>
      <c r="AS287" s="335"/>
      <c r="AT287" s="335"/>
      <c r="AU287" s="335"/>
      <c r="AV287" s="335"/>
      <c r="AW287" s="335"/>
      <c r="AX287" s="335"/>
      <c r="AY287" s="335"/>
      <c r="AZ287" s="335"/>
      <c r="BA287" s="335"/>
      <c r="BB287" s="335"/>
      <c r="BC287" s="335" t="n">
        <v>3</v>
      </c>
      <c r="BD287" s="374" t="n">
        <f aca="false">D290</f>
        <v>6.1</v>
      </c>
      <c r="BE287" s="335"/>
    </row>
    <row r="288" customFormat="false" ht="14.15" hidden="true" customHeight="true" outlineLevel="1" collapsed="false">
      <c r="A288" s="265" t="s">
        <v>1957</v>
      </c>
      <c r="B288" s="404" t="s">
        <v>156</v>
      </c>
      <c r="C288" s="471" t="n">
        <v>0.5</v>
      </c>
      <c r="D288" s="489"/>
      <c r="E288" s="348"/>
      <c r="F288" s="348"/>
      <c r="G288" s="348"/>
      <c r="H288" s="350"/>
      <c r="I288" s="349"/>
      <c r="J288" s="349"/>
      <c r="K288" s="349"/>
      <c r="L288" s="349"/>
      <c r="M288" s="349"/>
      <c r="N288" s="349"/>
      <c r="O288" s="349"/>
      <c r="P288" s="358"/>
      <c r="Q288" s="358"/>
      <c r="R288" s="358"/>
      <c r="S288" s="358"/>
      <c r="T288" s="358"/>
      <c r="U288" s="358" t="s">
        <v>1958</v>
      </c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  <c r="AF288" s="358"/>
      <c r="AG288" s="358"/>
      <c r="AH288" s="358"/>
      <c r="AI288" s="445"/>
      <c r="AJ288" s="445"/>
      <c r="AK288" s="355"/>
      <c r="AQ288" s="335"/>
      <c r="AR288" s="335"/>
      <c r="AS288" s="335"/>
      <c r="AT288" s="335"/>
      <c r="AU288" s="335"/>
      <c r="AV288" s="335"/>
      <c r="AW288" s="335"/>
      <c r="AX288" s="335"/>
      <c r="AY288" s="335"/>
      <c r="AZ288" s="335"/>
      <c r="BA288" s="335"/>
      <c r="BB288" s="335"/>
      <c r="BC288" s="335" t="n">
        <v>4</v>
      </c>
      <c r="BD288" s="374" t="n">
        <f aca="false">D286</f>
        <v>6.4</v>
      </c>
      <c r="BE288" s="335"/>
    </row>
    <row r="289" customFormat="false" ht="14.15" hidden="true" customHeight="true" outlineLevel="1" collapsed="false">
      <c r="A289" s="474" t="s">
        <v>1959</v>
      </c>
      <c r="B289" s="425" t="s">
        <v>156</v>
      </c>
      <c r="C289" s="509" t="n">
        <v>0.1</v>
      </c>
      <c r="D289" s="489" t="s">
        <v>156</v>
      </c>
      <c r="G289" s="348"/>
      <c r="H289" s="350"/>
      <c r="I289" s="349"/>
      <c r="J289" s="349"/>
      <c r="K289" s="349"/>
      <c r="L289" s="349"/>
      <c r="M289" s="349"/>
      <c r="N289" s="349"/>
      <c r="O289" s="349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  <c r="AF289" s="358"/>
      <c r="AG289" s="358"/>
      <c r="AH289" s="358"/>
      <c r="AI289" s="445"/>
      <c r="AJ289" s="445"/>
      <c r="AK289" s="355"/>
      <c r="AQ289" s="335"/>
      <c r="AR289" s="335"/>
      <c r="AS289" s="335"/>
      <c r="AT289" s="335"/>
      <c r="AU289" s="335"/>
      <c r="AV289" s="335"/>
      <c r="AW289" s="335"/>
      <c r="AX289" s="335"/>
      <c r="AY289" s="335"/>
      <c r="AZ289" s="335"/>
      <c r="BA289" s="335"/>
      <c r="BB289" s="335"/>
      <c r="BC289" s="335" t="n">
        <v>5</v>
      </c>
      <c r="BD289" s="374" t="n">
        <f aca="false">D282</f>
        <v>7.48</v>
      </c>
      <c r="BE289" s="335"/>
    </row>
    <row r="290" customFormat="false" ht="14.15" hidden="true" customHeight="true" outlineLevel="1" collapsed="false">
      <c r="A290" s="324" t="s">
        <v>1907</v>
      </c>
      <c r="B290" s="477"/>
      <c r="C290" s="479"/>
      <c r="D290" s="489" t="n">
        <v>6.1</v>
      </c>
      <c r="G290" s="348"/>
      <c r="H290" s="350"/>
      <c r="I290" s="349"/>
      <c r="J290" s="349"/>
      <c r="K290" s="349"/>
      <c r="L290" s="349"/>
      <c r="M290" s="349"/>
      <c r="N290" s="349"/>
      <c r="O290" s="349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  <c r="AF290" s="358"/>
      <c r="AG290" s="358"/>
      <c r="AH290" s="358"/>
      <c r="AI290" s="445"/>
      <c r="AJ290" s="445"/>
      <c r="AK290" s="355"/>
      <c r="AQ290" s="335"/>
      <c r="AR290" s="335"/>
      <c r="AS290" s="335"/>
      <c r="AT290" s="335"/>
      <c r="AU290" s="335"/>
      <c r="AV290" s="335"/>
      <c r="AW290" s="335"/>
      <c r="AX290" s="335"/>
      <c r="AY290" s="335"/>
      <c r="AZ290" s="335"/>
      <c r="BA290" s="335"/>
      <c r="BB290" s="335"/>
      <c r="BC290" s="335" t="n">
        <v>6</v>
      </c>
      <c r="BD290" s="335" t="n">
        <f aca="false">Q301</f>
        <v>25</v>
      </c>
      <c r="BE290" s="335"/>
    </row>
    <row r="291" customFormat="false" ht="14.15" hidden="true" customHeight="true" outlineLevel="1" collapsed="false">
      <c r="A291" s="476" t="s">
        <v>1960</v>
      </c>
      <c r="B291" s="477"/>
      <c r="C291" s="479"/>
      <c r="D291" s="348"/>
      <c r="E291" s="348"/>
      <c r="F291" s="348"/>
      <c r="G291" s="348"/>
      <c r="H291" s="350"/>
      <c r="I291" s="349"/>
      <c r="J291" s="349"/>
      <c r="K291" s="349"/>
      <c r="L291" s="349"/>
      <c r="M291" s="349"/>
      <c r="N291" s="349"/>
      <c r="O291" s="349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  <c r="AF291" s="358"/>
      <c r="AG291" s="358"/>
      <c r="AH291" s="358"/>
      <c r="AI291" s="445"/>
      <c r="AJ291" s="445"/>
      <c r="AK291" s="355"/>
      <c r="AQ291" s="335"/>
      <c r="AR291" s="335"/>
      <c r="AS291" s="335"/>
      <c r="AT291" s="335"/>
      <c r="AU291" s="335"/>
      <c r="AV291" s="335"/>
      <c r="AW291" s="335"/>
      <c r="AX291" s="335"/>
      <c r="AY291" s="335"/>
      <c r="AZ291" s="335"/>
      <c r="BA291" s="335"/>
      <c r="BB291" s="335"/>
      <c r="BC291" s="335" t="n">
        <v>7</v>
      </c>
      <c r="BD291" s="335" t="n">
        <f aca="false">N301</f>
        <v>70</v>
      </c>
      <c r="BE291" s="335"/>
    </row>
    <row r="292" customFormat="false" ht="14.15" hidden="true" customHeight="true" outlineLevel="1" collapsed="false">
      <c r="A292" s="324" t="s">
        <v>1909</v>
      </c>
      <c r="D292" s="348"/>
      <c r="E292" s="348"/>
      <c r="F292" s="348"/>
      <c r="G292" s="348"/>
      <c r="H292" s="350"/>
      <c r="I292" s="349"/>
      <c r="J292" s="349"/>
      <c r="K292" s="349"/>
      <c r="L292" s="349"/>
      <c r="M292" s="349"/>
      <c r="N292" s="349"/>
      <c r="O292" s="349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  <c r="AF292" s="358"/>
      <c r="AG292" s="358"/>
      <c r="AH292" s="358"/>
      <c r="AI292" s="445" t="s">
        <v>1961</v>
      </c>
      <c r="AJ292" s="445"/>
      <c r="AK292" s="355"/>
      <c r="AQ292" s="335"/>
      <c r="AR292" s="335"/>
      <c r="AS292" s="335"/>
      <c r="AT292" s="335"/>
      <c r="AU292" s="335"/>
      <c r="AV292" s="335"/>
      <c r="AW292" s="335"/>
      <c r="AX292" s="335"/>
      <c r="AY292" s="335"/>
      <c r="AZ292" s="335"/>
      <c r="BA292" s="335"/>
      <c r="BB292" s="335"/>
      <c r="BC292" s="335" t="n">
        <v>8</v>
      </c>
      <c r="BD292" s="335" t="n">
        <f aca="false">AG285</f>
        <v>24</v>
      </c>
      <c r="BE292" s="335"/>
    </row>
    <row r="293" customFormat="false" ht="14.15" hidden="true" customHeight="true" outlineLevel="1" collapsed="false">
      <c r="A293" s="478" t="s">
        <v>270</v>
      </c>
      <c r="D293" s="348" t="s">
        <v>156</v>
      </c>
      <c r="E293" s="348"/>
      <c r="F293" s="348"/>
      <c r="H293" s="350"/>
      <c r="I293" s="349"/>
      <c r="J293" s="349"/>
      <c r="K293" s="349"/>
      <c r="L293" s="349"/>
      <c r="M293" s="349"/>
      <c r="N293" s="349"/>
      <c r="O293" s="349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  <c r="AF293" s="358"/>
      <c r="AG293" s="358"/>
      <c r="AH293" s="358"/>
      <c r="AI293" s="445"/>
      <c r="AK293" s="355"/>
      <c r="AQ293" s="335"/>
      <c r="AR293" s="335"/>
      <c r="AS293" s="335"/>
      <c r="AT293" s="335"/>
      <c r="AU293" s="335"/>
      <c r="AV293" s="335"/>
      <c r="AW293" s="335"/>
      <c r="AX293" s="335"/>
      <c r="AY293" s="335"/>
      <c r="AZ293" s="335"/>
      <c r="BA293" s="335"/>
      <c r="BB293" s="335"/>
      <c r="BC293" s="335"/>
      <c r="BD293" s="335"/>
      <c r="BE293" s="335"/>
    </row>
    <row r="294" customFormat="false" ht="14.15" hidden="true" customHeight="true" outlineLevel="1" collapsed="false">
      <c r="A294" s="324" t="s">
        <v>1910</v>
      </c>
      <c r="D294" s="348" t="n">
        <v>4</v>
      </c>
      <c r="E294" s="348"/>
      <c r="F294" s="348"/>
      <c r="H294" s="350"/>
      <c r="I294" s="349"/>
      <c r="J294" s="349"/>
      <c r="K294" s="349"/>
      <c r="L294" s="349"/>
      <c r="M294" s="349"/>
      <c r="N294" s="349"/>
      <c r="O294" s="349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  <c r="AF294" s="358"/>
      <c r="AG294" s="358"/>
      <c r="AH294" s="358"/>
      <c r="AI294" s="445"/>
      <c r="AJ294" s="445"/>
      <c r="AK294" s="355"/>
      <c r="AQ294" s="335"/>
      <c r="AR294" s="335"/>
      <c r="AS294" s="335"/>
      <c r="AT294" s="335"/>
      <c r="AU294" s="335"/>
      <c r="AV294" s="335"/>
      <c r="AW294" s="335"/>
      <c r="AX294" s="335"/>
      <c r="AY294" s="335"/>
      <c r="AZ294" s="335"/>
      <c r="BA294" s="335"/>
      <c r="BB294" s="335"/>
      <c r="BC294" s="335"/>
      <c r="BD294" s="335"/>
      <c r="BE294" s="335"/>
    </row>
    <row r="295" customFormat="false" ht="14.15" hidden="true" customHeight="true" outlineLevel="1" collapsed="false">
      <c r="A295" s="478" t="s">
        <v>277</v>
      </c>
      <c r="D295" s="348"/>
      <c r="E295" s="348"/>
      <c r="F295" s="348"/>
      <c r="G295" s="348"/>
      <c r="H295" s="350"/>
      <c r="I295" s="349"/>
      <c r="J295" s="349"/>
      <c r="K295" s="349"/>
      <c r="L295" s="349"/>
      <c r="M295" s="349"/>
      <c r="N295" s="349"/>
      <c r="O295" s="349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  <c r="AF295" s="358"/>
      <c r="AG295" s="358"/>
      <c r="AH295" s="358"/>
      <c r="AI295" s="445"/>
      <c r="AJ295" s="445"/>
      <c r="AK295" s="355"/>
      <c r="AQ295" s="335"/>
      <c r="AR295" s="335"/>
      <c r="AS295" s="335"/>
      <c r="AT295" s="335"/>
      <c r="AU295" s="335"/>
      <c r="AV295" s="335"/>
      <c r="AW295" s="335"/>
      <c r="AX295" s="335"/>
      <c r="AY295" s="335"/>
      <c r="AZ295" s="335"/>
      <c r="BA295" s="335"/>
      <c r="BB295" s="335"/>
      <c r="BC295" s="335"/>
      <c r="BD295" s="335"/>
      <c r="BE295" s="335"/>
    </row>
    <row r="296" customFormat="false" ht="14.15" hidden="true" customHeight="true" outlineLevel="1" collapsed="false">
      <c r="A296" s="324" t="s">
        <v>1911</v>
      </c>
      <c r="D296" s="348" t="s">
        <v>156</v>
      </c>
      <c r="E296" s="348"/>
      <c r="F296" s="348"/>
      <c r="G296" s="348"/>
      <c r="H296" s="350"/>
      <c r="I296" s="349"/>
      <c r="J296" s="349"/>
      <c r="K296" s="349"/>
      <c r="L296" s="349"/>
      <c r="M296" s="349"/>
      <c r="N296" s="349"/>
      <c r="O296" s="349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  <c r="AF296" s="358"/>
      <c r="AG296" s="358"/>
      <c r="AH296" s="358"/>
      <c r="AI296" s="445"/>
      <c r="AJ296" s="445"/>
      <c r="AK296" s="355"/>
      <c r="AQ296" s="335"/>
      <c r="AR296" s="335"/>
      <c r="AS296" s="335"/>
      <c r="AT296" s="335"/>
      <c r="AU296" s="335"/>
      <c r="AV296" s="335"/>
      <c r="AW296" s="335"/>
      <c r="AX296" s="335"/>
      <c r="AY296" s="335"/>
      <c r="AZ296" s="335"/>
      <c r="BA296" s="335"/>
      <c r="BB296" s="335"/>
      <c r="BC296" s="335"/>
      <c r="BD296" s="335"/>
      <c r="BE296" s="335"/>
    </row>
    <row r="297" customFormat="false" ht="14.15" hidden="true" customHeight="true" outlineLevel="1" collapsed="false">
      <c r="A297" s="480" t="s">
        <v>493</v>
      </c>
      <c r="D297" s="348" t="n">
        <v>3.7</v>
      </c>
      <c r="E297" s="348"/>
      <c r="F297" s="348"/>
      <c r="G297" s="348"/>
      <c r="H297" s="350"/>
      <c r="I297" s="349"/>
      <c r="J297" s="349"/>
      <c r="K297" s="349"/>
      <c r="L297" s="349"/>
      <c r="M297" s="349"/>
      <c r="N297" s="349"/>
      <c r="O297" s="349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  <c r="AF297" s="358"/>
      <c r="AG297" s="358"/>
      <c r="AH297" s="358"/>
      <c r="AI297" s="445"/>
      <c r="AJ297" s="445"/>
      <c r="AK297" s="355"/>
      <c r="AQ297" s="335"/>
      <c r="AR297" s="335"/>
      <c r="AS297" s="335"/>
      <c r="AT297" s="335"/>
      <c r="AU297" s="335"/>
      <c r="AV297" s="335"/>
      <c r="AW297" s="335"/>
      <c r="AX297" s="335"/>
      <c r="AY297" s="335"/>
      <c r="AZ297" s="335"/>
      <c r="BA297" s="335"/>
      <c r="BB297" s="335"/>
      <c r="BC297" s="335"/>
      <c r="BD297" s="335"/>
      <c r="BE297" s="335"/>
    </row>
    <row r="298" customFormat="false" ht="14.15" hidden="true" customHeight="true" outlineLevel="1" collapsed="false">
      <c r="A298" s="324" t="s">
        <v>1913</v>
      </c>
      <c r="D298" s="348"/>
      <c r="E298" s="348"/>
      <c r="F298" s="348"/>
      <c r="G298" s="348"/>
      <c r="H298" s="350"/>
      <c r="I298" s="349"/>
      <c r="J298" s="349"/>
      <c r="K298" s="349"/>
      <c r="L298" s="349"/>
      <c r="M298" s="349"/>
      <c r="N298" s="349"/>
      <c r="O298" s="349"/>
      <c r="P298" s="358"/>
      <c r="Q298" s="358"/>
      <c r="R298" s="358"/>
      <c r="S298" s="358"/>
      <c r="T298" s="358"/>
      <c r="U298" s="358"/>
      <c r="V298" s="358"/>
      <c r="W298" s="358"/>
      <c r="X298" s="358"/>
      <c r="Y298" s="412"/>
      <c r="Z298" s="412"/>
      <c r="AA298" s="412"/>
      <c r="AB298" s="412"/>
      <c r="AC298" s="412"/>
      <c r="AD298" s="412"/>
      <c r="AE298" s="412"/>
      <c r="AF298" s="412"/>
      <c r="AG298" s="412"/>
      <c r="AH298" s="371"/>
      <c r="AI298" s="445"/>
      <c r="AJ298" s="445"/>
      <c r="AK298" s="355"/>
      <c r="AQ298" s="335"/>
      <c r="AR298" s="335"/>
      <c r="AS298" s="335"/>
      <c r="AT298" s="335"/>
      <c r="AU298" s="335"/>
      <c r="AV298" s="335"/>
      <c r="AW298" s="335"/>
      <c r="AX298" s="335"/>
      <c r="AY298" s="335"/>
      <c r="AZ298" s="335"/>
      <c r="BA298" s="335"/>
      <c r="BB298" s="335"/>
      <c r="BC298" s="335"/>
      <c r="BD298" s="335"/>
      <c r="BE298" s="335"/>
    </row>
    <row r="299" customFormat="false" ht="14.15" hidden="true" customHeight="true" outlineLevel="1" collapsed="false">
      <c r="A299" s="481" t="s">
        <v>704</v>
      </c>
      <c r="D299" s="348"/>
      <c r="E299" s="348"/>
      <c r="F299" s="348"/>
      <c r="G299" s="348"/>
      <c r="H299" s="350"/>
      <c r="I299" s="349"/>
      <c r="J299" s="349"/>
      <c r="K299" s="349"/>
      <c r="L299" s="349"/>
      <c r="M299" s="349"/>
      <c r="N299" s="349"/>
      <c r="O299" s="349"/>
      <c r="P299" s="358"/>
      <c r="Q299" s="358"/>
      <c r="R299" s="358"/>
      <c r="S299" s="358"/>
      <c r="T299" s="358"/>
      <c r="U299" s="358"/>
      <c r="V299" s="358"/>
      <c r="W299" s="358"/>
      <c r="X299" s="358"/>
      <c r="Y299" s="412"/>
      <c r="Z299" s="412"/>
      <c r="AA299" s="412"/>
      <c r="AB299" s="412"/>
      <c r="AC299" s="412"/>
      <c r="AD299" s="412"/>
      <c r="AE299" s="412"/>
      <c r="AF299" s="412"/>
      <c r="AG299" s="412"/>
      <c r="AH299" s="371"/>
      <c r="AI299" s="445"/>
      <c r="AJ299" s="445"/>
      <c r="AK299" s="358"/>
      <c r="AO299" s="351"/>
      <c r="AP299" s="351"/>
      <c r="AQ299" s="335"/>
      <c r="AR299" s="335"/>
      <c r="AS299" s="335"/>
      <c r="AT299" s="335"/>
      <c r="AU299" s="335"/>
      <c r="AV299" s="335"/>
      <c r="AW299" s="335"/>
      <c r="AX299" s="335"/>
      <c r="AY299" s="335"/>
      <c r="AZ299" s="335"/>
      <c r="BA299" s="335"/>
      <c r="BB299" s="335"/>
      <c r="BC299" s="335"/>
      <c r="BD299" s="335"/>
      <c r="BE299" s="335"/>
    </row>
    <row r="300" customFormat="false" ht="14.15" hidden="true" customHeight="true" outlineLevel="1" collapsed="false">
      <c r="A300" s="485" t="s">
        <v>1914</v>
      </c>
      <c r="B300" s="404" t="s">
        <v>159</v>
      </c>
      <c r="C300" s="265" t="n">
        <v>0</v>
      </c>
      <c r="D300" s="461"/>
      <c r="E300" s="461"/>
      <c r="F300" s="461"/>
      <c r="G300" s="461"/>
      <c r="H300" s="412"/>
      <c r="I300" s="358"/>
      <c r="J300" s="358"/>
      <c r="K300" s="358"/>
      <c r="L300" s="358"/>
      <c r="M300" s="358"/>
      <c r="O300" s="371"/>
      <c r="P300" s="358"/>
      <c r="R300" s="371"/>
      <c r="S300" s="358"/>
      <c r="T300" s="358"/>
      <c r="U300" s="358"/>
      <c r="V300" s="358"/>
      <c r="W300" s="358"/>
      <c r="X300" s="358"/>
      <c r="Y300" s="412"/>
      <c r="Z300" s="412"/>
      <c r="AA300" s="412"/>
      <c r="AB300" s="412"/>
      <c r="AC300" s="412"/>
      <c r="AD300" s="412"/>
      <c r="AE300" s="412"/>
      <c r="AF300" s="412"/>
      <c r="AG300" s="412"/>
      <c r="AH300" s="371"/>
      <c r="AI300" s="445"/>
      <c r="AJ300" s="445"/>
      <c r="AK300" s="358"/>
      <c r="AO300" s="351"/>
      <c r="AP300" s="351"/>
      <c r="AQ300" s="335"/>
      <c r="AR300" s="335"/>
      <c r="AS300" s="335"/>
      <c r="AT300" s="335"/>
      <c r="AU300" s="335"/>
      <c r="AV300" s="335"/>
      <c r="AW300" s="335"/>
      <c r="AX300" s="335"/>
      <c r="AY300" s="335"/>
      <c r="AZ300" s="335"/>
      <c r="BA300" s="335"/>
      <c r="BB300" s="335"/>
      <c r="BC300" s="335"/>
      <c r="BD300" s="335"/>
      <c r="BE300" s="335"/>
    </row>
    <row r="301" customFormat="false" ht="14.15" hidden="true" customHeight="true" outlineLevel="1" collapsed="false">
      <c r="A301" s="485" t="s">
        <v>1915</v>
      </c>
      <c r="B301" s="404" t="s">
        <v>159</v>
      </c>
      <c r="C301" s="265" t="n">
        <v>0</v>
      </c>
      <c r="D301" s="461"/>
      <c r="E301" s="461"/>
      <c r="F301" s="461"/>
      <c r="G301" s="461"/>
      <c r="H301" s="452" t="s">
        <v>1899</v>
      </c>
      <c r="I301" s="358"/>
      <c r="J301" s="358"/>
      <c r="K301" s="358"/>
      <c r="L301" s="358"/>
      <c r="M301" s="358"/>
      <c r="N301" s="371" t="n">
        <v>70</v>
      </c>
      <c r="O301" s="371"/>
      <c r="P301" s="358"/>
      <c r="Q301" s="371" t="n">
        <v>25</v>
      </c>
      <c r="R301" s="371"/>
      <c r="S301" s="358"/>
      <c r="T301" s="358"/>
      <c r="U301" s="358"/>
      <c r="V301" s="358"/>
      <c r="W301" s="358"/>
      <c r="X301" s="358"/>
      <c r="Y301" s="412"/>
      <c r="Z301" s="412"/>
      <c r="AA301" s="412"/>
      <c r="AB301" s="412"/>
      <c r="AC301" s="412"/>
      <c r="AD301" s="412"/>
      <c r="AE301" s="412"/>
      <c r="AF301" s="412"/>
      <c r="AG301" s="412"/>
      <c r="AH301" s="371"/>
      <c r="AI301" s="445"/>
      <c r="AJ301" s="445"/>
      <c r="AK301" s="358"/>
      <c r="AO301" s="351"/>
      <c r="AP301" s="351"/>
      <c r="AQ301" s="335"/>
      <c r="AR301" s="335"/>
      <c r="AS301" s="335"/>
      <c r="AT301" s="335"/>
      <c r="AU301" s="335"/>
      <c r="AV301" s="335"/>
      <c r="AW301" s="335"/>
      <c r="AX301" s="335"/>
      <c r="AY301" s="335"/>
      <c r="AZ301" s="335"/>
      <c r="BA301" s="335"/>
      <c r="BB301" s="335"/>
      <c r="BC301" s="335"/>
      <c r="BD301" s="335"/>
      <c r="BE301" s="335"/>
    </row>
    <row r="302" customFormat="false" ht="14.15" hidden="true" customHeight="true" outlineLevel="1" collapsed="false">
      <c r="A302" s="485" t="s">
        <v>1916</v>
      </c>
      <c r="B302" s="404" t="s">
        <v>159</v>
      </c>
      <c r="C302" s="265" t="n">
        <v>0</v>
      </c>
      <c r="D302" s="461"/>
      <c r="E302" s="461"/>
      <c r="F302" s="461"/>
      <c r="G302" s="461"/>
      <c r="H302" s="412"/>
      <c r="I302" s="358"/>
      <c r="J302" s="358"/>
      <c r="K302" s="358"/>
      <c r="L302" s="358"/>
      <c r="M302" s="358"/>
      <c r="N302" s="358" t="s">
        <v>1937</v>
      </c>
      <c r="O302" s="358"/>
      <c r="P302" s="358"/>
      <c r="Q302" s="358" t="s">
        <v>1937</v>
      </c>
      <c r="R302" s="358"/>
      <c r="S302" s="358"/>
      <c r="T302" s="358"/>
      <c r="U302" s="358"/>
      <c r="V302" s="358"/>
      <c r="W302" s="358"/>
      <c r="X302" s="358"/>
      <c r="Y302" s="412"/>
      <c r="Z302" s="412"/>
      <c r="AA302" s="412"/>
      <c r="AB302" s="412"/>
      <c r="AC302" s="412"/>
      <c r="AD302" s="412"/>
      <c r="AE302" s="412"/>
      <c r="AF302" s="412"/>
      <c r="AG302" s="412"/>
      <c r="AH302" s="371"/>
      <c r="AI302" s="445"/>
      <c r="AJ302" s="445"/>
      <c r="AK302" s="358"/>
      <c r="AO302" s="351"/>
      <c r="AP302" s="351"/>
      <c r="AQ302" s="335"/>
      <c r="AR302" s="335"/>
      <c r="AS302" s="335"/>
      <c r="AT302" s="335"/>
      <c r="AU302" s="335"/>
      <c r="AV302" s="335"/>
      <c r="AW302" s="335"/>
      <c r="AX302" s="335"/>
      <c r="AY302" s="335"/>
      <c r="AZ302" s="335"/>
      <c r="BA302" s="335"/>
      <c r="BB302" s="335"/>
      <c r="BC302" s="335"/>
      <c r="BD302" s="335"/>
      <c r="BE302" s="335"/>
    </row>
    <row r="303" customFormat="false" ht="14.15" hidden="true" customHeight="true" outlineLevel="1" collapsed="false">
      <c r="A303" s="324" t="s">
        <v>1917</v>
      </c>
      <c r="D303" s="358"/>
      <c r="E303" s="358"/>
      <c r="F303" s="358"/>
      <c r="G303" s="412"/>
      <c r="H303" s="412"/>
      <c r="I303" s="412"/>
      <c r="J303" s="412"/>
      <c r="K303" s="412"/>
      <c r="L303" s="412"/>
      <c r="M303" s="412"/>
      <c r="N303" s="412"/>
      <c r="O303" s="412"/>
      <c r="P303" s="412"/>
      <c r="Q303" s="412"/>
      <c r="R303" s="412"/>
      <c r="S303" s="412"/>
      <c r="T303" s="412"/>
      <c r="U303" s="412"/>
      <c r="V303" s="452" t="s">
        <v>1904</v>
      </c>
      <c r="W303" s="412"/>
      <c r="X303" s="412"/>
      <c r="Y303" s="412"/>
      <c r="Z303" s="412"/>
      <c r="AA303" s="412"/>
      <c r="AB303" s="412"/>
      <c r="AC303" s="412"/>
      <c r="AD303" s="371"/>
      <c r="AE303" s="371"/>
      <c r="AF303" s="371"/>
      <c r="AG303" s="371"/>
      <c r="AH303" s="358"/>
      <c r="AI303" s="359"/>
      <c r="AJ303" s="359"/>
      <c r="AK303" s="358"/>
      <c r="AO303" s="351"/>
      <c r="AP303" s="351"/>
      <c r="AQ303" s="335"/>
      <c r="AR303" s="335"/>
      <c r="AS303" s="335"/>
      <c r="AT303" s="335"/>
      <c r="AU303" s="335"/>
      <c r="AV303" s="335"/>
      <c r="AW303" s="335"/>
      <c r="AX303" s="335"/>
      <c r="AY303" s="335"/>
      <c r="AZ303" s="335"/>
      <c r="BA303" s="335"/>
      <c r="BB303" s="335"/>
      <c r="BC303" s="335"/>
      <c r="BD303" s="335"/>
      <c r="BE303" s="335"/>
    </row>
    <row r="304" customFormat="false" ht="14.15" hidden="true" customHeight="true" outlineLevel="1" collapsed="false">
      <c r="A304" s="478" t="s">
        <v>1962</v>
      </c>
      <c r="D304" s="347"/>
      <c r="E304" s="347"/>
      <c r="F304" s="347"/>
      <c r="G304" s="347"/>
      <c r="H304" s="505"/>
      <c r="I304" s="492"/>
      <c r="J304" s="347"/>
      <c r="K304" s="347"/>
      <c r="L304" s="347"/>
      <c r="M304" s="347"/>
      <c r="N304" s="412"/>
      <c r="O304" s="412"/>
      <c r="P304" s="412"/>
      <c r="Q304" s="412"/>
      <c r="R304" s="412"/>
      <c r="S304" s="412"/>
      <c r="T304" s="412"/>
      <c r="U304" s="412"/>
      <c r="V304" s="412"/>
      <c r="W304" s="412"/>
      <c r="X304" s="412"/>
      <c r="Y304" s="412"/>
      <c r="Z304" s="412"/>
      <c r="AA304" s="412"/>
      <c r="AB304" s="412"/>
      <c r="AC304" s="412"/>
      <c r="AD304" s="412"/>
      <c r="AE304" s="412"/>
      <c r="AF304" s="412"/>
      <c r="AG304" s="412"/>
      <c r="AL304" s="347"/>
      <c r="AM304" s="347"/>
      <c r="AN304" s="347"/>
      <c r="AO304" s="351"/>
      <c r="AP304" s="351"/>
      <c r="AQ304" s="335"/>
      <c r="AR304" s="335"/>
      <c r="AS304" s="335"/>
      <c r="AT304" s="335"/>
      <c r="AU304" s="335"/>
      <c r="AV304" s="335"/>
      <c r="AW304" s="335"/>
      <c r="AX304" s="335"/>
      <c r="AY304" s="335"/>
      <c r="AZ304" s="335"/>
      <c r="BA304" s="335"/>
      <c r="BB304" s="335"/>
      <c r="BC304" s="335"/>
      <c r="BD304" s="335"/>
      <c r="BE304" s="335"/>
    </row>
    <row r="305" customFormat="false" ht="14.15" hidden="true" customHeight="true" outlineLevel="1" collapsed="false">
      <c r="A305" s="324" t="s">
        <v>1919</v>
      </c>
      <c r="D305" s="347"/>
      <c r="E305" s="347"/>
      <c r="F305" s="347"/>
      <c r="G305" s="347"/>
      <c r="H305" s="505"/>
      <c r="I305" s="492"/>
      <c r="J305" s="347"/>
      <c r="K305" s="347"/>
      <c r="L305" s="347"/>
      <c r="M305" s="347"/>
      <c r="N305" s="412"/>
      <c r="O305" s="412"/>
      <c r="P305" s="412"/>
      <c r="Q305" s="412"/>
      <c r="R305" s="412"/>
      <c r="S305" s="412"/>
      <c r="T305" s="412"/>
      <c r="U305" s="412"/>
      <c r="V305" s="412"/>
      <c r="W305" s="412"/>
      <c r="X305" s="412"/>
      <c r="Y305" s="412"/>
      <c r="Z305" s="412"/>
      <c r="AA305" s="412"/>
      <c r="AB305" s="412"/>
      <c r="AC305" s="412"/>
      <c r="AD305" s="412"/>
      <c r="AE305" s="412"/>
      <c r="AF305" s="412"/>
      <c r="AG305" s="412"/>
      <c r="AL305" s="347"/>
      <c r="AM305" s="347"/>
      <c r="AN305" s="347"/>
      <c r="AO305" s="351"/>
      <c r="AP305" s="351"/>
      <c r="AQ305" s="335"/>
      <c r="AR305" s="335"/>
      <c r="AS305" s="335"/>
      <c r="AT305" s="335"/>
      <c r="AU305" s="335"/>
      <c r="AV305" s="335"/>
      <c r="AW305" s="335"/>
      <c r="AX305" s="335"/>
      <c r="AY305" s="335"/>
      <c r="AZ305" s="335"/>
      <c r="BA305" s="335"/>
      <c r="BB305" s="335"/>
      <c r="BC305" s="335"/>
      <c r="BD305" s="335"/>
      <c r="BE305" s="335"/>
    </row>
    <row r="306" customFormat="false" ht="14.15" hidden="true" customHeight="true" outlineLevel="1" collapsed="false">
      <c r="A306" s="478" t="s">
        <v>1921</v>
      </c>
      <c r="D306" s="347"/>
      <c r="E306" s="347"/>
      <c r="F306" s="347"/>
      <c r="G306" s="347"/>
      <c r="H306" s="505"/>
      <c r="I306" s="492"/>
      <c r="J306" s="347"/>
      <c r="K306" s="347"/>
      <c r="L306" s="347"/>
      <c r="M306" s="347"/>
      <c r="N306" s="412"/>
      <c r="O306" s="412"/>
      <c r="P306" s="412"/>
      <c r="Q306" s="412"/>
      <c r="R306" s="412"/>
      <c r="S306" s="412"/>
      <c r="T306" s="412"/>
      <c r="U306" s="412"/>
      <c r="V306" s="412"/>
      <c r="W306" s="412"/>
      <c r="X306" s="412"/>
      <c r="Y306" s="412"/>
      <c r="Z306" s="412"/>
      <c r="AA306" s="412"/>
      <c r="AB306" s="412"/>
      <c r="AC306" s="412"/>
      <c r="AD306" s="412"/>
      <c r="AE306" s="412"/>
      <c r="AF306" s="412"/>
      <c r="AG306" s="412"/>
      <c r="AL306" s="347"/>
      <c r="AM306" s="347"/>
      <c r="AN306" s="347"/>
      <c r="AO306" s="351"/>
      <c r="AP306" s="351"/>
      <c r="AQ306" s="335"/>
      <c r="AR306" s="335"/>
      <c r="AS306" s="335"/>
      <c r="AT306" s="335"/>
      <c r="AU306" s="335"/>
      <c r="AV306" s="335"/>
      <c r="AW306" s="335"/>
      <c r="AX306" s="335"/>
      <c r="AY306" s="335"/>
      <c r="AZ306" s="335"/>
      <c r="BA306" s="335"/>
      <c r="BB306" s="335"/>
      <c r="BC306" s="335"/>
      <c r="BD306" s="335"/>
      <c r="BE306" s="335"/>
    </row>
    <row r="307" customFormat="false" ht="14.15" hidden="true" customHeight="true" outlineLevel="1" collapsed="false">
      <c r="A307" s="324" t="s">
        <v>1922</v>
      </c>
      <c r="B307" s="477"/>
      <c r="C307" s="358"/>
      <c r="D307" s="347"/>
      <c r="E307" s="347"/>
      <c r="F307" s="347"/>
      <c r="G307" s="347"/>
      <c r="H307" s="505"/>
      <c r="I307" s="492"/>
      <c r="J307" s="347"/>
      <c r="K307" s="347"/>
      <c r="L307" s="347"/>
      <c r="M307" s="347"/>
      <c r="N307" s="412"/>
      <c r="O307" s="412"/>
      <c r="P307" s="412"/>
      <c r="Q307" s="412"/>
      <c r="R307" s="412"/>
      <c r="S307" s="412"/>
      <c r="T307" s="412"/>
      <c r="U307" s="412"/>
      <c r="V307" s="412"/>
      <c r="W307" s="412"/>
      <c r="X307" s="412"/>
      <c r="Y307" s="412"/>
      <c r="Z307" s="412"/>
      <c r="AA307" s="412"/>
      <c r="AB307" s="412"/>
      <c r="AC307" s="412"/>
      <c r="AD307" s="412"/>
      <c r="AE307" s="412"/>
      <c r="AF307" s="412"/>
      <c r="AG307" s="412"/>
      <c r="AL307" s="347"/>
      <c r="AM307" s="347"/>
      <c r="AN307" s="347"/>
      <c r="AO307" s="351"/>
      <c r="AP307" s="351"/>
      <c r="AQ307" s="335"/>
      <c r="AR307" s="335"/>
      <c r="AS307" s="335"/>
      <c r="AT307" s="335"/>
      <c r="AU307" s="335"/>
      <c r="AV307" s="335"/>
      <c r="AW307" s="335"/>
      <c r="AX307" s="335"/>
      <c r="AY307" s="335"/>
      <c r="AZ307" s="335"/>
      <c r="BA307" s="335"/>
      <c r="BB307" s="335"/>
      <c r="BC307" s="335"/>
      <c r="BD307" s="335"/>
      <c r="BE307" s="335"/>
    </row>
    <row r="308" customFormat="false" ht="14.15" hidden="true" customHeight="true" outlineLevel="1" collapsed="false">
      <c r="A308" s="403" t="s">
        <v>158</v>
      </c>
      <c r="B308" s="404" t="s">
        <v>1793</v>
      </c>
      <c r="C308" s="378" t="n">
        <v>4</v>
      </c>
      <c r="D308" s="347"/>
      <c r="E308" s="347"/>
      <c r="F308" s="347"/>
      <c r="G308" s="347"/>
      <c r="H308" s="505"/>
      <c r="I308" s="492"/>
      <c r="J308" s="347"/>
      <c r="K308" s="347"/>
      <c r="L308" s="347"/>
      <c r="M308" s="347"/>
      <c r="N308" s="412"/>
      <c r="O308" s="412"/>
      <c r="P308" s="412"/>
      <c r="Q308" s="412"/>
      <c r="R308" s="412"/>
      <c r="S308" s="412"/>
      <c r="T308" s="412"/>
      <c r="U308" s="412"/>
      <c r="V308" s="412"/>
      <c r="W308" s="412"/>
      <c r="X308" s="412"/>
      <c r="Y308" s="412"/>
      <c r="Z308" s="412"/>
      <c r="AA308" s="412"/>
      <c r="AB308" s="412"/>
      <c r="AC308" s="412"/>
      <c r="AD308" s="412"/>
      <c r="AE308" s="412"/>
      <c r="AF308" s="412"/>
      <c r="AG308" s="412"/>
      <c r="AL308" s="347"/>
      <c r="AM308" s="347"/>
      <c r="AN308" s="347"/>
      <c r="AO308" s="351"/>
      <c r="AP308" s="351"/>
      <c r="AQ308" s="335"/>
      <c r="AR308" s="335"/>
      <c r="AS308" s="335"/>
      <c r="AT308" s="335"/>
      <c r="AU308" s="335"/>
      <c r="AV308" s="335"/>
      <c r="AW308" s="335"/>
      <c r="AX308" s="335"/>
      <c r="AY308" s="335"/>
      <c r="AZ308" s="335"/>
      <c r="BA308" s="335"/>
      <c r="BB308" s="335"/>
      <c r="BC308" s="335"/>
      <c r="BD308" s="335"/>
      <c r="BE308" s="335"/>
    </row>
    <row r="309" customFormat="false" ht="14.15" hidden="true" customHeight="true" outlineLevel="1" collapsed="false">
      <c r="A309" s="393" t="s">
        <v>152</v>
      </c>
      <c r="B309" s="404" t="s">
        <v>1793</v>
      </c>
      <c r="C309" s="370" t="n">
        <v>0</v>
      </c>
      <c r="D309" s="347"/>
      <c r="E309" s="347"/>
      <c r="F309" s="347"/>
      <c r="G309" s="347"/>
      <c r="H309" s="505"/>
      <c r="I309" s="492"/>
      <c r="J309" s="347"/>
      <c r="K309" s="347"/>
      <c r="L309" s="347"/>
      <c r="M309" s="347"/>
      <c r="N309" s="412"/>
      <c r="O309" s="412"/>
      <c r="P309" s="412"/>
      <c r="Q309" s="412"/>
      <c r="R309" s="412"/>
      <c r="S309" s="412"/>
      <c r="T309" s="412"/>
      <c r="U309" s="412"/>
      <c r="V309" s="412"/>
      <c r="W309" s="412"/>
      <c r="X309" s="412"/>
      <c r="Y309" s="412"/>
      <c r="Z309" s="412"/>
      <c r="AA309" s="412"/>
      <c r="AB309" s="412"/>
      <c r="AC309" s="412"/>
      <c r="AD309" s="412"/>
      <c r="AE309" s="412"/>
      <c r="AF309" s="412"/>
      <c r="AG309" s="412"/>
      <c r="AL309" s="347"/>
      <c r="AM309" s="347"/>
      <c r="AN309" s="347"/>
      <c r="AO309" s="351"/>
      <c r="AP309" s="351"/>
      <c r="AQ309" s="335"/>
      <c r="AR309" s="335"/>
      <c r="AS309" s="335"/>
      <c r="AT309" s="335"/>
      <c r="AU309" s="335"/>
      <c r="AV309" s="335"/>
      <c r="AW309" s="335"/>
      <c r="AX309" s="335"/>
      <c r="AY309" s="335"/>
      <c r="AZ309" s="335"/>
      <c r="BA309" s="335"/>
      <c r="BB309" s="335"/>
      <c r="BC309" s="335"/>
      <c r="BD309" s="335"/>
      <c r="BE309" s="335"/>
    </row>
    <row r="310" customFormat="false" ht="14.15" hidden="true" customHeight="true" outlineLevel="1" collapsed="false">
      <c r="D310" s="347"/>
      <c r="E310" s="347"/>
      <c r="F310" s="347"/>
      <c r="G310" s="347"/>
      <c r="H310" s="505"/>
      <c r="I310" s="492"/>
      <c r="J310" s="347"/>
      <c r="K310" s="347"/>
      <c r="L310" s="347"/>
      <c r="M310" s="347"/>
      <c r="N310" s="412"/>
      <c r="O310" s="412"/>
      <c r="P310" s="412"/>
      <c r="Q310" s="412"/>
      <c r="R310" s="412"/>
      <c r="S310" s="412"/>
      <c r="T310" s="412"/>
      <c r="U310" s="412"/>
      <c r="V310" s="412"/>
      <c r="W310" s="412"/>
      <c r="X310" s="412"/>
      <c r="Y310" s="412"/>
      <c r="Z310" s="412"/>
      <c r="AA310" s="412"/>
      <c r="AB310" s="412"/>
      <c r="AC310" s="412"/>
      <c r="AD310" s="412"/>
      <c r="AE310" s="412"/>
      <c r="AF310" s="412"/>
      <c r="AG310" s="412"/>
      <c r="AL310" s="347"/>
      <c r="AM310" s="347"/>
      <c r="AN310" s="347"/>
      <c r="AO310" s="351"/>
      <c r="AP310" s="351"/>
      <c r="AQ310" s="335"/>
      <c r="AR310" s="335"/>
      <c r="AS310" s="335"/>
      <c r="AT310" s="335"/>
      <c r="AU310" s="335"/>
      <c r="AV310" s="335"/>
      <c r="AW310" s="335"/>
      <c r="AX310" s="335"/>
      <c r="AY310" s="335"/>
      <c r="AZ310" s="335"/>
      <c r="BA310" s="335"/>
      <c r="BB310" s="335"/>
      <c r="BC310" s="335"/>
      <c r="BD310" s="335"/>
      <c r="BE310" s="335"/>
    </row>
    <row r="311" customFormat="false" ht="14.15" hidden="true" customHeight="true" outlineLevel="1" collapsed="false">
      <c r="A311" s="405" t="s">
        <v>1963</v>
      </c>
      <c r="B311" s="404" t="s">
        <v>1796</v>
      </c>
      <c r="C311" s="488" t="n">
        <v>10000</v>
      </c>
      <c r="D311" s="347"/>
      <c r="E311" s="347"/>
      <c r="F311" s="347"/>
      <c r="G311" s="347"/>
      <c r="H311" s="505"/>
      <c r="I311" s="492"/>
      <c r="J311" s="347"/>
      <c r="K311" s="347"/>
      <c r="L311" s="347"/>
      <c r="M311" s="347"/>
      <c r="N311" s="412"/>
      <c r="O311" s="412"/>
      <c r="P311" s="412"/>
      <c r="Q311" s="412"/>
      <c r="R311" s="412"/>
      <c r="S311" s="412"/>
      <c r="T311" s="412"/>
      <c r="U311" s="412"/>
      <c r="V311" s="412"/>
      <c r="W311" s="412"/>
      <c r="X311" s="412"/>
      <c r="Y311" s="412"/>
      <c r="Z311" s="412"/>
      <c r="AA311" s="412"/>
      <c r="AB311" s="412"/>
      <c r="AC311" s="412"/>
      <c r="AD311" s="412"/>
      <c r="AE311" s="412"/>
      <c r="AF311" s="412"/>
      <c r="AG311" s="412"/>
      <c r="AL311" s="347"/>
      <c r="AM311" s="347"/>
      <c r="AN311" s="347"/>
      <c r="AO311" s="351"/>
      <c r="AP311" s="351"/>
      <c r="AQ311" s="335"/>
      <c r="AR311" s="335"/>
      <c r="AS311" s="335"/>
      <c r="AT311" s="335"/>
      <c r="AU311" s="335"/>
      <c r="AV311" s="335"/>
      <c r="AW311" s="335"/>
      <c r="AX311" s="335"/>
      <c r="AY311" s="335"/>
      <c r="AZ311" s="335"/>
      <c r="BA311" s="335"/>
      <c r="BB311" s="335"/>
      <c r="BC311" s="335"/>
      <c r="BD311" s="335"/>
      <c r="BE311" s="335"/>
    </row>
    <row r="312" customFormat="false" ht="14.15" hidden="false" customHeight="true" outlineLevel="0" collapsed="false">
      <c r="A312" s="408" t="s">
        <v>1964</v>
      </c>
      <c r="B312" s="408"/>
      <c r="C312" s="408"/>
      <c r="D312" s="408"/>
      <c r="E312" s="408"/>
      <c r="F312" s="409" t="s">
        <v>1798</v>
      </c>
      <c r="G312" s="347"/>
      <c r="H312" s="505"/>
      <c r="I312" s="492"/>
      <c r="J312" s="347"/>
      <c r="K312" s="347"/>
      <c r="L312" s="347"/>
      <c r="M312" s="347"/>
      <c r="N312" s="412"/>
      <c r="O312" s="412"/>
      <c r="P312" s="412"/>
      <c r="Q312" s="412"/>
      <c r="R312" s="412"/>
      <c r="S312" s="412"/>
      <c r="T312" s="412"/>
      <c r="U312" s="412"/>
      <c r="V312" s="412"/>
      <c r="W312" s="412"/>
      <c r="X312" s="412"/>
      <c r="Y312" s="412"/>
      <c r="Z312" s="412"/>
      <c r="AA312" s="412"/>
      <c r="AB312" s="412"/>
      <c r="AC312" s="412"/>
      <c r="AD312" s="412"/>
      <c r="AE312" s="412"/>
      <c r="AF312" s="412"/>
      <c r="AG312" s="412"/>
      <c r="AL312" s="347"/>
      <c r="AM312" s="347"/>
      <c r="AN312" s="347"/>
      <c r="AO312" s="351"/>
      <c r="AP312" s="351"/>
      <c r="AQ312" s="335"/>
      <c r="AR312" s="335"/>
      <c r="AS312" s="335"/>
      <c r="AT312" s="335"/>
      <c r="AU312" s="335"/>
      <c r="AV312" s="335"/>
      <c r="AW312" s="335"/>
      <c r="AX312" s="335"/>
      <c r="AY312" s="335"/>
      <c r="AZ312" s="335"/>
      <c r="BA312" s="335"/>
      <c r="BB312" s="335"/>
      <c r="BC312" s="335"/>
      <c r="BD312" s="335"/>
      <c r="BE312" s="335"/>
    </row>
    <row r="313" customFormat="false" ht="14.15" hidden="false" customHeight="true" outlineLevel="0" collapsed="false">
      <c r="A313" s="347"/>
      <c r="B313" s="450"/>
      <c r="C313" s="347"/>
      <c r="D313" s="347"/>
      <c r="E313" s="347"/>
      <c r="F313" s="347"/>
      <c r="G313" s="347"/>
      <c r="H313" s="505"/>
      <c r="I313" s="492"/>
      <c r="J313" s="347"/>
      <c r="K313" s="347"/>
      <c r="L313" s="347"/>
      <c r="AL313" s="347"/>
      <c r="AM313" s="347"/>
      <c r="AN313" s="347"/>
      <c r="AO313" s="351"/>
      <c r="AP313" s="351"/>
      <c r="AQ313" s="335"/>
      <c r="AR313" s="335"/>
      <c r="AS313" s="335"/>
      <c r="AT313" s="335"/>
      <c r="AU313" s="335"/>
      <c r="AV313" s="335"/>
      <c r="AW313" s="335"/>
      <c r="AX313" s="335"/>
      <c r="AY313" s="335"/>
      <c r="AZ313" s="335"/>
      <c r="BA313" s="335"/>
      <c r="BB313" s="335"/>
      <c r="BC313" s="335"/>
      <c r="BD313" s="335"/>
      <c r="BE313" s="335"/>
    </row>
    <row r="314" customFormat="false" ht="14.15" hidden="true" customHeight="true" outlineLevel="1" collapsed="false">
      <c r="A314" s="460" t="s">
        <v>1965</v>
      </c>
      <c r="B314" s="460"/>
      <c r="C314" s="460"/>
      <c r="D314" s="460"/>
      <c r="E314" s="460"/>
      <c r="H314" s="347"/>
      <c r="I314" s="411" t="s">
        <v>1965</v>
      </c>
      <c r="J314" s="411"/>
      <c r="K314" s="411"/>
      <c r="L314" s="411"/>
      <c r="M314" s="411"/>
      <c r="N314" s="411"/>
      <c r="O314" s="411"/>
      <c r="P314" s="411"/>
      <c r="Q314" s="411"/>
      <c r="R314" s="411"/>
      <c r="S314" s="411"/>
      <c r="T314" s="411"/>
      <c r="U314" s="411"/>
      <c r="V314" s="411"/>
      <c r="W314" s="411"/>
      <c r="X314" s="411"/>
      <c r="Y314" s="411"/>
      <c r="Z314" s="411"/>
      <c r="AA314" s="411"/>
      <c r="AB314" s="411"/>
      <c r="AC314" s="411"/>
      <c r="AL314" s="347"/>
      <c r="AM314" s="347"/>
      <c r="AN314" s="347"/>
      <c r="AO314" s="351"/>
      <c r="AP314" s="351"/>
      <c r="AQ314" s="335"/>
      <c r="AR314" s="335"/>
      <c r="AS314" s="335"/>
      <c r="AT314" s="335"/>
      <c r="AU314" s="335"/>
      <c r="AV314" s="335"/>
      <c r="AW314" s="335"/>
      <c r="AX314" s="335"/>
      <c r="AY314" s="335"/>
      <c r="AZ314" s="335"/>
      <c r="BA314" s="335"/>
      <c r="BB314" s="335"/>
      <c r="BC314" s="335"/>
      <c r="BD314" s="335"/>
      <c r="BE314" s="335"/>
    </row>
    <row r="315" customFormat="false" ht="14.15" hidden="true" customHeight="true" outlineLevel="1" collapsed="false">
      <c r="A315" s="347"/>
      <c r="B315" s="497"/>
      <c r="C315" s="490"/>
      <c r="D315" s="490"/>
      <c r="E315" s="490"/>
      <c r="F315" s="490"/>
      <c r="G315" s="347"/>
      <c r="H315" s="358"/>
      <c r="I315" s="411"/>
      <c r="J315" s="411"/>
      <c r="K315" s="411"/>
      <c r="L315" s="411"/>
      <c r="M315" s="411"/>
      <c r="N315" s="411"/>
      <c r="O315" s="411"/>
      <c r="P315" s="411"/>
      <c r="Q315" s="411"/>
      <c r="R315" s="411"/>
      <c r="S315" s="411"/>
      <c r="T315" s="411"/>
      <c r="U315" s="411"/>
      <c r="V315" s="411"/>
      <c r="W315" s="411"/>
      <c r="X315" s="411"/>
      <c r="Y315" s="411"/>
      <c r="Z315" s="411"/>
      <c r="AA315" s="411"/>
      <c r="AB315" s="411"/>
      <c r="AC315" s="411"/>
      <c r="AD315" s="347"/>
      <c r="AE315" s="347"/>
      <c r="AF315" s="347"/>
      <c r="AG315" s="347"/>
      <c r="AH315" s="347"/>
      <c r="AI315" s="347"/>
      <c r="AJ315" s="347"/>
      <c r="AK315" s="347"/>
      <c r="AL315" s="347"/>
      <c r="AM315" s="347"/>
      <c r="AN315" s="347"/>
      <c r="AO315" s="351"/>
      <c r="AP315" s="351"/>
      <c r="AQ315" s="335"/>
      <c r="AR315" s="335"/>
      <c r="AS315" s="335"/>
      <c r="AT315" s="335"/>
      <c r="AU315" s="335"/>
      <c r="AV315" s="335"/>
      <c r="AW315" s="335"/>
      <c r="AX315" s="335"/>
      <c r="AY315" s="335"/>
      <c r="AZ315" s="335"/>
      <c r="BA315" s="335"/>
      <c r="BB315" s="335"/>
      <c r="BC315" s="335"/>
      <c r="BD315" s="335"/>
      <c r="BE315" s="335"/>
    </row>
    <row r="316" customFormat="false" ht="14.15" hidden="true" customHeight="true" outlineLevel="1" collapsed="false">
      <c r="A316" s="494" t="s">
        <v>1884</v>
      </c>
      <c r="B316" s="494"/>
      <c r="C316" s="494"/>
      <c r="D316" s="494"/>
      <c r="E316" s="495" t="n">
        <v>1</v>
      </c>
      <c r="F316" s="452"/>
      <c r="G316" s="357"/>
      <c r="AO316" s="351"/>
      <c r="AP316" s="351"/>
      <c r="AQ316" s="335"/>
      <c r="AR316" s="335"/>
      <c r="AS316" s="335"/>
      <c r="AT316" s="335"/>
      <c r="AU316" s="335"/>
      <c r="AV316" s="335"/>
      <c r="AW316" s="335"/>
      <c r="AX316" s="335"/>
      <c r="AY316" s="335"/>
      <c r="AZ316" s="335"/>
      <c r="BA316" s="335"/>
      <c r="BB316" s="335"/>
      <c r="BC316" s="335"/>
      <c r="BD316" s="335"/>
      <c r="BE316" s="335"/>
    </row>
    <row r="317" customFormat="false" ht="14.15" hidden="true" customHeight="true" outlineLevel="1" collapsed="false">
      <c r="A317" s="494" t="s">
        <v>1885</v>
      </c>
      <c r="B317" s="494"/>
      <c r="C317" s="494"/>
      <c r="D317" s="494"/>
      <c r="E317" s="495" t="n">
        <v>1</v>
      </c>
      <c r="F317" s="452"/>
      <c r="G317" s="357"/>
      <c r="AO317" s="351"/>
      <c r="AP317" s="351"/>
      <c r="AQ317" s="335"/>
      <c r="AR317" s="335"/>
      <c r="AS317" s="335"/>
      <c r="AT317" s="335"/>
      <c r="AU317" s="335"/>
      <c r="AV317" s="335"/>
      <c r="AW317" s="335"/>
      <c r="AX317" s="335"/>
      <c r="AY317" s="335"/>
      <c r="AZ317" s="335"/>
      <c r="BA317" s="335"/>
      <c r="BB317" s="335"/>
      <c r="BC317" s="335"/>
      <c r="BD317" s="335"/>
      <c r="BE317" s="335"/>
    </row>
    <row r="318" customFormat="false" ht="14.15" hidden="true" customHeight="true" outlineLevel="1" collapsed="false">
      <c r="B318" s="467"/>
      <c r="C318" s="468"/>
      <c r="D318" s="347"/>
      <c r="E318" s="347"/>
      <c r="F318" s="347"/>
      <c r="G318" s="510"/>
      <c r="K318" s="511" t="s">
        <v>1966</v>
      </c>
      <c r="L318" s="511"/>
      <c r="M318" s="511"/>
      <c r="N318" s="511"/>
      <c r="AO318" s="351"/>
      <c r="AP318" s="351"/>
      <c r="AQ318" s="335"/>
      <c r="AR318" s="335"/>
      <c r="AS318" s="335"/>
      <c r="AT318" s="335"/>
      <c r="AU318" s="335"/>
      <c r="AV318" s="335"/>
      <c r="AW318" s="335"/>
      <c r="AX318" s="335"/>
      <c r="AY318" s="335"/>
      <c r="AZ318" s="335"/>
      <c r="BA318" s="335"/>
      <c r="BB318" s="335"/>
      <c r="BC318" s="335" t="n">
        <v>1</v>
      </c>
      <c r="BD318" s="335" t="n">
        <f aca="false">E340</f>
        <v>5.4</v>
      </c>
      <c r="BE318" s="335"/>
    </row>
    <row r="319" customFormat="false" ht="14.15" hidden="true" customHeight="true" outlineLevel="1" collapsed="false">
      <c r="A319" s="324" t="s">
        <v>1889</v>
      </c>
      <c r="E319" s="347"/>
      <c r="F319" s="347"/>
      <c r="G319" s="510"/>
      <c r="K319" s="511"/>
      <c r="L319" s="511"/>
      <c r="M319" s="511"/>
      <c r="N319" s="511"/>
      <c r="AO319" s="351"/>
      <c r="AP319" s="351"/>
      <c r="AQ319" s="335"/>
      <c r="AR319" s="335"/>
      <c r="AS319" s="335"/>
      <c r="AT319" s="335"/>
      <c r="AU319" s="335"/>
      <c r="AV319" s="335"/>
      <c r="AW319" s="335"/>
      <c r="AX319" s="335"/>
      <c r="AY319" s="335"/>
      <c r="AZ319" s="335"/>
      <c r="BA319" s="335"/>
      <c r="BB319" s="335"/>
      <c r="BC319" s="335"/>
      <c r="BD319" s="335"/>
      <c r="BE319" s="335"/>
    </row>
    <row r="320" customFormat="false" ht="14.15" hidden="true" customHeight="true" outlineLevel="1" collapsed="false">
      <c r="A320" s="465" t="s">
        <v>1890</v>
      </c>
      <c r="E320" s="358"/>
      <c r="F320" s="358"/>
      <c r="G320" s="358"/>
      <c r="H320" s="358"/>
      <c r="I320" s="358"/>
      <c r="J320" s="358"/>
      <c r="K320" s="511"/>
      <c r="L320" s="511"/>
      <c r="M320" s="511"/>
      <c r="N320" s="511"/>
      <c r="O320" s="439"/>
      <c r="P320" s="439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512"/>
      <c r="AF320" s="512"/>
      <c r="AG320" s="512"/>
      <c r="AH320" s="358"/>
      <c r="AI320" s="358"/>
      <c r="AJ320" s="358"/>
      <c r="AK320" s="358"/>
      <c r="AL320" s="358"/>
      <c r="AO320" s="351"/>
      <c r="AP320" s="351"/>
      <c r="AQ320" s="335"/>
      <c r="AR320" s="335"/>
      <c r="AS320" s="335"/>
      <c r="AT320" s="335"/>
      <c r="AU320" s="335"/>
      <c r="AV320" s="335"/>
      <c r="AW320" s="335"/>
      <c r="AX320" s="335"/>
      <c r="AY320" s="335"/>
      <c r="AZ320" s="335"/>
      <c r="BA320" s="335"/>
      <c r="BB320" s="335"/>
      <c r="BC320" s="335" t="n">
        <v>2</v>
      </c>
      <c r="BD320" s="335" t="n">
        <f aca="false">E330</f>
        <v>6.4</v>
      </c>
      <c r="BE320" s="335"/>
    </row>
    <row r="321" customFormat="false" ht="14.15" hidden="true" customHeight="true" outlineLevel="1" collapsed="false">
      <c r="A321" s="466" t="s">
        <v>1891</v>
      </c>
      <c r="E321" s="489" t="s">
        <v>156</v>
      </c>
      <c r="F321" s="348"/>
      <c r="G321" s="358"/>
      <c r="H321" s="358"/>
      <c r="J321" s="348"/>
      <c r="K321" s="511"/>
      <c r="L321" s="511"/>
      <c r="M321" s="511"/>
      <c r="N321" s="511"/>
      <c r="O321" s="439"/>
      <c r="P321" s="358"/>
      <c r="Q321" s="358"/>
      <c r="R321" s="358" t="s">
        <v>1926</v>
      </c>
      <c r="S321" s="358"/>
      <c r="T321" s="358"/>
      <c r="U321" s="358"/>
      <c r="V321" s="358"/>
      <c r="W321" s="358"/>
      <c r="X321" s="358"/>
      <c r="Z321" s="358"/>
      <c r="AA321" s="358"/>
      <c r="AB321" s="358"/>
      <c r="AC321" s="358"/>
      <c r="AD321" s="358"/>
      <c r="AE321" s="358"/>
      <c r="AF321" s="358"/>
      <c r="AG321" s="358"/>
      <c r="AH321" s="358"/>
      <c r="AI321" s="358"/>
      <c r="AJ321" s="358"/>
      <c r="AK321" s="358"/>
      <c r="AL321" s="358"/>
      <c r="AO321" s="351"/>
      <c r="AP321" s="351"/>
      <c r="AQ321" s="335"/>
      <c r="AR321" s="335"/>
      <c r="AS321" s="335"/>
      <c r="AT321" s="335"/>
      <c r="AU321" s="335"/>
      <c r="AV321" s="335"/>
      <c r="AW321" s="335"/>
      <c r="AX321" s="335"/>
      <c r="AY321" s="335"/>
      <c r="AZ321" s="335"/>
      <c r="BA321" s="335"/>
      <c r="BB321" s="335"/>
      <c r="BC321" s="335" t="n">
        <v>3</v>
      </c>
      <c r="BD321" s="335" t="n">
        <f aca="false">E326</f>
        <v>6.6</v>
      </c>
      <c r="BE321" s="335"/>
    </row>
    <row r="322" customFormat="false" ht="14.15" hidden="true" customHeight="true" outlineLevel="1" collapsed="false">
      <c r="A322" s="470" t="s">
        <v>1967</v>
      </c>
      <c r="E322" s="358" t="n">
        <v>7.6</v>
      </c>
      <c r="F322" s="358"/>
      <c r="G322" s="358"/>
      <c r="H322" s="358"/>
      <c r="J322" s="358"/>
      <c r="K322" s="358"/>
      <c r="L322" s="439"/>
      <c r="M322" s="439"/>
      <c r="N322" s="439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Z322" s="358"/>
      <c r="AA322" s="358"/>
      <c r="AB322" s="358"/>
      <c r="AC322" s="358"/>
      <c r="AD322" s="358"/>
      <c r="AE322" s="355"/>
      <c r="AF322" s="355"/>
      <c r="AG322" s="355"/>
      <c r="AH322" s="358"/>
      <c r="AI322" s="358"/>
      <c r="AJ322" s="358"/>
      <c r="AK322" s="358"/>
      <c r="AL322" s="358"/>
      <c r="AO322" s="351"/>
      <c r="AP322" s="351"/>
      <c r="AQ322" s="335"/>
      <c r="AR322" s="335"/>
      <c r="AS322" s="335"/>
      <c r="AT322" s="335"/>
      <c r="AU322" s="335"/>
      <c r="AV322" s="335"/>
      <c r="AW322" s="335"/>
      <c r="AX322" s="335"/>
      <c r="AY322" s="335"/>
      <c r="AZ322" s="335"/>
      <c r="BA322" s="335"/>
      <c r="BB322" s="335"/>
      <c r="BC322" s="335" t="n">
        <v>4</v>
      </c>
      <c r="BD322" s="335"/>
      <c r="BE322" s="335"/>
    </row>
    <row r="323" customFormat="false" ht="14.15" hidden="true" customHeight="true" outlineLevel="1" collapsed="false"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Z323" s="358"/>
      <c r="AA323" s="358"/>
      <c r="AB323" s="358"/>
      <c r="AC323" s="358"/>
      <c r="AD323" s="358"/>
      <c r="AE323" s="355"/>
      <c r="AF323" s="355"/>
      <c r="AG323" s="355"/>
      <c r="AH323" s="358"/>
      <c r="AI323" s="358"/>
      <c r="AJ323" s="358"/>
      <c r="AK323" s="358"/>
      <c r="AL323" s="358"/>
      <c r="AO323" s="351"/>
      <c r="AP323" s="351"/>
      <c r="AQ323" s="335"/>
      <c r="AR323" s="335"/>
      <c r="AS323" s="335"/>
      <c r="AT323" s="335"/>
      <c r="AU323" s="335"/>
      <c r="AV323" s="335"/>
      <c r="AW323" s="335"/>
      <c r="AX323" s="335"/>
      <c r="AY323" s="335"/>
      <c r="AZ323" s="335"/>
      <c r="BA323" s="335"/>
      <c r="BB323" s="335"/>
      <c r="BC323" s="335" t="n">
        <v>5</v>
      </c>
      <c r="BD323" s="335" t="n">
        <f aca="false">E322</f>
        <v>7.6</v>
      </c>
      <c r="BE323" s="335"/>
    </row>
    <row r="324" customFormat="false" ht="14.15" hidden="true" customHeight="true" outlineLevel="1" collapsed="false">
      <c r="A324" s="513" t="s">
        <v>1968</v>
      </c>
      <c r="B324" s="425" t="s">
        <v>1969</v>
      </c>
      <c r="C324" s="367" t="s">
        <v>1966</v>
      </c>
      <c r="D324" s="367" t="s">
        <v>1970</v>
      </c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Z324" s="358"/>
      <c r="AA324" s="358"/>
      <c r="AB324" s="358"/>
      <c r="AC324" s="358"/>
      <c r="AD324" s="358"/>
      <c r="AE324" s="355"/>
      <c r="AF324" s="355"/>
      <c r="AG324" s="355"/>
      <c r="AH324" s="358"/>
      <c r="AI324" s="358"/>
      <c r="AJ324" s="358"/>
      <c r="AK324" s="358"/>
      <c r="AL324" s="358"/>
      <c r="AO324" s="351"/>
      <c r="AP324" s="351"/>
      <c r="AQ324" s="335"/>
      <c r="AR324" s="335"/>
      <c r="AS324" s="335"/>
      <c r="AT324" s="335"/>
      <c r="AU324" s="335"/>
      <c r="AV324" s="335"/>
      <c r="AW324" s="335"/>
      <c r="AX324" s="335"/>
      <c r="AY324" s="335"/>
      <c r="AZ324" s="335"/>
      <c r="BA324" s="335"/>
      <c r="BB324" s="335"/>
      <c r="BC324" s="335" t="n">
        <v>1</v>
      </c>
      <c r="BD324" s="335" t="n">
        <f aca="false">R344</f>
        <v>6.6</v>
      </c>
      <c r="BE324" s="335"/>
    </row>
    <row r="325" customFormat="false" ht="14.15" hidden="true" customHeight="true" outlineLevel="1" collapsed="false">
      <c r="A325" s="514"/>
      <c r="B325" s="515"/>
      <c r="C325" s="516" t="s">
        <v>1821</v>
      </c>
      <c r="D325" s="516" t="s">
        <v>1798</v>
      </c>
      <c r="E325" s="489" t="s">
        <v>156</v>
      </c>
      <c r="F325" s="489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Z325" s="358"/>
      <c r="AA325" s="511" t="s">
        <v>1970</v>
      </c>
      <c r="AB325" s="511"/>
      <c r="AC325" s="511"/>
      <c r="AD325" s="511"/>
      <c r="AE325" s="358"/>
      <c r="AF325" s="358"/>
      <c r="AG325" s="358"/>
      <c r="AH325" s="358"/>
      <c r="AI325" s="358"/>
      <c r="AJ325" s="358"/>
      <c r="AK325" s="358"/>
      <c r="AL325" s="358"/>
      <c r="AO325" s="351"/>
      <c r="AP325" s="351"/>
      <c r="AQ325" s="335"/>
      <c r="AR325" s="335"/>
      <c r="AS325" s="335"/>
      <c r="AT325" s="335"/>
      <c r="AU325" s="335"/>
      <c r="AV325" s="335"/>
      <c r="AW325" s="335"/>
      <c r="AX325" s="335"/>
      <c r="AY325" s="335"/>
      <c r="AZ325" s="335"/>
      <c r="BA325" s="335"/>
      <c r="BB325" s="335"/>
      <c r="BC325" s="335" t="n">
        <v>2</v>
      </c>
      <c r="BD325" s="335"/>
      <c r="BE325" s="335"/>
    </row>
    <row r="326" customFormat="false" ht="14.15" hidden="true" customHeight="true" outlineLevel="1" collapsed="false">
      <c r="A326" s="517" t="s">
        <v>1971</v>
      </c>
      <c r="B326" s="515" t="s">
        <v>159</v>
      </c>
      <c r="C326" s="377" t="n">
        <v>2</v>
      </c>
      <c r="D326" s="377" t="n">
        <v>1</v>
      </c>
      <c r="E326" s="358" t="n">
        <v>6.6</v>
      </c>
      <c r="F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Z326" s="358"/>
      <c r="AA326" s="511"/>
      <c r="AB326" s="511"/>
      <c r="AC326" s="511"/>
      <c r="AD326" s="511"/>
      <c r="AE326" s="358"/>
      <c r="AF326" s="358"/>
      <c r="AG326" s="358"/>
      <c r="AH326" s="358"/>
      <c r="AI326" s="358"/>
      <c r="AJ326" s="358"/>
      <c r="AK326" s="358"/>
      <c r="AL326" s="358"/>
      <c r="AO326" s="351"/>
      <c r="AP326" s="351"/>
      <c r="AQ326" s="335"/>
      <c r="AR326" s="335"/>
      <c r="AS326" s="335"/>
      <c r="AT326" s="335"/>
      <c r="AU326" s="335"/>
      <c r="AV326" s="335"/>
      <c r="AW326" s="335"/>
      <c r="AX326" s="335"/>
      <c r="AY326" s="335"/>
      <c r="AZ326" s="335"/>
      <c r="BA326" s="335"/>
      <c r="BB326" s="335"/>
      <c r="BC326" s="335" t="n">
        <v>3</v>
      </c>
      <c r="BD326" s="335" t="n">
        <f aca="false">W335</f>
        <v>7.6</v>
      </c>
      <c r="BE326" s="335"/>
    </row>
    <row r="327" customFormat="false" ht="14.15" hidden="true" customHeight="true" outlineLevel="1" collapsed="false">
      <c r="A327" s="265" t="s">
        <v>1972</v>
      </c>
      <c r="B327" s="404" t="s">
        <v>156</v>
      </c>
      <c r="C327" s="518" t="n">
        <v>0.4</v>
      </c>
      <c r="D327" s="377"/>
      <c r="E327" s="358"/>
      <c r="F327" s="358"/>
      <c r="G327" s="358"/>
      <c r="H327" s="358"/>
      <c r="I327" s="358"/>
      <c r="J327" s="358" t="s">
        <v>1973</v>
      </c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71" t="s">
        <v>1974</v>
      </c>
      <c r="Z327" s="358"/>
      <c r="AA327" s="511"/>
      <c r="AB327" s="511"/>
      <c r="AC327" s="511"/>
      <c r="AD327" s="511"/>
      <c r="AE327" s="358"/>
      <c r="AF327" s="358"/>
      <c r="AG327" s="358"/>
      <c r="AH327" s="358"/>
      <c r="AI327" s="358"/>
      <c r="AJ327" s="358"/>
      <c r="AK327" s="358"/>
      <c r="AL327" s="358"/>
      <c r="AO327" s="351"/>
      <c r="AP327" s="351"/>
      <c r="AQ327" s="335"/>
      <c r="AR327" s="335"/>
      <c r="AS327" s="335"/>
      <c r="AT327" s="335"/>
      <c r="AU327" s="335"/>
      <c r="AV327" s="335"/>
      <c r="AW327" s="335"/>
      <c r="AX327" s="335"/>
      <c r="AY327" s="335"/>
      <c r="AZ327" s="335"/>
      <c r="BA327" s="335"/>
      <c r="BB327" s="335"/>
      <c r="BC327" s="335" t="n">
        <v>1</v>
      </c>
      <c r="BD327" s="335" t="n">
        <f aca="false">E336</f>
        <v>60</v>
      </c>
      <c r="BE327" s="335"/>
    </row>
    <row r="328" customFormat="false" ht="14.15" hidden="true" customHeight="true" outlineLevel="1" collapsed="false">
      <c r="A328" s="265" t="s">
        <v>1975</v>
      </c>
      <c r="B328" s="404" t="s">
        <v>156</v>
      </c>
      <c r="C328" s="518" t="n">
        <v>0.4</v>
      </c>
      <c r="D328" s="377" t="n">
        <v>0.4</v>
      </c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71"/>
      <c r="Z328" s="358"/>
      <c r="AA328" s="511"/>
      <c r="AB328" s="511"/>
      <c r="AC328" s="511"/>
      <c r="AD328" s="511"/>
      <c r="AE328" s="358"/>
      <c r="AF328" s="358"/>
      <c r="AG328" s="358"/>
      <c r="AH328" s="358"/>
      <c r="AI328" s="358"/>
      <c r="AJ328" s="358"/>
      <c r="AK328" s="358"/>
      <c r="AL328" s="358"/>
      <c r="AO328" s="351"/>
      <c r="AP328" s="351"/>
      <c r="AQ328" s="335"/>
      <c r="AR328" s="335"/>
      <c r="AS328" s="335"/>
      <c r="AT328" s="335"/>
      <c r="AU328" s="335"/>
      <c r="AV328" s="335"/>
      <c r="AW328" s="335"/>
      <c r="AX328" s="335"/>
      <c r="AY328" s="335"/>
      <c r="AZ328" s="335"/>
      <c r="BA328" s="335"/>
      <c r="BB328" s="335"/>
      <c r="BC328" s="335" t="n">
        <v>1</v>
      </c>
      <c r="BD328" s="335" t="n">
        <f aca="false">R347</f>
        <v>60</v>
      </c>
      <c r="BE328" s="335"/>
    </row>
    <row r="329" customFormat="false" ht="14.15" hidden="true" customHeight="true" outlineLevel="1" collapsed="false">
      <c r="A329" s="474" t="s">
        <v>1976</v>
      </c>
      <c r="B329" s="425" t="s">
        <v>156</v>
      </c>
      <c r="C329" s="519" t="n">
        <f aca="false">D87</f>
        <v>2</v>
      </c>
      <c r="D329" s="377" t="n">
        <v>2</v>
      </c>
      <c r="E329" s="489" t="s">
        <v>156</v>
      </c>
      <c r="F329" s="348"/>
      <c r="G329" s="34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AO329" s="351"/>
      <c r="AP329" s="351"/>
      <c r="AQ329" s="335"/>
      <c r="AR329" s="335"/>
      <c r="AS329" s="335"/>
      <c r="AT329" s="335"/>
      <c r="AU329" s="335"/>
      <c r="AV329" s="335"/>
      <c r="AW329" s="335"/>
      <c r="AX329" s="335"/>
      <c r="AY329" s="335"/>
      <c r="AZ329" s="335"/>
      <c r="BA329" s="335"/>
      <c r="BB329" s="335"/>
      <c r="BC329" s="335"/>
      <c r="BD329" s="335"/>
      <c r="BE329" s="335"/>
    </row>
    <row r="330" customFormat="false" ht="14.15" hidden="true" customHeight="true" outlineLevel="1" collapsed="false">
      <c r="A330" s="474" t="s">
        <v>1977</v>
      </c>
      <c r="B330" s="425" t="s">
        <v>156</v>
      </c>
      <c r="C330" s="377" t="n">
        <v>1</v>
      </c>
      <c r="D330" s="377"/>
      <c r="E330" s="452" t="n">
        <v>6.4</v>
      </c>
      <c r="F330" s="371"/>
      <c r="G330" s="358"/>
      <c r="H330" s="358"/>
      <c r="I330" s="358"/>
      <c r="J330" s="358"/>
      <c r="K330" s="358"/>
      <c r="L330" s="358"/>
      <c r="M330" s="452" t="s">
        <v>1958</v>
      </c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AO330" s="351"/>
      <c r="AP330" s="351"/>
      <c r="AQ330" s="335"/>
      <c r="AR330" s="335"/>
      <c r="AS330" s="335"/>
      <c r="AT330" s="335"/>
      <c r="AU330" s="335"/>
      <c r="AV330" s="335"/>
      <c r="AW330" s="335"/>
      <c r="AX330" s="335"/>
      <c r="AY330" s="335"/>
      <c r="AZ330" s="335"/>
      <c r="BA330" s="335"/>
      <c r="BB330" s="335"/>
      <c r="BC330" s="335"/>
      <c r="BD330" s="335"/>
      <c r="BE330" s="335"/>
    </row>
    <row r="331" customFormat="false" ht="14.15" hidden="true" customHeight="true" outlineLevel="1" collapsed="false">
      <c r="A331" s="474" t="s">
        <v>1978</v>
      </c>
      <c r="B331" s="425" t="s">
        <v>156</v>
      </c>
      <c r="C331" s="519" t="n">
        <v>1</v>
      </c>
      <c r="D331" s="377" t="n">
        <v>0</v>
      </c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AO331" s="351"/>
      <c r="AP331" s="351"/>
      <c r="AQ331" s="335"/>
      <c r="AR331" s="335"/>
      <c r="AS331" s="335"/>
      <c r="AT331" s="335"/>
      <c r="AU331" s="335"/>
      <c r="AV331" s="335"/>
      <c r="AW331" s="335"/>
      <c r="AX331" s="335"/>
      <c r="AY331" s="335"/>
      <c r="AZ331" s="335"/>
      <c r="BA331" s="335"/>
      <c r="BB331" s="335"/>
      <c r="BC331" s="335"/>
      <c r="BD331" s="335"/>
      <c r="BE331" s="335"/>
    </row>
    <row r="332" customFormat="false" ht="14.15" hidden="true" customHeight="true" outlineLevel="1" collapsed="false">
      <c r="A332" s="474" t="s">
        <v>1979</v>
      </c>
      <c r="B332" s="425" t="s">
        <v>156</v>
      </c>
      <c r="C332" s="519" t="n">
        <v>2</v>
      </c>
      <c r="D332" s="377" t="n">
        <v>2.5</v>
      </c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71"/>
      <c r="P332" s="358"/>
      <c r="Q332" s="358"/>
      <c r="R332" s="358"/>
      <c r="S332" s="358" t="s">
        <v>1980</v>
      </c>
      <c r="T332" s="358"/>
      <c r="U332" s="358"/>
      <c r="V332" s="358"/>
      <c r="W332" s="358"/>
      <c r="X332" s="358"/>
      <c r="AO332" s="351"/>
      <c r="AP332" s="351"/>
      <c r="AQ332" s="335"/>
      <c r="AR332" s="335"/>
      <c r="AS332" s="335"/>
      <c r="AT332" s="335"/>
      <c r="AU332" s="335"/>
      <c r="AV332" s="335"/>
      <c r="AW332" s="335"/>
      <c r="AX332" s="335"/>
      <c r="AY332" s="335"/>
      <c r="AZ332" s="335"/>
      <c r="BA332" s="335"/>
      <c r="BB332" s="335"/>
      <c r="BC332" s="335"/>
      <c r="BD332" s="335"/>
      <c r="BE332" s="335"/>
    </row>
    <row r="333" customFormat="false" ht="14.15" hidden="true" customHeight="true" outlineLevel="1" collapsed="false">
      <c r="A333" s="265" t="s">
        <v>1981</v>
      </c>
      <c r="B333" s="404" t="s">
        <v>156</v>
      </c>
      <c r="C333" s="518" t="n">
        <v>2</v>
      </c>
      <c r="D333" s="377" t="n">
        <v>3</v>
      </c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AO333" s="351"/>
      <c r="AP333" s="351"/>
      <c r="AQ333" s="335"/>
      <c r="AR333" s="335"/>
      <c r="AS333" s="335"/>
      <c r="AT333" s="335"/>
      <c r="AU333" s="335"/>
      <c r="AV333" s="335"/>
      <c r="AW333" s="335"/>
      <c r="AX333" s="335"/>
      <c r="AY333" s="335"/>
      <c r="AZ333" s="335"/>
      <c r="BA333" s="335"/>
      <c r="BB333" s="335"/>
      <c r="BC333" s="335"/>
      <c r="BD333" s="335"/>
      <c r="BE333" s="335"/>
    </row>
    <row r="334" customFormat="false" ht="14.15" hidden="true" customHeight="true" outlineLevel="1" collapsed="false">
      <c r="A334" s="324" t="s">
        <v>1907</v>
      </c>
      <c r="E334" s="358"/>
      <c r="F334" s="358"/>
      <c r="G334" s="358"/>
      <c r="H334" s="358"/>
      <c r="I334" s="358"/>
      <c r="J334" s="358"/>
      <c r="K334" s="358"/>
      <c r="L334" s="358"/>
      <c r="M334" s="358"/>
      <c r="N334" s="503"/>
      <c r="O334" s="503"/>
      <c r="P334" s="358"/>
      <c r="Q334" s="358"/>
      <c r="R334" s="358"/>
      <c r="S334" s="358"/>
      <c r="T334" s="358"/>
      <c r="U334" s="358"/>
      <c r="W334" s="348" t="s">
        <v>156</v>
      </c>
      <c r="X334" s="348"/>
      <c r="Y334" s="512"/>
      <c r="Z334" s="512"/>
      <c r="AA334" s="512"/>
      <c r="AB334" s="358"/>
      <c r="AC334" s="358"/>
      <c r="AD334" s="358" t="s">
        <v>1926</v>
      </c>
      <c r="AE334" s="358"/>
      <c r="AF334" s="358"/>
      <c r="AG334" s="358"/>
      <c r="AH334" s="358"/>
      <c r="AI334" s="358"/>
      <c r="AO334" s="351"/>
      <c r="AP334" s="351"/>
      <c r="AQ334" s="335"/>
      <c r="AR334" s="335"/>
      <c r="AS334" s="335"/>
      <c r="AT334" s="335"/>
      <c r="AU334" s="335"/>
      <c r="AV334" s="335"/>
      <c r="AW334" s="335"/>
      <c r="AX334" s="335"/>
      <c r="AY334" s="335"/>
      <c r="AZ334" s="335"/>
      <c r="BA334" s="335"/>
      <c r="BB334" s="335"/>
      <c r="BC334" s="335"/>
      <c r="BD334" s="335"/>
      <c r="BE334" s="335"/>
    </row>
    <row r="335" customFormat="false" ht="14.15" hidden="true" customHeight="true" outlineLevel="1" collapsed="false">
      <c r="A335" s="476" t="s">
        <v>1908</v>
      </c>
      <c r="G335" s="358"/>
      <c r="H335" s="34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W335" s="371" t="n">
        <v>7.6</v>
      </c>
      <c r="X335" s="371"/>
      <c r="Y335" s="358"/>
      <c r="Z335" s="358"/>
      <c r="AA335" s="358"/>
      <c r="AB335" s="358"/>
      <c r="AC335" s="358"/>
      <c r="AD335" s="358"/>
      <c r="AE335" s="358"/>
      <c r="AF335" s="358"/>
      <c r="AG335" s="358"/>
      <c r="AH335" s="358"/>
      <c r="AI335" s="358"/>
      <c r="AO335" s="351"/>
      <c r="AP335" s="351"/>
      <c r="AQ335" s="335"/>
      <c r="AR335" s="335"/>
      <c r="AS335" s="335"/>
      <c r="AT335" s="335"/>
      <c r="AU335" s="335"/>
      <c r="AV335" s="335"/>
      <c r="AW335" s="335"/>
      <c r="AX335" s="335"/>
      <c r="AY335" s="335"/>
      <c r="AZ335" s="335"/>
      <c r="BA335" s="335"/>
      <c r="BB335" s="335"/>
      <c r="BC335" s="335"/>
      <c r="BD335" s="335"/>
      <c r="BE335" s="335"/>
    </row>
    <row r="336" customFormat="false" ht="14.15" hidden="true" customHeight="true" outlineLevel="1" collapsed="false">
      <c r="A336" s="324" t="s">
        <v>1909</v>
      </c>
      <c r="D336" s="520"/>
      <c r="E336" s="452" t="n">
        <v>60</v>
      </c>
      <c r="F336" s="371"/>
      <c r="G336" s="358"/>
      <c r="H336" s="358"/>
      <c r="I336" s="358"/>
      <c r="J336" s="358"/>
      <c r="K336" s="358"/>
      <c r="L336" s="358"/>
      <c r="M336" s="358"/>
      <c r="N336" s="358"/>
      <c r="O336" s="358"/>
      <c r="P336" s="371" t="s">
        <v>1982</v>
      </c>
      <c r="Q336" s="358"/>
      <c r="R336" s="358"/>
      <c r="S336" s="358"/>
      <c r="T336" s="358"/>
      <c r="U336" s="358"/>
      <c r="W336" s="358"/>
      <c r="X336" s="358"/>
      <c r="Y336" s="358"/>
      <c r="Z336" s="358"/>
      <c r="AA336" s="358"/>
      <c r="AB336" s="358"/>
      <c r="AC336" s="358"/>
      <c r="AD336" s="358"/>
      <c r="AE336" s="358"/>
      <c r="AF336" s="358"/>
      <c r="AG336" s="358"/>
      <c r="AH336" s="358"/>
      <c r="AI336" s="358"/>
      <c r="AO336" s="351"/>
      <c r="AP336" s="351"/>
      <c r="AQ336" s="335"/>
      <c r="AR336" s="335"/>
      <c r="AS336" s="335"/>
      <c r="AT336" s="335"/>
      <c r="AU336" s="335"/>
      <c r="AV336" s="335"/>
      <c r="AW336" s="335"/>
      <c r="AX336" s="335"/>
      <c r="AY336" s="335"/>
      <c r="AZ336" s="335"/>
      <c r="BA336" s="335"/>
      <c r="BB336" s="335"/>
      <c r="BC336" s="335"/>
      <c r="BD336" s="335"/>
      <c r="BE336" s="335"/>
    </row>
    <row r="337" customFormat="false" ht="14.15" hidden="true" customHeight="true" outlineLevel="1" collapsed="false">
      <c r="A337" s="478" t="s">
        <v>270</v>
      </c>
      <c r="D337" s="520"/>
      <c r="E337" s="452" t="s">
        <v>1937</v>
      </c>
      <c r="F337" s="371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W337" s="358"/>
      <c r="X337" s="358"/>
      <c r="Y337" s="358"/>
      <c r="Z337" s="358"/>
      <c r="AA337" s="358"/>
      <c r="AB337" s="358"/>
      <c r="AC337" s="358"/>
      <c r="AD337" s="358"/>
      <c r="AE337" s="358"/>
      <c r="AF337" s="358"/>
      <c r="AG337" s="358"/>
      <c r="AH337" s="358"/>
      <c r="AI337" s="358"/>
      <c r="AO337" s="351"/>
      <c r="AP337" s="351"/>
      <c r="AQ337" s="335"/>
      <c r="AR337" s="335"/>
      <c r="AS337" s="335"/>
      <c r="AT337" s="335"/>
      <c r="AU337" s="335"/>
      <c r="AV337" s="335"/>
      <c r="AW337" s="335"/>
      <c r="AX337" s="335"/>
      <c r="AY337" s="335"/>
      <c r="AZ337" s="335"/>
      <c r="BA337" s="335"/>
      <c r="BB337" s="335"/>
      <c r="BC337" s="335"/>
      <c r="BD337" s="335"/>
      <c r="BE337" s="335"/>
    </row>
    <row r="338" customFormat="false" ht="14.15" hidden="true" customHeight="true" outlineLevel="1" collapsed="false">
      <c r="A338" s="431" t="s">
        <v>1910</v>
      </c>
      <c r="D338" s="521"/>
      <c r="E338" s="452"/>
      <c r="F338" s="358"/>
      <c r="G338" s="358"/>
      <c r="H338" s="371"/>
      <c r="I338" s="412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W338" s="358"/>
      <c r="X338" s="358"/>
      <c r="Y338" s="358"/>
      <c r="Z338" s="358"/>
      <c r="AA338" s="358"/>
      <c r="AB338" s="358"/>
      <c r="AC338" s="358"/>
      <c r="AD338" s="358"/>
      <c r="AE338" s="358"/>
      <c r="AF338" s="358"/>
      <c r="AG338" s="358"/>
      <c r="AH338" s="358"/>
      <c r="AI338" s="358"/>
      <c r="AO338" s="351"/>
      <c r="AP338" s="351"/>
      <c r="AQ338" s="335"/>
      <c r="AR338" s="335"/>
      <c r="AS338" s="335"/>
      <c r="AT338" s="335"/>
      <c r="AU338" s="335"/>
      <c r="AV338" s="335"/>
      <c r="AW338" s="335"/>
      <c r="AX338" s="335"/>
      <c r="AY338" s="335"/>
      <c r="AZ338" s="335"/>
      <c r="BA338" s="335"/>
      <c r="BB338" s="335"/>
      <c r="BC338" s="335"/>
      <c r="BD338" s="335"/>
      <c r="BE338" s="335"/>
    </row>
    <row r="339" customFormat="false" ht="14.15" hidden="true" customHeight="true" outlineLevel="1" collapsed="false">
      <c r="A339" s="478" t="s">
        <v>277</v>
      </c>
      <c r="D339" s="521"/>
      <c r="E339" s="452"/>
      <c r="F339" s="358"/>
      <c r="G339" s="358"/>
      <c r="H339" s="412"/>
      <c r="I339" s="412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W339" s="358"/>
      <c r="X339" s="358"/>
      <c r="Y339" s="358"/>
      <c r="Z339" s="358"/>
      <c r="AA339" s="358"/>
      <c r="AB339" s="358"/>
      <c r="AC339" s="358"/>
      <c r="AD339" s="358"/>
      <c r="AE339" s="358"/>
      <c r="AF339" s="358"/>
      <c r="AG339" s="358"/>
      <c r="AH339" s="358"/>
      <c r="AI339" s="358"/>
      <c r="AO339" s="351"/>
      <c r="AP339" s="351"/>
      <c r="AQ339" s="335"/>
      <c r="AR339" s="335"/>
      <c r="AS339" s="335"/>
      <c r="AT339" s="346"/>
      <c r="AU339" s="335"/>
      <c r="AV339" s="335"/>
      <c r="AW339" s="335"/>
      <c r="AX339" s="335"/>
      <c r="AY339" s="335"/>
      <c r="AZ339" s="335"/>
      <c r="BA339" s="335"/>
      <c r="BB339" s="335"/>
      <c r="BC339" s="335"/>
      <c r="BD339" s="335"/>
      <c r="BE339" s="335"/>
    </row>
    <row r="340" customFormat="false" ht="14.15" hidden="true" customHeight="true" outlineLevel="1" collapsed="false">
      <c r="A340" s="324" t="s">
        <v>1911</v>
      </c>
      <c r="D340" s="451"/>
      <c r="E340" s="452" t="n">
        <v>5.4</v>
      </c>
      <c r="F340" s="371"/>
      <c r="G340" s="358"/>
      <c r="H340" s="412"/>
      <c r="I340" s="412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W340" s="358" t="s">
        <v>1973</v>
      </c>
      <c r="X340" s="358"/>
      <c r="Y340" s="358"/>
      <c r="Z340" s="358"/>
      <c r="AA340" s="358"/>
      <c r="AB340" s="358"/>
      <c r="AC340" s="358"/>
      <c r="AD340" s="358"/>
      <c r="AE340" s="358"/>
      <c r="AF340" s="358"/>
      <c r="AG340" s="358"/>
      <c r="AH340" s="358"/>
      <c r="AI340" s="358"/>
      <c r="AO340" s="351"/>
      <c r="AP340" s="351"/>
      <c r="AQ340" s="335"/>
      <c r="AR340" s="335"/>
      <c r="AS340" s="335"/>
      <c r="AT340" s="346"/>
      <c r="AU340" s="335"/>
      <c r="AV340" s="335"/>
      <c r="AW340" s="335"/>
      <c r="AX340" s="335"/>
      <c r="AY340" s="335"/>
      <c r="AZ340" s="335"/>
      <c r="BA340" s="335"/>
      <c r="BB340" s="335"/>
      <c r="BC340" s="335"/>
      <c r="BD340" s="335"/>
      <c r="BE340" s="335"/>
    </row>
    <row r="341" customFormat="false" ht="14.15" hidden="true" customHeight="true" outlineLevel="1" collapsed="false">
      <c r="A341" s="478" t="s">
        <v>1014</v>
      </c>
      <c r="D341" s="347"/>
      <c r="E341" s="489" t="s">
        <v>156</v>
      </c>
      <c r="F341" s="348"/>
      <c r="G341" s="358"/>
      <c r="H341" s="371"/>
      <c r="I341" s="412"/>
      <c r="K341" s="358"/>
      <c r="L341" s="358"/>
      <c r="M341" s="358"/>
      <c r="N341" s="452" t="s">
        <v>1983</v>
      </c>
      <c r="O341" s="358"/>
      <c r="P341" s="358"/>
      <c r="Q341" s="358"/>
      <c r="R341" s="358"/>
      <c r="S341" s="358"/>
      <c r="T341" s="358"/>
      <c r="U341" s="358"/>
      <c r="W341" s="358"/>
      <c r="X341" s="358"/>
      <c r="Y341" s="358"/>
      <c r="Z341" s="358"/>
      <c r="AA341" s="358"/>
      <c r="AB341" s="358"/>
      <c r="AC341" s="358"/>
      <c r="AD341" s="358"/>
      <c r="AE341" s="358"/>
      <c r="AF341" s="358"/>
      <c r="AG341" s="358"/>
      <c r="AH341" s="358"/>
      <c r="AI341" s="358"/>
      <c r="AO341" s="351"/>
      <c r="AP341" s="351"/>
      <c r="AR341" s="335"/>
      <c r="AS341" s="335"/>
      <c r="AT341" s="346"/>
      <c r="AU341" s="346"/>
      <c r="AV341" s="346"/>
      <c r="AW341" s="335"/>
      <c r="AX341" s="335"/>
      <c r="AY341" s="335"/>
      <c r="AZ341" s="335"/>
      <c r="BA341" s="335"/>
      <c r="BB341" s="335"/>
      <c r="BC341" s="335"/>
      <c r="BD341" s="335"/>
      <c r="BE341" s="335"/>
    </row>
    <row r="342" customFormat="false" ht="14.15" hidden="true" customHeight="true" outlineLevel="1" collapsed="false">
      <c r="A342" s="324" t="s">
        <v>1913</v>
      </c>
      <c r="B342" s="477"/>
      <c r="C342" s="522"/>
      <c r="D342" s="347"/>
      <c r="E342" s="461"/>
      <c r="F342" s="461"/>
      <c r="G342" s="358"/>
      <c r="H342" s="358"/>
      <c r="I342" s="358"/>
      <c r="K342" s="358"/>
      <c r="L342" s="412"/>
      <c r="M342" s="358"/>
      <c r="N342" s="358"/>
      <c r="O342" s="358"/>
      <c r="P342" s="452"/>
      <c r="Q342" s="358"/>
      <c r="R342" s="358"/>
      <c r="S342" s="358"/>
      <c r="T342" s="358"/>
      <c r="U342" s="358"/>
      <c r="W342" s="358"/>
      <c r="X342" s="358"/>
      <c r="Y342" s="358"/>
      <c r="Z342" s="358"/>
      <c r="AA342" s="358"/>
      <c r="AB342" s="358"/>
      <c r="AC342" s="358"/>
      <c r="AD342" s="358"/>
      <c r="AE342" s="358"/>
      <c r="AF342" s="358"/>
      <c r="AG342" s="358"/>
      <c r="AH342" s="358" t="s">
        <v>1974</v>
      </c>
      <c r="AI342" s="358"/>
      <c r="AO342" s="351"/>
      <c r="AP342" s="351"/>
      <c r="AQ342" s="335"/>
      <c r="AR342" s="335"/>
      <c r="AS342" s="335"/>
      <c r="AT342" s="346"/>
      <c r="AU342" s="346"/>
      <c r="AV342" s="346"/>
      <c r="AW342" s="335"/>
      <c r="AX342" s="335"/>
      <c r="AY342" s="335"/>
      <c r="AZ342" s="335"/>
      <c r="BA342" s="335"/>
      <c r="BB342" s="335"/>
      <c r="BC342" s="335"/>
      <c r="BD342" s="335"/>
      <c r="BE342" s="335"/>
    </row>
    <row r="343" customFormat="false" ht="14.15" hidden="true" customHeight="true" outlineLevel="1" collapsed="false">
      <c r="A343" s="481" t="s">
        <v>706</v>
      </c>
      <c r="B343" s="477"/>
      <c r="C343" s="522"/>
      <c r="D343" s="347"/>
      <c r="E343" s="461"/>
      <c r="F343" s="461"/>
      <c r="G343" s="358"/>
      <c r="H343" s="358"/>
      <c r="I343" s="358"/>
      <c r="K343" s="469"/>
      <c r="L343" s="412"/>
      <c r="M343" s="358"/>
      <c r="N343" s="358"/>
      <c r="O343" s="358"/>
      <c r="P343" s="452"/>
      <c r="Q343" s="358"/>
      <c r="R343" s="469" t="s">
        <v>156</v>
      </c>
      <c r="S343" s="358"/>
      <c r="T343" s="358"/>
      <c r="U343" s="358"/>
      <c r="W343" s="358"/>
      <c r="X343" s="358"/>
      <c r="Y343" s="358"/>
      <c r="Z343" s="358"/>
      <c r="AA343" s="371" t="s">
        <v>1958</v>
      </c>
      <c r="AB343" s="371"/>
      <c r="AC343" s="358"/>
      <c r="AD343" s="358"/>
      <c r="AE343" s="358"/>
      <c r="AF343" s="358"/>
      <c r="AG343" s="358"/>
      <c r="AH343" s="358"/>
      <c r="AI343" s="358"/>
      <c r="AO343" s="351"/>
      <c r="AP343" s="351"/>
      <c r="AQ343" s="335"/>
      <c r="AR343" s="335"/>
      <c r="AS343" s="335"/>
      <c r="AT343" s="346"/>
      <c r="AU343" s="346"/>
      <c r="AV343" s="346"/>
      <c r="AW343" s="335"/>
      <c r="AX343" s="335"/>
      <c r="AY343" s="335"/>
      <c r="AZ343" s="335"/>
      <c r="BA343" s="335"/>
      <c r="BB343" s="335"/>
      <c r="BC343" s="335"/>
      <c r="BD343" s="335"/>
      <c r="BE343" s="335"/>
    </row>
    <row r="344" customFormat="false" ht="14.15" hidden="true" customHeight="true" outlineLevel="1" collapsed="false">
      <c r="A344" s="324" t="s">
        <v>1917</v>
      </c>
      <c r="D344" s="347"/>
      <c r="E344" s="461"/>
      <c r="F344" s="461"/>
      <c r="G344" s="358"/>
      <c r="H344" s="358"/>
      <c r="I344" s="358"/>
      <c r="J344" s="371"/>
      <c r="K344" s="412"/>
      <c r="L344" s="412"/>
      <c r="M344" s="358"/>
      <c r="N344" s="358"/>
      <c r="O344" s="358"/>
      <c r="P344" s="452"/>
      <c r="Q344" s="358"/>
      <c r="R344" s="358" t="n">
        <v>6.6</v>
      </c>
      <c r="S344" s="358"/>
      <c r="T344" s="358"/>
      <c r="U344" s="358"/>
      <c r="W344" s="358"/>
      <c r="X344" s="358"/>
      <c r="Y344" s="358"/>
      <c r="Z344" s="358"/>
      <c r="AA344" s="358"/>
      <c r="AB344" s="358"/>
      <c r="AC344" s="358"/>
      <c r="AD344" s="358"/>
      <c r="AE344" s="358"/>
      <c r="AF344" s="358"/>
      <c r="AG344" s="358"/>
      <c r="AH344" s="358"/>
      <c r="AI344" s="358"/>
      <c r="AJ344" s="358"/>
      <c r="AL344" s="469"/>
      <c r="AM344" s="347"/>
      <c r="AN344" s="347"/>
      <c r="AO344" s="351"/>
      <c r="AP344" s="351"/>
      <c r="AQ344" s="335"/>
      <c r="AR344" s="335"/>
      <c r="AS344" s="335"/>
      <c r="AT344" s="346"/>
      <c r="AU344" s="346"/>
      <c r="AV344" s="346"/>
      <c r="AW344" s="335"/>
      <c r="AX344" s="335"/>
      <c r="AY344" s="335"/>
      <c r="AZ344" s="335"/>
      <c r="BA344" s="335"/>
      <c r="BB344" s="335"/>
      <c r="BC344" s="335"/>
      <c r="BD344" s="335"/>
      <c r="BE344" s="335"/>
    </row>
    <row r="345" customFormat="false" ht="14.15" hidden="true" customHeight="true" outlineLevel="1" collapsed="false">
      <c r="A345" s="478" t="s">
        <v>753</v>
      </c>
      <c r="B345" s="324"/>
      <c r="D345" s="347"/>
      <c r="E345" s="461"/>
      <c r="F345" s="461"/>
      <c r="G345" s="358"/>
      <c r="H345" s="358"/>
      <c r="I345" s="358"/>
      <c r="J345" s="371"/>
      <c r="K345" s="412"/>
      <c r="L345" s="412"/>
      <c r="N345" s="358"/>
      <c r="O345" s="358"/>
      <c r="P345" s="452"/>
      <c r="Q345" s="358"/>
      <c r="R345" s="358"/>
      <c r="S345" s="358"/>
      <c r="T345" s="358"/>
      <c r="U345" s="358"/>
      <c r="W345" s="358"/>
      <c r="X345" s="358"/>
      <c r="Y345" s="358"/>
      <c r="Z345" s="358"/>
      <c r="AA345" s="358"/>
      <c r="AB345" s="358"/>
      <c r="AC345" s="358"/>
      <c r="AD345" s="358"/>
      <c r="AE345" s="358"/>
      <c r="AF345" s="358"/>
      <c r="AG345" s="358"/>
      <c r="AH345" s="358"/>
      <c r="AI345" s="358"/>
      <c r="AJ345" s="358"/>
      <c r="AK345" s="358"/>
      <c r="AL345" s="358"/>
      <c r="AM345" s="347"/>
      <c r="AN345" s="347"/>
      <c r="AO345" s="351"/>
      <c r="AP345" s="351"/>
      <c r="AQ345" s="335"/>
      <c r="AR345" s="335"/>
      <c r="AS345" s="335"/>
      <c r="AT345" s="346"/>
      <c r="AU345" s="346"/>
      <c r="AV345" s="346"/>
      <c r="AW345" s="335"/>
      <c r="AX345" s="335"/>
      <c r="AY345" s="335"/>
      <c r="AZ345" s="335"/>
      <c r="BA345" s="335"/>
      <c r="BB345" s="335"/>
      <c r="BC345" s="335"/>
      <c r="BD345" s="335"/>
      <c r="BE345" s="335"/>
    </row>
    <row r="346" customFormat="false" ht="14.15" hidden="true" customHeight="true" outlineLevel="1" collapsed="false">
      <c r="A346" s="324" t="s">
        <v>1919</v>
      </c>
      <c r="B346" s="324"/>
      <c r="D346" s="347"/>
      <c r="E346" s="461"/>
      <c r="F346" s="461"/>
      <c r="G346" s="358"/>
      <c r="H346" s="358"/>
      <c r="I346" s="358"/>
      <c r="J346" s="371"/>
      <c r="K346" s="412"/>
      <c r="L346" s="412"/>
      <c r="M346" s="358"/>
      <c r="N346" s="358"/>
      <c r="O346" s="358"/>
      <c r="P346" s="452"/>
      <c r="Q346" s="358"/>
      <c r="R346" s="358" t="s">
        <v>1937</v>
      </c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  <c r="AF346" s="358"/>
      <c r="AG346" s="358"/>
      <c r="AH346" s="358"/>
      <c r="AI346" s="358"/>
      <c r="AJ346" s="358"/>
      <c r="AK346" s="358"/>
      <c r="AL346" s="358"/>
      <c r="AM346" s="347"/>
      <c r="AN346" s="347"/>
      <c r="AO346" s="351"/>
      <c r="AP346" s="351"/>
      <c r="AQ346" s="335"/>
      <c r="AR346" s="335"/>
      <c r="AS346" s="335"/>
      <c r="AT346" s="346"/>
      <c r="AU346" s="346"/>
      <c r="AV346" s="346"/>
      <c r="AW346" s="335"/>
      <c r="AX346" s="335"/>
      <c r="AY346" s="335"/>
      <c r="AZ346" s="335"/>
      <c r="BA346" s="335"/>
      <c r="BB346" s="335"/>
      <c r="BC346" s="335"/>
      <c r="BD346" s="335"/>
      <c r="BE346" s="335"/>
    </row>
    <row r="347" customFormat="false" ht="14.15" hidden="true" customHeight="true" outlineLevel="1" collapsed="false">
      <c r="A347" s="478" t="s">
        <v>785</v>
      </c>
      <c r="B347" s="324"/>
      <c r="D347" s="347"/>
      <c r="E347" s="461"/>
      <c r="F347" s="461"/>
      <c r="G347" s="358"/>
      <c r="H347" s="358"/>
      <c r="I347" s="358"/>
      <c r="J347" s="371"/>
      <c r="K347" s="412"/>
      <c r="L347" s="412"/>
      <c r="N347" s="358"/>
      <c r="O347" s="358"/>
      <c r="P347" s="452"/>
      <c r="Q347" s="358"/>
      <c r="R347" s="358" t="n">
        <v>60</v>
      </c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  <c r="AF347" s="358"/>
      <c r="AG347" s="358"/>
      <c r="AI347" s="358"/>
      <c r="AJ347" s="358"/>
      <c r="AK347" s="358"/>
      <c r="AL347" s="358"/>
      <c r="AM347" s="347"/>
      <c r="AN347" s="347"/>
      <c r="AO347" s="351"/>
      <c r="AP347" s="351"/>
      <c r="AQ347" s="335"/>
      <c r="AR347" s="335"/>
      <c r="AS347" s="335"/>
      <c r="AT347" s="346"/>
      <c r="AU347" s="346"/>
      <c r="AV347" s="346"/>
      <c r="AW347" s="335"/>
      <c r="AX347" s="335"/>
      <c r="AY347" s="335"/>
      <c r="AZ347" s="335"/>
      <c r="BA347" s="335"/>
      <c r="BB347" s="335"/>
      <c r="BC347" s="335"/>
      <c r="BD347" s="335"/>
      <c r="BE347" s="335"/>
    </row>
    <row r="348" customFormat="false" ht="14.15" hidden="true" customHeight="true" outlineLevel="1" collapsed="false">
      <c r="A348" s="324" t="s">
        <v>1922</v>
      </c>
      <c r="B348" s="477"/>
      <c r="C348" s="358"/>
      <c r="D348" s="347"/>
      <c r="E348" s="347"/>
      <c r="F348" s="347"/>
      <c r="G348" s="347"/>
      <c r="H348" s="461"/>
      <c r="I348" s="347"/>
      <c r="J348" s="347"/>
      <c r="K348" s="347"/>
      <c r="L348" s="371"/>
      <c r="M348" s="412"/>
      <c r="N348" s="412"/>
      <c r="O348" s="358"/>
      <c r="P348" s="358"/>
      <c r="Q348" s="358"/>
      <c r="R348" s="452"/>
      <c r="S348" s="358"/>
      <c r="T348" s="358"/>
      <c r="U348" s="358"/>
      <c r="V348" s="358"/>
      <c r="W348" s="358"/>
      <c r="X348" s="358"/>
      <c r="Y348" s="358"/>
      <c r="Z348" s="358" t="s">
        <v>1983</v>
      </c>
      <c r="AA348" s="358"/>
      <c r="AB348" s="358"/>
      <c r="AC348" s="358"/>
      <c r="AD348" s="358"/>
      <c r="AE348" s="358"/>
      <c r="AF348" s="358"/>
      <c r="AG348" s="358"/>
      <c r="AH348" s="358"/>
      <c r="AI348" s="358"/>
      <c r="AJ348" s="347"/>
      <c r="AK348" s="347"/>
      <c r="AL348" s="347"/>
      <c r="AM348" s="347"/>
      <c r="AN348" s="347"/>
      <c r="AO348" s="351"/>
      <c r="AP348" s="351"/>
      <c r="AQ348" s="335"/>
      <c r="AR348" s="335"/>
      <c r="AS348" s="335"/>
      <c r="AT348" s="346"/>
      <c r="AU348" s="346"/>
      <c r="AV348" s="346"/>
      <c r="AW348" s="335"/>
      <c r="AX348" s="335"/>
      <c r="AY348" s="335"/>
      <c r="AZ348" s="335"/>
      <c r="BA348" s="335"/>
      <c r="BB348" s="335"/>
      <c r="BC348" s="335"/>
      <c r="BD348" s="335"/>
      <c r="BE348" s="335"/>
    </row>
    <row r="349" customFormat="false" ht="14.15" hidden="true" customHeight="true" outlineLevel="1" collapsed="false">
      <c r="A349" s="403" t="s">
        <v>152</v>
      </c>
      <c r="B349" s="404" t="s">
        <v>1793</v>
      </c>
      <c r="C349" s="378" t="n">
        <v>4</v>
      </c>
      <c r="D349" s="347"/>
      <c r="E349" s="347"/>
      <c r="F349" s="347"/>
      <c r="G349" s="347"/>
      <c r="H349" s="461"/>
      <c r="I349" s="347"/>
      <c r="J349" s="347"/>
      <c r="K349" s="347"/>
      <c r="L349" s="371"/>
      <c r="M349" s="412"/>
      <c r="N349" s="412"/>
      <c r="O349" s="358"/>
      <c r="P349" s="358"/>
      <c r="Q349" s="358"/>
      <c r="R349" s="452"/>
      <c r="S349" s="358"/>
      <c r="T349" s="358"/>
      <c r="U349" s="358"/>
      <c r="V349" s="358"/>
      <c r="W349" s="358"/>
      <c r="X349" s="358"/>
      <c r="Y349" s="358"/>
      <c r="Z349" s="358"/>
      <c r="AA349" s="412"/>
      <c r="AB349" s="412"/>
      <c r="AC349" s="412"/>
      <c r="AD349" s="412"/>
      <c r="AE349" s="358"/>
      <c r="AF349" s="412"/>
      <c r="AG349" s="412"/>
      <c r="AH349" s="412"/>
      <c r="AI349" s="347"/>
      <c r="AJ349" s="347"/>
      <c r="AK349" s="347"/>
      <c r="AL349" s="347"/>
      <c r="AM349" s="347"/>
      <c r="AN349" s="347"/>
      <c r="AO349" s="351"/>
      <c r="AP349" s="351"/>
      <c r="AQ349" s="335"/>
      <c r="AR349" s="335"/>
      <c r="AS349" s="335"/>
      <c r="AT349" s="346"/>
      <c r="AU349" s="346"/>
      <c r="AV349" s="346"/>
      <c r="AW349" s="335"/>
      <c r="AX349" s="335"/>
      <c r="AY349" s="335"/>
      <c r="AZ349" s="335"/>
      <c r="BA349" s="335"/>
      <c r="BB349" s="335"/>
      <c r="BC349" s="335"/>
      <c r="BD349" s="335"/>
      <c r="BE349" s="335"/>
    </row>
    <row r="350" customFormat="false" ht="14.15" hidden="true" customHeight="true" outlineLevel="1" collapsed="false">
      <c r="A350" s="393" t="s">
        <v>152</v>
      </c>
      <c r="B350" s="404" t="s">
        <v>1793</v>
      </c>
      <c r="C350" s="370" t="n">
        <v>0</v>
      </c>
      <c r="D350" s="347"/>
      <c r="E350" s="347"/>
      <c r="F350" s="347"/>
      <c r="G350" s="347"/>
      <c r="H350" s="461"/>
      <c r="I350" s="347"/>
      <c r="J350" s="347"/>
      <c r="K350" s="347"/>
      <c r="L350" s="371"/>
      <c r="M350" s="412"/>
      <c r="N350" s="412"/>
      <c r="O350" s="358"/>
      <c r="P350" s="358"/>
      <c r="Q350" s="358"/>
      <c r="R350" s="452"/>
      <c r="S350" s="358"/>
      <c r="T350" s="358"/>
      <c r="U350" s="358"/>
      <c r="V350" s="358"/>
      <c r="W350" s="358"/>
      <c r="X350" s="358"/>
      <c r="Y350" s="358"/>
      <c r="Z350" s="358"/>
      <c r="AA350" s="412"/>
      <c r="AB350" s="412"/>
      <c r="AC350" s="412"/>
      <c r="AD350" s="412"/>
      <c r="AE350" s="358"/>
      <c r="AF350" s="412"/>
      <c r="AG350" s="412"/>
      <c r="AH350" s="412"/>
      <c r="AI350" s="347"/>
      <c r="AJ350" s="347"/>
      <c r="AK350" s="347"/>
      <c r="AL350" s="347"/>
      <c r="AM350" s="347"/>
      <c r="AN350" s="347"/>
      <c r="AO350" s="351"/>
      <c r="AP350" s="351"/>
      <c r="AQ350" s="335"/>
      <c r="AR350" s="335"/>
      <c r="AS350" s="335"/>
      <c r="AT350" s="346"/>
      <c r="AU350" s="346"/>
      <c r="AV350" s="346"/>
      <c r="AW350" s="335"/>
      <c r="AX350" s="335"/>
      <c r="AY350" s="335"/>
      <c r="AZ350" s="335"/>
      <c r="BA350" s="335"/>
      <c r="BB350" s="335"/>
      <c r="BC350" s="335"/>
      <c r="BD350" s="335"/>
      <c r="BE350" s="335"/>
    </row>
    <row r="351" customFormat="false" ht="14.15" hidden="true" customHeight="true" outlineLevel="1" collapsed="false">
      <c r="D351" s="347"/>
      <c r="E351" s="347"/>
      <c r="F351" s="347"/>
      <c r="G351" s="347"/>
      <c r="H351" s="461"/>
      <c r="I351" s="347"/>
      <c r="J351" s="347"/>
      <c r="K351" s="347"/>
      <c r="L351" s="371"/>
      <c r="M351" s="412"/>
      <c r="N351" s="412"/>
      <c r="O351" s="358"/>
      <c r="P351" s="358"/>
      <c r="Q351" s="358"/>
      <c r="R351" s="452"/>
      <c r="S351" s="358"/>
      <c r="T351" s="358"/>
      <c r="U351" s="358"/>
      <c r="V351" s="358"/>
      <c r="W351" s="358"/>
      <c r="X351" s="358"/>
      <c r="Y351" s="358"/>
      <c r="Z351" s="358"/>
      <c r="AA351" s="412"/>
      <c r="AB351" s="412"/>
      <c r="AC351" s="412"/>
      <c r="AD351" s="412"/>
      <c r="AE351" s="358"/>
      <c r="AF351" s="412"/>
      <c r="AG351" s="412"/>
      <c r="AH351" s="412"/>
      <c r="AI351" s="347"/>
      <c r="AJ351" s="347"/>
      <c r="AK351" s="347"/>
      <c r="AL351" s="347"/>
      <c r="AM351" s="347"/>
      <c r="AN351" s="347"/>
      <c r="AO351" s="351"/>
      <c r="AP351" s="351"/>
      <c r="AQ351" s="335"/>
      <c r="AR351" s="335"/>
      <c r="AS351" s="335"/>
      <c r="AT351" s="346"/>
      <c r="AU351" s="346"/>
      <c r="AV351" s="346"/>
      <c r="AW351" s="335"/>
      <c r="AX351" s="335"/>
      <c r="AY351" s="335"/>
      <c r="AZ351" s="335"/>
      <c r="BA351" s="335"/>
      <c r="BB351" s="335"/>
      <c r="BC351" s="335"/>
      <c r="BD351" s="335"/>
      <c r="BE351" s="335"/>
    </row>
    <row r="352" customFormat="false" ht="14.15" hidden="true" customHeight="true" outlineLevel="1" collapsed="false">
      <c r="A352" s="405" t="s">
        <v>1984</v>
      </c>
      <c r="B352" s="404" t="s">
        <v>1796</v>
      </c>
      <c r="C352" s="488" t="n">
        <v>10000</v>
      </c>
      <c r="D352" s="347"/>
      <c r="E352" s="347"/>
      <c r="F352" s="347"/>
      <c r="G352" s="347"/>
      <c r="H352" s="461"/>
      <c r="I352" s="347"/>
      <c r="J352" s="347"/>
      <c r="K352" s="347"/>
      <c r="L352" s="371"/>
      <c r="M352" s="412"/>
      <c r="N352" s="412"/>
      <c r="O352" s="358"/>
      <c r="P352" s="358"/>
      <c r="Q352" s="358"/>
      <c r="R352" s="452"/>
      <c r="S352" s="358"/>
      <c r="T352" s="358"/>
      <c r="U352" s="358"/>
      <c r="V352" s="358"/>
      <c r="W352" s="358"/>
      <c r="X352" s="358"/>
      <c r="Y352" s="358"/>
      <c r="Z352" s="358"/>
      <c r="AA352" s="412"/>
      <c r="AB352" s="412"/>
      <c r="AC352" s="412"/>
      <c r="AD352" s="412"/>
      <c r="AE352" s="358"/>
      <c r="AF352" s="412"/>
      <c r="AG352" s="412"/>
      <c r="AH352" s="412"/>
      <c r="AI352" s="347"/>
      <c r="AJ352" s="347"/>
      <c r="AK352" s="347"/>
      <c r="AL352" s="347"/>
      <c r="AM352" s="347"/>
      <c r="AN352" s="347"/>
      <c r="AO352" s="351"/>
      <c r="AP352" s="351"/>
      <c r="AQ352" s="335"/>
      <c r="AR352" s="335"/>
      <c r="AS352" s="335"/>
      <c r="AT352" s="346"/>
      <c r="AU352" s="346"/>
      <c r="AV352" s="346"/>
      <c r="AW352" s="335"/>
      <c r="AX352" s="335"/>
      <c r="AY352" s="335"/>
      <c r="AZ352" s="335"/>
      <c r="BA352" s="335"/>
      <c r="BB352" s="335"/>
      <c r="BC352" s="335"/>
      <c r="BD352" s="335"/>
      <c r="BE352" s="335"/>
    </row>
    <row r="353" customFormat="false" ht="14.15" hidden="false" customHeight="true" outlineLevel="0" collapsed="false">
      <c r="A353" s="408" t="s">
        <v>1985</v>
      </c>
      <c r="B353" s="408"/>
      <c r="C353" s="408"/>
      <c r="D353" s="408"/>
      <c r="E353" s="408"/>
      <c r="F353" s="409" t="s">
        <v>1798</v>
      </c>
      <c r="G353" s="347"/>
      <c r="H353" s="461"/>
      <c r="I353" s="347"/>
      <c r="J353" s="347"/>
      <c r="K353" s="347"/>
      <c r="L353" s="371"/>
      <c r="M353" s="412"/>
      <c r="N353" s="412"/>
      <c r="O353" s="358"/>
      <c r="P353" s="358"/>
      <c r="Q353" s="358"/>
      <c r="R353" s="452"/>
      <c r="S353" s="358"/>
      <c r="T353" s="358"/>
      <c r="U353" s="358"/>
      <c r="V353" s="358"/>
      <c r="W353" s="358"/>
      <c r="X353" s="358"/>
      <c r="Y353" s="358"/>
      <c r="Z353" s="358"/>
      <c r="AA353" s="412"/>
      <c r="AB353" s="412"/>
      <c r="AC353" s="412"/>
      <c r="AD353" s="412"/>
      <c r="AE353" s="358"/>
      <c r="AF353" s="412"/>
      <c r="AG353" s="412"/>
      <c r="AH353" s="412"/>
      <c r="AI353" s="347"/>
      <c r="AJ353" s="347"/>
      <c r="AK353" s="347"/>
      <c r="AL353" s="347"/>
      <c r="AM353" s="347"/>
      <c r="AN353" s="347"/>
      <c r="AO353" s="351"/>
      <c r="AP353" s="351"/>
      <c r="AQ353" s="335"/>
      <c r="AR353" s="335"/>
      <c r="AS353" s="335"/>
      <c r="AT353" s="346"/>
      <c r="AU353" s="346"/>
      <c r="AV353" s="346"/>
      <c r="AW353" s="335"/>
      <c r="AX353" s="335"/>
      <c r="AY353" s="335"/>
      <c r="AZ353" s="335"/>
      <c r="BA353" s="335"/>
      <c r="BB353" s="335"/>
      <c r="BC353" s="335"/>
      <c r="BD353" s="335"/>
      <c r="BE353" s="335"/>
    </row>
    <row r="354" customFormat="false" ht="14.15" hidden="false" customHeight="true" outlineLevel="0" collapsed="false">
      <c r="A354" s="347"/>
      <c r="B354" s="450"/>
      <c r="C354" s="347"/>
      <c r="D354" s="347"/>
      <c r="E354" s="347"/>
      <c r="F354" s="347"/>
      <c r="G354" s="358"/>
      <c r="H354" s="358"/>
      <c r="I354" s="358"/>
      <c r="AI354" s="412"/>
      <c r="AJ354" s="412"/>
      <c r="AK354" s="412"/>
      <c r="AL354" s="412"/>
      <c r="AM354" s="412"/>
      <c r="AN354" s="412"/>
      <c r="AO354" s="351"/>
      <c r="AP354" s="351"/>
      <c r="AQ354" s="335"/>
      <c r="AR354" s="335"/>
      <c r="AS354" s="335"/>
      <c r="AT354" s="334"/>
      <c r="AU354" s="334"/>
      <c r="AV354" s="334"/>
      <c r="AW354" s="335"/>
      <c r="AX354" s="335"/>
      <c r="AY354" s="335"/>
      <c r="AZ354" s="335"/>
      <c r="BA354" s="335"/>
      <c r="BB354" s="335"/>
      <c r="BC354" s="335"/>
      <c r="BD354" s="335"/>
      <c r="BE354" s="335"/>
    </row>
    <row r="355" customFormat="false" ht="14.15" hidden="true" customHeight="true" outlineLevel="1" collapsed="false">
      <c r="A355" s="508" t="s">
        <v>1986</v>
      </c>
      <c r="B355" s="508"/>
      <c r="C355" s="508"/>
      <c r="D355" s="508"/>
      <c r="E355" s="508"/>
      <c r="H355" s="347"/>
      <c r="I355" s="411" t="s">
        <v>1987</v>
      </c>
      <c r="J355" s="411"/>
      <c r="K355" s="411"/>
      <c r="L355" s="411"/>
      <c r="M355" s="411"/>
      <c r="N355" s="411"/>
      <c r="O355" s="411"/>
      <c r="P355" s="411"/>
      <c r="Q355" s="411"/>
      <c r="R355" s="411"/>
      <c r="S355" s="411"/>
      <c r="T355" s="411"/>
      <c r="U355" s="411"/>
      <c r="V355" s="411"/>
      <c r="W355" s="411"/>
      <c r="X355" s="411"/>
      <c r="Y355" s="411"/>
      <c r="Z355" s="411"/>
      <c r="AA355" s="411"/>
      <c r="AB355" s="411"/>
      <c r="AC355" s="411"/>
      <c r="AD355" s="411"/>
      <c r="AE355" s="411"/>
      <c r="AF355" s="411"/>
      <c r="AG355" s="411"/>
      <c r="AI355" s="412"/>
      <c r="AJ355" s="412"/>
      <c r="AK355" s="412"/>
      <c r="AL355" s="412"/>
      <c r="AM355" s="412"/>
      <c r="AN355" s="412"/>
      <c r="AO355" s="351"/>
      <c r="AP355" s="351"/>
      <c r="AQ355" s="335"/>
      <c r="AR355" s="335"/>
      <c r="AS355" s="335"/>
      <c r="AT355" s="334"/>
      <c r="AU355" s="334"/>
      <c r="AV355" s="334"/>
      <c r="AW355" s="335"/>
      <c r="AX355" s="335"/>
      <c r="AY355" s="335"/>
      <c r="AZ355" s="335"/>
      <c r="BA355" s="335"/>
      <c r="BB355" s="335"/>
      <c r="BC355" s="335"/>
      <c r="BD355" s="335"/>
      <c r="BE355" s="335"/>
    </row>
    <row r="356" customFormat="false" ht="14.15" hidden="true" customHeight="true" outlineLevel="1" collapsed="false">
      <c r="A356" s="347"/>
      <c r="B356" s="497"/>
      <c r="C356" s="490"/>
      <c r="D356" s="490"/>
      <c r="E356" s="490"/>
      <c r="F356" s="490"/>
      <c r="G356" s="347"/>
      <c r="H356" s="347"/>
      <c r="I356" s="411"/>
      <c r="J356" s="411"/>
      <c r="K356" s="411"/>
      <c r="L356" s="411"/>
      <c r="M356" s="411"/>
      <c r="N356" s="411"/>
      <c r="O356" s="411"/>
      <c r="P356" s="411"/>
      <c r="Q356" s="411"/>
      <c r="R356" s="411"/>
      <c r="S356" s="411"/>
      <c r="T356" s="411"/>
      <c r="U356" s="411"/>
      <c r="V356" s="411"/>
      <c r="W356" s="411"/>
      <c r="X356" s="411"/>
      <c r="Y356" s="411"/>
      <c r="Z356" s="411"/>
      <c r="AA356" s="411"/>
      <c r="AB356" s="411"/>
      <c r="AC356" s="411"/>
      <c r="AD356" s="411"/>
      <c r="AE356" s="411"/>
      <c r="AF356" s="411"/>
      <c r="AG356" s="411"/>
      <c r="AH356" s="347"/>
      <c r="AI356" s="347"/>
      <c r="AJ356" s="347"/>
      <c r="AK356" s="347"/>
      <c r="AL356" s="347"/>
      <c r="AM356" s="347"/>
      <c r="AN356" s="347"/>
      <c r="AO356" s="351"/>
      <c r="AP356" s="351"/>
      <c r="AQ356" s="523"/>
      <c r="AR356" s="523"/>
      <c r="AS356" s="523"/>
      <c r="AT356" s="334"/>
      <c r="AU356" s="334"/>
      <c r="AV356" s="334"/>
      <c r="AW356" s="335"/>
      <c r="AX356" s="335"/>
      <c r="AY356" s="335"/>
      <c r="AZ356" s="335"/>
      <c r="BA356" s="335"/>
      <c r="BB356" s="335"/>
      <c r="BC356" s="335"/>
      <c r="BD356" s="335"/>
      <c r="BE356" s="335"/>
    </row>
    <row r="357" customFormat="false" ht="14.15" hidden="true" customHeight="true" outlineLevel="1" collapsed="false">
      <c r="A357" s="494" t="s">
        <v>1884</v>
      </c>
      <c r="B357" s="494"/>
      <c r="C357" s="494"/>
      <c r="D357" s="494"/>
      <c r="E357" s="495" t="n">
        <v>1</v>
      </c>
      <c r="F357" s="452"/>
      <c r="AM357" s="347"/>
      <c r="AN357" s="347"/>
      <c r="AO357" s="351"/>
      <c r="AP357" s="351"/>
      <c r="AQ357" s="523"/>
      <c r="AR357" s="523"/>
      <c r="AS357" s="523"/>
      <c r="AT357" s="334"/>
      <c r="AU357" s="334"/>
      <c r="AV357" s="334"/>
      <c r="AW357" s="335"/>
      <c r="AX357" s="335"/>
      <c r="AY357" s="335"/>
      <c r="AZ357" s="335"/>
      <c r="BA357" s="335"/>
      <c r="BB357" s="335"/>
      <c r="BC357" s="335"/>
      <c r="BD357" s="335"/>
      <c r="BE357" s="335"/>
    </row>
    <row r="358" customFormat="false" ht="14.15" hidden="true" customHeight="true" outlineLevel="1" collapsed="false">
      <c r="A358" s="494" t="s">
        <v>1885</v>
      </c>
      <c r="B358" s="494"/>
      <c r="C358" s="494"/>
      <c r="D358" s="494"/>
      <c r="E358" s="495" t="n">
        <v>1</v>
      </c>
      <c r="F358" s="452"/>
      <c r="AM358" s="347"/>
      <c r="AN358" s="347"/>
      <c r="AO358" s="351"/>
      <c r="AP358" s="351"/>
      <c r="AQ358" s="374"/>
      <c r="AR358" s="373"/>
      <c r="AS358" s="373"/>
      <c r="AT358" s="334"/>
      <c r="AU358" s="334"/>
      <c r="AV358" s="334"/>
      <c r="AW358" s="335"/>
      <c r="AX358" s="335"/>
      <c r="AY358" s="335"/>
      <c r="AZ358" s="335"/>
      <c r="BA358" s="335"/>
      <c r="BB358" s="335"/>
      <c r="BC358" s="335"/>
      <c r="BD358" s="335"/>
      <c r="BE358" s="335"/>
    </row>
    <row r="359" customFormat="false" ht="14.15" hidden="true" customHeight="true" outlineLevel="1" collapsed="false">
      <c r="AM359" s="347"/>
      <c r="AN359" s="347"/>
      <c r="AO359" s="351"/>
      <c r="AP359" s="351"/>
      <c r="AQ359" s="335"/>
      <c r="AR359" s="335"/>
      <c r="AS359" s="335"/>
      <c r="AT359" s="334"/>
      <c r="AU359" s="334"/>
      <c r="AV359" s="334"/>
      <c r="AW359" s="335"/>
      <c r="AX359" s="335"/>
      <c r="AY359" s="335" t="s">
        <v>1903</v>
      </c>
      <c r="AZ359" s="335"/>
      <c r="BA359" s="335"/>
      <c r="BB359" s="335"/>
      <c r="BC359" s="335" t="n">
        <v>1</v>
      </c>
      <c r="BD359" s="374" t="n">
        <f aca="false">связи1!C551</f>
        <v>3</v>
      </c>
      <c r="BE359" s="335"/>
    </row>
    <row r="360" customFormat="false" ht="14.15" hidden="true" customHeight="true" outlineLevel="1" collapsed="false">
      <c r="A360" s="465" t="s">
        <v>1988</v>
      </c>
      <c r="B360" s="524" t="s">
        <v>1989</v>
      </c>
      <c r="AM360" s="347"/>
      <c r="AN360" s="347"/>
      <c r="AO360" s="351"/>
      <c r="AP360" s="351"/>
      <c r="AQ360" s="335"/>
      <c r="AR360" s="335"/>
      <c r="AS360" s="335"/>
      <c r="AT360" s="334"/>
      <c r="AU360" s="334"/>
      <c r="AV360" s="334"/>
      <c r="AW360" s="335"/>
      <c r="AX360" s="335"/>
      <c r="AY360" s="335" t="s">
        <v>1906</v>
      </c>
      <c r="AZ360" s="335"/>
      <c r="BA360" s="335"/>
      <c r="BB360" s="335"/>
      <c r="BC360" s="335" t="n">
        <v>2</v>
      </c>
      <c r="BD360" s="374" t="n">
        <f aca="false">связи1!C552</f>
        <v>6</v>
      </c>
      <c r="BE360" s="335"/>
    </row>
    <row r="361" customFormat="false" ht="14.15" hidden="true" customHeight="true" outlineLevel="1" collapsed="false">
      <c r="A361" s="525" t="s">
        <v>1990</v>
      </c>
      <c r="B361" s="524"/>
      <c r="C361" s="526" t="s">
        <v>1991</v>
      </c>
      <c r="D361" s="513" t="s">
        <v>1753</v>
      </c>
      <c r="G361" s="348" t="s">
        <v>156</v>
      </c>
      <c r="H361" s="350"/>
      <c r="I361" s="350"/>
      <c r="J361" s="350"/>
      <c r="K361" s="350"/>
      <c r="M361" s="348"/>
      <c r="N361" s="350"/>
      <c r="O361" s="350"/>
      <c r="P361" s="350"/>
      <c r="Q361" s="350"/>
      <c r="R361" s="350"/>
      <c r="S361" s="350"/>
      <c r="T361" s="350"/>
      <c r="U361" s="350"/>
      <c r="V361" s="350"/>
      <c r="W361" s="350"/>
      <c r="X361" s="350"/>
      <c r="Y361" s="350"/>
      <c r="Z361" s="350"/>
      <c r="AA361" s="371" t="s">
        <v>1937</v>
      </c>
      <c r="AB361" s="371"/>
      <c r="AC361" s="350"/>
      <c r="AD361" s="350"/>
      <c r="AE361" s="350"/>
      <c r="AF361" s="350"/>
      <c r="AG361" s="350"/>
      <c r="AH361" s="350"/>
      <c r="AM361" s="347"/>
      <c r="AN361" s="347"/>
      <c r="AO361" s="351"/>
      <c r="AP361" s="351"/>
      <c r="AQ361" s="373"/>
      <c r="AR361" s="373"/>
      <c r="AS361" s="373"/>
      <c r="AT361" s="334"/>
      <c r="AU361" s="334"/>
      <c r="AV361" s="334"/>
      <c r="AW361" s="335"/>
      <c r="AX361" s="335"/>
      <c r="AY361" s="335" t="s">
        <v>1992</v>
      </c>
      <c r="AZ361" s="335"/>
      <c r="BA361" s="335"/>
      <c r="BB361" s="335"/>
      <c r="BC361" s="335" t="n">
        <v>3</v>
      </c>
      <c r="BD361" s="374" t="n">
        <f aca="false">связи1!C553</f>
        <v>2.9</v>
      </c>
      <c r="BE361" s="335"/>
    </row>
    <row r="362" customFormat="false" ht="14.15" hidden="true" customHeight="true" outlineLevel="1" collapsed="false">
      <c r="A362" s="527" t="s">
        <v>1993</v>
      </c>
      <c r="B362" s="524"/>
      <c r="C362" s="528" t="s">
        <v>156</v>
      </c>
      <c r="D362" s="370" t="n">
        <v>3</v>
      </c>
      <c r="E362" s="358"/>
      <c r="F362" s="358"/>
      <c r="G362" s="353" t="n">
        <v>7.5</v>
      </c>
      <c r="H362" s="350"/>
      <c r="I362" s="350"/>
      <c r="J362" s="350"/>
      <c r="K362" s="350"/>
      <c r="M362" s="353"/>
      <c r="N362" s="350"/>
      <c r="O362" s="350"/>
      <c r="P362" s="350"/>
      <c r="Q362" s="350"/>
      <c r="R362" s="350"/>
      <c r="S362" s="350"/>
      <c r="T362" s="350"/>
      <c r="U362" s="350"/>
      <c r="V362" s="350"/>
      <c r="W362" s="350"/>
      <c r="X362" s="350"/>
      <c r="Y362" s="358"/>
      <c r="Z362" s="358"/>
      <c r="AA362" s="529" t="n">
        <v>45</v>
      </c>
      <c r="AB362" s="529"/>
      <c r="AC362" s="350"/>
      <c r="AD362" s="350"/>
      <c r="AE362" s="350"/>
      <c r="AF362" s="350"/>
      <c r="AG362" s="350"/>
      <c r="AH362" s="350"/>
      <c r="AM362" s="347"/>
      <c r="AN362" s="347"/>
      <c r="AO362" s="351"/>
      <c r="AP362" s="351"/>
      <c r="AQ362" s="373"/>
      <c r="AR362" s="373"/>
      <c r="AS362" s="374"/>
      <c r="AT362" s="334"/>
      <c r="AU362" s="334"/>
      <c r="AV362" s="334"/>
      <c r="AW362" s="335"/>
      <c r="AX362" s="335"/>
      <c r="AY362" s="335" t="s">
        <v>1994</v>
      </c>
      <c r="AZ362" s="335"/>
      <c r="BA362" s="335"/>
      <c r="BB362" s="335"/>
      <c r="BC362" s="335" t="n">
        <v>4</v>
      </c>
      <c r="BD362" s="374" t="n">
        <f aca="false">связи1!C556</f>
        <v>2.5</v>
      </c>
      <c r="BE362" s="335"/>
    </row>
    <row r="363" customFormat="false" ht="14.15" hidden="true" customHeight="true" outlineLevel="1" collapsed="false">
      <c r="B363" s="446"/>
      <c r="H363" s="353"/>
      <c r="I363" s="353"/>
      <c r="J363" s="353"/>
      <c r="K363" s="349"/>
      <c r="L363" s="353"/>
      <c r="M363" s="353"/>
      <c r="N363" s="349"/>
      <c r="O363" s="349"/>
      <c r="P363" s="349"/>
      <c r="Q363" s="349"/>
      <c r="R363" s="349"/>
      <c r="S363" s="349"/>
      <c r="T363" s="349"/>
      <c r="U363" s="349"/>
      <c r="V363" s="349"/>
      <c r="W363" s="349"/>
      <c r="X363" s="349"/>
      <c r="Y363" s="358"/>
      <c r="Z363" s="358"/>
      <c r="AA363" s="529"/>
      <c r="AB363" s="529"/>
      <c r="AC363" s="349"/>
      <c r="AD363" s="349"/>
      <c r="AE363" s="349"/>
      <c r="AF363" s="349"/>
      <c r="AG363" s="349"/>
      <c r="AH363" s="349"/>
      <c r="AM363" s="347"/>
      <c r="AN363" s="347"/>
      <c r="AO363" s="351"/>
      <c r="AP363" s="351"/>
      <c r="AQ363" s="373"/>
      <c r="AR363" s="373"/>
      <c r="AS363" s="373"/>
      <c r="AT363" s="334"/>
      <c r="AU363" s="334"/>
      <c r="AV363" s="334"/>
      <c r="AW363" s="335"/>
      <c r="AX363" s="335"/>
      <c r="AY363" s="335" t="s">
        <v>1995</v>
      </c>
      <c r="AZ363" s="335"/>
      <c r="BA363" s="335"/>
      <c r="BB363" s="335"/>
      <c r="BC363" s="335" t="n">
        <v>5</v>
      </c>
      <c r="BD363" s="374" t="n">
        <f aca="false">связи1!C558</f>
        <v>1.2</v>
      </c>
      <c r="BE363" s="335"/>
    </row>
    <row r="364" customFormat="false" ht="14.15" hidden="true" customHeight="true" outlineLevel="1" collapsed="false">
      <c r="A364" s="393" t="s">
        <v>1988</v>
      </c>
      <c r="B364" s="524" t="s">
        <v>1996</v>
      </c>
      <c r="G364" s="348" t="s">
        <v>156</v>
      </c>
      <c r="H364" s="353"/>
      <c r="J364" s="348"/>
      <c r="K364" s="349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349"/>
      <c r="X364" s="349"/>
      <c r="Y364" s="349"/>
      <c r="Z364" s="349"/>
      <c r="AA364" s="349"/>
      <c r="AB364" s="349"/>
      <c r="AC364" s="349"/>
      <c r="AD364" s="349"/>
      <c r="AE364" s="349"/>
      <c r="AF364" s="349"/>
      <c r="AG364" s="349"/>
      <c r="AH364" s="349"/>
      <c r="AM364" s="347"/>
      <c r="AN364" s="347"/>
      <c r="AO364" s="351"/>
      <c r="AP364" s="351"/>
      <c r="AQ364" s="335"/>
      <c r="AR364" s="523"/>
      <c r="AS364" s="373"/>
      <c r="AT364" s="334"/>
      <c r="AU364" s="334"/>
      <c r="AV364" s="334"/>
      <c r="AW364" s="335"/>
      <c r="AX364" s="335"/>
      <c r="AY364" s="335" t="s">
        <v>1997</v>
      </c>
      <c r="AZ364" s="335"/>
      <c r="BA364" s="335"/>
      <c r="BB364" s="335"/>
      <c r="BC364" s="335" t="n">
        <v>6</v>
      </c>
      <c r="BD364" s="374" t="n">
        <f aca="false">связи1!C557</f>
        <v>1.9</v>
      </c>
      <c r="BE364" s="335"/>
    </row>
    <row r="365" customFormat="false" ht="14.15" hidden="true" customHeight="true" outlineLevel="1" collapsed="false">
      <c r="A365" s="393" t="s">
        <v>1998</v>
      </c>
      <c r="B365" s="524"/>
      <c r="C365" s="526" t="s">
        <v>1991</v>
      </c>
      <c r="D365" s="513" t="s">
        <v>1753</v>
      </c>
      <c r="G365" s="353" t="n">
        <v>7.3</v>
      </c>
      <c r="H365" s="353"/>
      <c r="J365" s="353"/>
      <c r="K365" s="353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349"/>
      <c r="X365" s="349"/>
      <c r="Y365" s="349"/>
      <c r="Z365" s="349"/>
      <c r="AA365" s="349"/>
      <c r="AB365" s="349"/>
      <c r="AC365" s="353"/>
      <c r="AD365" s="353"/>
      <c r="AE365" s="353"/>
      <c r="AF365" s="353"/>
      <c r="AG365" s="353"/>
      <c r="AH365" s="353"/>
      <c r="AM365" s="347"/>
      <c r="AN365" s="347"/>
      <c r="AO365" s="351"/>
      <c r="AP365" s="351"/>
      <c r="AQ365" s="335"/>
      <c r="AR365" s="523"/>
      <c r="AS365" s="373"/>
      <c r="AT365" s="334"/>
      <c r="AU365" s="334"/>
      <c r="AV365" s="334"/>
      <c r="AW365" s="335"/>
      <c r="AX365" s="335"/>
      <c r="AY365" s="335" t="s">
        <v>1999</v>
      </c>
      <c r="AZ365" s="335"/>
      <c r="BA365" s="335"/>
      <c r="BB365" s="335"/>
      <c r="BC365" s="335" t="n">
        <v>7</v>
      </c>
      <c r="BD365" s="374" t="n">
        <f aca="false">AH387</f>
        <v>0</v>
      </c>
      <c r="BE365" s="335"/>
    </row>
    <row r="366" customFormat="false" ht="14.15" hidden="true" customHeight="true" outlineLevel="1" collapsed="false">
      <c r="A366" s="527" t="s">
        <v>2000</v>
      </c>
      <c r="B366" s="524"/>
      <c r="C366" s="528" t="s">
        <v>156</v>
      </c>
      <c r="D366" s="370" t="n">
        <v>2</v>
      </c>
      <c r="G366" s="358"/>
      <c r="H366" s="353"/>
      <c r="I366" s="353"/>
      <c r="J366" s="353"/>
      <c r="K366" s="353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349"/>
      <c r="AA366" s="349"/>
      <c r="AB366" s="349"/>
      <c r="AC366" s="353"/>
      <c r="AD366" s="353"/>
      <c r="AE366" s="353"/>
      <c r="AG366" s="469"/>
      <c r="AH366" s="469" t="s">
        <v>156</v>
      </c>
      <c r="AM366" s="347"/>
      <c r="AN366" s="347"/>
      <c r="AO366" s="351"/>
      <c r="AP366" s="351"/>
      <c r="AQ366" s="335"/>
      <c r="AR366" s="374"/>
      <c r="AS366" s="373"/>
      <c r="AT366" s="334"/>
      <c r="AU366" s="334"/>
      <c r="AV366" s="334"/>
      <c r="AW366" s="335"/>
      <c r="AX366" s="335"/>
      <c r="AY366" s="335" t="s">
        <v>2001</v>
      </c>
      <c r="AZ366" s="335"/>
      <c r="BA366" s="335"/>
      <c r="BB366" s="335"/>
      <c r="BC366" s="335" t="n">
        <v>8</v>
      </c>
      <c r="BD366" s="374" t="n">
        <f aca="false">AH383</f>
        <v>0.2</v>
      </c>
      <c r="BE366" s="335"/>
    </row>
    <row r="367" customFormat="false" ht="14.15" hidden="true" customHeight="true" outlineLevel="1" collapsed="false">
      <c r="G367" s="358"/>
      <c r="H367" s="353"/>
      <c r="I367" s="353"/>
      <c r="J367" s="353"/>
      <c r="K367" s="353"/>
      <c r="L367" s="349"/>
      <c r="M367" s="349"/>
      <c r="N367" s="349"/>
      <c r="O367" s="349"/>
      <c r="P367" s="349"/>
      <c r="Q367" s="349"/>
      <c r="R367" s="349"/>
      <c r="S367" s="349"/>
      <c r="T367" s="380"/>
      <c r="U367" s="349"/>
      <c r="V367" s="349"/>
      <c r="W367" s="349"/>
      <c r="X367" s="349"/>
      <c r="Y367" s="349"/>
      <c r="Z367" s="349"/>
      <c r="AA367" s="349"/>
      <c r="AB367" s="349"/>
      <c r="AC367" s="353"/>
      <c r="AD367" s="353"/>
      <c r="AE367" s="353"/>
      <c r="AG367" s="349"/>
      <c r="AH367" s="349" t="n">
        <v>6.3</v>
      </c>
      <c r="AM367" s="347"/>
      <c r="AN367" s="347"/>
      <c r="AO367" s="351"/>
      <c r="AP367" s="351"/>
      <c r="AQ367" s="335"/>
      <c r="AR367" s="374"/>
      <c r="AS367" s="373"/>
      <c r="AT367" s="334"/>
      <c r="AU367" s="334"/>
      <c r="AV367" s="334"/>
      <c r="AW367" s="335"/>
      <c r="AX367" s="335"/>
      <c r="AY367" s="335" t="s">
        <v>2002</v>
      </c>
      <c r="AZ367" s="335"/>
      <c r="BA367" s="335"/>
      <c r="BB367" s="335"/>
      <c r="BC367" s="335" t="n">
        <v>9</v>
      </c>
      <c r="BD367" s="374" t="n">
        <f aca="false">AH379</f>
        <v>3.2</v>
      </c>
      <c r="BE367" s="335"/>
    </row>
    <row r="368" customFormat="false" ht="14.15" hidden="true" customHeight="true" outlineLevel="1" collapsed="false">
      <c r="A368" s="393" t="s">
        <v>1988</v>
      </c>
      <c r="B368" s="524" t="s">
        <v>2003</v>
      </c>
      <c r="G368" s="358"/>
      <c r="H368" s="353"/>
      <c r="I368" s="353"/>
      <c r="J368" s="353"/>
      <c r="K368" s="353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349"/>
      <c r="X368" s="349"/>
      <c r="Y368" s="349"/>
      <c r="Z368" s="349"/>
      <c r="AA368" s="349"/>
      <c r="AB368" s="349"/>
      <c r="AC368" s="353"/>
      <c r="AD368" s="353"/>
      <c r="AE368" s="353"/>
      <c r="AF368" s="349"/>
      <c r="AG368" s="349"/>
      <c r="AH368" s="353"/>
      <c r="AM368" s="347"/>
      <c r="AN368" s="347"/>
      <c r="AO368" s="351"/>
      <c r="AP368" s="351"/>
      <c r="AQ368" s="335"/>
      <c r="AR368" s="373"/>
      <c r="AS368" s="373"/>
      <c r="AT368" s="334"/>
      <c r="AU368" s="334"/>
      <c r="AV368" s="334"/>
      <c r="AW368" s="335"/>
      <c r="AX368" s="335"/>
      <c r="AY368" s="335" t="s">
        <v>2004</v>
      </c>
      <c r="AZ368" s="335"/>
      <c r="BA368" s="335"/>
      <c r="BB368" s="335"/>
      <c r="BC368" s="335" t="n">
        <v>10</v>
      </c>
      <c r="BD368" s="374" t="n">
        <f aca="false">AH375</f>
        <v>3.4</v>
      </c>
      <c r="BE368" s="335"/>
    </row>
    <row r="369" customFormat="false" ht="14.15" hidden="true" customHeight="true" outlineLevel="1" collapsed="false">
      <c r="A369" s="530" t="s">
        <v>2005</v>
      </c>
      <c r="B369" s="524"/>
      <c r="C369" s="526" t="s">
        <v>1991</v>
      </c>
      <c r="D369" s="513" t="s">
        <v>1753</v>
      </c>
      <c r="G369" s="444" t="s">
        <v>156</v>
      </c>
      <c r="H369" s="353"/>
      <c r="I369" s="353"/>
      <c r="J369" s="353"/>
      <c r="K369" s="353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349"/>
      <c r="AA369" s="349"/>
      <c r="AB369" s="349"/>
      <c r="AC369" s="353"/>
      <c r="AD369" s="353"/>
      <c r="AE369" s="349"/>
      <c r="AF369" s="353"/>
      <c r="AH369" s="348"/>
      <c r="AM369" s="347"/>
      <c r="AN369" s="347"/>
      <c r="AO369" s="351"/>
      <c r="AP369" s="351"/>
      <c r="AQ369" s="335"/>
      <c r="AR369" s="373"/>
      <c r="AS369" s="373"/>
      <c r="AT369" s="334"/>
      <c r="AU369" s="334"/>
      <c r="AV369" s="334"/>
      <c r="AW369" s="335"/>
      <c r="AX369" s="335"/>
      <c r="AY369" s="335" t="s">
        <v>1994</v>
      </c>
      <c r="AZ369" s="335"/>
      <c r="BA369" s="335"/>
      <c r="BB369" s="335"/>
      <c r="BC369" s="335" t="n">
        <v>1</v>
      </c>
      <c r="BD369" s="374"/>
      <c r="BE369" s="335"/>
    </row>
    <row r="370" customFormat="false" ht="14.15" hidden="true" customHeight="true" outlineLevel="1" collapsed="false">
      <c r="A370" s="527" t="s">
        <v>2006</v>
      </c>
      <c r="B370" s="524"/>
      <c r="C370" s="528" t="s">
        <v>156</v>
      </c>
      <c r="D370" s="370" t="n">
        <v>3</v>
      </c>
      <c r="G370" s="503" t="n">
        <v>6</v>
      </c>
      <c r="H370" s="353"/>
      <c r="I370" s="353"/>
      <c r="J370" s="353"/>
      <c r="K370" s="353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349"/>
      <c r="X370" s="349"/>
      <c r="Y370" s="349"/>
      <c r="Z370" s="349"/>
      <c r="AA370" s="349"/>
      <c r="AB370" s="349"/>
      <c r="AC370" s="353"/>
      <c r="AD370" s="353"/>
      <c r="AE370" s="353"/>
      <c r="AF370" s="353"/>
      <c r="AH370" s="348" t="s">
        <v>156</v>
      </c>
      <c r="AM370" s="347"/>
      <c r="AN370" s="347"/>
      <c r="AO370" s="351"/>
      <c r="AP370" s="351"/>
      <c r="AQ370" s="335"/>
      <c r="AR370" s="373"/>
      <c r="AS370" s="373"/>
      <c r="AT370" s="334"/>
      <c r="AU370" s="334"/>
      <c r="AV370" s="334"/>
      <c r="AW370" s="335"/>
      <c r="AX370" s="335"/>
      <c r="AY370" s="335" t="s">
        <v>2007</v>
      </c>
      <c r="AZ370" s="335"/>
      <c r="BA370" s="335"/>
      <c r="BB370" s="335"/>
      <c r="BC370" s="335"/>
      <c r="BD370" s="374" t="n">
        <f aca="false">G373</f>
        <v>5.8</v>
      </c>
      <c r="BE370" s="335"/>
    </row>
    <row r="371" customFormat="false" ht="14.15" hidden="true" customHeight="true" outlineLevel="1" collapsed="false">
      <c r="G371" s="358"/>
      <c r="H371" s="353"/>
      <c r="I371" s="353"/>
      <c r="J371" s="353"/>
      <c r="K371" s="353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349"/>
      <c r="X371" s="349"/>
      <c r="Y371" s="349"/>
      <c r="Z371" s="349"/>
      <c r="AA371" s="349"/>
      <c r="AB371" s="349"/>
      <c r="AC371" s="353"/>
      <c r="AD371" s="353"/>
      <c r="AE371" s="353"/>
      <c r="AF371" s="353"/>
      <c r="AG371" s="349"/>
      <c r="AH371" s="349" t="n">
        <v>6.1</v>
      </c>
      <c r="AM371" s="347"/>
      <c r="AN371" s="347"/>
      <c r="AO371" s="351"/>
      <c r="AP371" s="351"/>
      <c r="AQ371" s="335"/>
      <c r="AR371" s="373"/>
      <c r="AS371" s="388"/>
      <c r="AT371" s="334"/>
      <c r="AU371" s="334"/>
      <c r="AV371" s="334"/>
      <c r="AW371" s="335"/>
      <c r="AX371" s="335"/>
      <c r="AY371" s="335" t="s">
        <v>2008</v>
      </c>
      <c r="AZ371" s="335"/>
      <c r="BA371" s="335"/>
      <c r="BB371" s="335"/>
      <c r="BC371" s="335"/>
      <c r="BD371" s="374" t="n">
        <f aca="false">G370</f>
        <v>6</v>
      </c>
      <c r="BE371" s="335"/>
    </row>
    <row r="372" customFormat="false" ht="14.15" hidden="true" customHeight="true" outlineLevel="1" collapsed="false">
      <c r="A372" s="393" t="s">
        <v>1988</v>
      </c>
      <c r="B372" s="524" t="s">
        <v>2009</v>
      </c>
      <c r="G372" s="444" t="s">
        <v>156</v>
      </c>
      <c r="H372" s="353"/>
      <c r="I372" s="353"/>
      <c r="J372" s="353"/>
      <c r="K372" s="353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349"/>
      <c r="X372" s="349"/>
      <c r="Y372" s="349"/>
      <c r="Z372" s="349"/>
      <c r="AA372" s="349"/>
      <c r="AB372" s="349"/>
      <c r="AC372" s="353"/>
      <c r="AD372" s="353"/>
      <c r="AE372" s="353"/>
      <c r="AF372" s="353"/>
      <c r="AG372" s="353"/>
      <c r="AH372" s="353"/>
      <c r="AM372" s="347"/>
      <c r="AN372" s="347"/>
      <c r="AO372" s="351"/>
      <c r="AP372" s="351"/>
      <c r="AQ372" s="335"/>
      <c r="AR372" s="373"/>
      <c r="AS372" s="388"/>
      <c r="AT372" s="334"/>
      <c r="AU372" s="334"/>
      <c r="AV372" s="334"/>
      <c r="AW372" s="335"/>
      <c r="AX372" s="335"/>
      <c r="AY372" s="335" t="s">
        <v>2010</v>
      </c>
      <c r="AZ372" s="335"/>
      <c r="BA372" s="335"/>
      <c r="BB372" s="335"/>
      <c r="BC372" s="335"/>
      <c r="BD372" s="374" t="n">
        <f aca="false">G362</f>
        <v>7.5</v>
      </c>
      <c r="BE372" s="335"/>
    </row>
    <row r="373" customFormat="false" ht="14.15" hidden="true" customHeight="true" outlineLevel="1" collapsed="false">
      <c r="A373" s="393" t="s">
        <v>1749</v>
      </c>
      <c r="B373" s="524"/>
      <c r="C373" s="526" t="s">
        <v>1991</v>
      </c>
      <c r="D373" s="513" t="s">
        <v>1753</v>
      </c>
      <c r="G373" s="503" t="n">
        <v>5.8</v>
      </c>
      <c r="H373" s="353"/>
      <c r="I373" s="353"/>
      <c r="J373" s="353"/>
      <c r="K373" s="353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349"/>
      <c r="X373" s="349"/>
      <c r="Y373" s="349"/>
      <c r="Z373" s="349"/>
      <c r="AA373" s="349"/>
      <c r="AB373" s="349"/>
      <c r="AC373" s="353"/>
      <c r="AD373" s="353"/>
      <c r="AE373" s="353"/>
      <c r="AF373" s="353"/>
      <c r="AH373" s="348"/>
      <c r="AM373" s="347"/>
      <c r="AN373" s="347"/>
      <c r="AO373" s="351"/>
      <c r="AP373" s="351"/>
      <c r="AQ373" s="335"/>
      <c r="AR373" s="373"/>
      <c r="AS373" s="388"/>
      <c r="AT373" s="334"/>
      <c r="AU373" s="334"/>
      <c r="AV373" s="334"/>
      <c r="AW373" s="335"/>
      <c r="AX373" s="335"/>
      <c r="AY373" s="335" t="s">
        <v>2011</v>
      </c>
      <c r="AZ373" s="335"/>
      <c r="BA373" s="335"/>
      <c r="BB373" s="335"/>
      <c r="BC373" s="335"/>
      <c r="BD373" s="374" t="n">
        <f aca="false">G365</f>
        <v>7.3</v>
      </c>
      <c r="BE373" s="335"/>
    </row>
    <row r="374" customFormat="false" ht="14.15" hidden="true" customHeight="true" outlineLevel="1" collapsed="false">
      <c r="A374" s="527" t="s">
        <v>2012</v>
      </c>
      <c r="B374" s="524"/>
      <c r="C374" s="528" t="s">
        <v>156</v>
      </c>
      <c r="D374" s="370" t="n">
        <v>2.5</v>
      </c>
      <c r="G374" s="358"/>
      <c r="H374" s="353"/>
      <c r="I374" s="353"/>
      <c r="J374" s="353"/>
      <c r="K374" s="353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349"/>
      <c r="X374" s="349"/>
      <c r="Y374" s="349"/>
      <c r="Z374" s="349"/>
      <c r="AA374" s="349"/>
      <c r="AB374" s="349"/>
      <c r="AC374" s="353"/>
      <c r="AD374" s="353"/>
      <c r="AE374" s="353"/>
      <c r="AF374" s="353"/>
      <c r="AH374" s="348" t="s">
        <v>156</v>
      </c>
      <c r="AM374" s="347"/>
      <c r="AN374" s="347"/>
      <c r="AO374" s="351"/>
      <c r="AP374" s="351"/>
      <c r="AQ374" s="335"/>
      <c r="AR374" s="373"/>
      <c r="AS374" s="388"/>
      <c r="AT374" s="334"/>
      <c r="AU374" s="334"/>
      <c r="AV374" s="334"/>
      <c r="AW374" s="335"/>
      <c r="AX374" s="335"/>
      <c r="AY374" s="335" t="s">
        <v>2013</v>
      </c>
      <c r="AZ374" s="335"/>
      <c r="BA374" s="335"/>
      <c r="BB374" s="335"/>
      <c r="BC374" s="335"/>
      <c r="BD374" s="374" t="n">
        <f aca="false">AH371</f>
        <v>6.1</v>
      </c>
      <c r="BE374" s="335"/>
    </row>
    <row r="375" customFormat="false" ht="14.15" hidden="true" customHeight="true" outlineLevel="1" collapsed="false">
      <c r="A375" s="531"/>
      <c r="G375" s="358"/>
      <c r="H375" s="353"/>
      <c r="I375" s="353"/>
      <c r="J375" s="353"/>
      <c r="K375" s="353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349"/>
      <c r="X375" s="349"/>
      <c r="Y375" s="349"/>
      <c r="Z375" s="349"/>
      <c r="AA375" s="349"/>
      <c r="AB375" s="349"/>
      <c r="AC375" s="353"/>
      <c r="AD375" s="353"/>
      <c r="AE375" s="353"/>
      <c r="AF375" s="355"/>
      <c r="AG375" s="349"/>
      <c r="AH375" s="349" t="n">
        <v>3.4</v>
      </c>
      <c r="AM375" s="347"/>
      <c r="AN375" s="347"/>
      <c r="AO375" s="351"/>
      <c r="AP375" s="351"/>
      <c r="AQ375" s="335"/>
      <c r="AR375" s="373"/>
      <c r="AS375" s="388"/>
      <c r="AT375" s="334"/>
      <c r="AU375" s="334"/>
      <c r="AV375" s="334"/>
      <c r="AW375" s="335"/>
      <c r="AX375" s="335"/>
      <c r="AY375" s="335" t="s">
        <v>2014</v>
      </c>
      <c r="AZ375" s="335"/>
      <c r="BA375" s="335"/>
      <c r="BB375" s="335"/>
      <c r="BC375" s="335"/>
      <c r="BD375" s="374" t="n">
        <f aca="false">AH367</f>
        <v>6.3</v>
      </c>
      <c r="BE375" s="335"/>
    </row>
    <row r="376" customFormat="false" ht="14.15" hidden="true" customHeight="true" outlineLevel="1" collapsed="false">
      <c r="A376" s="526" t="s">
        <v>1093</v>
      </c>
      <c r="B376" s="532" t="s">
        <v>120</v>
      </c>
      <c r="C376" s="532" t="s">
        <v>1753</v>
      </c>
      <c r="D376" s="532"/>
      <c r="E376" s="532"/>
      <c r="F376" s="532"/>
      <c r="H376" s="444" t="s">
        <v>156</v>
      </c>
      <c r="I376" s="349"/>
      <c r="J376" s="349"/>
      <c r="K376" s="353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49"/>
      <c r="Y376" s="349"/>
      <c r="Z376" s="349"/>
      <c r="AA376" s="358"/>
      <c r="AB376" s="349"/>
      <c r="AC376" s="353"/>
      <c r="AD376" s="353"/>
      <c r="AE376" s="353"/>
      <c r="AF376" s="355"/>
      <c r="AG376" s="355"/>
      <c r="AH376" s="353"/>
      <c r="AM376" s="347"/>
      <c r="AN376" s="347"/>
      <c r="AO376" s="351"/>
      <c r="AP376" s="351"/>
      <c r="AQ376" s="335"/>
      <c r="AR376" s="373"/>
      <c r="AS376" s="388"/>
      <c r="AT376" s="334"/>
      <c r="AU376" s="334"/>
      <c r="AV376" s="334"/>
      <c r="AW376" s="335"/>
      <c r="AX376" s="335"/>
      <c r="AY376" s="335"/>
      <c r="AZ376" s="335"/>
      <c r="BA376" s="335"/>
      <c r="BB376" s="335"/>
      <c r="BC376" s="335" t="s">
        <v>2015</v>
      </c>
      <c r="BD376" s="374" t="n">
        <f aca="false">H377</f>
        <v>6.1</v>
      </c>
      <c r="BE376" s="335"/>
    </row>
    <row r="377" customFormat="false" ht="14.15" hidden="true" customHeight="true" outlineLevel="1" collapsed="false">
      <c r="A377" s="370" t="s">
        <v>2016</v>
      </c>
      <c r="B377" s="402" t="s">
        <v>159</v>
      </c>
      <c r="C377" s="402" t="s">
        <v>1966</v>
      </c>
      <c r="D377" s="425" t="s">
        <v>1970</v>
      </c>
      <c r="E377" s="533" t="s">
        <v>2017</v>
      </c>
      <c r="F377" s="425" t="s">
        <v>2018</v>
      </c>
      <c r="G377" s="452"/>
      <c r="H377" s="353" t="n">
        <v>6.1</v>
      </c>
      <c r="I377" s="353"/>
      <c r="J377" s="349"/>
      <c r="K377" s="353"/>
      <c r="L377" s="349"/>
      <c r="M377" s="349"/>
      <c r="N377" s="355"/>
      <c r="O377" s="355"/>
      <c r="P377" s="349"/>
      <c r="Q377" s="349"/>
      <c r="R377" s="349"/>
      <c r="S377" s="349"/>
      <c r="T377" s="358"/>
      <c r="U377" s="358"/>
      <c r="V377" s="349"/>
      <c r="W377" s="349"/>
      <c r="X377" s="349"/>
      <c r="Y377" s="349"/>
      <c r="Z377" s="349"/>
      <c r="AA377" s="349"/>
      <c r="AB377" s="349"/>
      <c r="AC377" s="353"/>
      <c r="AD377" s="353"/>
      <c r="AE377" s="353"/>
      <c r="AF377" s="355"/>
      <c r="AH377" s="348"/>
      <c r="AM377" s="347"/>
      <c r="AN377" s="347"/>
      <c r="AO377" s="351"/>
      <c r="AP377" s="351"/>
      <c r="AQ377" s="335"/>
      <c r="AR377" s="373"/>
      <c r="AS377" s="388"/>
      <c r="AT377" s="334"/>
      <c r="AU377" s="334"/>
      <c r="AV377" s="334"/>
      <c r="AW377" s="335"/>
      <c r="AX377" s="335"/>
      <c r="AY377" s="335"/>
      <c r="AZ377" s="335"/>
      <c r="BA377" s="335"/>
      <c r="BB377" s="335"/>
      <c r="BC377" s="335"/>
      <c r="BD377" s="335"/>
      <c r="BE377" s="335"/>
    </row>
    <row r="378" customFormat="false" ht="14.15" hidden="true" customHeight="true" outlineLevel="1" collapsed="false">
      <c r="A378" s="370" t="s">
        <v>2019</v>
      </c>
      <c r="B378" s="402" t="s">
        <v>159</v>
      </c>
      <c r="C378" s="378" t="n">
        <v>1</v>
      </c>
      <c r="D378" s="474" t="n">
        <v>1</v>
      </c>
      <c r="E378" s="534" t="n">
        <v>1</v>
      </c>
      <c r="F378" s="474" t="n">
        <v>1</v>
      </c>
      <c r="G378" s="452"/>
      <c r="H378" s="353"/>
      <c r="I378" s="353"/>
      <c r="J378" s="349"/>
      <c r="K378" s="353"/>
      <c r="L378" s="349"/>
      <c r="M378" s="349"/>
      <c r="N378" s="355"/>
      <c r="O378" s="355"/>
      <c r="P378" s="349"/>
      <c r="Q378" s="349"/>
      <c r="R378" s="349"/>
      <c r="S378" s="349"/>
      <c r="T378" s="358"/>
      <c r="U378" s="358"/>
      <c r="V378" s="349"/>
      <c r="W378" s="349"/>
      <c r="X378" s="349"/>
      <c r="Y378" s="349"/>
      <c r="Z378" s="349"/>
      <c r="AA378" s="349"/>
      <c r="AB378" s="349"/>
      <c r="AC378" s="349"/>
      <c r="AD378" s="349"/>
      <c r="AE378" s="349"/>
      <c r="AF378" s="349"/>
      <c r="AH378" s="348" t="s">
        <v>156</v>
      </c>
      <c r="AM378" s="347"/>
      <c r="AN378" s="347"/>
      <c r="AO378" s="351"/>
      <c r="AP378" s="351"/>
      <c r="AQ378" s="335"/>
      <c r="AR378" s="373"/>
      <c r="AS378" s="388"/>
      <c r="AT378" s="334"/>
      <c r="AU378" s="334"/>
      <c r="AV378" s="334"/>
      <c r="AW378" s="335"/>
      <c r="AX378" s="335"/>
      <c r="AY378" s="335"/>
      <c r="AZ378" s="335"/>
      <c r="BA378" s="335"/>
      <c r="BB378" s="335"/>
      <c r="BC378" s="335"/>
      <c r="BD378" s="335"/>
      <c r="BE378" s="335"/>
    </row>
    <row r="379" customFormat="false" ht="14.15" hidden="true" customHeight="true" outlineLevel="1" collapsed="false">
      <c r="A379" s="534" t="s">
        <v>1754</v>
      </c>
      <c r="B379" s="425" t="s">
        <v>156</v>
      </c>
      <c r="C379" s="474" t="n">
        <v>3</v>
      </c>
      <c r="D379" s="474" t="n">
        <v>3</v>
      </c>
      <c r="E379" s="534" t="n">
        <v>3</v>
      </c>
      <c r="F379" s="535" t="n">
        <v>3</v>
      </c>
      <c r="G379" s="452"/>
      <c r="H379" s="349"/>
      <c r="I379" s="349"/>
      <c r="J379" s="349"/>
      <c r="K379" s="353"/>
      <c r="L379" s="349"/>
      <c r="M379" s="349"/>
      <c r="N379" s="355"/>
      <c r="O379" s="355"/>
      <c r="P379" s="349"/>
      <c r="Q379" s="349"/>
      <c r="R379" s="349"/>
      <c r="S379" s="349"/>
      <c r="T379" s="358"/>
      <c r="U379" s="358"/>
      <c r="V379" s="349"/>
      <c r="W379" s="349"/>
      <c r="X379" s="349"/>
      <c r="Y379" s="349"/>
      <c r="Z379" s="349"/>
      <c r="AA379" s="349"/>
      <c r="AB379" s="349"/>
      <c r="AC379" s="349"/>
      <c r="AD379" s="349"/>
      <c r="AE379" s="349"/>
      <c r="AF379" s="349"/>
      <c r="AG379" s="349"/>
      <c r="AH379" s="349" t="n">
        <v>3.2</v>
      </c>
      <c r="AM379" s="347"/>
      <c r="AN379" s="347"/>
      <c r="AO379" s="351"/>
      <c r="AP379" s="351"/>
      <c r="AQ379" s="335"/>
      <c r="AR379" s="373"/>
      <c r="AS379" s="388"/>
      <c r="AT379" s="334"/>
      <c r="AU379" s="334"/>
      <c r="AV379" s="334"/>
      <c r="AW379" s="335"/>
      <c r="AX379" s="335"/>
      <c r="AY379" s="335"/>
      <c r="AZ379" s="335"/>
      <c r="BA379" s="335"/>
      <c r="BB379" s="335"/>
      <c r="BC379" s="335"/>
      <c r="BD379" s="335"/>
      <c r="BE379" s="335"/>
    </row>
    <row r="380" customFormat="false" ht="14.15" hidden="true" customHeight="true" outlineLevel="1" collapsed="false">
      <c r="A380" s="534" t="s">
        <v>1755</v>
      </c>
      <c r="B380" s="425" t="s">
        <v>156</v>
      </c>
      <c r="C380" s="474" t="n">
        <v>6</v>
      </c>
      <c r="D380" s="474" t="n">
        <v>3</v>
      </c>
      <c r="E380" s="534" t="n">
        <v>3</v>
      </c>
      <c r="F380" s="536" t="n">
        <v>5</v>
      </c>
      <c r="H380" s="349"/>
      <c r="I380" s="349"/>
      <c r="J380" s="349"/>
      <c r="K380" s="349"/>
      <c r="L380" s="349"/>
      <c r="M380" s="349"/>
      <c r="N380" s="349"/>
      <c r="O380" s="349"/>
      <c r="P380" s="349"/>
      <c r="Q380" s="349"/>
      <c r="R380" s="349"/>
      <c r="S380" s="349"/>
      <c r="T380" s="358"/>
      <c r="U380" s="358"/>
      <c r="V380" s="349"/>
      <c r="W380" s="349"/>
      <c r="X380" s="349"/>
      <c r="Y380" s="349"/>
      <c r="Z380" s="349"/>
      <c r="AA380" s="349"/>
      <c r="AB380" s="349"/>
      <c r="AC380" s="349"/>
      <c r="AD380" s="349"/>
      <c r="AE380" s="349"/>
      <c r="AF380" s="349"/>
      <c r="AG380" s="355"/>
      <c r="AH380" s="355"/>
      <c r="AM380" s="347"/>
      <c r="AN380" s="347"/>
      <c r="AO380" s="351"/>
      <c r="AP380" s="351"/>
      <c r="AQ380" s="335"/>
      <c r="AR380" s="373"/>
      <c r="AS380" s="335"/>
      <c r="AT380" s="335"/>
      <c r="AU380" s="334"/>
      <c r="AV380" s="334"/>
      <c r="AW380" s="335"/>
      <c r="AX380" s="335"/>
      <c r="AY380" s="335"/>
      <c r="AZ380" s="335"/>
      <c r="BA380" s="335"/>
      <c r="BB380" s="335"/>
      <c r="BC380" s="335"/>
      <c r="BD380" s="335"/>
      <c r="BE380" s="335"/>
    </row>
    <row r="381" customFormat="false" ht="14.15" hidden="true" customHeight="true" outlineLevel="1" collapsed="false">
      <c r="A381" s="534" t="s">
        <v>1756</v>
      </c>
      <c r="B381" s="425" t="s">
        <v>156</v>
      </c>
      <c r="C381" s="537" t="n">
        <v>2.9</v>
      </c>
      <c r="D381" s="474" t="n">
        <v>2.9</v>
      </c>
      <c r="E381" s="534" t="n">
        <v>2.9</v>
      </c>
      <c r="F381" s="536" t="n">
        <v>3</v>
      </c>
      <c r="H381" s="349"/>
      <c r="I381" s="349"/>
      <c r="J381" s="349"/>
      <c r="K381" s="349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349"/>
      <c r="X381" s="349"/>
      <c r="Y381" s="349"/>
      <c r="Z381" s="349"/>
      <c r="AA381" s="349"/>
      <c r="AB381" s="349"/>
      <c r="AC381" s="349"/>
      <c r="AD381" s="349"/>
      <c r="AE381" s="349"/>
      <c r="AF381" s="349"/>
      <c r="AH381" s="348"/>
      <c r="AM381" s="347"/>
      <c r="AN381" s="347"/>
      <c r="AO381" s="351"/>
      <c r="AP381" s="351"/>
      <c r="AQ381" s="335"/>
      <c r="AR381" s="373"/>
      <c r="AS381" s="335"/>
      <c r="AT381" s="335"/>
      <c r="AU381" s="334"/>
      <c r="AV381" s="334"/>
      <c r="AW381" s="335"/>
      <c r="AX381" s="335"/>
      <c r="AY381" s="335"/>
      <c r="AZ381" s="335"/>
      <c r="BA381" s="335"/>
      <c r="BB381" s="335"/>
      <c r="BC381" s="335"/>
      <c r="BD381" s="335"/>
      <c r="BE381" s="335"/>
    </row>
    <row r="382" customFormat="false" ht="14.15" hidden="true" customHeight="true" outlineLevel="1" collapsed="false">
      <c r="A382" s="534" t="s">
        <v>1757</v>
      </c>
      <c r="B382" s="425" t="s">
        <v>156</v>
      </c>
      <c r="C382" s="378" t="n">
        <v>5</v>
      </c>
      <c r="D382" s="378" t="n">
        <v>4.1</v>
      </c>
      <c r="E382" s="538" t="n">
        <v>6</v>
      </c>
      <c r="F382" s="536" t="n">
        <v>4</v>
      </c>
      <c r="H382" s="349"/>
      <c r="I382" s="349"/>
      <c r="J382" s="349"/>
      <c r="K382" s="349"/>
      <c r="L382" s="349"/>
      <c r="M382" s="349"/>
      <c r="N382" s="349"/>
      <c r="O382" s="349"/>
      <c r="P382" s="349"/>
      <c r="Q382" s="349"/>
      <c r="R382" s="349"/>
      <c r="S382" s="349"/>
      <c r="T382" s="349"/>
      <c r="U382" s="358"/>
      <c r="V382" s="349"/>
      <c r="W382" s="349"/>
      <c r="X382" s="349"/>
      <c r="Y382" s="349"/>
      <c r="Z382" s="349"/>
      <c r="AA382" s="349"/>
      <c r="AB382" s="349"/>
      <c r="AC382" s="349"/>
      <c r="AD382" s="349"/>
      <c r="AE382" s="349"/>
      <c r="AF382" s="349"/>
      <c r="AH382" s="348" t="s">
        <v>156</v>
      </c>
      <c r="AM382" s="347"/>
      <c r="AN382" s="347"/>
      <c r="AO382" s="351"/>
      <c r="AP382" s="351"/>
      <c r="AQ382" s="335"/>
      <c r="AR382" s="373"/>
      <c r="AS382" s="335"/>
      <c r="AT382" s="335"/>
      <c r="AU382" s="334"/>
      <c r="AV382" s="334"/>
      <c r="AW382" s="335"/>
      <c r="AX382" s="335"/>
      <c r="AY382" s="335"/>
      <c r="AZ382" s="335"/>
      <c r="BA382" s="335"/>
      <c r="BB382" s="335"/>
      <c r="BC382" s="335"/>
      <c r="BD382" s="335"/>
      <c r="BE382" s="335"/>
    </row>
    <row r="383" customFormat="false" ht="14.15" hidden="true" customHeight="true" outlineLevel="1" collapsed="false">
      <c r="A383" s="534" t="s">
        <v>1758</v>
      </c>
      <c r="B383" s="425" t="s">
        <v>156</v>
      </c>
      <c r="C383" s="324" t="n">
        <v>1.2</v>
      </c>
      <c r="D383" s="539" t="n">
        <v>2.1</v>
      </c>
      <c r="E383" s="540" t="n">
        <v>1.5</v>
      </c>
      <c r="F383" s="474" t="n">
        <v>2.7</v>
      </c>
      <c r="H383" s="349"/>
      <c r="I383" s="349"/>
      <c r="J383" s="349"/>
      <c r="K383" s="349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349"/>
      <c r="X383" s="349"/>
      <c r="Y383" s="349"/>
      <c r="Z383" s="349"/>
      <c r="AA383" s="349"/>
      <c r="AB383" s="349"/>
      <c r="AC383" s="349"/>
      <c r="AD383" s="349"/>
      <c r="AE383" s="349"/>
      <c r="AF383" s="349"/>
      <c r="AG383" s="349"/>
      <c r="AH383" s="349" t="n">
        <v>0.2</v>
      </c>
      <c r="AM383" s="347"/>
      <c r="AN383" s="347"/>
      <c r="AO383" s="351"/>
      <c r="AP383" s="351"/>
      <c r="AQ383" s="335"/>
      <c r="AR383" s="373"/>
      <c r="AS383" s="388"/>
      <c r="AT383" s="334"/>
      <c r="AU383" s="334"/>
      <c r="AV383" s="334"/>
      <c r="AW383" s="335"/>
      <c r="AX383" s="335"/>
      <c r="AY383" s="335"/>
      <c r="AZ383" s="335"/>
      <c r="BA383" s="335"/>
      <c r="BB383" s="335"/>
      <c r="BC383" s="335"/>
      <c r="BD383" s="335"/>
      <c r="BE383" s="335"/>
    </row>
    <row r="384" customFormat="false" ht="14.15" hidden="true" customHeight="true" outlineLevel="1" collapsed="false">
      <c r="A384" s="534" t="s">
        <v>1760</v>
      </c>
      <c r="B384" s="425" t="s">
        <v>156</v>
      </c>
      <c r="C384" s="537" t="n">
        <v>2.5</v>
      </c>
      <c r="D384" s="474" t="n">
        <v>2.2</v>
      </c>
      <c r="E384" s="534" t="n">
        <v>2.2</v>
      </c>
      <c r="F384" s="474" t="n">
        <v>2.7</v>
      </c>
      <c r="H384" s="349"/>
      <c r="I384" s="349"/>
      <c r="J384" s="349"/>
      <c r="K384" s="349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349"/>
      <c r="X384" s="349"/>
      <c r="Y384" s="349"/>
      <c r="Z384" s="349"/>
      <c r="AA384" s="349"/>
      <c r="AB384" s="349"/>
      <c r="AC384" s="349"/>
      <c r="AD384" s="349"/>
      <c r="AE384" s="349"/>
      <c r="AF384" s="349"/>
      <c r="AG384" s="349"/>
      <c r="AH384" s="349"/>
      <c r="AM384" s="347"/>
      <c r="AN384" s="347"/>
      <c r="AO384" s="351"/>
      <c r="AP384" s="351"/>
      <c r="AQ384" s="335"/>
      <c r="AR384" s="388"/>
      <c r="AS384" s="388"/>
      <c r="AT384" s="334"/>
      <c r="AU384" s="334"/>
      <c r="AV384" s="334"/>
      <c r="AW384" s="335"/>
      <c r="AX384" s="335"/>
      <c r="AY384" s="335"/>
      <c r="AZ384" s="335"/>
      <c r="BA384" s="335"/>
      <c r="BB384" s="335"/>
      <c r="BC384" s="335"/>
      <c r="BD384" s="335"/>
      <c r="BE384" s="335"/>
    </row>
    <row r="385" customFormat="false" ht="14.15" hidden="true" customHeight="true" outlineLevel="1" collapsed="false">
      <c r="H385" s="349"/>
      <c r="I385" s="349"/>
      <c r="J385" s="349"/>
      <c r="K385" s="349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349"/>
      <c r="X385" s="349"/>
      <c r="Y385" s="349"/>
      <c r="Z385" s="349"/>
      <c r="AA385" s="349"/>
      <c r="AB385" s="349"/>
      <c r="AC385" s="349"/>
      <c r="AD385" s="349"/>
      <c r="AE385" s="349"/>
      <c r="AF385" s="349"/>
      <c r="AH385" s="348"/>
      <c r="AM385" s="347"/>
      <c r="AN385" s="347"/>
      <c r="AO385" s="351"/>
      <c r="AP385" s="351"/>
      <c r="AQ385" s="335"/>
      <c r="AR385" s="374"/>
      <c r="AS385" s="388"/>
      <c r="AT385" s="334"/>
      <c r="AU385" s="334"/>
      <c r="AV385" s="334"/>
      <c r="AW385" s="335"/>
      <c r="AX385" s="335"/>
      <c r="AY385" s="335"/>
      <c r="AZ385" s="335"/>
      <c r="BA385" s="335"/>
      <c r="BB385" s="335"/>
      <c r="BC385" s="335"/>
      <c r="BD385" s="335"/>
      <c r="BE385" s="335"/>
    </row>
    <row r="386" customFormat="false" ht="14.15" hidden="true" customHeight="true" outlineLevel="1" collapsed="false">
      <c r="A386" s="402" t="s">
        <v>2020</v>
      </c>
      <c r="B386" s="402"/>
      <c r="C386" s="402"/>
      <c r="D386" s="402"/>
      <c r="E386" s="402"/>
      <c r="F386" s="402"/>
      <c r="H386" s="349"/>
      <c r="I386" s="349"/>
      <c r="J386" s="349"/>
      <c r="K386" s="349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349"/>
      <c r="X386" s="349"/>
      <c r="Y386" s="349"/>
      <c r="Z386" s="349"/>
      <c r="AA386" s="349"/>
      <c r="AB386" s="349"/>
      <c r="AC386" s="349"/>
      <c r="AD386" s="349"/>
      <c r="AE386" s="349"/>
      <c r="AF386" s="358"/>
      <c r="AH386" s="348" t="s">
        <v>156</v>
      </c>
      <c r="AM386" s="347"/>
      <c r="AN386" s="347"/>
      <c r="AO386" s="351"/>
      <c r="AP386" s="351"/>
      <c r="AQ386" s="335"/>
      <c r="AR386" s="388"/>
      <c r="AS386" s="388"/>
      <c r="AT386" s="334"/>
      <c r="AU386" s="334"/>
      <c r="AV386" s="334"/>
      <c r="AW386" s="335"/>
      <c r="AX386" s="335"/>
      <c r="AY386" s="335"/>
      <c r="AZ386" s="335"/>
      <c r="BA386" s="335"/>
      <c r="BB386" s="335"/>
      <c r="BC386" s="335"/>
      <c r="BD386" s="335"/>
      <c r="BE386" s="335"/>
    </row>
    <row r="387" customFormat="false" ht="14.15" hidden="true" customHeight="true" outlineLevel="1" collapsed="false">
      <c r="A387" s="541" t="s">
        <v>2021</v>
      </c>
      <c r="B387" s="542" t="s">
        <v>156</v>
      </c>
      <c r="C387" s="543" t="n">
        <v>0.5</v>
      </c>
      <c r="D387" s="474" t="n">
        <v>0.6</v>
      </c>
      <c r="E387" s="534" t="n">
        <v>0.6</v>
      </c>
      <c r="F387" s="474" t="n">
        <v>0.6</v>
      </c>
      <c r="H387" s="349"/>
      <c r="I387" s="349"/>
      <c r="J387" s="349"/>
      <c r="K387" s="349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349"/>
      <c r="X387" s="349"/>
      <c r="Y387" s="349"/>
      <c r="Z387" s="349"/>
      <c r="AA387" s="349"/>
      <c r="AB387" s="349"/>
      <c r="AC387" s="349"/>
      <c r="AD387" s="349"/>
      <c r="AE387" s="349"/>
      <c r="AF387" s="358"/>
      <c r="AG387" s="349"/>
      <c r="AH387" s="349" t="n">
        <v>0</v>
      </c>
      <c r="AM387" s="347"/>
      <c r="AN387" s="347"/>
      <c r="AO387" s="351"/>
      <c r="AP387" s="351"/>
      <c r="AQ387" s="335"/>
      <c r="AR387" s="388"/>
      <c r="AS387" s="388"/>
      <c r="AT387" s="334"/>
      <c r="AU387" s="334"/>
      <c r="AV387" s="334"/>
      <c r="AW387" s="335"/>
      <c r="AX387" s="335"/>
      <c r="AY387" s="335"/>
      <c r="AZ387" s="335"/>
      <c r="BA387" s="335"/>
      <c r="BB387" s="335"/>
      <c r="BC387" s="335"/>
      <c r="BD387" s="335"/>
      <c r="BE387" s="335"/>
    </row>
    <row r="388" customFormat="false" ht="14.15" hidden="true" customHeight="true" outlineLevel="1" collapsed="false">
      <c r="A388" s="541" t="s">
        <v>2022</v>
      </c>
      <c r="B388" s="542" t="s">
        <v>156</v>
      </c>
      <c r="C388" s="544" t="n">
        <v>0.7</v>
      </c>
      <c r="D388" s="474" t="n">
        <v>0.6</v>
      </c>
      <c r="E388" s="534" t="n">
        <v>0.6</v>
      </c>
      <c r="F388" s="474" t="n">
        <v>0.6</v>
      </c>
      <c r="H388" s="349"/>
      <c r="I388" s="349"/>
      <c r="J388" s="349"/>
      <c r="K388" s="349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349"/>
      <c r="X388" s="349"/>
      <c r="Y388" s="349"/>
      <c r="Z388" s="349"/>
      <c r="AA388" s="349"/>
      <c r="AB388" s="349"/>
      <c r="AC388" s="349"/>
      <c r="AD388" s="349"/>
      <c r="AE388" s="349"/>
      <c r="AF388" s="358"/>
      <c r="AG388" s="355"/>
      <c r="AH388" s="355"/>
      <c r="AM388" s="347"/>
      <c r="AN388" s="347"/>
      <c r="AO388" s="351"/>
      <c r="AP388" s="351"/>
      <c r="AQ388" s="335"/>
      <c r="AR388" s="388"/>
      <c r="AS388" s="388"/>
      <c r="AT388" s="334"/>
      <c r="AU388" s="334"/>
      <c r="AV388" s="334"/>
      <c r="AW388" s="335"/>
      <c r="AX388" s="335"/>
      <c r="AY388" s="335"/>
      <c r="AZ388" s="335"/>
      <c r="BA388" s="335"/>
      <c r="BB388" s="335"/>
      <c r="BC388" s="335"/>
      <c r="BD388" s="335"/>
      <c r="BE388" s="335"/>
    </row>
    <row r="389" customFormat="false" ht="14.15" hidden="true" customHeight="true" outlineLevel="1" collapsed="false">
      <c r="A389" s="541" t="s">
        <v>2023</v>
      </c>
      <c r="B389" s="542" t="s">
        <v>156</v>
      </c>
      <c r="C389" s="544" t="n">
        <v>0.5</v>
      </c>
      <c r="D389" s="474" t="n">
        <v>0.5</v>
      </c>
      <c r="E389" s="534" t="n">
        <v>0.8</v>
      </c>
      <c r="F389" s="474" t="n">
        <v>0.8</v>
      </c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58"/>
      <c r="U389" s="349"/>
      <c r="V389" s="349"/>
      <c r="W389" s="349"/>
      <c r="X389" s="349"/>
      <c r="Y389" s="349"/>
      <c r="Z389" s="349"/>
      <c r="AA389" s="349"/>
      <c r="AB389" s="349"/>
      <c r="AC389" s="349"/>
      <c r="AD389" s="349"/>
      <c r="AE389" s="349"/>
      <c r="AF389" s="349"/>
      <c r="AG389" s="349"/>
      <c r="AH389" s="349"/>
      <c r="AI389" s="349"/>
      <c r="AJ389" s="349"/>
      <c r="AM389" s="347"/>
      <c r="AN389" s="347"/>
      <c r="AO389" s="351"/>
      <c r="AP389" s="351"/>
      <c r="AQ389" s="335"/>
      <c r="AR389" s="388"/>
      <c r="AS389" s="388"/>
      <c r="AT389" s="334"/>
      <c r="AU389" s="334"/>
      <c r="AV389" s="334"/>
      <c r="AW389" s="335"/>
      <c r="AX389" s="335"/>
      <c r="AY389" s="335"/>
      <c r="AZ389" s="335"/>
      <c r="BA389" s="335"/>
      <c r="BB389" s="335"/>
      <c r="BC389" s="335"/>
      <c r="BD389" s="335"/>
      <c r="BE389" s="335"/>
    </row>
    <row r="390" customFormat="false" ht="14.15" hidden="true" customHeight="true" outlineLevel="1" collapsed="false">
      <c r="A390" s="541" t="s">
        <v>2024</v>
      </c>
      <c r="B390" s="425" t="s">
        <v>156</v>
      </c>
      <c r="C390" s="495" t="n">
        <v>0.7</v>
      </c>
      <c r="D390" s="544" t="n">
        <v>0.4</v>
      </c>
      <c r="E390" s="544" t="n">
        <v>0.9</v>
      </c>
      <c r="F390" s="545" t="n">
        <v>0.9</v>
      </c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349"/>
      <c r="X390" s="349"/>
      <c r="Y390" s="349"/>
      <c r="Z390" s="349"/>
      <c r="AA390" s="349"/>
      <c r="AB390" s="349"/>
      <c r="AC390" s="349"/>
      <c r="AD390" s="349"/>
      <c r="AE390" s="349"/>
      <c r="AF390" s="349"/>
      <c r="AG390" s="355"/>
      <c r="AH390" s="355"/>
      <c r="AI390" s="349"/>
      <c r="AJ390" s="349"/>
      <c r="AM390" s="347"/>
      <c r="AN390" s="347"/>
      <c r="AO390" s="351"/>
      <c r="AP390" s="351"/>
      <c r="AQ390" s="335"/>
      <c r="AR390" s="388"/>
      <c r="AS390" s="388"/>
      <c r="AT390" s="334"/>
      <c r="AU390" s="334"/>
      <c r="AV390" s="334"/>
      <c r="AW390" s="335"/>
      <c r="AX390" s="335"/>
      <c r="AY390" s="335"/>
      <c r="AZ390" s="335"/>
      <c r="BA390" s="335"/>
      <c r="BB390" s="335"/>
      <c r="BC390" s="335"/>
      <c r="BD390" s="335"/>
      <c r="BE390" s="335"/>
    </row>
    <row r="391" customFormat="false" ht="14.15" hidden="true" customHeight="true" outlineLevel="1" collapsed="false">
      <c r="A391" s="541" t="s">
        <v>2025</v>
      </c>
      <c r="B391" s="542" t="s">
        <v>156</v>
      </c>
      <c r="C391" s="544" t="n">
        <v>2</v>
      </c>
      <c r="D391" s="474" t="n">
        <v>1</v>
      </c>
      <c r="E391" s="474" t="n">
        <v>2</v>
      </c>
      <c r="F391" s="474" t="n">
        <v>3</v>
      </c>
      <c r="H391" s="349"/>
      <c r="I391" s="349"/>
      <c r="J391" s="349"/>
      <c r="K391" s="349"/>
      <c r="L391" s="349"/>
      <c r="M391" s="349"/>
      <c r="N391" s="349"/>
      <c r="O391" s="349"/>
      <c r="P391" s="349"/>
      <c r="Q391" s="349"/>
      <c r="R391" s="349"/>
      <c r="S391" s="349"/>
      <c r="T391" s="349"/>
      <c r="U391" s="382"/>
      <c r="V391" s="382"/>
      <c r="W391" s="349"/>
      <c r="X391" s="349"/>
      <c r="Y391" s="349"/>
      <c r="Z391" s="349"/>
      <c r="AA391" s="349"/>
      <c r="AB391" s="349"/>
      <c r="AC391" s="349"/>
      <c r="AD391" s="349"/>
      <c r="AE391" s="349"/>
      <c r="AF391" s="349"/>
      <c r="AG391" s="355"/>
      <c r="AH391" s="355"/>
      <c r="AI391" s="349"/>
      <c r="AJ391" s="349"/>
      <c r="AM391" s="347"/>
      <c r="AN391" s="347"/>
      <c r="AO391" s="351"/>
      <c r="AP391" s="351"/>
      <c r="AQ391" s="335"/>
      <c r="AR391" s="388"/>
      <c r="AS391" s="388"/>
      <c r="AT391" s="334"/>
      <c r="AU391" s="334"/>
      <c r="AV391" s="334"/>
      <c r="AW391" s="335"/>
      <c r="AX391" s="335"/>
      <c r="AY391" s="335"/>
      <c r="AZ391" s="335"/>
      <c r="BA391" s="335"/>
      <c r="BB391" s="335"/>
      <c r="BC391" s="335"/>
      <c r="BD391" s="335"/>
      <c r="BE391" s="335"/>
    </row>
    <row r="392" customFormat="false" ht="14.15" hidden="true" customHeight="true" outlineLevel="1" collapsed="false">
      <c r="B392" s="324"/>
      <c r="D392" s="358"/>
      <c r="E392" s="358"/>
      <c r="F392" s="358"/>
      <c r="H392" s="387"/>
      <c r="I392" s="387"/>
      <c r="J392" s="387"/>
      <c r="K392" s="349"/>
      <c r="L392" s="349"/>
      <c r="M392" s="349"/>
      <c r="N392" s="387"/>
      <c r="O392" s="349"/>
      <c r="P392" s="349"/>
      <c r="Q392" s="349"/>
      <c r="R392" s="349"/>
      <c r="S392" s="349"/>
      <c r="T392" s="349"/>
      <c r="U392" s="382"/>
      <c r="V392" s="382"/>
      <c r="W392" s="349"/>
      <c r="X392" s="349"/>
      <c r="Y392" s="349"/>
      <c r="Z392" s="349"/>
      <c r="AA392" s="349"/>
      <c r="AB392" s="349"/>
      <c r="AC392" s="349"/>
      <c r="AD392" s="349"/>
      <c r="AE392" s="349"/>
      <c r="AF392" s="349"/>
      <c r="AI392" s="349"/>
      <c r="AJ392" s="349"/>
      <c r="AM392" s="347"/>
      <c r="AN392" s="347"/>
      <c r="AO392" s="351"/>
      <c r="AP392" s="351"/>
      <c r="AQ392" s="335"/>
      <c r="AR392" s="388"/>
      <c r="AS392" s="388"/>
      <c r="AT392" s="334"/>
      <c r="AU392" s="334"/>
      <c r="AV392" s="334"/>
      <c r="AW392" s="335"/>
      <c r="AX392" s="335"/>
      <c r="AY392" s="335"/>
      <c r="AZ392" s="335"/>
      <c r="BA392" s="335"/>
      <c r="BB392" s="335"/>
      <c r="BC392" s="335"/>
      <c r="BD392" s="335"/>
      <c r="BE392" s="335"/>
    </row>
    <row r="393" customFormat="false" ht="14.15" hidden="true" customHeight="true" outlineLevel="1" collapsed="false">
      <c r="A393" s="324" t="s">
        <v>1889</v>
      </c>
      <c r="B393" s="477"/>
      <c r="C393" s="498"/>
      <c r="D393" s="358"/>
      <c r="E393" s="358"/>
      <c r="F393" s="358"/>
      <c r="G393" s="358"/>
      <c r="H393" s="347"/>
      <c r="I393" s="446"/>
      <c r="J393" s="446"/>
      <c r="K393" s="349"/>
      <c r="L393" s="387"/>
      <c r="M393" s="387"/>
      <c r="N393" s="387"/>
      <c r="O393" s="349"/>
      <c r="P393" s="349"/>
      <c r="Q393" s="349"/>
      <c r="R393" s="387"/>
      <c r="S393" s="349"/>
      <c r="T393" s="349"/>
      <c r="U393" s="349"/>
      <c r="V393" s="349"/>
      <c r="W393" s="349"/>
      <c r="X393" s="349"/>
      <c r="Y393" s="382"/>
      <c r="Z393" s="382"/>
      <c r="AA393" s="349"/>
      <c r="AB393" s="349"/>
      <c r="AC393" s="349"/>
      <c r="AD393" s="349"/>
      <c r="AE393" s="349"/>
      <c r="AF393" s="349"/>
      <c r="AG393" s="349"/>
      <c r="AH393" s="349"/>
      <c r="AI393" s="349"/>
      <c r="AJ393" s="349"/>
      <c r="AM393" s="347"/>
      <c r="AN393" s="347"/>
      <c r="AO393" s="351"/>
      <c r="AP393" s="351"/>
      <c r="AQ393" s="335"/>
      <c r="AR393" s="388"/>
      <c r="AS393" s="388"/>
      <c r="AT393" s="334"/>
      <c r="AU393" s="334"/>
      <c r="AV393" s="334"/>
      <c r="AW393" s="335"/>
      <c r="AX393" s="335"/>
      <c r="AY393" s="335"/>
      <c r="AZ393" s="335"/>
      <c r="BA393" s="335"/>
      <c r="BB393" s="335"/>
      <c r="BC393" s="335"/>
      <c r="BD393" s="335"/>
      <c r="BE393" s="335"/>
    </row>
    <row r="394" customFormat="false" ht="14.15" hidden="true" customHeight="true" outlineLevel="1" collapsed="false">
      <c r="A394" s="465" t="s">
        <v>1890</v>
      </c>
      <c r="B394" s="477"/>
      <c r="C394" s="498"/>
      <c r="D394" s="358"/>
      <c r="E394" s="358"/>
      <c r="F394" s="358"/>
      <c r="G394" s="358"/>
      <c r="H394" s="347"/>
      <c r="I394" s="446"/>
      <c r="J394" s="446"/>
      <c r="K394" s="349"/>
      <c r="L394" s="387"/>
      <c r="M394" s="387"/>
      <c r="N394" s="387"/>
      <c r="O394" s="349"/>
      <c r="P394" s="349"/>
      <c r="Q394" s="349"/>
      <c r="R394" s="387"/>
      <c r="S394" s="349"/>
      <c r="T394" s="349"/>
      <c r="U394" s="349"/>
      <c r="V394" s="349"/>
      <c r="W394" s="349"/>
      <c r="X394" s="349"/>
      <c r="Y394" s="382"/>
      <c r="Z394" s="382"/>
      <c r="AA394" s="349"/>
      <c r="AB394" s="349"/>
      <c r="AC394" s="349"/>
      <c r="AD394" s="349"/>
      <c r="AE394" s="349"/>
      <c r="AF394" s="349"/>
      <c r="AG394" s="349"/>
      <c r="AH394" s="349"/>
      <c r="AI394" s="349"/>
      <c r="AJ394" s="349"/>
      <c r="AM394" s="347"/>
      <c r="AN394" s="347"/>
      <c r="AO394" s="351"/>
      <c r="AP394" s="351"/>
      <c r="AQ394" s="335"/>
      <c r="AR394" s="388"/>
      <c r="AS394" s="388"/>
      <c r="AT394" s="334"/>
      <c r="AU394" s="334"/>
      <c r="AV394" s="334"/>
      <c r="AW394" s="335"/>
      <c r="AX394" s="335"/>
      <c r="AY394" s="335"/>
      <c r="AZ394" s="335"/>
      <c r="BA394" s="335"/>
      <c r="BB394" s="335"/>
      <c r="BC394" s="335"/>
      <c r="BD394" s="335"/>
      <c r="BE394" s="335"/>
    </row>
    <row r="395" customFormat="false" ht="14.15" hidden="true" customHeight="true" outlineLevel="1" collapsed="false">
      <c r="A395" s="466" t="s">
        <v>1891</v>
      </c>
      <c r="B395" s="477"/>
      <c r="C395" s="546"/>
      <c r="D395" s="546"/>
      <c r="E395" s="546"/>
      <c r="F395" s="546"/>
      <c r="G395" s="358"/>
      <c r="H395" s="347"/>
      <c r="I395" s="446"/>
      <c r="J395" s="446"/>
      <c r="K395" s="349"/>
      <c r="L395" s="387"/>
      <c r="M395" s="387"/>
      <c r="N395" s="387"/>
      <c r="O395" s="349"/>
      <c r="P395" s="349"/>
      <c r="Q395" s="349"/>
      <c r="R395" s="387"/>
      <c r="S395" s="349"/>
      <c r="T395" s="349"/>
      <c r="U395" s="349"/>
      <c r="V395" s="349"/>
      <c r="W395" s="349"/>
      <c r="X395" s="349"/>
      <c r="Y395" s="382"/>
      <c r="Z395" s="382"/>
      <c r="AA395" s="349"/>
      <c r="AB395" s="349"/>
      <c r="AC395" s="349"/>
      <c r="AD395" s="349"/>
      <c r="AE395" s="349"/>
      <c r="AF395" s="349"/>
      <c r="AG395" s="349"/>
      <c r="AH395" s="349"/>
      <c r="AI395" s="349"/>
      <c r="AJ395" s="349"/>
      <c r="AM395" s="347"/>
      <c r="AN395" s="347"/>
      <c r="AO395" s="351"/>
      <c r="AP395" s="351"/>
      <c r="AQ395" s="335"/>
      <c r="AR395" s="388"/>
      <c r="AS395" s="388"/>
      <c r="AT395" s="334"/>
      <c r="AU395" s="334"/>
      <c r="AV395" s="334"/>
      <c r="AW395" s="335"/>
      <c r="AX395" s="335"/>
      <c r="AY395" s="335"/>
      <c r="AZ395" s="335"/>
      <c r="BA395" s="335"/>
      <c r="BB395" s="335"/>
      <c r="BC395" s="335"/>
      <c r="BD395" s="335"/>
      <c r="BE395" s="335"/>
    </row>
    <row r="396" customFormat="false" ht="14.15" hidden="true" customHeight="true" outlineLevel="1" collapsed="false">
      <c r="A396" s="470" t="s">
        <v>2026</v>
      </c>
      <c r="B396" s="477"/>
      <c r="C396" s="546"/>
      <c r="D396" s="546"/>
      <c r="E396" s="546"/>
      <c r="F396" s="546"/>
      <c r="G396" s="358"/>
      <c r="H396" s="347"/>
      <c r="I396" s="446"/>
      <c r="J396" s="446"/>
      <c r="K396" s="349"/>
      <c r="L396" s="387"/>
      <c r="M396" s="387"/>
      <c r="N396" s="387"/>
      <c r="O396" s="349"/>
      <c r="P396" s="349"/>
      <c r="Q396" s="349"/>
      <c r="R396" s="387"/>
      <c r="S396" s="349"/>
      <c r="T396" s="349"/>
      <c r="U396" s="349"/>
      <c r="V396" s="349"/>
      <c r="W396" s="349"/>
      <c r="X396" s="349"/>
      <c r="Y396" s="382"/>
      <c r="Z396" s="382"/>
      <c r="AA396" s="349"/>
      <c r="AB396" s="349"/>
      <c r="AC396" s="349"/>
      <c r="AD396" s="349"/>
      <c r="AE396" s="349"/>
      <c r="AF396" s="349"/>
      <c r="AG396" s="349"/>
      <c r="AH396" s="349"/>
      <c r="AI396" s="349"/>
      <c r="AJ396" s="349"/>
      <c r="AM396" s="347"/>
      <c r="AN396" s="347"/>
      <c r="AO396" s="351"/>
      <c r="AP396" s="351"/>
      <c r="AQ396" s="335"/>
      <c r="AR396" s="388"/>
      <c r="AS396" s="388"/>
      <c r="AT396" s="334"/>
      <c r="AU396" s="334"/>
      <c r="AV396" s="334"/>
      <c r="AW396" s="335"/>
      <c r="AX396" s="335"/>
      <c r="AY396" s="335"/>
      <c r="AZ396" s="335"/>
      <c r="BA396" s="335"/>
      <c r="BB396" s="335"/>
      <c r="BC396" s="335"/>
      <c r="BD396" s="335"/>
      <c r="BE396" s="335"/>
    </row>
    <row r="397" customFormat="false" ht="14.15" hidden="true" customHeight="true" outlineLevel="1" collapsed="false">
      <c r="A397" s="324" t="s">
        <v>1907</v>
      </c>
      <c r="C397" s="546"/>
      <c r="D397" s="546"/>
      <c r="E397" s="546"/>
      <c r="F397" s="546"/>
      <c r="G397" s="358"/>
      <c r="H397" s="347"/>
      <c r="I397" s="446"/>
      <c r="J397" s="446"/>
      <c r="K397" s="349"/>
      <c r="L397" s="387"/>
      <c r="M397" s="387"/>
      <c r="N397" s="387"/>
      <c r="O397" s="349"/>
      <c r="P397" s="349"/>
      <c r="Q397" s="349"/>
      <c r="R397" s="387"/>
      <c r="S397" s="349"/>
      <c r="T397" s="349"/>
      <c r="U397" s="349"/>
      <c r="V397" s="349"/>
      <c r="W397" s="349"/>
      <c r="X397" s="349"/>
      <c r="Y397" s="382"/>
      <c r="Z397" s="382"/>
      <c r="AA397" s="349"/>
      <c r="AB397" s="349"/>
      <c r="AC397" s="349"/>
      <c r="AD397" s="349"/>
      <c r="AE397" s="349"/>
      <c r="AF397" s="349"/>
      <c r="AG397" s="349"/>
      <c r="AH397" s="349"/>
      <c r="AI397" s="349"/>
      <c r="AJ397" s="349"/>
      <c r="AM397" s="347"/>
      <c r="AN397" s="347"/>
      <c r="AO397" s="351"/>
      <c r="AP397" s="351"/>
      <c r="AQ397" s="335"/>
      <c r="AR397" s="388"/>
      <c r="AS397" s="388"/>
      <c r="AT397" s="334"/>
      <c r="AU397" s="334"/>
      <c r="AV397" s="334"/>
      <c r="AW397" s="335"/>
      <c r="AX397" s="335"/>
      <c r="AY397" s="335"/>
      <c r="AZ397" s="335"/>
      <c r="BA397" s="335"/>
      <c r="BB397" s="335"/>
      <c r="BC397" s="335"/>
      <c r="BD397" s="335"/>
      <c r="BE397" s="335"/>
    </row>
    <row r="398" customFormat="false" ht="14.15" hidden="true" customHeight="true" outlineLevel="1" collapsed="false">
      <c r="A398" s="476" t="s">
        <v>1908</v>
      </c>
      <c r="C398" s="546"/>
      <c r="D398" s="546"/>
      <c r="E398" s="546"/>
      <c r="F398" s="546"/>
      <c r="G398" s="358"/>
      <c r="H398" s="347"/>
      <c r="I398" s="446"/>
      <c r="J398" s="446"/>
      <c r="K398" s="349"/>
      <c r="L398" s="387"/>
      <c r="M398" s="387"/>
      <c r="N398" s="387"/>
      <c r="O398" s="349"/>
      <c r="P398" s="349"/>
      <c r="Q398" s="349"/>
      <c r="R398" s="387"/>
      <c r="S398" s="349"/>
      <c r="T398" s="349"/>
      <c r="U398" s="349"/>
      <c r="V398" s="349"/>
      <c r="W398" s="349"/>
      <c r="X398" s="349"/>
      <c r="Y398" s="382"/>
      <c r="Z398" s="382"/>
      <c r="AA398" s="349"/>
      <c r="AB398" s="349"/>
      <c r="AC398" s="349"/>
      <c r="AD398" s="349"/>
      <c r="AE398" s="349"/>
      <c r="AF398" s="349"/>
      <c r="AG398" s="349"/>
      <c r="AH398" s="349"/>
      <c r="AI398" s="349"/>
      <c r="AJ398" s="349"/>
      <c r="AM398" s="347"/>
      <c r="AN398" s="347"/>
      <c r="AO398" s="351"/>
      <c r="AP398" s="351"/>
      <c r="AQ398" s="335"/>
      <c r="AR398" s="388"/>
      <c r="AS398" s="388"/>
      <c r="AT398" s="334"/>
      <c r="AU398" s="334"/>
      <c r="AV398" s="334"/>
      <c r="AW398" s="335"/>
      <c r="AX398" s="335"/>
      <c r="AY398" s="335"/>
      <c r="AZ398" s="335"/>
      <c r="BA398" s="335"/>
      <c r="BB398" s="335"/>
      <c r="BC398" s="335"/>
      <c r="BD398" s="335"/>
      <c r="BE398" s="335"/>
    </row>
    <row r="399" customFormat="false" ht="14.15" hidden="true" customHeight="true" outlineLevel="1" collapsed="false">
      <c r="A399" s="324" t="s">
        <v>1909</v>
      </c>
      <c r="C399" s="546"/>
      <c r="D399" s="546"/>
      <c r="E399" s="546"/>
      <c r="F399" s="546"/>
      <c r="G399" s="358"/>
      <c r="H399" s="347"/>
      <c r="I399" s="446"/>
      <c r="J399" s="446"/>
      <c r="K399" s="349"/>
      <c r="L399" s="387"/>
      <c r="M399" s="387"/>
      <c r="N399" s="387"/>
      <c r="O399" s="349"/>
      <c r="P399" s="349"/>
      <c r="Q399" s="349"/>
      <c r="R399" s="387"/>
      <c r="S399" s="349"/>
      <c r="T399" s="349"/>
      <c r="U399" s="349"/>
      <c r="V399" s="349"/>
      <c r="W399" s="349"/>
      <c r="X399" s="349"/>
      <c r="Y399" s="382"/>
      <c r="Z399" s="382"/>
      <c r="AA399" s="349"/>
      <c r="AB399" s="349"/>
      <c r="AC399" s="349"/>
      <c r="AD399" s="349"/>
      <c r="AE399" s="349"/>
      <c r="AF399" s="349"/>
      <c r="AG399" s="349"/>
      <c r="AH399" s="349"/>
      <c r="AI399" s="349"/>
      <c r="AJ399" s="349"/>
      <c r="AM399" s="347"/>
      <c r="AN399" s="347"/>
      <c r="AO399" s="351"/>
      <c r="AP399" s="351"/>
      <c r="AQ399" s="335"/>
      <c r="AR399" s="388"/>
      <c r="AS399" s="388"/>
      <c r="AT399" s="334"/>
      <c r="AU399" s="334"/>
      <c r="AV399" s="334"/>
      <c r="AW399" s="335"/>
      <c r="AX399" s="335"/>
      <c r="AY399" s="335"/>
      <c r="AZ399" s="335"/>
      <c r="BA399" s="335"/>
      <c r="BB399" s="335"/>
      <c r="BC399" s="335"/>
      <c r="BD399" s="335"/>
      <c r="BE399" s="335"/>
    </row>
    <row r="400" customFormat="false" ht="14.15" hidden="true" customHeight="true" outlineLevel="1" collapsed="false">
      <c r="A400" s="478" t="s">
        <v>270</v>
      </c>
      <c r="C400" s="546"/>
      <c r="D400" s="546"/>
      <c r="E400" s="546"/>
      <c r="F400" s="546"/>
      <c r="G400" s="358"/>
      <c r="H400" s="347"/>
      <c r="I400" s="446"/>
      <c r="J400" s="446"/>
      <c r="K400" s="349"/>
      <c r="L400" s="387"/>
      <c r="M400" s="387"/>
      <c r="N400" s="387"/>
      <c r="O400" s="349"/>
      <c r="P400" s="349"/>
      <c r="Q400" s="349"/>
      <c r="R400" s="387"/>
      <c r="S400" s="349"/>
      <c r="T400" s="349"/>
      <c r="U400" s="349"/>
      <c r="V400" s="349"/>
      <c r="W400" s="349"/>
      <c r="X400" s="349"/>
      <c r="Y400" s="382"/>
      <c r="Z400" s="382"/>
      <c r="AA400" s="349"/>
      <c r="AB400" s="349"/>
      <c r="AC400" s="349"/>
      <c r="AD400" s="349"/>
      <c r="AE400" s="349"/>
      <c r="AF400" s="349"/>
      <c r="AG400" s="349"/>
      <c r="AH400" s="349"/>
      <c r="AI400" s="349"/>
      <c r="AJ400" s="349"/>
      <c r="AM400" s="347"/>
      <c r="AN400" s="347"/>
      <c r="AO400" s="351"/>
      <c r="AP400" s="351"/>
      <c r="AQ400" s="335"/>
      <c r="AR400" s="388"/>
      <c r="AS400" s="388"/>
      <c r="AT400" s="334"/>
      <c r="AU400" s="334"/>
      <c r="AV400" s="334"/>
      <c r="AW400" s="335"/>
      <c r="AX400" s="335"/>
      <c r="AY400" s="335"/>
      <c r="AZ400" s="335"/>
      <c r="BA400" s="335"/>
      <c r="BB400" s="335"/>
      <c r="BC400" s="335"/>
      <c r="BD400" s="335"/>
      <c r="BE400" s="335"/>
    </row>
    <row r="401" customFormat="false" ht="14.15" hidden="true" customHeight="true" outlineLevel="1" collapsed="false">
      <c r="A401" s="324" t="s">
        <v>1910</v>
      </c>
      <c r="C401" s="546"/>
      <c r="D401" s="546"/>
      <c r="E401" s="546"/>
      <c r="F401" s="546"/>
      <c r="G401" s="358"/>
      <c r="H401" s="347"/>
      <c r="I401" s="446"/>
      <c r="J401" s="446"/>
      <c r="K401" s="349"/>
      <c r="L401" s="387"/>
      <c r="M401" s="387"/>
      <c r="N401" s="387"/>
      <c r="O401" s="349"/>
      <c r="P401" s="349"/>
      <c r="Q401" s="349"/>
      <c r="R401" s="387"/>
      <c r="S401" s="349"/>
      <c r="T401" s="349"/>
      <c r="U401" s="349"/>
      <c r="V401" s="349"/>
      <c r="W401" s="349"/>
      <c r="X401" s="349"/>
      <c r="Y401" s="382"/>
      <c r="Z401" s="382"/>
      <c r="AA401" s="349"/>
      <c r="AB401" s="349"/>
      <c r="AC401" s="349"/>
      <c r="AD401" s="349"/>
      <c r="AE401" s="349"/>
      <c r="AF401" s="349"/>
      <c r="AG401" s="349"/>
      <c r="AH401" s="349"/>
      <c r="AI401" s="349"/>
      <c r="AJ401" s="349"/>
      <c r="AM401" s="347"/>
      <c r="AN401" s="347"/>
      <c r="AO401" s="351"/>
      <c r="AP401" s="351"/>
      <c r="AQ401" s="335"/>
      <c r="AR401" s="388"/>
      <c r="AS401" s="388"/>
      <c r="AT401" s="334"/>
      <c r="AU401" s="334"/>
      <c r="AV401" s="334"/>
      <c r="AW401" s="335"/>
      <c r="AX401" s="335"/>
      <c r="AY401" s="335"/>
      <c r="AZ401" s="335"/>
      <c r="BA401" s="335"/>
      <c r="BB401" s="335"/>
      <c r="BC401" s="335"/>
      <c r="BD401" s="335"/>
      <c r="BE401" s="335"/>
    </row>
    <row r="402" customFormat="false" ht="14.15" hidden="true" customHeight="true" outlineLevel="1" collapsed="false">
      <c r="A402" s="478" t="s">
        <v>277</v>
      </c>
      <c r="C402" s="546"/>
      <c r="D402" s="546"/>
      <c r="E402" s="546"/>
      <c r="F402" s="546"/>
      <c r="G402" s="358"/>
      <c r="H402" s="347"/>
      <c r="I402" s="446"/>
      <c r="J402" s="446"/>
      <c r="K402" s="349"/>
      <c r="L402" s="387"/>
      <c r="M402" s="387"/>
      <c r="N402" s="387"/>
      <c r="O402" s="349"/>
      <c r="P402" s="349"/>
      <c r="Q402" s="349"/>
      <c r="R402" s="387"/>
      <c r="S402" s="349"/>
      <c r="T402" s="349"/>
      <c r="U402" s="349"/>
      <c r="V402" s="349"/>
      <c r="W402" s="349"/>
      <c r="X402" s="349"/>
      <c r="Y402" s="382"/>
      <c r="Z402" s="382"/>
      <c r="AA402" s="349"/>
      <c r="AB402" s="349"/>
      <c r="AC402" s="349"/>
      <c r="AD402" s="349"/>
      <c r="AE402" s="349"/>
      <c r="AF402" s="349"/>
      <c r="AG402" s="349"/>
      <c r="AH402" s="349"/>
      <c r="AI402" s="349"/>
      <c r="AJ402" s="349"/>
      <c r="AM402" s="347"/>
      <c r="AN402" s="347"/>
      <c r="AO402" s="351"/>
      <c r="AP402" s="351"/>
      <c r="AQ402" s="335"/>
      <c r="AR402" s="388"/>
      <c r="AS402" s="388"/>
      <c r="AT402" s="334"/>
      <c r="AU402" s="334"/>
      <c r="AV402" s="334"/>
      <c r="AW402" s="335"/>
      <c r="AX402" s="335"/>
      <c r="AY402" s="335"/>
      <c r="AZ402" s="335"/>
      <c r="BA402" s="335"/>
      <c r="BB402" s="335"/>
      <c r="BC402" s="335"/>
      <c r="BD402" s="335"/>
      <c r="BE402" s="335"/>
    </row>
    <row r="403" customFormat="false" ht="14.15" hidden="true" customHeight="true" outlineLevel="1" collapsed="false">
      <c r="A403" s="324" t="s">
        <v>1911</v>
      </c>
      <c r="C403" s="546"/>
      <c r="D403" s="546"/>
      <c r="E403" s="546"/>
      <c r="F403" s="546"/>
      <c r="G403" s="358"/>
      <c r="H403" s="347"/>
      <c r="I403" s="446"/>
      <c r="J403" s="446"/>
      <c r="K403" s="349"/>
      <c r="L403" s="387"/>
      <c r="M403" s="387"/>
      <c r="N403" s="387"/>
      <c r="O403" s="349"/>
      <c r="P403" s="349"/>
      <c r="Q403" s="349"/>
      <c r="R403" s="387"/>
      <c r="S403" s="349"/>
      <c r="T403" s="349"/>
      <c r="U403" s="349"/>
      <c r="V403" s="349"/>
      <c r="W403" s="349"/>
      <c r="X403" s="349"/>
      <c r="Y403" s="382"/>
      <c r="Z403" s="382"/>
      <c r="AA403" s="349"/>
      <c r="AB403" s="349"/>
      <c r="AC403" s="349"/>
      <c r="AD403" s="349"/>
      <c r="AE403" s="349"/>
      <c r="AF403" s="349"/>
      <c r="AG403" s="349"/>
      <c r="AH403" s="349"/>
      <c r="AI403" s="349"/>
      <c r="AJ403" s="349"/>
      <c r="AM403" s="347"/>
      <c r="AN403" s="347"/>
      <c r="AO403" s="351"/>
      <c r="AP403" s="351"/>
      <c r="AQ403" s="335"/>
      <c r="AR403" s="388"/>
      <c r="AS403" s="388"/>
      <c r="AT403" s="334"/>
      <c r="AU403" s="334"/>
      <c r="AV403" s="334"/>
      <c r="AW403" s="335"/>
      <c r="AX403" s="335"/>
      <c r="AY403" s="335"/>
      <c r="AZ403" s="335"/>
      <c r="BA403" s="335"/>
      <c r="BB403" s="335"/>
      <c r="BC403" s="335"/>
      <c r="BD403" s="335"/>
      <c r="BE403" s="335"/>
    </row>
    <row r="404" customFormat="false" ht="14.15" hidden="true" customHeight="true" outlineLevel="1" collapsed="false">
      <c r="A404" s="480" t="s">
        <v>493</v>
      </c>
      <c r="C404" s="546"/>
      <c r="D404" s="546"/>
      <c r="E404" s="546"/>
      <c r="F404" s="546"/>
      <c r="G404" s="358"/>
      <c r="H404" s="347"/>
      <c r="I404" s="446"/>
      <c r="J404" s="446"/>
      <c r="K404" s="349"/>
      <c r="L404" s="387"/>
      <c r="M404" s="387"/>
      <c r="N404" s="387"/>
      <c r="O404" s="349"/>
      <c r="P404" s="349"/>
      <c r="Q404" s="349"/>
      <c r="R404" s="387"/>
      <c r="S404" s="349"/>
      <c r="T404" s="349"/>
      <c r="U404" s="349"/>
      <c r="V404" s="349"/>
      <c r="W404" s="349"/>
      <c r="X404" s="349"/>
      <c r="Y404" s="382"/>
      <c r="Z404" s="382"/>
      <c r="AA404" s="349"/>
      <c r="AB404" s="349"/>
      <c r="AC404" s="349"/>
      <c r="AD404" s="349"/>
      <c r="AE404" s="349"/>
      <c r="AF404" s="349"/>
      <c r="AG404" s="349"/>
      <c r="AH404" s="349"/>
      <c r="AI404" s="349"/>
      <c r="AJ404" s="349"/>
      <c r="AM404" s="347"/>
      <c r="AN404" s="347"/>
      <c r="AO404" s="351"/>
      <c r="AP404" s="351"/>
      <c r="AQ404" s="335"/>
      <c r="AR404" s="388"/>
      <c r="AS404" s="388"/>
      <c r="AT404" s="334"/>
      <c r="AU404" s="334"/>
      <c r="AV404" s="334"/>
      <c r="AW404" s="335"/>
      <c r="AX404" s="335"/>
      <c r="AY404" s="335"/>
      <c r="AZ404" s="335"/>
      <c r="BA404" s="335"/>
      <c r="BB404" s="335"/>
      <c r="BC404" s="335"/>
      <c r="BD404" s="335"/>
      <c r="BE404" s="335"/>
    </row>
    <row r="405" customFormat="false" ht="14.15" hidden="true" customHeight="true" outlineLevel="1" collapsed="false">
      <c r="A405" s="324" t="s">
        <v>1913</v>
      </c>
      <c r="B405" s="477"/>
      <c r="C405" s="522"/>
      <c r="D405" s="358"/>
      <c r="E405" s="358"/>
      <c r="F405" s="358"/>
      <c r="G405" s="358"/>
      <c r="H405" s="347"/>
      <c r="I405" s="446"/>
      <c r="J405" s="446"/>
      <c r="K405" s="349"/>
      <c r="L405" s="387"/>
      <c r="M405" s="387"/>
      <c r="N405" s="387"/>
      <c r="O405" s="349"/>
      <c r="P405" s="349"/>
      <c r="Q405" s="349"/>
      <c r="R405" s="387"/>
      <c r="S405" s="349"/>
      <c r="T405" s="349"/>
      <c r="U405" s="349"/>
      <c r="V405" s="349"/>
      <c r="W405" s="349"/>
      <c r="X405" s="349"/>
      <c r="Y405" s="382"/>
      <c r="Z405" s="382"/>
      <c r="AA405" s="349"/>
      <c r="AB405" s="349"/>
      <c r="AC405" s="349"/>
      <c r="AD405" s="349"/>
      <c r="AE405" s="349"/>
      <c r="AF405" s="349"/>
      <c r="AG405" s="349"/>
      <c r="AH405" s="349"/>
      <c r="AI405" s="349"/>
      <c r="AJ405" s="349"/>
      <c r="AM405" s="347"/>
      <c r="AN405" s="347"/>
      <c r="AO405" s="351"/>
      <c r="AP405" s="351"/>
      <c r="AQ405" s="335"/>
      <c r="AR405" s="388"/>
      <c r="AS405" s="388"/>
      <c r="AT405" s="334"/>
      <c r="AU405" s="334"/>
      <c r="AV405" s="334"/>
      <c r="AW405" s="335"/>
      <c r="AX405" s="335"/>
      <c r="AY405" s="335"/>
      <c r="AZ405" s="335"/>
      <c r="BA405" s="335"/>
      <c r="BB405" s="335"/>
      <c r="BC405" s="335"/>
      <c r="BD405" s="335"/>
      <c r="BE405" s="335"/>
    </row>
    <row r="406" customFormat="false" ht="14.15" hidden="true" customHeight="true" outlineLevel="1" collapsed="false">
      <c r="A406" s="481" t="s">
        <v>708</v>
      </c>
      <c r="B406" s="477"/>
      <c r="C406" s="522"/>
      <c r="D406" s="358"/>
      <c r="E406" s="358"/>
      <c r="F406" s="358"/>
      <c r="G406" s="358"/>
      <c r="H406" s="347"/>
      <c r="I406" s="446"/>
      <c r="J406" s="446"/>
      <c r="K406" s="349"/>
      <c r="L406" s="387"/>
      <c r="M406" s="387"/>
      <c r="N406" s="387"/>
      <c r="O406" s="349"/>
      <c r="P406" s="349"/>
      <c r="Q406" s="349"/>
      <c r="R406" s="387"/>
      <c r="S406" s="349"/>
      <c r="T406" s="349"/>
      <c r="U406" s="349"/>
      <c r="V406" s="349"/>
      <c r="W406" s="349"/>
      <c r="X406" s="349"/>
      <c r="Y406" s="382"/>
      <c r="Z406" s="382"/>
      <c r="AA406" s="349"/>
      <c r="AB406" s="349"/>
      <c r="AC406" s="349"/>
      <c r="AD406" s="349"/>
      <c r="AE406" s="349"/>
      <c r="AF406" s="349"/>
      <c r="AG406" s="349"/>
      <c r="AH406" s="349"/>
      <c r="AI406" s="349"/>
      <c r="AJ406" s="349"/>
      <c r="AM406" s="347"/>
      <c r="AN406" s="347"/>
      <c r="AO406" s="351"/>
      <c r="AP406" s="351"/>
      <c r="AQ406" s="335"/>
      <c r="AR406" s="388"/>
      <c r="AS406" s="388"/>
      <c r="AT406" s="334"/>
      <c r="AU406" s="334"/>
      <c r="AV406" s="334"/>
      <c r="AW406" s="335"/>
      <c r="AX406" s="335"/>
      <c r="AY406" s="335"/>
      <c r="AZ406" s="335"/>
      <c r="BA406" s="335"/>
      <c r="BB406" s="335"/>
      <c r="BC406" s="335"/>
      <c r="BD406" s="335"/>
      <c r="BE406" s="335"/>
    </row>
    <row r="407" customFormat="false" ht="14.15" hidden="true" customHeight="true" outlineLevel="1" collapsed="false">
      <c r="A407" s="324" t="s">
        <v>1917</v>
      </c>
      <c r="D407" s="358"/>
      <c r="E407" s="358"/>
      <c r="F407" s="358"/>
      <c r="G407" s="358"/>
      <c r="H407" s="347"/>
      <c r="I407" s="446"/>
      <c r="J407" s="446"/>
      <c r="K407" s="349"/>
      <c r="L407" s="387"/>
      <c r="M407" s="387"/>
      <c r="N407" s="387"/>
      <c r="O407" s="349"/>
      <c r="P407" s="349"/>
      <c r="Q407" s="349"/>
      <c r="R407" s="387"/>
      <c r="S407" s="349"/>
      <c r="T407" s="349"/>
      <c r="U407" s="349"/>
      <c r="V407" s="349"/>
      <c r="W407" s="349"/>
      <c r="X407" s="349"/>
      <c r="Y407" s="382"/>
      <c r="Z407" s="382"/>
      <c r="AA407" s="349"/>
      <c r="AB407" s="349"/>
      <c r="AC407" s="349"/>
      <c r="AD407" s="349"/>
      <c r="AE407" s="349"/>
      <c r="AF407" s="349"/>
      <c r="AG407" s="349"/>
      <c r="AH407" s="349"/>
      <c r="AI407" s="349"/>
      <c r="AJ407" s="349"/>
      <c r="AM407" s="347"/>
      <c r="AN407" s="347"/>
      <c r="AO407" s="351"/>
      <c r="AP407" s="351"/>
      <c r="AQ407" s="335"/>
      <c r="AR407" s="388"/>
      <c r="AS407" s="388"/>
      <c r="AT407" s="334"/>
      <c r="AU407" s="334"/>
      <c r="AV407" s="334"/>
      <c r="AW407" s="335"/>
      <c r="AX407" s="335"/>
      <c r="AY407" s="335"/>
      <c r="AZ407" s="335"/>
      <c r="BA407" s="335"/>
      <c r="BB407" s="335"/>
      <c r="BC407" s="335"/>
      <c r="BD407" s="335"/>
      <c r="BE407" s="335"/>
    </row>
    <row r="408" customFormat="false" ht="14.15" hidden="true" customHeight="true" outlineLevel="1" collapsed="false">
      <c r="A408" s="478" t="s">
        <v>2027</v>
      </c>
      <c r="B408" s="324"/>
      <c r="D408" s="358"/>
      <c r="E408" s="358"/>
      <c r="F408" s="358"/>
      <c r="G408" s="358"/>
      <c r="H408" s="347"/>
      <c r="I408" s="446"/>
      <c r="J408" s="446"/>
      <c r="K408" s="349"/>
      <c r="L408" s="387"/>
      <c r="M408" s="387"/>
      <c r="N408" s="387"/>
      <c r="O408" s="349"/>
      <c r="P408" s="349"/>
      <c r="Q408" s="349"/>
      <c r="R408" s="387"/>
      <c r="S408" s="349"/>
      <c r="T408" s="349"/>
      <c r="U408" s="349"/>
      <c r="V408" s="349"/>
      <c r="W408" s="349"/>
      <c r="X408" s="349"/>
      <c r="Y408" s="382"/>
      <c r="Z408" s="382"/>
      <c r="AA408" s="349"/>
      <c r="AB408" s="349"/>
      <c r="AC408" s="349"/>
      <c r="AD408" s="349"/>
      <c r="AE408" s="349"/>
      <c r="AF408" s="349"/>
      <c r="AG408" s="349"/>
      <c r="AH408" s="349"/>
      <c r="AI408" s="349"/>
      <c r="AJ408" s="349"/>
      <c r="AM408" s="347"/>
      <c r="AN408" s="347"/>
      <c r="AO408" s="351"/>
      <c r="AP408" s="351"/>
      <c r="AQ408" s="335"/>
      <c r="AR408" s="388"/>
      <c r="AS408" s="388"/>
      <c r="AT408" s="334"/>
      <c r="AU408" s="334"/>
      <c r="AV408" s="334"/>
      <c r="AW408" s="335"/>
      <c r="AX408" s="335"/>
      <c r="AY408" s="335"/>
      <c r="AZ408" s="335"/>
      <c r="BA408" s="335"/>
      <c r="BB408" s="335"/>
      <c r="BC408" s="335"/>
      <c r="BD408" s="335"/>
      <c r="BE408" s="335"/>
    </row>
    <row r="409" customFormat="false" ht="14.15" hidden="true" customHeight="true" outlineLevel="1" collapsed="false">
      <c r="A409" s="324" t="s">
        <v>1919</v>
      </c>
      <c r="B409" s="324"/>
      <c r="D409" s="358"/>
      <c r="E409" s="358"/>
      <c r="F409" s="358"/>
      <c r="G409" s="358"/>
      <c r="H409" s="347"/>
      <c r="I409" s="446"/>
      <c r="J409" s="446"/>
      <c r="K409" s="349"/>
      <c r="L409" s="387"/>
      <c r="M409" s="387"/>
      <c r="N409" s="387"/>
      <c r="O409" s="349"/>
      <c r="P409" s="349"/>
      <c r="Q409" s="349"/>
      <c r="R409" s="387"/>
      <c r="S409" s="349"/>
      <c r="T409" s="349"/>
      <c r="U409" s="349"/>
      <c r="V409" s="349"/>
      <c r="W409" s="349"/>
      <c r="X409" s="349"/>
      <c r="Y409" s="382"/>
      <c r="Z409" s="382"/>
      <c r="AA409" s="349"/>
      <c r="AB409" s="349"/>
      <c r="AC409" s="349"/>
      <c r="AD409" s="349"/>
      <c r="AE409" s="349"/>
      <c r="AF409" s="349"/>
      <c r="AG409" s="349"/>
      <c r="AH409" s="349"/>
      <c r="AI409" s="349"/>
      <c r="AJ409" s="349"/>
      <c r="AM409" s="347"/>
      <c r="AN409" s="347"/>
      <c r="AO409" s="351"/>
      <c r="AP409" s="351"/>
      <c r="AQ409" s="335"/>
      <c r="AR409" s="388"/>
      <c r="AS409" s="388"/>
      <c r="AT409" s="334"/>
      <c r="AU409" s="334"/>
      <c r="AV409" s="334"/>
      <c r="AW409" s="335"/>
      <c r="AX409" s="335"/>
      <c r="AY409" s="335"/>
      <c r="AZ409" s="335"/>
      <c r="BA409" s="335"/>
      <c r="BB409" s="335"/>
      <c r="BC409" s="335"/>
      <c r="BD409" s="335"/>
      <c r="BE409" s="335"/>
    </row>
    <row r="410" customFormat="false" ht="14.15" hidden="true" customHeight="true" outlineLevel="1" collapsed="false">
      <c r="A410" s="478" t="s">
        <v>1791</v>
      </c>
      <c r="B410" s="324"/>
      <c r="D410" s="358"/>
      <c r="E410" s="358"/>
      <c r="F410" s="358"/>
      <c r="G410" s="358"/>
      <c r="H410" s="347"/>
      <c r="I410" s="446"/>
      <c r="J410" s="446"/>
      <c r="K410" s="349"/>
      <c r="L410" s="387"/>
      <c r="M410" s="387"/>
      <c r="N410" s="387"/>
      <c r="O410" s="349"/>
      <c r="P410" s="349"/>
      <c r="Q410" s="349"/>
      <c r="R410" s="387"/>
      <c r="S410" s="349"/>
      <c r="T410" s="349"/>
      <c r="U410" s="349"/>
      <c r="V410" s="349"/>
      <c r="W410" s="349"/>
      <c r="X410" s="349"/>
      <c r="Y410" s="382"/>
      <c r="Z410" s="382"/>
      <c r="AA410" s="349"/>
      <c r="AB410" s="349"/>
      <c r="AC410" s="349"/>
      <c r="AD410" s="349"/>
      <c r="AE410" s="349"/>
      <c r="AF410" s="349"/>
      <c r="AG410" s="349"/>
      <c r="AH410" s="349"/>
      <c r="AI410" s="349"/>
      <c r="AJ410" s="349"/>
      <c r="AM410" s="347"/>
      <c r="AN410" s="347"/>
      <c r="AO410" s="351"/>
      <c r="AP410" s="351"/>
      <c r="AQ410" s="335"/>
      <c r="AR410" s="388"/>
      <c r="AS410" s="388"/>
      <c r="AT410" s="334"/>
      <c r="AU410" s="334"/>
      <c r="AV410" s="334"/>
      <c r="AW410" s="335"/>
      <c r="AX410" s="335"/>
      <c r="AY410" s="335"/>
      <c r="AZ410" s="335"/>
      <c r="BA410" s="335"/>
      <c r="BB410" s="335"/>
      <c r="BC410" s="335"/>
      <c r="BD410" s="335"/>
      <c r="BE410" s="335"/>
    </row>
    <row r="411" customFormat="false" ht="14.15" hidden="true" customHeight="true" outlineLevel="1" collapsed="false">
      <c r="A411" s="324" t="s">
        <v>1922</v>
      </c>
      <c r="B411" s="477"/>
      <c r="C411" s="358"/>
      <c r="D411" s="358"/>
      <c r="E411" s="358"/>
      <c r="F411" s="358"/>
      <c r="G411" s="358"/>
      <c r="H411" s="347"/>
      <c r="I411" s="446"/>
      <c r="J411" s="446"/>
      <c r="K411" s="349"/>
      <c r="L411" s="387"/>
      <c r="M411" s="387"/>
      <c r="N411" s="387"/>
      <c r="O411" s="349"/>
      <c r="P411" s="349"/>
      <c r="Q411" s="349"/>
      <c r="R411" s="387"/>
      <c r="S411" s="349"/>
      <c r="T411" s="349"/>
      <c r="U411" s="349"/>
      <c r="V411" s="349"/>
      <c r="W411" s="349"/>
      <c r="X411" s="349"/>
      <c r="Y411" s="382"/>
      <c r="Z411" s="382"/>
      <c r="AA411" s="349"/>
      <c r="AB411" s="349"/>
      <c r="AC411" s="349"/>
      <c r="AD411" s="349"/>
      <c r="AE411" s="349"/>
      <c r="AF411" s="349"/>
      <c r="AG411" s="349"/>
      <c r="AH411" s="349"/>
      <c r="AI411" s="349"/>
      <c r="AJ411" s="349"/>
      <c r="AM411" s="347"/>
      <c r="AN411" s="347"/>
      <c r="AO411" s="351"/>
      <c r="AP411" s="351"/>
      <c r="AQ411" s="335"/>
      <c r="AR411" s="388"/>
      <c r="AS411" s="388"/>
      <c r="AT411" s="334"/>
      <c r="AU411" s="334"/>
      <c r="AV411" s="334"/>
      <c r="AW411" s="335"/>
      <c r="AX411" s="335"/>
      <c r="AY411" s="335"/>
      <c r="AZ411" s="335"/>
      <c r="BA411" s="335"/>
      <c r="BB411" s="335"/>
      <c r="BC411" s="335"/>
      <c r="BD411" s="335"/>
      <c r="BE411" s="335"/>
    </row>
    <row r="412" customFormat="false" ht="14.15" hidden="true" customHeight="true" outlineLevel="1" collapsed="false">
      <c r="A412" s="403" t="s">
        <v>152</v>
      </c>
      <c r="B412" s="404" t="s">
        <v>1793</v>
      </c>
      <c r="C412" s="378" t="n">
        <v>2</v>
      </c>
      <c r="D412" s="347"/>
      <c r="E412" s="347"/>
      <c r="F412" s="347"/>
      <c r="G412" s="347"/>
      <c r="H412" s="347"/>
      <c r="I412" s="347"/>
      <c r="J412" s="492"/>
      <c r="K412" s="446"/>
      <c r="AI412" s="412"/>
      <c r="AJ412" s="412"/>
      <c r="AK412" s="412"/>
      <c r="AL412" s="412"/>
      <c r="AM412" s="347"/>
      <c r="AN412" s="347"/>
      <c r="AO412" s="351"/>
      <c r="AP412" s="359"/>
      <c r="AQ412" s="334"/>
      <c r="AR412" s="334"/>
      <c r="AS412" s="334"/>
      <c r="AT412" s="334"/>
      <c r="AU412" s="334"/>
      <c r="AV412" s="334"/>
      <c r="AW412" s="335"/>
      <c r="AX412" s="335"/>
      <c r="AY412" s="335"/>
      <c r="AZ412" s="335"/>
      <c r="BA412" s="335"/>
      <c r="BB412" s="335"/>
      <c r="BC412" s="335"/>
      <c r="BD412" s="335"/>
      <c r="BE412" s="335"/>
    </row>
    <row r="413" customFormat="false" ht="14.15" hidden="true" customHeight="true" outlineLevel="1" collapsed="false">
      <c r="A413" s="393" t="s">
        <v>152</v>
      </c>
      <c r="B413" s="404" t="s">
        <v>1793</v>
      </c>
      <c r="C413" s="370" t="n">
        <v>0</v>
      </c>
      <c r="D413" s="347"/>
      <c r="E413" s="347"/>
      <c r="F413" s="347"/>
      <c r="G413" s="347"/>
      <c r="H413" s="347"/>
      <c r="I413" s="347"/>
      <c r="J413" s="492"/>
      <c r="K413" s="446"/>
      <c r="AI413" s="412"/>
      <c r="AJ413" s="412"/>
      <c r="AK413" s="412"/>
      <c r="AL413" s="412"/>
      <c r="AM413" s="347"/>
      <c r="AN413" s="347"/>
      <c r="AO413" s="351"/>
      <c r="AP413" s="359"/>
      <c r="AQ413" s="334"/>
      <c r="AR413" s="334"/>
      <c r="AS413" s="334"/>
      <c r="AT413" s="334"/>
      <c r="AU413" s="334"/>
      <c r="AV413" s="334"/>
      <c r="AW413" s="335"/>
      <c r="AX413" s="335"/>
      <c r="AY413" s="335"/>
      <c r="AZ413" s="335"/>
      <c r="BA413" s="335"/>
      <c r="BB413" s="335"/>
      <c r="BC413" s="335"/>
      <c r="BD413" s="335"/>
      <c r="BE413" s="335"/>
    </row>
    <row r="414" customFormat="false" ht="14.15" hidden="true" customHeight="true" outlineLevel="1" collapsed="false">
      <c r="D414" s="347"/>
      <c r="E414" s="347"/>
      <c r="F414" s="347"/>
      <c r="G414" s="347"/>
      <c r="H414" s="347"/>
      <c r="I414" s="347"/>
      <c r="J414" s="492"/>
      <c r="K414" s="446"/>
      <c r="AI414" s="412"/>
      <c r="AJ414" s="412"/>
      <c r="AK414" s="412"/>
      <c r="AL414" s="412"/>
      <c r="AM414" s="347"/>
      <c r="AN414" s="347"/>
      <c r="AO414" s="351"/>
      <c r="AP414" s="359"/>
      <c r="AQ414" s="334"/>
      <c r="AR414" s="334"/>
      <c r="AS414" s="334"/>
      <c r="AT414" s="334"/>
      <c r="AU414" s="334"/>
      <c r="AV414" s="334"/>
      <c r="AW414" s="335"/>
      <c r="AX414" s="335"/>
      <c r="AY414" s="335"/>
      <c r="AZ414" s="335"/>
      <c r="BA414" s="335"/>
      <c r="BB414" s="335"/>
      <c r="BC414" s="335"/>
      <c r="BD414" s="335"/>
      <c r="BE414" s="335"/>
    </row>
    <row r="415" customFormat="false" ht="14.15" hidden="true" customHeight="true" outlineLevel="1" collapsed="false">
      <c r="A415" s="405" t="s">
        <v>2028</v>
      </c>
      <c r="B415" s="404" t="s">
        <v>1796</v>
      </c>
      <c r="C415" s="488" t="n">
        <v>10000</v>
      </c>
      <c r="D415" s="347"/>
      <c r="E415" s="347"/>
      <c r="F415" s="347"/>
      <c r="G415" s="347"/>
      <c r="H415" s="347"/>
      <c r="I415" s="347"/>
      <c r="J415" s="492"/>
      <c r="K415" s="446"/>
      <c r="AI415" s="412"/>
      <c r="AJ415" s="412"/>
      <c r="AK415" s="412"/>
      <c r="AL415" s="412"/>
      <c r="AM415" s="347"/>
      <c r="AN415" s="347"/>
      <c r="AO415" s="351"/>
      <c r="AP415" s="359"/>
      <c r="AQ415" s="334"/>
      <c r="AR415" s="334"/>
      <c r="AS415" s="334"/>
      <c r="AT415" s="334"/>
      <c r="AU415" s="334"/>
      <c r="AV415" s="334"/>
      <c r="AW415" s="335"/>
      <c r="AX415" s="335"/>
      <c r="AY415" s="335"/>
      <c r="AZ415" s="335"/>
      <c r="BA415" s="335"/>
      <c r="BB415" s="335"/>
      <c r="BC415" s="335"/>
      <c r="BD415" s="335"/>
      <c r="BE415" s="335"/>
    </row>
    <row r="416" customFormat="false" ht="14.15" hidden="false" customHeight="true" outlineLevel="0" collapsed="false">
      <c r="A416" s="408" t="s">
        <v>2029</v>
      </c>
      <c r="B416" s="408"/>
      <c r="C416" s="408"/>
      <c r="D416" s="408"/>
      <c r="E416" s="408"/>
      <c r="F416" s="409" t="s">
        <v>1798</v>
      </c>
      <c r="G416" s="347"/>
      <c r="H416" s="347"/>
      <c r="I416" s="347"/>
      <c r="J416" s="492"/>
      <c r="K416" s="446"/>
      <c r="AI416" s="412"/>
      <c r="AJ416" s="412"/>
      <c r="AK416" s="412"/>
      <c r="AL416" s="412"/>
      <c r="AM416" s="347"/>
      <c r="AN416" s="347"/>
      <c r="AO416" s="351"/>
      <c r="AP416" s="359"/>
      <c r="AQ416" s="334"/>
      <c r="AR416" s="334"/>
      <c r="AS416" s="334"/>
      <c r="AT416" s="334"/>
      <c r="AU416" s="334"/>
      <c r="AV416" s="334"/>
      <c r="AW416" s="335"/>
      <c r="AX416" s="335"/>
      <c r="AY416" s="335"/>
      <c r="AZ416" s="335"/>
      <c r="BA416" s="335"/>
      <c r="BB416" s="335"/>
      <c r="BC416" s="335"/>
      <c r="BD416" s="335"/>
      <c r="BE416" s="335"/>
    </row>
    <row r="417" customFormat="false" ht="14.15" hidden="false" customHeight="true" outlineLevel="0" collapsed="false">
      <c r="A417" s="347"/>
      <c r="B417" s="450"/>
      <c r="C417" s="347"/>
      <c r="D417" s="347"/>
      <c r="E417" s="347"/>
      <c r="F417" s="347"/>
      <c r="G417" s="347"/>
      <c r="H417" s="347"/>
      <c r="I417" s="347"/>
      <c r="J417" s="492"/>
      <c r="K417" s="446"/>
      <c r="AI417" s="412"/>
      <c r="AJ417" s="412"/>
      <c r="AK417" s="412"/>
      <c r="AL417" s="412"/>
      <c r="AM417" s="347"/>
      <c r="AN417" s="347"/>
      <c r="AO417" s="351"/>
      <c r="AP417" s="359"/>
      <c r="AQ417" s="334"/>
      <c r="AR417" s="334"/>
      <c r="AS417" s="334"/>
      <c r="AT417" s="334"/>
      <c r="AU417" s="334"/>
      <c r="AV417" s="334"/>
      <c r="AW417" s="335"/>
      <c r="AX417" s="335"/>
      <c r="AY417" s="335"/>
      <c r="AZ417" s="335"/>
      <c r="BA417" s="335"/>
      <c r="BB417" s="335"/>
      <c r="BC417" s="335"/>
      <c r="BD417" s="335"/>
      <c r="BE417" s="335"/>
    </row>
    <row r="418" customFormat="false" ht="14.15" hidden="true" customHeight="true" outlineLevel="1" collapsed="false">
      <c r="A418" s="460" t="s">
        <v>2030</v>
      </c>
      <c r="B418" s="460"/>
      <c r="C418" s="460"/>
      <c r="D418" s="460"/>
      <c r="E418" s="460"/>
      <c r="H418" s="347"/>
      <c r="I418" s="347"/>
      <c r="J418" s="492"/>
      <c r="K418" s="411" t="s">
        <v>2031</v>
      </c>
      <c r="L418" s="411"/>
      <c r="M418" s="411"/>
      <c r="N418" s="411"/>
      <c r="O418" s="411"/>
      <c r="P418" s="411"/>
      <c r="Q418" s="411"/>
      <c r="R418" s="411"/>
      <c r="S418" s="411"/>
      <c r="T418" s="411"/>
      <c r="U418" s="411"/>
      <c r="V418" s="411"/>
      <c r="W418" s="411"/>
      <c r="X418" s="411"/>
      <c r="Y418" s="411"/>
      <c r="Z418" s="411"/>
      <c r="AA418" s="411"/>
      <c r="AB418" s="411"/>
      <c r="AC418" s="411"/>
      <c r="AD418" s="411"/>
      <c r="AE418" s="411"/>
      <c r="AF418" s="411"/>
      <c r="AG418" s="411"/>
      <c r="AI418" s="412"/>
      <c r="AJ418" s="412"/>
      <c r="AK418" s="412"/>
      <c r="AL418" s="412"/>
      <c r="AM418" s="347"/>
      <c r="AN418" s="347"/>
      <c r="AO418" s="351"/>
      <c r="AP418" s="359"/>
      <c r="AQ418" s="334"/>
      <c r="AR418" s="334"/>
      <c r="AS418" s="334"/>
      <c r="AT418" s="334"/>
      <c r="AU418" s="334"/>
      <c r="AV418" s="334"/>
      <c r="AW418" s="335"/>
      <c r="AX418" s="335"/>
      <c r="AY418" s="335"/>
      <c r="AZ418" s="335"/>
      <c r="BA418" s="335"/>
      <c r="BB418" s="335"/>
      <c r="BC418" s="335"/>
      <c r="BD418" s="335"/>
      <c r="BE418" s="335"/>
    </row>
    <row r="419" customFormat="false" ht="14.15" hidden="true" customHeight="true" outlineLevel="1" collapsed="false">
      <c r="A419" s="358"/>
      <c r="B419" s="371"/>
      <c r="C419" s="358"/>
      <c r="D419" s="358"/>
      <c r="E419" s="358"/>
      <c r="F419" s="358"/>
      <c r="G419" s="489"/>
      <c r="H419" s="347"/>
      <c r="K419" s="411"/>
      <c r="L419" s="411"/>
      <c r="M419" s="411"/>
      <c r="N419" s="411"/>
      <c r="O419" s="411"/>
      <c r="P419" s="411"/>
      <c r="Q419" s="411"/>
      <c r="R419" s="411"/>
      <c r="S419" s="411"/>
      <c r="T419" s="411"/>
      <c r="U419" s="411"/>
      <c r="V419" s="411"/>
      <c r="W419" s="411"/>
      <c r="X419" s="411"/>
      <c r="Y419" s="411"/>
      <c r="Z419" s="411"/>
      <c r="AA419" s="411"/>
      <c r="AB419" s="411"/>
      <c r="AC419" s="411"/>
      <c r="AD419" s="411"/>
      <c r="AE419" s="411"/>
      <c r="AF419" s="411"/>
      <c r="AG419" s="411"/>
      <c r="AL419" s="347"/>
      <c r="AM419" s="347"/>
      <c r="AN419" s="347"/>
      <c r="AO419" s="351"/>
      <c r="AP419" s="359"/>
      <c r="AQ419" s="334"/>
      <c r="AR419" s="334"/>
      <c r="AS419" s="334"/>
      <c r="AT419" s="334"/>
      <c r="AU419" s="334"/>
      <c r="AV419" s="334"/>
      <c r="AW419" s="335"/>
      <c r="AX419" s="335"/>
      <c r="AY419" s="335"/>
      <c r="AZ419" s="335"/>
      <c r="BA419" s="335"/>
      <c r="BB419" s="335"/>
      <c r="BC419" s="335"/>
      <c r="BD419" s="335"/>
      <c r="BE419" s="335"/>
    </row>
    <row r="420" customFormat="false" ht="14.15" hidden="true" customHeight="true" outlineLevel="1" collapsed="false">
      <c r="A420" s="494" t="s">
        <v>1884</v>
      </c>
      <c r="B420" s="494"/>
      <c r="C420" s="494"/>
      <c r="D420" s="494"/>
      <c r="E420" s="495" t="n">
        <v>1.15</v>
      </c>
      <c r="F420" s="452"/>
      <c r="G420" s="490"/>
      <c r="H420" s="358"/>
      <c r="AL420" s="347"/>
      <c r="AM420" s="347"/>
      <c r="AN420" s="347"/>
      <c r="AO420" s="351"/>
      <c r="AP420" s="359"/>
      <c r="AQ420" s="334"/>
      <c r="AR420" s="334"/>
      <c r="AS420" s="334"/>
      <c r="AT420" s="334"/>
      <c r="AU420" s="334"/>
      <c r="AV420" s="334"/>
      <c r="AW420" s="335"/>
      <c r="AX420" s="335"/>
      <c r="AY420" s="335"/>
      <c r="AZ420" s="335"/>
      <c r="BA420" s="335"/>
      <c r="BB420" s="335"/>
      <c r="BC420" s="335"/>
      <c r="BD420" s="335"/>
      <c r="BE420" s="335"/>
    </row>
    <row r="421" customFormat="false" ht="14.15" hidden="true" customHeight="true" outlineLevel="1" collapsed="false">
      <c r="A421" s="494" t="s">
        <v>1885</v>
      </c>
      <c r="B421" s="494"/>
      <c r="C421" s="494"/>
      <c r="D421" s="494"/>
      <c r="E421" s="495" t="n">
        <v>1</v>
      </c>
      <c r="F421" s="452"/>
      <c r="G421" s="347"/>
      <c r="H421" s="358"/>
      <c r="AL421" s="347"/>
      <c r="AM421" s="347"/>
      <c r="AN421" s="347"/>
      <c r="AO421" s="351"/>
      <c r="AP421" s="359"/>
      <c r="AQ421" s="334"/>
      <c r="AR421" s="334"/>
      <c r="AS421" s="334"/>
      <c r="AT421" s="334"/>
      <c r="AU421" s="334"/>
      <c r="AV421" s="334"/>
      <c r="AW421" s="335"/>
      <c r="AX421" s="335"/>
      <c r="AY421" s="335"/>
      <c r="AZ421" s="335"/>
      <c r="BA421" s="335"/>
      <c r="BB421" s="335"/>
      <c r="BC421" s="335"/>
      <c r="BD421" s="335"/>
      <c r="BE421" s="335"/>
    </row>
    <row r="422" customFormat="false" ht="14.15" hidden="true" customHeight="true" outlineLevel="1" collapsed="false">
      <c r="D422" s="358"/>
      <c r="E422" s="371"/>
      <c r="F422" s="371"/>
      <c r="G422" s="358"/>
      <c r="H422" s="358"/>
      <c r="AL422" s="347"/>
      <c r="AM422" s="347"/>
      <c r="AN422" s="347"/>
      <c r="AO422" s="351"/>
      <c r="AP422" s="359"/>
      <c r="AQ422" s="334"/>
      <c r="AR422" s="334"/>
      <c r="AS422" s="334"/>
      <c r="AT422" s="334"/>
      <c r="AU422" s="334"/>
      <c r="AV422" s="334"/>
      <c r="AW422" s="335"/>
      <c r="AX422" s="335"/>
      <c r="AY422" s="335"/>
      <c r="AZ422" s="335"/>
      <c r="BA422" s="335"/>
      <c r="BB422" s="335"/>
      <c r="BC422" s="335" t="n">
        <v>1</v>
      </c>
      <c r="BD422" s="335" t="n">
        <f aca="false">G451</f>
        <v>0</v>
      </c>
      <c r="BE422" s="335"/>
    </row>
    <row r="423" customFormat="false" ht="14.15" hidden="true" customHeight="true" outlineLevel="1" collapsed="false">
      <c r="A423" s="526" t="s">
        <v>1093</v>
      </c>
      <c r="B423" s="532" t="s">
        <v>120</v>
      </c>
      <c r="C423" s="547" t="s">
        <v>1753</v>
      </c>
      <c r="D423" s="358"/>
      <c r="E423" s="371"/>
      <c r="F423" s="371"/>
      <c r="G423" s="358"/>
      <c r="H423" s="358"/>
      <c r="AL423" s="347"/>
      <c r="AM423" s="347"/>
      <c r="AN423" s="347"/>
      <c r="AO423" s="351"/>
      <c r="AP423" s="359"/>
      <c r="AQ423" s="334"/>
      <c r="AR423" s="334"/>
      <c r="AS423" s="334"/>
      <c r="AT423" s="334"/>
      <c r="AU423" s="334"/>
      <c r="AV423" s="334"/>
      <c r="AW423" s="335"/>
      <c r="AX423" s="335"/>
      <c r="AY423" s="335"/>
      <c r="AZ423" s="335"/>
      <c r="BA423" s="335"/>
      <c r="BB423" s="335"/>
      <c r="BC423" s="335" t="n">
        <v>2</v>
      </c>
      <c r="BD423" s="335" t="n">
        <f aca="false">G447</f>
        <v>0.2</v>
      </c>
      <c r="BE423" s="335"/>
    </row>
    <row r="424" customFormat="false" ht="14.15" hidden="true" customHeight="true" outlineLevel="1" collapsed="false">
      <c r="A424" s="548" t="s">
        <v>2032</v>
      </c>
      <c r="B424" s="425" t="s">
        <v>159</v>
      </c>
      <c r="C424" s="541" t="n">
        <v>2</v>
      </c>
      <c r="D424" s="358"/>
      <c r="E424" s="358"/>
      <c r="F424" s="358"/>
      <c r="G424" s="358"/>
      <c r="H424" s="348"/>
      <c r="I424" s="355"/>
      <c r="J424" s="355"/>
      <c r="K424" s="355"/>
      <c r="L424" s="355"/>
      <c r="M424" s="355"/>
      <c r="N424" s="355"/>
      <c r="O424" s="355"/>
      <c r="P424" s="355"/>
      <c r="Q424" s="355"/>
      <c r="R424" s="355"/>
      <c r="S424" s="355"/>
      <c r="T424" s="355"/>
      <c r="U424" s="355"/>
      <c r="V424" s="355"/>
      <c r="W424" s="355"/>
      <c r="X424" s="355"/>
      <c r="Y424" s="355"/>
      <c r="Z424" s="355"/>
      <c r="AA424" s="355"/>
      <c r="AB424" s="355"/>
      <c r="AC424" s="355"/>
      <c r="AD424" s="355"/>
      <c r="AE424" s="355"/>
      <c r="AF424" s="355"/>
      <c r="AG424" s="355"/>
      <c r="AH424" s="355"/>
      <c r="AL424" s="347"/>
      <c r="AM424" s="347"/>
      <c r="AN424" s="347"/>
      <c r="AO424" s="351"/>
      <c r="AP424" s="359"/>
      <c r="AQ424" s="407"/>
      <c r="AR424" s="407"/>
      <c r="AS424" s="334"/>
      <c r="AT424" s="334"/>
      <c r="AU424" s="334"/>
      <c r="AV424" s="334"/>
      <c r="AW424" s="335"/>
      <c r="AX424" s="335"/>
      <c r="AY424" s="335"/>
      <c r="AZ424" s="335"/>
      <c r="BA424" s="335"/>
      <c r="BB424" s="335"/>
      <c r="BC424" s="335" t="n">
        <v>3</v>
      </c>
      <c r="BD424" s="335" t="n">
        <f aca="false">G443</f>
        <v>3.2</v>
      </c>
      <c r="BE424" s="335"/>
    </row>
    <row r="425" customFormat="false" ht="14.15" hidden="true" customHeight="true" outlineLevel="1" collapsed="false">
      <c r="A425" s="534" t="s">
        <v>2033</v>
      </c>
      <c r="B425" s="425" t="s">
        <v>156</v>
      </c>
      <c r="C425" s="474" t="n">
        <v>4</v>
      </c>
      <c r="D425" s="358"/>
      <c r="E425" s="492"/>
      <c r="F425" s="492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444" t="s">
        <v>156</v>
      </c>
      <c r="R425" s="348"/>
      <c r="S425" s="358"/>
      <c r="T425" s="358"/>
      <c r="U425" s="358"/>
      <c r="V425" s="358"/>
      <c r="W425" s="358"/>
      <c r="X425" s="358"/>
      <c r="Y425" s="358"/>
      <c r="Z425" s="358"/>
      <c r="AB425" s="452" t="s">
        <v>1937</v>
      </c>
      <c r="AC425" s="358"/>
      <c r="AD425" s="358"/>
      <c r="AE425" s="358"/>
      <c r="AF425" s="358"/>
      <c r="AG425" s="358"/>
      <c r="AH425" s="358"/>
      <c r="AL425" s="347"/>
      <c r="AM425" s="347"/>
      <c r="AN425" s="347"/>
      <c r="AO425" s="351"/>
      <c r="AP425" s="359"/>
      <c r="AQ425" s="334"/>
      <c r="AR425" s="334"/>
      <c r="AS425" s="334"/>
      <c r="AT425" s="334"/>
      <c r="AU425" s="334"/>
      <c r="AV425" s="334"/>
      <c r="AW425" s="335"/>
      <c r="AX425" s="335"/>
      <c r="AY425" s="335"/>
      <c r="AZ425" s="335"/>
      <c r="BA425" s="335"/>
      <c r="BB425" s="335"/>
      <c r="BC425" s="335" t="n">
        <v>4</v>
      </c>
      <c r="BD425" s="335" t="n">
        <f aca="false">G439</f>
        <v>3.4</v>
      </c>
      <c r="BE425" s="335"/>
    </row>
    <row r="426" customFormat="false" ht="14.15" hidden="true" customHeight="true" outlineLevel="1" collapsed="false">
      <c r="A426" s="534" t="s">
        <v>1755</v>
      </c>
      <c r="B426" s="425" t="s">
        <v>156</v>
      </c>
      <c r="C426" s="474" t="n">
        <v>5</v>
      </c>
      <c r="D426" s="358"/>
      <c r="E426" s="492"/>
      <c r="F426" s="492"/>
      <c r="G426" s="444" t="s">
        <v>156</v>
      </c>
      <c r="H426" s="348"/>
      <c r="I426" s="358"/>
      <c r="J426" s="358"/>
      <c r="K426" s="358"/>
      <c r="L426" s="358"/>
      <c r="M426" s="358"/>
      <c r="N426" s="358"/>
      <c r="O426" s="358"/>
      <c r="P426" s="358"/>
      <c r="Q426" s="358" t="n">
        <v>6.2</v>
      </c>
      <c r="R426" s="358"/>
      <c r="S426" s="358"/>
      <c r="T426" s="358"/>
      <c r="U426" s="358"/>
      <c r="V426" s="358"/>
      <c r="W426" s="358"/>
      <c r="X426" s="358"/>
      <c r="Y426" s="358"/>
      <c r="Z426" s="358"/>
      <c r="AB426" s="358" t="n">
        <v>20</v>
      </c>
      <c r="AC426" s="358"/>
      <c r="AD426" s="371" t="s">
        <v>1937</v>
      </c>
      <c r="AE426" s="371"/>
      <c r="AF426" s="358"/>
      <c r="AG426" s="358"/>
      <c r="AH426" s="358"/>
      <c r="AL426" s="347"/>
      <c r="AM426" s="347"/>
      <c r="AN426" s="347"/>
      <c r="AO426" s="351"/>
      <c r="AP426" s="359"/>
      <c r="AQ426" s="334"/>
      <c r="AR426" s="334"/>
      <c r="AS426" s="334"/>
      <c r="AT426" s="334"/>
      <c r="AU426" s="334"/>
      <c r="AV426" s="334"/>
      <c r="AW426" s="335"/>
      <c r="AX426" s="335"/>
      <c r="AY426" s="335" t="s">
        <v>1903</v>
      </c>
      <c r="AZ426" s="335"/>
      <c r="BA426" s="335"/>
      <c r="BB426" s="335"/>
      <c r="BC426" s="335" t="n">
        <v>5</v>
      </c>
      <c r="BD426" s="335" t="n">
        <f aca="false">C425</f>
        <v>4</v>
      </c>
      <c r="BE426" s="335"/>
    </row>
    <row r="427" customFormat="false" ht="14.15" hidden="true" customHeight="true" outlineLevel="1" collapsed="false">
      <c r="A427" s="324" t="s">
        <v>2034</v>
      </c>
      <c r="B427" s="425"/>
      <c r="C427" s="474" t="n">
        <v>2</v>
      </c>
      <c r="D427" s="358"/>
      <c r="E427" s="492"/>
      <c r="F427" s="492"/>
      <c r="G427" s="503" t="n">
        <v>5.1</v>
      </c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 t="n">
        <v>25</v>
      </c>
      <c r="AE427" s="358"/>
      <c r="AF427" s="358"/>
      <c r="AG427" s="358"/>
      <c r="AH427" s="358"/>
      <c r="AL427" s="347"/>
      <c r="AM427" s="347"/>
      <c r="AN427" s="347"/>
      <c r="AO427" s="351"/>
      <c r="AP427" s="359"/>
      <c r="AQ427" s="334"/>
      <c r="AR427" s="334"/>
      <c r="AS427" s="334"/>
      <c r="AT427" s="334"/>
      <c r="AU427" s="334"/>
      <c r="AV427" s="334"/>
      <c r="AW427" s="335"/>
      <c r="AX427" s="335"/>
      <c r="AY427" s="335" t="s">
        <v>1906</v>
      </c>
      <c r="AZ427" s="335"/>
      <c r="BA427" s="335"/>
      <c r="BB427" s="335"/>
      <c r="BC427" s="335" t="n">
        <v>6</v>
      </c>
      <c r="BD427" s="335" t="n">
        <f aca="false">C426</f>
        <v>5</v>
      </c>
      <c r="BE427" s="335"/>
    </row>
    <row r="428" customFormat="false" ht="14.15" hidden="true" customHeight="true" outlineLevel="1" collapsed="false">
      <c r="A428" s="474" t="s">
        <v>2035</v>
      </c>
      <c r="B428" s="425"/>
      <c r="C428" s="474" t="n">
        <v>1.5</v>
      </c>
      <c r="D428" s="371"/>
      <c r="E428" s="492"/>
      <c r="F428" s="492"/>
      <c r="G428" s="358"/>
      <c r="H428" s="358"/>
      <c r="I428" s="412"/>
      <c r="J428" s="412"/>
      <c r="K428" s="412"/>
      <c r="L428" s="412"/>
      <c r="M428" s="412"/>
      <c r="N428" s="412"/>
      <c r="O428" s="412"/>
      <c r="P428" s="412"/>
      <c r="Q428" s="412"/>
      <c r="R428" s="412"/>
      <c r="S428" s="412"/>
      <c r="T428" s="412"/>
      <c r="U428" s="412"/>
      <c r="V428" s="412"/>
      <c r="W428" s="412"/>
      <c r="X428" s="412"/>
      <c r="Y428" s="412"/>
      <c r="Z428" s="412"/>
      <c r="AA428" s="412"/>
      <c r="AB428" s="412"/>
      <c r="AC428" s="412"/>
      <c r="AD428" s="358"/>
      <c r="AE428" s="358"/>
      <c r="AF428" s="412"/>
      <c r="AG428" s="412"/>
      <c r="AH428" s="412"/>
      <c r="AL428" s="347"/>
      <c r="AM428" s="347"/>
      <c r="AN428" s="347"/>
      <c r="AO428" s="351"/>
      <c r="AP428" s="359"/>
      <c r="AQ428" s="334"/>
      <c r="AR428" s="334"/>
      <c r="AS428" s="334"/>
      <c r="AT428" s="334"/>
      <c r="AU428" s="334"/>
      <c r="AV428" s="334"/>
      <c r="AW428" s="335"/>
      <c r="AX428" s="335"/>
      <c r="AY428" s="335" t="s">
        <v>1992</v>
      </c>
      <c r="AZ428" s="335"/>
      <c r="BA428" s="335"/>
      <c r="BB428" s="335"/>
      <c r="BC428" s="335" t="n">
        <v>7</v>
      </c>
      <c r="BD428" s="335" t="n">
        <f aca="false">C429</f>
        <v>3.2</v>
      </c>
      <c r="BE428" s="335"/>
    </row>
    <row r="429" customFormat="false" ht="14.15" hidden="true" customHeight="true" outlineLevel="1" collapsed="false">
      <c r="A429" s="534" t="s">
        <v>2036</v>
      </c>
      <c r="B429" s="425" t="s">
        <v>156</v>
      </c>
      <c r="C429" s="474" t="n">
        <v>3.2</v>
      </c>
      <c r="D429" s="371"/>
      <c r="E429" s="492"/>
      <c r="F429" s="492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 t="s">
        <v>1873</v>
      </c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  <c r="AF429" s="358"/>
      <c r="AG429" s="358"/>
      <c r="AH429" s="358"/>
      <c r="AL429" s="347"/>
      <c r="AM429" s="347"/>
      <c r="AN429" s="347"/>
      <c r="AO429" s="351"/>
      <c r="AP429" s="359"/>
      <c r="AQ429" s="334"/>
      <c r="AR429" s="334"/>
      <c r="AS429" s="334"/>
      <c r="AT429" s="334"/>
      <c r="AU429" s="334"/>
      <c r="AV429" s="334"/>
      <c r="AW429" s="335"/>
      <c r="AX429" s="335"/>
      <c r="AY429" s="335" t="s">
        <v>1994</v>
      </c>
      <c r="AZ429" s="335"/>
      <c r="BA429" s="335"/>
      <c r="BB429" s="335"/>
      <c r="BC429" s="335" t="n">
        <v>8</v>
      </c>
      <c r="BD429" s="335" t="n">
        <f aca="false">C430</f>
        <v>2.2</v>
      </c>
      <c r="BE429" s="335"/>
    </row>
    <row r="430" customFormat="false" ht="14.15" hidden="true" customHeight="true" outlineLevel="1" collapsed="false">
      <c r="A430" s="534" t="s">
        <v>2037</v>
      </c>
      <c r="B430" s="425" t="s">
        <v>156</v>
      </c>
      <c r="C430" s="474" t="n">
        <v>2.2</v>
      </c>
      <c r="D430" s="371"/>
      <c r="E430" s="492"/>
      <c r="F430" s="492"/>
      <c r="G430" s="444" t="s">
        <v>156</v>
      </c>
      <c r="H430" s="34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  <c r="AF430" s="358"/>
      <c r="AG430" s="358"/>
      <c r="AH430" s="358"/>
      <c r="AL430" s="347"/>
      <c r="AM430" s="347"/>
      <c r="AN430" s="347"/>
      <c r="AO430" s="351"/>
      <c r="AP430" s="359"/>
      <c r="AQ430" s="334"/>
      <c r="AR430" s="334"/>
      <c r="AS430" s="334"/>
      <c r="AT430" s="334"/>
      <c r="AU430" s="334"/>
      <c r="AV430" s="334"/>
      <c r="AW430" s="335"/>
      <c r="AX430" s="335"/>
      <c r="AY430" s="335" t="s">
        <v>1995</v>
      </c>
      <c r="AZ430" s="335"/>
      <c r="BA430" s="335"/>
      <c r="BB430" s="335"/>
      <c r="BC430" s="335" t="n">
        <v>9</v>
      </c>
      <c r="BD430" s="335"/>
      <c r="BE430" s="335"/>
    </row>
    <row r="431" customFormat="false" ht="14.15" hidden="true" customHeight="true" outlineLevel="1" collapsed="false">
      <c r="A431" s="549" t="s">
        <v>2038</v>
      </c>
      <c r="B431" s="425" t="s">
        <v>156</v>
      </c>
      <c r="C431" s="474" t="n">
        <v>8</v>
      </c>
      <c r="D431" s="371"/>
      <c r="E431" s="492"/>
      <c r="F431" s="492"/>
      <c r="G431" s="503" t="n">
        <v>4.9</v>
      </c>
      <c r="H431" s="371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 t="s">
        <v>1874</v>
      </c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  <c r="AF431" s="358"/>
      <c r="AG431" s="358"/>
      <c r="AH431" s="358"/>
      <c r="AL431" s="347"/>
      <c r="AM431" s="347"/>
      <c r="AN431" s="347"/>
      <c r="AO431" s="351"/>
      <c r="AP431" s="359"/>
      <c r="AQ431" s="407"/>
      <c r="AR431" s="407"/>
      <c r="AS431" s="334"/>
      <c r="AT431" s="334"/>
      <c r="AU431" s="334"/>
      <c r="AV431" s="334"/>
      <c r="AW431" s="335"/>
      <c r="AX431" s="335"/>
      <c r="AY431" s="335" t="s">
        <v>1997</v>
      </c>
      <c r="AZ431" s="335"/>
      <c r="BA431" s="335"/>
      <c r="BB431" s="335"/>
      <c r="BC431" s="335" t="n">
        <v>10</v>
      </c>
      <c r="BD431" s="335" t="n">
        <f aca="false">C431</f>
        <v>8</v>
      </c>
      <c r="BE431" s="335"/>
    </row>
    <row r="432" customFormat="false" ht="14.15" hidden="true" customHeight="true" outlineLevel="1" collapsed="false">
      <c r="A432" s="534" t="s">
        <v>1758</v>
      </c>
      <c r="B432" s="425" t="s">
        <v>156</v>
      </c>
      <c r="C432" s="537" t="n">
        <v>2.7</v>
      </c>
      <c r="D432" s="371"/>
      <c r="E432" s="492"/>
      <c r="F432" s="492"/>
      <c r="G432" s="371"/>
      <c r="H432" s="371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452" t="s">
        <v>1873</v>
      </c>
      <c r="AE432" s="358"/>
      <c r="AF432" s="358"/>
      <c r="AG432" s="358"/>
      <c r="AH432" s="358"/>
      <c r="AL432" s="347"/>
      <c r="AM432" s="347"/>
      <c r="AN432" s="347"/>
      <c r="AO432" s="351"/>
      <c r="AP432" s="359"/>
      <c r="AQ432" s="334"/>
      <c r="AR432" s="334"/>
      <c r="AS432" s="334"/>
      <c r="AT432" s="334"/>
      <c r="AU432" s="334"/>
      <c r="AV432" s="334"/>
      <c r="AW432" s="335"/>
      <c r="AX432" s="335"/>
      <c r="AY432" s="335" t="s">
        <v>2039</v>
      </c>
      <c r="AZ432" s="335"/>
      <c r="BA432" s="335"/>
      <c r="BB432" s="335"/>
      <c r="BC432" s="335"/>
      <c r="BD432" s="335"/>
      <c r="BE432" s="335"/>
    </row>
    <row r="433" customFormat="false" ht="14.15" hidden="true" customHeight="true" outlineLevel="1" collapsed="false">
      <c r="A433" s="541" t="s">
        <v>2040</v>
      </c>
      <c r="B433" s="542" t="s">
        <v>156</v>
      </c>
      <c r="C433" s="544" t="n">
        <v>0.8</v>
      </c>
      <c r="D433" s="371"/>
      <c r="E433" s="492"/>
      <c r="F433" s="492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 t="s">
        <v>2041</v>
      </c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  <c r="AF433" s="358"/>
      <c r="AG433" s="358"/>
      <c r="AH433" s="358"/>
      <c r="AL433" s="347"/>
      <c r="AM433" s="347"/>
      <c r="AN433" s="347"/>
      <c r="AO433" s="351"/>
      <c r="AP433" s="359"/>
      <c r="AQ433" s="334"/>
      <c r="AR433" s="334"/>
      <c r="AS433" s="334"/>
      <c r="AT433" s="334"/>
      <c r="AU433" s="334"/>
      <c r="AV433" s="334"/>
      <c r="AW433" s="335"/>
      <c r="AX433" s="335"/>
      <c r="AY433" s="335" t="s">
        <v>2042</v>
      </c>
      <c r="AZ433" s="335"/>
      <c r="BA433" s="335"/>
      <c r="BB433" s="335"/>
      <c r="BC433" s="335"/>
      <c r="BD433" s="335" t="n">
        <f aca="false">C427</f>
        <v>2</v>
      </c>
      <c r="BE433" s="335"/>
    </row>
    <row r="434" customFormat="false" ht="14.15" hidden="true" customHeight="true" outlineLevel="1" collapsed="false">
      <c r="A434" s="490"/>
      <c r="B434" s="371"/>
      <c r="C434" s="371"/>
      <c r="D434" s="492"/>
      <c r="E434" s="492"/>
      <c r="F434" s="492"/>
      <c r="G434" s="444" t="s">
        <v>156</v>
      </c>
      <c r="H434" s="34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 t="s">
        <v>2041</v>
      </c>
      <c r="W434" s="358"/>
      <c r="X434" s="358"/>
      <c r="Y434" s="358"/>
      <c r="Z434" s="358" t="s">
        <v>1874</v>
      </c>
      <c r="AA434" s="358"/>
      <c r="AB434" s="358"/>
      <c r="AC434" s="358"/>
      <c r="AD434" s="358"/>
      <c r="AE434" s="358"/>
      <c r="AF434" s="358"/>
      <c r="AG434" s="358"/>
      <c r="AH434" s="358"/>
      <c r="AL434" s="347"/>
      <c r="AM434" s="347"/>
      <c r="AN434" s="347"/>
      <c r="AO434" s="351"/>
      <c r="AP434" s="359"/>
      <c r="AQ434" s="334"/>
      <c r="AR434" s="334"/>
      <c r="AS434" s="334"/>
      <c r="AT434" s="334"/>
      <c r="AU434" s="334"/>
      <c r="AV434" s="334"/>
      <c r="AW434" s="335"/>
      <c r="AX434" s="335"/>
      <c r="AY434" s="335" t="s">
        <v>2043</v>
      </c>
      <c r="AZ434" s="335"/>
      <c r="BA434" s="335"/>
      <c r="BB434" s="335"/>
      <c r="BC434" s="335"/>
      <c r="BD434" s="335" t="n">
        <f aca="false">C428</f>
        <v>1.5</v>
      </c>
      <c r="BE434" s="335"/>
    </row>
    <row r="435" customFormat="false" ht="14.15" hidden="true" customHeight="true" outlineLevel="1" collapsed="false">
      <c r="A435" s="324" t="s">
        <v>1889</v>
      </c>
      <c r="B435" s="461"/>
      <c r="C435" s="492"/>
      <c r="D435" s="489"/>
      <c r="E435" s="492"/>
      <c r="F435" s="492"/>
      <c r="G435" s="503" t="n">
        <v>5.1</v>
      </c>
      <c r="H435" s="371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  <c r="AF435" s="358"/>
      <c r="AG435" s="358"/>
      <c r="AH435" s="358"/>
      <c r="AL435" s="347"/>
      <c r="AM435" s="347"/>
      <c r="AN435" s="347"/>
      <c r="AO435" s="351"/>
      <c r="AP435" s="359"/>
      <c r="AQ435" s="334"/>
      <c r="AR435" s="334"/>
      <c r="AS435" s="334"/>
      <c r="AT435" s="334"/>
      <c r="AU435" s="334"/>
      <c r="AV435" s="334"/>
      <c r="AW435" s="335"/>
      <c r="AX435" s="335"/>
      <c r="AY435" s="335"/>
      <c r="AZ435" s="335"/>
      <c r="BA435" s="335"/>
      <c r="BB435" s="335"/>
      <c r="BC435" s="335"/>
      <c r="BD435" s="335"/>
      <c r="BE435" s="335"/>
    </row>
    <row r="436" customFormat="false" ht="14.15" hidden="true" customHeight="true" outlineLevel="1" collapsed="false">
      <c r="A436" s="465" t="s">
        <v>1890</v>
      </c>
      <c r="B436" s="550"/>
      <c r="C436" s="551"/>
      <c r="D436" s="347"/>
      <c r="E436" s="492"/>
      <c r="F436" s="492"/>
      <c r="G436" s="371"/>
      <c r="H436" s="371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  <c r="AF436" s="358"/>
      <c r="AG436" s="358"/>
      <c r="AH436" s="358"/>
      <c r="AL436" s="347"/>
      <c r="AM436" s="347"/>
      <c r="AN436" s="347"/>
      <c r="AO436" s="351"/>
      <c r="AP436" s="359"/>
      <c r="AQ436" s="334"/>
      <c r="AR436" s="334"/>
      <c r="AS436" s="334"/>
      <c r="AT436" s="334"/>
      <c r="AU436" s="334"/>
      <c r="AV436" s="334"/>
      <c r="AW436" s="335"/>
      <c r="AX436" s="335"/>
      <c r="AY436" s="335"/>
      <c r="AZ436" s="335"/>
      <c r="BA436" s="335"/>
      <c r="BB436" s="335" t="s">
        <v>1999</v>
      </c>
      <c r="BC436" s="335"/>
      <c r="BD436" s="335" t="n">
        <f aca="false">G451</f>
        <v>0</v>
      </c>
      <c r="BE436" s="335"/>
    </row>
    <row r="437" customFormat="false" ht="14.15" hidden="true" customHeight="true" outlineLevel="1" collapsed="false">
      <c r="A437" s="466" t="s">
        <v>1891</v>
      </c>
      <c r="B437" s="363"/>
      <c r="C437" s="355"/>
      <c r="D437" s="347"/>
      <c r="E437" s="492"/>
      <c r="F437" s="492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  <c r="AF437" s="358"/>
      <c r="AG437" s="358"/>
      <c r="AH437" s="358"/>
      <c r="AL437" s="347"/>
      <c r="AM437" s="347"/>
      <c r="AN437" s="347"/>
      <c r="AO437" s="351"/>
      <c r="AP437" s="359"/>
      <c r="AQ437" s="334"/>
      <c r="AR437" s="334"/>
      <c r="AS437" s="334"/>
      <c r="AT437" s="334"/>
      <c r="AU437" s="334"/>
      <c r="AV437" s="334"/>
      <c r="AW437" s="335"/>
      <c r="AX437" s="335"/>
      <c r="AY437" s="335"/>
      <c r="AZ437" s="335"/>
      <c r="BA437" s="335"/>
      <c r="BB437" s="335" t="s">
        <v>2001</v>
      </c>
      <c r="BC437" s="335"/>
      <c r="BD437" s="335" t="n">
        <f aca="false">G447</f>
        <v>0.2</v>
      </c>
      <c r="BE437" s="335"/>
    </row>
    <row r="438" customFormat="false" ht="14.15" hidden="true" customHeight="true" outlineLevel="1" collapsed="false">
      <c r="A438" s="470" t="s">
        <v>1967</v>
      </c>
      <c r="B438" s="477"/>
      <c r="C438" s="501"/>
      <c r="D438" s="347"/>
      <c r="E438" s="492"/>
      <c r="F438" s="492"/>
      <c r="G438" s="444" t="s">
        <v>156</v>
      </c>
      <c r="H438" s="34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  <c r="AF438" s="358"/>
      <c r="AG438" s="358"/>
      <c r="AH438" s="358"/>
      <c r="AL438" s="347"/>
      <c r="AM438" s="347"/>
      <c r="AN438" s="347"/>
      <c r="AO438" s="351"/>
      <c r="AP438" s="359"/>
      <c r="AQ438" s="334"/>
      <c r="AR438" s="334"/>
      <c r="AS438" s="334"/>
      <c r="AT438" s="334"/>
      <c r="AU438" s="334"/>
      <c r="AV438" s="334"/>
      <c r="AW438" s="335"/>
      <c r="AX438" s="335"/>
      <c r="AY438" s="335"/>
      <c r="AZ438" s="335"/>
      <c r="BA438" s="335"/>
      <c r="BB438" s="335" t="s">
        <v>2044</v>
      </c>
      <c r="BC438" s="335"/>
      <c r="BD438" s="335" t="n">
        <f aca="false">G443</f>
        <v>3.2</v>
      </c>
      <c r="BE438" s="335"/>
    </row>
    <row r="439" customFormat="false" ht="14.15" hidden="true" customHeight="true" outlineLevel="1" collapsed="false">
      <c r="A439" s="324" t="s">
        <v>1907</v>
      </c>
      <c r="D439" s="347"/>
      <c r="E439" s="492"/>
      <c r="F439" s="492"/>
      <c r="G439" s="503" t="n">
        <v>3.4</v>
      </c>
      <c r="H439" s="371"/>
      <c r="I439" s="355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  <c r="AF439" s="358"/>
      <c r="AG439" s="358"/>
      <c r="AH439" s="358"/>
      <c r="AL439" s="347"/>
      <c r="AM439" s="347"/>
      <c r="AN439" s="347"/>
      <c r="AO439" s="351"/>
      <c r="AP439" s="359"/>
      <c r="AQ439" s="334"/>
      <c r="AR439" s="334"/>
      <c r="AS439" s="334"/>
      <c r="AT439" s="334"/>
      <c r="AU439" s="334"/>
      <c r="AV439" s="334"/>
      <c r="AW439" s="335"/>
      <c r="AX439" s="335"/>
      <c r="AY439" s="335"/>
      <c r="AZ439" s="335"/>
      <c r="BA439" s="335"/>
      <c r="BB439" s="335" t="s">
        <v>2045</v>
      </c>
      <c r="BC439" s="335"/>
      <c r="BD439" s="335" t="n">
        <f aca="false">G439</f>
        <v>3.4</v>
      </c>
      <c r="BE439" s="335"/>
    </row>
    <row r="440" customFormat="false" ht="14.15" hidden="true" customHeight="true" outlineLevel="1" collapsed="false">
      <c r="A440" s="476" t="s">
        <v>1908</v>
      </c>
      <c r="D440" s="490"/>
      <c r="E440" s="492"/>
      <c r="F440" s="492"/>
      <c r="G440" s="371"/>
      <c r="H440" s="371"/>
      <c r="I440" s="355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  <c r="AF440" s="358"/>
      <c r="AG440" s="358"/>
      <c r="AH440" s="358"/>
      <c r="AL440" s="347"/>
      <c r="AM440" s="347"/>
      <c r="AN440" s="347"/>
      <c r="AO440" s="351"/>
      <c r="AP440" s="359"/>
      <c r="AQ440" s="334"/>
      <c r="AR440" s="334"/>
      <c r="AS440" s="334"/>
      <c r="AT440" s="334"/>
      <c r="AU440" s="334"/>
      <c r="AV440" s="334"/>
      <c r="AW440" s="335"/>
      <c r="AX440" s="335"/>
      <c r="AY440" s="335"/>
      <c r="AZ440" s="335"/>
      <c r="BA440" s="335"/>
      <c r="BB440" s="335" t="s">
        <v>2046</v>
      </c>
      <c r="BC440" s="335"/>
      <c r="BD440" s="335" t="n">
        <f aca="false">G435</f>
        <v>5.1</v>
      </c>
      <c r="BE440" s="335"/>
    </row>
    <row r="441" customFormat="false" ht="14.15" hidden="true" customHeight="true" outlineLevel="1" collapsed="false">
      <c r="A441" s="324" t="s">
        <v>1909</v>
      </c>
      <c r="D441" s="358"/>
      <c r="E441" s="492"/>
      <c r="F441" s="492"/>
      <c r="G441" s="358"/>
      <c r="H441" s="355"/>
      <c r="I441" s="355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  <c r="AF441" s="358"/>
      <c r="AG441" s="358"/>
      <c r="AH441" s="358"/>
      <c r="AL441" s="347"/>
      <c r="AM441" s="347"/>
      <c r="AN441" s="347"/>
      <c r="AO441" s="351"/>
      <c r="AP441" s="359"/>
      <c r="AQ441" s="334"/>
      <c r="AR441" s="334"/>
      <c r="AS441" s="334"/>
      <c r="AT441" s="334"/>
      <c r="AU441" s="334"/>
      <c r="AV441" s="334"/>
      <c r="AW441" s="335"/>
      <c r="AX441" s="335"/>
      <c r="AY441" s="335"/>
      <c r="AZ441" s="335"/>
      <c r="BA441" s="335"/>
      <c r="BB441" s="335" t="s">
        <v>2047</v>
      </c>
      <c r="BC441" s="335"/>
      <c r="BD441" s="335" t="n">
        <f aca="false">G427</f>
        <v>5.1</v>
      </c>
      <c r="BE441" s="335"/>
    </row>
    <row r="442" customFormat="false" ht="14.15" hidden="true" customHeight="true" outlineLevel="1" collapsed="false">
      <c r="A442" s="478" t="s">
        <v>270</v>
      </c>
      <c r="D442" s="347"/>
      <c r="E442" s="492"/>
      <c r="F442" s="492"/>
      <c r="G442" s="444" t="s">
        <v>156</v>
      </c>
      <c r="H442" s="348"/>
      <c r="I442" s="355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  <c r="AF442" s="358"/>
      <c r="AG442" s="358"/>
      <c r="AH442" s="358"/>
      <c r="AL442" s="347"/>
      <c r="AM442" s="347"/>
      <c r="AN442" s="347"/>
      <c r="AO442" s="351"/>
      <c r="AP442" s="359"/>
      <c r="AQ442" s="552"/>
      <c r="AR442" s="552"/>
      <c r="AS442" s="334"/>
      <c r="AT442" s="334"/>
      <c r="AU442" s="334"/>
      <c r="AV442" s="334"/>
      <c r="AW442" s="335"/>
      <c r="AX442" s="335"/>
      <c r="AY442" s="335"/>
      <c r="AZ442" s="335"/>
      <c r="BA442" s="335"/>
      <c r="BB442" s="335" t="s">
        <v>1546</v>
      </c>
      <c r="BC442" s="335"/>
      <c r="BD442" s="335" t="n">
        <f aca="false">Q426</f>
        <v>6.2</v>
      </c>
      <c r="BE442" s="335"/>
    </row>
    <row r="443" customFormat="false" ht="14.15" hidden="true" customHeight="true" outlineLevel="1" collapsed="false">
      <c r="A443" s="324" t="s">
        <v>1910</v>
      </c>
      <c r="D443" s="347"/>
      <c r="E443" s="492"/>
      <c r="F443" s="492"/>
      <c r="G443" s="503" t="n">
        <v>3.2</v>
      </c>
      <c r="H443" s="371"/>
      <c r="I443" s="355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  <c r="AF443" s="358"/>
      <c r="AG443" s="358"/>
      <c r="AH443" s="358"/>
      <c r="AL443" s="347"/>
      <c r="AM443" s="347"/>
      <c r="AN443" s="347"/>
      <c r="AO443" s="351"/>
      <c r="AP443" s="359"/>
      <c r="AQ443" s="335"/>
      <c r="AR443" s="334"/>
      <c r="AS443" s="334"/>
      <c r="AT443" s="334"/>
      <c r="AU443" s="334"/>
      <c r="AV443" s="334"/>
      <c r="AW443" s="335"/>
      <c r="AX443" s="335"/>
      <c r="AY443" s="335"/>
      <c r="AZ443" s="335"/>
      <c r="BA443" s="335"/>
      <c r="BB443" s="335" t="s">
        <v>2048</v>
      </c>
      <c r="BC443" s="335"/>
      <c r="BD443" s="335" t="n">
        <f aca="false">AD427</f>
        <v>25</v>
      </c>
      <c r="BE443" s="335"/>
    </row>
    <row r="444" customFormat="false" ht="14.15" hidden="true" customHeight="true" outlineLevel="1" collapsed="false">
      <c r="A444" s="478" t="s">
        <v>277</v>
      </c>
      <c r="D444" s="347"/>
      <c r="E444" s="492"/>
      <c r="F444" s="492"/>
      <c r="G444" s="503"/>
      <c r="H444" s="371"/>
      <c r="I444" s="355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  <c r="AF444" s="358"/>
      <c r="AG444" s="358"/>
      <c r="AH444" s="358"/>
      <c r="AL444" s="347"/>
      <c r="AM444" s="347"/>
      <c r="AN444" s="347"/>
      <c r="AO444" s="351"/>
      <c r="AP444" s="359"/>
      <c r="AQ444" s="334"/>
      <c r="AR444" s="334"/>
      <c r="AS444" s="334"/>
      <c r="AT444" s="334"/>
      <c r="AU444" s="334"/>
      <c r="AV444" s="334"/>
      <c r="AW444" s="335"/>
      <c r="AX444" s="335"/>
      <c r="AY444" s="335"/>
      <c r="AZ444" s="335"/>
      <c r="BA444" s="335"/>
      <c r="BB444" s="335" t="s">
        <v>2048</v>
      </c>
      <c r="BC444" s="335"/>
      <c r="BD444" s="335" t="n">
        <f aca="false">AB426</f>
        <v>20</v>
      </c>
      <c r="BE444" s="335"/>
    </row>
    <row r="445" customFormat="false" ht="14.15" hidden="true" customHeight="true" outlineLevel="1" collapsed="false">
      <c r="A445" s="324" t="s">
        <v>1911</v>
      </c>
      <c r="D445" s="347"/>
      <c r="E445" s="492"/>
      <c r="F445" s="492"/>
      <c r="G445" s="503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  <c r="AF445" s="358"/>
      <c r="AG445" s="358"/>
      <c r="AH445" s="358"/>
      <c r="AL445" s="347"/>
      <c r="AM445" s="347"/>
      <c r="AN445" s="347"/>
      <c r="AO445" s="351"/>
      <c r="AP445" s="359"/>
      <c r="AQ445" s="334"/>
      <c r="AR445" s="334"/>
      <c r="AS445" s="334"/>
      <c r="AT445" s="334"/>
      <c r="AU445" s="334"/>
      <c r="AV445" s="334"/>
      <c r="AW445" s="335"/>
      <c r="AX445" s="335"/>
      <c r="AY445" s="335"/>
      <c r="AZ445" s="335"/>
      <c r="BA445" s="335"/>
      <c r="BB445" s="335"/>
      <c r="BC445" s="335"/>
      <c r="BD445" s="335"/>
      <c r="BE445" s="335"/>
    </row>
    <row r="446" customFormat="false" ht="14.15" hidden="true" customHeight="true" outlineLevel="1" collapsed="false">
      <c r="A446" s="480" t="s">
        <v>493</v>
      </c>
      <c r="D446" s="347"/>
      <c r="E446" s="492"/>
      <c r="F446" s="492"/>
      <c r="G446" s="444" t="s">
        <v>156</v>
      </c>
      <c r="H446" s="34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  <c r="AF446" s="358"/>
      <c r="AG446" s="358"/>
      <c r="AH446" s="358"/>
      <c r="AL446" s="347"/>
      <c r="AM446" s="347"/>
      <c r="AN446" s="347"/>
      <c r="AO446" s="351"/>
      <c r="AP446" s="359"/>
      <c r="AQ446" s="334"/>
      <c r="AR446" s="334"/>
      <c r="AS446" s="334"/>
      <c r="AT446" s="334"/>
      <c r="AU446" s="334"/>
      <c r="AV446" s="334"/>
      <c r="AW446" s="335"/>
      <c r="AX446" s="335"/>
      <c r="AY446" s="335"/>
      <c r="AZ446" s="335"/>
      <c r="BA446" s="335"/>
      <c r="BB446" s="335"/>
      <c r="BC446" s="335"/>
      <c r="BD446" s="335"/>
      <c r="BE446" s="335"/>
    </row>
    <row r="447" customFormat="false" ht="14.15" hidden="true" customHeight="true" outlineLevel="1" collapsed="false">
      <c r="A447" s="324" t="s">
        <v>1913</v>
      </c>
      <c r="B447" s="477"/>
      <c r="C447" s="522"/>
      <c r="D447" s="347"/>
      <c r="E447" s="492"/>
      <c r="F447" s="492"/>
      <c r="G447" s="503" t="n">
        <v>0.2</v>
      </c>
      <c r="H447" s="371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  <c r="AF447" s="358"/>
      <c r="AG447" s="358"/>
      <c r="AH447" s="358"/>
      <c r="AL447" s="347"/>
      <c r="AM447" s="347"/>
      <c r="AN447" s="347"/>
      <c r="AO447" s="351"/>
      <c r="AP447" s="359"/>
      <c r="AQ447" s="334"/>
      <c r="AR447" s="334"/>
      <c r="AS447" s="334"/>
      <c r="AT447" s="334"/>
      <c r="AU447" s="334"/>
      <c r="AV447" s="334"/>
      <c r="AW447" s="335"/>
      <c r="AX447" s="335"/>
      <c r="AY447" s="335"/>
      <c r="AZ447" s="335"/>
      <c r="BA447" s="335"/>
      <c r="BB447" s="335"/>
      <c r="BC447" s="335"/>
      <c r="BD447" s="335"/>
      <c r="BE447" s="335"/>
    </row>
    <row r="448" customFormat="false" ht="14.15" hidden="true" customHeight="true" outlineLevel="1" collapsed="false">
      <c r="A448" s="481" t="s">
        <v>706</v>
      </c>
      <c r="B448" s="477"/>
      <c r="C448" s="522"/>
      <c r="D448" s="347"/>
      <c r="E448" s="492"/>
      <c r="F448" s="492"/>
      <c r="G448" s="371"/>
      <c r="H448" s="371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  <c r="AF448" s="358"/>
      <c r="AG448" s="358"/>
      <c r="AH448" s="358"/>
      <c r="AL448" s="347"/>
      <c r="AM448" s="347"/>
      <c r="AN448" s="347"/>
      <c r="AO448" s="351"/>
      <c r="AP448" s="359"/>
      <c r="AQ448" s="334"/>
      <c r="AR448" s="334"/>
      <c r="AS448" s="334"/>
      <c r="AT448" s="334"/>
      <c r="AU448" s="334"/>
      <c r="AV448" s="334"/>
      <c r="AW448" s="335"/>
      <c r="AX448" s="335"/>
      <c r="AY448" s="335"/>
      <c r="AZ448" s="335"/>
      <c r="BA448" s="335"/>
      <c r="BB448" s="335"/>
      <c r="BC448" s="335"/>
      <c r="BD448" s="335"/>
      <c r="BE448" s="335"/>
    </row>
    <row r="449" customFormat="false" ht="14.15" hidden="true" customHeight="true" outlineLevel="1" collapsed="false">
      <c r="A449" s="324" t="s">
        <v>1917</v>
      </c>
      <c r="D449" s="347"/>
      <c r="E449" s="492"/>
      <c r="F449" s="492"/>
      <c r="G449" s="358"/>
      <c r="H449" s="355"/>
      <c r="I449" s="355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  <c r="AF449" s="358"/>
      <c r="AG449" s="358"/>
      <c r="AH449" s="358"/>
      <c r="AL449" s="347"/>
      <c r="AM449" s="347"/>
      <c r="AN449" s="347"/>
      <c r="AO449" s="351"/>
      <c r="AP449" s="359"/>
      <c r="AQ449" s="334"/>
      <c r="AR449" s="334"/>
      <c r="AS449" s="334"/>
      <c r="AT449" s="334"/>
      <c r="AU449" s="334"/>
      <c r="AV449" s="334"/>
      <c r="AW449" s="335"/>
      <c r="AX449" s="335"/>
      <c r="AY449" s="335"/>
      <c r="AZ449" s="335"/>
      <c r="BA449" s="335"/>
      <c r="BB449" s="335"/>
      <c r="BC449" s="335"/>
      <c r="BD449" s="335"/>
      <c r="BE449" s="335"/>
    </row>
    <row r="450" customFormat="false" ht="14.15" hidden="true" customHeight="true" outlineLevel="1" collapsed="false">
      <c r="A450" s="478" t="s">
        <v>753</v>
      </c>
      <c r="B450" s="324"/>
      <c r="D450" s="347"/>
      <c r="E450" s="492"/>
      <c r="F450" s="492"/>
      <c r="G450" s="444" t="s">
        <v>156</v>
      </c>
      <c r="H450" s="348"/>
      <c r="I450" s="355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  <c r="AF450" s="358"/>
      <c r="AG450" s="358"/>
      <c r="AH450" s="358"/>
      <c r="AL450" s="347"/>
      <c r="AM450" s="347"/>
      <c r="AN450" s="347"/>
      <c r="AO450" s="351"/>
      <c r="AP450" s="359"/>
      <c r="AQ450" s="552"/>
      <c r="AR450" s="552"/>
      <c r="AS450" s="334"/>
      <c r="AT450" s="334"/>
      <c r="AU450" s="334"/>
      <c r="AV450" s="334"/>
      <c r="AW450" s="335"/>
      <c r="AX450" s="335"/>
      <c r="AY450" s="335"/>
      <c r="AZ450" s="335"/>
      <c r="BA450" s="335"/>
      <c r="BB450" s="335"/>
      <c r="BC450" s="335"/>
      <c r="BD450" s="335"/>
      <c r="BE450" s="335"/>
    </row>
    <row r="451" customFormat="false" ht="14.15" hidden="true" customHeight="true" outlineLevel="1" collapsed="false">
      <c r="A451" s="324" t="s">
        <v>1919</v>
      </c>
      <c r="B451" s="324"/>
      <c r="D451" s="347"/>
      <c r="E451" s="492"/>
      <c r="F451" s="492"/>
      <c r="G451" s="503" t="n">
        <v>0</v>
      </c>
      <c r="H451" s="371"/>
      <c r="I451" s="355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469"/>
      <c r="AA451" s="469"/>
      <c r="AB451" s="358"/>
      <c r="AC451" s="358"/>
      <c r="AD451" s="358"/>
      <c r="AE451" s="358"/>
      <c r="AF451" s="358"/>
      <c r="AG451" s="358"/>
      <c r="AH451" s="358"/>
      <c r="AL451" s="347"/>
      <c r="AM451" s="347"/>
      <c r="AN451" s="347"/>
      <c r="AO451" s="351"/>
      <c r="AP451" s="359"/>
      <c r="AQ451" s="334"/>
      <c r="AR451" s="334"/>
      <c r="AS451" s="334"/>
      <c r="AT451" s="334"/>
      <c r="AU451" s="334"/>
      <c r="AV451" s="334"/>
      <c r="AW451" s="335"/>
      <c r="AX451" s="335"/>
      <c r="AY451" s="335"/>
      <c r="AZ451" s="335"/>
      <c r="BA451" s="335"/>
      <c r="BB451" s="335"/>
      <c r="BC451" s="335"/>
      <c r="BD451" s="335"/>
      <c r="BE451" s="335"/>
    </row>
    <row r="452" customFormat="false" ht="14.15" hidden="true" customHeight="true" outlineLevel="1" collapsed="false">
      <c r="A452" s="478" t="s">
        <v>785</v>
      </c>
      <c r="B452" s="324"/>
      <c r="D452" s="347"/>
      <c r="E452" s="492"/>
      <c r="F452" s="492"/>
      <c r="G452" s="371"/>
      <c r="H452" s="371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469"/>
      <c r="AA452" s="469"/>
      <c r="AB452" s="358"/>
      <c r="AC452" s="358"/>
      <c r="AD452" s="358"/>
      <c r="AE452" s="358"/>
      <c r="AF452" s="358"/>
      <c r="AG452" s="358"/>
      <c r="AH452" s="358"/>
      <c r="AL452" s="347"/>
      <c r="AM452" s="347"/>
      <c r="AN452" s="347"/>
      <c r="AO452" s="351"/>
      <c r="AP452" s="359"/>
      <c r="AQ452" s="334"/>
      <c r="AR452" s="334"/>
      <c r="AS452" s="334"/>
      <c r="AT452" s="334"/>
      <c r="AU452" s="334"/>
      <c r="AV452" s="334"/>
      <c r="AW452" s="335"/>
      <c r="AX452" s="335"/>
      <c r="AY452" s="335"/>
      <c r="AZ452" s="335"/>
      <c r="BA452" s="335"/>
      <c r="BB452" s="335"/>
      <c r="BC452" s="335"/>
      <c r="BD452" s="335"/>
      <c r="BE452" s="335"/>
    </row>
    <row r="453" customFormat="false" ht="14.15" hidden="true" customHeight="true" outlineLevel="1" collapsed="false">
      <c r="A453" s="324" t="s">
        <v>1922</v>
      </c>
      <c r="B453" s="477"/>
      <c r="C453" s="358"/>
      <c r="D453" s="347"/>
      <c r="E453" s="492"/>
      <c r="F453" s="492"/>
      <c r="G453" s="358"/>
      <c r="H453" s="355"/>
      <c r="I453" s="355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469"/>
      <c r="AA453" s="469"/>
      <c r="AB453" s="358"/>
      <c r="AC453" s="358"/>
      <c r="AD453" s="358"/>
      <c r="AE453" s="358"/>
      <c r="AF453" s="358"/>
      <c r="AG453" s="358"/>
      <c r="AH453" s="452"/>
      <c r="AI453" s="358"/>
      <c r="AJ453" s="358"/>
      <c r="AK453" s="358"/>
      <c r="AL453" s="347"/>
      <c r="AM453" s="347"/>
      <c r="AN453" s="347"/>
      <c r="AO453" s="351"/>
      <c r="AP453" s="359"/>
      <c r="AQ453" s="334"/>
      <c r="AR453" s="334"/>
      <c r="AS453" s="334"/>
      <c r="AT453" s="334"/>
      <c r="AU453" s="334"/>
      <c r="AV453" s="334"/>
      <c r="AW453" s="335"/>
      <c r="AX453" s="335"/>
      <c r="AY453" s="335"/>
      <c r="AZ453" s="335"/>
      <c r="BA453" s="335"/>
      <c r="BB453" s="335"/>
      <c r="BC453" s="335"/>
      <c r="BD453" s="335"/>
      <c r="BE453" s="335"/>
    </row>
    <row r="454" customFormat="false" ht="14.15" hidden="true" customHeight="true" outlineLevel="1" collapsed="false">
      <c r="A454" s="403" t="s">
        <v>152</v>
      </c>
      <c r="B454" s="404" t="s">
        <v>1793</v>
      </c>
      <c r="C454" s="378" t="n">
        <v>1</v>
      </c>
      <c r="D454" s="347"/>
      <c r="E454" s="492"/>
      <c r="F454" s="492"/>
      <c r="G454" s="358"/>
      <c r="H454" s="355"/>
      <c r="I454" s="355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  <c r="AF454" s="358"/>
      <c r="AG454" s="358"/>
      <c r="AH454" s="358"/>
      <c r="AI454" s="358"/>
      <c r="AJ454" s="358"/>
      <c r="AK454" s="358"/>
      <c r="AL454" s="347"/>
      <c r="AM454" s="347"/>
      <c r="AN454" s="347"/>
      <c r="AO454" s="351"/>
      <c r="AP454" s="359"/>
      <c r="AQ454" s="334"/>
      <c r="AR454" s="334"/>
      <c r="AS454" s="334"/>
      <c r="AT454" s="334"/>
      <c r="AU454" s="334"/>
      <c r="AV454" s="334"/>
      <c r="AW454" s="335"/>
      <c r="AX454" s="335"/>
      <c r="AY454" s="335"/>
      <c r="AZ454" s="335"/>
      <c r="BA454" s="335"/>
      <c r="BB454" s="335"/>
      <c r="BC454" s="335"/>
      <c r="BD454" s="335"/>
      <c r="BE454" s="335"/>
    </row>
    <row r="455" customFormat="false" ht="14.15" hidden="true" customHeight="true" outlineLevel="1" collapsed="false">
      <c r="A455" s="393" t="s">
        <v>152</v>
      </c>
      <c r="B455" s="404" t="s">
        <v>1793</v>
      </c>
      <c r="C455" s="370" t="n">
        <v>0</v>
      </c>
      <c r="D455" s="347"/>
      <c r="E455" s="492"/>
      <c r="F455" s="492"/>
      <c r="G455" s="358"/>
      <c r="H455" s="355"/>
      <c r="I455" s="355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  <c r="AF455" s="358"/>
      <c r="AG455" s="358"/>
      <c r="AH455" s="358"/>
      <c r="AI455" s="358"/>
      <c r="AJ455" s="358"/>
      <c r="AK455" s="358"/>
      <c r="AL455" s="347"/>
      <c r="AM455" s="347"/>
      <c r="AN455" s="347"/>
      <c r="AO455" s="351"/>
      <c r="AP455" s="359"/>
      <c r="AQ455" s="334"/>
      <c r="AR455" s="334"/>
      <c r="AS455" s="334"/>
      <c r="AT455" s="334"/>
      <c r="AU455" s="334"/>
      <c r="AV455" s="334"/>
      <c r="AW455" s="335"/>
      <c r="AX455" s="335"/>
      <c r="AY455" s="335"/>
      <c r="AZ455" s="335"/>
      <c r="BA455" s="335"/>
      <c r="BB455" s="335"/>
      <c r="BC455" s="335"/>
      <c r="BD455" s="335"/>
      <c r="BE455" s="335"/>
    </row>
    <row r="456" customFormat="false" ht="14.15" hidden="true" customHeight="true" outlineLevel="1" collapsed="false">
      <c r="D456" s="347"/>
      <c r="E456" s="492"/>
      <c r="F456" s="492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 t="s">
        <v>1983</v>
      </c>
      <c r="AF456" s="358"/>
      <c r="AG456" s="358"/>
      <c r="AH456" s="358"/>
      <c r="AI456" s="358"/>
      <c r="AJ456" s="358"/>
      <c r="AK456" s="358"/>
      <c r="AL456" s="347"/>
      <c r="AM456" s="347"/>
      <c r="AN456" s="347"/>
      <c r="AO456" s="351"/>
      <c r="AP456" s="359"/>
      <c r="AQ456" s="334"/>
      <c r="AR456" s="334"/>
      <c r="AS456" s="334"/>
      <c r="AT456" s="334"/>
      <c r="AU456" s="334"/>
      <c r="AV456" s="334"/>
      <c r="AW456" s="335"/>
      <c r="AX456" s="335"/>
      <c r="AY456" s="335"/>
      <c r="AZ456" s="335"/>
      <c r="BA456" s="335"/>
      <c r="BB456" s="335"/>
      <c r="BC456" s="335"/>
      <c r="BD456" s="335"/>
      <c r="BE456" s="335"/>
    </row>
    <row r="457" customFormat="false" ht="14.15" hidden="true" customHeight="true" outlineLevel="1" collapsed="false">
      <c r="A457" s="405" t="s">
        <v>2049</v>
      </c>
      <c r="B457" s="404" t="s">
        <v>1796</v>
      </c>
      <c r="C457" s="488" t="n">
        <v>3000</v>
      </c>
      <c r="D457" s="347"/>
      <c r="E457" s="492"/>
      <c r="F457" s="492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 t="s">
        <v>1876</v>
      </c>
      <c r="R457" s="358"/>
      <c r="S457" s="358"/>
      <c r="T457" s="358"/>
      <c r="U457" s="358"/>
      <c r="V457" s="358"/>
      <c r="W457" s="348"/>
      <c r="X457" s="348"/>
      <c r="Y457" s="358"/>
      <c r="Z457" s="358"/>
      <c r="AA457" s="358"/>
      <c r="AB457" s="358"/>
      <c r="AC457" s="358"/>
      <c r="AD457" s="358"/>
      <c r="AE457" s="358"/>
      <c r="AF457" s="358"/>
      <c r="AG457" s="358"/>
      <c r="AH457" s="358"/>
      <c r="AI457" s="358"/>
      <c r="AJ457" s="358"/>
      <c r="AK457" s="358"/>
      <c r="AL457" s="347"/>
      <c r="AM457" s="347"/>
      <c r="AN457" s="347"/>
      <c r="AO457" s="351"/>
      <c r="AP457" s="359"/>
      <c r="AQ457" s="334"/>
      <c r="AR457" s="334"/>
      <c r="AS457" s="334"/>
      <c r="AT457" s="334"/>
      <c r="AU457" s="334"/>
      <c r="AV457" s="334"/>
      <c r="AW457" s="335"/>
      <c r="AX457" s="335"/>
      <c r="AY457" s="335"/>
      <c r="AZ457" s="335"/>
      <c r="BA457" s="335"/>
      <c r="BB457" s="335"/>
      <c r="BC457" s="335"/>
      <c r="BD457" s="335"/>
      <c r="BE457" s="335"/>
    </row>
    <row r="458" customFormat="false" ht="14.15" hidden="false" customHeight="true" outlineLevel="0" collapsed="false">
      <c r="A458" s="408" t="s">
        <v>2050</v>
      </c>
      <c r="B458" s="408"/>
      <c r="C458" s="408"/>
      <c r="D458" s="408"/>
      <c r="E458" s="408"/>
      <c r="F458" s="553" t="s">
        <v>1798</v>
      </c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48"/>
      <c r="X458" s="348"/>
      <c r="Y458" s="358"/>
      <c r="Z458" s="358"/>
      <c r="AA458" s="358"/>
      <c r="AB458" s="358"/>
      <c r="AC458" s="358"/>
      <c r="AD458" s="358"/>
      <c r="AE458" s="358"/>
      <c r="AF458" s="358"/>
      <c r="AG458" s="358"/>
      <c r="AH458" s="358"/>
      <c r="AI458" s="358"/>
      <c r="AJ458" s="358"/>
      <c r="AK458" s="358"/>
      <c r="AL458" s="347"/>
      <c r="AM458" s="347"/>
      <c r="AN458" s="347"/>
      <c r="AO458" s="351"/>
      <c r="AP458" s="359"/>
      <c r="AQ458" s="334"/>
      <c r="AR458" s="334"/>
      <c r="AS458" s="334"/>
      <c r="AT458" s="334"/>
      <c r="AU458" s="334"/>
      <c r="AV458" s="334"/>
      <c r="AW458" s="335"/>
      <c r="AX458" s="335"/>
      <c r="AY458" s="335"/>
      <c r="AZ458" s="335"/>
      <c r="BA458" s="335"/>
      <c r="BB458" s="335"/>
      <c r="BC458" s="335"/>
      <c r="BD458" s="335"/>
      <c r="BE458" s="335"/>
    </row>
    <row r="459" customFormat="false" ht="14.15" hidden="false" customHeight="true" outlineLevel="0" collapsed="false">
      <c r="A459" s="347"/>
      <c r="B459" s="450"/>
      <c r="C459" s="347"/>
      <c r="D459" s="347"/>
      <c r="E459" s="492"/>
      <c r="F459" s="492"/>
      <c r="G459" s="358"/>
      <c r="H459" s="358"/>
      <c r="I459" s="358"/>
      <c r="J459" s="348"/>
      <c r="K459" s="348"/>
      <c r="L459" s="358"/>
      <c r="M459" s="358"/>
      <c r="N459" s="347"/>
      <c r="O459" s="358"/>
      <c r="P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  <c r="AF459" s="358"/>
      <c r="AG459" s="358"/>
      <c r="AH459" s="358"/>
      <c r="AI459" s="358"/>
      <c r="AJ459" s="358"/>
      <c r="AK459" s="358"/>
      <c r="AL459" s="347"/>
      <c r="AM459" s="347"/>
      <c r="AN459" s="347"/>
      <c r="AO459" s="351"/>
      <c r="AP459" s="359"/>
      <c r="AQ459" s="334"/>
      <c r="AR459" s="334"/>
      <c r="AS459" s="334"/>
      <c r="AT459" s="334"/>
      <c r="AU459" s="334"/>
      <c r="AV459" s="334"/>
      <c r="AW459" s="335"/>
      <c r="AX459" s="335"/>
      <c r="AY459" s="335"/>
      <c r="AZ459" s="335"/>
      <c r="BA459" s="335"/>
      <c r="BB459" s="335"/>
      <c r="BC459" s="335"/>
      <c r="BD459" s="335"/>
      <c r="BE459" s="335"/>
    </row>
    <row r="460" customFormat="false" ht="14.15" hidden="true" customHeight="true" outlineLevel="1" collapsed="false">
      <c r="A460" s="508" t="s">
        <v>2051</v>
      </c>
      <c r="B460" s="508"/>
      <c r="C460" s="508"/>
      <c r="D460" s="508"/>
      <c r="E460" s="508"/>
      <c r="G460" s="355"/>
      <c r="I460" s="411" t="s">
        <v>2052</v>
      </c>
      <c r="J460" s="411"/>
      <c r="K460" s="411"/>
      <c r="L460" s="411"/>
      <c r="M460" s="411"/>
      <c r="N460" s="411"/>
      <c r="O460" s="411"/>
      <c r="P460" s="411"/>
      <c r="Q460" s="411"/>
      <c r="R460" s="411"/>
      <c r="S460" s="411"/>
      <c r="T460" s="411"/>
      <c r="U460" s="411"/>
      <c r="V460" s="411"/>
      <c r="W460" s="411"/>
      <c r="X460" s="411"/>
      <c r="Y460" s="411"/>
      <c r="Z460" s="411"/>
      <c r="AA460" s="411"/>
      <c r="AB460" s="411"/>
      <c r="AC460" s="411"/>
      <c r="AD460" s="411"/>
      <c r="AE460" s="411"/>
      <c r="AK460" s="412"/>
      <c r="AL460" s="412"/>
      <c r="AM460" s="412"/>
      <c r="AN460" s="412"/>
      <c r="AO460" s="412"/>
      <c r="AP460" s="412"/>
      <c r="AQ460" s="554"/>
      <c r="AV460" s="334"/>
      <c r="AW460" s="335"/>
      <c r="AX460" s="335"/>
      <c r="AY460" s="335"/>
      <c r="AZ460" s="335"/>
      <c r="BA460" s="335"/>
      <c r="BB460" s="335"/>
      <c r="BC460" s="335"/>
      <c r="BD460" s="335"/>
      <c r="BE460" s="335"/>
    </row>
    <row r="461" customFormat="false" ht="14.15" hidden="true" customHeight="true" outlineLevel="1" collapsed="false">
      <c r="A461" s="497"/>
      <c r="B461" s="497"/>
      <c r="C461" s="506"/>
      <c r="D461" s="506"/>
      <c r="E461" s="506"/>
      <c r="F461" s="497"/>
      <c r="G461" s="497"/>
      <c r="H461" s="358"/>
      <c r="I461" s="411"/>
      <c r="J461" s="411"/>
      <c r="K461" s="411"/>
      <c r="L461" s="411"/>
      <c r="M461" s="411"/>
      <c r="N461" s="411"/>
      <c r="O461" s="411"/>
      <c r="P461" s="411"/>
      <c r="Q461" s="411"/>
      <c r="R461" s="411"/>
      <c r="S461" s="411"/>
      <c r="T461" s="411"/>
      <c r="U461" s="411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K461" s="412"/>
      <c r="AL461" s="412"/>
      <c r="AM461" s="412"/>
      <c r="AN461" s="412"/>
      <c r="AO461" s="412"/>
      <c r="AP461" s="412"/>
      <c r="AQ461" s="554"/>
      <c r="AV461" s="334"/>
      <c r="AW461" s="335"/>
      <c r="AX461" s="335"/>
      <c r="AY461" s="335"/>
      <c r="AZ461" s="335"/>
      <c r="BA461" s="335"/>
      <c r="BB461" s="335"/>
      <c r="BC461" s="335"/>
      <c r="BD461" s="335"/>
      <c r="BE461" s="335"/>
    </row>
    <row r="462" s="355" customFormat="true" ht="14.15" hidden="true" customHeight="true" outlineLevel="1" collapsed="false">
      <c r="A462" s="508" t="s">
        <v>2053</v>
      </c>
      <c r="B462" s="508"/>
      <c r="C462" s="508"/>
      <c r="D462" s="555" t="s">
        <v>1821</v>
      </c>
      <c r="E462" s="497"/>
      <c r="F462" s="497"/>
      <c r="G462" s="497"/>
      <c r="H462" s="358"/>
      <c r="I462" s="496"/>
      <c r="J462" s="492"/>
      <c r="K462" s="358"/>
      <c r="L462" s="347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496"/>
      <c r="AE462" s="496"/>
      <c r="AK462" s="412"/>
      <c r="AL462" s="412"/>
      <c r="AM462" s="412"/>
      <c r="AN462" s="412"/>
      <c r="AO462" s="412"/>
      <c r="AP462" s="412"/>
      <c r="AQ462" s="554"/>
      <c r="AR462" s="360"/>
      <c r="AS462" s="360"/>
      <c r="AT462" s="360"/>
      <c r="AU462" s="360"/>
      <c r="AV462" s="334"/>
      <c r="AW462" s="334"/>
      <c r="AX462" s="334"/>
      <c r="AY462" s="334"/>
      <c r="AZ462" s="334"/>
      <c r="BA462" s="334"/>
      <c r="BB462" s="334"/>
      <c r="BC462" s="334"/>
      <c r="BD462" s="334"/>
      <c r="BE462" s="334"/>
      <c r="BF462" s="360"/>
    </row>
    <row r="463" s="355" customFormat="true" ht="14.15" hidden="true" customHeight="true" outlineLevel="1" collapsed="false">
      <c r="A463" s="497"/>
      <c r="B463" s="497"/>
      <c r="C463" s="497"/>
      <c r="D463" s="497"/>
      <c r="E463" s="497"/>
      <c r="F463" s="358"/>
      <c r="G463" s="371"/>
      <c r="H463" s="347"/>
      <c r="I463" s="444" t="s">
        <v>2054</v>
      </c>
      <c r="J463" s="324"/>
      <c r="K463" s="324"/>
      <c r="L463" s="324"/>
      <c r="M463" s="324"/>
      <c r="N463" s="324"/>
      <c r="O463" s="324"/>
      <c r="P463" s="324"/>
      <c r="Q463" s="324"/>
      <c r="R463" s="324"/>
      <c r="S463" s="324"/>
      <c r="T463" s="324"/>
      <c r="U463" s="324"/>
      <c r="V463" s="358"/>
      <c r="W463" s="358"/>
      <c r="X463" s="358"/>
      <c r="Y463" s="358"/>
      <c r="Z463" s="358"/>
      <c r="AA463" s="358"/>
      <c r="AB463" s="358"/>
      <c r="AC463" s="358"/>
      <c r="AD463" s="496"/>
      <c r="AE463" s="496"/>
      <c r="AK463" s="412"/>
      <c r="AL463" s="412"/>
      <c r="AM463" s="412"/>
      <c r="AN463" s="412"/>
      <c r="AO463" s="412"/>
      <c r="AP463" s="412"/>
      <c r="AQ463" s="554"/>
      <c r="AR463" s="360"/>
      <c r="AS463" s="360"/>
      <c r="AT463" s="360"/>
      <c r="AU463" s="360"/>
      <c r="AV463" s="334"/>
      <c r="AW463" s="334"/>
      <c r="AX463" s="334"/>
      <c r="AY463" s="334"/>
      <c r="AZ463" s="334"/>
      <c r="BA463" s="334"/>
      <c r="BB463" s="334"/>
      <c r="BC463" s="334"/>
      <c r="BD463" s="334"/>
      <c r="BE463" s="334"/>
      <c r="BF463" s="360"/>
    </row>
    <row r="464" customFormat="false" ht="14.15" hidden="true" customHeight="true" outlineLevel="1" collapsed="false">
      <c r="A464" s="513" t="s">
        <v>2055</v>
      </c>
      <c r="B464" s="425" t="s">
        <v>120</v>
      </c>
      <c r="C464" s="513" t="s">
        <v>2056</v>
      </c>
      <c r="D464" s="358"/>
      <c r="E464" s="358"/>
      <c r="V464" s="358"/>
      <c r="W464" s="358"/>
      <c r="X464" s="358"/>
      <c r="Y464" s="358"/>
      <c r="Z464" s="358"/>
      <c r="AA464" s="358"/>
      <c r="AB464" s="358"/>
      <c r="AC464" s="358"/>
      <c r="AD464" s="347"/>
      <c r="AE464" s="347"/>
      <c r="AF464" s="347"/>
      <c r="AG464" s="347"/>
      <c r="AH464" s="347"/>
      <c r="AI464" s="347"/>
      <c r="AJ464" s="347"/>
      <c r="AK464" s="347"/>
      <c r="AL464" s="347"/>
      <c r="AM464" s="347"/>
      <c r="AN464" s="347"/>
      <c r="AO464" s="359"/>
      <c r="AP464" s="359"/>
      <c r="AQ464" s="334"/>
      <c r="AR464" s="334"/>
      <c r="AS464" s="334"/>
      <c r="AT464" s="334"/>
      <c r="AU464" s="334"/>
      <c r="AV464" s="334"/>
      <c r="AW464" s="335"/>
      <c r="AX464" s="335"/>
      <c r="AY464" s="335"/>
      <c r="AZ464" s="335"/>
      <c r="BA464" s="335"/>
      <c r="BB464" s="335"/>
      <c r="BC464" s="335"/>
      <c r="BD464" s="335"/>
      <c r="BE464" s="335"/>
    </row>
    <row r="465" customFormat="false" ht="14.15" hidden="true" customHeight="true" outlineLevel="1" collapsed="false">
      <c r="A465" s="513" t="s">
        <v>2057</v>
      </c>
      <c r="B465" s="425" t="s">
        <v>159</v>
      </c>
      <c r="C465" s="495" t="n">
        <v>1</v>
      </c>
      <c r="D465" s="371"/>
      <c r="E465" s="358"/>
      <c r="F465" s="358"/>
      <c r="G465" s="358"/>
      <c r="H465" s="358"/>
      <c r="I465" s="461"/>
      <c r="V465" s="358"/>
      <c r="W465" s="358"/>
      <c r="X465" s="358"/>
      <c r="Y465" s="358"/>
      <c r="Z465" s="358"/>
      <c r="AA465" s="358"/>
      <c r="AB465" s="358"/>
      <c r="AC465" s="358"/>
      <c r="AD465" s="347"/>
      <c r="AE465" s="347"/>
      <c r="AF465" s="347"/>
      <c r="AG465" s="347"/>
      <c r="AH465" s="347"/>
      <c r="AI465" s="347"/>
      <c r="AJ465" s="347"/>
      <c r="AK465" s="347"/>
      <c r="AL465" s="347"/>
      <c r="AM465" s="358"/>
      <c r="AN465" s="347"/>
      <c r="AO465" s="359"/>
      <c r="AP465" s="359"/>
      <c r="AQ465" s="334"/>
      <c r="AR465" s="334"/>
      <c r="AS465" s="334"/>
      <c r="AT465" s="334"/>
      <c r="AU465" s="334"/>
      <c r="AV465" s="334"/>
      <c r="AW465" s="335"/>
      <c r="AX465" s="335"/>
      <c r="AY465" s="335"/>
      <c r="AZ465" s="335"/>
      <c r="BA465" s="335"/>
      <c r="BB465" s="335"/>
      <c r="BC465" s="335"/>
      <c r="BD465" s="335"/>
      <c r="BE465" s="335"/>
    </row>
    <row r="466" customFormat="false" ht="14.15" hidden="true" customHeight="true" outlineLevel="1" collapsed="false">
      <c r="A466" s="474" t="s">
        <v>2058</v>
      </c>
      <c r="B466" s="425" t="s">
        <v>156</v>
      </c>
      <c r="C466" s="495" t="n">
        <v>3</v>
      </c>
      <c r="D466" s="358"/>
      <c r="E466" s="358"/>
      <c r="F466" s="358"/>
      <c r="G466" s="358"/>
      <c r="H466" s="358"/>
      <c r="I466" s="461"/>
      <c r="V466" s="358"/>
      <c r="W466" s="358"/>
      <c r="X466" s="358"/>
      <c r="Y466" s="358"/>
      <c r="Z466" s="358"/>
      <c r="AA466" s="358"/>
      <c r="AB466" s="358"/>
      <c r="AC466" s="358"/>
      <c r="AM466" s="358"/>
      <c r="AN466" s="358"/>
      <c r="AO466" s="359"/>
      <c r="AP466" s="359"/>
      <c r="AQ466" s="334"/>
      <c r="AR466" s="334"/>
      <c r="AS466" s="334"/>
      <c r="AT466" s="334"/>
      <c r="AU466" s="334"/>
      <c r="AV466" s="334"/>
      <c r="AW466" s="335"/>
      <c r="AX466" s="335"/>
      <c r="AY466" s="335"/>
      <c r="AZ466" s="335"/>
      <c r="BA466" s="335"/>
      <c r="BB466" s="335"/>
      <c r="BC466" s="335"/>
      <c r="BD466" s="335"/>
      <c r="BE466" s="335"/>
    </row>
    <row r="467" customFormat="false" ht="14.15" hidden="true" customHeight="true" outlineLevel="1" collapsed="false">
      <c r="A467" s="474" t="s">
        <v>2059</v>
      </c>
      <c r="B467" s="425" t="s">
        <v>156</v>
      </c>
      <c r="C467" s="495" t="n">
        <v>1</v>
      </c>
      <c r="D467" s="358"/>
      <c r="E467" s="358"/>
      <c r="F467" s="556" t="s">
        <v>1894</v>
      </c>
      <c r="G467" s="358"/>
      <c r="H467" s="358"/>
      <c r="I467" s="461"/>
      <c r="J467" s="492"/>
      <c r="U467" s="324" t="s">
        <v>2060</v>
      </c>
      <c r="V467" s="358"/>
      <c r="W467" s="358"/>
      <c r="X467" s="358"/>
      <c r="Y467" s="358"/>
      <c r="Z467" s="358"/>
      <c r="AA467" s="358"/>
      <c r="AB467" s="358"/>
      <c r="AC467" s="358"/>
      <c r="AM467" s="358"/>
      <c r="AN467" s="358"/>
      <c r="AO467" s="359"/>
      <c r="AP467" s="359"/>
      <c r="AQ467" s="334"/>
      <c r="AR467" s="334"/>
      <c r="AS467" s="334"/>
      <c r="AT467" s="334"/>
      <c r="AU467" s="334"/>
      <c r="AV467" s="334"/>
      <c r="AW467" s="335"/>
      <c r="AX467" s="335"/>
      <c r="AY467" s="335"/>
      <c r="AZ467" s="335"/>
      <c r="BA467" s="335"/>
      <c r="BB467" s="335"/>
      <c r="BC467" s="335" t="n">
        <v>1</v>
      </c>
      <c r="BD467" s="374" t="e">
        <f aca="false">#REF!</f>
        <v>#REF!</v>
      </c>
      <c r="BE467" s="335"/>
    </row>
    <row r="468" customFormat="false" ht="14.15" hidden="true" customHeight="true" outlineLevel="1" collapsed="false">
      <c r="A468" s="474" t="s">
        <v>2061</v>
      </c>
      <c r="B468" s="425" t="s">
        <v>156</v>
      </c>
      <c r="C468" s="495" t="n">
        <v>0.9</v>
      </c>
      <c r="D468" s="358"/>
      <c r="E468" s="358"/>
      <c r="F468" s="556"/>
      <c r="G468" s="358"/>
      <c r="H468" s="358"/>
      <c r="I468" s="461"/>
      <c r="J468" s="492"/>
      <c r="U468" s="324" t="s">
        <v>2062</v>
      </c>
      <c r="V468" s="358"/>
      <c r="W468" s="358"/>
      <c r="X468" s="358"/>
      <c r="Y468" s="358"/>
      <c r="Z468" s="358"/>
      <c r="AA468" s="358"/>
      <c r="AB468" s="358"/>
      <c r="AC468" s="358"/>
      <c r="AM468" s="358"/>
      <c r="AN468" s="358"/>
      <c r="AO468" s="359"/>
      <c r="AP468" s="359"/>
      <c r="AQ468" s="334"/>
      <c r="AR468" s="334"/>
      <c r="AS468" s="334"/>
      <c r="AT468" s="334"/>
      <c r="AU468" s="334"/>
      <c r="AV468" s="334"/>
      <c r="AW468" s="335"/>
      <c r="AX468" s="335"/>
      <c r="AY468" s="335"/>
      <c r="AZ468" s="335"/>
      <c r="BA468" s="335"/>
      <c r="BB468" s="335"/>
      <c r="BC468" s="335" t="n">
        <v>2</v>
      </c>
      <c r="BD468" s="374" t="e">
        <f aca="false">#REF!</f>
        <v>#REF!</v>
      </c>
      <c r="BE468" s="335"/>
    </row>
    <row r="469" customFormat="false" ht="14.15" hidden="true" customHeight="true" outlineLevel="1" collapsed="false">
      <c r="A469" s="347"/>
      <c r="B469" s="450"/>
      <c r="C469" s="347"/>
      <c r="D469" s="347"/>
      <c r="E469" s="347"/>
      <c r="F469" s="556"/>
      <c r="G469" s="358"/>
      <c r="H469" s="358"/>
      <c r="I469" s="461"/>
      <c r="J469" s="492"/>
      <c r="V469" s="358"/>
      <c r="W469" s="358"/>
      <c r="X469" s="358"/>
      <c r="Y469" s="358"/>
      <c r="Z469" s="358"/>
      <c r="AA469" s="358"/>
      <c r="AB469" s="358"/>
      <c r="AC469" s="358"/>
      <c r="AM469" s="358"/>
      <c r="AN469" s="358"/>
      <c r="AO469" s="359"/>
      <c r="AP469" s="359"/>
      <c r="AQ469" s="334"/>
      <c r="AR469" s="334"/>
      <c r="AS469" s="334"/>
      <c r="AT469" s="334"/>
      <c r="AU469" s="334"/>
      <c r="AV469" s="334"/>
      <c r="AW469" s="335"/>
      <c r="AX469" s="335"/>
      <c r="AY469" s="335"/>
      <c r="AZ469" s="335"/>
      <c r="BA469" s="335"/>
      <c r="BB469" s="335"/>
      <c r="BC469" s="335" t="n">
        <v>3</v>
      </c>
      <c r="BD469" s="374" t="e">
        <f aca="false">#REF!</f>
        <v>#REF!</v>
      </c>
      <c r="BE469" s="335"/>
    </row>
    <row r="470" customFormat="false" ht="14.15" hidden="true" customHeight="true" outlineLevel="1" collapsed="false">
      <c r="A470" s="358" t="s">
        <v>2063</v>
      </c>
      <c r="B470" s="371"/>
      <c r="C470" s="358"/>
      <c r="D470" s="358"/>
      <c r="E470" s="358"/>
      <c r="F470" s="358"/>
      <c r="G470" s="358"/>
      <c r="H470" s="358"/>
      <c r="I470" s="461"/>
      <c r="J470" s="492"/>
      <c r="K470" s="358"/>
      <c r="L470" s="496"/>
      <c r="M470" s="358"/>
      <c r="N470" s="358"/>
      <c r="O470" s="358"/>
      <c r="P470" s="358"/>
      <c r="Q470" s="358"/>
      <c r="R470" s="358"/>
      <c r="S470" s="358"/>
      <c r="T470" s="358"/>
      <c r="U470" s="358" t="s">
        <v>2064</v>
      </c>
      <c r="V470" s="358"/>
      <c r="W470" s="358"/>
      <c r="X470" s="358"/>
      <c r="Y470" s="358"/>
      <c r="Z470" s="358"/>
      <c r="AA470" s="358"/>
      <c r="AB470" s="358"/>
      <c r="AC470" s="358"/>
      <c r="AM470" s="358"/>
      <c r="AN470" s="358"/>
      <c r="AO470" s="359"/>
      <c r="AP470" s="359"/>
      <c r="AQ470" s="334"/>
      <c r="AR470" s="334"/>
      <c r="AS470" s="334"/>
      <c r="AT470" s="334"/>
      <c r="AU470" s="334"/>
      <c r="AV470" s="334"/>
      <c r="AW470" s="335"/>
      <c r="AX470" s="335"/>
      <c r="AY470" s="335"/>
      <c r="AZ470" s="335"/>
      <c r="BA470" s="335"/>
      <c r="BB470" s="335"/>
      <c r="BC470" s="335"/>
      <c r="BD470" s="335"/>
      <c r="BE470" s="335"/>
    </row>
    <row r="471" customFormat="false" ht="14.15" hidden="true" customHeight="true" outlineLevel="1" collapsed="false">
      <c r="A471" s="470" t="s">
        <v>2065</v>
      </c>
      <c r="B471" s="371"/>
      <c r="C471" s="358"/>
      <c r="D471" s="358"/>
      <c r="E471" s="358"/>
      <c r="F471" s="358"/>
      <c r="G471" s="358"/>
      <c r="H471" s="358"/>
      <c r="I471" s="461"/>
      <c r="J471" s="492"/>
      <c r="K471" s="358"/>
      <c r="L471" s="496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M471" s="358"/>
      <c r="AN471" s="358"/>
      <c r="AO471" s="359"/>
      <c r="AP471" s="359"/>
      <c r="AQ471" s="334"/>
      <c r="AR471" s="334"/>
      <c r="AS471" s="334"/>
      <c r="AT471" s="334"/>
      <c r="AU471" s="334"/>
      <c r="AV471" s="334"/>
      <c r="AW471" s="335"/>
      <c r="AX471" s="335"/>
      <c r="AY471" s="335"/>
      <c r="AZ471" s="335"/>
      <c r="BA471" s="335"/>
      <c r="BB471" s="335"/>
      <c r="BC471" s="335"/>
      <c r="BD471" s="335"/>
      <c r="BE471" s="335"/>
    </row>
    <row r="472" customFormat="false" ht="14.15" hidden="true" customHeight="true" outlineLevel="1" collapsed="false">
      <c r="A472" s="324" t="s">
        <v>2066</v>
      </c>
      <c r="B472" s="371"/>
      <c r="C472" s="358"/>
      <c r="D472" s="358"/>
      <c r="E472" s="358"/>
      <c r="F472" s="358"/>
      <c r="G472" s="358"/>
      <c r="H472" s="358"/>
      <c r="I472" s="461"/>
      <c r="J472" s="492"/>
      <c r="K472" s="358"/>
      <c r="L472" s="496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M472" s="358"/>
      <c r="AN472" s="358"/>
      <c r="AO472" s="359"/>
      <c r="AP472" s="359"/>
      <c r="AQ472" s="334"/>
      <c r="AR472" s="334"/>
      <c r="AS472" s="334"/>
      <c r="AT472" s="334"/>
      <c r="AU472" s="334"/>
      <c r="AV472" s="334"/>
      <c r="AW472" s="335"/>
      <c r="AX472" s="335"/>
      <c r="AY472" s="335"/>
      <c r="AZ472" s="335"/>
      <c r="BA472" s="335"/>
      <c r="BB472" s="335"/>
      <c r="BC472" s="335"/>
      <c r="BD472" s="335"/>
      <c r="BE472" s="335"/>
    </row>
    <row r="473" customFormat="false" ht="14.15" hidden="true" customHeight="true" outlineLevel="1" collapsed="false">
      <c r="A473" s="470" t="s">
        <v>404</v>
      </c>
      <c r="B473" s="371"/>
      <c r="C473" s="358"/>
      <c r="D473" s="358"/>
      <c r="E473" s="358"/>
      <c r="F473" s="358"/>
      <c r="G473" s="358"/>
      <c r="H473" s="358"/>
      <c r="I473" s="461"/>
      <c r="J473" s="492"/>
      <c r="K473" s="358"/>
      <c r="L473" s="496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M473" s="358"/>
      <c r="AN473" s="358"/>
      <c r="AO473" s="359"/>
      <c r="AP473" s="359"/>
      <c r="AQ473" s="334"/>
      <c r="AR473" s="334"/>
      <c r="AS473" s="334"/>
      <c r="AT473" s="334"/>
      <c r="AU473" s="334"/>
      <c r="AV473" s="334"/>
      <c r="AW473" s="335"/>
      <c r="AX473" s="335"/>
      <c r="AY473" s="335"/>
      <c r="AZ473" s="335"/>
      <c r="BA473" s="335"/>
      <c r="BB473" s="335"/>
      <c r="BC473" s="335"/>
      <c r="BD473" s="335"/>
      <c r="BE473" s="335"/>
    </row>
    <row r="474" customFormat="false" ht="14.15" hidden="true" customHeight="true" outlineLevel="1" collapsed="false">
      <c r="A474" s="324" t="s">
        <v>2067</v>
      </c>
      <c r="B474" s="371"/>
      <c r="C474" s="358"/>
      <c r="D474" s="358"/>
      <c r="E474" s="358"/>
      <c r="F474" s="358"/>
      <c r="G474" s="358"/>
      <c r="H474" s="358"/>
      <c r="I474" s="358"/>
      <c r="J474" s="358"/>
      <c r="K474" s="358"/>
      <c r="L474" s="496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M474" s="358"/>
      <c r="AN474" s="358"/>
      <c r="AO474" s="359"/>
      <c r="AP474" s="359"/>
      <c r="AQ474" s="334"/>
      <c r="AR474" s="334"/>
      <c r="AS474" s="334"/>
      <c r="AT474" s="334"/>
      <c r="AU474" s="334"/>
      <c r="AV474" s="334"/>
      <c r="AW474" s="335"/>
      <c r="AX474" s="335"/>
      <c r="AY474" s="335"/>
      <c r="AZ474" s="335"/>
      <c r="BA474" s="335"/>
      <c r="BB474" s="335"/>
      <c r="BC474" s="335"/>
      <c r="BD474" s="335"/>
      <c r="BE474" s="335"/>
    </row>
    <row r="475" customFormat="false" ht="14.15" hidden="true" customHeight="true" outlineLevel="1" collapsed="false">
      <c r="A475" s="470" t="s">
        <v>2068</v>
      </c>
      <c r="D475" s="358"/>
      <c r="E475" s="358"/>
      <c r="F475" s="358"/>
      <c r="G475" s="358"/>
      <c r="H475" s="358"/>
      <c r="I475" s="358"/>
      <c r="J475" s="358"/>
      <c r="K475" s="358"/>
      <c r="L475" s="496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M475" s="358"/>
      <c r="AN475" s="358"/>
      <c r="AO475" s="359"/>
      <c r="AP475" s="359"/>
      <c r="AQ475" s="334"/>
      <c r="AR475" s="334"/>
      <c r="AS475" s="334"/>
      <c r="AT475" s="334"/>
      <c r="AU475" s="334"/>
      <c r="AV475" s="334"/>
      <c r="AW475" s="335"/>
      <c r="AX475" s="335"/>
      <c r="AY475" s="335"/>
      <c r="AZ475" s="335"/>
      <c r="BA475" s="335"/>
      <c r="BB475" s="335"/>
      <c r="BC475" s="335"/>
      <c r="BD475" s="335"/>
      <c r="BE475" s="335"/>
    </row>
    <row r="476" customFormat="false" ht="14.15" hidden="true" customHeight="true" outlineLevel="1" collapsed="false">
      <c r="F476" s="358"/>
      <c r="G476" s="358"/>
      <c r="H476" s="358"/>
      <c r="I476" s="358"/>
      <c r="J476" s="358"/>
      <c r="K476" s="358"/>
      <c r="L476" s="496"/>
      <c r="M476" s="358"/>
      <c r="N476" s="358"/>
      <c r="O476" s="358"/>
      <c r="P476" s="358"/>
      <c r="Q476" s="358"/>
      <c r="R476" s="358"/>
      <c r="S476" s="358"/>
      <c r="T476" s="358"/>
      <c r="U476" s="358"/>
      <c r="V476" s="347"/>
      <c r="W476" s="347"/>
      <c r="X476" s="347"/>
      <c r="Y476" s="347"/>
      <c r="Z476" s="347"/>
      <c r="AA476" s="347"/>
      <c r="AB476" s="347"/>
      <c r="AC476" s="358"/>
      <c r="AM476" s="358"/>
      <c r="AN476" s="358"/>
      <c r="AO476" s="359"/>
      <c r="AP476" s="359"/>
      <c r="AQ476" s="334"/>
      <c r="AR476" s="334"/>
      <c r="AS476" s="334"/>
      <c r="AT476" s="334"/>
      <c r="AU476" s="334"/>
      <c r="AV476" s="334"/>
      <c r="AW476" s="335"/>
      <c r="AX476" s="335"/>
      <c r="AY476" s="335"/>
      <c r="AZ476" s="335"/>
      <c r="BA476" s="335"/>
      <c r="BB476" s="335"/>
      <c r="BC476" s="335"/>
      <c r="BD476" s="335"/>
      <c r="BE476" s="335"/>
    </row>
    <row r="477" customFormat="false" ht="14.15" hidden="true" customHeight="true" outlineLevel="1" collapsed="false">
      <c r="F477" s="358"/>
      <c r="G477" s="358"/>
      <c r="H477" s="358"/>
      <c r="I477" s="461"/>
      <c r="J477" s="492"/>
      <c r="K477" s="371" t="s">
        <v>2069</v>
      </c>
      <c r="L477" s="371"/>
      <c r="M477" s="371"/>
      <c r="N477" s="371"/>
      <c r="O477" s="371"/>
      <c r="P477" s="358"/>
      <c r="Q477" s="358"/>
      <c r="R477" s="358"/>
      <c r="S477" s="358"/>
      <c r="T477" s="358"/>
      <c r="U477" s="358"/>
      <c r="V477" s="347"/>
      <c r="W477" s="347"/>
      <c r="X477" s="347"/>
      <c r="Y477" s="347"/>
      <c r="Z477" s="347"/>
      <c r="AA477" s="347"/>
      <c r="AB477" s="347"/>
      <c r="AC477" s="358"/>
      <c r="AM477" s="358"/>
      <c r="AN477" s="358"/>
      <c r="AO477" s="359"/>
      <c r="AP477" s="359"/>
      <c r="AQ477" s="334"/>
      <c r="AR477" s="334"/>
      <c r="AS477" s="334"/>
      <c r="AT477" s="334"/>
      <c r="AU477" s="334"/>
      <c r="AV477" s="334"/>
      <c r="AW477" s="335"/>
      <c r="AX477" s="335"/>
      <c r="AY477" s="335"/>
      <c r="AZ477" s="335"/>
      <c r="BA477" s="335"/>
      <c r="BB477" s="335"/>
      <c r="BC477" s="335"/>
      <c r="BD477" s="335"/>
      <c r="BE477" s="335"/>
    </row>
    <row r="478" customFormat="false" ht="14.15" hidden="true" customHeight="true" outlineLevel="1" collapsed="false">
      <c r="G478" s="452" t="s">
        <v>2070</v>
      </c>
      <c r="H478" s="452"/>
      <c r="I478" s="461"/>
      <c r="J478" s="492"/>
      <c r="K478" s="371"/>
      <c r="L478" s="371"/>
      <c r="M478" s="371"/>
      <c r="N478" s="371"/>
      <c r="O478" s="371"/>
      <c r="P478" s="347"/>
      <c r="Q478" s="347"/>
      <c r="R478" s="347"/>
      <c r="S478" s="347"/>
      <c r="T478" s="347"/>
      <c r="U478" s="347"/>
      <c r="V478" s="347"/>
      <c r="W478" s="347"/>
      <c r="X478" s="347"/>
      <c r="Y478" s="347"/>
      <c r="Z478" s="347"/>
      <c r="AA478" s="347"/>
      <c r="AB478" s="347"/>
      <c r="AC478" s="358"/>
      <c r="AM478" s="358"/>
      <c r="AN478" s="358"/>
      <c r="AO478" s="359"/>
      <c r="AP478" s="359"/>
      <c r="AQ478" s="334"/>
      <c r="AR478" s="334"/>
      <c r="AS478" s="334"/>
      <c r="AT478" s="334"/>
      <c r="AU478" s="334"/>
      <c r="AV478" s="334"/>
      <c r="AW478" s="335"/>
      <c r="AX478" s="335"/>
      <c r="AY478" s="335"/>
      <c r="AZ478" s="335"/>
      <c r="BA478" s="335"/>
      <c r="BB478" s="335"/>
      <c r="BC478" s="335"/>
      <c r="BD478" s="335"/>
      <c r="BE478" s="335"/>
    </row>
    <row r="479" customFormat="false" ht="14.15" hidden="true" customHeight="true" outlineLevel="1" collapsed="false">
      <c r="G479" s="358"/>
      <c r="H479" s="347"/>
      <c r="I479" s="461"/>
      <c r="J479" s="492"/>
      <c r="K479" s="371"/>
      <c r="L479" s="371"/>
      <c r="M479" s="371"/>
      <c r="N479" s="371"/>
      <c r="O479" s="371"/>
      <c r="P479" s="347"/>
      <c r="Q479" s="347"/>
      <c r="R479" s="347"/>
      <c r="S479" s="347"/>
      <c r="T479" s="347"/>
      <c r="U479" s="347"/>
      <c r="V479" s="347"/>
      <c r="W479" s="347"/>
      <c r="X479" s="347"/>
      <c r="Y479" s="347"/>
      <c r="Z479" s="347"/>
      <c r="AA479" s="347"/>
      <c r="AB479" s="347"/>
      <c r="AC479" s="358"/>
      <c r="AM479" s="358"/>
      <c r="AN479" s="358"/>
      <c r="AO479" s="359"/>
      <c r="AP479" s="359"/>
      <c r="AQ479" s="334"/>
      <c r="AR479" s="334"/>
      <c r="AS479" s="334"/>
      <c r="AT479" s="334"/>
      <c r="AU479" s="334"/>
      <c r="AV479" s="334"/>
      <c r="AW479" s="335"/>
      <c r="AX479" s="335"/>
      <c r="AY479" s="335"/>
      <c r="AZ479" s="335"/>
      <c r="BA479" s="335"/>
      <c r="BB479" s="335"/>
      <c r="BC479" s="335"/>
      <c r="BD479" s="335"/>
      <c r="BE479" s="335"/>
    </row>
    <row r="480" customFormat="false" ht="14.15" hidden="true" customHeight="true" outlineLevel="1" collapsed="false">
      <c r="G480" s="358"/>
      <c r="H480" s="347"/>
      <c r="I480" s="461"/>
      <c r="J480" s="492"/>
      <c r="K480" s="347" t="s">
        <v>2071</v>
      </c>
      <c r="L480" s="347"/>
      <c r="M480" s="347"/>
      <c r="N480" s="347"/>
      <c r="O480" s="347"/>
      <c r="P480" s="347"/>
      <c r="Q480" s="347"/>
      <c r="R480" s="347"/>
      <c r="S480" s="347"/>
      <c r="T480" s="347"/>
      <c r="U480" s="347"/>
      <c r="V480" s="347"/>
      <c r="W480" s="347"/>
      <c r="X480" s="347"/>
      <c r="Y480" s="347"/>
      <c r="Z480" s="347"/>
      <c r="AA480" s="347"/>
      <c r="AB480" s="347"/>
      <c r="AC480" s="358"/>
      <c r="AM480" s="358"/>
      <c r="AN480" s="358"/>
      <c r="AO480" s="359"/>
      <c r="AP480" s="359"/>
      <c r="AQ480" s="334"/>
      <c r="AR480" s="334"/>
      <c r="AS480" s="334"/>
      <c r="AT480" s="334"/>
      <c r="AU480" s="334"/>
      <c r="AV480" s="334"/>
      <c r="AW480" s="335"/>
      <c r="AX480" s="335"/>
      <c r="AY480" s="335"/>
      <c r="AZ480" s="335"/>
      <c r="BA480" s="335"/>
      <c r="BB480" s="335"/>
      <c r="BC480" s="335"/>
      <c r="BD480" s="335"/>
      <c r="BE480" s="335"/>
    </row>
    <row r="481" customFormat="false" ht="12.75" hidden="true" customHeight="true" outlineLevel="1" collapsed="false">
      <c r="A481" s="508" t="s">
        <v>2072</v>
      </c>
      <c r="B481" s="508"/>
      <c r="C481" s="508"/>
      <c r="D481" s="555" t="s">
        <v>1798</v>
      </c>
      <c r="E481" s="358"/>
      <c r="AM481" s="358"/>
      <c r="AN481" s="358"/>
      <c r="AO481" s="359"/>
      <c r="AP481" s="359"/>
      <c r="AQ481" s="334"/>
      <c r="AR481" s="334"/>
      <c r="AS481" s="334"/>
      <c r="AT481" s="334"/>
      <c r="AU481" s="334"/>
      <c r="AV481" s="334"/>
      <c r="AW481" s="335"/>
      <c r="AX481" s="335"/>
      <c r="AY481" s="335"/>
      <c r="AZ481" s="335"/>
      <c r="BA481" s="335"/>
      <c r="BB481" s="335"/>
      <c r="BC481" s="335"/>
      <c r="BD481" s="335"/>
      <c r="BE481" s="335"/>
    </row>
    <row r="482" customFormat="false" ht="14.15" hidden="true" customHeight="true" outlineLevel="1" collapsed="false">
      <c r="D482" s="355"/>
      <c r="E482" s="358"/>
      <c r="AM482" s="358"/>
      <c r="AN482" s="358"/>
      <c r="AO482" s="359"/>
      <c r="AP482" s="359"/>
      <c r="AQ482" s="334"/>
      <c r="AR482" s="334"/>
      <c r="AS482" s="334"/>
      <c r="AT482" s="334"/>
      <c r="AU482" s="334"/>
      <c r="AV482" s="334"/>
      <c r="AW482" s="335"/>
      <c r="AX482" s="335"/>
      <c r="AY482" s="335"/>
      <c r="AZ482" s="335"/>
      <c r="BA482" s="335"/>
      <c r="BB482" s="335"/>
      <c r="BC482" s="335"/>
      <c r="BD482" s="335"/>
      <c r="BE482" s="335"/>
    </row>
    <row r="483" customFormat="false" ht="14.15" hidden="true" customHeight="true" outlineLevel="1" collapsed="false">
      <c r="A483" s="513" t="s">
        <v>2055</v>
      </c>
      <c r="B483" s="425" t="s">
        <v>120</v>
      </c>
      <c r="C483" s="513" t="s">
        <v>2056</v>
      </c>
      <c r="D483" s="355"/>
      <c r="E483" s="358"/>
      <c r="AM483" s="358"/>
      <c r="AN483" s="358"/>
      <c r="AO483" s="359"/>
      <c r="AP483" s="359"/>
      <c r="AQ483" s="334"/>
      <c r="AR483" s="334"/>
      <c r="AS483" s="334"/>
      <c r="AT483" s="334"/>
      <c r="AU483" s="334"/>
      <c r="AV483" s="334"/>
      <c r="AW483" s="335"/>
      <c r="AX483" s="335"/>
      <c r="AY483" s="335"/>
      <c r="AZ483" s="335"/>
      <c r="BA483" s="335"/>
      <c r="BB483" s="335"/>
      <c r="BC483" s="335"/>
      <c r="BD483" s="335"/>
      <c r="BE483" s="335"/>
    </row>
    <row r="484" customFormat="false" ht="14.15" hidden="true" customHeight="true" outlineLevel="1" collapsed="false">
      <c r="A484" s="513" t="s">
        <v>2057</v>
      </c>
      <c r="B484" s="425" t="s">
        <v>159</v>
      </c>
      <c r="C484" s="495" t="n">
        <v>1</v>
      </c>
      <c r="D484" s="355"/>
      <c r="E484" s="358"/>
      <c r="I484" s="444" t="s">
        <v>2054</v>
      </c>
      <c r="AN484" s="358"/>
      <c r="AO484" s="359"/>
      <c r="AP484" s="359"/>
      <c r="AQ484" s="334"/>
      <c r="AR484" s="334"/>
      <c r="AS484" s="334"/>
      <c r="AT484" s="334"/>
      <c r="AU484" s="334"/>
      <c r="AV484" s="334"/>
      <c r="AW484" s="335"/>
      <c r="AX484" s="335"/>
      <c r="AY484" s="335"/>
      <c r="AZ484" s="335"/>
      <c r="BA484" s="335"/>
      <c r="BB484" s="335"/>
      <c r="BC484" s="335"/>
      <c r="BD484" s="335"/>
      <c r="BE484" s="335"/>
    </row>
    <row r="485" customFormat="false" ht="14.15" hidden="true" customHeight="true" outlineLevel="1" collapsed="false">
      <c r="A485" s="474" t="s">
        <v>2058</v>
      </c>
      <c r="B485" s="425" t="s">
        <v>156</v>
      </c>
      <c r="C485" s="495" t="n">
        <v>2</v>
      </c>
      <c r="D485" s="355"/>
      <c r="E485" s="358"/>
      <c r="AN485" s="358"/>
      <c r="AO485" s="359"/>
      <c r="AP485" s="359"/>
      <c r="AQ485" s="334"/>
      <c r="AR485" s="334"/>
      <c r="AS485" s="334"/>
      <c r="AT485" s="334"/>
      <c r="AU485" s="334"/>
      <c r="AV485" s="334"/>
      <c r="AW485" s="335"/>
      <c r="AX485" s="335"/>
      <c r="AY485" s="335"/>
      <c r="AZ485" s="335"/>
      <c r="BA485" s="335"/>
      <c r="BB485" s="335"/>
      <c r="BC485" s="335"/>
      <c r="BD485" s="335"/>
      <c r="BE485" s="335"/>
    </row>
    <row r="486" s="355" customFormat="true" ht="14.15" hidden="true" customHeight="true" outlineLevel="1" collapsed="false">
      <c r="A486" s="474" t="s">
        <v>2059</v>
      </c>
      <c r="B486" s="425" t="s">
        <v>156</v>
      </c>
      <c r="C486" s="495" t="n">
        <v>1.6</v>
      </c>
      <c r="D486" s="358"/>
      <c r="E486" s="358"/>
      <c r="F486" s="358"/>
      <c r="G486" s="358"/>
      <c r="H486" s="358"/>
      <c r="I486" s="461"/>
      <c r="J486" s="324"/>
      <c r="K486" s="324"/>
      <c r="L486" s="324"/>
      <c r="M486" s="324"/>
      <c r="N486" s="324"/>
      <c r="O486" s="324"/>
      <c r="P486" s="324"/>
      <c r="Q486" s="324"/>
      <c r="R486" s="324"/>
      <c r="S486" s="324"/>
      <c r="T486" s="324"/>
      <c r="U486" s="324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  <c r="AF486" s="358"/>
      <c r="AG486" s="358"/>
      <c r="AH486" s="358"/>
      <c r="AI486" s="358"/>
      <c r="AJ486" s="358"/>
      <c r="AK486" s="358"/>
      <c r="AL486" s="358"/>
      <c r="AM486" s="358"/>
      <c r="AN486" s="358"/>
      <c r="AO486" s="359"/>
      <c r="AP486" s="359"/>
      <c r="AQ486" s="334"/>
      <c r="AR486" s="334"/>
      <c r="AS486" s="557"/>
      <c r="AT486" s="557"/>
      <c r="AU486" s="334"/>
      <c r="AV486" s="334"/>
      <c r="AW486" s="334"/>
      <c r="AX486" s="334"/>
      <c r="AY486" s="334"/>
      <c r="AZ486" s="334"/>
      <c r="BA486" s="334"/>
      <c r="BB486" s="334"/>
      <c r="BC486" s="334"/>
      <c r="BD486" s="334"/>
      <c r="BE486" s="334"/>
      <c r="BF486" s="360"/>
    </row>
    <row r="487" s="355" customFormat="true" ht="14.15" hidden="true" customHeight="true" outlineLevel="1" collapsed="false">
      <c r="A487" s="474" t="s">
        <v>2073</v>
      </c>
      <c r="B487" s="425" t="s">
        <v>156</v>
      </c>
      <c r="C487" s="495" t="n">
        <v>0.9</v>
      </c>
      <c r="D487" s="358"/>
      <c r="E487" s="358"/>
      <c r="F487" s="358"/>
      <c r="G487" s="358"/>
      <c r="H487" s="358"/>
      <c r="I487" s="461"/>
      <c r="J487" s="324"/>
      <c r="K487" s="324"/>
      <c r="L487" s="324"/>
      <c r="M487" s="324"/>
      <c r="N487" s="324"/>
      <c r="O487" s="324"/>
      <c r="P487" s="324"/>
      <c r="Q487" s="324"/>
      <c r="R487" s="324"/>
      <c r="S487" s="324"/>
      <c r="T487" s="324"/>
      <c r="U487" s="324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  <c r="AF487" s="358"/>
      <c r="AG487" s="358"/>
      <c r="AH487" s="358"/>
      <c r="AI487" s="358"/>
      <c r="AJ487" s="358"/>
      <c r="AK487" s="358"/>
      <c r="AL487" s="358"/>
      <c r="AM487" s="358"/>
      <c r="AN487" s="358"/>
      <c r="AO487" s="359"/>
      <c r="AP487" s="359"/>
      <c r="AQ487" s="334"/>
      <c r="AR487" s="334"/>
      <c r="AS487" s="557"/>
      <c r="AT487" s="557"/>
      <c r="AU487" s="334"/>
      <c r="AV487" s="334"/>
      <c r="AW487" s="334"/>
      <c r="AX487" s="334"/>
      <c r="AY487" s="334"/>
      <c r="AZ487" s="334"/>
      <c r="BA487" s="334"/>
      <c r="BB487" s="334"/>
      <c r="BC487" s="334"/>
      <c r="BD487" s="334"/>
      <c r="BE487" s="334"/>
      <c r="BF487" s="360"/>
    </row>
    <row r="488" s="355" customFormat="true" ht="14.15" hidden="true" customHeight="true" outlineLevel="1" collapsed="false">
      <c r="A488" s="479"/>
      <c r="B488" s="477"/>
      <c r="C488" s="479"/>
      <c r="D488" s="358"/>
      <c r="E488" s="358"/>
      <c r="F488" s="556" t="s">
        <v>1912</v>
      </c>
      <c r="G488" s="358"/>
      <c r="H488" s="358"/>
      <c r="I488" s="461"/>
      <c r="J488" s="492"/>
      <c r="K488" s="324"/>
      <c r="L488" s="324"/>
      <c r="M488" s="324"/>
      <c r="N488" s="324"/>
      <c r="O488" s="324"/>
      <c r="P488" s="324"/>
      <c r="Q488" s="324"/>
      <c r="R488" s="324"/>
      <c r="S488" s="324"/>
      <c r="T488" s="324"/>
      <c r="U488" s="324" t="s">
        <v>2060</v>
      </c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  <c r="AF488" s="358"/>
      <c r="AG488" s="358"/>
      <c r="AH488" s="358"/>
      <c r="AI488" s="358"/>
      <c r="AJ488" s="358"/>
      <c r="AK488" s="358"/>
      <c r="AL488" s="358"/>
      <c r="AM488" s="358"/>
      <c r="AN488" s="358"/>
      <c r="AO488" s="359"/>
      <c r="AP488" s="359"/>
      <c r="AQ488" s="334"/>
      <c r="AR488" s="334"/>
      <c r="AS488" s="557"/>
      <c r="AT488" s="557"/>
      <c r="AU488" s="334"/>
      <c r="AV488" s="334"/>
      <c r="AW488" s="334"/>
      <c r="AX488" s="334"/>
      <c r="AY488" s="334"/>
      <c r="AZ488" s="334"/>
      <c r="BA488" s="334"/>
      <c r="BB488" s="334"/>
      <c r="BC488" s="334"/>
      <c r="BD488" s="334"/>
      <c r="BE488" s="334"/>
      <c r="BF488" s="360"/>
    </row>
    <row r="489" s="355" customFormat="true" ht="14.15" hidden="true" customHeight="true" outlineLevel="1" collapsed="false">
      <c r="A489" s="556" t="s">
        <v>2074</v>
      </c>
      <c r="B489" s="556"/>
      <c r="D489" s="358"/>
      <c r="E489" s="358"/>
      <c r="F489" s="556"/>
      <c r="G489" s="358"/>
      <c r="H489" s="358"/>
      <c r="I489" s="461"/>
      <c r="J489" s="492"/>
      <c r="K489" s="324"/>
      <c r="L489" s="324"/>
      <c r="M489" s="324"/>
      <c r="N489" s="324"/>
      <c r="O489" s="324"/>
      <c r="P489" s="324"/>
      <c r="Q489" s="324"/>
      <c r="R489" s="324"/>
      <c r="S489" s="324"/>
      <c r="T489" s="324"/>
      <c r="U489" s="324" t="s">
        <v>2062</v>
      </c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  <c r="AF489" s="358"/>
      <c r="AG489" s="358"/>
      <c r="AH489" s="358"/>
      <c r="AI489" s="358"/>
      <c r="AJ489" s="358"/>
      <c r="AK489" s="358"/>
      <c r="AL489" s="358"/>
      <c r="AM489" s="358"/>
      <c r="AN489" s="358"/>
      <c r="AO489" s="359"/>
      <c r="AP489" s="359"/>
      <c r="AQ489" s="334"/>
      <c r="AR489" s="334"/>
      <c r="AS489" s="557"/>
      <c r="AT489" s="557"/>
      <c r="AU489" s="334"/>
      <c r="AV489" s="334"/>
      <c r="AW489" s="334"/>
      <c r="AX489" s="334"/>
      <c r="AY489" s="334"/>
      <c r="AZ489" s="334"/>
      <c r="BA489" s="334"/>
      <c r="BB489" s="334"/>
      <c r="BC489" s="334"/>
      <c r="BD489" s="334"/>
      <c r="BE489" s="334"/>
      <c r="BF489" s="360"/>
    </row>
    <row r="490" s="355" customFormat="true" ht="16.5" hidden="true" customHeight="true" outlineLevel="1" collapsed="false">
      <c r="A490" s="556"/>
      <c r="B490" s="556"/>
      <c r="D490" s="358"/>
      <c r="E490" s="358"/>
      <c r="F490" s="556"/>
      <c r="G490" s="358"/>
      <c r="H490" s="358"/>
      <c r="I490" s="461"/>
      <c r="J490" s="492"/>
      <c r="K490" s="324"/>
      <c r="L490" s="324"/>
      <c r="M490" s="324"/>
      <c r="N490" s="324"/>
      <c r="O490" s="324"/>
      <c r="P490" s="324"/>
      <c r="Q490" s="324"/>
      <c r="R490" s="324"/>
      <c r="S490" s="324"/>
      <c r="T490" s="324"/>
      <c r="U490" s="324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  <c r="AF490" s="358"/>
      <c r="AG490" s="358"/>
      <c r="AH490" s="358"/>
      <c r="AI490" s="358"/>
      <c r="AJ490" s="358"/>
      <c r="AK490" s="358"/>
      <c r="AL490" s="358"/>
      <c r="AM490" s="358"/>
      <c r="AN490" s="358"/>
      <c r="AO490" s="359"/>
      <c r="AP490" s="359"/>
      <c r="AQ490" s="334"/>
      <c r="AR490" s="334"/>
      <c r="AS490" s="557"/>
      <c r="AT490" s="557"/>
      <c r="AU490" s="334"/>
      <c r="AV490" s="334"/>
      <c r="AW490" s="334"/>
      <c r="AX490" s="334"/>
      <c r="AY490" s="334"/>
      <c r="AZ490" s="334"/>
      <c r="BA490" s="334"/>
      <c r="BB490" s="334"/>
      <c r="BC490" s="334"/>
      <c r="BD490" s="334"/>
      <c r="BE490" s="334"/>
      <c r="BF490" s="360"/>
    </row>
    <row r="491" s="355" customFormat="true" ht="14.15" hidden="true" customHeight="true" outlineLevel="1" collapsed="false">
      <c r="A491" s="513" t="s">
        <v>2075</v>
      </c>
      <c r="B491" s="558" t="s">
        <v>1821</v>
      </c>
      <c r="D491" s="358"/>
      <c r="E491" s="358"/>
      <c r="F491" s="358"/>
      <c r="G491" s="358"/>
      <c r="H491" s="358"/>
      <c r="I491" s="461"/>
      <c r="J491" s="492"/>
      <c r="K491" s="358"/>
      <c r="L491" s="496"/>
      <c r="M491" s="358"/>
      <c r="N491" s="358"/>
      <c r="O491" s="358"/>
      <c r="P491" s="358"/>
      <c r="Q491" s="358"/>
      <c r="R491" s="358"/>
      <c r="S491" s="358"/>
      <c r="T491" s="358"/>
      <c r="U491" s="358" t="s">
        <v>2064</v>
      </c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  <c r="AF491" s="358"/>
      <c r="AG491" s="358"/>
      <c r="AH491" s="358"/>
      <c r="AI491" s="358"/>
      <c r="AJ491" s="358"/>
      <c r="AK491" s="358"/>
      <c r="AL491" s="358"/>
      <c r="AM491" s="358"/>
      <c r="AN491" s="358"/>
      <c r="AO491" s="359"/>
      <c r="AP491" s="359"/>
      <c r="AQ491" s="334"/>
      <c r="AR491" s="334"/>
      <c r="AS491" s="557"/>
      <c r="AT491" s="557"/>
      <c r="AU491" s="334"/>
      <c r="AV491" s="334"/>
      <c r="AW491" s="334"/>
      <c r="AX491" s="334"/>
      <c r="AY491" s="334"/>
      <c r="AZ491" s="334"/>
      <c r="BA491" s="334"/>
      <c r="BB491" s="334"/>
      <c r="BC491" s="334"/>
      <c r="BD491" s="334"/>
      <c r="BE491" s="334"/>
      <c r="BF491" s="360"/>
    </row>
    <row r="492" s="355" customFormat="true" ht="14.15" hidden="true" customHeight="true" outlineLevel="1" collapsed="false">
      <c r="A492" s="513" t="s">
        <v>2076</v>
      </c>
      <c r="B492" s="558" t="s">
        <v>1798</v>
      </c>
      <c r="D492" s="358"/>
      <c r="E492" s="358"/>
      <c r="F492" s="358"/>
      <c r="G492" s="358"/>
      <c r="H492" s="358"/>
      <c r="I492" s="461"/>
      <c r="J492" s="492"/>
      <c r="K492" s="358"/>
      <c r="L492" s="496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  <c r="AF492" s="358"/>
      <c r="AG492" s="358"/>
      <c r="AH492" s="358"/>
      <c r="AI492" s="358"/>
      <c r="AJ492" s="358"/>
      <c r="AK492" s="358"/>
      <c r="AL492" s="358"/>
      <c r="AM492" s="358"/>
      <c r="AN492" s="358"/>
      <c r="AO492" s="359"/>
      <c r="AP492" s="359"/>
      <c r="AQ492" s="334"/>
      <c r="AR492" s="334"/>
      <c r="AS492" s="557"/>
      <c r="AT492" s="557"/>
      <c r="AU492" s="334"/>
      <c r="AV492" s="334"/>
      <c r="AW492" s="334"/>
      <c r="AX492" s="334"/>
      <c r="AY492" s="334"/>
      <c r="AZ492" s="334"/>
      <c r="BA492" s="334"/>
      <c r="BB492" s="334"/>
      <c r="BC492" s="334"/>
      <c r="BD492" s="334"/>
      <c r="BE492" s="334"/>
      <c r="BF492" s="360"/>
    </row>
    <row r="493" s="355" customFormat="true" ht="14.15" hidden="true" customHeight="true" outlineLevel="1" collapsed="false">
      <c r="D493" s="358"/>
      <c r="E493" s="358"/>
      <c r="F493" s="358"/>
      <c r="G493" s="358"/>
      <c r="H493" s="358"/>
      <c r="I493" s="461"/>
      <c r="J493" s="492"/>
      <c r="K493" s="358"/>
      <c r="L493" s="496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  <c r="AF493" s="358"/>
      <c r="AG493" s="358"/>
      <c r="AH493" s="358"/>
      <c r="AI493" s="358"/>
      <c r="AJ493" s="358"/>
      <c r="AK493" s="358"/>
      <c r="AL493" s="358"/>
      <c r="AM493" s="358"/>
      <c r="AN493" s="358"/>
      <c r="AO493" s="359"/>
      <c r="AP493" s="359"/>
      <c r="AQ493" s="334"/>
      <c r="AR493" s="334"/>
      <c r="AS493" s="557"/>
      <c r="AT493" s="557"/>
      <c r="AU493" s="334"/>
      <c r="AV493" s="334"/>
      <c r="AW493" s="334"/>
      <c r="AX493" s="334"/>
      <c r="AY493" s="334"/>
      <c r="AZ493" s="334"/>
      <c r="BA493" s="334"/>
      <c r="BB493" s="334"/>
      <c r="BC493" s="334"/>
      <c r="BD493" s="334"/>
      <c r="BE493" s="334"/>
      <c r="BF493" s="360"/>
    </row>
    <row r="494" s="355" customFormat="true" ht="14.15" hidden="true" customHeight="true" outlineLevel="1" collapsed="false">
      <c r="A494" s="479" t="s">
        <v>2077</v>
      </c>
      <c r="B494" s="477"/>
      <c r="C494" s="479"/>
      <c r="D494" s="358"/>
      <c r="E494" s="358"/>
      <c r="F494" s="358"/>
      <c r="G494" s="358"/>
      <c r="H494" s="358"/>
      <c r="I494" s="461"/>
      <c r="J494" s="492"/>
      <c r="K494" s="358"/>
      <c r="L494" s="496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  <c r="AF494" s="358"/>
      <c r="AG494" s="358"/>
      <c r="AH494" s="358"/>
      <c r="AI494" s="358"/>
      <c r="AJ494" s="358"/>
      <c r="AK494" s="358"/>
      <c r="AL494" s="358"/>
      <c r="AM494" s="358"/>
      <c r="AN494" s="358"/>
      <c r="AO494" s="359"/>
      <c r="AP494" s="359"/>
      <c r="AQ494" s="334"/>
      <c r="AR494" s="334"/>
      <c r="AS494" s="557"/>
      <c r="AT494" s="557"/>
      <c r="AU494" s="334"/>
      <c r="AV494" s="334"/>
      <c r="AW494" s="334"/>
      <c r="AX494" s="334"/>
      <c r="AY494" s="334"/>
      <c r="AZ494" s="334"/>
      <c r="BA494" s="334"/>
      <c r="BB494" s="334"/>
      <c r="BC494" s="334"/>
      <c r="BD494" s="334"/>
      <c r="BE494" s="334"/>
      <c r="BF494" s="360"/>
    </row>
    <row r="495" s="355" customFormat="true" ht="14.15" hidden="true" customHeight="true" outlineLevel="1" collapsed="false">
      <c r="A495" s="470" t="s">
        <v>1263</v>
      </c>
      <c r="B495" s="477"/>
      <c r="C495" s="479"/>
      <c r="D495" s="358"/>
      <c r="E495" s="358"/>
      <c r="F495" s="358"/>
      <c r="G495" s="358"/>
      <c r="H495" s="371" t="s">
        <v>2069</v>
      </c>
      <c r="I495" s="371"/>
      <c r="J495" s="371"/>
      <c r="K495" s="371"/>
      <c r="L495" s="496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  <c r="AF495" s="358"/>
      <c r="AG495" s="358"/>
      <c r="AH495" s="358"/>
      <c r="AI495" s="358"/>
      <c r="AJ495" s="358"/>
      <c r="AK495" s="358"/>
      <c r="AL495" s="358"/>
      <c r="AM495" s="358"/>
      <c r="AN495" s="358"/>
      <c r="AO495" s="359"/>
      <c r="AP495" s="359"/>
      <c r="AQ495" s="334"/>
      <c r="AR495" s="334"/>
      <c r="AS495" s="557"/>
      <c r="AT495" s="557"/>
      <c r="AU495" s="334"/>
      <c r="AV495" s="334"/>
      <c r="AW495" s="334"/>
      <c r="AX495" s="334"/>
      <c r="AY495" s="334"/>
      <c r="AZ495" s="334"/>
      <c r="BA495" s="334"/>
      <c r="BB495" s="334"/>
      <c r="BC495" s="334"/>
      <c r="BD495" s="334"/>
      <c r="BE495" s="334"/>
      <c r="BF495" s="360"/>
    </row>
    <row r="496" s="355" customFormat="true" ht="14.15" hidden="true" customHeight="true" outlineLevel="1" collapsed="false">
      <c r="A496" s="479" t="s">
        <v>2078</v>
      </c>
      <c r="B496" s="477"/>
      <c r="C496" s="479"/>
      <c r="D496" s="358"/>
      <c r="E496" s="358"/>
      <c r="F496" s="371" t="s">
        <v>2070</v>
      </c>
      <c r="G496" s="371"/>
      <c r="H496" s="371"/>
      <c r="I496" s="371"/>
      <c r="J496" s="371"/>
      <c r="K496" s="371"/>
      <c r="L496" s="496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  <c r="AF496" s="358"/>
      <c r="AG496" s="358"/>
      <c r="AH496" s="358"/>
      <c r="AI496" s="358"/>
      <c r="AJ496" s="358"/>
      <c r="AK496" s="358"/>
      <c r="AL496" s="358"/>
      <c r="AM496" s="358"/>
      <c r="AN496" s="358"/>
      <c r="AO496" s="359"/>
      <c r="AP496" s="359"/>
      <c r="AQ496" s="334"/>
      <c r="AR496" s="334"/>
      <c r="AS496" s="557"/>
      <c r="AT496" s="557"/>
      <c r="AU496" s="334"/>
      <c r="AV496" s="334"/>
      <c r="AW496" s="334"/>
      <c r="AX496" s="334"/>
      <c r="AY496" s="334"/>
      <c r="AZ496" s="334"/>
      <c r="BA496" s="334"/>
      <c r="BB496" s="334"/>
      <c r="BC496" s="334"/>
      <c r="BD496" s="334"/>
      <c r="BE496" s="334"/>
      <c r="BF496" s="360"/>
    </row>
    <row r="497" s="355" customFormat="true" ht="14.15" hidden="true" customHeight="true" outlineLevel="1" collapsed="false">
      <c r="A497" s="480" t="s">
        <v>983</v>
      </c>
      <c r="B497" s="477"/>
      <c r="C497" s="479"/>
      <c r="D497" s="358"/>
      <c r="E497" s="358"/>
      <c r="F497" s="358"/>
      <c r="G497" s="358"/>
      <c r="H497" s="371"/>
      <c r="I497" s="371"/>
      <c r="J497" s="371"/>
      <c r="K497" s="371"/>
      <c r="L497" s="496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  <c r="AF497" s="358"/>
      <c r="AG497" s="358"/>
      <c r="AH497" s="358"/>
      <c r="AI497" s="358"/>
      <c r="AJ497" s="358"/>
      <c r="AK497" s="358"/>
      <c r="AL497" s="358"/>
      <c r="AM497" s="358"/>
      <c r="AN497" s="358"/>
      <c r="AO497" s="359"/>
      <c r="AP497" s="359"/>
      <c r="AQ497" s="334"/>
      <c r="AR497" s="334"/>
      <c r="AS497" s="557"/>
      <c r="AT497" s="557"/>
      <c r="AU497" s="334"/>
      <c r="AV497" s="334"/>
      <c r="AW497" s="334"/>
      <c r="AX497" s="334"/>
      <c r="AY497" s="334"/>
      <c r="AZ497" s="334"/>
      <c r="BA497" s="334"/>
      <c r="BB497" s="334"/>
      <c r="BC497" s="334"/>
      <c r="BD497" s="334"/>
      <c r="BE497" s="334"/>
      <c r="BF497" s="360"/>
    </row>
    <row r="498" s="355" customFormat="true" ht="14.15" hidden="true" customHeight="true" outlineLevel="1" collapsed="false">
      <c r="A498" s="466" t="s">
        <v>2079</v>
      </c>
      <c r="B498" s="477"/>
      <c r="C498" s="479"/>
      <c r="D498" s="358"/>
      <c r="E498" s="358"/>
      <c r="F498" s="358"/>
      <c r="G498" s="358"/>
      <c r="H498" s="358"/>
      <c r="I498" s="461"/>
      <c r="J498" s="492"/>
      <c r="K498" s="358"/>
      <c r="L498" s="496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  <c r="AF498" s="358"/>
      <c r="AG498" s="358"/>
      <c r="AH498" s="358"/>
      <c r="AI498" s="358"/>
      <c r="AJ498" s="358"/>
      <c r="AK498" s="358"/>
      <c r="AL498" s="358"/>
      <c r="AM498" s="358"/>
      <c r="AN498" s="358"/>
      <c r="AO498" s="359"/>
      <c r="AP498" s="359"/>
      <c r="AQ498" s="334"/>
      <c r="AR498" s="334"/>
      <c r="AS498" s="557"/>
      <c r="AT498" s="557"/>
      <c r="AU498" s="334"/>
      <c r="AV498" s="334"/>
      <c r="AW498" s="334"/>
      <c r="AX498" s="334"/>
      <c r="AY498" s="334"/>
      <c r="AZ498" s="334"/>
      <c r="BA498" s="334"/>
      <c r="BB498" s="334"/>
      <c r="BC498" s="334"/>
      <c r="BD498" s="334"/>
      <c r="BE498" s="334"/>
      <c r="BF498" s="360"/>
    </row>
    <row r="499" s="355" customFormat="true" ht="14.15" hidden="true" customHeight="true" outlineLevel="1" collapsed="false">
      <c r="A499" s="470" t="s">
        <v>379</v>
      </c>
      <c r="B499" s="477"/>
      <c r="C499" s="479"/>
      <c r="D499" s="358"/>
      <c r="E499" s="358"/>
      <c r="F499" s="358"/>
      <c r="G499" s="358"/>
      <c r="H499" s="358"/>
      <c r="I499" s="461"/>
      <c r="J499" s="492"/>
      <c r="K499" s="358"/>
      <c r="L499" s="496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  <c r="AF499" s="358"/>
      <c r="AG499" s="358"/>
      <c r="AH499" s="358"/>
      <c r="AI499" s="358"/>
      <c r="AJ499" s="358"/>
      <c r="AK499" s="358"/>
      <c r="AL499" s="358"/>
      <c r="AM499" s="358"/>
      <c r="AN499" s="358"/>
      <c r="AO499" s="359"/>
      <c r="AP499" s="359"/>
      <c r="AQ499" s="334"/>
      <c r="AR499" s="334"/>
      <c r="AS499" s="557"/>
      <c r="AT499" s="557"/>
      <c r="AU499" s="334"/>
      <c r="AV499" s="334"/>
      <c r="AW499" s="334"/>
      <c r="AX499" s="334"/>
      <c r="AY499" s="334"/>
      <c r="AZ499" s="334"/>
      <c r="BA499" s="334"/>
      <c r="BB499" s="334"/>
      <c r="BC499" s="334"/>
      <c r="BD499" s="334"/>
      <c r="BE499" s="334"/>
      <c r="BF499" s="360"/>
    </row>
    <row r="500" s="355" customFormat="true" ht="14.15" hidden="true" customHeight="true" outlineLevel="1" collapsed="false">
      <c r="A500" s="324" t="s">
        <v>2080</v>
      </c>
      <c r="B500" s="477"/>
      <c r="C500" s="479"/>
      <c r="D500" s="358"/>
      <c r="E500" s="358"/>
      <c r="F500" s="358"/>
      <c r="G500" s="358"/>
      <c r="H500" s="503" t="s">
        <v>2071</v>
      </c>
      <c r="I500" s="371"/>
      <c r="J500" s="371"/>
      <c r="K500" s="371"/>
      <c r="L500" s="496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  <c r="AF500" s="358"/>
      <c r="AG500" s="358"/>
      <c r="AH500" s="358"/>
      <c r="AI500" s="358"/>
      <c r="AJ500" s="358"/>
      <c r="AK500" s="358"/>
      <c r="AL500" s="358"/>
      <c r="AM500" s="358"/>
      <c r="AN500" s="358"/>
      <c r="AO500" s="359"/>
      <c r="AP500" s="359"/>
      <c r="AQ500" s="334"/>
      <c r="AR500" s="334"/>
      <c r="AS500" s="557"/>
      <c r="AT500" s="557"/>
      <c r="AU500" s="334"/>
      <c r="AV500" s="334"/>
      <c r="AW500" s="334"/>
      <c r="AX500" s="334"/>
      <c r="AY500" s="334"/>
      <c r="AZ500" s="334"/>
      <c r="BA500" s="334"/>
      <c r="BB500" s="334"/>
      <c r="BC500" s="334"/>
      <c r="BD500" s="334"/>
      <c r="BE500" s="334"/>
      <c r="BF500" s="360"/>
    </row>
    <row r="501" s="355" customFormat="true" ht="14.15" hidden="true" customHeight="true" outlineLevel="1" collapsed="false">
      <c r="A501" s="470" t="s">
        <v>343</v>
      </c>
      <c r="B501" s="477"/>
      <c r="C501" s="479"/>
      <c r="D501" s="358"/>
      <c r="E501" s="358"/>
      <c r="F501" s="358"/>
      <c r="G501" s="358"/>
      <c r="H501" s="358"/>
      <c r="I501" s="461"/>
      <c r="J501" s="492"/>
      <c r="K501" s="358"/>
      <c r="L501" s="496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  <c r="AF501" s="358"/>
      <c r="AG501" s="358"/>
      <c r="AH501" s="358"/>
      <c r="AI501" s="358"/>
      <c r="AJ501" s="358"/>
      <c r="AK501" s="358"/>
      <c r="AL501" s="358"/>
      <c r="AM501" s="358"/>
      <c r="AN501" s="358"/>
      <c r="AO501" s="359"/>
      <c r="AP501" s="359"/>
      <c r="AQ501" s="334"/>
      <c r="AR501" s="334"/>
      <c r="AS501" s="557"/>
      <c r="AT501" s="557"/>
      <c r="AU501" s="334"/>
      <c r="AV501" s="334"/>
      <c r="AW501" s="334"/>
      <c r="AX501" s="334"/>
      <c r="AY501" s="334"/>
      <c r="AZ501" s="334"/>
      <c r="BA501" s="334"/>
      <c r="BB501" s="334"/>
      <c r="BC501" s="334"/>
      <c r="BD501" s="334"/>
      <c r="BE501" s="334"/>
      <c r="BF501" s="360"/>
    </row>
    <row r="502" s="355" customFormat="true" ht="14.15" hidden="true" customHeight="true" outlineLevel="1" collapsed="false">
      <c r="A502" s="324" t="s">
        <v>2081</v>
      </c>
      <c r="B502" s="477"/>
      <c r="C502" s="479"/>
      <c r="D502" s="358"/>
      <c r="E502" s="358"/>
      <c r="F502" s="358"/>
      <c r="G502" s="358"/>
      <c r="H502" s="358"/>
      <c r="I502" s="461"/>
      <c r="J502" s="492"/>
      <c r="K502" s="358"/>
      <c r="L502" s="496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  <c r="AF502" s="358"/>
      <c r="AG502" s="358"/>
      <c r="AH502" s="358"/>
      <c r="AI502" s="358"/>
      <c r="AJ502" s="358"/>
      <c r="AK502" s="358"/>
      <c r="AL502" s="358"/>
      <c r="AM502" s="358"/>
      <c r="AN502" s="358"/>
      <c r="AO502" s="359"/>
      <c r="AP502" s="359"/>
      <c r="AQ502" s="334"/>
      <c r="AR502" s="334"/>
      <c r="AS502" s="557"/>
      <c r="AT502" s="557"/>
      <c r="AU502" s="334"/>
      <c r="AV502" s="334"/>
      <c r="AW502" s="334"/>
      <c r="AX502" s="334"/>
      <c r="AY502" s="334"/>
      <c r="AZ502" s="334"/>
      <c r="BA502" s="334"/>
      <c r="BB502" s="334"/>
      <c r="BC502" s="334"/>
      <c r="BD502" s="334"/>
      <c r="BE502" s="334"/>
      <c r="BF502" s="360"/>
    </row>
    <row r="503" s="355" customFormat="true" ht="14.15" hidden="true" customHeight="true" outlineLevel="1" collapsed="false">
      <c r="A503" s="470" t="s">
        <v>339</v>
      </c>
      <c r="B503" s="477"/>
      <c r="C503" s="479"/>
      <c r="D503" s="358"/>
      <c r="E503" s="358"/>
      <c r="F503" s="358"/>
      <c r="G503" s="358"/>
      <c r="H503" s="358"/>
      <c r="I503" s="461"/>
      <c r="J503" s="492"/>
      <c r="K503" s="358"/>
      <c r="L503" s="496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  <c r="AF503" s="358"/>
      <c r="AG503" s="358"/>
      <c r="AH503" s="358"/>
      <c r="AI503" s="358"/>
      <c r="AJ503" s="358"/>
      <c r="AK503" s="358"/>
      <c r="AL503" s="358"/>
      <c r="AM503" s="358"/>
      <c r="AN503" s="358"/>
      <c r="AO503" s="359"/>
      <c r="AP503" s="359"/>
      <c r="AQ503" s="334"/>
      <c r="AR503" s="334"/>
      <c r="AS503" s="557"/>
      <c r="AT503" s="557"/>
      <c r="AU503" s="334"/>
      <c r="AV503" s="334"/>
      <c r="AW503" s="334"/>
      <c r="AX503" s="334"/>
      <c r="AY503" s="334"/>
      <c r="AZ503" s="334"/>
      <c r="BA503" s="334"/>
      <c r="BB503" s="334"/>
      <c r="BC503" s="334"/>
      <c r="BD503" s="334"/>
      <c r="BE503" s="334"/>
      <c r="BF503" s="360"/>
    </row>
    <row r="504" s="355" customFormat="true" ht="14.15" hidden="true" customHeight="true" outlineLevel="1" collapsed="false">
      <c r="A504" s="324" t="s">
        <v>2082</v>
      </c>
      <c r="B504" s="477"/>
      <c r="C504" s="479"/>
      <c r="D504" s="358"/>
      <c r="E504" s="358"/>
      <c r="F504" s="358"/>
      <c r="G504" s="358"/>
      <c r="H504" s="358"/>
      <c r="I504" s="461"/>
      <c r="J504" s="492"/>
      <c r="K504" s="358"/>
      <c r="L504" s="496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  <c r="AF504" s="358"/>
      <c r="AG504" s="358"/>
      <c r="AH504" s="358"/>
      <c r="AI504" s="358"/>
      <c r="AJ504" s="358"/>
      <c r="AK504" s="358"/>
      <c r="AL504" s="358"/>
      <c r="AM504" s="358"/>
      <c r="AN504" s="358"/>
      <c r="AO504" s="359"/>
      <c r="AP504" s="359"/>
      <c r="AQ504" s="334"/>
      <c r="AR504" s="334"/>
      <c r="AS504" s="557"/>
      <c r="AT504" s="557"/>
      <c r="AU504" s="334"/>
      <c r="AV504" s="334"/>
      <c r="AW504" s="334"/>
      <c r="AX504" s="334"/>
      <c r="AY504" s="334"/>
      <c r="AZ504" s="334"/>
      <c r="BA504" s="334"/>
      <c r="BB504" s="334"/>
      <c r="BC504" s="334"/>
      <c r="BD504" s="334"/>
      <c r="BE504" s="334"/>
      <c r="BF504" s="360"/>
    </row>
    <row r="505" s="355" customFormat="true" ht="14.15" hidden="true" customHeight="true" outlineLevel="1" collapsed="false">
      <c r="A505" s="480" t="s">
        <v>382</v>
      </c>
      <c r="B505" s="477"/>
      <c r="C505" s="479"/>
      <c r="D505" s="358"/>
      <c r="E505" s="358"/>
      <c r="F505" s="358"/>
      <c r="G505" s="358"/>
      <c r="H505" s="358"/>
      <c r="I505" s="461"/>
      <c r="J505" s="492"/>
      <c r="K505" s="358"/>
      <c r="L505" s="496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  <c r="AF505" s="358"/>
      <c r="AG505" s="358"/>
      <c r="AH505" s="358"/>
      <c r="AI505" s="358"/>
      <c r="AJ505" s="358"/>
      <c r="AK505" s="358"/>
      <c r="AL505" s="358"/>
      <c r="AM505" s="358"/>
      <c r="AN505" s="358"/>
      <c r="AO505" s="359"/>
      <c r="AP505" s="359"/>
      <c r="AQ505" s="334"/>
      <c r="AR505" s="334"/>
      <c r="AS505" s="557"/>
      <c r="AT505" s="557"/>
      <c r="AU505" s="334"/>
      <c r="AV505" s="334"/>
      <c r="AW505" s="334"/>
      <c r="AX505" s="334"/>
      <c r="AY505" s="334"/>
      <c r="AZ505" s="334"/>
      <c r="BA505" s="334"/>
      <c r="BB505" s="334"/>
      <c r="BC505" s="334"/>
      <c r="BD505" s="334"/>
      <c r="BE505" s="334"/>
      <c r="BF505" s="360"/>
    </row>
    <row r="506" s="355" customFormat="true" ht="14.15" hidden="true" customHeight="true" outlineLevel="1" collapsed="false">
      <c r="A506" s="479"/>
      <c r="B506" s="477"/>
      <c r="C506" s="479"/>
      <c r="D506" s="358"/>
      <c r="E506" s="358"/>
      <c r="F506" s="358"/>
      <c r="G506" s="358"/>
      <c r="H506" s="358"/>
      <c r="I506" s="461"/>
      <c r="J506" s="492"/>
      <c r="K506" s="358"/>
      <c r="L506" s="496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  <c r="AF506" s="358"/>
      <c r="AG506" s="358"/>
      <c r="AH506" s="358"/>
      <c r="AI506" s="358"/>
      <c r="AJ506" s="358"/>
      <c r="AK506" s="358"/>
      <c r="AL506" s="358"/>
      <c r="AM506" s="358"/>
      <c r="AN506" s="358"/>
      <c r="AO506" s="359"/>
      <c r="AP506" s="359"/>
      <c r="AQ506" s="334"/>
      <c r="AR506" s="334"/>
      <c r="AS506" s="557"/>
      <c r="AT506" s="557"/>
      <c r="AU506" s="334"/>
      <c r="AV506" s="334"/>
      <c r="AW506" s="334"/>
      <c r="AX506" s="334"/>
      <c r="AY506" s="334"/>
      <c r="AZ506" s="334"/>
      <c r="BA506" s="334"/>
      <c r="BB506" s="334"/>
      <c r="BC506" s="334"/>
      <c r="BD506" s="334"/>
      <c r="BE506" s="334"/>
      <c r="BF506" s="360"/>
    </row>
    <row r="507" s="355" customFormat="true" ht="14.15" hidden="true" customHeight="true" outlineLevel="1" collapsed="false">
      <c r="A507" s="324" t="s">
        <v>1922</v>
      </c>
      <c r="B507" s="477"/>
      <c r="C507" s="358"/>
      <c r="D507" s="358"/>
      <c r="E507" s="358"/>
      <c r="F507" s="358"/>
      <c r="G507" s="358"/>
      <c r="H507" s="358"/>
      <c r="I507" s="461"/>
      <c r="AF507" s="358"/>
      <c r="AG507" s="358"/>
      <c r="AH507" s="358"/>
      <c r="AI507" s="358"/>
      <c r="AJ507" s="358"/>
      <c r="AK507" s="358"/>
      <c r="AL507" s="358"/>
      <c r="AM507" s="358"/>
      <c r="AN507" s="358"/>
      <c r="AO507" s="359"/>
      <c r="AP507" s="359"/>
      <c r="AQ507" s="334"/>
      <c r="AR507" s="334"/>
      <c r="AS507" s="557"/>
      <c r="AT507" s="557"/>
      <c r="AU507" s="334"/>
      <c r="AV507" s="334"/>
      <c r="AW507" s="334"/>
      <c r="AX507" s="334"/>
      <c r="AY507" s="334"/>
      <c r="AZ507" s="334"/>
      <c r="BA507" s="334"/>
      <c r="BB507" s="334"/>
      <c r="BC507" s="334"/>
      <c r="BD507" s="334"/>
      <c r="BE507" s="334"/>
      <c r="BF507" s="360"/>
    </row>
    <row r="508" s="355" customFormat="true" ht="14.15" hidden="true" customHeight="true" outlineLevel="1" collapsed="false">
      <c r="A508" s="403" t="s">
        <v>152</v>
      </c>
      <c r="B508" s="404" t="s">
        <v>1793</v>
      </c>
      <c r="C508" s="378" t="n">
        <v>0</v>
      </c>
      <c r="D508" s="358"/>
      <c r="E508" s="358"/>
      <c r="F508" s="358"/>
      <c r="G508" s="358"/>
      <c r="H508" s="358"/>
      <c r="I508" s="461"/>
      <c r="AF508" s="358"/>
      <c r="AG508" s="358"/>
      <c r="AH508" s="358"/>
      <c r="AI508" s="358"/>
      <c r="AJ508" s="358"/>
      <c r="AK508" s="358"/>
      <c r="AL508" s="358"/>
      <c r="AM508" s="358"/>
      <c r="AN508" s="358"/>
      <c r="AO508" s="359"/>
      <c r="AP508" s="359"/>
      <c r="AQ508" s="334"/>
      <c r="AR508" s="334"/>
      <c r="AS508" s="557"/>
      <c r="AT508" s="557"/>
      <c r="AU508" s="334"/>
      <c r="AV508" s="334"/>
      <c r="AW508" s="334"/>
      <c r="AX508" s="334"/>
      <c r="AY508" s="334"/>
      <c r="AZ508" s="334"/>
      <c r="BA508" s="334"/>
      <c r="BB508" s="334"/>
      <c r="BC508" s="334"/>
      <c r="BD508" s="334"/>
      <c r="BE508" s="334"/>
      <c r="BF508" s="360"/>
    </row>
    <row r="509" s="355" customFormat="true" ht="14.15" hidden="true" customHeight="true" outlineLevel="1" collapsed="false">
      <c r="A509" s="393" t="s">
        <v>152</v>
      </c>
      <c r="B509" s="404" t="s">
        <v>1793</v>
      </c>
      <c r="C509" s="370" t="n">
        <v>0</v>
      </c>
      <c r="D509" s="358"/>
      <c r="E509" s="358"/>
      <c r="F509" s="358"/>
      <c r="G509" s="358"/>
      <c r="H509" s="358"/>
      <c r="I509" s="461"/>
      <c r="J509" s="492"/>
      <c r="K509" s="358"/>
      <c r="L509" s="496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  <c r="AF509" s="358"/>
      <c r="AG509" s="358"/>
      <c r="AH509" s="358"/>
      <c r="AI509" s="358"/>
      <c r="AJ509" s="358"/>
      <c r="AK509" s="358"/>
      <c r="AL509" s="358"/>
      <c r="AM509" s="358"/>
      <c r="AN509" s="358"/>
      <c r="AO509" s="359"/>
      <c r="AP509" s="359"/>
      <c r="AQ509" s="334"/>
      <c r="AR509" s="334"/>
      <c r="AS509" s="557"/>
      <c r="AT509" s="557"/>
      <c r="AU509" s="334"/>
      <c r="AV509" s="334"/>
      <c r="AW509" s="334"/>
      <c r="AX509" s="334"/>
      <c r="AY509" s="334"/>
      <c r="AZ509" s="334"/>
      <c r="BA509" s="334"/>
      <c r="BB509" s="334"/>
      <c r="BC509" s="334"/>
      <c r="BD509" s="334"/>
      <c r="BE509" s="334"/>
      <c r="BF509" s="360"/>
    </row>
    <row r="510" s="355" customFormat="true" ht="14.15" hidden="true" customHeight="true" outlineLevel="1" collapsed="false">
      <c r="A510" s="324"/>
      <c r="B510" s="325"/>
      <c r="C510" s="324"/>
      <c r="D510" s="358"/>
      <c r="E510" s="358"/>
      <c r="F510" s="358"/>
      <c r="G510" s="358"/>
      <c r="H510" s="358"/>
      <c r="I510" s="461"/>
      <c r="J510" s="492"/>
      <c r="K510" s="358"/>
      <c r="L510" s="496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  <c r="AF510" s="358"/>
      <c r="AG510" s="358"/>
      <c r="AH510" s="358"/>
      <c r="AI510" s="358"/>
      <c r="AJ510" s="358"/>
      <c r="AK510" s="358"/>
      <c r="AL510" s="358"/>
      <c r="AM510" s="358"/>
      <c r="AN510" s="358"/>
      <c r="AO510" s="359"/>
      <c r="AP510" s="359"/>
      <c r="AQ510" s="334"/>
      <c r="AR510" s="334"/>
      <c r="AS510" s="557"/>
      <c r="AT510" s="557"/>
      <c r="AU510" s="334"/>
      <c r="AV510" s="334"/>
      <c r="AW510" s="334"/>
      <c r="AX510" s="334"/>
      <c r="AY510" s="334"/>
      <c r="AZ510" s="334"/>
      <c r="BA510" s="334"/>
      <c r="BB510" s="334"/>
      <c r="BC510" s="334"/>
      <c r="BD510" s="334"/>
      <c r="BE510" s="334"/>
      <c r="BF510" s="360"/>
    </row>
    <row r="511" s="355" customFormat="true" ht="14.15" hidden="true" customHeight="true" outlineLevel="1" collapsed="false">
      <c r="A511" s="405" t="s">
        <v>2083</v>
      </c>
      <c r="B511" s="404" t="s">
        <v>1796</v>
      </c>
      <c r="C511" s="488" t="n">
        <v>0</v>
      </c>
      <c r="D511" s="358"/>
      <c r="E511" s="358"/>
      <c r="F511" s="358"/>
      <c r="G511" s="358"/>
      <c r="H511" s="358"/>
      <c r="I511" s="461"/>
      <c r="J511" s="492"/>
      <c r="K511" s="358"/>
      <c r="L511" s="496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  <c r="AF511" s="358"/>
      <c r="AG511" s="358"/>
      <c r="AH511" s="358"/>
      <c r="AI511" s="358"/>
      <c r="AJ511" s="358"/>
      <c r="AK511" s="358"/>
      <c r="AL511" s="358"/>
      <c r="AM511" s="358"/>
      <c r="AN511" s="358"/>
      <c r="AO511" s="359"/>
      <c r="AP511" s="359"/>
      <c r="AQ511" s="334"/>
      <c r="AR511" s="334"/>
      <c r="AS511" s="557"/>
      <c r="AT511" s="557"/>
      <c r="AU511" s="334"/>
      <c r="AV511" s="334"/>
      <c r="AW511" s="334"/>
      <c r="AX511" s="334"/>
      <c r="AY511" s="334"/>
      <c r="AZ511" s="334"/>
      <c r="BA511" s="334"/>
      <c r="BB511" s="334"/>
      <c r="BC511" s="334"/>
      <c r="BD511" s="334"/>
      <c r="BE511" s="334"/>
      <c r="BF511" s="360"/>
    </row>
    <row r="512" s="355" customFormat="true" ht="14.15" hidden="false" customHeight="true" outlineLevel="0" collapsed="false">
      <c r="A512" s="408" t="s">
        <v>2084</v>
      </c>
      <c r="B512" s="408"/>
      <c r="C512" s="408"/>
      <c r="D512" s="408"/>
      <c r="E512" s="408"/>
      <c r="F512" s="555" t="s">
        <v>1798</v>
      </c>
      <c r="G512" s="358"/>
      <c r="H512" s="358"/>
      <c r="I512" s="461"/>
      <c r="J512" s="492"/>
      <c r="K512" s="358"/>
      <c r="L512" s="496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  <c r="AF512" s="358"/>
      <c r="AG512" s="358"/>
      <c r="AH512" s="358"/>
      <c r="AI512" s="358"/>
      <c r="AJ512" s="358"/>
      <c r="AK512" s="358"/>
      <c r="AL512" s="358"/>
      <c r="AM512" s="358"/>
      <c r="AN512" s="358"/>
      <c r="AO512" s="359"/>
      <c r="AP512" s="359"/>
      <c r="AQ512" s="334"/>
      <c r="AR512" s="334"/>
      <c r="AS512" s="557"/>
      <c r="AT512" s="557"/>
      <c r="AU512" s="334"/>
      <c r="AV512" s="334"/>
      <c r="AW512" s="334"/>
      <c r="AX512" s="334"/>
      <c r="AY512" s="334"/>
      <c r="AZ512" s="334"/>
      <c r="BA512" s="334"/>
      <c r="BB512" s="334"/>
      <c r="BC512" s="334"/>
      <c r="BD512" s="334"/>
      <c r="BE512" s="334"/>
      <c r="BF512" s="360"/>
    </row>
    <row r="513" s="355" customFormat="true" ht="14.15" hidden="false" customHeight="true" outlineLevel="0" collapsed="false">
      <c r="A513" s="559"/>
      <c r="G513" s="358"/>
      <c r="H513" s="358"/>
      <c r="I513" s="461"/>
      <c r="AF513" s="358"/>
      <c r="AG513" s="358"/>
      <c r="AH513" s="358"/>
      <c r="AI513" s="358"/>
      <c r="AJ513" s="358"/>
      <c r="AK513" s="358"/>
      <c r="AL513" s="358"/>
      <c r="AM513" s="358"/>
      <c r="AN513" s="358"/>
      <c r="AO513" s="359"/>
      <c r="AP513" s="359"/>
      <c r="AQ513" s="334"/>
      <c r="AR513" s="334"/>
      <c r="AS513" s="557"/>
      <c r="AT513" s="557"/>
      <c r="AU513" s="334"/>
      <c r="AV513" s="334"/>
      <c r="AW513" s="334"/>
      <c r="AX513" s="334"/>
      <c r="AY513" s="334"/>
      <c r="AZ513" s="334"/>
      <c r="BA513" s="334"/>
      <c r="BB513" s="334"/>
      <c r="BC513" s="334"/>
      <c r="BD513" s="334"/>
      <c r="BE513" s="334"/>
      <c r="BF513" s="360"/>
    </row>
    <row r="514" s="355" customFormat="true" ht="14.15" hidden="true" customHeight="true" outlineLevel="1" collapsed="false">
      <c r="A514" s="508" t="s">
        <v>2085</v>
      </c>
      <c r="B514" s="508"/>
      <c r="C514" s="508"/>
      <c r="D514" s="508"/>
      <c r="E514" s="508"/>
      <c r="G514" s="358"/>
      <c r="H514" s="358"/>
      <c r="I514" s="461"/>
      <c r="J514" s="411" t="s">
        <v>2086</v>
      </c>
      <c r="K514" s="411"/>
      <c r="L514" s="411"/>
      <c r="M514" s="411"/>
      <c r="N514" s="411"/>
      <c r="O514" s="411"/>
      <c r="P514" s="411"/>
      <c r="Q514" s="411"/>
      <c r="R514" s="411"/>
      <c r="S514" s="411"/>
      <c r="T514" s="411"/>
      <c r="U514" s="411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358"/>
      <c r="AG514" s="358"/>
      <c r="AH514" s="358"/>
      <c r="AI514" s="358"/>
      <c r="AJ514" s="358"/>
      <c r="AK514" s="358"/>
      <c r="AL514" s="358"/>
      <c r="AM514" s="358"/>
      <c r="AN514" s="358"/>
      <c r="AO514" s="359"/>
      <c r="AP514" s="359"/>
      <c r="AQ514" s="334"/>
      <c r="AR514" s="334"/>
      <c r="AS514" s="557"/>
      <c r="AT514" s="557"/>
      <c r="AU514" s="334"/>
      <c r="AV514" s="334"/>
      <c r="AW514" s="334"/>
      <c r="AX514" s="334"/>
      <c r="AY514" s="334"/>
      <c r="AZ514" s="334"/>
      <c r="BA514" s="334"/>
      <c r="BB514" s="334"/>
      <c r="BC514" s="334"/>
      <c r="BD514" s="334"/>
      <c r="BE514" s="334"/>
      <c r="BF514" s="360"/>
    </row>
    <row r="515" s="355" customFormat="true" ht="14.15" hidden="true" customHeight="true" outlineLevel="1" collapsed="false">
      <c r="A515" s="497"/>
      <c r="B515" s="497"/>
      <c r="C515" s="497"/>
      <c r="D515" s="497"/>
      <c r="E515" s="497"/>
      <c r="F515" s="497"/>
      <c r="G515" s="358"/>
      <c r="H515" s="358"/>
      <c r="I515" s="461"/>
      <c r="J515" s="411"/>
      <c r="K515" s="411"/>
      <c r="L515" s="411"/>
      <c r="M515" s="411"/>
      <c r="N515" s="411"/>
      <c r="O515" s="411"/>
      <c r="P515" s="411"/>
      <c r="Q515" s="411"/>
      <c r="R515" s="411"/>
      <c r="S515" s="411"/>
      <c r="T515" s="411"/>
      <c r="U515" s="411"/>
      <c r="V515" s="411"/>
      <c r="W515" s="411"/>
      <c r="X515" s="411"/>
      <c r="Y515" s="411"/>
      <c r="Z515" s="411"/>
      <c r="AA515" s="411"/>
      <c r="AB515" s="411"/>
      <c r="AC515" s="411"/>
      <c r="AD515" s="411"/>
      <c r="AE515" s="411"/>
      <c r="AF515" s="358"/>
      <c r="AG515" s="358"/>
      <c r="AH515" s="358"/>
      <c r="AI515" s="358"/>
      <c r="AJ515" s="358"/>
      <c r="AK515" s="358"/>
      <c r="AL515" s="358"/>
      <c r="AM515" s="358"/>
      <c r="AN515" s="358"/>
      <c r="AO515" s="359"/>
      <c r="AP515" s="359"/>
      <c r="AQ515" s="334"/>
      <c r="AR515" s="334"/>
      <c r="AS515" s="557"/>
      <c r="AT515" s="557"/>
      <c r="AU515" s="334"/>
      <c r="AV515" s="334"/>
      <c r="AW515" s="334"/>
      <c r="AX515" s="334"/>
      <c r="AY515" s="334"/>
      <c r="AZ515" s="334"/>
      <c r="BA515" s="334"/>
      <c r="BB515" s="334"/>
      <c r="BC515" s="334"/>
      <c r="BD515" s="334"/>
      <c r="BE515" s="334"/>
      <c r="BF515" s="360"/>
    </row>
    <row r="516" customFormat="false" ht="14.15" hidden="true" customHeight="true" outlineLevel="1" collapsed="false">
      <c r="A516" s="494" t="s">
        <v>2087</v>
      </c>
      <c r="B516" s="494"/>
      <c r="C516" s="494"/>
      <c r="D516" s="494"/>
      <c r="E516" s="495" t="n">
        <v>1</v>
      </c>
      <c r="F516" s="452"/>
      <c r="H516" s="358"/>
      <c r="AK516" s="412"/>
      <c r="AL516" s="412"/>
      <c r="AM516" s="412"/>
      <c r="AN516" s="412"/>
      <c r="AO516" s="412"/>
      <c r="AP516" s="412"/>
      <c r="AQ516" s="554"/>
      <c r="AR516" s="554"/>
      <c r="AS516" s="554"/>
      <c r="AT516" s="554"/>
      <c r="AU516" s="554"/>
      <c r="AV516" s="334"/>
      <c r="AW516" s="335"/>
      <c r="AX516" s="335"/>
      <c r="AY516" s="335"/>
      <c r="AZ516" s="335"/>
      <c r="BA516" s="335"/>
      <c r="BB516" s="335"/>
      <c r="BC516" s="335"/>
      <c r="BD516" s="335"/>
      <c r="BE516" s="335"/>
    </row>
    <row r="517" s="355" customFormat="true" ht="14.15" hidden="true" customHeight="true" outlineLevel="1" collapsed="false">
      <c r="A517" s="494" t="s">
        <v>2088</v>
      </c>
      <c r="B517" s="494"/>
      <c r="C517" s="494"/>
      <c r="D517" s="494"/>
      <c r="E517" s="495" t="n">
        <v>1.1</v>
      </c>
      <c r="F517" s="452"/>
      <c r="G517" s="358"/>
      <c r="H517" s="358"/>
      <c r="AK517" s="412"/>
      <c r="AL517" s="412"/>
      <c r="AM517" s="412"/>
      <c r="AN517" s="412"/>
      <c r="AO517" s="412"/>
      <c r="AP517" s="412"/>
      <c r="AQ517" s="554"/>
      <c r="AR517" s="554"/>
      <c r="AS517" s="554"/>
      <c r="AT517" s="554"/>
      <c r="AU517" s="554"/>
      <c r="AV517" s="334"/>
      <c r="AW517" s="334"/>
      <c r="AX517" s="334"/>
      <c r="AY517" s="334"/>
      <c r="AZ517" s="334"/>
      <c r="BA517" s="334"/>
      <c r="BB517" s="334"/>
      <c r="BC517" s="334"/>
      <c r="BD517" s="334"/>
      <c r="BE517" s="334"/>
      <c r="BF517" s="360"/>
    </row>
    <row r="518" customFormat="false" ht="14.15" hidden="true" customHeight="true" outlineLevel="1" collapsed="false">
      <c r="A518" s="355"/>
      <c r="B518" s="355"/>
      <c r="C518" s="355"/>
      <c r="D518" s="355"/>
      <c r="E518" s="355"/>
      <c r="F518" s="355"/>
      <c r="H518" s="358"/>
      <c r="I518" s="412"/>
      <c r="J518" s="412"/>
      <c r="K518" s="412"/>
      <c r="L518" s="412"/>
      <c r="M518" s="412"/>
      <c r="N518" s="412"/>
      <c r="O518" s="412"/>
      <c r="P518" s="412"/>
      <c r="Q518" s="412"/>
      <c r="R518" s="412"/>
      <c r="S518" s="412"/>
      <c r="T518" s="412"/>
      <c r="U518" s="412"/>
      <c r="V518" s="412"/>
      <c r="W518" s="412"/>
      <c r="X518" s="412"/>
      <c r="Y518" s="412"/>
      <c r="Z518" s="412"/>
      <c r="AA518" s="412"/>
      <c r="AB518" s="412"/>
      <c r="AC518" s="412"/>
      <c r="AD518" s="412"/>
      <c r="AE518" s="412"/>
      <c r="AF518" s="412"/>
      <c r="AG518" s="412"/>
      <c r="AH518" s="412"/>
      <c r="AI518" s="412"/>
      <c r="AJ518" s="412"/>
      <c r="AK518" s="412"/>
      <c r="AL518" s="412"/>
      <c r="AM518" s="412"/>
      <c r="AN518" s="412"/>
      <c r="AO518" s="412"/>
      <c r="AP518" s="412"/>
      <c r="AQ518" s="554"/>
      <c r="AR518" s="554"/>
      <c r="AS518" s="554"/>
      <c r="AT518" s="554"/>
      <c r="AU518" s="554"/>
      <c r="AV518" s="334"/>
      <c r="AW518" s="335"/>
      <c r="AX518" s="335"/>
      <c r="AY518" s="335"/>
      <c r="AZ518" s="335"/>
      <c r="BA518" s="335"/>
      <c r="BB518" s="335"/>
      <c r="BC518" s="335"/>
      <c r="BD518" s="335"/>
      <c r="BE518" s="335"/>
    </row>
    <row r="519" customFormat="false" ht="14.15" hidden="true" customHeight="true" outlineLevel="1" collapsed="false">
      <c r="A519" s="402" t="s">
        <v>2089</v>
      </c>
      <c r="B519" s="402"/>
      <c r="C519" s="402"/>
      <c r="D519" s="555" t="s">
        <v>1821</v>
      </c>
      <c r="G519" s="353"/>
      <c r="H519" s="353"/>
      <c r="I519" s="353"/>
      <c r="J519" s="349"/>
      <c r="K519" s="349"/>
      <c r="L519" s="349"/>
      <c r="M519" s="387"/>
      <c r="N519" s="387"/>
      <c r="O519" s="387"/>
      <c r="P519" s="387"/>
      <c r="Q519" s="387"/>
      <c r="R519" s="387"/>
      <c r="S519" s="387"/>
      <c r="T519" s="387"/>
      <c r="U519" s="349"/>
      <c r="V519" s="349"/>
      <c r="W519" s="349"/>
      <c r="X519" s="358"/>
      <c r="Y519" s="358"/>
      <c r="Z519" s="379"/>
      <c r="AA519" s="379"/>
      <c r="AB519" s="349"/>
      <c r="AC519" s="349"/>
      <c r="AK519" s="412"/>
      <c r="AL519" s="412"/>
      <c r="AM519" s="412"/>
      <c r="AN519" s="412"/>
      <c r="AO519" s="412"/>
      <c r="AP519" s="412"/>
      <c r="AQ519" s="554"/>
      <c r="AR519" s="554"/>
      <c r="AS519" s="554"/>
      <c r="AT519" s="554"/>
      <c r="AU519" s="554"/>
      <c r="AV519" s="334"/>
      <c r="AW519" s="335"/>
      <c r="AX519" s="335"/>
      <c r="AY519" s="335"/>
      <c r="AZ519" s="335"/>
      <c r="BA519" s="335"/>
      <c r="BB519" s="335"/>
      <c r="BC519" s="335"/>
      <c r="BD519" s="335"/>
      <c r="BE519" s="335"/>
    </row>
    <row r="520" customFormat="false" ht="14.15" hidden="true" customHeight="true" outlineLevel="1" collapsed="false">
      <c r="A520" s="358"/>
      <c r="B520" s="371"/>
      <c r="C520" s="358"/>
      <c r="D520" s="358"/>
      <c r="E520" s="371"/>
      <c r="F520" s="371"/>
      <c r="G520" s="353"/>
      <c r="H520" s="348"/>
      <c r="I520" s="348"/>
      <c r="J520" s="349"/>
      <c r="K520" s="349"/>
      <c r="L520" s="349"/>
      <c r="M520" s="387"/>
      <c r="N520" s="387"/>
      <c r="O520" s="387"/>
      <c r="P520" s="387"/>
      <c r="Q520" s="387"/>
      <c r="R520" s="387"/>
      <c r="S520" s="387"/>
      <c r="T520" s="387"/>
      <c r="U520" s="349"/>
      <c r="V520" s="349"/>
      <c r="W520" s="349"/>
      <c r="X520" s="349"/>
      <c r="Y520" s="349"/>
      <c r="Z520" s="349"/>
      <c r="AA520" s="349"/>
      <c r="AB520" s="349"/>
      <c r="AC520" s="349"/>
      <c r="AD520" s="349"/>
      <c r="AE520" s="349"/>
      <c r="AF520" s="355"/>
      <c r="AG520" s="355"/>
      <c r="AK520" s="412"/>
      <c r="AL520" s="412"/>
      <c r="AM520" s="412"/>
      <c r="AN520" s="412"/>
      <c r="AO520" s="412"/>
      <c r="AP520" s="412"/>
      <c r="AQ520" s="554"/>
      <c r="AR520" s="554"/>
      <c r="AS520" s="554"/>
      <c r="AT520" s="554"/>
      <c r="AU520" s="554"/>
      <c r="AV520" s="334"/>
      <c r="AW520" s="335"/>
      <c r="AX520" s="335"/>
      <c r="AY520" s="335" t="e">
        <f aca="false">#REF!</f>
        <v>#REF!</v>
      </c>
      <c r="AZ520" s="335"/>
      <c r="BA520" s="335"/>
      <c r="BB520" s="335"/>
      <c r="BC520" s="335"/>
      <c r="BD520" s="335"/>
      <c r="BE520" s="335"/>
    </row>
    <row r="521" customFormat="false" ht="14.15" hidden="true" customHeight="true" outlineLevel="1" collapsed="false">
      <c r="A521" s="474" t="s">
        <v>2090</v>
      </c>
      <c r="B521" s="425" t="s">
        <v>156</v>
      </c>
      <c r="C521" s="474" t="n">
        <v>1</v>
      </c>
      <c r="D521" s="358"/>
      <c r="E521" s="371"/>
      <c r="F521" s="371"/>
      <c r="G521" s="353"/>
      <c r="H521" s="349"/>
      <c r="I521" s="349"/>
      <c r="J521" s="353"/>
      <c r="K521" s="349"/>
      <c r="L521" s="349"/>
      <c r="M521" s="387"/>
      <c r="N521" s="349"/>
      <c r="O521" s="349"/>
      <c r="P521" s="349"/>
      <c r="Q521" s="349"/>
      <c r="R521" s="349"/>
      <c r="S521" s="349"/>
      <c r="T521" s="349"/>
      <c r="U521" s="349"/>
      <c r="V521" s="349"/>
      <c r="W521" s="349"/>
      <c r="X521" s="349"/>
      <c r="Y521" s="349"/>
      <c r="Z521" s="349"/>
      <c r="AA521" s="349"/>
      <c r="AB521" s="353"/>
      <c r="AC521" s="353"/>
      <c r="AD521" s="350"/>
      <c r="AE521" s="350"/>
      <c r="AH521" s="412"/>
      <c r="AN521" s="412"/>
      <c r="AO521" s="412"/>
      <c r="AP521" s="412"/>
      <c r="AQ521" s="554"/>
      <c r="AR521" s="554"/>
      <c r="AS521" s="554"/>
      <c r="AT521" s="554"/>
      <c r="AU521" s="554"/>
      <c r="AV521" s="334"/>
      <c r="AW521" s="335"/>
      <c r="AX521" s="335"/>
      <c r="AY521" s="335" t="e">
        <f aca="false">#REF!</f>
        <v>#REF!</v>
      </c>
      <c r="AZ521" s="335"/>
      <c r="BA521" s="335"/>
      <c r="BB521" s="335"/>
      <c r="BC521" s="335"/>
      <c r="BD521" s="335"/>
      <c r="BE521" s="335"/>
    </row>
    <row r="522" customFormat="false" ht="14.15" hidden="true" customHeight="true" outlineLevel="1" collapsed="false">
      <c r="A522" s="534" t="s">
        <v>2091</v>
      </c>
      <c r="B522" s="425" t="s">
        <v>156</v>
      </c>
      <c r="C522" s="495" t="n">
        <v>3</v>
      </c>
      <c r="G522" s="353"/>
      <c r="H522" s="349"/>
      <c r="I522" s="349"/>
      <c r="J522" s="353"/>
      <c r="K522" s="349"/>
      <c r="L522" s="349"/>
      <c r="M522" s="387"/>
      <c r="N522" s="349"/>
      <c r="O522" s="349"/>
      <c r="P522" s="349"/>
      <c r="Q522" s="349"/>
      <c r="R522" s="349"/>
      <c r="S522" s="349"/>
      <c r="T522" s="349"/>
      <c r="U522" s="349"/>
      <c r="V522" s="349"/>
      <c r="W522" s="349"/>
      <c r="X522" s="349"/>
      <c r="Y522" s="349"/>
      <c r="Z522" s="349"/>
      <c r="AA522" s="349"/>
      <c r="AB522" s="353"/>
      <c r="AC522" s="353"/>
      <c r="AD522" s="349"/>
      <c r="AE522" s="349"/>
      <c r="AH522" s="412"/>
      <c r="AN522" s="412"/>
      <c r="AO522" s="493"/>
      <c r="AP522" s="493"/>
      <c r="AQ522" s="554"/>
      <c r="AR522" s="554"/>
      <c r="AS522" s="554"/>
      <c r="AT522" s="554"/>
      <c r="AU522" s="554"/>
      <c r="AV522" s="334"/>
      <c r="AW522" s="335"/>
      <c r="AX522" s="335"/>
      <c r="AY522" s="335" t="e">
        <f aca="false">#REF!</f>
        <v>#REF!</v>
      </c>
      <c r="AZ522" s="335"/>
      <c r="BA522" s="335"/>
      <c r="BB522" s="335"/>
      <c r="BC522" s="335"/>
      <c r="BD522" s="335"/>
      <c r="BE522" s="335"/>
    </row>
    <row r="523" customFormat="false" ht="14.15" hidden="true" customHeight="true" outlineLevel="1" collapsed="false">
      <c r="A523" s="534" t="s">
        <v>2092</v>
      </c>
      <c r="B523" s="425" t="s">
        <v>156</v>
      </c>
      <c r="C523" s="495" t="n">
        <v>3</v>
      </c>
      <c r="G523" s="353"/>
      <c r="H523" s="353"/>
      <c r="I523" s="353"/>
      <c r="J523" s="353"/>
      <c r="K523" s="349"/>
      <c r="L523" s="349"/>
      <c r="M523" s="387"/>
      <c r="N523" s="349"/>
      <c r="O523" s="349"/>
      <c r="P523" s="349"/>
      <c r="Q523" s="349"/>
      <c r="R523" s="349"/>
      <c r="S523" s="380"/>
      <c r="T523" s="349"/>
      <c r="U523" s="349"/>
      <c r="V523" s="349"/>
      <c r="W523" s="349"/>
      <c r="X523" s="349"/>
      <c r="Y523" s="349"/>
      <c r="Z523" s="349"/>
      <c r="AA523" s="349"/>
      <c r="AB523" s="353"/>
      <c r="AC523" s="353"/>
      <c r="AD523" s="349"/>
      <c r="AE523" s="349"/>
      <c r="AO523" s="324"/>
      <c r="AP523" s="324"/>
      <c r="AS523" s="335"/>
      <c r="AT523" s="335"/>
      <c r="AU523" s="334"/>
      <c r="AV523" s="334"/>
      <c r="AW523" s="335"/>
      <c r="AX523" s="335"/>
      <c r="AY523" s="335" t="e">
        <f aca="false">#REF!</f>
        <v>#REF!</v>
      </c>
      <c r="AZ523" s="335"/>
      <c r="BA523" s="335"/>
      <c r="BB523" s="335"/>
      <c r="BC523" s="335"/>
      <c r="BD523" s="335"/>
      <c r="BE523" s="335"/>
    </row>
    <row r="524" customFormat="false" ht="14.15" hidden="true" customHeight="true" outlineLevel="1" collapsed="false">
      <c r="A524" s="534" t="s">
        <v>2093</v>
      </c>
      <c r="B524" s="425" t="s">
        <v>156</v>
      </c>
      <c r="C524" s="495" t="n">
        <v>2.7</v>
      </c>
      <c r="G524" s="353"/>
      <c r="H524" s="353"/>
      <c r="I524" s="353"/>
      <c r="J524" s="353"/>
      <c r="K524" s="349"/>
      <c r="L524" s="349"/>
      <c r="M524" s="387"/>
      <c r="N524" s="349"/>
      <c r="O524" s="349"/>
      <c r="P524" s="349"/>
      <c r="Q524" s="349"/>
      <c r="R524" s="349"/>
      <c r="S524" s="349"/>
      <c r="T524" s="349"/>
      <c r="U524" s="349"/>
      <c r="V524" s="349"/>
      <c r="W524" s="349"/>
      <c r="X524" s="349"/>
      <c r="Y524" s="349"/>
      <c r="Z524" s="349"/>
      <c r="AA524" s="349"/>
      <c r="AB524" s="353"/>
      <c r="AC524" s="353"/>
      <c r="AD524" s="353"/>
      <c r="AE524" s="353"/>
      <c r="AO524" s="324"/>
      <c r="AP524" s="324"/>
      <c r="AS524" s="335"/>
      <c r="AT524" s="335"/>
      <c r="AU524" s="334"/>
      <c r="AV524" s="334"/>
      <c r="AW524" s="335"/>
      <c r="AX524" s="335"/>
      <c r="AY524" s="335" t="n">
        <f aca="false">G546</f>
        <v>4.5</v>
      </c>
      <c r="AZ524" s="335"/>
      <c r="BA524" s="335"/>
      <c r="BB524" s="335"/>
      <c r="BC524" s="335"/>
      <c r="BD524" s="335"/>
      <c r="BE524" s="335"/>
    </row>
    <row r="525" customFormat="false" ht="14.15" hidden="true" customHeight="true" outlineLevel="1" collapsed="false">
      <c r="A525" s="474" t="s">
        <v>2094</v>
      </c>
      <c r="B525" s="425" t="s">
        <v>156</v>
      </c>
      <c r="C525" s="495" t="n">
        <v>2.7</v>
      </c>
      <c r="D525" s="358"/>
      <c r="E525" s="358"/>
      <c r="F525" s="358"/>
      <c r="G525" s="353"/>
      <c r="H525" s="353"/>
      <c r="I525" s="353"/>
      <c r="J525" s="353"/>
      <c r="K525" s="349"/>
      <c r="L525" s="349"/>
      <c r="M525" s="387"/>
      <c r="N525" s="349"/>
      <c r="O525" s="349"/>
      <c r="P525" s="349"/>
      <c r="Q525" s="349"/>
      <c r="R525" s="349"/>
      <c r="S525" s="349"/>
      <c r="T525" s="349"/>
      <c r="U525" s="349"/>
      <c r="V525" s="349"/>
      <c r="W525" s="349"/>
      <c r="X525" s="349"/>
      <c r="Y525" s="349"/>
      <c r="Z525" s="349"/>
      <c r="AA525" s="349"/>
      <c r="AB525" s="353"/>
      <c r="AC525" s="353"/>
      <c r="AD525" s="353"/>
      <c r="AE525" s="469"/>
      <c r="AO525" s="324"/>
      <c r="AP525" s="324"/>
      <c r="AS525" s="335"/>
      <c r="AT525" s="335"/>
      <c r="AU525" s="334"/>
      <c r="AV525" s="334"/>
      <c r="AW525" s="335"/>
      <c r="AX525" s="335"/>
      <c r="AY525" s="335" t="n">
        <v>2.5</v>
      </c>
      <c r="AZ525" s="335"/>
      <c r="BA525" s="335"/>
      <c r="BB525" s="335"/>
      <c r="BC525" s="335" t="n">
        <f aca="false">AF549</f>
        <v>4</v>
      </c>
      <c r="BD525" s="335"/>
      <c r="BE525" s="335"/>
    </row>
    <row r="526" customFormat="false" ht="14.15" hidden="true" customHeight="true" outlineLevel="1" collapsed="false">
      <c r="A526" s="560" t="s">
        <v>2095</v>
      </c>
      <c r="B526" s="404" t="s">
        <v>156</v>
      </c>
      <c r="C526" s="474" t="n">
        <v>4.5</v>
      </c>
      <c r="G526" s="353"/>
      <c r="H526" s="353"/>
      <c r="I526" s="353"/>
      <c r="J526" s="353"/>
      <c r="K526" s="349"/>
      <c r="L526" s="349"/>
      <c r="M526" s="387"/>
      <c r="N526" s="349"/>
      <c r="O526" s="349"/>
      <c r="P526" s="349"/>
      <c r="Q526" s="349"/>
      <c r="R526" s="561" t="s">
        <v>1958</v>
      </c>
      <c r="S526" s="349"/>
      <c r="T526" s="349"/>
      <c r="U526" s="349"/>
      <c r="V526" s="349"/>
      <c r="W526" s="349"/>
      <c r="X526" s="349"/>
      <c r="Y526" s="349"/>
      <c r="Z526" s="349"/>
      <c r="AA526" s="349"/>
      <c r="AB526" s="353"/>
      <c r="AC526" s="353"/>
      <c r="AD526" s="353"/>
      <c r="AE526" s="349"/>
      <c r="AS526" s="335"/>
      <c r="AT526" s="335"/>
      <c r="AU526" s="334"/>
      <c r="AV526" s="334"/>
      <c r="AW526" s="335"/>
      <c r="AX526" s="335"/>
      <c r="AY526" s="335" t="n">
        <f aca="false">AF549</f>
        <v>4</v>
      </c>
      <c r="AZ526" s="335"/>
      <c r="BA526" s="335"/>
      <c r="BB526" s="335"/>
      <c r="BC526" s="335" t="n">
        <f aca="false">AD545</f>
        <v>4.2</v>
      </c>
      <c r="BD526" s="335"/>
      <c r="BE526" s="335"/>
    </row>
    <row r="527" customFormat="false" ht="14.15" hidden="true" customHeight="true" outlineLevel="1" collapsed="false">
      <c r="E527" s="562" t="s">
        <v>2096</v>
      </c>
      <c r="F527" s="562"/>
      <c r="G527" s="353"/>
      <c r="H527" s="353"/>
      <c r="I527" s="353"/>
      <c r="J527" s="353"/>
      <c r="K527" s="349"/>
      <c r="L527" s="349"/>
      <c r="M527" s="387"/>
      <c r="N527" s="349"/>
      <c r="O527" s="349"/>
      <c r="P527" s="349"/>
      <c r="Q527" s="349"/>
      <c r="R527" s="349"/>
      <c r="S527" s="349"/>
      <c r="T527" s="349"/>
      <c r="U527" s="349"/>
      <c r="V527" s="349"/>
      <c r="W527" s="349"/>
      <c r="X527" s="349"/>
      <c r="Y527" s="349"/>
      <c r="Z527" s="349"/>
      <c r="AA527" s="349"/>
      <c r="AB527" s="353"/>
      <c r="AC527" s="353"/>
      <c r="AD527" s="353"/>
      <c r="AE527" s="349"/>
      <c r="AS527" s="335"/>
      <c r="AT527" s="335"/>
      <c r="AU527" s="334"/>
      <c r="AV527" s="334"/>
      <c r="AW527" s="335"/>
      <c r="AX527" s="335"/>
      <c r="AY527" s="335" t="n">
        <f aca="false">AD545</f>
        <v>4.2</v>
      </c>
      <c r="AZ527" s="335"/>
      <c r="BA527" s="335"/>
      <c r="BB527" s="335"/>
      <c r="BC527" s="335" t="n">
        <f aca="false">Z541</f>
        <v>7</v>
      </c>
      <c r="BD527" s="335"/>
      <c r="BE527" s="335"/>
    </row>
    <row r="528" customFormat="false" ht="14.15" hidden="true" customHeight="true" outlineLevel="1" collapsed="false">
      <c r="A528" s="324" t="s">
        <v>2097</v>
      </c>
      <c r="E528" s="562"/>
      <c r="F528" s="562"/>
      <c r="G528" s="353"/>
      <c r="H528" s="353"/>
      <c r="I528" s="353"/>
      <c r="J528" s="353"/>
      <c r="K528" s="349"/>
      <c r="L528" s="349"/>
      <c r="M528" s="387"/>
      <c r="N528" s="349"/>
      <c r="O528" s="349"/>
      <c r="P528" s="349"/>
      <c r="Q528" s="349"/>
      <c r="R528" s="349"/>
      <c r="S528" s="349"/>
      <c r="T528" s="349"/>
      <c r="U528" s="349"/>
      <c r="V528" s="349"/>
      <c r="W528" s="349"/>
      <c r="X528" s="349"/>
      <c r="Y528" s="349"/>
      <c r="Z528" s="349"/>
      <c r="AA528" s="349"/>
      <c r="AB528" s="353"/>
      <c r="AC528" s="353"/>
      <c r="AD528" s="349"/>
      <c r="AE528" s="353"/>
      <c r="AS528" s="335"/>
      <c r="AT528" s="335"/>
      <c r="AU528" s="334"/>
      <c r="AV528" s="334"/>
      <c r="AW528" s="335"/>
      <c r="AX528" s="335"/>
      <c r="AY528" s="335" t="n">
        <f aca="false">Z541</f>
        <v>7</v>
      </c>
      <c r="AZ528" s="335"/>
      <c r="BA528" s="335"/>
      <c r="BB528" s="335"/>
      <c r="BC528" s="335" t="n">
        <f aca="false">G546</f>
        <v>4.5</v>
      </c>
      <c r="BD528" s="335"/>
      <c r="BE528" s="335"/>
    </row>
    <row r="529" customFormat="false" ht="14.15" hidden="true" customHeight="true" outlineLevel="1" collapsed="false">
      <c r="A529" s="480" t="s">
        <v>2098</v>
      </c>
      <c r="E529" s="562"/>
      <c r="F529" s="562"/>
      <c r="G529" s="353"/>
      <c r="H529" s="353"/>
      <c r="I529" s="353"/>
      <c r="J529" s="353"/>
      <c r="K529" s="349"/>
      <c r="L529" s="349"/>
      <c r="M529" s="387"/>
      <c r="N529" s="349"/>
      <c r="O529" s="349"/>
      <c r="P529" s="349"/>
      <c r="Q529" s="349"/>
      <c r="R529" s="349"/>
      <c r="S529" s="349"/>
      <c r="T529" s="349"/>
      <c r="U529" s="349"/>
      <c r="V529" s="349"/>
      <c r="W529" s="349"/>
      <c r="X529" s="349"/>
      <c r="Y529" s="349"/>
      <c r="Z529" s="349"/>
      <c r="AA529" s="349"/>
      <c r="AB529" s="353"/>
      <c r="AC529" s="353"/>
      <c r="AD529" s="353"/>
      <c r="AE529" s="353"/>
      <c r="AS529" s="335"/>
      <c r="AT529" s="335"/>
      <c r="AU529" s="334"/>
      <c r="AV529" s="334"/>
      <c r="AW529" s="335"/>
      <c r="AX529" s="335"/>
      <c r="AY529" s="335" t="n">
        <f aca="false">H542</f>
        <v>60</v>
      </c>
      <c r="AZ529" s="335"/>
      <c r="BA529" s="335"/>
      <c r="BB529" s="335"/>
      <c r="BC529" s="335" t="n">
        <f aca="false">H542</f>
        <v>60</v>
      </c>
      <c r="BD529" s="335"/>
      <c r="BE529" s="335"/>
    </row>
    <row r="530" customFormat="false" ht="14.15" hidden="true" customHeight="true" outlineLevel="1" collapsed="false">
      <c r="A530" s="540" t="s">
        <v>2099</v>
      </c>
      <c r="B530" s="363"/>
      <c r="E530" s="562"/>
      <c r="F530" s="562"/>
      <c r="G530" s="353"/>
      <c r="H530" s="353"/>
      <c r="I530" s="353"/>
      <c r="J530" s="353"/>
      <c r="K530" s="349"/>
      <c r="L530" s="349"/>
      <c r="M530" s="387"/>
      <c r="N530" s="349"/>
      <c r="O530" s="349"/>
      <c r="P530" s="349"/>
      <c r="Q530" s="349"/>
      <c r="R530" s="349"/>
      <c r="S530" s="349"/>
      <c r="T530" s="349"/>
      <c r="U530" s="349"/>
      <c r="V530" s="349"/>
      <c r="W530" s="349"/>
      <c r="X530" s="349"/>
      <c r="Y530" s="349"/>
      <c r="Z530" s="349"/>
      <c r="AA530" s="349"/>
      <c r="AB530" s="353"/>
      <c r="AC530" s="353"/>
      <c r="AD530" s="353"/>
      <c r="AE530" s="353"/>
      <c r="AS530" s="335"/>
      <c r="AT530" s="335"/>
      <c r="AU530" s="334"/>
      <c r="AV530" s="334"/>
      <c r="AW530" s="335"/>
      <c r="AX530" s="335"/>
      <c r="AY530" s="335"/>
      <c r="AZ530" s="335"/>
      <c r="BA530" s="335"/>
      <c r="BB530" s="335"/>
      <c r="BC530" s="335"/>
      <c r="BD530" s="335"/>
      <c r="BE530" s="335"/>
    </row>
    <row r="531" customFormat="false" ht="14.15" hidden="true" customHeight="true" outlineLevel="1" collapsed="false">
      <c r="A531" s="563" t="s">
        <v>864</v>
      </c>
      <c r="E531" s="562"/>
      <c r="F531" s="562"/>
      <c r="G531" s="353"/>
      <c r="H531" s="353"/>
      <c r="I531" s="353"/>
      <c r="J531" s="353"/>
      <c r="K531" s="349"/>
      <c r="L531" s="359" t="s">
        <v>2100</v>
      </c>
      <c r="M531" s="387"/>
      <c r="N531" s="349"/>
      <c r="O531" s="349"/>
      <c r="P531" s="349"/>
      <c r="Q531" s="349"/>
      <c r="R531" s="349"/>
      <c r="S531" s="349"/>
      <c r="T531" s="349"/>
      <c r="U531" s="349"/>
      <c r="V531" s="349"/>
      <c r="W531" s="349"/>
      <c r="X531" s="349"/>
      <c r="Y531" s="349"/>
      <c r="Z531" s="349"/>
      <c r="AA531" s="349"/>
      <c r="AB531" s="353"/>
      <c r="AC531" s="353"/>
      <c r="AD531" s="353"/>
      <c r="AE531" s="353"/>
      <c r="AS531" s="335"/>
      <c r="AT531" s="335"/>
      <c r="AU531" s="334"/>
      <c r="AV531" s="334"/>
      <c r="AW531" s="335"/>
      <c r="AX531" s="335"/>
      <c r="AY531" s="335"/>
      <c r="AZ531" s="335"/>
      <c r="BA531" s="335"/>
      <c r="BB531" s="335"/>
      <c r="BC531" s="335"/>
      <c r="BD531" s="335"/>
      <c r="BE531" s="335"/>
    </row>
    <row r="532" customFormat="false" ht="14.15" hidden="true" customHeight="true" outlineLevel="1" collapsed="false">
      <c r="A532" s="564" t="s">
        <v>2101</v>
      </c>
      <c r="B532" s="371"/>
      <c r="G532" s="349"/>
      <c r="H532" s="349"/>
      <c r="I532" s="349"/>
      <c r="J532" s="349"/>
      <c r="K532" s="349"/>
      <c r="L532" s="349"/>
      <c r="M532" s="349"/>
      <c r="N532" s="349"/>
      <c r="O532" s="349"/>
      <c r="P532" s="349"/>
      <c r="Q532" s="349"/>
      <c r="R532" s="349"/>
      <c r="S532" s="349"/>
      <c r="U532" s="349"/>
      <c r="V532" s="349"/>
      <c r="W532" s="349"/>
      <c r="X532" s="349"/>
      <c r="Y532" s="349"/>
      <c r="Z532" s="358"/>
      <c r="AA532" s="349"/>
      <c r="AB532" s="353"/>
      <c r="AC532" s="353"/>
      <c r="AD532" s="353"/>
      <c r="AE532" s="353"/>
      <c r="AS532" s="335"/>
      <c r="AT532" s="335"/>
      <c r="AU532" s="334"/>
      <c r="AV532" s="334"/>
      <c r="AW532" s="335"/>
      <c r="AX532" s="335"/>
      <c r="AY532" s="335"/>
      <c r="AZ532" s="335"/>
      <c r="BA532" s="335"/>
      <c r="BB532" s="335"/>
      <c r="BC532" s="335"/>
      <c r="BD532" s="335"/>
      <c r="BE532" s="335"/>
    </row>
    <row r="533" customFormat="false" ht="14.15" hidden="true" customHeight="true" outlineLevel="1" collapsed="false">
      <c r="A533" s="565" t="s">
        <v>1449</v>
      </c>
      <c r="G533" s="349"/>
      <c r="H533" s="349"/>
      <c r="I533" s="349"/>
      <c r="J533" s="353"/>
      <c r="K533" s="349"/>
      <c r="L533" s="349"/>
      <c r="O533" s="349"/>
      <c r="P533" s="349"/>
      <c r="Q533" s="349"/>
      <c r="R533" s="349"/>
      <c r="S533" s="347"/>
      <c r="T533" s="349"/>
      <c r="U533" s="349"/>
      <c r="V533" s="349"/>
      <c r="W533" s="349"/>
      <c r="X533" s="349"/>
      <c r="Y533" s="349"/>
      <c r="Z533" s="349"/>
      <c r="AA533" s="349"/>
      <c r="AB533" s="353"/>
      <c r="AC533" s="353"/>
      <c r="AD533" s="353"/>
      <c r="AE533" s="353"/>
      <c r="AS533" s="335"/>
      <c r="AT533" s="335"/>
      <c r="AU533" s="334"/>
      <c r="AV533" s="334"/>
      <c r="AW533" s="335"/>
      <c r="AX533" s="335"/>
      <c r="AY533" s="335"/>
      <c r="AZ533" s="335"/>
      <c r="BA533" s="335"/>
      <c r="BB533" s="335"/>
      <c r="BC533" s="335"/>
      <c r="BD533" s="335"/>
      <c r="BE533" s="335"/>
    </row>
    <row r="534" customFormat="false" ht="14.15" hidden="true" customHeight="true" outlineLevel="1" collapsed="false">
      <c r="A534" s="231" t="s">
        <v>1447</v>
      </c>
      <c r="B534" s="566" t="s">
        <v>1821</v>
      </c>
      <c r="G534" s="496"/>
      <c r="H534" s="496"/>
      <c r="I534" s="496"/>
      <c r="J534" s="496"/>
      <c r="K534" s="496"/>
      <c r="L534" s="496"/>
      <c r="M534" s="496"/>
      <c r="N534" s="496"/>
      <c r="O534" s="496"/>
      <c r="P534" s="496"/>
      <c r="R534" s="371"/>
      <c r="S534" s="496"/>
      <c r="T534" s="496"/>
      <c r="U534" s="496"/>
      <c r="V534" s="496"/>
      <c r="W534" s="496"/>
      <c r="X534" s="496"/>
      <c r="Y534" s="496"/>
      <c r="Z534" s="496"/>
      <c r="AA534" s="496"/>
      <c r="AB534" s="496"/>
      <c r="AC534" s="496"/>
      <c r="AD534" s="353"/>
      <c r="AE534" s="355"/>
      <c r="AS534" s="335"/>
      <c r="AT534" s="335"/>
      <c r="AU534" s="334"/>
      <c r="AV534" s="334"/>
      <c r="AW534" s="335"/>
      <c r="AX534" s="335"/>
      <c r="AY534" s="335"/>
      <c r="AZ534" s="335"/>
      <c r="BA534" s="335"/>
      <c r="BB534" s="335"/>
      <c r="BC534" s="335"/>
      <c r="BD534" s="335"/>
      <c r="BE534" s="335"/>
    </row>
    <row r="535" customFormat="false" ht="14.15" hidden="true" customHeight="true" outlineLevel="1" collapsed="false">
      <c r="A535" s="567" t="s">
        <v>2102</v>
      </c>
      <c r="B535" s="568" t="s">
        <v>1821</v>
      </c>
      <c r="AD535" s="353"/>
      <c r="AE535" s="355"/>
      <c r="AS535" s="335"/>
      <c r="AT535" s="335"/>
      <c r="AU535" s="334"/>
      <c r="AV535" s="334"/>
      <c r="AW535" s="335"/>
      <c r="AX535" s="335"/>
      <c r="AY535" s="335"/>
      <c r="AZ535" s="335"/>
      <c r="BA535" s="335"/>
      <c r="BB535" s="335"/>
      <c r="BC535" s="335"/>
      <c r="BD535" s="335"/>
      <c r="BE535" s="335"/>
    </row>
    <row r="536" customFormat="false" ht="14.15" hidden="true" customHeight="true" outlineLevel="1" collapsed="false">
      <c r="A536" s="567" t="s">
        <v>2103</v>
      </c>
      <c r="B536" s="568" t="s">
        <v>1821</v>
      </c>
      <c r="E536" s="358"/>
      <c r="F536" s="358"/>
      <c r="AD536" s="353"/>
      <c r="AE536" s="355"/>
      <c r="AS536" s="335"/>
      <c r="AT536" s="335"/>
      <c r="AU536" s="334"/>
      <c r="AV536" s="334"/>
      <c r="AW536" s="335"/>
      <c r="AX536" s="335"/>
      <c r="AY536" s="335"/>
      <c r="AZ536" s="335"/>
      <c r="BA536" s="335"/>
      <c r="BB536" s="335"/>
      <c r="BC536" s="335"/>
      <c r="BD536" s="335"/>
      <c r="BE536" s="335"/>
    </row>
    <row r="537" customFormat="false" ht="14.15" hidden="true" customHeight="true" outlineLevel="1" collapsed="false">
      <c r="A537" s="569" t="s">
        <v>917</v>
      </c>
      <c r="B537" s="570" t="s">
        <v>1821</v>
      </c>
      <c r="AD537" s="571"/>
      <c r="AE537" s="571"/>
      <c r="AF537" s="571"/>
      <c r="AG537" s="571"/>
      <c r="AS537" s="335"/>
      <c r="AT537" s="335"/>
      <c r="AU537" s="334"/>
      <c r="AV537" s="334"/>
      <c r="AW537" s="335"/>
      <c r="AX537" s="335"/>
      <c r="AY537" s="335"/>
      <c r="AZ537" s="335"/>
      <c r="BA537" s="335"/>
      <c r="BB537" s="335"/>
      <c r="BC537" s="335"/>
      <c r="BD537" s="335"/>
      <c r="BE537" s="335"/>
    </row>
    <row r="538" customFormat="false" ht="14.15" hidden="true" customHeight="true" outlineLevel="1" collapsed="false">
      <c r="G538" s="347"/>
      <c r="H538" s="358"/>
      <c r="I538" s="358"/>
      <c r="J538" s="358"/>
      <c r="K538" s="572" t="s">
        <v>2104</v>
      </c>
      <c r="L538" s="358"/>
      <c r="M538" s="358"/>
      <c r="N538" s="347" t="s">
        <v>2105</v>
      </c>
      <c r="O538" s="358"/>
      <c r="P538" s="358"/>
      <c r="R538" s="371"/>
      <c r="S538" s="358"/>
      <c r="T538" s="358"/>
      <c r="U538" s="358"/>
      <c r="V538" s="358"/>
      <c r="W538" s="358"/>
      <c r="X538" s="358"/>
      <c r="Y538" s="347" t="s">
        <v>2106</v>
      </c>
      <c r="Z538" s="358"/>
      <c r="AA538" s="358"/>
      <c r="AB538" s="358"/>
      <c r="AC538" s="358"/>
      <c r="AD538" s="359"/>
      <c r="AE538" s="359"/>
      <c r="AF538" s="359"/>
      <c r="AG538" s="359"/>
      <c r="AS538" s="335"/>
      <c r="AT538" s="335"/>
      <c r="AU538" s="334"/>
      <c r="AV538" s="334"/>
      <c r="AW538" s="335"/>
      <c r="AX538" s="335"/>
      <c r="AY538" s="335"/>
      <c r="AZ538" s="335"/>
      <c r="BA538" s="335"/>
      <c r="BB538" s="335"/>
      <c r="BC538" s="335"/>
      <c r="BD538" s="335"/>
      <c r="BE538" s="335"/>
    </row>
    <row r="539" customFormat="false" ht="14.15" hidden="true" customHeight="true" outlineLevel="1" collapsed="false">
      <c r="A539" s="466" t="s">
        <v>2107</v>
      </c>
      <c r="D539" s="479"/>
      <c r="G539" s="347"/>
      <c r="H539" s="412"/>
      <c r="I539" s="412"/>
      <c r="J539" s="412"/>
      <c r="K539" s="412"/>
      <c r="L539" s="412"/>
      <c r="M539" s="412"/>
      <c r="N539" s="412"/>
      <c r="O539" s="412"/>
      <c r="P539" s="412"/>
      <c r="Q539" s="371"/>
      <c r="R539" s="371"/>
      <c r="S539" s="412"/>
      <c r="T539" s="412"/>
      <c r="U539" s="412"/>
      <c r="V539" s="412"/>
      <c r="W539" s="412"/>
      <c r="X539" s="412"/>
      <c r="Y539" s="412"/>
      <c r="Z539" s="358"/>
      <c r="AA539" s="358"/>
      <c r="AB539" s="358"/>
      <c r="AC539" s="358"/>
      <c r="AD539" s="359"/>
      <c r="AE539" s="359"/>
      <c r="AF539" s="359"/>
      <c r="AG539" s="359"/>
      <c r="AS539" s="335"/>
      <c r="AT539" s="335"/>
      <c r="AU539" s="334"/>
      <c r="AV539" s="334"/>
      <c r="AW539" s="335"/>
      <c r="AX539" s="335"/>
      <c r="AY539" s="335"/>
      <c r="AZ539" s="335"/>
      <c r="BA539" s="335"/>
      <c r="BB539" s="335"/>
      <c r="BC539" s="335"/>
      <c r="BD539" s="335"/>
      <c r="BE539" s="335"/>
    </row>
    <row r="540" customFormat="false" ht="14.15" hidden="true" customHeight="true" outlineLevel="1" collapsed="false">
      <c r="A540" s="470" t="s">
        <v>297</v>
      </c>
      <c r="G540" s="347"/>
      <c r="I540" s="348"/>
      <c r="J540" s="412"/>
      <c r="K540" s="412"/>
      <c r="L540" s="412"/>
      <c r="M540" s="412"/>
      <c r="N540" s="412"/>
      <c r="O540" s="412"/>
      <c r="P540" s="412"/>
      <c r="Q540" s="412"/>
      <c r="R540" s="412"/>
      <c r="S540" s="412"/>
      <c r="T540" s="412"/>
      <c r="U540" s="412"/>
      <c r="V540" s="412"/>
      <c r="W540" s="412"/>
      <c r="X540" s="412"/>
      <c r="Y540" s="412"/>
      <c r="Z540" s="348" t="s">
        <v>156</v>
      </c>
      <c r="AA540" s="348"/>
      <c r="AB540" s="348"/>
      <c r="AC540" s="358"/>
      <c r="AD540" s="359"/>
      <c r="AE540" s="359"/>
      <c r="AF540" s="359"/>
      <c r="AG540" s="359"/>
      <c r="AS540" s="335"/>
      <c r="AT540" s="335"/>
      <c r="AU540" s="334"/>
      <c r="AV540" s="334"/>
      <c r="AW540" s="335"/>
      <c r="AX540" s="335"/>
      <c r="AY540" s="335"/>
      <c r="AZ540" s="335"/>
      <c r="BA540" s="335"/>
      <c r="BB540" s="335"/>
      <c r="BC540" s="335"/>
      <c r="BD540" s="335"/>
      <c r="BE540" s="335"/>
    </row>
    <row r="541" customFormat="false" ht="14.15" hidden="true" customHeight="true" outlineLevel="1" collapsed="false">
      <c r="A541" s="466" t="s">
        <v>2108</v>
      </c>
      <c r="B541" s="371"/>
      <c r="C541" s="371"/>
      <c r="D541" s="371"/>
      <c r="E541" s="358"/>
      <c r="F541" s="358"/>
      <c r="G541" s="347"/>
      <c r="H541" s="371" t="s">
        <v>1937</v>
      </c>
      <c r="I541" s="371"/>
      <c r="J541" s="412"/>
      <c r="K541" s="412"/>
      <c r="L541" s="412"/>
      <c r="M541" s="412"/>
      <c r="N541" s="412"/>
      <c r="O541" s="412"/>
      <c r="P541" s="412"/>
      <c r="Q541" s="412"/>
      <c r="R541" s="412"/>
      <c r="S541" s="412"/>
      <c r="T541" s="412"/>
      <c r="U541" s="412"/>
      <c r="V541" s="412"/>
      <c r="W541" s="412"/>
      <c r="X541" s="412"/>
      <c r="Y541" s="412"/>
      <c r="Z541" s="371" t="n">
        <v>7</v>
      </c>
      <c r="AA541" s="371"/>
      <c r="AB541" s="371"/>
      <c r="AC541" s="358"/>
      <c r="AD541" s="359"/>
      <c r="AE541" s="359"/>
      <c r="AF541" s="359"/>
      <c r="AG541" s="359"/>
      <c r="AS541" s="335"/>
      <c r="AT541" s="335"/>
      <c r="AU541" s="334"/>
      <c r="AV541" s="334"/>
      <c r="AW541" s="335"/>
      <c r="AX541" s="335"/>
      <c r="AY541" s="335"/>
      <c r="AZ541" s="335"/>
      <c r="BA541" s="335"/>
      <c r="BB541" s="335"/>
      <c r="BC541" s="335"/>
      <c r="BD541" s="335"/>
      <c r="BE541" s="335"/>
    </row>
    <row r="542" customFormat="false" ht="14.15" hidden="true" customHeight="true" outlineLevel="1" collapsed="false">
      <c r="A542" s="470" t="s">
        <v>295</v>
      </c>
      <c r="B542" s="371"/>
      <c r="C542" s="371"/>
      <c r="D542" s="371"/>
      <c r="E542" s="358"/>
      <c r="F542" s="358"/>
      <c r="G542" s="347"/>
      <c r="H542" s="371" t="n">
        <v>60</v>
      </c>
      <c r="I542" s="371"/>
      <c r="J542" s="412"/>
      <c r="K542" s="412"/>
      <c r="L542" s="412"/>
      <c r="M542" s="412"/>
      <c r="N542" s="412"/>
      <c r="O542" s="412"/>
      <c r="P542" s="412"/>
      <c r="Q542" s="412"/>
      <c r="R542" s="412"/>
      <c r="S542" s="412"/>
      <c r="T542" s="412"/>
      <c r="U542" s="412"/>
      <c r="V542" s="412"/>
      <c r="W542" s="412"/>
      <c r="X542" s="412"/>
      <c r="Y542" s="412"/>
      <c r="Z542" s="358"/>
      <c r="AA542" s="371"/>
      <c r="AB542" s="371"/>
      <c r="AC542" s="358"/>
      <c r="AD542" s="359"/>
      <c r="AE542" s="359"/>
      <c r="AF542" s="359"/>
      <c r="AG542" s="359"/>
      <c r="AS542" s="335"/>
      <c r="AT542" s="335"/>
      <c r="AU542" s="334"/>
      <c r="AV542" s="334"/>
      <c r="AW542" s="335"/>
      <c r="AX542" s="335"/>
      <c r="AY542" s="335"/>
      <c r="AZ542" s="335"/>
      <c r="BA542" s="335"/>
      <c r="BB542" s="335"/>
      <c r="BC542" s="335"/>
      <c r="BD542" s="335"/>
      <c r="BE542" s="335"/>
    </row>
    <row r="543" customFormat="false" ht="14.15" hidden="true" customHeight="true" outlineLevel="1" collapsed="false">
      <c r="A543" s="324" t="s">
        <v>2109</v>
      </c>
      <c r="E543" s="358"/>
      <c r="F543" s="358"/>
      <c r="G543" s="347"/>
      <c r="H543" s="412"/>
      <c r="I543" s="412"/>
      <c r="J543" s="412"/>
      <c r="K543" s="412"/>
      <c r="L543" s="412"/>
      <c r="M543" s="412"/>
      <c r="N543" s="412"/>
      <c r="O543" s="412"/>
      <c r="P543" s="412"/>
      <c r="Q543" s="412"/>
      <c r="R543" s="412"/>
      <c r="S543" s="412"/>
      <c r="T543" s="412"/>
      <c r="U543" s="412"/>
      <c r="V543" s="412"/>
      <c r="W543" s="412"/>
      <c r="X543" s="412"/>
      <c r="Y543" s="412"/>
      <c r="Z543" s="358"/>
      <c r="AA543" s="358"/>
      <c r="AB543" s="358"/>
      <c r="AC543" s="358"/>
      <c r="AE543" s="573"/>
      <c r="AF543" s="359"/>
      <c r="AG543" s="359"/>
      <c r="AS543" s="335"/>
      <c r="AT543" s="335"/>
      <c r="AU543" s="334"/>
      <c r="AV543" s="334"/>
      <c r="AW543" s="335"/>
      <c r="AX543" s="335"/>
      <c r="AY543" s="335"/>
      <c r="AZ543" s="335"/>
      <c r="BA543" s="335"/>
      <c r="BB543" s="335"/>
      <c r="BC543" s="335"/>
      <c r="BD543" s="335"/>
      <c r="BE543" s="335"/>
    </row>
    <row r="544" customFormat="false" ht="14.15" hidden="true" customHeight="true" outlineLevel="1" collapsed="false">
      <c r="A544" s="470" t="s">
        <v>297</v>
      </c>
      <c r="G544" s="347"/>
      <c r="H544" s="412"/>
      <c r="I544" s="412"/>
      <c r="J544" s="412"/>
      <c r="K544" s="412"/>
      <c r="L544" s="412"/>
      <c r="M544" s="412"/>
      <c r="N544" s="412"/>
      <c r="O544" s="412"/>
      <c r="P544" s="412"/>
      <c r="Q544" s="412"/>
      <c r="R544" s="412"/>
      <c r="S544" s="412"/>
      <c r="T544" s="412"/>
      <c r="U544" s="574" t="s">
        <v>1958</v>
      </c>
      <c r="V544" s="574"/>
      <c r="W544" s="412"/>
      <c r="X544" s="412"/>
      <c r="Y544" s="412"/>
      <c r="Z544" s="358"/>
      <c r="AA544" s="358"/>
      <c r="AB544" s="358"/>
      <c r="AC544" s="358"/>
      <c r="AD544" s="573" t="s">
        <v>156</v>
      </c>
      <c r="AE544" s="573"/>
      <c r="AF544" s="359"/>
      <c r="AG544" s="359"/>
      <c r="AS544" s="335"/>
      <c r="AT544" s="335"/>
      <c r="AU544" s="334"/>
      <c r="AV544" s="334"/>
      <c r="AW544" s="335"/>
      <c r="AX544" s="335"/>
      <c r="AY544" s="335"/>
      <c r="AZ544" s="335"/>
      <c r="BA544" s="335"/>
      <c r="BB544" s="335"/>
      <c r="BC544" s="335"/>
      <c r="BD544" s="335"/>
      <c r="BE544" s="335"/>
    </row>
    <row r="545" customFormat="false" ht="14.15" hidden="true" customHeight="true" outlineLevel="1" collapsed="false">
      <c r="A545" s="466" t="s">
        <v>2079</v>
      </c>
      <c r="G545" s="348" t="s">
        <v>156</v>
      </c>
      <c r="H545" s="412"/>
      <c r="I545" s="412"/>
      <c r="J545" s="412"/>
      <c r="K545" s="412"/>
      <c r="L545" s="412"/>
      <c r="M545" s="412"/>
      <c r="N545" s="412"/>
      <c r="O545" s="412"/>
      <c r="P545" s="412"/>
      <c r="Q545" s="412"/>
      <c r="R545" s="412"/>
      <c r="S545" s="412"/>
      <c r="T545" s="412"/>
      <c r="U545" s="574"/>
      <c r="V545" s="574"/>
      <c r="W545" s="412"/>
      <c r="X545" s="412"/>
      <c r="Y545" s="412"/>
      <c r="Z545" s="358"/>
      <c r="AA545" s="358"/>
      <c r="AB545" s="358"/>
      <c r="AC545" s="358"/>
      <c r="AD545" s="445" t="n">
        <v>4.2</v>
      </c>
      <c r="AE545" s="445"/>
      <c r="AF545" s="359"/>
      <c r="AG545" s="359"/>
      <c r="AS545" s="335"/>
      <c r="AT545" s="335"/>
      <c r="AU545" s="334"/>
      <c r="AV545" s="334"/>
      <c r="AW545" s="335"/>
      <c r="AX545" s="335"/>
      <c r="AY545" s="335"/>
      <c r="AZ545" s="335"/>
      <c r="BA545" s="335"/>
      <c r="BB545" s="335"/>
      <c r="BC545" s="335"/>
      <c r="BD545" s="335"/>
      <c r="BE545" s="335"/>
    </row>
    <row r="546" customFormat="false" ht="14.15" hidden="true" customHeight="true" outlineLevel="1" collapsed="false">
      <c r="A546" s="470" t="s">
        <v>379</v>
      </c>
      <c r="G546" s="371" t="n">
        <v>4.5</v>
      </c>
      <c r="H546" s="412"/>
      <c r="I546" s="412"/>
      <c r="J546" s="412"/>
      <c r="K546" s="412"/>
      <c r="L546" s="412"/>
      <c r="M546" s="412"/>
      <c r="N546" s="412"/>
      <c r="O546" s="412"/>
      <c r="P546" s="412"/>
      <c r="Q546" s="412"/>
      <c r="R546" s="412"/>
      <c r="S546" s="412"/>
      <c r="T546" s="412"/>
      <c r="U546" s="412"/>
      <c r="V546" s="412"/>
      <c r="W546" s="412"/>
      <c r="X546" s="412"/>
      <c r="Y546" s="412"/>
      <c r="Z546" s="358"/>
      <c r="AA546" s="358"/>
      <c r="AB546" s="358"/>
      <c r="AC546" s="358"/>
      <c r="AD546" s="359"/>
      <c r="AE546" s="359"/>
      <c r="AF546" s="359"/>
      <c r="AG546" s="359"/>
      <c r="AS546" s="335"/>
      <c r="AT546" s="335"/>
      <c r="AU546" s="334"/>
      <c r="AV546" s="334"/>
      <c r="AW546" s="335"/>
      <c r="AX546" s="335"/>
      <c r="AY546" s="335"/>
      <c r="AZ546" s="335"/>
      <c r="BA546" s="335"/>
      <c r="BB546" s="335"/>
      <c r="BC546" s="335"/>
      <c r="BD546" s="335"/>
      <c r="BE546" s="335"/>
    </row>
    <row r="547" customFormat="false" ht="14.15" hidden="true" customHeight="true" outlineLevel="1" collapsed="false">
      <c r="A547" s="324" t="s">
        <v>2080</v>
      </c>
      <c r="G547" s="347"/>
      <c r="H547" s="412"/>
      <c r="I547" s="412"/>
      <c r="J547" s="412"/>
      <c r="K547" s="412"/>
      <c r="L547" s="412"/>
      <c r="M547" s="412"/>
      <c r="N547" s="412"/>
      <c r="O547" s="412"/>
      <c r="P547" s="412"/>
      <c r="Q547" s="412"/>
      <c r="R547" s="412"/>
      <c r="S547" s="412"/>
      <c r="T547" s="412"/>
      <c r="U547" s="412"/>
      <c r="V547" s="412"/>
      <c r="W547" s="412"/>
      <c r="X547" s="412"/>
      <c r="Y547" s="412"/>
      <c r="Z547" s="358"/>
      <c r="AA547" s="358"/>
      <c r="AB547" s="358"/>
      <c r="AC547" s="358"/>
      <c r="AD547" s="359"/>
      <c r="AE547" s="359"/>
      <c r="AG547" s="573"/>
      <c r="AS547" s="335"/>
      <c r="AT547" s="335"/>
      <c r="AU547" s="334"/>
      <c r="AV547" s="334"/>
      <c r="AW547" s="335"/>
      <c r="AX547" s="335"/>
      <c r="AY547" s="335"/>
      <c r="AZ547" s="335"/>
      <c r="BA547" s="335"/>
      <c r="BB547" s="335"/>
      <c r="BC547" s="335"/>
      <c r="BD547" s="335"/>
      <c r="BE547" s="335"/>
    </row>
    <row r="548" customFormat="false" ht="14.15" hidden="true" customHeight="true" outlineLevel="1" collapsed="false">
      <c r="A548" s="470" t="s">
        <v>343</v>
      </c>
      <c r="G548" s="347"/>
      <c r="H548" s="412"/>
      <c r="I548" s="412"/>
      <c r="J548" s="412"/>
      <c r="K548" s="412"/>
      <c r="L548" s="412"/>
      <c r="M548" s="412"/>
      <c r="N548" s="412"/>
      <c r="O548" s="412"/>
      <c r="P548" s="412"/>
      <c r="Q548" s="412"/>
      <c r="R548" s="412"/>
      <c r="S548" s="412"/>
      <c r="T548" s="412"/>
      <c r="U548" s="412"/>
      <c r="V548" s="412"/>
      <c r="W548" s="412"/>
      <c r="X548" s="412"/>
      <c r="Y548" s="412"/>
      <c r="Z548" s="358"/>
      <c r="AA548" s="358"/>
      <c r="AB548" s="358"/>
      <c r="AC548" s="358"/>
      <c r="AD548" s="359"/>
      <c r="AE548" s="359"/>
      <c r="AF548" s="573" t="s">
        <v>156</v>
      </c>
      <c r="AG548" s="573"/>
      <c r="AS548" s="334"/>
      <c r="AT548" s="334"/>
      <c r="AU548" s="334"/>
      <c r="AV548" s="334"/>
      <c r="AW548" s="335"/>
      <c r="AX548" s="335"/>
      <c r="AY548" s="335"/>
      <c r="AZ548" s="335"/>
      <c r="BA548" s="335"/>
      <c r="BB548" s="335"/>
      <c r="BC548" s="335"/>
      <c r="BD548" s="335"/>
      <c r="BE548" s="335"/>
    </row>
    <row r="549" customFormat="false" ht="14.15" hidden="true" customHeight="true" outlineLevel="1" collapsed="false">
      <c r="A549" s="324" t="s">
        <v>2081</v>
      </c>
      <c r="G549" s="347"/>
      <c r="H549" s="412"/>
      <c r="I549" s="412"/>
      <c r="J549" s="412"/>
      <c r="K549" s="412"/>
      <c r="L549" s="412"/>
      <c r="M549" s="412"/>
      <c r="N549" s="412"/>
      <c r="O549" s="412"/>
      <c r="P549" s="412"/>
      <c r="Q549" s="412"/>
      <c r="R549" s="412"/>
      <c r="S549" s="412"/>
      <c r="T549" s="412"/>
      <c r="U549" s="412"/>
      <c r="V549" s="412"/>
      <c r="W549" s="412"/>
      <c r="X549" s="412"/>
      <c r="Y549" s="412"/>
      <c r="Z549" s="358"/>
      <c r="AA549" s="358"/>
      <c r="AB549" s="358"/>
      <c r="AC549" s="358"/>
      <c r="AD549" s="359"/>
      <c r="AE549" s="359"/>
      <c r="AF549" s="445" t="n">
        <v>4</v>
      </c>
      <c r="AG549" s="445"/>
      <c r="AS549" s="334"/>
      <c r="AT549" s="334"/>
      <c r="AU549" s="334"/>
      <c r="AV549" s="334"/>
      <c r="AW549" s="335"/>
      <c r="AX549" s="335"/>
      <c r="AY549" s="335"/>
      <c r="AZ549" s="335"/>
      <c r="BA549" s="335"/>
      <c r="BB549" s="335"/>
      <c r="BC549" s="335"/>
      <c r="BD549" s="335"/>
      <c r="BE549" s="335"/>
    </row>
    <row r="550" customFormat="false" ht="14.15" hidden="true" customHeight="true" outlineLevel="1" collapsed="false">
      <c r="A550" s="470" t="s">
        <v>339</v>
      </c>
      <c r="G550" s="347"/>
      <c r="H550" s="412"/>
      <c r="I550" s="412"/>
      <c r="J550" s="412"/>
      <c r="K550" s="412"/>
      <c r="L550" s="412"/>
      <c r="M550" s="412"/>
      <c r="N550" s="412"/>
      <c r="O550" s="412"/>
      <c r="P550" s="412"/>
      <c r="Q550" s="412"/>
      <c r="R550" s="412"/>
      <c r="S550" s="412"/>
      <c r="T550" s="412"/>
      <c r="U550" s="412"/>
      <c r="V550" s="412"/>
      <c r="W550" s="412"/>
      <c r="X550" s="412"/>
      <c r="Y550" s="412"/>
      <c r="Z550" s="358"/>
      <c r="AA550" s="358"/>
      <c r="AB550" s="358"/>
      <c r="AC550" s="358"/>
      <c r="AD550" s="359"/>
      <c r="AE550" s="359"/>
      <c r="AF550" s="359"/>
      <c r="AG550" s="359"/>
      <c r="AS550" s="334"/>
      <c r="AT550" s="334"/>
      <c r="AU550" s="334"/>
      <c r="AV550" s="334"/>
      <c r="AW550" s="335"/>
      <c r="AX550" s="335"/>
      <c r="AY550" s="335"/>
      <c r="AZ550" s="335"/>
      <c r="BA550" s="335"/>
      <c r="BB550" s="335"/>
      <c r="BC550" s="335"/>
      <c r="BD550" s="335"/>
      <c r="BE550" s="335"/>
    </row>
    <row r="551" customFormat="false" ht="14.15" hidden="true" customHeight="true" outlineLevel="1" collapsed="false">
      <c r="A551" s="324" t="s">
        <v>2082</v>
      </c>
      <c r="G551" s="347"/>
      <c r="H551" s="412"/>
      <c r="I551" s="412"/>
      <c r="J551" s="412"/>
      <c r="K551" s="412"/>
      <c r="L551" s="412"/>
      <c r="M551" s="412"/>
      <c r="N551" s="412"/>
      <c r="O551" s="412"/>
      <c r="P551" s="412"/>
      <c r="Q551" s="412"/>
      <c r="R551" s="412"/>
      <c r="S551" s="412"/>
      <c r="T551" s="412"/>
      <c r="U551" s="412"/>
      <c r="V551" s="412"/>
      <c r="W551" s="412"/>
      <c r="X551" s="412"/>
      <c r="Y551" s="412"/>
      <c r="Z551" s="358"/>
      <c r="AA551" s="358"/>
      <c r="AB551" s="358"/>
      <c r="AC551" s="358"/>
      <c r="AD551" s="359"/>
      <c r="AE551" s="359"/>
      <c r="AF551" s="359"/>
      <c r="AG551" s="359"/>
      <c r="AS551" s="334"/>
      <c r="AT551" s="334"/>
      <c r="AU551" s="334"/>
      <c r="AV551" s="334"/>
      <c r="AW551" s="335"/>
      <c r="AX551" s="335"/>
      <c r="AY551" s="335"/>
      <c r="AZ551" s="335"/>
      <c r="BA551" s="335"/>
      <c r="BB551" s="335"/>
      <c r="BC551" s="335"/>
      <c r="BD551" s="335"/>
      <c r="BE551" s="335"/>
    </row>
    <row r="552" customFormat="false" ht="14.15" hidden="true" customHeight="true" outlineLevel="1" collapsed="false">
      <c r="A552" s="480" t="s">
        <v>381</v>
      </c>
      <c r="G552" s="347"/>
      <c r="H552" s="412"/>
      <c r="I552" s="412"/>
      <c r="J552" s="412"/>
      <c r="K552" s="412"/>
      <c r="L552" s="412"/>
      <c r="M552" s="358"/>
      <c r="N552" s="412"/>
      <c r="O552" s="412"/>
      <c r="P552" s="412"/>
      <c r="Q552" s="412"/>
      <c r="R552" s="412"/>
      <c r="S552" s="412"/>
      <c r="T552" s="412"/>
      <c r="U552" s="412"/>
      <c r="V552" s="412"/>
      <c r="W552" s="412"/>
      <c r="X552" s="412"/>
      <c r="Y552" s="412"/>
      <c r="Z552" s="358"/>
      <c r="AA552" s="358"/>
      <c r="AB552" s="358"/>
      <c r="AC552" s="358"/>
      <c r="AD552" s="359"/>
      <c r="AE552" s="359"/>
      <c r="AF552" s="359"/>
      <c r="AG552" s="359"/>
      <c r="AS552" s="334"/>
      <c r="AT552" s="334"/>
      <c r="AU552" s="334"/>
      <c r="AV552" s="334"/>
      <c r="AW552" s="335"/>
      <c r="AX552" s="335"/>
      <c r="AY552" s="335"/>
      <c r="AZ552" s="335"/>
      <c r="BA552" s="335"/>
      <c r="BB552" s="335"/>
      <c r="BC552" s="335"/>
      <c r="BD552" s="335"/>
      <c r="BE552" s="335"/>
    </row>
    <row r="553" customFormat="false" ht="14.15" hidden="true" customHeight="true" outlineLevel="1" collapsed="false">
      <c r="A553" s="466" t="s">
        <v>2110</v>
      </c>
      <c r="B553" s="402" t="s">
        <v>208</v>
      </c>
      <c r="C553" s="425" t="s">
        <v>853</v>
      </c>
      <c r="D553" s="402" t="s">
        <v>1802</v>
      </c>
      <c r="G553" s="347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9" t="s">
        <v>2100</v>
      </c>
      <c r="AE553" s="359"/>
      <c r="AF553" s="445"/>
      <c r="AG553" s="445"/>
      <c r="AS553" s="334"/>
      <c r="AT553" s="334"/>
      <c r="AU553" s="334"/>
      <c r="AV553" s="334"/>
      <c r="AW553" s="335"/>
      <c r="AX553" s="335"/>
      <c r="AY553" s="335"/>
      <c r="AZ553" s="335"/>
      <c r="BA553" s="335"/>
      <c r="BB553" s="335"/>
      <c r="BC553" s="335"/>
      <c r="BD553" s="335"/>
      <c r="BE553" s="335"/>
    </row>
    <row r="554" customFormat="false" ht="14.15" hidden="true" customHeight="true" outlineLevel="1" collapsed="false">
      <c r="A554" s="470" t="s">
        <v>380</v>
      </c>
      <c r="B554" s="425" t="s">
        <v>156</v>
      </c>
      <c r="C554" s="495" t="n">
        <v>2</v>
      </c>
      <c r="D554" s="370" t="n">
        <v>4</v>
      </c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9"/>
      <c r="AE554" s="359"/>
      <c r="AF554" s="445"/>
      <c r="AG554" s="445"/>
      <c r="AS554" s="334"/>
      <c r="AT554" s="334"/>
      <c r="AU554" s="334"/>
      <c r="AV554" s="334"/>
      <c r="AW554" s="335"/>
      <c r="AX554" s="335"/>
      <c r="AY554" s="335"/>
      <c r="AZ554" s="335"/>
      <c r="BA554" s="335"/>
      <c r="BB554" s="335"/>
      <c r="BC554" s="335"/>
      <c r="BD554" s="335"/>
      <c r="BE554" s="335"/>
    </row>
    <row r="555" customFormat="false" ht="14.15" hidden="true" customHeight="true" outlineLevel="1" collapsed="false">
      <c r="B555" s="425" t="s">
        <v>156</v>
      </c>
      <c r="C555" s="474" t="n">
        <v>3</v>
      </c>
      <c r="D555" s="474" t="n">
        <v>2</v>
      </c>
      <c r="E555" s="355"/>
      <c r="F555" s="355"/>
      <c r="G555" s="347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9"/>
      <c r="AE555" s="359"/>
      <c r="AF555" s="445"/>
      <c r="AG555" s="445"/>
      <c r="AS555" s="334"/>
      <c r="AT555" s="334"/>
      <c r="AU555" s="334"/>
      <c r="AV555" s="334"/>
      <c r="AW555" s="335"/>
      <c r="AX555" s="335"/>
      <c r="AY555" s="335"/>
      <c r="AZ555" s="335"/>
      <c r="BA555" s="335"/>
      <c r="BB555" s="335"/>
      <c r="BC555" s="335"/>
      <c r="BD555" s="335"/>
      <c r="BE555" s="335"/>
    </row>
    <row r="556" customFormat="false" ht="14.15" hidden="true" customHeight="true" outlineLevel="1" collapsed="false">
      <c r="A556" s="475" t="s">
        <v>2111</v>
      </c>
      <c r="B556" s="402" t="s">
        <v>208</v>
      </c>
      <c r="C556" s="513" t="s">
        <v>853</v>
      </c>
      <c r="D556" s="371"/>
      <c r="E556" s="355"/>
      <c r="F556" s="355"/>
      <c r="G556" s="347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9"/>
      <c r="AE556" s="359"/>
      <c r="AF556" s="445"/>
      <c r="AG556" s="445"/>
      <c r="AS556" s="334"/>
      <c r="AT556" s="334"/>
      <c r="AU556" s="334"/>
      <c r="AV556" s="334"/>
      <c r="AW556" s="335"/>
      <c r="AX556" s="335"/>
      <c r="AY556" s="335"/>
      <c r="AZ556" s="335"/>
      <c r="BA556" s="335"/>
      <c r="BB556" s="335"/>
      <c r="BC556" s="335"/>
      <c r="BD556" s="335"/>
      <c r="BE556" s="335"/>
    </row>
    <row r="557" customFormat="false" ht="14.15" hidden="true" customHeight="true" outlineLevel="1" collapsed="false">
      <c r="A557" s="265" t="s">
        <v>1972</v>
      </c>
      <c r="B557" s="404" t="s">
        <v>156</v>
      </c>
      <c r="C557" s="471" t="n">
        <v>0.5</v>
      </c>
      <c r="D557" s="371"/>
      <c r="E557" s="562" t="s">
        <v>2112</v>
      </c>
      <c r="F557" s="562"/>
      <c r="G557" s="347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9"/>
      <c r="AE557" s="359"/>
      <c r="AF557" s="445"/>
      <c r="AG557" s="445"/>
      <c r="AS557" s="334"/>
      <c r="AT557" s="334"/>
      <c r="AU557" s="334"/>
      <c r="AV557" s="334"/>
      <c r="AW557" s="335"/>
      <c r="AX557" s="335"/>
      <c r="AY557" s="335"/>
      <c r="AZ557" s="335"/>
      <c r="BA557" s="335"/>
      <c r="BB557" s="335"/>
      <c r="BC557" s="335"/>
      <c r="BD557" s="335"/>
      <c r="BE557" s="335"/>
    </row>
    <row r="558" customFormat="false" ht="14.15" hidden="true" customHeight="true" outlineLevel="1" collapsed="false">
      <c r="A558" s="265" t="s">
        <v>1975</v>
      </c>
      <c r="B558" s="404" t="s">
        <v>156</v>
      </c>
      <c r="C558" s="471" t="n">
        <v>0.8</v>
      </c>
      <c r="D558" s="371"/>
      <c r="E558" s="562"/>
      <c r="F558" s="562"/>
      <c r="G558" s="347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9"/>
      <c r="AE558" s="359"/>
      <c r="AF558" s="445"/>
      <c r="AG558" s="445"/>
      <c r="AS558" s="334"/>
      <c r="AT558" s="334"/>
      <c r="AU558" s="334"/>
      <c r="AV558" s="334"/>
      <c r="AW558" s="335"/>
      <c r="AX558" s="335"/>
      <c r="AY558" s="335"/>
      <c r="AZ558" s="335"/>
      <c r="BA558" s="335"/>
      <c r="BB558" s="335"/>
      <c r="BC558" s="335"/>
      <c r="BD558" s="335"/>
      <c r="BE558" s="335"/>
    </row>
    <row r="559" customFormat="false" ht="14.15" hidden="true" customHeight="true" outlineLevel="1" collapsed="false">
      <c r="A559" s="324" t="s">
        <v>2113</v>
      </c>
      <c r="D559" s="358"/>
      <c r="E559" s="562"/>
      <c r="F559" s="562"/>
      <c r="G559" s="347"/>
      <c r="H559" s="358"/>
      <c r="I559" s="359" t="s">
        <v>2104</v>
      </c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E559" s="359"/>
      <c r="AF559" s="445"/>
      <c r="AG559" s="445"/>
      <c r="AS559" s="334"/>
      <c r="AT559" s="334"/>
      <c r="AU559" s="334"/>
      <c r="AV559" s="334"/>
      <c r="AW559" s="335"/>
      <c r="AX559" s="335"/>
      <c r="AY559" s="335"/>
      <c r="AZ559" s="335"/>
      <c r="BA559" s="335"/>
      <c r="BB559" s="335"/>
      <c r="BC559" s="335"/>
      <c r="BD559" s="335"/>
      <c r="BE559" s="335"/>
    </row>
    <row r="560" customFormat="false" ht="14.15" hidden="true" customHeight="true" outlineLevel="1" collapsed="false">
      <c r="A560" s="465" t="s">
        <v>1988</v>
      </c>
      <c r="D560" s="358"/>
      <c r="E560" s="562"/>
      <c r="F560" s="562"/>
      <c r="G560" s="347"/>
      <c r="H560" s="358"/>
      <c r="I560" s="358"/>
      <c r="J560" s="358"/>
      <c r="K560" s="358"/>
      <c r="L560" s="358"/>
      <c r="M560" s="371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9"/>
      <c r="AE560" s="359"/>
      <c r="AF560" s="445"/>
      <c r="AG560" s="445"/>
      <c r="AS560" s="334"/>
      <c r="AT560" s="334"/>
      <c r="AU560" s="334"/>
      <c r="AV560" s="334"/>
      <c r="AW560" s="335"/>
      <c r="AX560" s="335"/>
      <c r="AY560" s="335"/>
      <c r="AZ560" s="335"/>
      <c r="BA560" s="335"/>
      <c r="BB560" s="335"/>
      <c r="BC560" s="335"/>
      <c r="BD560" s="335"/>
      <c r="BE560" s="335"/>
    </row>
    <row r="561" customFormat="false" ht="14.15" hidden="true" customHeight="true" outlineLevel="1" collapsed="false">
      <c r="A561" s="324" t="s">
        <v>1889</v>
      </c>
      <c r="B561" s="461"/>
      <c r="C561" s="492"/>
      <c r="E561" s="562"/>
      <c r="F561" s="562"/>
      <c r="G561" s="347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9"/>
      <c r="AE561" s="359"/>
      <c r="AF561" s="445"/>
      <c r="AG561" s="445"/>
      <c r="AS561" s="334"/>
      <c r="AT561" s="334"/>
      <c r="AU561" s="334"/>
      <c r="AV561" s="334"/>
      <c r="AW561" s="335"/>
      <c r="AX561" s="335"/>
      <c r="AY561" s="335"/>
      <c r="AZ561" s="335"/>
      <c r="BA561" s="335"/>
      <c r="BB561" s="335"/>
      <c r="BC561" s="335"/>
      <c r="BD561" s="335"/>
      <c r="BE561" s="335"/>
    </row>
    <row r="562" customFormat="false" ht="14.15" hidden="true" customHeight="true" outlineLevel="1" collapsed="false">
      <c r="A562" s="465" t="s">
        <v>1890</v>
      </c>
      <c r="B562" s="550"/>
      <c r="C562" s="551"/>
      <c r="E562" s="355"/>
      <c r="F562" s="355"/>
      <c r="G562" s="347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9"/>
      <c r="AE562" s="359"/>
      <c r="AF562" s="445"/>
      <c r="AG562" s="445"/>
      <c r="AS562" s="334"/>
      <c r="AT562" s="334"/>
      <c r="AU562" s="334"/>
      <c r="AV562" s="334"/>
      <c r="AW562" s="335"/>
      <c r="AX562" s="335"/>
      <c r="AY562" s="335"/>
      <c r="AZ562" s="335"/>
      <c r="BA562" s="335"/>
      <c r="BB562" s="335"/>
      <c r="BC562" s="335"/>
      <c r="BD562" s="335"/>
      <c r="BE562" s="335"/>
    </row>
    <row r="563" customFormat="false" ht="14.15" hidden="true" customHeight="true" outlineLevel="1" collapsed="false">
      <c r="A563" s="324" t="s">
        <v>1907</v>
      </c>
      <c r="E563" s="355"/>
      <c r="F563" s="355"/>
      <c r="G563" s="347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9"/>
      <c r="AE563" s="359"/>
      <c r="AF563" s="445"/>
      <c r="AG563" s="445"/>
      <c r="AS563" s="334"/>
      <c r="AT563" s="334"/>
      <c r="AU563" s="334"/>
      <c r="AV563" s="334"/>
      <c r="AW563" s="335"/>
      <c r="AX563" s="335"/>
      <c r="AY563" s="335"/>
      <c r="AZ563" s="335"/>
      <c r="BA563" s="335"/>
      <c r="BB563" s="335"/>
      <c r="BC563" s="335"/>
      <c r="BD563" s="335"/>
      <c r="BE563" s="335"/>
    </row>
    <row r="564" customFormat="false" ht="14.15" hidden="true" customHeight="true" outlineLevel="1" collapsed="false">
      <c r="A564" s="476" t="s">
        <v>1908</v>
      </c>
      <c r="E564" s="355"/>
      <c r="F564" s="355"/>
      <c r="G564" s="347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9"/>
      <c r="AE564" s="359"/>
      <c r="AF564" s="445"/>
      <c r="AG564" s="445"/>
      <c r="AS564" s="334"/>
      <c r="AT564" s="334"/>
      <c r="AU564" s="334"/>
      <c r="AV564" s="334"/>
      <c r="AW564" s="335"/>
      <c r="AX564" s="335"/>
      <c r="AY564" s="335"/>
      <c r="AZ564" s="335"/>
      <c r="BA564" s="335"/>
      <c r="BB564" s="335"/>
      <c r="BC564" s="335"/>
      <c r="BD564" s="335"/>
      <c r="BE564" s="335"/>
    </row>
    <row r="565" customFormat="false" ht="14.15" hidden="true" customHeight="true" outlineLevel="1" collapsed="false">
      <c r="A565" s="324" t="s">
        <v>1909</v>
      </c>
      <c r="E565" s="355"/>
      <c r="F565" s="355"/>
      <c r="G565" s="347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9"/>
      <c r="AE565" s="359"/>
      <c r="AF565" s="445"/>
      <c r="AG565" s="445"/>
      <c r="AS565" s="334"/>
      <c r="AT565" s="334"/>
      <c r="AU565" s="334"/>
      <c r="AV565" s="334"/>
      <c r="AW565" s="335"/>
      <c r="AX565" s="335"/>
      <c r="AY565" s="335"/>
      <c r="AZ565" s="335"/>
      <c r="BA565" s="335"/>
      <c r="BB565" s="335"/>
      <c r="BC565" s="335"/>
      <c r="BD565" s="335"/>
      <c r="BE565" s="335"/>
    </row>
    <row r="566" customFormat="false" ht="14.15" hidden="true" customHeight="true" outlineLevel="1" collapsed="false">
      <c r="A566" s="478" t="s">
        <v>270</v>
      </c>
      <c r="E566" s="355"/>
      <c r="F566" s="355"/>
      <c r="G566" s="347"/>
      <c r="H566" s="358"/>
      <c r="I566" s="446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9"/>
      <c r="AE566" s="359"/>
      <c r="AF566" s="359"/>
      <c r="AG566" s="359"/>
      <c r="AS566" s="334"/>
      <c r="AT566" s="334"/>
      <c r="AU566" s="334"/>
      <c r="AV566" s="334"/>
      <c r="AW566" s="335"/>
      <c r="AX566" s="335"/>
      <c r="AY566" s="335"/>
      <c r="AZ566" s="335"/>
      <c r="BA566" s="335"/>
      <c r="BB566" s="335"/>
      <c r="BC566" s="335"/>
      <c r="BD566" s="335"/>
      <c r="BE566" s="335"/>
    </row>
    <row r="567" customFormat="false" ht="14.15" hidden="true" customHeight="true" outlineLevel="1" collapsed="false">
      <c r="A567" s="324" t="s">
        <v>1910</v>
      </c>
      <c r="E567" s="355"/>
      <c r="F567" s="355"/>
      <c r="G567" s="347"/>
      <c r="H567" s="347"/>
      <c r="I567" s="446"/>
      <c r="J567" s="446"/>
      <c r="K567" s="492"/>
      <c r="L567" s="358"/>
      <c r="M567" s="358"/>
      <c r="N567" s="358"/>
      <c r="O567" s="347" t="s">
        <v>2105</v>
      </c>
      <c r="P567" s="347"/>
      <c r="Q567" s="347"/>
      <c r="R567" s="347"/>
      <c r="S567" s="347"/>
      <c r="T567" s="347"/>
      <c r="U567" s="347"/>
      <c r="V567" s="347"/>
      <c r="W567" s="347"/>
      <c r="X567" s="347" t="s">
        <v>2106</v>
      </c>
      <c r="Y567" s="347"/>
      <c r="Z567" s="347"/>
      <c r="AA567" s="347"/>
      <c r="AB567" s="358"/>
      <c r="AC567" s="358"/>
      <c r="AD567" s="359"/>
      <c r="AE567" s="359"/>
      <c r="AF567" s="359"/>
      <c r="AG567" s="359"/>
      <c r="AS567" s="334"/>
      <c r="AT567" s="334"/>
      <c r="AU567" s="334"/>
      <c r="AV567" s="334"/>
      <c r="AW567" s="335"/>
      <c r="AX567" s="335"/>
      <c r="AY567" s="335"/>
      <c r="AZ567" s="335"/>
      <c r="BA567" s="335"/>
      <c r="BB567" s="335"/>
      <c r="BC567" s="335"/>
      <c r="BD567" s="335"/>
      <c r="BE567" s="335"/>
    </row>
    <row r="568" customFormat="false" ht="14.15" hidden="true" customHeight="true" outlineLevel="1" collapsed="false">
      <c r="A568" s="478" t="s">
        <v>277</v>
      </c>
      <c r="E568" s="355"/>
      <c r="F568" s="355"/>
      <c r="I568" s="347"/>
      <c r="J568" s="347"/>
      <c r="K568" s="347"/>
      <c r="L568" s="446"/>
      <c r="M568" s="347"/>
      <c r="N568" s="347"/>
      <c r="O568" s="347"/>
      <c r="P568" s="347"/>
      <c r="Q568" s="347"/>
      <c r="AS568" s="334"/>
      <c r="AT568" s="334"/>
      <c r="AU568" s="334"/>
      <c r="AV568" s="334"/>
      <c r="AW568" s="335"/>
      <c r="AX568" s="335"/>
      <c r="AY568" s="335"/>
      <c r="AZ568" s="335"/>
      <c r="BA568" s="335"/>
      <c r="BB568" s="335"/>
      <c r="BC568" s="335"/>
      <c r="BD568" s="335"/>
      <c r="BE568" s="335"/>
    </row>
    <row r="569" customFormat="false" ht="14.15" hidden="true" customHeight="true" outlineLevel="1" collapsed="false">
      <c r="A569" s="324" t="s">
        <v>1911</v>
      </c>
      <c r="E569" s="355"/>
      <c r="F569" s="355"/>
      <c r="I569" s="347"/>
      <c r="J569" s="347"/>
      <c r="K569" s="347"/>
      <c r="L569" s="446"/>
      <c r="M569" s="347"/>
      <c r="N569" s="347"/>
      <c r="O569" s="347"/>
      <c r="P569" s="347"/>
      <c r="Q569" s="347"/>
      <c r="AS569" s="334"/>
      <c r="AT569" s="334"/>
      <c r="AU569" s="334"/>
      <c r="AV569" s="334"/>
      <c r="AW569" s="335"/>
      <c r="AX569" s="335"/>
      <c r="AY569" s="335"/>
      <c r="AZ569" s="335"/>
      <c r="BA569" s="335"/>
      <c r="BB569" s="335"/>
      <c r="BC569" s="335"/>
      <c r="BD569" s="335"/>
      <c r="BE569" s="335"/>
    </row>
    <row r="570" customFormat="false" ht="14.15" hidden="true" customHeight="true" outlineLevel="1" collapsed="false">
      <c r="A570" s="480" t="s">
        <v>493</v>
      </c>
      <c r="E570" s="355"/>
      <c r="F570" s="355"/>
      <c r="AS570" s="334"/>
      <c r="AT570" s="334"/>
      <c r="AU570" s="334"/>
      <c r="AV570" s="334"/>
      <c r="AW570" s="335"/>
      <c r="AX570" s="335"/>
      <c r="AY570" s="335"/>
      <c r="AZ570" s="335"/>
      <c r="BA570" s="335"/>
      <c r="BB570" s="335"/>
      <c r="BC570" s="335"/>
      <c r="BD570" s="335"/>
      <c r="BE570" s="335"/>
    </row>
    <row r="571" customFormat="false" ht="14.15" hidden="true" customHeight="true" outlineLevel="1" collapsed="false">
      <c r="A571" s="324" t="s">
        <v>1913</v>
      </c>
      <c r="B571" s="477"/>
      <c r="C571" s="522"/>
      <c r="E571" s="355"/>
      <c r="F571" s="355"/>
      <c r="AS571" s="334"/>
      <c r="AT571" s="334"/>
      <c r="AU571" s="334"/>
      <c r="AV571" s="334"/>
      <c r="AW571" s="335"/>
      <c r="AX571" s="335"/>
      <c r="AY571" s="335"/>
      <c r="AZ571" s="335"/>
      <c r="BA571" s="335"/>
      <c r="BB571" s="335"/>
      <c r="BC571" s="335"/>
      <c r="BD571" s="335"/>
      <c r="BE571" s="335"/>
    </row>
    <row r="572" customFormat="false" ht="14.15" hidden="true" customHeight="true" outlineLevel="1" collapsed="false">
      <c r="A572" s="481" t="s">
        <v>294</v>
      </c>
      <c r="B572" s="477"/>
      <c r="C572" s="522"/>
      <c r="E572" s="355"/>
      <c r="F572" s="355"/>
      <c r="AS572" s="334"/>
      <c r="AT572" s="334"/>
      <c r="AU572" s="334"/>
      <c r="AV572" s="334"/>
      <c r="AW572" s="335"/>
      <c r="AX572" s="335"/>
      <c r="AY572" s="335"/>
      <c r="AZ572" s="335"/>
      <c r="BA572" s="335"/>
      <c r="BB572" s="335"/>
      <c r="BC572" s="335"/>
      <c r="BD572" s="335"/>
      <c r="BE572" s="335"/>
    </row>
    <row r="573" customFormat="false" ht="14.15" hidden="true" customHeight="true" outlineLevel="1" collapsed="false">
      <c r="A573" s="324" t="s">
        <v>1917</v>
      </c>
      <c r="E573" s="355"/>
      <c r="F573" s="355"/>
      <c r="AS573" s="334"/>
      <c r="AT573" s="334"/>
      <c r="AU573" s="334"/>
      <c r="AV573" s="334"/>
      <c r="AW573" s="335"/>
      <c r="AX573" s="335"/>
      <c r="AY573" s="335"/>
      <c r="AZ573" s="335"/>
      <c r="BA573" s="335"/>
      <c r="BB573" s="335"/>
      <c r="BC573" s="335"/>
      <c r="BD573" s="335"/>
      <c r="BE573" s="335"/>
    </row>
    <row r="574" customFormat="false" ht="14.15" hidden="true" customHeight="true" outlineLevel="1" collapsed="false">
      <c r="A574" s="478" t="s">
        <v>753</v>
      </c>
      <c r="B574" s="324"/>
      <c r="E574" s="355"/>
      <c r="F574" s="355"/>
      <c r="AS574" s="334"/>
      <c r="AT574" s="334"/>
      <c r="AU574" s="334"/>
      <c r="AV574" s="334"/>
      <c r="AW574" s="335"/>
      <c r="AX574" s="335"/>
      <c r="AY574" s="335"/>
      <c r="AZ574" s="335"/>
      <c r="BA574" s="335"/>
      <c r="BB574" s="335"/>
      <c r="BC574" s="335"/>
      <c r="BD574" s="335"/>
      <c r="BE574" s="335"/>
    </row>
    <row r="575" customFormat="false" ht="14.15" hidden="true" customHeight="true" outlineLevel="1" collapsed="false">
      <c r="A575" s="324" t="s">
        <v>1919</v>
      </c>
      <c r="B575" s="324"/>
      <c r="E575" s="355"/>
      <c r="F575" s="355"/>
      <c r="AS575" s="334"/>
      <c r="AT575" s="334"/>
      <c r="AU575" s="334"/>
      <c r="AV575" s="334"/>
      <c r="AW575" s="335"/>
      <c r="AX575" s="335"/>
      <c r="AY575" s="335"/>
      <c r="AZ575" s="335"/>
      <c r="BA575" s="335"/>
      <c r="BB575" s="335"/>
      <c r="BC575" s="335"/>
      <c r="BD575" s="335"/>
      <c r="BE575" s="335"/>
    </row>
    <row r="576" customFormat="false" ht="14.15" hidden="true" customHeight="true" outlineLevel="1" collapsed="false">
      <c r="A576" s="478" t="s">
        <v>785</v>
      </c>
      <c r="B576" s="324"/>
      <c r="E576" s="355"/>
      <c r="F576" s="355"/>
      <c r="AS576" s="334"/>
      <c r="AT576" s="334"/>
      <c r="AU576" s="334"/>
      <c r="AV576" s="334"/>
      <c r="AW576" s="335"/>
      <c r="AX576" s="335"/>
      <c r="AY576" s="335"/>
      <c r="AZ576" s="335"/>
      <c r="BA576" s="335"/>
      <c r="BB576" s="335"/>
      <c r="BC576" s="335"/>
      <c r="BD576" s="335"/>
      <c r="BE576" s="335"/>
    </row>
    <row r="577" customFormat="false" ht="14.15" hidden="true" customHeight="true" outlineLevel="1" collapsed="false">
      <c r="A577" s="487"/>
      <c r="B577" s="324"/>
      <c r="E577" s="355"/>
      <c r="F577" s="355"/>
      <c r="AS577" s="334"/>
      <c r="AT577" s="334"/>
      <c r="AU577" s="334"/>
      <c r="AV577" s="334"/>
      <c r="AW577" s="335"/>
      <c r="AX577" s="335"/>
      <c r="AY577" s="335"/>
      <c r="AZ577" s="335"/>
      <c r="BA577" s="335"/>
      <c r="BB577" s="335"/>
      <c r="BC577" s="335"/>
      <c r="BD577" s="335"/>
      <c r="BE577" s="335"/>
    </row>
    <row r="578" customFormat="false" ht="14.15" hidden="true" customHeight="true" outlineLevel="1" collapsed="false">
      <c r="A578" s="402" t="s">
        <v>2114</v>
      </c>
      <c r="B578" s="402"/>
      <c r="C578" s="402"/>
      <c r="D578" s="555" t="s">
        <v>1798</v>
      </c>
      <c r="E578" s="355"/>
      <c r="F578" s="355"/>
      <c r="AS578" s="334"/>
      <c r="AT578" s="334"/>
      <c r="AU578" s="334"/>
      <c r="AV578" s="334"/>
      <c r="AW578" s="335"/>
      <c r="AX578" s="335"/>
      <c r="AY578" s="335"/>
      <c r="AZ578" s="335"/>
      <c r="BA578" s="335"/>
      <c r="BB578" s="335"/>
      <c r="BC578" s="335"/>
      <c r="BD578" s="335"/>
      <c r="BE578" s="335"/>
    </row>
    <row r="579" customFormat="false" ht="14.15" hidden="true" customHeight="true" outlineLevel="1" collapsed="false">
      <c r="B579" s="324"/>
      <c r="E579" s="355"/>
      <c r="I579" s="444" t="s">
        <v>2054</v>
      </c>
      <c r="AS579" s="334"/>
      <c r="AT579" s="334"/>
      <c r="AU579" s="334"/>
      <c r="AV579" s="334"/>
      <c r="AW579" s="335"/>
      <c r="AX579" s="335"/>
      <c r="AY579" s="335"/>
      <c r="AZ579" s="335"/>
      <c r="BA579" s="335"/>
      <c r="BB579" s="335"/>
      <c r="BC579" s="335"/>
      <c r="BD579" s="335"/>
      <c r="BE579" s="335"/>
    </row>
    <row r="580" customFormat="false" ht="14.15" hidden="true" customHeight="true" outlineLevel="1" collapsed="false">
      <c r="A580" s="513" t="s">
        <v>2055</v>
      </c>
      <c r="B580" s="425" t="s">
        <v>120</v>
      </c>
      <c r="C580" s="513" t="s">
        <v>2056</v>
      </c>
      <c r="E580" s="355"/>
      <c r="AS580" s="334"/>
      <c r="AT580" s="334"/>
      <c r="AU580" s="334"/>
      <c r="AV580" s="334"/>
      <c r="AW580" s="335"/>
      <c r="AX580" s="335"/>
      <c r="AY580" s="335"/>
      <c r="AZ580" s="335"/>
      <c r="BA580" s="335"/>
      <c r="BB580" s="335"/>
      <c r="BC580" s="335"/>
      <c r="BD580" s="335"/>
      <c r="BE580" s="335"/>
    </row>
    <row r="581" customFormat="false" ht="14.15" hidden="true" customHeight="true" outlineLevel="1" collapsed="false">
      <c r="A581" s="513" t="s">
        <v>2057</v>
      </c>
      <c r="B581" s="425" t="s">
        <v>159</v>
      </c>
      <c r="C581" s="495" t="n">
        <v>1</v>
      </c>
      <c r="E581" s="355"/>
      <c r="F581" s="358"/>
      <c r="G581" s="358"/>
      <c r="H581" s="358"/>
      <c r="I581" s="461"/>
      <c r="AS581" s="334"/>
      <c r="AT581" s="334"/>
      <c r="AU581" s="334"/>
      <c r="AV581" s="334"/>
      <c r="AW581" s="335"/>
      <c r="AX581" s="335"/>
      <c r="AY581" s="335"/>
      <c r="AZ581" s="335"/>
      <c r="BA581" s="335"/>
      <c r="BB581" s="335"/>
      <c r="BC581" s="335"/>
      <c r="BD581" s="335"/>
      <c r="BE581" s="335"/>
    </row>
    <row r="582" customFormat="false" ht="14.15" hidden="true" customHeight="true" outlineLevel="1" collapsed="false">
      <c r="A582" s="474" t="s">
        <v>2058</v>
      </c>
      <c r="B582" s="425" t="s">
        <v>156</v>
      </c>
      <c r="C582" s="495" t="n">
        <v>2</v>
      </c>
      <c r="E582" s="355"/>
      <c r="F582" s="358"/>
      <c r="G582" s="358"/>
      <c r="H582" s="358"/>
      <c r="I582" s="461"/>
      <c r="AS582" s="334"/>
      <c r="AT582" s="334"/>
      <c r="AU582" s="334"/>
      <c r="AV582" s="334"/>
      <c r="AW582" s="335"/>
      <c r="AX582" s="335"/>
      <c r="AY582" s="335"/>
      <c r="AZ582" s="335"/>
      <c r="BA582" s="335"/>
      <c r="BB582" s="335"/>
      <c r="BC582" s="335"/>
      <c r="BD582" s="335"/>
      <c r="BE582" s="335"/>
    </row>
    <row r="583" customFormat="false" ht="14.15" hidden="true" customHeight="true" outlineLevel="1" collapsed="false">
      <c r="A583" s="474" t="s">
        <v>2059</v>
      </c>
      <c r="B583" s="425" t="s">
        <v>156</v>
      </c>
      <c r="C583" s="495" t="n">
        <v>1.6</v>
      </c>
      <c r="E583" s="355"/>
      <c r="F583" s="556" t="s">
        <v>1912</v>
      </c>
      <c r="G583" s="358"/>
      <c r="H583" s="358"/>
      <c r="I583" s="461"/>
      <c r="J583" s="492"/>
      <c r="U583" s="324" t="s">
        <v>2060</v>
      </c>
      <c r="AS583" s="334"/>
      <c r="AT583" s="334"/>
      <c r="AU583" s="334"/>
      <c r="AV583" s="334"/>
      <c r="AW583" s="335"/>
      <c r="AX583" s="335"/>
      <c r="AY583" s="335"/>
      <c r="AZ583" s="335"/>
      <c r="BA583" s="335"/>
      <c r="BB583" s="335"/>
      <c r="BC583" s="335"/>
      <c r="BD583" s="335"/>
      <c r="BE583" s="335"/>
    </row>
    <row r="584" customFormat="false" ht="14.15" hidden="true" customHeight="true" outlineLevel="1" collapsed="false">
      <c r="A584" s="474" t="s">
        <v>2115</v>
      </c>
      <c r="B584" s="425" t="s">
        <v>156</v>
      </c>
      <c r="C584" s="495" t="n">
        <v>0.9</v>
      </c>
      <c r="E584" s="355"/>
      <c r="F584" s="556"/>
      <c r="G584" s="358"/>
      <c r="H584" s="358"/>
      <c r="I584" s="461"/>
      <c r="J584" s="492"/>
      <c r="U584" s="324" t="s">
        <v>2062</v>
      </c>
      <c r="AS584" s="334"/>
      <c r="AT584" s="334"/>
      <c r="AU584" s="334"/>
      <c r="AV584" s="334"/>
      <c r="AW584" s="335"/>
      <c r="AX584" s="335"/>
      <c r="AY584" s="335"/>
      <c r="AZ584" s="335"/>
      <c r="BA584" s="335"/>
      <c r="BB584" s="335"/>
      <c r="BC584" s="335"/>
      <c r="BD584" s="335"/>
      <c r="BE584" s="335"/>
    </row>
    <row r="585" customFormat="false" ht="14.15" hidden="true" customHeight="true" outlineLevel="1" collapsed="false">
      <c r="A585" s="237" t="s">
        <v>2116</v>
      </c>
      <c r="B585" s="575" t="s">
        <v>159</v>
      </c>
      <c r="C585" s="576" t="n">
        <v>3</v>
      </c>
      <c r="E585" s="355"/>
      <c r="F585" s="556"/>
      <c r="G585" s="358"/>
      <c r="H585" s="358"/>
      <c r="I585" s="461"/>
      <c r="J585" s="492"/>
      <c r="AS585" s="334"/>
      <c r="AT585" s="334"/>
      <c r="AU585" s="334"/>
      <c r="AV585" s="334"/>
      <c r="AW585" s="335"/>
      <c r="AX585" s="335"/>
      <c r="AY585" s="335"/>
      <c r="AZ585" s="335"/>
      <c r="BA585" s="335"/>
      <c r="BB585" s="335"/>
      <c r="BC585" s="335"/>
      <c r="BD585" s="335"/>
      <c r="BE585" s="335"/>
    </row>
    <row r="586" customFormat="false" ht="14.15" hidden="true" customHeight="true" outlineLevel="1" collapsed="false">
      <c r="A586" s="326"/>
      <c r="B586" s="326"/>
      <c r="C586" s="326"/>
      <c r="E586" s="355"/>
      <c r="F586" s="358"/>
      <c r="G586" s="358"/>
      <c r="H586" s="358"/>
      <c r="I586" s="461"/>
      <c r="J586" s="492"/>
      <c r="K586" s="358"/>
      <c r="L586" s="496"/>
      <c r="M586" s="358"/>
      <c r="N586" s="358"/>
      <c r="O586" s="358"/>
      <c r="P586" s="358"/>
      <c r="Q586" s="358"/>
      <c r="R586" s="358"/>
      <c r="S586" s="358"/>
      <c r="T586" s="358"/>
      <c r="U586" s="358" t="s">
        <v>2064</v>
      </c>
      <c r="AS586" s="334"/>
      <c r="AT586" s="334"/>
      <c r="AU586" s="334"/>
      <c r="AV586" s="334"/>
      <c r="AW586" s="335"/>
      <c r="AX586" s="335"/>
      <c r="AY586" s="335"/>
      <c r="AZ586" s="335"/>
      <c r="BA586" s="335"/>
      <c r="BB586" s="335"/>
      <c r="BC586" s="335"/>
      <c r="BD586" s="335"/>
      <c r="BE586" s="335"/>
    </row>
    <row r="587" customFormat="false" ht="14.15" hidden="true" customHeight="true" outlineLevel="1" collapsed="false">
      <c r="A587" s="479" t="s">
        <v>2117</v>
      </c>
      <c r="B587" s="324"/>
      <c r="E587" s="355"/>
      <c r="F587" s="358"/>
      <c r="G587" s="358"/>
      <c r="H587" s="358"/>
      <c r="I587" s="461"/>
      <c r="J587" s="492"/>
      <c r="K587" s="358"/>
      <c r="L587" s="496"/>
      <c r="M587" s="358"/>
      <c r="N587" s="358"/>
      <c r="O587" s="358"/>
      <c r="P587" s="358"/>
      <c r="Q587" s="358"/>
      <c r="R587" s="358"/>
      <c r="S587" s="358"/>
      <c r="T587" s="358"/>
      <c r="U587" s="358"/>
      <c r="AS587" s="334"/>
      <c r="AT587" s="334"/>
      <c r="AU587" s="334"/>
      <c r="AV587" s="334"/>
      <c r="AW587" s="335"/>
      <c r="AX587" s="335"/>
      <c r="AY587" s="335"/>
      <c r="AZ587" s="335"/>
      <c r="BA587" s="335"/>
      <c r="BB587" s="335"/>
      <c r="BC587" s="335"/>
      <c r="BD587" s="335"/>
      <c r="BE587" s="335"/>
    </row>
    <row r="588" customFormat="false" ht="14.15" hidden="true" customHeight="true" outlineLevel="1" collapsed="false">
      <c r="A588" s="470" t="s">
        <v>1263</v>
      </c>
      <c r="B588" s="324"/>
      <c r="E588" s="355"/>
      <c r="F588" s="358"/>
      <c r="G588" s="358"/>
      <c r="H588" s="358"/>
      <c r="I588" s="461"/>
      <c r="J588" s="492"/>
      <c r="K588" s="358"/>
      <c r="L588" s="496"/>
      <c r="M588" s="358"/>
      <c r="N588" s="358"/>
      <c r="O588" s="358"/>
      <c r="P588" s="358"/>
      <c r="Q588" s="358"/>
      <c r="R588" s="358"/>
      <c r="S588" s="358"/>
      <c r="T588" s="358"/>
      <c r="U588" s="358"/>
      <c r="AS588" s="334"/>
      <c r="AT588" s="334"/>
      <c r="AU588" s="334"/>
      <c r="AV588" s="334"/>
      <c r="AW588" s="335"/>
      <c r="AX588" s="335"/>
      <c r="AY588" s="335"/>
      <c r="AZ588" s="335"/>
      <c r="BA588" s="335"/>
      <c r="BB588" s="335"/>
      <c r="BC588" s="335"/>
      <c r="BD588" s="335"/>
      <c r="BE588" s="335"/>
    </row>
    <row r="589" customFormat="false" ht="14.15" hidden="true" customHeight="true" outlineLevel="1" collapsed="false">
      <c r="A589" s="479" t="s">
        <v>2078</v>
      </c>
      <c r="B589" s="324"/>
      <c r="E589" s="355"/>
      <c r="F589" s="358"/>
      <c r="G589" s="358"/>
      <c r="H589" s="358"/>
      <c r="I589" s="461"/>
      <c r="J589" s="492"/>
      <c r="K589" s="358"/>
      <c r="L589" s="496"/>
      <c r="M589" s="358"/>
      <c r="N589" s="358"/>
      <c r="O589" s="358"/>
      <c r="P589" s="358"/>
      <c r="Q589" s="358"/>
      <c r="R589" s="358"/>
      <c r="S589" s="358"/>
      <c r="T589" s="358"/>
      <c r="U589" s="358"/>
      <c r="AS589" s="334"/>
      <c r="AT589" s="334"/>
      <c r="AU589" s="334"/>
      <c r="AV589" s="334"/>
      <c r="AW589" s="335"/>
      <c r="AX589" s="335"/>
      <c r="AY589" s="335"/>
      <c r="AZ589" s="335"/>
      <c r="BA589" s="335"/>
      <c r="BB589" s="335"/>
      <c r="BC589" s="335"/>
      <c r="BD589" s="335"/>
      <c r="BE589" s="335"/>
    </row>
    <row r="590" customFormat="false" ht="14.15" hidden="true" customHeight="true" outlineLevel="1" collapsed="false">
      <c r="A590" s="480" t="s">
        <v>983</v>
      </c>
      <c r="B590" s="324"/>
      <c r="E590" s="355"/>
      <c r="F590" s="358"/>
      <c r="G590" s="358"/>
      <c r="H590" s="371" t="s">
        <v>2118</v>
      </c>
      <c r="I590" s="371"/>
      <c r="J590" s="371"/>
      <c r="K590" s="371"/>
      <c r="L590" s="496"/>
      <c r="M590" s="358"/>
      <c r="N590" s="358"/>
      <c r="O590" s="358"/>
      <c r="P590" s="358"/>
      <c r="Q590" s="358"/>
      <c r="R590" s="358"/>
      <c r="S590" s="358"/>
      <c r="T590" s="358"/>
      <c r="U590" s="358"/>
      <c r="AS590" s="334"/>
      <c r="AT590" s="334"/>
      <c r="AU590" s="334"/>
      <c r="AV590" s="334"/>
      <c r="AW590" s="335"/>
      <c r="AX590" s="335"/>
      <c r="AY590" s="335"/>
      <c r="AZ590" s="335"/>
      <c r="BA590" s="335"/>
      <c r="BB590" s="335"/>
      <c r="BC590" s="335"/>
      <c r="BD590" s="335"/>
      <c r="BE590" s="335"/>
    </row>
    <row r="591" customFormat="false" ht="14.15" hidden="true" customHeight="true" outlineLevel="1" collapsed="false">
      <c r="A591" s="466" t="s">
        <v>2079</v>
      </c>
      <c r="B591" s="324"/>
      <c r="E591" s="355"/>
      <c r="F591" s="371" t="s">
        <v>2070</v>
      </c>
      <c r="G591" s="371"/>
      <c r="H591" s="371"/>
      <c r="I591" s="371"/>
      <c r="J591" s="371"/>
      <c r="K591" s="371"/>
      <c r="L591" s="496"/>
      <c r="M591" s="358"/>
      <c r="N591" s="358"/>
      <c r="O591" s="358"/>
      <c r="P591" s="358"/>
      <c r="Q591" s="358"/>
      <c r="R591" s="358"/>
      <c r="S591" s="358"/>
      <c r="T591" s="358"/>
      <c r="U591" s="358"/>
      <c r="AS591" s="334"/>
      <c r="AT591" s="334"/>
      <c r="AU591" s="334"/>
      <c r="AV591" s="334"/>
      <c r="AW591" s="335"/>
      <c r="AX591" s="335"/>
      <c r="AY591" s="335"/>
      <c r="AZ591" s="335"/>
      <c r="BA591" s="335"/>
      <c r="BB591" s="335"/>
      <c r="BC591" s="335"/>
      <c r="BD591" s="335"/>
      <c r="BE591" s="335"/>
    </row>
    <row r="592" customFormat="false" ht="14.15" hidden="true" customHeight="true" outlineLevel="1" collapsed="false">
      <c r="A592" s="470" t="s">
        <v>379</v>
      </c>
      <c r="B592" s="324"/>
      <c r="E592" s="355"/>
      <c r="F592" s="358"/>
      <c r="G592" s="358"/>
      <c r="H592" s="371"/>
      <c r="I592" s="371"/>
      <c r="J592" s="371"/>
      <c r="K592" s="371"/>
      <c r="L592" s="496"/>
      <c r="M592" s="358"/>
      <c r="N592" s="358"/>
      <c r="O592" s="358"/>
      <c r="P592" s="358"/>
      <c r="Q592" s="358"/>
      <c r="R592" s="358"/>
      <c r="S592" s="358"/>
      <c r="T592" s="358"/>
      <c r="U592" s="358"/>
      <c r="AS592" s="334"/>
      <c r="AT592" s="334"/>
      <c r="AU592" s="334"/>
      <c r="AV592" s="334"/>
      <c r="AW592" s="335"/>
      <c r="AX592" s="335"/>
      <c r="AY592" s="335"/>
      <c r="AZ592" s="335"/>
      <c r="BA592" s="335"/>
      <c r="BB592" s="335"/>
      <c r="BC592" s="335"/>
      <c r="BD592" s="335"/>
      <c r="BE592" s="335"/>
    </row>
    <row r="593" customFormat="false" ht="14.15" hidden="true" customHeight="true" outlineLevel="1" collapsed="false">
      <c r="A593" s="324" t="s">
        <v>2080</v>
      </c>
      <c r="B593" s="324"/>
      <c r="E593" s="355"/>
      <c r="F593" s="358"/>
      <c r="G593" s="358"/>
      <c r="H593" s="358"/>
      <c r="I593" s="461"/>
      <c r="J593" s="492"/>
      <c r="K593" s="358"/>
      <c r="L593" s="496"/>
      <c r="M593" s="358"/>
      <c r="N593" s="358"/>
      <c r="O593" s="358"/>
      <c r="P593" s="358"/>
      <c r="Q593" s="358"/>
      <c r="R593" s="358"/>
      <c r="S593" s="358"/>
      <c r="T593" s="358"/>
      <c r="U593" s="358"/>
      <c r="AS593" s="334"/>
      <c r="AT593" s="334"/>
      <c r="AU593" s="334"/>
      <c r="AV593" s="334"/>
      <c r="AW593" s="335"/>
      <c r="AX593" s="335"/>
      <c r="AY593" s="335"/>
      <c r="AZ593" s="335"/>
      <c r="BA593" s="335"/>
      <c r="BB593" s="335"/>
      <c r="BC593" s="335"/>
      <c r="BD593" s="335"/>
      <c r="BE593" s="335"/>
    </row>
    <row r="594" customFormat="false" ht="14.15" hidden="true" customHeight="true" outlineLevel="1" collapsed="false">
      <c r="A594" s="470" t="s">
        <v>343</v>
      </c>
      <c r="B594" s="324"/>
      <c r="E594" s="355"/>
      <c r="F594" s="358"/>
      <c r="G594" s="358"/>
      <c r="H594" s="358"/>
      <c r="I594" s="461"/>
      <c r="J594" s="492"/>
      <c r="K594" s="358"/>
      <c r="L594" s="496"/>
      <c r="M594" s="358"/>
      <c r="N594" s="358"/>
      <c r="O594" s="358"/>
      <c r="P594" s="358"/>
      <c r="Q594" s="358"/>
      <c r="R594" s="358"/>
      <c r="S594" s="358"/>
      <c r="T594" s="358"/>
      <c r="U594" s="358"/>
      <c r="AS594" s="334"/>
      <c r="AT594" s="334"/>
      <c r="AU594" s="334"/>
      <c r="AV594" s="334"/>
      <c r="AW594" s="335"/>
      <c r="AX594" s="335"/>
      <c r="AY594" s="335"/>
      <c r="AZ594" s="335"/>
      <c r="BA594" s="335"/>
      <c r="BB594" s="335"/>
      <c r="BC594" s="335"/>
      <c r="BD594" s="335"/>
      <c r="BE594" s="335"/>
    </row>
    <row r="595" customFormat="false" ht="14.15" hidden="true" customHeight="true" outlineLevel="1" collapsed="false">
      <c r="A595" s="324" t="s">
        <v>2081</v>
      </c>
      <c r="B595" s="324"/>
      <c r="E595" s="355"/>
      <c r="F595" s="358"/>
      <c r="G595" s="358"/>
      <c r="H595" s="503" t="s">
        <v>2071</v>
      </c>
      <c r="I595" s="371"/>
      <c r="J595" s="371"/>
      <c r="K595" s="371"/>
      <c r="L595" s="496"/>
      <c r="M595" s="358"/>
      <c r="N595" s="358"/>
      <c r="O595" s="358"/>
      <c r="P595" s="358"/>
      <c r="Q595" s="358"/>
      <c r="R595" s="358"/>
      <c r="S595" s="358"/>
      <c r="T595" s="358"/>
      <c r="U595" s="358"/>
      <c r="AS595" s="334"/>
      <c r="AT595" s="334"/>
      <c r="AU595" s="334"/>
      <c r="AV595" s="334"/>
      <c r="AW595" s="335"/>
      <c r="AX595" s="335"/>
      <c r="AY595" s="335"/>
      <c r="AZ595" s="335"/>
      <c r="BA595" s="335"/>
      <c r="BB595" s="335"/>
      <c r="BC595" s="335"/>
      <c r="BD595" s="335"/>
      <c r="BE595" s="335"/>
    </row>
    <row r="596" customFormat="false" ht="14.15" hidden="true" customHeight="true" outlineLevel="1" collapsed="false">
      <c r="A596" s="470" t="s">
        <v>339</v>
      </c>
      <c r="B596" s="324"/>
      <c r="E596" s="355"/>
      <c r="F596" s="358"/>
      <c r="G596" s="358"/>
      <c r="H596" s="358"/>
      <c r="I596" s="461"/>
      <c r="J596" s="492"/>
      <c r="K596" s="358"/>
      <c r="L596" s="496"/>
      <c r="M596" s="358"/>
      <c r="N596" s="358"/>
      <c r="O596" s="358"/>
      <c r="P596" s="358"/>
      <c r="Q596" s="358"/>
      <c r="R596" s="358"/>
      <c r="S596" s="358"/>
      <c r="T596" s="358"/>
      <c r="U596" s="358"/>
      <c r="AS596" s="334"/>
      <c r="AT596" s="334"/>
      <c r="AU596" s="334"/>
      <c r="AV596" s="334"/>
      <c r="AW596" s="335"/>
      <c r="AX596" s="335"/>
      <c r="AY596" s="335"/>
      <c r="AZ596" s="335"/>
      <c r="BA596" s="335"/>
      <c r="BB596" s="335"/>
      <c r="BC596" s="335"/>
      <c r="BD596" s="335"/>
      <c r="BE596" s="335"/>
    </row>
    <row r="597" customFormat="false" ht="14.15" hidden="true" customHeight="true" outlineLevel="1" collapsed="false">
      <c r="A597" s="324" t="s">
        <v>2082</v>
      </c>
      <c r="B597" s="324"/>
      <c r="E597" s="355"/>
      <c r="F597" s="355"/>
      <c r="AS597" s="334"/>
      <c r="AT597" s="334"/>
      <c r="AU597" s="334"/>
      <c r="AV597" s="334"/>
      <c r="AW597" s="335"/>
      <c r="AX597" s="335"/>
      <c r="AY597" s="335"/>
      <c r="AZ597" s="335"/>
      <c r="BA597" s="335"/>
      <c r="BB597" s="335"/>
      <c r="BC597" s="335"/>
      <c r="BD597" s="335"/>
      <c r="BE597" s="335"/>
    </row>
    <row r="598" customFormat="false" ht="14.15" hidden="true" customHeight="true" outlineLevel="1" collapsed="false">
      <c r="A598" s="480" t="s">
        <v>382</v>
      </c>
      <c r="B598" s="324"/>
      <c r="E598" s="355"/>
      <c r="F598" s="355"/>
      <c r="AS598" s="334"/>
      <c r="AT598" s="334"/>
      <c r="AU598" s="334"/>
      <c r="AV598" s="334"/>
      <c r="AW598" s="335"/>
      <c r="AX598" s="335"/>
      <c r="AY598" s="335"/>
      <c r="AZ598" s="335"/>
      <c r="BA598" s="335"/>
      <c r="BB598" s="335"/>
      <c r="BC598" s="335"/>
      <c r="BD598" s="335"/>
      <c r="BE598" s="335"/>
    </row>
    <row r="599" customFormat="false" ht="14.15" hidden="true" customHeight="true" outlineLevel="1" collapsed="false">
      <c r="A599" s="487"/>
      <c r="B599" s="324"/>
      <c r="E599" s="355"/>
      <c r="F599" s="355"/>
      <c r="AS599" s="334"/>
      <c r="AT599" s="334"/>
      <c r="AU599" s="334"/>
      <c r="AV599" s="334"/>
      <c r="AW599" s="335"/>
      <c r="AX599" s="335"/>
      <c r="AY599" s="335"/>
      <c r="AZ599" s="335"/>
      <c r="BA599" s="335"/>
      <c r="BB599" s="335"/>
      <c r="BC599" s="335"/>
      <c r="BD599" s="335"/>
      <c r="BE599" s="335"/>
    </row>
    <row r="600" customFormat="false" ht="14.15" hidden="true" customHeight="true" outlineLevel="1" collapsed="false">
      <c r="A600" s="577" t="s">
        <v>2119</v>
      </c>
      <c r="B600" s="577"/>
      <c r="C600" s="577"/>
      <c r="E600" s="355"/>
      <c r="F600" s="355"/>
      <c r="AS600" s="334"/>
      <c r="AT600" s="334"/>
      <c r="AU600" s="334"/>
      <c r="AV600" s="334"/>
      <c r="AW600" s="335"/>
      <c r="AX600" s="335"/>
      <c r="AY600" s="335"/>
      <c r="AZ600" s="335"/>
      <c r="BA600" s="335"/>
      <c r="BB600" s="335"/>
      <c r="BC600" s="335"/>
      <c r="BD600" s="335"/>
      <c r="BE600" s="335"/>
    </row>
    <row r="601" customFormat="false" ht="14.15" hidden="true" customHeight="true" outlineLevel="1" collapsed="false">
      <c r="A601" s="393" t="s">
        <v>800</v>
      </c>
      <c r="B601" s="402" t="s">
        <v>159</v>
      </c>
      <c r="C601" s="378"/>
      <c r="E601" s="355"/>
      <c r="F601" s="355"/>
      <c r="AS601" s="334"/>
      <c r="AT601" s="334"/>
      <c r="AU601" s="334"/>
      <c r="AV601" s="334"/>
      <c r="AW601" s="335"/>
      <c r="AX601" s="335"/>
      <c r="AY601" s="335"/>
      <c r="AZ601" s="335"/>
      <c r="BA601" s="335"/>
      <c r="BB601" s="335"/>
      <c r="BC601" s="335"/>
      <c r="BD601" s="335"/>
      <c r="BE601" s="335"/>
    </row>
    <row r="602" customFormat="false" ht="14.15" hidden="true" customHeight="true" outlineLevel="1" collapsed="false">
      <c r="A602" s="393" t="s">
        <v>798</v>
      </c>
      <c r="B602" s="402" t="s">
        <v>159</v>
      </c>
      <c r="C602" s="378"/>
      <c r="E602" s="355"/>
      <c r="F602" s="355"/>
      <c r="AS602" s="334"/>
      <c r="AT602" s="334"/>
      <c r="AU602" s="334"/>
      <c r="AV602" s="334"/>
      <c r="AW602" s="335"/>
      <c r="AX602" s="335"/>
      <c r="AY602" s="335"/>
      <c r="AZ602" s="335"/>
      <c r="BA602" s="335"/>
      <c r="BB602" s="335"/>
      <c r="BC602" s="335"/>
      <c r="BD602" s="335"/>
      <c r="BE602" s="335"/>
    </row>
    <row r="603" customFormat="false" ht="14.15" hidden="true" customHeight="true" outlineLevel="1" collapsed="false">
      <c r="A603" s="393" t="s">
        <v>805</v>
      </c>
      <c r="B603" s="402" t="s">
        <v>159</v>
      </c>
      <c r="C603" s="378"/>
      <c r="E603" s="355"/>
      <c r="F603" s="355"/>
      <c r="AS603" s="334"/>
      <c r="AT603" s="334"/>
      <c r="AU603" s="334"/>
      <c r="AV603" s="334"/>
      <c r="AW603" s="335"/>
      <c r="AX603" s="335"/>
      <c r="AY603" s="335"/>
      <c r="AZ603" s="335"/>
      <c r="BA603" s="335"/>
      <c r="BB603" s="335"/>
      <c r="BC603" s="335"/>
      <c r="BD603" s="335"/>
      <c r="BE603" s="335"/>
    </row>
    <row r="604" customFormat="false" ht="14.15" hidden="true" customHeight="true" outlineLevel="1" collapsed="false">
      <c r="A604" s="393" t="s">
        <v>804</v>
      </c>
      <c r="B604" s="402" t="s">
        <v>159</v>
      </c>
      <c r="C604" s="378"/>
      <c r="E604" s="355"/>
      <c r="F604" s="355"/>
      <c r="AS604" s="334"/>
      <c r="AT604" s="334"/>
      <c r="AU604" s="334"/>
      <c r="AV604" s="334"/>
      <c r="AW604" s="335"/>
      <c r="AX604" s="335"/>
      <c r="AY604" s="335"/>
      <c r="AZ604" s="335"/>
      <c r="BA604" s="335"/>
      <c r="BB604" s="335"/>
      <c r="BC604" s="335"/>
      <c r="BD604" s="335"/>
      <c r="BE604" s="335"/>
    </row>
    <row r="605" customFormat="false" ht="14.15" hidden="true" customHeight="true" outlineLevel="1" collapsed="false">
      <c r="A605" s="393" t="s">
        <v>817</v>
      </c>
      <c r="B605" s="402" t="s">
        <v>159</v>
      </c>
      <c r="C605" s="378"/>
      <c r="E605" s="355"/>
      <c r="F605" s="355"/>
      <c r="AS605" s="334"/>
      <c r="AT605" s="334"/>
      <c r="AU605" s="334"/>
      <c r="AV605" s="334"/>
      <c r="AW605" s="335"/>
      <c r="AX605" s="335"/>
      <c r="AY605" s="335"/>
      <c r="AZ605" s="335"/>
      <c r="BA605" s="335"/>
      <c r="BB605" s="335"/>
      <c r="BC605" s="335"/>
      <c r="BD605" s="335"/>
      <c r="BE605" s="335"/>
    </row>
    <row r="606" customFormat="false" ht="14.15" hidden="true" customHeight="true" outlineLevel="1" collapsed="false">
      <c r="A606" s="393" t="s">
        <v>814</v>
      </c>
      <c r="B606" s="402" t="s">
        <v>159</v>
      </c>
      <c r="C606" s="378"/>
      <c r="E606" s="355"/>
      <c r="F606" s="355"/>
      <c r="AS606" s="334"/>
      <c r="AT606" s="334"/>
      <c r="AU606" s="334"/>
      <c r="AV606" s="334"/>
      <c r="AW606" s="335"/>
      <c r="AX606" s="335"/>
      <c r="AY606" s="335"/>
      <c r="AZ606" s="335"/>
      <c r="BA606" s="335"/>
      <c r="BB606" s="335"/>
      <c r="BC606" s="335"/>
      <c r="BD606" s="335"/>
      <c r="BE606" s="335"/>
    </row>
    <row r="607" customFormat="false" ht="14.15" hidden="true" customHeight="true" outlineLevel="1" collapsed="false">
      <c r="A607" s="393" t="s">
        <v>833</v>
      </c>
      <c r="B607" s="402" t="s">
        <v>188</v>
      </c>
      <c r="C607" s="378"/>
      <c r="E607" s="355"/>
      <c r="F607" s="355"/>
      <c r="AS607" s="334"/>
      <c r="AT607" s="334"/>
      <c r="AU607" s="334"/>
      <c r="AV607" s="334"/>
      <c r="AW607" s="335"/>
      <c r="AX607" s="335"/>
      <c r="AY607" s="335"/>
      <c r="AZ607" s="335"/>
      <c r="BA607" s="335"/>
      <c r="BB607" s="335"/>
      <c r="BC607" s="335"/>
      <c r="BD607" s="335"/>
      <c r="BE607" s="335"/>
    </row>
    <row r="608" customFormat="false" ht="14.15" hidden="true" customHeight="true" outlineLevel="1" collapsed="false">
      <c r="A608" s="393" t="s">
        <v>830</v>
      </c>
      <c r="B608" s="402" t="s">
        <v>188</v>
      </c>
      <c r="C608" s="378"/>
      <c r="E608" s="355"/>
      <c r="F608" s="355"/>
      <c r="AS608" s="334"/>
      <c r="AT608" s="334"/>
      <c r="AU608" s="334"/>
      <c r="AV608" s="334"/>
      <c r="AW608" s="335"/>
      <c r="AX608" s="335"/>
      <c r="AY608" s="335"/>
      <c r="AZ608" s="335"/>
      <c r="BA608" s="335"/>
      <c r="BB608" s="335"/>
      <c r="BC608" s="335"/>
      <c r="BD608" s="335"/>
      <c r="BE608" s="335"/>
    </row>
    <row r="609" customFormat="false" ht="14.15" hidden="true" customHeight="true" outlineLevel="1" collapsed="false">
      <c r="A609" s="393" t="s">
        <v>842</v>
      </c>
      <c r="B609" s="402" t="s">
        <v>188</v>
      </c>
      <c r="C609" s="378"/>
      <c r="E609" s="355"/>
      <c r="F609" s="355"/>
      <c r="AS609" s="334"/>
      <c r="AT609" s="334"/>
      <c r="AU609" s="334"/>
      <c r="AV609" s="334"/>
      <c r="AW609" s="335"/>
      <c r="AX609" s="335"/>
      <c r="AY609" s="335"/>
      <c r="AZ609" s="335"/>
      <c r="BA609" s="335"/>
      <c r="BB609" s="335"/>
      <c r="BC609" s="335"/>
      <c r="BD609" s="335"/>
      <c r="BE609" s="335"/>
    </row>
    <row r="610" customFormat="false" ht="14.15" hidden="true" customHeight="true" outlineLevel="1" collapsed="false">
      <c r="A610" s="393" t="s">
        <v>848</v>
      </c>
      <c r="B610" s="402" t="s">
        <v>188</v>
      </c>
      <c r="C610" s="378"/>
      <c r="E610" s="355"/>
      <c r="F610" s="355"/>
      <c r="AS610" s="334"/>
      <c r="AT610" s="334"/>
      <c r="AU610" s="334"/>
      <c r="AV610" s="334"/>
      <c r="AW610" s="335"/>
      <c r="AX610" s="335"/>
      <c r="AY610" s="335"/>
      <c r="AZ610" s="335"/>
      <c r="BA610" s="335"/>
      <c r="BB610" s="335"/>
      <c r="BC610" s="335"/>
      <c r="BD610" s="335"/>
      <c r="BE610" s="335"/>
    </row>
    <row r="611" customFormat="false" ht="14.15" hidden="true" customHeight="true" outlineLevel="1" collapsed="false">
      <c r="A611" s="487"/>
      <c r="B611" s="324"/>
      <c r="E611" s="355"/>
      <c r="F611" s="355"/>
      <c r="AS611" s="334"/>
      <c r="AT611" s="334"/>
      <c r="AU611" s="334"/>
      <c r="AV611" s="334"/>
      <c r="AW611" s="335"/>
      <c r="AX611" s="335"/>
      <c r="AY611" s="335"/>
      <c r="AZ611" s="335"/>
      <c r="BA611" s="335"/>
      <c r="BB611" s="335"/>
      <c r="BC611" s="335"/>
      <c r="BD611" s="335"/>
      <c r="BE611" s="335"/>
    </row>
    <row r="612" customFormat="false" ht="14.15" hidden="true" customHeight="true" outlineLevel="1" collapsed="false">
      <c r="A612" s="324" t="s">
        <v>1922</v>
      </c>
      <c r="B612" s="477"/>
      <c r="C612" s="358"/>
      <c r="E612" s="355"/>
      <c r="F612" s="355"/>
      <c r="AS612" s="334"/>
      <c r="AT612" s="334"/>
      <c r="AU612" s="334"/>
      <c r="AV612" s="334"/>
      <c r="AW612" s="335"/>
      <c r="AX612" s="335"/>
      <c r="AY612" s="335"/>
      <c r="AZ612" s="335"/>
      <c r="BA612" s="335"/>
      <c r="BB612" s="335"/>
      <c r="BC612" s="335"/>
      <c r="BD612" s="335"/>
      <c r="BE612" s="335"/>
    </row>
    <row r="613" customFormat="false" ht="14.15" hidden="true" customHeight="true" outlineLevel="1" collapsed="false">
      <c r="A613" s="403" t="s">
        <v>152</v>
      </c>
      <c r="B613" s="404" t="s">
        <v>1793</v>
      </c>
      <c r="C613" s="378" t="n">
        <v>1</v>
      </c>
      <c r="E613" s="355"/>
      <c r="F613" s="355"/>
      <c r="AS613" s="334"/>
      <c r="AT613" s="334"/>
      <c r="AU613" s="334"/>
      <c r="AV613" s="334"/>
      <c r="AW613" s="335"/>
      <c r="AX613" s="335"/>
      <c r="AY613" s="335"/>
      <c r="AZ613" s="335"/>
      <c r="BA613" s="335"/>
      <c r="BB613" s="335"/>
      <c r="BC613" s="335"/>
      <c r="BD613" s="335"/>
      <c r="BE613" s="335"/>
    </row>
    <row r="614" customFormat="false" ht="14.15" hidden="true" customHeight="true" outlineLevel="1" collapsed="false">
      <c r="A614" s="393" t="s">
        <v>152</v>
      </c>
      <c r="B614" s="404" t="s">
        <v>1793</v>
      </c>
      <c r="C614" s="370" t="n">
        <v>0</v>
      </c>
      <c r="E614" s="355"/>
      <c r="F614" s="355"/>
      <c r="AS614" s="334"/>
      <c r="AT614" s="334"/>
      <c r="AU614" s="334"/>
      <c r="AV614" s="334"/>
      <c r="AW614" s="335"/>
      <c r="AX614" s="335"/>
      <c r="AY614" s="335"/>
      <c r="AZ614" s="335"/>
      <c r="BA614" s="335"/>
      <c r="BB614" s="335"/>
      <c r="BC614" s="335"/>
      <c r="BD614" s="335"/>
      <c r="BE614" s="335"/>
    </row>
    <row r="615" customFormat="false" ht="14.15" hidden="true" customHeight="true" outlineLevel="1" collapsed="false">
      <c r="E615" s="355"/>
      <c r="F615" s="355"/>
      <c r="AS615" s="334"/>
      <c r="AT615" s="334"/>
      <c r="AU615" s="334"/>
      <c r="AV615" s="334"/>
      <c r="AW615" s="335"/>
      <c r="AX615" s="335"/>
      <c r="AY615" s="335"/>
      <c r="AZ615" s="335"/>
      <c r="BA615" s="335"/>
      <c r="BB615" s="335"/>
      <c r="BC615" s="335"/>
      <c r="BD615" s="335"/>
      <c r="BE615" s="335"/>
    </row>
    <row r="616" customFormat="false" ht="14.15" hidden="true" customHeight="true" outlineLevel="1" collapsed="false">
      <c r="A616" s="405" t="s">
        <v>2120</v>
      </c>
      <c r="B616" s="404" t="s">
        <v>1796</v>
      </c>
      <c r="C616" s="488" t="n">
        <v>0</v>
      </c>
      <c r="E616" s="355"/>
      <c r="F616" s="355"/>
      <c r="AS616" s="334"/>
      <c r="AT616" s="334"/>
      <c r="AU616" s="334"/>
      <c r="AV616" s="334"/>
      <c r="AW616" s="335"/>
      <c r="AX616" s="335"/>
      <c r="AY616" s="335"/>
      <c r="AZ616" s="335"/>
      <c r="BA616" s="335"/>
      <c r="BB616" s="335"/>
      <c r="BC616" s="335"/>
      <c r="BD616" s="335"/>
      <c r="BE616" s="335"/>
    </row>
    <row r="617" customFormat="false" ht="14.15" hidden="false" customHeight="true" outlineLevel="0" collapsed="false">
      <c r="A617" s="408" t="s">
        <v>2121</v>
      </c>
      <c r="B617" s="408"/>
      <c r="C617" s="408"/>
      <c r="D617" s="408"/>
      <c r="E617" s="408"/>
      <c r="F617" s="578" t="s">
        <v>1798</v>
      </c>
      <c r="AS617" s="334"/>
      <c r="AT617" s="334"/>
      <c r="AU617" s="334"/>
      <c r="AV617" s="334"/>
      <c r="AW617" s="335"/>
      <c r="AX617" s="335"/>
      <c r="AY617" s="335"/>
      <c r="AZ617" s="335"/>
      <c r="BA617" s="335"/>
      <c r="BB617" s="335"/>
      <c r="BC617" s="335"/>
      <c r="BD617" s="335"/>
      <c r="BE617" s="335"/>
    </row>
    <row r="618" customFormat="false" ht="14.15" hidden="false" customHeight="true" outlineLevel="0" collapsed="false">
      <c r="E618" s="355"/>
      <c r="F618" s="355"/>
      <c r="AS618" s="334"/>
      <c r="AT618" s="334"/>
      <c r="AU618" s="334"/>
      <c r="AV618" s="334"/>
      <c r="AW618" s="335"/>
      <c r="AX618" s="335"/>
      <c r="AY618" s="335"/>
      <c r="AZ618" s="335"/>
      <c r="BA618" s="335"/>
      <c r="BB618" s="335"/>
      <c r="BC618" s="335"/>
      <c r="BD618" s="335"/>
      <c r="BE618" s="335"/>
    </row>
    <row r="619" customFormat="false" ht="14.15" hidden="true" customHeight="true" outlineLevel="1" collapsed="false">
      <c r="A619" s="508" t="s">
        <v>2122</v>
      </c>
      <c r="B619" s="508"/>
      <c r="C619" s="508"/>
      <c r="D619" s="508"/>
      <c r="E619" s="508"/>
      <c r="J619" s="411" t="s">
        <v>2122</v>
      </c>
      <c r="K619" s="411"/>
      <c r="L619" s="411"/>
      <c r="M619" s="411"/>
      <c r="N619" s="411"/>
      <c r="O619" s="411"/>
      <c r="P619" s="411"/>
      <c r="Q619" s="411"/>
      <c r="R619" s="411"/>
      <c r="S619" s="411"/>
      <c r="T619" s="411"/>
      <c r="U619" s="411"/>
      <c r="V619" s="411"/>
      <c r="W619" s="411"/>
      <c r="X619" s="411"/>
      <c r="Y619" s="411"/>
      <c r="Z619" s="411"/>
      <c r="AA619" s="411"/>
      <c r="AB619" s="411"/>
      <c r="AC619" s="411"/>
      <c r="AD619" s="411"/>
      <c r="AE619" s="411"/>
      <c r="AS619" s="334"/>
      <c r="AT619" s="334"/>
      <c r="AU619" s="334"/>
      <c r="AV619" s="334"/>
      <c r="AW619" s="335"/>
      <c r="AX619" s="335"/>
      <c r="AY619" s="335"/>
      <c r="AZ619" s="335"/>
      <c r="BA619" s="335"/>
      <c r="BB619" s="335"/>
      <c r="BC619" s="335"/>
      <c r="BD619" s="335"/>
      <c r="BE619" s="335"/>
    </row>
    <row r="620" customFormat="false" ht="14.15" hidden="true" customHeight="true" outlineLevel="1" collapsed="false">
      <c r="A620" s="347"/>
      <c r="B620" s="450"/>
      <c r="C620" s="347"/>
      <c r="D620" s="347"/>
      <c r="E620" s="347"/>
      <c r="F620" s="355"/>
      <c r="J620" s="411"/>
      <c r="K620" s="411"/>
      <c r="L620" s="411"/>
      <c r="M620" s="411"/>
      <c r="N620" s="411"/>
      <c r="O620" s="411"/>
      <c r="P620" s="411"/>
      <c r="Q620" s="411"/>
      <c r="R620" s="411"/>
      <c r="S620" s="411"/>
      <c r="T620" s="411"/>
      <c r="U620" s="411"/>
      <c r="V620" s="411"/>
      <c r="W620" s="411"/>
      <c r="X620" s="411"/>
      <c r="Y620" s="411"/>
      <c r="Z620" s="411"/>
      <c r="AA620" s="411"/>
      <c r="AB620" s="411"/>
      <c r="AC620" s="411"/>
      <c r="AD620" s="411"/>
      <c r="AE620" s="411"/>
      <c r="AS620" s="334"/>
      <c r="AT620" s="334"/>
      <c r="AU620" s="334"/>
      <c r="AV620" s="334"/>
      <c r="AW620" s="335"/>
      <c r="AX620" s="335"/>
      <c r="AY620" s="335"/>
      <c r="AZ620" s="335"/>
      <c r="BA620" s="335"/>
      <c r="BB620" s="335"/>
      <c r="BC620" s="335"/>
      <c r="BD620" s="335"/>
      <c r="BE620" s="335"/>
    </row>
    <row r="621" customFormat="false" ht="14.15" hidden="true" customHeight="true" outlineLevel="1" collapsed="false">
      <c r="A621" s="494" t="s">
        <v>2087</v>
      </c>
      <c r="B621" s="494"/>
      <c r="C621" s="494"/>
      <c r="D621" s="494"/>
      <c r="E621" s="474" t="n">
        <v>1.1</v>
      </c>
      <c r="F621" s="355"/>
      <c r="AS621" s="334"/>
      <c r="AT621" s="334"/>
      <c r="AU621" s="334"/>
      <c r="AV621" s="334"/>
      <c r="AW621" s="335"/>
      <c r="AX621" s="335"/>
      <c r="AY621" s="335"/>
      <c r="AZ621" s="335"/>
      <c r="BA621" s="335"/>
      <c r="BB621" s="335"/>
      <c r="BC621" s="335"/>
      <c r="BD621" s="335"/>
      <c r="BE621" s="335"/>
    </row>
    <row r="622" customFormat="false" ht="14.15" hidden="true" customHeight="true" outlineLevel="1" collapsed="false">
      <c r="A622" s="494" t="s">
        <v>2088</v>
      </c>
      <c r="B622" s="494"/>
      <c r="C622" s="494"/>
      <c r="D622" s="494"/>
      <c r="E622" s="474" t="n">
        <v>1.2</v>
      </c>
      <c r="F622" s="355"/>
      <c r="AS622" s="334"/>
      <c r="AT622" s="334"/>
      <c r="AU622" s="334"/>
      <c r="AV622" s="334"/>
      <c r="AW622" s="335"/>
      <c r="AX622" s="335"/>
      <c r="AY622" s="335"/>
      <c r="AZ622" s="335"/>
      <c r="BA622" s="335"/>
      <c r="BB622" s="335"/>
      <c r="BC622" s="335"/>
      <c r="BD622" s="335"/>
      <c r="BE622" s="335"/>
    </row>
    <row r="623" customFormat="false" ht="14.15" hidden="true" customHeight="true" outlineLevel="1" collapsed="false">
      <c r="E623" s="355"/>
      <c r="F623" s="355"/>
      <c r="I623" s="347"/>
      <c r="J623" s="347"/>
      <c r="K623" s="347"/>
      <c r="L623" s="446"/>
      <c r="M623" s="347"/>
      <c r="N623" s="347"/>
      <c r="O623" s="347"/>
      <c r="P623" s="347"/>
      <c r="Q623" s="347"/>
      <c r="AS623" s="334"/>
      <c r="AT623" s="334"/>
      <c r="AU623" s="334"/>
      <c r="AV623" s="334"/>
      <c r="AW623" s="335"/>
      <c r="AX623" s="335"/>
      <c r="AY623" s="335"/>
      <c r="AZ623" s="335"/>
      <c r="BA623" s="335"/>
      <c r="BB623" s="335"/>
      <c r="BC623" s="335"/>
      <c r="BD623" s="335"/>
      <c r="BE623" s="335"/>
    </row>
    <row r="624" customFormat="false" ht="14.15" hidden="true" customHeight="true" outlineLevel="1" collapsed="false">
      <c r="A624" s="370" t="s">
        <v>2123</v>
      </c>
      <c r="B624" s="404" t="s">
        <v>156</v>
      </c>
      <c r="C624" s="370" t="n">
        <v>3</v>
      </c>
      <c r="E624" s="355"/>
      <c r="F624" s="355"/>
      <c r="I624" s="347"/>
      <c r="J624" s="347"/>
      <c r="K624" s="347"/>
      <c r="L624" s="446"/>
      <c r="M624" s="347"/>
      <c r="N624" s="347"/>
      <c r="O624" s="347"/>
      <c r="P624" s="347"/>
      <c r="Q624" s="347"/>
      <c r="AS624" s="334"/>
      <c r="AT624" s="334"/>
      <c r="AU624" s="334"/>
      <c r="AV624" s="334"/>
      <c r="AW624" s="335"/>
      <c r="AX624" s="335"/>
      <c r="AY624" s="335"/>
      <c r="AZ624" s="335"/>
      <c r="BA624" s="335"/>
      <c r="BB624" s="335"/>
      <c r="BC624" s="335"/>
      <c r="BD624" s="335"/>
      <c r="BE624" s="335"/>
    </row>
    <row r="625" customFormat="false" ht="14.15" hidden="true" customHeight="true" outlineLevel="1" collapsed="false">
      <c r="A625" s="370" t="s">
        <v>2124</v>
      </c>
      <c r="B625" s="404" t="s">
        <v>156</v>
      </c>
      <c r="C625" s="370" t="n">
        <v>1</v>
      </c>
      <c r="E625" s="355"/>
      <c r="F625" s="355"/>
      <c r="I625" s="347"/>
      <c r="J625" s="347"/>
      <c r="K625" s="347"/>
      <c r="L625" s="446"/>
      <c r="M625" s="347"/>
      <c r="N625" s="347"/>
      <c r="O625" s="347"/>
      <c r="P625" s="347"/>
      <c r="Q625" s="347"/>
      <c r="AS625" s="334"/>
      <c r="AT625" s="334"/>
      <c r="AU625" s="334"/>
      <c r="AV625" s="334"/>
      <c r="AW625" s="335"/>
      <c r="AX625" s="335"/>
      <c r="AY625" s="335"/>
      <c r="AZ625" s="335"/>
      <c r="BA625" s="335"/>
      <c r="BB625" s="335"/>
      <c r="BC625" s="335"/>
      <c r="BD625" s="335"/>
      <c r="BE625" s="335"/>
    </row>
    <row r="626" customFormat="false" ht="14.15" hidden="true" customHeight="true" outlineLevel="1" collapsed="false">
      <c r="A626" s="370" t="s">
        <v>2125</v>
      </c>
      <c r="B626" s="404" t="s">
        <v>156</v>
      </c>
      <c r="C626" s="370" t="n">
        <v>3</v>
      </c>
      <c r="E626" s="355"/>
      <c r="F626" s="355"/>
      <c r="I626" s="347"/>
      <c r="J626" s="347"/>
      <c r="K626" s="347"/>
      <c r="L626" s="446"/>
      <c r="M626" s="347"/>
      <c r="N626" s="347"/>
      <c r="O626" s="347"/>
      <c r="P626" s="347"/>
      <c r="Q626" s="347"/>
      <c r="AS626" s="334"/>
      <c r="AT626" s="334"/>
      <c r="AU626" s="334"/>
      <c r="AV626" s="334"/>
      <c r="AW626" s="335"/>
      <c r="AX626" s="335"/>
      <c r="AY626" s="335"/>
      <c r="AZ626" s="335"/>
      <c r="BA626" s="335"/>
      <c r="BB626" s="335"/>
      <c r="BC626" s="335"/>
      <c r="BD626" s="335"/>
      <c r="BE626" s="335"/>
    </row>
    <row r="627" customFormat="false" ht="14.15" hidden="true" customHeight="true" outlineLevel="1" collapsed="false">
      <c r="A627" s="324" t="s">
        <v>2126</v>
      </c>
      <c r="B627" s="483" t="s">
        <v>156</v>
      </c>
      <c r="C627" s="579" t="n">
        <v>2.3</v>
      </c>
      <c r="E627" s="355"/>
      <c r="F627" s="355"/>
      <c r="I627" s="347"/>
      <c r="J627" s="347"/>
      <c r="K627" s="347"/>
      <c r="L627" s="446"/>
      <c r="M627" s="347"/>
      <c r="N627" s="347"/>
      <c r="O627" s="347"/>
      <c r="P627" s="347"/>
      <c r="Q627" s="347"/>
      <c r="AS627" s="334"/>
      <c r="AT627" s="334"/>
      <c r="AU627" s="334"/>
      <c r="AV627" s="334"/>
      <c r="AW627" s="335"/>
      <c r="AX627" s="335"/>
      <c r="AY627" s="335"/>
      <c r="AZ627" s="335"/>
      <c r="BA627" s="335"/>
      <c r="BB627" s="335"/>
      <c r="BC627" s="335"/>
      <c r="BD627" s="335"/>
      <c r="BE627" s="335"/>
    </row>
    <row r="628" customFormat="false" ht="14.15" hidden="true" customHeight="true" outlineLevel="1" collapsed="false">
      <c r="A628" s="370" t="s">
        <v>2127</v>
      </c>
      <c r="B628" s="404" t="s">
        <v>156</v>
      </c>
      <c r="C628" s="370" t="n">
        <v>0.4</v>
      </c>
      <c r="F628" s="355"/>
      <c r="I628" s="347"/>
      <c r="J628" s="347"/>
      <c r="K628" s="347"/>
      <c r="L628" s="446"/>
      <c r="M628" s="347"/>
      <c r="N628" s="347"/>
      <c r="O628" s="347"/>
      <c r="P628" s="347"/>
      <c r="Q628" s="347"/>
      <c r="AS628" s="334"/>
      <c r="AT628" s="334"/>
      <c r="AU628" s="334"/>
      <c r="AV628" s="334"/>
      <c r="AW628" s="335"/>
      <c r="AX628" s="335"/>
      <c r="AY628" s="335"/>
      <c r="AZ628" s="335"/>
      <c r="BA628" s="335"/>
      <c r="BB628" s="335"/>
      <c r="BC628" s="335"/>
      <c r="BD628" s="335"/>
      <c r="BE628" s="335"/>
    </row>
    <row r="629" customFormat="false" ht="14.15" hidden="true" customHeight="true" outlineLevel="1" collapsed="false">
      <c r="A629" s="370" t="s">
        <v>2128</v>
      </c>
      <c r="B629" s="404" t="s">
        <v>156</v>
      </c>
      <c r="C629" s="370" t="n">
        <v>0.4</v>
      </c>
      <c r="F629" s="355"/>
      <c r="I629" s="347"/>
      <c r="J629" s="347"/>
      <c r="K629" s="347"/>
      <c r="L629" s="446"/>
      <c r="M629" s="347"/>
      <c r="N629" s="347"/>
      <c r="O629" s="347"/>
      <c r="P629" s="347"/>
      <c r="Q629" s="347"/>
      <c r="AS629" s="334"/>
      <c r="AT629" s="334"/>
      <c r="AU629" s="334"/>
      <c r="AV629" s="334"/>
      <c r="AW629" s="335"/>
      <c r="AX629" s="335"/>
      <c r="AY629" s="335"/>
      <c r="AZ629" s="335"/>
      <c r="BA629" s="335"/>
      <c r="BB629" s="335"/>
      <c r="BC629" s="335"/>
      <c r="BD629" s="335"/>
      <c r="BE629" s="335"/>
    </row>
    <row r="630" customFormat="false" ht="14.15" hidden="true" customHeight="true" outlineLevel="1" collapsed="false">
      <c r="A630" s="324" t="s">
        <v>2129</v>
      </c>
      <c r="B630" s="404" t="s">
        <v>156</v>
      </c>
      <c r="C630" s="580" t="n">
        <v>1</v>
      </c>
      <c r="E630" s="355"/>
      <c r="F630" s="355"/>
      <c r="I630" s="347"/>
      <c r="J630" s="347"/>
      <c r="K630" s="347"/>
      <c r="L630" s="446"/>
      <c r="M630" s="347"/>
      <c r="N630" s="347"/>
      <c r="O630" s="347"/>
      <c r="P630" s="347"/>
      <c r="Q630" s="347"/>
      <c r="AS630" s="334"/>
      <c r="AT630" s="334"/>
      <c r="AU630" s="334"/>
      <c r="AV630" s="334"/>
      <c r="AW630" s="335"/>
      <c r="AX630" s="335"/>
      <c r="AY630" s="335"/>
      <c r="AZ630" s="335"/>
      <c r="BA630" s="335"/>
      <c r="BB630" s="335"/>
      <c r="BC630" s="335"/>
      <c r="BD630" s="335"/>
      <c r="BE630" s="335"/>
    </row>
    <row r="631" customFormat="false" ht="14.15" hidden="true" customHeight="true" outlineLevel="1" collapsed="false">
      <c r="A631" s="581" t="s">
        <v>2130</v>
      </c>
      <c r="B631" s="582" t="s">
        <v>159</v>
      </c>
      <c r="C631" s="581" t="n">
        <v>3</v>
      </c>
      <c r="E631" s="355"/>
      <c r="F631" s="562" t="s">
        <v>2096</v>
      </c>
      <c r="G631" s="562"/>
      <c r="I631" s="347"/>
      <c r="J631" s="347"/>
      <c r="K631" s="347"/>
      <c r="L631" s="446"/>
      <c r="M631" s="347"/>
      <c r="N631" s="347"/>
      <c r="O631" s="347"/>
      <c r="P631" s="347"/>
      <c r="Q631" s="347"/>
      <c r="AS631" s="334"/>
      <c r="AT631" s="334"/>
      <c r="AU631" s="334"/>
      <c r="AV631" s="334"/>
      <c r="AW631" s="335"/>
      <c r="AX631" s="335"/>
      <c r="AY631" s="335"/>
      <c r="AZ631" s="335"/>
      <c r="BA631" s="335"/>
      <c r="BB631" s="335"/>
      <c r="BC631" s="335"/>
      <c r="BD631" s="335"/>
      <c r="BE631" s="335"/>
    </row>
    <row r="632" customFormat="false" ht="14.15" hidden="true" customHeight="true" outlineLevel="1" collapsed="false">
      <c r="A632" s="581" t="s">
        <v>2131</v>
      </c>
      <c r="B632" s="402" t="s">
        <v>208</v>
      </c>
      <c r="C632" s="402" t="s">
        <v>293</v>
      </c>
      <c r="D632" s="402" t="s">
        <v>1800</v>
      </c>
      <c r="E632" s="355"/>
      <c r="F632" s="562"/>
      <c r="G632" s="562"/>
      <c r="I632" s="347"/>
      <c r="J632" s="347"/>
      <c r="K632" s="347"/>
      <c r="L632" s="446"/>
      <c r="M632" s="347"/>
      <c r="N632" s="347"/>
      <c r="O632" s="347"/>
      <c r="P632" s="347"/>
      <c r="Q632" s="347"/>
      <c r="AS632" s="334"/>
      <c r="AT632" s="334"/>
      <c r="AU632" s="334"/>
      <c r="AV632" s="334"/>
      <c r="AW632" s="335"/>
      <c r="AX632" s="335"/>
      <c r="AY632" s="335"/>
      <c r="AZ632" s="335"/>
      <c r="BA632" s="335"/>
      <c r="BB632" s="335"/>
      <c r="BC632" s="335"/>
      <c r="BD632" s="335"/>
      <c r="BE632" s="335"/>
    </row>
    <row r="633" customFormat="false" ht="14.15" hidden="true" customHeight="true" outlineLevel="1" collapsed="false">
      <c r="A633" s="579"/>
      <c r="B633" s="583" t="s">
        <v>156</v>
      </c>
      <c r="C633" s="580" t="n">
        <v>0.2</v>
      </c>
      <c r="D633" s="370" t="n">
        <v>0.4</v>
      </c>
      <c r="E633" s="355"/>
      <c r="F633" s="562"/>
      <c r="G633" s="562"/>
      <c r="I633" s="347"/>
      <c r="J633" s="347"/>
      <c r="K633" s="347"/>
      <c r="L633" s="446"/>
      <c r="M633" s="347"/>
      <c r="N633" s="347"/>
      <c r="O633" s="347"/>
      <c r="P633" s="347"/>
      <c r="Q633" s="347"/>
      <c r="AS633" s="334"/>
      <c r="AT633" s="334"/>
      <c r="AU633" s="334"/>
      <c r="AV633" s="334"/>
      <c r="AW633" s="335"/>
      <c r="AX633" s="335"/>
      <c r="AY633" s="335"/>
      <c r="AZ633" s="335"/>
      <c r="BA633" s="335"/>
      <c r="BB633" s="335"/>
      <c r="BC633" s="335"/>
      <c r="BD633" s="335"/>
      <c r="BE633" s="335"/>
    </row>
    <row r="634" customFormat="false" ht="14.15" hidden="true" customHeight="true" outlineLevel="1" collapsed="false">
      <c r="A634" s="324" t="s">
        <v>2132</v>
      </c>
      <c r="B634" s="402" t="s">
        <v>208</v>
      </c>
      <c r="C634" s="402" t="s">
        <v>293</v>
      </c>
      <c r="D634" s="402" t="s">
        <v>1802</v>
      </c>
      <c r="E634" s="355"/>
      <c r="F634" s="562"/>
      <c r="G634" s="562"/>
      <c r="I634" s="347"/>
      <c r="J634" s="347"/>
      <c r="K634" s="347"/>
      <c r="L634" s="446"/>
      <c r="M634" s="347"/>
      <c r="N634" s="347"/>
      <c r="O634" s="347"/>
      <c r="P634" s="347"/>
      <c r="Q634" s="347"/>
      <c r="AS634" s="334"/>
      <c r="AT634" s="334"/>
      <c r="AU634" s="334"/>
      <c r="AV634" s="334"/>
      <c r="AW634" s="335"/>
      <c r="AX634" s="335"/>
      <c r="AY634" s="335"/>
      <c r="AZ634" s="335"/>
      <c r="BA634" s="335"/>
      <c r="BB634" s="335"/>
      <c r="BC634" s="335"/>
      <c r="BD634" s="335"/>
      <c r="BE634" s="335"/>
    </row>
    <row r="635" customFormat="false" ht="14.15" hidden="true" customHeight="true" outlineLevel="1" collapsed="false">
      <c r="A635" s="403" t="s">
        <v>294</v>
      </c>
      <c r="B635" s="402" t="s">
        <v>156</v>
      </c>
      <c r="C635" s="370" t="n">
        <v>2.5</v>
      </c>
      <c r="D635" s="370" t="n">
        <v>2</v>
      </c>
      <c r="F635" s="562"/>
      <c r="G635" s="562"/>
      <c r="I635" s="347"/>
      <c r="J635" s="347"/>
      <c r="K635" s="347"/>
      <c r="L635" s="446"/>
      <c r="M635" s="347"/>
      <c r="N635" s="347"/>
      <c r="O635" s="347"/>
      <c r="P635" s="347"/>
      <c r="Q635" s="347"/>
      <c r="AS635" s="334"/>
      <c r="AT635" s="334"/>
      <c r="AU635" s="334"/>
      <c r="AV635" s="334"/>
      <c r="AW635" s="335"/>
      <c r="AX635" s="335"/>
      <c r="AY635" s="335"/>
      <c r="AZ635" s="335"/>
      <c r="BA635" s="335"/>
      <c r="BB635" s="335"/>
      <c r="BC635" s="335"/>
      <c r="BD635" s="335"/>
      <c r="BE635" s="335"/>
    </row>
    <row r="636" customFormat="false" ht="14.15" hidden="true" customHeight="true" outlineLevel="1" collapsed="false">
      <c r="A636" s="324" t="s">
        <v>2080</v>
      </c>
      <c r="I636" s="347"/>
      <c r="J636" s="347"/>
      <c r="K636" s="347"/>
      <c r="L636" s="446"/>
      <c r="M636" s="347"/>
      <c r="N636" s="347"/>
      <c r="O636" s="347"/>
      <c r="P636" s="347"/>
      <c r="Q636" s="347"/>
      <c r="AS636" s="334"/>
      <c r="AT636" s="334"/>
      <c r="AU636" s="334"/>
      <c r="AV636" s="334"/>
      <c r="AW636" s="335"/>
      <c r="AX636" s="335"/>
      <c r="AY636" s="335"/>
      <c r="AZ636" s="335"/>
      <c r="BA636" s="335"/>
      <c r="BB636" s="335"/>
      <c r="BC636" s="335"/>
      <c r="BD636" s="335"/>
      <c r="BE636" s="335"/>
    </row>
    <row r="637" customFormat="false" ht="14.15" hidden="true" customHeight="true" outlineLevel="1" collapsed="false">
      <c r="A637" s="470" t="s">
        <v>343</v>
      </c>
      <c r="I637" s="347"/>
      <c r="J637" s="347"/>
      <c r="K637" s="347"/>
      <c r="L637" s="446"/>
      <c r="M637" s="347"/>
      <c r="N637" s="347"/>
      <c r="O637" s="347"/>
      <c r="P637" s="347"/>
      <c r="Q637" s="347"/>
      <c r="AS637" s="334"/>
      <c r="AT637" s="334"/>
      <c r="AU637" s="334"/>
      <c r="AV637" s="334"/>
      <c r="AW637" s="335"/>
      <c r="AX637" s="335"/>
      <c r="AY637" s="335"/>
      <c r="AZ637" s="335"/>
      <c r="BA637" s="335"/>
      <c r="BB637" s="335"/>
      <c r="BC637" s="335"/>
      <c r="BD637" s="335"/>
      <c r="BE637" s="335"/>
    </row>
    <row r="638" customFormat="false" ht="14.15" hidden="true" customHeight="true" outlineLevel="1" collapsed="false">
      <c r="A638" s="324" t="s">
        <v>2081</v>
      </c>
      <c r="I638" s="347"/>
      <c r="J638" s="347"/>
      <c r="K638" s="347"/>
      <c r="L638" s="446"/>
      <c r="M638" s="347"/>
      <c r="N638" s="347"/>
      <c r="O638" s="347"/>
      <c r="P638" s="347"/>
      <c r="Q638" s="347"/>
      <c r="AS638" s="334"/>
      <c r="AT638" s="334"/>
      <c r="AU638" s="334"/>
      <c r="AV638" s="334"/>
      <c r="AW638" s="335"/>
      <c r="AX638" s="335"/>
      <c r="AY638" s="335"/>
      <c r="AZ638" s="335"/>
      <c r="BA638" s="335"/>
      <c r="BB638" s="335"/>
      <c r="BC638" s="335"/>
      <c r="BD638" s="335"/>
      <c r="BE638" s="335"/>
    </row>
    <row r="639" customFormat="false" ht="14.15" hidden="true" customHeight="true" outlineLevel="1" collapsed="false">
      <c r="A639" s="470" t="s">
        <v>339</v>
      </c>
      <c r="I639" s="347"/>
      <c r="J639" s="347"/>
      <c r="K639" s="347"/>
      <c r="L639" s="446"/>
      <c r="M639" s="347"/>
      <c r="N639" s="347"/>
      <c r="O639" s="347"/>
      <c r="P639" s="347"/>
      <c r="Q639" s="347"/>
      <c r="AS639" s="334"/>
      <c r="AT639" s="334"/>
      <c r="AU639" s="334"/>
      <c r="AV639" s="334"/>
      <c r="AW639" s="335"/>
      <c r="AX639" s="335"/>
      <c r="AY639" s="335"/>
      <c r="AZ639" s="335"/>
      <c r="BA639" s="335"/>
      <c r="BB639" s="335"/>
      <c r="BC639" s="335"/>
      <c r="BD639" s="335"/>
      <c r="BE639" s="335"/>
    </row>
    <row r="640" customFormat="false" ht="14.15" hidden="true" customHeight="true" outlineLevel="1" collapsed="false">
      <c r="A640" s="324" t="s">
        <v>2082</v>
      </c>
      <c r="E640" s="355"/>
      <c r="I640" s="347"/>
      <c r="J640" s="347"/>
      <c r="K640" s="347"/>
      <c r="L640" s="446"/>
      <c r="M640" s="347"/>
      <c r="N640" s="347"/>
      <c r="O640" s="347"/>
      <c r="P640" s="347"/>
      <c r="Q640" s="347"/>
      <c r="AS640" s="334"/>
      <c r="AT640" s="334"/>
      <c r="AU640" s="334"/>
      <c r="AV640" s="334"/>
      <c r="AW640" s="335"/>
      <c r="AX640" s="335"/>
      <c r="AY640" s="335"/>
      <c r="AZ640" s="335"/>
      <c r="BA640" s="335"/>
      <c r="BB640" s="335"/>
      <c r="BC640" s="335"/>
      <c r="BD640" s="335"/>
      <c r="BE640" s="335"/>
    </row>
    <row r="641" customFormat="false" ht="14.15" hidden="true" customHeight="true" outlineLevel="1" collapsed="false">
      <c r="A641" s="480" t="s">
        <v>381</v>
      </c>
      <c r="E641" s="355"/>
      <c r="F641" s="355"/>
      <c r="I641" s="347"/>
      <c r="J641" s="347"/>
      <c r="K641" s="347"/>
      <c r="L641" s="446"/>
      <c r="M641" s="347"/>
      <c r="N641" s="347"/>
      <c r="O641" s="347"/>
      <c r="P641" s="347"/>
      <c r="Q641" s="347"/>
      <c r="AS641" s="334"/>
      <c r="AT641" s="334"/>
      <c r="AU641" s="334"/>
      <c r="AV641" s="334"/>
      <c r="AW641" s="335"/>
      <c r="AX641" s="335"/>
      <c r="AY641" s="335"/>
      <c r="AZ641" s="335"/>
      <c r="BA641" s="335"/>
      <c r="BB641" s="335"/>
      <c r="BC641" s="335"/>
      <c r="BD641" s="335"/>
      <c r="BE641" s="335"/>
    </row>
    <row r="642" customFormat="false" ht="14.15" hidden="true" customHeight="true" outlineLevel="1" collapsed="false">
      <c r="A642" s="466" t="s">
        <v>2110</v>
      </c>
      <c r="B642" s="402" t="s">
        <v>208</v>
      </c>
      <c r="C642" s="425" t="s">
        <v>853</v>
      </c>
      <c r="D642" s="402" t="s">
        <v>1802</v>
      </c>
      <c r="E642" s="355"/>
      <c r="F642" s="355"/>
      <c r="I642" s="347"/>
      <c r="J642" s="347"/>
      <c r="K642" s="347"/>
      <c r="L642" s="446"/>
      <c r="M642" s="347"/>
      <c r="N642" s="347"/>
      <c r="O642" s="347"/>
      <c r="P642" s="347"/>
      <c r="Q642" s="347"/>
      <c r="AS642" s="334"/>
      <c r="AT642" s="334"/>
      <c r="AU642" s="334"/>
      <c r="AV642" s="334"/>
      <c r="AW642" s="335"/>
      <c r="AX642" s="335"/>
      <c r="AY642" s="335"/>
      <c r="AZ642" s="335"/>
      <c r="BA642" s="335"/>
      <c r="BB642" s="335"/>
      <c r="BC642" s="335"/>
      <c r="BD642" s="335"/>
      <c r="BE642" s="335"/>
    </row>
    <row r="643" customFormat="false" ht="14.15" hidden="true" customHeight="true" outlineLevel="1" collapsed="false">
      <c r="A643" s="470" t="s">
        <v>295</v>
      </c>
      <c r="B643" s="425" t="s">
        <v>156</v>
      </c>
      <c r="C643" s="495" t="n">
        <v>2</v>
      </c>
      <c r="D643" s="370" t="n">
        <v>4</v>
      </c>
      <c r="F643" s="355"/>
      <c r="I643" s="347"/>
      <c r="J643" s="347"/>
      <c r="K643" s="347"/>
      <c r="L643" s="446"/>
      <c r="M643" s="347"/>
      <c r="N643" s="347"/>
      <c r="O643" s="347"/>
      <c r="P643" s="347"/>
      <c r="Q643" s="347"/>
      <c r="AS643" s="334"/>
      <c r="AT643" s="334"/>
      <c r="AU643" s="334"/>
      <c r="AV643" s="334"/>
      <c r="AW643" s="335"/>
      <c r="AX643" s="335"/>
      <c r="AY643" s="335"/>
      <c r="AZ643" s="335"/>
      <c r="BA643" s="335"/>
      <c r="BB643" s="335"/>
      <c r="BC643" s="335"/>
      <c r="BD643" s="335"/>
      <c r="BE643" s="335"/>
    </row>
    <row r="644" customFormat="false" ht="14.15" hidden="true" customHeight="true" outlineLevel="1" collapsed="false">
      <c r="F644" s="355"/>
      <c r="I644" s="347"/>
      <c r="J644" s="347"/>
      <c r="K644" s="347"/>
      <c r="L644" s="446"/>
      <c r="M644" s="347"/>
      <c r="N644" s="347"/>
      <c r="O644" s="347"/>
      <c r="P644" s="347"/>
      <c r="Q644" s="347"/>
      <c r="AS644" s="334"/>
      <c r="AT644" s="334"/>
      <c r="AU644" s="334"/>
      <c r="AV644" s="334"/>
      <c r="AW644" s="335"/>
      <c r="AX644" s="335"/>
      <c r="AY644" s="335"/>
      <c r="AZ644" s="335"/>
      <c r="BA644" s="335"/>
      <c r="BB644" s="335"/>
      <c r="BC644" s="335"/>
      <c r="BD644" s="335"/>
      <c r="BE644" s="335"/>
    </row>
    <row r="645" customFormat="false" ht="14.15" hidden="true" customHeight="true" outlineLevel="1" collapsed="false">
      <c r="A645" s="324" t="s">
        <v>2113</v>
      </c>
      <c r="I645" s="347"/>
      <c r="J645" s="347"/>
      <c r="K645" s="347"/>
      <c r="L645" s="446"/>
      <c r="M645" s="347"/>
      <c r="N645" s="347"/>
      <c r="O645" s="347"/>
      <c r="P645" s="347"/>
      <c r="Q645" s="347"/>
      <c r="AS645" s="334"/>
      <c r="AT645" s="334"/>
      <c r="AU645" s="334"/>
      <c r="AV645" s="334"/>
      <c r="AW645" s="335"/>
      <c r="AX645" s="335"/>
      <c r="AY645" s="335"/>
      <c r="AZ645" s="335"/>
      <c r="BA645" s="335"/>
      <c r="BB645" s="335"/>
      <c r="BC645" s="335"/>
      <c r="BD645" s="335"/>
      <c r="BE645" s="335"/>
    </row>
    <row r="646" customFormat="false" ht="14.15" hidden="true" customHeight="true" outlineLevel="1" collapsed="false">
      <c r="A646" s="465" t="s">
        <v>2133</v>
      </c>
      <c r="I646" s="347"/>
      <c r="J646" s="347"/>
      <c r="K646" s="347"/>
      <c r="L646" s="446"/>
      <c r="M646" s="347"/>
      <c r="N646" s="347"/>
      <c r="O646" s="347"/>
      <c r="P646" s="347"/>
      <c r="Q646" s="347"/>
      <c r="AS646" s="334"/>
      <c r="AT646" s="334"/>
      <c r="AU646" s="334"/>
      <c r="AV646" s="334"/>
      <c r="AW646" s="335"/>
      <c r="AX646" s="335"/>
      <c r="AY646" s="335"/>
      <c r="AZ646" s="335"/>
      <c r="BA646" s="335"/>
      <c r="BB646" s="335"/>
      <c r="BC646" s="335"/>
      <c r="BD646" s="335"/>
      <c r="BE646" s="335"/>
    </row>
    <row r="647" customFormat="false" ht="14.15" hidden="true" customHeight="true" outlineLevel="1" collapsed="false">
      <c r="A647" s="324" t="s">
        <v>1889</v>
      </c>
      <c r="I647" s="347"/>
      <c r="J647" s="347"/>
      <c r="K647" s="347"/>
      <c r="L647" s="446"/>
      <c r="M647" s="347"/>
      <c r="N647" s="347"/>
      <c r="O647" s="347"/>
      <c r="P647" s="347"/>
      <c r="Q647" s="347"/>
      <c r="AS647" s="334"/>
      <c r="AT647" s="334"/>
      <c r="AU647" s="334"/>
      <c r="AV647" s="334"/>
      <c r="AW647" s="335"/>
      <c r="AX647" s="335"/>
      <c r="AY647" s="335"/>
      <c r="AZ647" s="335"/>
      <c r="BA647" s="335"/>
      <c r="BB647" s="335"/>
      <c r="BC647" s="335"/>
      <c r="BD647" s="335"/>
      <c r="BE647" s="335"/>
    </row>
    <row r="648" customFormat="false" ht="14.15" hidden="true" customHeight="true" outlineLevel="1" collapsed="false">
      <c r="A648" s="465" t="s">
        <v>1890</v>
      </c>
      <c r="E648" s="355"/>
      <c r="F648" s="562" t="s">
        <v>2112</v>
      </c>
      <c r="G648" s="562"/>
      <c r="I648" s="347"/>
      <c r="J648" s="347"/>
      <c r="K648" s="347"/>
      <c r="L648" s="446"/>
      <c r="M648" s="347"/>
      <c r="N648" s="347"/>
      <c r="O648" s="347"/>
      <c r="P648" s="347"/>
      <c r="Q648" s="347"/>
      <c r="AS648" s="334"/>
      <c r="AT648" s="334"/>
      <c r="AU648" s="334"/>
      <c r="AV648" s="334"/>
      <c r="AW648" s="335"/>
      <c r="AX648" s="335"/>
      <c r="AY648" s="335"/>
      <c r="AZ648" s="335"/>
      <c r="BA648" s="335"/>
      <c r="BB648" s="335"/>
      <c r="BC648" s="335"/>
      <c r="BD648" s="335"/>
      <c r="BE648" s="335"/>
    </row>
    <row r="649" customFormat="false" ht="14.15" hidden="true" customHeight="true" outlineLevel="1" collapsed="false">
      <c r="A649" s="324" t="s">
        <v>1907</v>
      </c>
      <c r="E649" s="355"/>
      <c r="F649" s="562"/>
      <c r="G649" s="562"/>
      <c r="I649" s="347"/>
      <c r="J649" s="347"/>
      <c r="K649" s="347"/>
      <c r="L649" s="446"/>
      <c r="M649" s="347"/>
      <c r="N649" s="347"/>
      <c r="O649" s="347"/>
      <c r="P649" s="347"/>
      <c r="Q649" s="347"/>
      <c r="AS649" s="334"/>
      <c r="AT649" s="334"/>
      <c r="AU649" s="334"/>
      <c r="AV649" s="334"/>
      <c r="AW649" s="335"/>
      <c r="AX649" s="335"/>
      <c r="AY649" s="335"/>
      <c r="AZ649" s="335"/>
      <c r="BA649" s="335"/>
      <c r="BB649" s="335"/>
      <c r="BC649" s="335"/>
      <c r="BD649" s="335"/>
      <c r="BE649" s="335"/>
    </row>
    <row r="650" customFormat="false" ht="14.15" hidden="true" customHeight="true" outlineLevel="1" collapsed="false">
      <c r="A650" s="476" t="s">
        <v>2134</v>
      </c>
      <c r="E650" s="355"/>
      <c r="F650" s="562"/>
      <c r="G650" s="562"/>
      <c r="I650" s="347"/>
      <c r="J650" s="347"/>
      <c r="K650" s="347"/>
      <c r="L650" s="446"/>
      <c r="M650" s="347"/>
      <c r="N650" s="347"/>
      <c r="O650" s="347"/>
      <c r="P650" s="347"/>
      <c r="Q650" s="347"/>
      <c r="AS650" s="334"/>
      <c r="AT650" s="334"/>
      <c r="AU650" s="334"/>
      <c r="AV650" s="334"/>
      <c r="AW650" s="335"/>
      <c r="AX650" s="335"/>
      <c r="AY650" s="335"/>
      <c r="AZ650" s="335"/>
      <c r="BA650" s="335"/>
      <c r="BB650" s="335"/>
      <c r="BC650" s="335"/>
      <c r="BD650" s="335"/>
      <c r="BE650" s="335"/>
    </row>
    <row r="651" customFormat="false" ht="14.15" hidden="true" customHeight="true" outlineLevel="1" collapsed="false">
      <c r="A651" s="324" t="s">
        <v>1909</v>
      </c>
      <c r="E651" s="355"/>
      <c r="F651" s="562"/>
      <c r="G651" s="562"/>
      <c r="I651" s="347"/>
      <c r="J651" s="347"/>
      <c r="K651" s="347"/>
      <c r="L651" s="446"/>
      <c r="M651" s="347"/>
      <c r="N651" s="347"/>
      <c r="O651" s="347"/>
      <c r="P651" s="347"/>
      <c r="Q651" s="347"/>
      <c r="AS651" s="334"/>
      <c r="AT651" s="334"/>
      <c r="AU651" s="334"/>
      <c r="AV651" s="334"/>
      <c r="AW651" s="335"/>
      <c r="AX651" s="335"/>
      <c r="AY651" s="335"/>
      <c r="AZ651" s="335"/>
      <c r="BA651" s="335"/>
      <c r="BB651" s="335"/>
      <c r="BC651" s="335"/>
      <c r="BD651" s="335"/>
      <c r="BE651" s="335"/>
    </row>
    <row r="652" customFormat="false" ht="14.15" hidden="true" customHeight="true" outlineLevel="1" collapsed="false">
      <c r="A652" s="478" t="s">
        <v>270</v>
      </c>
      <c r="E652" s="355"/>
      <c r="F652" s="562"/>
      <c r="G652" s="562"/>
      <c r="I652" s="347"/>
      <c r="J652" s="347"/>
      <c r="K652" s="347"/>
      <c r="L652" s="446"/>
      <c r="M652" s="347"/>
      <c r="N652" s="347"/>
      <c r="O652" s="347"/>
      <c r="P652" s="347"/>
      <c r="Q652" s="347"/>
      <c r="AS652" s="334"/>
      <c r="AT652" s="334"/>
      <c r="AU652" s="334"/>
      <c r="AV652" s="334"/>
      <c r="AW652" s="335"/>
      <c r="AX652" s="335"/>
      <c r="AY652" s="335"/>
      <c r="AZ652" s="335"/>
      <c r="BA652" s="335"/>
      <c r="BB652" s="335"/>
      <c r="BC652" s="335"/>
      <c r="BD652" s="335"/>
      <c r="BE652" s="335"/>
    </row>
    <row r="653" customFormat="false" ht="14.15" hidden="true" customHeight="true" outlineLevel="1" collapsed="false">
      <c r="A653" s="324" t="s">
        <v>1910</v>
      </c>
      <c r="E653" s="355"/>
      <c r="F653" s="355"/>
      <c r="I653" s="347"/>
      <c r="J653" s="347"/>
      <c r="K653" s="347"/>
      <c r="L653" s="446"/>
      <c r="M653" s="347"/>
      <c r="N653" s="347"/>
      <c r="O653" s="347"/>
      <c r="P653" s="347"/>
      <c r="Q653" s="347"/>
      <c r="AS653" s="334"/>
      <c r="AT653" s="334"/>
      <c r="AU653" s="334"/>
      <c r="AV653" s="334"/>
      <c r="AW653" s="335"/>
      <c r="AX653" s="335"/>
      <c r="AY653" s="335"/>
      <c r="AZ653" s="335"/>
      <c r="BA653" s="335"/>
      <c r="BB653" s="335"/>
      <c r="BC653" s="335"/>
      <c r="BD653" s="335"/>
      <c r="BE653" s="335"/>
    </row>
    <row r="654" customFormat="false" ht="14.15" hidden="true" customHeight="true" outlineLevel="1" collapsed="false">
      <c r="A654" s="478" t="s">
        <v>493</v>
      </c>
      <c r="E654" s="355"/>
      <c r="F654" s="355"/>
      <c r="I654" s="347"/>
      <c r="J654" s="347"/>
      <c r="K654" s="347"/>
      <c r="L654" s="446"/>
      <c r="M654" s="347"/>
      <c r="N654" s="347"/>
      <c r="O654" s="347"/>
      <c r="P654" s="347"/>
      <c r="Q654" s="347"/>
      <c r="AS654" s="334"/>
      <c r="AT654" s="334"/>
      <c r="AU654" s="334"/>
      <c r="AV654" s="334"/>
      <c r="AW654" s="335"/>
      <c r="AX654" s="335"/>
      <c r="AY654" s="335"/>
      <c r="AZ654" s="335"/>
      <c r="BA654" s="335"/>
      <c r="BB654" s="335"/>
      <c r="BC654" s="335"/>
      <c r="BD654" s="335"/>
      <c r="BE654" s="335"/>
    </row>
    <row r="655" customFormat="false" ht="14.15" hidden="true" customHeight="true" outlineLevel="1" collapsed="false">
      <c r="A655" s="324" t="s">
        <v>1911</v>
      </c>
      <c r="E655" s="355"/>
      <c r="F655" s="355"/>
      <c r="I655" s="347"/>
      <c r="J655" s="347"/>
      <c r="K655" s="347"/>
      <c r="L655" s="446"/>
      <c r="M655" s="347"/>
      <c r="N655" s="347"/>
      <c r="O655" s="347"/>
      <c r="P655" s="347"/>
      <c r="Q655" s="347"/>
      <c r="AS655" s="334"/>
      <c r="AT655" s="334"/>
      <c r="AU655" s="334"/>
      <c r="AV655" s="334"/>
      <c r="AW655" s="335"/>
      <c r="AX655" s="335"/>
      <c r="AY655" s="335"/>
      <c r="AZ655" s="335"/>
      <c r="BA655" s="335"/>
      <c r="BB655" s="335"/>
      <c r="BC655" s="335"/>
      <c r="BD655" s="335"/>
      <c r="BE655" s="335"/>
    </row>
    <row r="656" customFormat="false" ht="14.15" hidden="true" customHeight="true" outlineLevel="1" collapsed="false">
      <c r="A656" s="480" t="s">
        <v>493</v>
      </c>
      <c r="E656" s="355"/>
      <c r="F656" s="355"/>
      <c r="I656" s="347"/>
      <c r="J656" s="347"/>
      <c r="K656" s="347"/>
      <c r="L656" s="446"/>
      <c r="M656" s="347"/>
      <c r="N656" s="347"/>
      <c r="O656" s="347"/>
      <c r="P656" s="347"/>
      <c r="Q656" s="347"/>
      <c r="AS656" s="334"/>
      <c r="AT656" s="334"/>
      <c r="AU656" s="334"/>
      <c r="AV656" s="334"/>
      <c r="AW656" s="335"/>
      <c r="AX656" s="335"/>
      <c r="AY656" s="335"/>
      <c r="AZ656" s="335"/>
      <c r="BA656" s="335"/>
      <c r="BB656" s="335"/>
      <c r="BC656" s="335"/>
      <c r="BD656" s="335"/>
      <c r="BE656" s="335"/>
    </row>
    <row r="657" customFormat="false" ht="14.15" hidden="true" customHeight="true" outlineLevel="1" collapsed="false">
      <c r="A657" s="324" t="s">
        <v>1917</v>
      </c>
      <c r="E657" s="355"/>
      <c r="AS657" s="334"/>
      <c r="AT657" s="334"/>
      <c r="AU657" s="334"/>
      <c r="AV657" s="334"/>
      <c r="AW657" s="335"/>
      <c r="AX657" s="335"/>
      <c r="AY657" s="335"/>
      <c r="AZ657" s="335"/>
      <c r="BA657" s="335"/>
      <c r="BB657" s="335"/>
      <c r="BC657" s="335"/>
      <c r="BD657" s="335"/>
      <c r="BE657" s="335"/>
    </row>
    <row r="658" customFormat="false" ht="14.15" hidden="true" customHeight="true" outlineLevel="1" collapsed="false">
      <c r="A658" s="478" t="s">
        <v>2135</v>
      </c>
      <c r="E658" s="355"/>
      <c r="AS658" s="334"/>
      <c r="AT658" s="334"/>
      <c r="AU658" s="334"/>
      <c r="AV658" s="334"/>
      <c r="AW658" s="335"/>
      <c r="AX658" s="335"/>
      <c r="AY658" s="335"/>
      <c r="AZ658" s="335"/>
      <c r="BA658" s="335"/>
      <c r="BB658" s="335"/>
      <c r="BC658" s="335"/>
      <c r="BD658" s="335"/>
      <c r="BE658" s="335"/>
    </row>
    <row r="659" customFormat="false" ht="14.15" hidden="true" customHeight="true" outlineLevel="1" collapsed="false">
      <c r="E659" s="355"/>
      <c r="J659" s="347"/>
      <c r="K659" s="347"/>
      <c r="L659" s="347"/>
      <c r="M659" s="446"/>
      <c r="N659" s="347"/>
      <c r="O659" s="347"/>
      <c r="P659" s="347"/>
      <c r="Q659" s="347"/>
      <c r="R659" s="347"/>
      <c r="AS659" s="334"/>
      <c r="AT659" s="334"/>
      <c r="AU659" s="334"/>
      <c r="AV659" s="334"/>
      <c r="AW659" s="335"/>
      <c r="AX659" s="335"/>
      <c r="AY659" s="335"/>
      <c r="AZ659" s="335"/>
      <c r="BA659" s="335"/>
      <c r="BB659" s="335"/>
      <c r="BC659" s="335"/>
      <c r="BD659" s="335"/>
      <c r="BE659" s="335"/>
    </row>
    <row r="660" customFormat="false" ht="14.15" hidden="true" customHeight="true" outlineLevel="1" collapsed="false">
      <c r="A660" s="324" t="s">
        <v>2136</v>
      </c>
      <c r="E660" s="355"/>
      <c r="J660" s="347"/>
      <c r="K660" s="347"/>
      <c r="L660" s="347"/>
      <c r="M660" s="446"/>
      <c r="N660" s="347"/>
      <c r="O660" s="347"/>
      <c r="P660" s="347"/>
      <c r="Q660" s="347"/>
      <c r="R660" s="347"/>
      <c r="AS660" s="334"/>
      <c r="AT660" s="334"/>
      <c r="AU660" s="334"/>
      <c r="AV660" s="334"/>
      <c r="AW660" s="335"/>
      <c r="AX660" s="335"/>
      <c r="AY660" s="335"/>
      <c r="AZ660" s="335"/>
      <c r="BA660" s="335"/>
      <c r="BB660" s="335"/>
      <c r="BC660" s="335"/>
      <c r="BD660" s="335"/>
      <c r="BE660" s="335"/>
    </row>
    <row r="661" customFormat="false" ht="14.15" hidden="true" customHeight="true" outlineLevel="1" collapsed="false">
      <c r="A661" s="480" t="s">
        <v>2098</v>
      </c>
      <c r="E661" s="355"/>
      <c r="J661" s="347"/>
      <c r="K661" s="347"/>
      <c r="L661" s="347"/>
      <c r="M661" s="446"/>
      <c r="N661" s="347"/>
      <c r="O661" s="347"/>
      <c r="P661" s="347"/>
      <c r="Q661" s="347"/>
      <c r="R661" s="347"/>
      <c r="AS661" s="334"/>
      <c r="AT661" s="334"/>
      <c r="AU661" s="334"/>
      <c r="AV661" s="334"/>
      <c r="AW661" s="335"/>
      <c r="AX661" s="335"/>
      <c r="AY661" s="335"/>
      <c r="AZ661" s="335"/>
      <c r="BA661" s="335"/>
      <c r="BB661" s="335"/>
      <c r="BC661" s="335"/>
      <c r="BD661" s="335"/>
      <c r="BE661" s="335"/>
    </row>
    <row r="662" customFormat="false" ht="14.15" hidden="true" customHeight="true" outlineLevel="1" collapsed="false">
      <c r="A662" s="540" t="s">
        <v>2099</v>
      </c>
      <c r="B662" s="363"/>
      <c r="E662" s="355"/>
      <c r="J662" s="347"/>
      <c r="K662" s="347"/>
      <c r="L662" s="347"/>
      <c r="M662" s="446"/>
      <c r="N662" s="347"/>
      <c r="O662" s="347"/>
      <c r="P662" s="347"/>
      <c r="Q662" s="347"/>
      <c r="R662" s="347"/>
      <c r="AS662" s="334"/>
      <c r="AT662" s="334"/>
      <c r="AU662" s="334"/>
      <c r="AV662" s="334"/>
      <c r="AW662" s="335"/>
      <c r="AX662" s="335"/>
      <c r="AY662" s="335"/>
      <c r="AZ662" s="335"/>
      <c r="BA662" s="335"/>
      <c r="BB662" s="335"/>
      <c r="BC662" s="335"/>
      <c r="BD662" s="335"/>
      <c r="BE662" s="335"/>
    </row>
    <row r="663" customFormat="false" ht="14.15" hidden="true" customHeight="true" outlineLevel="1" collapsed="false">
      <c r="A663" s="563" t="s">
        <v>878</v>
      </c>
      <c r="E663" s="355"/>
      <c r="J663" s="347"/>
      <c r="K663" s="347"/>
      <c r="L663" s="347"/>
      <c r="M663" s="446"/>
      <c r="N663" s="347"/>
      <c r="O663" s="347"/>
      <c r="P663" s="347"/>
      <c r="Q663" s="347"/>
      <c r="R663" s="347"/>
      <c r="AS663" s="334"/>
      <c r="AT663" s="334"/>
      <c r="AU663" s="334"/>
      <c r="AV663" s="334"/>
      <c r="AW663" s="335"/>
      <c r="AX663" s="335"/>
      <c r="AY663" s="335"/>
      <c r="AZ663" s="335"/>
      <c r="BA663" s="335"/>
      <c r="BB663" s="335"/>
      <c r="BC663" s="335"/>
      <c r="BD663" s="335"/>
      <c r="BE663" s="335"/>
    </row>
    <row r="664" customFormat="false" ht="14.15" hidden="true" customHeight="true" outlineLevel="1" collapsed="false">
      <c r="A664" s="564" t="s">
        <v>2101</v>
      </c>
      <c r="B664" s="371"/>
      <c r="E664" s="355"/>
      <c r="J664" s="347"/>
      <c r="K664" s="347"/>
      <c r="L664" s="347"/>
      <c r="M664" s="446"/>
      <c r="N664" s="347"/>
      <c r="O664" s="347"/>
      <c r="P664" s="347"/>
      <c r="Q664" s="347"/>
      <c r="R664" s="347"/>
      <c r="AS664" s="334"/>
      <c r="AT664" s="334"/>
      <c r="AU664" s="334"/>
      <c r="AV664" s="334"/>
      <c r="AW664" s="335"/>
      <c r="AX664" s="335"/>
      <c r="AY664" s="335"/>
      <c r="AZ664" s="335"/>
      <c r="BA664" s="335"/>
      <c r="BB664" s="335"/>
      <c r="BC664" s="335"/>
      <c r="BD664" s="335"/>
      <c r="BE664" s="335"/>
    </row>
    <row r="665" customFormat="false" ht="14.15" hidden="true" customHeight="true" outlineLevel="1" collapsed="false">
      <c r="A665" s="565" t="s">
        <v>1449</v>
      </c>
      <c r="E665" s="355"/>
      <c r="J665" s="347"/>
      <c r="K665" s="347"/>
      <c r="L665" s="347"/>
      <c r="M665" s="446"/>
      <c r="N665" s="347"/>
      <c r="O665" s="347"/>
      <c r="P665" s="347"/>
      <c r="Q665" s="347"/>
      <c r="R665" s="347"/>
      <c r="AS665" s="334"/>
      <c r="AT665" s="334"/>
      <c r="AU665" s="334"/>
      <c r="AV665" s="334"/>
      <c r="AW665" s="335"/>
      <c r="AX665" s="335"/>
      <c r="AY665" s="335"/>
      <c r="AZ665" s="335"/>
      <c r="BA665" s="335"/>
      <c r="BB665" s="335"/>
      <c r="BC665" s="335"/>
      <c r="BD665" s="335"/>
      <c r="BE665" s="335"/>
    </row>
    <row r="666" customFormat="false" ht="14.15" hidden="true" customHeight="true" outlineLevel="1" collapsed="false">
      <c r="A666" s="231" t="s">
        <v>1447</v>
      </c>
      <c r="B666" s="566" t="s">
        <v>1821</v>
      </c>
      <c r="E666" s="355"/>
      <c r="F666" s="562" t="s">
        <v>2137</v>
      </c>
      <c r="G666" s="562"/>
      <c r="J666" s="347"/>
      <c r="K666" s="347"/>
      <c r="L666" s="347"/>
      <c r="M666" s="446"/>
      <c r="N666" s="347"/>
      <c r="O666" s="347"/>
      <c r="P666" s="347"/>
      <c r="Q666" s="347"/>
      <c r="R666" s="347"/>
      <c r="AS666" s="334"/>
      <c r="AT666" s="334"/>
      <c r="AU666" s="334"/>
      <c r="AV666" s="334"/>
      <c r="AW666" s="335"/>
      <c r="AX666" s="335"/>
      <c r="AY666" s="335"/>
      <c r="AZ666" s="335"/>
      <c r="BA666" s="335"/>
      <c r="BB666" s="335"/>
      <c r="BC666" s="335"/>
      <c r="BD666" s="335"/>
      <c r="BE666" s="335"/>
    </row>
    <row r="667" customFormat="false" ht="14.15" hidden="true" customHeight="true" outlineLevel="1" collapsed="false">
      <c r="A667" s="567" t="s">
        <v>2102</v>
      </c>
      <c r="B667" s="568" t="s">
        <v>1821</v>
      </c>
      <c r="E667" s="355"/>
      <c r="F667" s="562"/>
      <c r="G667" s="562"/>
      <c r="J667" s="347"/>
      <c r="K667" s="347"/>
      <c r="L667" s="347"/>
      <c r="M667" s="446"/>
      <c r="N667" s="347"/>
      <c r="O667" s="347"/>
      <c r="P667" s="347"/>
      <c r="Q667" s="347"/>
      <c r="R667" s="347"/>
      <c r="AS667" s="334"/>
      <c r="AT667" s="334"/>
      <c r="AU667" s="334"/>
      <c r="AV667" s="334"/>
      <c r="AW667" s="335"/>
      <c r="AX667" s="335"/>
      <c r="AY667" s="335"/>
      <c r="AZ667" s="335"/>
      <c r="BA667" s="335"/>
      <c r="BB667" s="335"/>
      <c r="BC667" s="335"/>
      <c r="BD667" s="335"/>
      <c r="BE667" s="335"/>
    </row>
    <row r="668" customFormat="false" ht="14.15" hidden="true" customHeight="true" outlineLevel="1" collapsed="false">
      <c r="A668" s="567" t="s">
        <v>2103</v>
      </c>
      <c r="B668" s="568" t="s">
        <v>1821</v>
      </c>
      <c r="E668" s="355"/>
      <c r="F668" s="562"/>
      <c r="G668" s="562"/>
      <c r="J668" s="347"/>
      <c r="K668" s="347"/>
      <c r="L668" s="347"/>
      <c r="M668" s="446"/>
      <c r="N668" s="347"/>
      <c r="O668" s="347"/>
      <c r="P668" s="347"/>
      <c r="Q668" s="347"/>
      <c r="R668" s="347"/>
      <c r="AS668" s="334"/>
      <c r="AT668" s="334"/>
      <c r="AU668" s="334"/>
      <c r="AV668" s="334"/>
      <c r="AW668" s="335"/>
      <c r="AX668" s="335"/>
      <c r="AY668" s="335"/>
      <c r="AZ668" s="335"/>
      <c r="BA668" s="335"/>
      <c r="BB668" s="335"/>
      <c r="BC668" s="335"/>
      <c r="BD668" s="335"/>
      <c r="BE668" s="335"/>
    </row>
    <row r="669" customFormat="false" ht="14.15" hidden="true" customHeight="true" outlineLevel="1" collapsed="false">
      <c r="A669" s="569" t="s">
        <v>917</v>
      </c>
      <c r="B669" s="570" t="s">
        <v>1821</v>
      </c>
      <c r="E669" s="355"/>
      <c r="F669" s="562"/>
      <c r="G669" s="562"/>
      <c r="J669" s="347"/>
      <c r="K669" s="347"/>
      <c r="L669" s="347"/>
      <c r="M669" s="446"/>
      <c r="N669" s="347"/>
      <c r="O669" s="347"/>
      <c r="P669" s="347"/>
      <c r="Q669" s="347"/>
      <c r="R669" s="347"/>
      <c r="AS669" s="334"/>
      <c r="AT669" s="334"/>
      <c r="AU669" s="334"/>
      <c r="AV669" s="334"/>
      <c r="AW669" s="335"/>
      <c r="AX669" s="335"/>
      <c r="AY669" s="335"/>
      <c r="AZ669" s="335"/>
      <c r="BA669" s="335"/>
      <c r="BB669" s="335"/>
      <c r="BC669" s="335"/>
      <c r="BD669" s="335"/>
      <c r="BE669" s="335"/>
    </row>
    <row r="670" customFormat="false" ht="14.15" hidden="true" customHeight="true" outlineLevel="1" collapsed="false">
      <c r="A670" s="327"/>
      <c r="E670" s="355"/>
      <c r="F670" s="562"/>
      <c r="G670" s="562"/>
      <c r="J670" s="347"/>
      <c r="K670" s="347"/>
      <c r="L670" s="347"/>
      <c r="M670" s="446"/>
      <c r="N670" s="347"/>
      <c r="O670" s="347"/>
      <c r="P670" s="347"/>
      <c r="Q670" s="347"/>
      <c r="R670" s="347"/>
      <c r="AS670" s="334"/>
      <c r="AT670" s="334"/>
      <c r="AU670" s="334"/>
      <c r="AV670" s="334"/>
      <c r="AW670" s="335"/>
      <c r="AX670" s="335"/>
      <c r="AY670" s="335"/>
      <c r="AZ670" s="335"/>
      <c r="BA670" s="335"/>
      <c r="BB670" s="335"/>
      <c r="BC670" s="335"/>
      <c r="BD670" s="335"/>
      <c r="BE670" s="335"/>
    </row>
    <row r="671" customFormat="false" ht="14.15" hidden="true" customHeight="true" outlineLevel="1" collapsed="false">
      <c r="A671" s="466" t="s">
        <v>2107</v>
      </c>
      <c r="E671" s="355"/>
      <c r="F671" s="355"/>
      <c r="J671" s="347"/>
      <c r="K671" s="347"/>
      <c r="L671" s="347"/>
      <c r="M671" s="446"/>
      <c r="N671" s="347"/>
      <c r="O671" s="347"/>
      <c r="P671" s="347"/>
      <c r="Q671" s="347"/>
      <c r="R671" s="347"/>
      <c r="AS671" s="334"/>
      <c r="AT671" s="334"/>
      <c r="AU671" s="334"/>
      <c r="AV671" s="334"/>
      <c r="AW671" s="335"/>
      <c r="AX671" s="335"/>
      <c r="AY671" s="335"/>
      <c r="AZ671" s="335"/>
      <c r="BA671" s="335"/>
      <c r="BB671" s="335"/>
      <c r="BC671" s="335"/>
      <c r="BD671" s="335"/>
      <c r="BE671" s="335"/>
    </row>
    <row r="672" customFormat="false" ht="14.15" hidden="true" customHeight="true" outlineLevel="1" collapsed="false">
      <c r="A672" s="470" t="s">
        <v>303</v>
      </c>
      <c r="E672" s="355"/>
      <c r="F672" s="355"/>
      <c r="J672" s="347"/>
      <c r="K672" s="347"/>
      <c r="L672" s="347"/>
      <c r="M672" s="446"/>
      <c r="N672" s="347"/>
      <c r="O672" s="347"/>
      <c r="P672" s="347"/>
      <c r="Q672" s="347"/>
      <c r="R672" s="347"/>
      <c r="AS672" s="334"/>
      <c r="AT672" s="334"/>
      <c r="AU672" s="334"/>
      <c r="AV672" s="334"/>
      <c r="AW672" s="335"/>
      <c r="AX672" s="335"/>
      <c r="AY672" s="335"/>
      <c r="AZ672" s="335"/>
      <c r="BA672" s="335"/>
      <c r="BB672" s="335"/>
      <c r="BC672" s="335"/>
      <c r="BD672" s="335"/>
      <c r="BE672" s="335"/>
    </row>
    <row r="673" customFormat="false" ht="14.15" hidden="true" customHeight="true" outlineLevel="1" collapsed="false">
      <c r="A673" s="466" t="s">
        <v>2138</v>
      </c>
      <c r="E673" s="355"/>
      <c r="F673" s="355"/>
      <c r="J673" s="347"/>
      <c r="K673" s="347"/>
      <c r="L673" s="347"/>
      <c r="M673" s="446"/>
      <c r="N673" s="347"/>
      <c r="O673" s="347"/>
      <c r="P673" s="347"/>
      <c r="Q673" s="347"/>
      <c r="R673" s="347"/>
      <c r="AS673" s="334"/>
      <c r="AT673" s="334"/>
      <c r="AU673" s="334"/>
      <c r="AV673" s="334"/>
      <c r="AW673" s="335"/>
      <c r="AX673" s="335"/>
      <c r="AY673" s="335"/>
      <c r="AZ673" s="335"/>
      <c r="BA673" s="335"/>
      <c r="BB673" s="335"/>
      <c r="BC673" s="335"/>
      <c r="BD673" s="335"/>
      <c r="BE673" s="335"/>
    </row>
    <row r="674" customFormat="false" ht="14.15" hidden="true" customHeight="true" outlineLevel="1" collapsed="false">
      <c r="A674" s="470" t="s">
        <v>302</v>
      </c>
      <c r="E674" s="355"/>
      <c r="F674" s="355"/>
      <c r="J674" s="347"/>
      <c r="K674" s="347"/>
      <c r="L674" s="347"/>
      <c r="M674" s="446"/>
      <c r="N674" s="347"/>
      <c r="O674" s="347"/>
      <c r="P674" s="347"/>
      <c r="Q674" s="347"/>
      <c r="R674" s="347"/>
      <c r="AS674" s="334"/>
      <c r="AT674" s="334"/>
      <c r="AU674" s="334"/>
      <c r="AV674" s="334"/>
      <c r="AW674" s="335"/>
      <c r="AX674" s="335"/>
      <c r="AY674" s="335"/>
      <c r="AZ674" s="335"/>
      <c r="BA674" s="335"/>
      <c r="BB674" s="335"/>
      <c r="BC674" s="335"/>
      <c r="BD674" s="335"/>
      <c r="BE674" s="335"/>
    </row>
    <row r="675" customFormat="false" ht="14.15" hidden="true" customHeight="true" outlineLevel="1" collapsed="false">
      <c r="A675" s="324" t="s">
        <v>2139</v>
      </c>
      <c r="E675" s="355"/>
      <c r="F675" s="355"/>
      <c r="J675" s="347"/>
      <c r="K675" s="347"/>
      <c r="L675" s="347"/>
      <c r="M675" s="446"/>
      <c r="N675" s="347"/>
      <c r="O675" s="347"/>
      <c r="P675" s="347"/>
      <c r="Q675" s="347"/>
      <c r="R675" s="347"/>
      <c r="AS675" s="334"/>
      <c r="AT675" s="334"/>
      <c r="AU675" s="334"/>
      <c r="AV675" s="334"/>
      <c r="AW675" s="335"/>
      <c r="AX675" s="335"/>
      <c r="AY675" s="335"/>
      <c r="AZ675" s="335"/>
      <c r="BA675" s="335"/>
      <c r="BB675" s="335"/>
      <c r="BC675" s="335"/>
      <c r="BD675" s="335"/>
      <c r="BE675" s="335"/>
    </row>
    <row r="676" customFormat="false" ht="14.15" hidden="true" customHeight="true" outlineLevel="1" collapsed="false">
      <c r="A676" s="470" t="s">
        <v>313</v>
      </c>
      <c r="E676" s="355"/>
      <c r="F676" s="355"/>
      <c r="I676" s="347"/>
      <c r="J676" s="347"/>
      <c r="K676" s="347"/>
      <c r="L676" s="446"/>
      <c r="M676" s="347"/>
      <c r="N676" s="347"/>
      <c r="O676" s="347"/>
      <c r="P676" s="347"/>
      <c r="Q676" s="347"/>
      <c r="AS676" s="334"/>
      <c r="AT676" s="334"/>
      <c r="AU676" s="334"/>
      <c r="AV676" s="334"/>
      <c r="AW676" s="335"/>
      <c r="AX676" s="335"/>
      <c r="AY676" s="335"/>
      <c r="AZ676" s="335"/>
      <c r="BA676" s="335"/>
      <c r="BB676" s="335"/>
      <c r="BC676" s="335"/>
      <c r="BD676" s="335"/>
      <c r="BE676" s="335"/>
    </row>
    <row r="677" customFormat="false" ht="14.15" hidden="true" customHeight="true" outlineLevel="1" collapsed="false">
      <c r="E677" s="355"/>
      <c r="F677" s="355"/>
      <c r="I677" s="347"/>
      <c r="J677" s="347"/>
      <c r="K677" s="347"/>
      <c r="L677" s="446"/>
      <c r="M677" s="347"/>
      <c r="N677" s="347"/>
      <c r="O677" s="347"/>
      <c r="P677" s="347"/>
      <c r="Q677" s="347"/>
      <c r="AS677" s="334"/>
      <c r="AT677" s="334"/>
      <c r="AU677" s="334"/>
      <c r="AV677" s="334"/>
      <c r="AW677" s="335"/>
      <c r="AX677" s="335"/>
      <c r="AY677" s="335"/>
      <c r="AZ677" s="335"/>
      <c r="BA677" s="335"/>
      <c r="BB677" s="335"/>
      <c r="BC677" s="335"/>
      <c r="BD677" s="335"/>
      <c r="BE677" s="335"/>
    </row>
    <row r="678" customFormat="false" ht="14.15" hidden="true" customHeight="true" outlineLevel="1" collapsed="false">
      <c r="A678" s="577" t="s">
        <v>2119</v>
      </c>
      <c r="B678" s="577"/>
      <c r="C678" s="577"/>
      <c r="E678" s="355"/>
      <c r="F678" s="355"/>
      <c r="I678" s="347"/>
      <c r="J678" s="347"/>
      <c r="K678" s="347"/>
      <c r="L678" s="446"/>
      <c r="M678" s="347"/>
      <c r="N678" s="347"/>
      <c r="O678" s="347"/>
      <c r="P678" s="347"/>
      <c r="Q678" s="347"/>
      <c r="AS678" s="334"/>
      <c r="AT678" s="334"/>
      <c r="AU678" s="334"/>
      <c r="AV678" s="334"/>
      <c r="AW678" s="335"/>
      <c r="AX678" s="335"/>
      <c r="AY678" s="335"/>
      <c r="AZ678" s="335"/>
      <c r="BA678" s="335"/>
      <c r="BB678" s="335"/>
      <c r="BC678" s="335"/>
      <c r="BD678" s="335"/>
      <c r="BE678" s="335"/>
    </row>
    <row r="679" customFormat="false" ht="14.15" hidden="true" customHeight="true" outlineLevel="1" collapsed="false">
      <c r="A679" s="393" t="s">
        <v>800</v>
      </c>
      <c r="B679" s="402" t="s">
        <v>159</v>
      </c>
      <c r="C679" s="378" t="n">
        <v>6</v>
      </c>
      <c r="E679" s="355"/>
      <c r="F679" s="355"/>
      <c r="I679" s="347"/>
      <c r="J679" s="347"/>
      <c r="K679" s="347"/>
      <c r="L679" s="446"/>
      <c r="M679" s="347"/>
      <c r="N679" s="347"/>
      <c r="O679" s="347"/>
      <c r="P679" s="347"/>
      <c r="Q679" s="347"/>
      <c r="AS679" s="334"/>
      <c r="AT679" s="334"/>
      <c r="AU679" s="334"/>
      <c r="AV679" s="334"/>
      <c r="AW679" s="335"/>
      <c r="AX679" s="335"/>
      <c r="AY679" s="335"/>
      <c r="AZ679" s="335"/>
      <c r="BA679" s="335"/>
      <c r="BB679" s="335"/>
      <c r="BC679" s="335"/>
      <c r="BD679" s="335"/>
      <c r="BE679" s="335"/>
    </row>
    <row r="680" customFormat="false" ht="14.15" hidden="true" customHeight="true" outlineLevel="1" collapsed="false">
      <c r="A680" s="393" t="s">
        <v>798</v>
      </c>
      <c r="B680" s="402" t="s">
        <v>159</v>
      </c>
      <c r="C680" s="378"/>
      <c r="E680" s="355"/>
      <c r="F680" s="355"/>
      <c r="I680" s="347"/>
      <c r="J680" s="347"/>
      <c r="K680" s="347"/>
      <c r="L680" s="446"/>
      <c r="M680" s="347"/>
      <c r="N680" s="347"/>
      <c r="O680" s="347"/>
      <c r="P680" s="347"/>
      <c r="Q680" s="347"/>
      <c r="AS680" s="334"/>
      <c r="AT680" s="334"/>
      <c r="AU680" s="334"/>
      <c r="AV680" s="334"/>
      <c r="AW680" s="335"/>
      <c r="AX680" s="335"/>
      <c r="AY680" s="335"/>
      <c r="AZ680" s="335"/>
      <c r="BA680" s="335"/>
      <c r="BB680" s="335"/>
      <c r="BC680" s="335"/>
      <c r="BD680" s="335"/>
      <c r="BE680" s="335"/>
    </row>
    <row r="681" customFormat="false" ht="14.15" hidden="true" customHeight="true" outlineLevel="1" collapsed="false">
      <c r="A681" s="393" t="s">
        <v>805</v>
      </c>
      <c r="B681" s="402" t="s">
        <v>159</v>
      </c>
      <c r="C681" s="378" t="n">
        <v>2</v>
      </c>
      <c r="E681" s="355"/>
      <c r="F681" s="355"/>
      <c r="I681" s="347"/>
      <c r="J681" s="347"/>
      <c r="K681" s="347"/>
      <c r="L681" s="446"/>
      <c r="M681" s="347"/>
      <c r="N681" s="347"/>
      <c r="O681" s="347"/>
      <c r="P681" s="347"/>
      <c r="Q681" s="347"/>
      <c r="AS681" s="334"/>
      <c r="AT681" s="334"/>
      <c r="AU681" s="334"/>
      <c r="AV681" s="334"/>
      <c r="AW681" s="335"/>
      <c r="AX681" s="335"/>
      <c r="AY681" s="335"/>
      <c r="AZ681" s="335"/>
      <c r="BA681" s="335"/>
      <c r="BB681" s="335"/>
      <c r="BC681" s="335"/>
      <c r="BD681" s="335"/>
      <c r="BE681" s="335"/>
    </row>
    <row r="682" customFormat="false" ht="14.15" hidden="true" customHeight="true" outlineLevel="1" collapsed="false">
      <c r="A682" s="393" t="s">
        <v>804</v>
      </c>
      <c r="B682" s="402" t="s">
        <v>159</v>
      </c>
      <c r="C682" s="378"/>
      <c r="E682" s="355"/>
      <c r="F682" s="355"/>
      <c r="I682" s="347"/>
      <c r="J682" s="347"/>
      <c r="K682" s="347"/>
      <c r="L682" s="446"/>
      <c r="M682" s="347"/>
      <c r="N682" s="347"/>
      <c r="O682" s="347"/>
      <c r="P682" s="347"/>
      <c r="Q682" s="347"/>
      <c r="AS682" s="334"/>
      <c r="AT682" s="334"/>
      <c r="AU682" s="334"/>
      <c r="AV682" s="334"/>
      <c r="AW682" s="335"/>
      <c r="AX682" s="335"/>
      <c r="AY682" s="335"/>
      <c r="AZ682" s="335"/>
      <c r="BA682" s="335"/>
      <c r="BB682" s="335"/>
      <c r="BC682" s="335"/>
      <c r="BD682" s="335"/>
      <c r="BE682" s="335"/>
    </row>
    <row r="683" customFormat="false" ht="14.15" hidden="true" customHeight="true" outlineLevel="1" collapsed="false">
      <c r="A683" s="393" t="s">
        <v>817</v>
      </c>
      <c r="B683" s="402" t="s">
        <v>159</v>
      </c>
      <c r="C683" s="378" t="n">
        <v>6</v>
      </c>
      <c r="E683" s="355"/>
      <c r="F683" s="355"/>
      <c r="I683" s="347"/>
      <c r="J683" s="347"/>
      <c r="K683" s="347"/>
      <c r="L683" s="446"/>
      <c r="M683" s="347"/>
      <c r="N683" s="347"/>
      <c r="O683" s="347"/>
      <c r="P683" s="347"/>
      <c r="Q683" s="347"/>
      <c r="AS683" s="334"/>
      <c r="AT683" s="334"/>
      <c r="AU683" s="334"/>
      <c r="AV683" s="334"/>
      <c r="AW683" s="335"/>
      <c r="AX683" s="335"/>
      <c r="AY683" s="335"/>
      <c r="AZ683" s="335"/>
      <c r="BA683" s="335"/>
      <c r="BB683" s="335"/>
      <c r="BC683" s="335"/>
      <c r="BD683" s="335"/>
      <c r="BE683" s="335"/>
    </row>
    <row r="684" customFormat="false" ht="14.15" hidden="true" customHeight="true" outlineLevel="1" collapsed="false">
      <c r="A684" s="393" t="s">
        <v>814</v>
      </c>
      <c r="B684" s="402" t="s">
        <v>159</v>
      </c>
      <c r="C684" s="378"/>
      <c r="E684" s="355"/>
      <c r="F684" s="355"/>
      <c r="I684" s="347"/>
      <c r="J684" s="347"/>
      <c r="K684" s="347"/>
      <c r="L684" s="446"/>
      <c r="M684" s="347"/>
      <c r="N684" s="347"/>
      <c r="O684" s="347"/>
      <c r="P684" s="347"/>
      <c r="Q684" s="347"/>
      <c r="AS684" s="334"/>
      <c r="AT684" s="334"/>
      <c r="AU684" s="334"/>
      <c r="AV684" s="334"/>
      <c r="AW684" s="335"/>
      <c r="AX684" s="335"/>
      <c r="AY684" s="335"/>
      <c r="AZ684" s="335"/>
      <c r="BA684" s="335"/>
      <c r="BB684" s="335"/>
      <c r="BC684" s="335"/>
      <c r="BD684" s="335"/>
      <c r="BE684" s="335"/>
    </row>
    <row r="685" customFormat="false" ht="14.15" hidden="true" customHeight="true" outlineLevel="1" collapsed="false">
      <c r="A685" s="393" t="s">
        <v>833</v>
      </c>
      <c r="B685" s="402" t="s">
        <v>188</v>
      </c>
      <c r="C685" s="378"/>
      <c r="E685" s="355"/>
      <c r="F685" s="355"/>
      <c r="I685" s="347"/>
      <c r="J685" s="347"/>
      <c r="K685" s="347"/>
      <c r="L685" s="446"/>
      <c r="M685" s="347"/>
      <c r="N685" s="347"/>
      <c r="O685" s="347"/>
      <c r="P685" s="347"/>
      <c r="Q685" s="347"/>
      <c r="AS685" s="334"/>
      <c r="AT685" s="334"/>
      <c r="AU685" s="334"/>
      <c r="AV685" s="334"/>
      <c r="AW685" s="335"/>
      <c r="AX685" s="335"/>
      <c r="AY685" s="335"/>
      <c r="AZ685" s="335"/>
      <c r="BA685" s="335"/>
      <c r="BB685" s="335"/>
      <c r="BC685" s="335"/>
      <c r="BD685" s="335"/>
      <c r="BE685" s="335"/>
    </row>
    <row r="686" customFormat="false" ht="14.15" hidden="true" customHeight="true" outlineLevel="1" collapsed="false">
      <c r="A686" s="393" t="s">
        <v>830</v>
      </c>
      <c r="B686" s="402" t="s">
        <v>188</v>
      </c>
      <c r="C686" s="378"/>
      <c r="E686" s="355"/>
      <c r="F686" s="355"/>
      <c r="I686" s="347"/>
      <c r="J686" s="347"/>
      <c r="K686" s="347"/>
      <c r="L686" s="446"/>
      <c r="M686" s="347"/>
      <c r="N686" s="347"/>
      <c r="O686" s="347"/>
      <c r="P686" s="347"/>
      <c r="Q686" s="347"/>
      <c r="AS686" s="334"/>
      <c r="AT686" s="334"/>
      <c r="AU686" s="334"/>
      <c r="AV686" s="334"/>
      <c r="AW686" s="335"/>
      <c r="AX686" s="335"/>
      <c r="AY686" s="335"/>
      <c r="AZ686" s="335"/>
      <c r="BA686" s="335"/>
      <c r="BB686" s="335"/>
      <c r="BC686" s="335"/>
      <c r="BD686" s="335"/>
      <c r="BE686" s="335"/>
    </row>
    <row r="687" customFormat="false" ht="14.15" hidden="true" customHeight="true" outlineLevel="1" collapsed="false">
      <c r="A687" s="393" t="s">
        <v>842</v>
      </c>
      <c r="B687" s="402" t="s">
        <v>188</v>
      </c>
      <c r="C687" s="378" t="n">
        <v>1</v>
      </c>
      <c r="E687" s="355"/>
      <c r="F687" s="355"/>
      <c r="I687" s="347"/>
      <c r="J687" s="347"/>
      <c r="K687" s="347"/>
      <c r="L687" s="446"/>
      <c r="M687" s="347"/>
      <c r="N687" s="347"/>
      <c r="O687" s="347"/>
      <c r="P687" s="347"/>
      <c r="Q687" s="347"/>
      <c r="AS687" s="334"/>
      <c r="AT687" s="334"/>
      <c r="AU687" s="334"/>
      <c r="AV687" s="334"/>
      <c r="AW687" s="335"/>
      <c r="AX687" s="335"/>
      <c r="AY687" s="335"/>
      <c r="AZ687" s="335"/>
      <c r="BA687" s="335"/>
      <c r="BB687" s="335"/>
      <c r="BC687" s="335"/>
      <c r="BD687" s="335"/>
      <c r="BE687" s="335"/>
    </row>
    <row r="688" customFormat="false" ht="14.15" hidden="true" customHeight="true" outlineLevel="1" collapsed="false">
      <c r="A688" s="393" t="s">
        <v>848</v>
      </c>
      <c r="B688" s="402" t="s">
        <v>188</v>
      </c>
      <c r="C688" s="378" t="n">
        <v>1</v>
      </c>
      <c r="E688" s="355"/>
      <c r="F688" s="355"/>
      <c r="I688" s="347"/>
      <c r="J688" s="347"/>
      <c r="K688" s="347"/>
      <c r="L688" s="446"/>
      <c r="M688" s="347"/>
      <c r="N688" s="347"/>
      <c r="O688" s="347"/>
      <c r="P688" s="347"/>
      <c r="Q688" s="347"/>
      <c r="AS688" s="334"/>
      <c r="AT688" s="334"/>
      <c r="AU688" s="334"/>
      <c r="AV688" s="334"/>
      <c r="AW688" s="335"/>
      <c r="AX688" s="335"/>
      <c r="AY688" s="335"/>
      <c r="AZ688" s="335"/>
      <c r="BA688" s="335"/>
      <c r="BB688" s="335"/>
      <c r="BC688" s="335"/>
      <c r="BD688" s="335"/>
      <c r="BE688" s="335"/>
    </row>
    <row r="689" customFormat="false" ht="14.15" hidden="true" customHeight="true" outlineLevel="1" collapsed="false">
      <c r="E689" s="355"/>
      <c r="F689" s="355"/>
      <c r="I689" s="347"/>
      <c r="J689" s="347"/>
      <c r="K689" s="347"/>
      <c r="L689" s="446"/>
      <c r="M689" s="347"/>
      <c r="N689" s="347"/>
      <c r="O689" s="347"/>
      <c r="P689" s="347"/>
      <c r="Q689" s="347"/>
      <c r="AS689" s="334"/>
      <c r="AT689" s="334"/>
      <c r="AU689" s="334"/>
      <c r="AV689" s="334"/>
      <c r="AW689" s="335"/>
      <c r="AX689" s="335"/>
      <c r="AY689" s="335"/>
      <c r="AZ689" s="335"/>
      <c r="BA689" s="335"/>
      <c r="BB689" s="335"/>
      <c r="BC689" s="335"/>
      <c r="BD689" s="335"/>
      <c r="BE689" s="335"/>
    </row>
    <row r="690" customFormat="false" ht="14.15" hidden="true" customHeight="true" outlineLevel="1" collapsed="false">
      <c r="A690" s="476" t="s">
        <v>155</v>
      </c>
      <c r="B690" s="584" t="s">
        <v>1793</v>
      </c>
      <c r="C690" s="585" t="n">
        <v>0</v>
      </c>
      <c r="E690" s="355"/>
      <c r="F690" s="355"/>
      <c r="I690" s="347"/>
      <c r="J690" s="347"/>
      <c r="K690" s="347"/>
      <c r="L690" s="446"/>
      <c r="M690" s="347"/>
      <c r="N690" s="347"/>
      <c r="O690" s="347"/>
      <c r="P690" s="347"/>
      <c r="Q690" s="347"/>
      <c r="AS690" s="334"/>
      <c r="AT690" s="334"/>
      <c r="AU690" s="334"/>
      <c r="AV690" s="334"/>
      <c r="AW690" s="335"/>
      <c r="AX690" s="335"/>
      <c r="AY690" s="335"/>
      <c r="AZ690" s="335"/>
      <c r="BA690" s="335"/>
      <c r="BB690" s="335"/>
      <c r="BC690" s="335"/>
      <c r="BD690" s="335"/>
      <c r="BE690" s="335"/>
    </row>
    <row r="691" customFormat="false" ht="14.15" hidden="true" customHeight="true" outlineLevel="1" collapsed="false">
      <c r="A691" s="476" t="s">
        <v>152</v>
      </c>
      <c r="B691" s="584" t="s">
        <v>1793</v>
      </c>
      <c r="C691" s="586" t="n">
        <v>0</v>
      </c>
      <c r="E691" s="355"/>
      <c r="F691" s="355"/>
      <c r="AS691" s="334"/>
      <c r="AT691" s="334"/>
      <c r="AU691" s="334"/>
      <c r="AV691" s="334"/>
      <c r="AW691" s="335"/>
      <c r="AX691" s="335"/>
      <c r="AY691" s="335"/>
      <c r="AZ691" s="335"/>
      <c r="BA691" s="335"/>
      <c r="BB691" s="335"/>
      <c r="BC691" s="335"/>
      <c r="BD691" s="335"/>
      <c r="BE691" s="335"/>
    </row>
    <row r="692" customFormat="false" ht="14.15" hidden="true" customHeight="true" outlineLevel="1" collapsed="false">
      <c r="A692" s="265" t="s">
        <v>2140</v>
      </c>
      <c r="B692" s="264" t="s">
        <v>1796</v>
      </c>
      <c r="C692" s="587" t="n">
        <v>5000</v>
      </c>
      <c r="E692" s="355"/>
      <c r="F692" s="355"/>
      <c r="AS692" s="334"/>
      <c r="AT692" s="334"/>
      <c r="AU692" s="334"/>
      <c r="AV692" s="334"/>
      <c r="AW692" s="335"/>
      <c r="AX692" s="335"/>
      <c r="AY692" s="335"/>
      <c r="AZ692" s="335"/>
      <c r="BA692" s="335"/>
      <c r="BB692" s="335"/>
      <c r="BC692" s="335"/>
      <c r="BD692" s="335"/>
      <c r="BE692" s="335"/>
    </row>
    <row r="693" customFormat="false" ht="14.15" hidden="false" customHeight="true" outlineLevel="0" collapsed="false">
      <c r="A693" s="408" t="s">
        <v>2141</v>
      </c>
      <c r="B693" s="408"/>
      <c r="C693" s="408"/>
      <c r="D693" s="408"/>
      <c r="E693" s="408"/>
      <c r="F693" s="578" t="s">
        <v>1798</v>
      </c>
      <c r="AS693" s="334"/>
      <c r="AT693" s="334"/>
      <c r="AU693" s="334"/>
      <c r="AV693" s="334"/>
      <c r="AW693" s="335"/>
      <c r="AX693" s="335"/>
      <c r="AY693" s="335"/>
      <c r="AZ693" s="335"/>
      <c r="BA693" s="335"/>
      <c r="BB693" s="335"/>
      <c r="BC693" s="335"/>
      <c r="BD693" s="335"/>
      <c r="BE693" s="335"/>
    </row>
    <row r="694" customFormat="false" ht="14.15" hidden="false" customHeight="true" outlineLevel="0" collapsed="false">
      <c r="E694" s="355"/>
      <c r="F694" s="355"/>
      <c r="I694" s="347"/>
      <c r="J694" s="347"/>
      <c r="K694" s="347"/>
      <c r="L694" s="446"/>
      <c r="M694" s="347"/>
      <c r="N694" s="347"/>
      <c r="O694" s="347"/>
      <c r="P694" s="347"/>
      <c r="Q694" s="347"/>
      <c r="AS694" s="334"/>
      <c r="AT694" s="334"/>
      <c r="AU694" s="334"/>
      <c r="AV694" s="334"/>
      <c r="AW694" s="335"/>
      <c r="AX694" s="335"/>
      <c r="AY694" s="335"/>
      <c r="AZ694" s="335"/>
      <c r="BA694" s="335"/>
      <c r="BB694" s="335"/>
      <c r="BC694" s="335"/>
      <c r="BD694" s="335"/>
      <c r="BE694" s="335"/>
    </row>
    <row r="695" customFormat="false" ht="14.15" hidden="true" customHeight="true" outlineLevel="1" collapsed="false">
      <c r="A695" s="588" t="s">
        <v>852</v>
      </c>
      <c r="B695" s="588"/>
      <c r="C695" s="588"/>
      <c r="D695" s="588"/>
      <c r="E695" s="588"/>
      <c r="F695" s="588"/>
      <c r="G695" s="588"/>
      <c r="H695" s="589"/>
      <c r="I695" s="589"/>
      <c r="J695" s="589"/>
      <c r="K695" s="589"/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347"/>
      <c r="AH695" s="347"/>
      <c r="AI695" s="347"/>
      <c r="AJ695" s="347"/>
      <c r="AK695" s="347"/>
      <c r="AL695" s="347"/>
      <c r="AM695" s="347"/>
      <c r="AN695" s="347"/>
      <c r="AO695" s="351"/>
      <c r="AP695" s="351"/>
      <c r="AQ695" s="335"/>
      <c r="AR695" s="335"/>
      <c r="AS695" s="335"/>
      <c r="AT695" s="335"/>
      <c r="AU695" s="334"/>
      <c r="AV695" s="334"/>
      <c r="AW695" s="335"/>
      <c r="AX695" s="335"/>
      <c r="AY695" s="335"/>
      <c r="AZ695" s="335"/>
      <c r="BA695" s="335"/>
      <c r="BB695" s="335"/>
      <c r="BC695" s="335"/>
      <c r="BD695" s="335"/>
      <c r="BE695" s="335"/>
    </row>
    <row r="696" customFormat="false" ht="14.15" hidden="true" customHeight="true" outlineLevel="1" collapsed="false">
      <c r="A696" s="588"/>
      <c r="B696" s="588"/>
      <c r="C696" s="588"/>
      <c r="D696" s="588"/>
      <c r="E696" s="588"/>
      <c r="F696" s="588"/>
      <c r="G696" s="588"/>
      <c r="H696" s="589"/>
      <c r="I696" s="589"/>
      <c r="J696" s="589"/>
      <c r="K696" s="589"/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347"/>
      <c r="AH696" s="347"/>
      <c r="AI696" s="347"/>
      <c r="AJ696" s="347"/>
      <c r="AK696" s="347"/>
      <c r="AL696" s="347"/>
      <c r="AM696" s="347"/>
      <c r="AN696" s="347"/>
      <c r="AO696" s="351"/>
      <c r="AP696" s="351"/>
      <c r="AQ696" s="335"/>
      <c r="AR696" s="335"/>
      <c r="AS696" s="335"/>
      <c r="AT696" s="335"/>
      <c r="AU696" s="334"/>
      <c r="AV696" s="334"/>
      <c r="AW696" s="335"/>
      <c r="AX696" s="335"/>
      <c r="AY696" s="335"/>
      <c r="AZ696" s="335"/>
      <c r="BA696" s="335"/>
      <c r="BB696" s="335"/>
      <c r="BC696" s="335"/>
      <c r="BD696" s="335"/>
      <c r="BE696" s="335"/>
    </row>
    <row r="697" customFormat="false" ht="14.15" hidden="true" customHeight="true" outlineLevel="1" collapsed="false">
      <c r="A697" s="590" t="s">
        <v>1806</v>
      </c>
      <c r="B697" s="590"/>
      <c r="C697" s="590"/>
      <c r="D697" s="590"/>
      <c r="E697" s="591" t="n">
        <v>1</v>
      </c>
      <c r="F697" s="244"/>
      <c r="G697" s="244"/>
      <c r="H697" s="244"/>
      <c r="I697" s="244"/>
      <c r="J697" s="244"/>
      <c r="K697" s="244"/>
      <c r="L697" s="244"/>
      <c r="M697" s="244"/>
      <c r="N697" s="244"/>
      <c r="O697" s="244"/>
      <c r="P697" s="244"/>
      <c r="Q697" s="244"/>
      <c r="R697" s="244"/>
      <c r="S697" s="244"/>
      <c r="T697" s="244"/>
      <c r="U697" s="244"/>
      <c r="V697" s="244"/>
      <c r="W697" s="244"/>
      <c r="X697" s="244"/>
      <c r="Y697" s="244"/>
      <c r="Z697" s="244"/>
      <c r="AA697" s="592"/>
      <c r="AB697" s="593"/>
      <c r="AC697" s="593"/>
      <c r="AD697" s="335"/>
      <c r="AE697" s="335"/>
      <c r="AF697" s="335" t="n">
        <f aca="false">E697</f>
        <v>1</v>
      </c>
      <c r="AG697" s="347"/>
      <c r="AH697" s="347"/>
      <c r="AI697" s="347"/>
      <c r="AJ697" s="347"/>
      <c r="AK697" s="347"/>
      <c r="AL697" s="347"/>
      <c r="AM697" s="347"/>
      <c r="AN697" s="347"/>
      <c r="AO697" s="351"/>
      <c r="AP697" s="351"/>
      <c r="AQ697" s="335"/>
      <c r="AR697" s="335"/>
      <c r="AS697" s="335"/>
      <c r="AT697" s="335"/>
      <c r="AU697" s="334"/>
      <c r="AV697" s="334"/>
      <c r="AW697" s="335"/>
      <c r="AX697" s="335"/>
      <c r="AY697" s="335"/>
      <c r="AZ697" s="335"/>
      <c r="BA697" s="335"/>
      <c r="BB697" s="335"/>
      <c r="BC697" s="335"/>
      <c r="BD697" s="335"/>
      <c r="BE697" s="335"/>
    </row>
    <row r="698" customFormat="false" ht="14.15" hidden="true" customHeight="true" outlineLevel="1" collapsed="false">
      <c r="A698" s="594" t="s">
        <v>1808</v>
      </c>
      <c r="B698" s="594"/>
      <c r="C698" s="594"/>
      <c r="D698" s="594"/>
      <c r="E698" s="595" t="n">
        <v>1</v>
      </c>
      <c r="F698" s="244"/>
      <c r="G698" s="244"/>
      <c r="H698" s="244"/>
      <c r="I698" s="244"/>
      <c r="J698" s="244"/>
      <c r="K698" s="244"/>
      <c r="L698" s="244"/>
      <c r="M698" s="244"/>
      <c r="N698" s="244"/>
      <c r="O698" s="244"/>
      <c r="P698" s="244"/>
      <c r="Q698" s="244"/>
      <c r="R698" s="244"/>
      <c r="S698" s="244"/>
      <c r="T698" s="244"/>
      <c r="U698" s="244"/>
      <c r="V698" s="244"/>
      <c r="W698" s="244"/>
      <c r="X698" s="244"/>
      <c r="Y698" s="244"/>
      <c r="Z698" s="244"/>
      <c r="AA698" s="592"/>
      <c r="AB698" s="593"/>
      <c r="AC698" s="593"/>
      <c r="AD698" s="335"/>
      <c r="AE698" s="335"/>
      <c r="AF698" s="335"/>
      <c r="AG698" s="347"/>
      <c r="AH698" s="347"/>
      <c r="AI698" s="347"/>
      <c r="AJ698" s="347"/>
      <c r="AK698" s="347"/>
      <c r="AL698" s="347"/>
      <c r="AM698" s="347"/>
      <c r="AN698" s="347"/>
      <c r="AO698" s="351"/>
      <c r="AP698" s="351"/>
      <c r="AQ698" s="335"/>
      <c r="AR698" s="335"/>
      <c r="AS698" s="335"/>
      <c r="AT698" s="335"/>
      <c r="AU698" s="334"/>
      <c r="AV698" s="334"/>
      <c r="AW698" s="335"/>
      <c r="AX698" s="335"/>
      <c r="AY698" s="335"/>
      <c r="AZ698" s="335"/>
      <c r="BA698" s="335"/>
      <c r="BB698" s="335"/>
      <c r="BC698" s="335"/>
      <c r="BD698" s="335"/>
      <c r="BE698" s="335"/>
    </row>
    <row r="699" customFormat="false" ht="14.15" hidden="true" customHeight="true" outlineLevel="1" collapsed="false">
      <c r="A699" s="355"/>
      <c r="B699" s="363"/>
      <c r="C699" s="355"/>
      <c r="D699" s="355"/>
      <c r="E699" s="244"/>
      <c r="F699" s="244"/>
      <c r="G699" s="244"/>
      <c r="H699" s="244"/>
      <c r="I699" s="244"/>
      <c r="J699" s="244"/>
      <c r="K699" s="244"/>
      <c r="L699" s="244"/>
      <c r="M699" s="244"/>
      <c r="N699" s="244"/>
      <c r="O699" s="244"/>
      <c r="P699" s="244"/>
      <c r="Q699" s="244"/>
      <c r="R699" s="244"/>
      <c r="S699" s="244"/>
      <c r="T699" s="244"/>
      <c r="U699" s="244"/>
      <c r="V699" s="244"/>
      <c r="W699" s="244"/>
      <c r="X699" s="244"/>
      <c r="Y699" s="272"/>
      <c r="Z699" s="272"/>
      <c r="AA699" s="596" t="n">
        <f aca="false">E698</f>
        <v>1</v>
      </c>
      <c r="AB699" s="597"/>
      <c r="AC699" s="597"/>
      <c r="AD699" s="335"/>
      <c r="AE699" s="335"/>
      <c r="AF699" s="335"/>
      <c r="AG699" s="347"/>
      <c r="AH699" s="347"/>
      <c r="AI699" s="347"/>
      <c r="AJ699" s="347"/>
      <c r="AK699" s="347"/>
      <c r="AL699" s="347"/>
      <c r="AM699" s="347"/>
      <c r="AN699" s="347"/>
      <c r="AO699" s="351"/>
      <c r="AP699" s="351"/>
      <c r="AQ699" s="335"/>
      <c r="AR699" s="335"/>
      <c r="AS699" s="335"/>
      <c r="AT699" s="335"/>
      <c r="AU699" s="334"/>
      <c r="AV699" s="334"/>
      <c r="AW699" s="335"/>
      <c r="AX699" s="335"/>
      <c r="AY699" s="335"/>
      <c r="AZ699" s="335"/>
      <c r="BA699" s="335"/>
      <c r="BB699" s="335"/>
      <c r="BC699" s="335"/>
      <c r="BD699" s="335"/>
      <c r="BE699" s="335"/>
    </row>
    <row r="700" customFormat="false" ht="14.15" hidden="true" customHeight="true" outlineLevel="1" collapsed="false">
      <c r="A700" s="540" t="s">
        <v>2099</v>
      </c>
      <c r="B700" s="363"/>
      <c r="C700" s="355"/>
      <c r="D700" s="355"/>
      <c r="E700" s="244"/>
      <c r="F700" s="244"/>
      <c r="G700" s="244"/>
      <c r="H700" s="244"/>
      <c r="I700" s="244"/>
      <c r="J700" s="244"/>
      <c r="K700" s="244"/>
      <c r="L700" s="244"/>
      <c r="M700" s="244"/>
      <c r="N700" s="244"/>
      <c r="O700" s="244"/>
      <c r="P700" s="244"/>
      <c r="Q700" s="244"/>
      <c r="R700" s="244"/>
      <c r="S700" s="244"/>
      <c r="T700" s="244"/>
      <c r="U700" s="244"/>
      <c r="V700" s="244"/>
      <c r="W700" s="244"/>
      <c r="X700" s="244"/>
      <c r="Y700" s="272"/>
      <c r="Z700" s="272"/>
      <c r="AA700" s="596"/>
      <c r="AB700" s="597"/>
      <c r="AC700" s="597"/>
      <c r="AD700" s="335"/>
      <c r="AE700" s="335"/>
      <c r="AF700" s="335"/>
      <c r="AG700" s="347"/>
      <c r="AH700" s="347"/>
      <c r="AI700" s="347"/>
      <c r="AJ700" s="347"/>
      <c r="AK700" s="347"/>
      <c r="AL700" s="347"/>
      <c r="AM700" s="347"/>
      <c r="AN700" s="347"/>
      <c r="AO700" s="351"/>
      <c r="AP700" s="351"/>
      <c r="AQ700" s="335"/>
      <c r="AR700" s="335"/>
      <c r="AS700" s="335"/>
      <c r="AT700" s="335"/>
      <c r="AU700" s="334"/>
      <c r="AV700" s="334"/>
      <c r="AW700" s="335"/>
      <c r="AX700" s="335"/>
      <c r="AY700" s="335"/>
      <c r="AZ700" s="335"/>
      <c r="BA700" s="335"/>
      <c r="BB700" s="335"/>
      <c r="BC700" s="335"/>
      <c r="BD700" s="335"/>
      <c r="BE700" s="335"/>
    </row>
    <row r="701" customFormat="false" ht="14.15" hidden="true" customHeight="true" outlineLevel="1" collapsed="false">
      <c r="A701" s="563" t="s">
        <v>880</v>
      </c>
      <c r="C701" s="358"/>
      <c r="D701" s="358"/>
      <c r="E701" s="358"/>
      <c r="F701" s="358"/>
      <c r="G701" s="358"/>
      <c r="H701" s="244"/>
      <c r="I701" s="244"/>
      <c r="J701" s="244"/>
      <c r="K701" s="244"/>
      <c r="L701" s="244"/>
      <c r="M701" s="244"/>
      <c r="N701" s="244"/>
      <c r="O701" s="244"/>
      <c r="P701" s="244"/>
      <c r="Q701" s="244"/>
      <c r="R701" s="244"/>
      <c r="S701" s="244"/>
      <c r="T701" s="244"/>
      <c r="U701" s="244"/>
      <c r="V701" s="244"/>
      <c r="W701" s="244"/>
      <c r="X701" s="244"/>
      <c r="Y701" s="272"/>
      <c r="Z701" s="272"/>
      <c r="AA701" s="272"/>
      <c r="AB701" s="598"/>
      <c r="AC701" s="598"/>
      <c r="AD701" s="347"/>
      <c r="AE701" s="347"/>
      <c r="AF701" s="347"/>
      <c r="AG701" s="347"/>
      <c r="AH701" s="347"/>
      <c r="AI701" s="347"/>
      <c r="AJ701" s="347"/>
      <c r="AK701" s="347"/>
      <c r="AL701" s="347"/>
      <c r="AM701" s="347"/>
      <c r="AN701" s="347"/>
      <c r="AO701" s="351"/>
      <c r="AP701" s="351"/>
      <c r="AQ701" s="335"/>
      <c r="AR701" s="335"/>
      <c r="AS701" s="335"/>
      <c r="AT701" s="335"/>
      <c r="AU701" s="334"/>
      <c r="AV701" s="334"/>
      <c r="AW701" s="335"/>
      <c r="AX701" s="335"/>
      <c r="AY701" s="335"/>
      <c r="AZ701" s="335"/>
      <c r="BA701" s="335"/>
      <c r="BB701" s="335"/>
      <c r="BC701" s="335"/>
      <c r="BD701" s="335"/>
      <c r="BE701" s="335"/>
    </row>
    <row r="702" customFormat="false" ht="14.15" hidden="true" customHeight="true" outlineLevel="1" collapsed="false">
      <c r="A702" s="564" t="s">
        <v>2101</v>
      </c>
      <c r="B702" s="371"/>
      <c r="C702" s="371"/>
      <c r="D702" s="371"/>
      <c r="E702" s="371"/>
      <c r="F702" s="371"/>
      <c r="G702" s="371"/>
      <c r="H702" s="244"/>
      <c r="I702" s="244"/>
      <c r="J702" s="244"/>
      <c r="K702" s="244"/>
      <c r="L702" s="244"/>
      <c r="M702" s="244"/>
      <c r="N702" s="244"/>
      <c r="O702" s="244"/>
      <c r="P702" s="244"/>
      <c r="Q702" s="244"/>
      <c r="R702" s="244"/>
      <c r="S702" s="244"/>
      <c r="T702" s="244"/>
      <c r="U702" s="244"/>
      <c r="V702" s="244"/>
      <c r="W702" s="244"/>
      <c r="X702" s="244"/>
      <c r="Y702" s="272"/>
      <c r="Z702" s="272"/>
      <c r="AA702" s="272"/>
      <c r="AB702" s="598"/>
      <c r="AC702" s="598"/>
      <c r="AD702" s="347"/>
      <c r="AE702" s="347"/>
      <c r="AF702" s="347"/>
      <c r="AG702" s="347"/>
      <c r="AH702" s="347"/>
      <c r="AI702" s="347"/>
      <c r="AJ702" s="347"/>
      <c r="AK702" s="347"/>
      <c r="AL702" s="347"/>
      <c r="AM702" s="347"/>
      <c r="AN702" s="347"/>
      <c r="AO702" s="351"/>
      <c r="AP702" s="351"/>
      <c r="AQ702" s="335"/>
      <c r="AR702" s="335"/>
      <c r="AS702" s="335"/>
      <c r="AT702" s="335"/>
      <c r="AU702" s="334"/>
      <c r="AV702" s="334"/>
      <c r="AW702" s="335"/>
      <c r="AX702" s="335"/>
      <c r="AY702" s="335"/>
      <c r="AZ702" s="335"/>
      <c r="BA702" s="335"/>
      <c r="BB702" s="335"/>
      <c r="BC702" s="335"/>
      <c r="BD702" s="335"/>
      <c r="BE702" s="335"/>
    </row>
    <row r="703" customFormat="false" ht="14.15" hidden="true" customHeight="true" outlineLevel="1" collapsed="false">
      <c r="A703" s="565" t="s">
        <v>2142</v>
      </c>
      <c r="D703" s="244"/>
      <c r="E703" s="244"/>
      <c r="F703" s="244"/>
      <c r="G703" s="347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47"/>
      <c r="AB703" s="347"/>
      <c r="AC703" s="347"/>
      <c r="AD703" s="358"/>
      <c r="AE703" s="358"/>
      <c r="AF703" s="244"/>
      <c r="AG703" s="244"/>
      <c r="AH703" s="358"/>
      <c r="AI703" s="244"/>
      <c r="AJ703" s="244"/>
      <c r="AK703" s="358"/>
      <c r="AL703" s="244"/>
      <c r="AM703" s="244"/>
      <c r="AN703" s="358"/>
      <c r="AO703" s="599"/>
      <c r="AP703" s="599"/>
      <c r="AQ703" s="334"/>
      <c r="AR703" s="334"/>
      <c r="AS703" s="334"/>
      <c r="AT703" s="334"/>
      <c r="AU703" s="334"/>
      <c r="AV703" s="334"/>
      <c r="AW703" s="334"/>
      <c r="AX703" s="335"/>
      <c r="AY703" s="335"/>
      <c r="AZ703" s="335"/>
      <c r="BA703" s="335"/>
      <c r="BB703" s="335"/>
      <c r="BC703" s="335"/>
      <c r="BD703" s="335"/>
      <c r="BE703" s="335"/>
    </row>
    <row r="704" customFormat="false" ht="14.15" hidden="true" customHeight="true" outlineLevel="1" collapsed="false">
      <c r="A704" s="231" t="s">
        <v>1447</v>
      </c>
      <c r="B704" s="566" t="s">
        <v>1821</v>
      </c>
      <c r="C704" s="600"/>
      <c r="G704" s="244"/>
      <c r="H704" s="355"/>
      <c r="I704" s="347"/>
      <c r="J704" s="347"/>
      <c r="K704" s="244"/>
      <c r="L704" s="244"/>
      <c r="O704" s="342"/>
      <c r="P704" s="342"/>
      <c r="Q704" s="358"/>
      <c r="R704" s="358"/>
      <c r="S704" s="347"/>
      <c r="T704" s="347"/>
      <c r="U704" s="347"/>
      <c r="V704" s="347"/>
      <c r="W704" s="347"/>
      <c r="X704" s="347"/>
      <c r="Y704" s="347"/>
      <c r="Z704" s="347"/>
      <c r="AA704" s="347"/>
      <c r="AB704" s="347"/>
      <c r="AC704" s="347"/>
      <c r="AD704" s="347"/>
      <c r="AE704" s="347"/>
      <c r="AF704" s="347"/>
      <c r="AG704" s="347"/>
      <c r="AH704" s="347"/>
      <c r="AI704" s="347"/>
      <c r="AJ704" s="347"/>
      <c r="AK704" s="347"/>
      <c r="AL704" s="347"/>
      <c r="AM704" s="347"/>
      <c r="AN704" s="347"/>
      <c r="AO704" s="351"/>
      <c r="AP704" s="351"/>
      <c r="AQ704" s="335"/>
      <c r="AR704" s="335"/>
      <c r="AS704" s="335"/>
      <c r="AT704" s="335"/>
      <c r="AU704" s="334"/>
      <c r="AV704" s="334"/>
      <c r="AW704" s="335"/>
      <c r="AX704" s="335"/>
      <c r="AY704" s="335"/>
      <c r="AZ704" s="335"/>
      <c r="BA704" s="335"/>
      <c r="BB704" s="335"/>
      <c r="BC704" s="335"/>
      <c r="BD704" s="335"/>
      <c r="BE704" s="335"/>
    </row>
    <row r="705" customFormat="false" ht="14.15" hidden="true" customHeight="true" outlineLevel="1" collapsed="false">
      <c r="A705" s="567" t="s">
        <v>2102</v>
      </c>
      <c r="B705" s="568" t="s">
        <v>1821</v>
      </c>
      <c r="C705" s="601"/>
      <c r="G705" s="601"/>
      <c r="H705" s="504"/>
      <c r="I705" s="347"/>
      <c r="J705" s="347"/>
      <c r="K705" s="244"/>
      <c r="L705" s="244"/>
      <c r="O705" s="342"/>
      <c r="P705" s="342"/>
      <c r="Q705" s="358"/>
      <c r="R705" s="358"/>
      <c r="S705" s="347"/>
      <c r="T705" s="347"/>
      <c r="U705" s="347"/>
      <c r="V705" s="347"/>
      <c r="W705" s="347"/>
      <c r="X705" s="347"/>
      <c r="Y705" s="347"/>
      <c r="Z705" s="347"/>
      <c r="AA705" s="347"/>
      <c r="AB705" s="347"/>
      <c r="AC705" s="347"/>
      <c r="AD705" s="347"/>
      <c r="AE705" s="347"/>
      <c r="AF705" s="347"/>
      <c r="AG705" s="347"/>
      <c r="AH705" s="347"/>
      <c r="AI705" s="347"/>
      <c r="AJ705" s="347"/>
      <c r="AK705" s="347"/>
      <c r="AL705" s="347"/>
      <c r="AM705" s="347"/>
      <c r="AN705" s="347"/>
      <c r="AO705" s="351"/>
      <c r="AP705" s="351"/>
      <c r="AQ705" s="335"/>
      <c r="AR705" s="335"/>
      <c r="AS705" s="335"/>
      <c r="AT705" s="335"/>
      <c r="AU705" s="334"/>
      <c r="AV705" s="334"/>
      <c r="AW705" s="335"/>
      <c r="AX705" s="335"/>
      <c r="AY705" s="335"/>
      <c r="AZ705" s="335"/>
      <c r="BA705" s="335"/>
      <c r="BB705" s="335"/>
      <c r="BC705" s="335"/>
      <c r="BD705" s="335"/>
      <c r="BE705" s="335"/>
    </row>
    <row r="706" customFormat="false" ht="14.15" hidden="true" customHeight="true" outlineLevel="1" collapsed="false">
      <c r="A706" s="567" t="s">
        <v>2103</v>
      </c>
      <c r="B706" s="568" t="s">
        <v>1821</v>
      </c>
      <c r="C706" s="601"/>
      <c r="G706" s="601"/>
      <c r="H706" s="504"/>
      <c r="I706" s="347"/>
      <c r="J706" s="347"/>
      <c r="K706" s="244"/>
      <c r="L706" s="244"/>
      <c r="O706" s="342"/>
      <c r="P706" s="342"/>
      <c r="Q706" s="358"/>
      <c r="R706" s="358"/>
      <c r="S706" s="347"/>
      <c r="T706" s="347"/>
      <c r="U706" s="347"/>
      <c r="V706" s="347"/>
      <c r="W706" s="347"/>
      <c r="X706" s="347"/>
      <c r="Y706" s="347"/>
      <c r="Z706" s="347"/>
      <c r="AA706" s="347"/>
      <c r="AB706" s="347"/>
      <c r="AC706" s="347"/>
      <c r="AD706" s="347"/>
      <c r="AE706" s="347"/>
      <c r="AF706" s="347"/>
      <c r="AG706" s="347"/>
      <c r="AH706" s="347"/>
      <c r="AI706" s="347"/>
      <c r="AJ706" s="347"/>
      <c r="AK706" s="347"/>
      <c r="AL706" s="347"/>
      <c r="AM706" s="347"/>
      <c r="AN706" s="347"/>
      <c r="AO706" s="351"/>
      <c r="AP706" s="351"/>
      <c r="AQ706" s="335"/>
      <c r="AR706" s="335"/>
      <c r="AS706" s="335"/>
      <c r="AT706" s="335"/>
      <c r="AU706" s="334"/>
      <c r="AV706" s="334"/>
      <c r="AW706" s="335"/>
      <c r="AX706" s="335"/>
      <c r="AY706" s="335"/>
      <c r="AZ706" s="335"/>
      <c r="BA706" s="335"/>
      <c r="BB706" s="335"/>
      <c r="BC706" s="335"/>
      <c r="BD706" s="335"/>
      <c r="BE706" s="335"/>
    </row>
    <row r="707" customFormat="false" ht="14.15" hidden="true" customHeight="true" outlineLevel="1" collapsed="false">
      <c r="A707" s="569" t="s">
        <v>917</v>
      </c>
      <c r="B707" s="570" t="s">
        <v>1821</v>
      </c>
      <c r="C707" s="601"/>
      <c r="G707" s="601"/>
      <c r="H707" s="504"/>
      <c r="I707" s="347"/>
      <c r="J707" s="347"/>
      <c r="K707" s="244"/>
      <c r="L707" s="244"/>
      <c r="O707" s="342"/>
      <c r="P707" s="342"/>
      <c r="Q707" s="358"/>
      <c r="R707" s="358"/>
      <c r="S707" s="347"/>
      <c r="T707" s="347"/>
      <c r="U707" s="347"/>
      <c r="V707" s="347"/>
      <c r="W707" s="347"/>
      <c r="X707" s="347"/>
      <c r="Y707" s="347"/>
      <c r="Z707" s="347"/>
      <c r="AA707" s="347"/>
      <c r="AB707" s="347"/>
      <c r="AC707" s="347"/>
      <c r="AD707" s="347"/>
      <c r="AE707" s="347"/>
      <c r="AF707" s="347"/>
      <c r="AG707" s="347"/>
      <c r="AH707" s="347"/>
      <c r="AI707" s="347"/>
      <c r="AJ707" s="347"/>
      <c r="AK707" s="347"/>
      <c r="AL707" s="347"/>
      <c r="AM707" s="347"/>
      <c r="AN707" s="347"/>
      <c r="AO707" s="351"/>
      <c r="AP707" s="351"/>
      <c r="AQ707" s="335"/>
      <c r="AR707" s="335"/>
      <c r="AS707" s="335"/>
      <c r="AT707" s="335"/>
      <c r="AU707" s="334"/>
      <c r="AV707" s="334"/>
      <c r="AW707" s="335"/>
      <c r="AX707" s="335"/>
      <c r="AY707" s="335"/>
      <c r="AZ707" s="335"/>
      <c r="BA707" s="335"/>
      <c r="BB707" s="335"/>
      <c r="BC707" s="335"/>
      <c r="BD707" s="335"/>
      <c r="BE707" s="335"/>
    </row>
    <row r="708" customFormat="false" ht="14.15" hidden="true" customHeight="true" outlineLevel="1" collapsed="false">
      <c r="A708" s="601"/>
      <c r="B708" s="570"/>
      <c r="C708" s="601"/>
      <c r="G708" s="601"/>
      <c r="H708" s="504"/>
      <c r="I708" s="347"/>
      <c r="J708" s="347"/>
      <c r="K708" s="244"/>
      <c r="L708" s="244"/>
      <c r="O708" s="342"/>
      <c r="P708" s="342"/>
      <c r="Q708" s="358"/>
      <c r="R708" s="358"/>
      <c r="S708" s="347"/>
      <c r="T708" s="347"/>
      <c r="U708" s="347"/>
      <c r="V708" s="347"/>
      <c r="W708" s="347"/>
      <c r="X708" s="347"/>
      <c r="Y708" s="347"/>
      <c r="Z708" s="347"/>
      <c r="AA708" s="347"/>
      <c r="AB708" s="347"/>
      <c r="AC708" s="347"/>
      <c r="AD708" s="347"/>
      <c r="AE708" s="347"/>
      <c r="AF708" s="347"/>
      <c r="AG708" s="347"/>
      <c r="AH708" s="347"/>
      <c r="AI708" s="347"/>
      <c r="AJ708" s="347"/>
      <c r="AK708" s="347"/>
      <c r="AL708" s="347"/>
      <c r="AM708" s="347"/>
      <c r="AN708" s="347"/>
      <c r="AO708" s="351"/>
      <c r="AP708" s="351"/>
      <c r="AQ708" s="335"/>
      <c r="AR708" s="335"/>
      <c r="AS708" s="335"/>
      <c r="AT708" s="335"/>
      <c r="AU708" s="334"/>
      <c r="AV708" s="334"/>
      <c r="AW708" s="335"/>
      <c r="AX708" s="335"/>
      <c r="AY708" s="335"/>
      <c r="AZ708" s="335"/>
      <c r="BA708" s="335"/>
      <c r="BB708" s="335"/>
      <c r="BC708" s="335"/>
      <c r="BD708" s="335"/>
      <c r="BE708" s="335"/>
    </row>
    <row r="709" customFormat="false" ht="14.15" hidden="true" customHeight="true" outlineLevel="1" collapsed="false">
      <c r="A709" s="403" t="s">
        <v>152</v>
      </c>
      <c r="B709" s="584" t="s">
        <v>1793</v>
      </c>
      <c r="C709" s="585" t="n">
        <v>1</v>
      </c>
      <c r="G709" s="601"/>
      <c r="H709" s="504"/>
      <c r="I709" s="347"/>
      <c r="J709" s="347"/>
      <c r="K709" s="244"/>
      <c r="L709" s="244"/>
      <c r="O709" s="342"/>
      <c r="P709" s="342"/>
      <c r="Q709" s="358"/>
      <c r="R709" s="358"/>
      <c r="S709" s="347"/>
      <c r="T709" s="347"/>
      <c r="U709" s="347"/>
      <c r="V709" s="347"/>
      <c r="W709" s="347"/>
      <c r="X709" s="347"/>
      <c r="Y709" s="347"/>
      <c r="Z709" s="347"/>
      <c r="AA709" s="347"/>
      <c r="AB709" s="347"/>
      <c r="AC709" s="347"/>
      <c r="AD709" s="347"/>
      <c r="AE709" s="347"/>
      <c r="AF709" s="347"/>
      <c r="AG709" s="347"/>
      <c r="AH709" s="347"/>
      <c r="AI709" s="347"/>
      <c r="AJ709" s="347"/>
      <c r="AK709" s="347"/>
      <c r="AL709" s="347"/>
      <c r="AM709" s="347"/>
      <c r="AN709" s="347"/>
      <c r="AO709" s="351"/>
      <c r="AP709" s="351"/>
      <c r="AQ709" s="335"/>
      <c r="AR709" s="335"/>
      <c r="AS709" s="335"/>
      <c r="AT709" s="335"/>
      <c r="AU709" s="334"/>
      <c r="AV709" s="334"/>
      <c r="AW709" s="335"/>
      <c r="AX709" s="335"/>
      <c r="AY709" s="335"/>
      <c r="AZ709" s="335"/>
      <c r="BA709" s="335"/>
      <c r="BB709" s="335"/>
      <c r="BC709" s="335"/>
      <c r="BD709" s="335"/>
      <c r="BE709" s="335"/>
    </row>
    <row r="710" customFormat="false" ht="14.15" hidden="true" customHeight="true" outlineLevel="1" collapsed="false">
      <c r="A710" s="476" t="s">
        <v>152</v>
      </c>
      <c r="B710" s="584" t="s">
        <v>1793</v>
      </c>
      <c r="C710" s="586" t="n">
        <v>0</v>
      </c>
      <c r="G710" s="601"/>
      <c r="H710" s="504"/>
      <c r="I710" s="347"/>
      <c r="J710" s="347"/>
      <c r="K710" s="244"/>
      <c r="L710" s="244"/>
      <c r="O710" s="342"/>
      <c r="P710" s="342"/>
      <c r="Q710" s="358"/>
      <c r="R710" s="358"/>
      <c r="S710" s="347"/>
      <c r="T710" s="347"/>
      <c r="U710" s="347"/>
      <c r="V710" s="347"/>
      <c r="W710" s="347"/>
      <c r="X710" s="347"/>
      <c r="Y710" s="347"/>
      <c r="Z710" s="347"/>
      <c r="AA710" s="347"/>
      <c r="AB710" s="347"/>
      <c r="AC710" s="347"/>
      <c r="AD710" s="347"/>
      <c r="AE710" s="347"/>
      <c r="AF710" s="347"/>
      <c r="AG710" s="347"/>
      <c r="AH710" s="347"/>
      <c r="AI710" s="347"/>
      <c r="AJ710" s="347"/>
      <c r="AK710" s="347"/>
      <c r="AL710" s="347"/>
      <c r="AM710" s="347"/>
      <c r="AN710" s="347"/>
      <c r="AO710" s="351"/>
      <c r="AP710" s="351"/>
      <c r="AQ710" s="335"/>
      <c r="AR710" s="335"/>
      <c r="AS710" s="335"/>
      <c r="AT710" s="335"/>
      <c r="AU710" s="334"/>
      <c r="AV710" s="334"/>
      <c r="AW710" s="335"/>
      <c r="AX710" s="335"/>
      <c r="AY710" s="335"/>
      <c r="AZ710" s="335"/>
      <c r="BA710" s="335"/>
      <c r="BB710" s="335"/>
      <c r="BC710" s="335"/>
      <c r="BD710" s="335"/>
      <c r="BE710" s="335"/>
    </row>
    <row r="711" customFormat="false" ht="14.15" hidden="true" customHeight="true" outlineLevel="1" collapsed="false">
      <c r="A711" s="476" t="s">
        <v>152</v>
      </c>
      <c r="B711" s="584" t="s">
        <v>1793</v>
      </c>
      <c r="C711" s="586" t="n">
        <v>0</v>
      </c>
      <c r="G711" s="600"/>
      <c r="H711" s="600"/>
      <c r="I711" s="600"/>
      <c r="J711" s="600"/>
      <c r="K711" s="600"/>
      <c r="L711" s="600"/>
      <c r="M711" s="600"/>
      <c r="N711" s="600"/>
      <c r="O711" s="600"/>
      <c r="P711" s="600"/>
      <c r="Q711" s="358"/>
      <c r="R711" s="358"/>
      <c r="S711" s="347"/>
      <c r="T711" s="347"/>
      <c r="U711" s="347"/>
      <c r="V711" s="347"/>
      <c r="W711" s="347"/>
      <c r="X711" s="347"/>
      <c r="Y711" s="347"/>
      <c r="Z711" s="347"/>
      <c r="AA711" s="347"/>
      <c r="AB711" s="347"/>
      <c r="AC711" s="347"/>
      <c r="AD711" s="347"/>
      <c r="AE711" s="347"/>
      <c r="AF711" s="347"/>
      <c r="AG711" s="347"/>
      <c r="AH711" s="347"/>
      <c r="AI711" s="347"/>
      <c r="AJ711" s="347"/>
      <c r="AK711" s="347"/>
      <c r="AL711" s="347"/>
      <c r="AM711" s="347"/>
      <c r="AN711" s="347"/>
      <c r="AO711" s="351"/>
      <c r="AP711" s="351"/>
      <c r="AQ711" s="335"/>
      <c r="AR711" s="335"/>
      <c r="AS711" s="335"/>
      <c r="AT711" s="335"/>
      <c r="AU711" s="334"/>
      <c r="AV711" s="334"/>
      <c r="AW711" s="335"/>
      <c r="AX711" s="335"/>
      <c r="AY711" s="335"/>
      <c r="AZ711" s="335"/>
      <c r="BA711" s="335"/>
      <c r="BB711" s="335"/>
      <c r="BC711" s="335"/>
      <c r="BD711" s="335"/>
      <c r="BE711" s="335"/>
    </row>
    <row r="712" customFormat="false" ht="14.15" hidden="true" customHeight="true" outlineLevel="1" collapsed="false">
      <c r="A712" s="265" t="s">
        <v>2143</v>
      </c>
      <c r="B712" s="264" t="s">
        <v>1796</v>
      </c>
      <c r="C712" s="587" t="n">
        <v>6000</v>
      </c>
      <c r="G712" s="600"/>
      <c r="H712" s="600"/>
      <c r="I712" s="600"/>
      <c r="J712" s="600"/>
      <c r="K712" s="600"/>
      <c r="L712" s="600"/>
      <c r="M712" s="600"/>
      <c r="N712" s="600"/>
      <c r="O712" s="342"/>
      <c r="P712" s="342"/>
      <c r="Q712" s="358"/>
      <c r="R712" s="358"/>
      <c r="S712" s="347"/>
      <c r="T712" s="347"/>
      <c r="U712" s="347"/>
      <c r="V712" s="347"/>
      <c r="W712" s="347"/>
      <c r="X712" s="347"/>
      <c r="Y712" s="347"/>
      <c r="Z712" s="347"/>
      <c r="AA712" s="347"/>
      <c r="AB712" s="347"/>
      <c r="AC712" s="347"/>
      <c r="AD712" s="347"/>
      <c r="AE712" s="347"/>
      <c r="AF712" s="347"/>
      <c r="AG712" s="347"/>
      <c r="AH712" s="347"/>
      <c r="AI712" s="347"/>
      <c r="AJ712" s="347"/>
      <c r="AK712" s="347"/>
      <c r="AL712" s="347"/>
      <c r="AM712" s="347"/>
      <c r="AN712" s="347"/>
      <c r="AO712" s="351"/>
      <c r="AP712" s="351"/>
      <c r="AQ712" s="335"/>
      <c r="AR712" s="335"/>
      <c r="AS712" s="335"/>
      <c r="AT712" s="335"/>
      <c r="AU712" s="334"/>
      <c r="AV712" s="334"/>
      <c r="AW712" s="335"/>
      <c r="AX712" s="335"/>
      <c r="AY712" s="335"/>
      <c r="AZ712" s="335"/>
      <c r="BA712" s="335"/>
      <c r="BB712" s="335"/>
      <c r="BC712" s="335"/>
      <c r="BD712" s="335"/>
      <c r="BE712" s="335"/>
    </row>
    <row r="713" s="355" customFormat="true" ht="14.15" hidden="true" customHeight="true" outlineLevel="1" collapsed="false">
      <c r="A713" s="479"/>
      <c r="B713" s="477"/>
      <c r="C713" s="479"/>
      <c r="G713" s="600"/>
      <c r="H713" s="600"/>
      <c r="I713" s="600"/>
      <c r="J713" s="600"/>
      <c r="K713" s="600"/>
      <c r="L713" s="600"/>
      <c r="M713" s="600"/>
      <c r="N713" s="600"/>
      <c r="O713" s="342"/>
      <c r="P713" s="342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  <c r="AF713" s="358"/>
      <c r="AG713" s="358"/>
      <c r="AH713" s="358"/>
      <c r="AI713" s="358"/>
      <c r="AJ713" s="358"/>
      <c r="AK713" s="358"/>
      <c r="AL713" s="358"/>
      <c r="AM713" s="358"/>
      <c r="AN713" s="358"/>
      <c r="AO713" s="359"/>
      <c r="AP713" s="359"/>
      <c r="AQ713" s="334"/>
      <c r="AR713" s="334"/>
      <c r="AS713" s="334"/>
      <c r="AT713" s="334"/>
      <c r="AU713" s="334"/>
      <c r="AV713" s="334"/>
      <c r="AW713" s="334"/>
      <c r="AX713" s="334"/>
      <c r="AY713" s="334"/>
      <c r="AZ713" s="334"/>
      <c r="BA713" s="334"/>
      <c r="BB713" s="334"/>
      <c r="BC713" s="334"/>
      <c r="BD713" s="334"/>
      <c r="BE713" s="334"/>
      <c r="BF713" s="360"/>
    </row>
    <row r="714" customFormat="false" ht="14.15" hidden="false" customHeight="true" outlineLevel="0" collapsed="false">
      <c r="A714" s="602" t="s">
        <v>2144</v>
      </c>
      <c r="B714" s="602"/>
      <c r="C714" s="602"/>
      <c r="D714" s="602"/>
      <c r="E714" s="602"/>
      <c r="F714" s="566" t="s">
        <v>1798</v>
      </c>
      <c r="H714" s="603"/>
      <c r="I714" s="603"/>
      <c r="J714" s="603"/>
      <c r="K714" s="603"/>
      <c r="L714" s="603"/>
      <c r="M714" s="604"/>
      <c r="N714" s="604"/>
      <c r="O714" s="604"/>
      <c r="P714" s="342"/>
      <c r="Q714" s="358"/>
      <c r="R714" s="358"/>
      <c r="S714" s="347"/>
      <c r="T714" s="347"/>
      <c r="U714" s="347"/>
      <c r="V714" s="347"/>
      <c r="W714" s="347"/>
      <c r="X714" s="347"/>
      <c r="Y714" s="347"/>
      <c r="Z714" s="347"/>
      <c r="AA714" s="347"/>
      <c r="AB714" s="347"/>
      <c r="AC714" s="347"/>
      <c r="AD714" s="347"/>
      <c r="AE714" s="347"/>
      <c r="AF714" s="347"/>
      <c r="AG714" s="347"/>
      <c r="AH714" s="347"/>
      <c r="AI714" s="347"/>
      <c r="AJ714" s="347"/>
      <c r="AK714" s="347"/>
      <c r="AL714" s="347"/>
      <c r="AM714" s="347"/>
      <c r="AN714" s="347"/>
      <c r="AO714" s="351"/>
      <c r="AP714" s="351"/>
      <c r="AQ714" s="335"/>
      <c r="AR714" s="335"/>
      <c r="AS714" s="335"/>
      <c r="AT714" s="335"/>
      <c r="AU714" s="334"/>
      <c r="AV714" s="374" t="n">
        <f aca="false">M714</f>
        <v>0</v>
      </c>
      <c r="AW714" s="335"/>
      <c r="AX714" s="335"/>
      <c r="AY714" s="335"/>
      <c r="AZ714" s="335"/>
      <c r="BA714" s="335"/>
      <c r="BB714" s="335"/>
      <c r="BC714" s="335"/>
      <c r="BD714" s="335"/>
      <c r="BE714" s="335"/>
    </row>
    <row r="715" customFormat="false" ht="14.15" hidden="false" customHeight="true" outlineLevel="0" collapsed="false">
      <c r="A715" s="469"/>
      <c r="B715" s="348"/>
      <c r="C715" s="489"/>
      <c r="D715" s="489"/>
      <c r="E715" s="489"/>
      <c r="F715" s="489"/>
      <c r="G715" s="489"/>
      <c r="H715" s="348"/>
      <c r="I715" s="461"/>
      <c r="J715" s="492"/>
      <c r="K715" s="446"/>
      <c r="L715" s="446"/>
      <c r="M715" s="492"/>
      <c r="N715" s="358"/>
      <c r="O715" s="358"/>
      <c r="P715" s="358"/>
      <c r="Q715" s="347"/>
      <c r="R715" s="347"/>
      <c r="S715" s="347"/>
      <c r="T715" s="347"/>
      <c r="U715" s="347"/>
      <c r="V715" s="347"/>
      <c r="W715" s="347"/>
      <c r="X715" s="347"/>
      <c r="Y715" s="347"/>
      <c r="Z715" s="347"/>
      <c r="AA715" s="347"/>
      <c r="AB715" s="347"/>
      <c r="AC715" s="347"/>
      <c r="AD715" s="347"/>
      <c r="AE715" s="347"/>
      <c r="AF715" s="347"/>
      <c r="AG715" s="347"/>
      <c r="AH715" s="347"/>
      <c r="AI715" s="347"/>
      <c r="AJ715" s="347"/>
      <c r="AK715" s="347"/>
      <c r="AL715" s="347"/>
      <c r="AM715" s="347"/>
      <c r="AN715" s="347"/>
      <c r="AO715" s="351"/>
      <c r="AP715" s="351"/>
      <c r="AQ715" s="335"/>
      <c r="AR715" s="335"/>
      <c r="AS715" s="335"/>
      <c r="AT715" s="335"/>
      <c r="AU715" s="334"/>
      <c r="AV715" s="334"/>
      <c r="AW715" s="335"/>
      <c r="AX715" s="335"/>
      <c r="AY715" s="335"/>
      <c r="AZ715" s="335"/>
      <c r="BA715" s="335"/>
      <c r="BB715" s="335"/>
      <c r="BC715" s="335"/>
      <c r="BD715" s="335"/>
      <c r="BE715" s="335"/>
    </row>
    <row r="716" customFormat="false" ht="14.15" hidden="true" customHeight="true" outlineLevel="1" collapsed="false">
      <c r="A716" s="588" t="s">
        <v>2145</v>
      </c>
      <c r="B716" s="588"/>
      <c r="C716" s="588"/>
      <c r="D716" s="588"/>
      <c r="E716" s="588"/>
      <c r="F716" s="588"/>
      <c r="G716" s="588"/>
      <c r="H716" s="589"/>
      <c r="I716" s="589"/>
      <c r="J716" s="589"/>
      <c r="K716" s="589"/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347"/>
      <c r="AG716" s="347"/>
      <c r="AH716" s="347"/>
      <c r="AI716" s="347"/>
      <c r="AJ716" s="347"/>
      <c r="AK716" s="347"/>
      <c r="AL716" s="347"/>
      <c r="AM716" s="347"/>
      <c r="AN716" s="347"/>
      <c r="AO716" s="351"/>
      <c r="AP716" s="351"/>
      <c r="AQ716" s="335"/>
      <c r="AR716" s="335"/>
      <c r="AS716" s="335"/>
      <c r="AT716" s="335"/>
      <c r="AU716" s="334"/>
      <c r="AV716" s="334"/>
      <c r="AW716" s="335"/>
      <c r="AX716" s="335"/>
      <c r="AY716" s="335"/>
      <c r="AZ716" s="335"/>
      <c r="BA716" s="335"/>
      <c r="BB716" s="335"/>
      <c r="BC716" s="335"/>
      <c r="BD716" s="335"/>
      <c r="BE716" s="335"/>
    </row>
    <row r="717" customFormat="false" ht="14.15" hidden="true" customHeight="true" outlineLevel="1" collapsed="false">
      <c r="A717" s="588"/>
      <c r="B717" s="588"/>
      <c r="C717" s="588"/>
      <c r="D717" s="588"/>
      <c r="E717" s="588"/>
      <c r="F717" s="588"/>
      <c r="G717" s="588"/>
      <c r="H717" s="589"/>
      <c r="I717" s="589"/>
      <c r="J717" s="589"/>
      <c r="K717" s="589"/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347"/>
      <c r="AG717" s="347"/>
      <c r="AH717" s="347"/>
      <c r="AI717" s="347"/>
      <c r="AJ717" s="347"/>
      <c r="AK717" s="347"/>
      <c r="AL717" s="347"/>
      <c r="AM717" s="347"/>
      <c r="AN717" s="347"/>
      <c r="AO717" s="351"/>
      <c r="AP717" s="351"/>
      <c r="AQ717" s="335"/>
      <c r="AR717" s="335"/>
      <c r="AS717" s="335"/>
      <c r="AT717" s="335"/>
      <c r="AU717" s="334"/>
      <c r="AV717" s="334"/>
      <c r="AW717" s="335"/>
      <c r="AX717" s="335"/>
      <c r="AY717" s="335"/>
      <c r="AZ717" s="335"/>
      <c r="BA717" s="335"/>
      <c r="BB717" s="335"/>
      <c r="BC717" s="335"/>
      <c r="BD717" s="335"/>
      <c r="BE717" s="335"/>
    </row>
    <row r="718" customFormat="false" ht="14.15" hidden="true" customHeight="true" outlineLevel="1" collapsed="false">
      <c r="A718" s="605" t="s">
        <v>1806</v>
      </c>
      <c r="B718" s="418"/>
      <c r="C718" s="605"/>
      <c r="D718" s="606" t="n">
        <v>1.1</v>
      </c>
      <c r="G718" s="244"/>
      <c r="H718" s="244"/>
      <c r="I718" s="244"/>
      <c r="J718" s="244"/>
      <c r="K718" s="244"/>
      <c r="L718" s="244"/>
      <c r="M718" s="244"/>
      <c r="N718" s="244"/>
      <c r="O718" s="244"/>
      <c r="P718" s="244"/>
      <c r="Q718" s="244"/>
      <c r="R718" s="244"/>
      <c r="S718" s="244"/>
      <c r="T718" s="244"/>
      <c r="U718" s="244"/>
      <c r="V718" s="244"/>
      <c r="W718" s="244"/>
      <c r="X718" s="244"/>
      <c r="Y718" s="244"/>
      <c r="Z718" s="244"/>
      <c r="AA718" s="244"/>
      <c r="AB718" s="347"/>
      <c r="AC718" s="347"/>
      <c r="AD718" s="347"/>
      <c r="AE718" s="335"/>
      <c r="AF718" s="347"/>
      <c r="AG718" s="347"/>
      <c r="AH718" s="347"/>
      <c r="AI718" s="347"/>
      <c r="AJ718" s="347"/>
      <c r="AK718" s="347"/>
      <c r="AL718" s="347"/>
      <c r="AM718" s="347"/>
      <c r="AN718" s="347"/>
      <c r="AO718" s="351"/>
      <c r="AP718" s="351"/>
      <c r="AQ718" s="335"/>
      <c r="AR718" s="335"/>
      <c r="AS718" s="335"/>
      <c r="AT718" s="335"/>
      <c r="AU718" s="334"/>
      <c r="AV718" s="334"/>
      <c r="AW718" s="335"/>
      <c r="AX718" s="335"/>
      <c r="AY718" s="335"/>
      <c r="AZ718" s="335"/>
      <c r="BA718" s="335"/>
      <c r="BB718" s="335"/>
      <c r="BC718" s="335"/>
      <c r="BD718" s="335"/>
      <c r="BE718" s="335"/>
    </row>
    <row r="719" customFormat="false" ht="14.15" hidden="true" customHeight="true" outlineLevel="1" collapsed="false">
      <c r="A719" s="415" t="s">
        <v>1808</v>
      </c>
      <c r="B719" s="419"/>
      <c r="C719" s="415"/>
      <c r="D719" s="237" t="n">
        <v>1.05</v>
      </c>
      <c r="G719" s="244"/>
      <c r="H719" s="244"/>
      <c r="I719" s="244"/>
      <c r="J719" s="244"/>
      <c r="K719" s="244"/>
      <c r="L719" s="244"/>
      <c r="M719" s="244"/>
      <c r="N719" s="244"/>
      <c r="O719" s="244"/>
      <c r="P719" s="244"/>
      <c r="Q719" s="244"/>
      <c r="R719" s="244"/>
      <c r="S719" s="244"/>
      <c r="T719" s="244"/>
      <c r="U719" s="244"/>
      <c r="V719" s="244"/>
      <c r="W719" s="244"/>
      <c r="X719" s="244"/>
      <c r="Y719" s="244"/>
      <c r="Z719" s="244"/>
      <c r="AA719" s="244"/>
      <c r="AB719" s="347"/>
      <c r="AC719" s="347"/>
      <c r="AD719" s="347"/>
      <c r="AE719" s="347"/>
      <c r="AF719" s="347"/>
      <c r="AG719" s="347"/>
      <c r="AH719" s="347"/>
      <c r="AI719" s="347"/>
      <c r="AJ719" s="347"/>
      <c r="AK719" s="347"/>
      <c r="AL719" s="347"/>
      <c r="AM719" s="347"/>
      <c r="AN719" s="347"/>
      <c r="AO719" s="351"/>
      <c r="AP719" s="351"/>
      <c r="AQ719" s="335"/>
      <c r="AR719" s="335"/>
      <c r="AS719" s="335"/>
      <c r="AT719" s="335"/>
      <c r="AU719" s="334"/>
      <c r="AV719" s="334"/>
      <c r="AW719" s="335"/>
      <c r="AX719" s="335"/>
      <c r="AY719" s="335"/>
      <c r="AZ719" s="335"/>
      <c r="BA719" s="335"/>
      <c r="BB719" s="335"/>
      <c r="BC719" s="335"/>
      <c r="BD719" s="335"/>
      <c r="BE719" s="335"/>
    </row>
    <row r="720" customFormat="false" ht="14.15" hidden="true" customHeight="true" outlineLevel="1" collapsed="false">
      <c r="A720" s="355"/>
      <c r="B720" s="272"/>
      <c r="C720" s="244"/>
      <c r="D720" s="244"/>
      <c r="E720" s="244"/>
      <c r="F720" s="244"/>
      <c r="G720" s="244"/>
      <c r="H720" s="244"/>
      <c r="I720" s="244"/>
      <c r="J720" s="244"/>
      <c r="K720" s="244"/>
      <c r="L720" s="244"/>
      <c r="M720" s="244"/>
      <c r="N720" s="244"/>
      <c r="O720" s="244"/>
      <c r="P720" s="244"/>
      <c r="Q720" s="244"/>
      <c r="R720" s="244"/>
      <c r="S720" s="244"/>
      <c r="T720" s="244"/>
      <c r="U720" s="244"/>
      <c r="V720" s="244"/>
      <c r="W720" s="244"/>
      <c r="X720" s="244"/>
      <c r="Y720" s="272"/>
      <c r="Z720" s="272"/>
      <c r="AA720" s="596"/>
      <c r="AB720" s="347"/>
      <c r="AC720" s="347"/>
      <c r="AD720" s="347"/>
      <c r="AE720" s="347"/>
      <c r="AF720" s="347"/>
      <c r="AG720" s="347"/>
      <c r="AH720" s="347"/>
      <c r="AI720" s="347"/>
      <c r="AJ720" s="347"/>
      <c r="AK720" s="347"/>
      <c r="AL720" s="347"/>
      <c r="AM720" s="347"/>
      <c r="AN720" s="347"/>
      <c r="AO720" s="351"/>
      <c r="AP720" s="351"/>
      <c r="AQ720" s="335"/>
      <c r="AR720" s="335"/>
      <c r="AS720" s="335"/>
      <c r="AT720" s="335"/>
      <c r="AU720" s="334"/>
      <c r="AV720" s="334"/>
      <c r="AW720" s="335"/>
      <c r="AX720" s="335"/>
      <c r="AY720" s="335"/>
      <c r="AZ720" s="335"/>
      <c r="BA720" s="335"/>
      <c r="BB720" s="335"/>
      <c r="BC720" s="335"/>
      <c r="BD720" s="335"/>
      <c r="BE720" s="335"/>
    </row>
    <row r="721" customFormat="false" ht="14.15" hidden="true" customHeight="true" outlineLevel="1" collapsed="false">
      <c r="A721" s="501" t="s">
        <v>2146</v>
      </c>
      <c r="B721" s="607"/>
      <c r="C721" s="608"/>
      <c r="D721" s="348"/>
      <c r="I721" s="348"/>
      <c r="J721" s="446"/>
      <c r="K721" s="609"/>
      <c r="L721" s="486"/>
      <c r="M721" s="486"/>
      <c r="N721" s="486"/>
      <c r="O721" s="486"/>
      <c r="P721" s="486"/>
      <c r="Q721" s="486"/>
      <c r="R721" s="358"/>
      <c r="S721" s="358"/>
      <c r="T721" s="347"/>
      <c r="U721" s="347"/>
      <c r="V721" s="347"/>
      <c r="W721" s="347"/>
      <c r="X721" s="347"/>
      <c r="Y721" s="347"/>
      <c r="Z721" s="347"/>
      <c r="AA721" s="347"/>
      <c r="AB721" s="347"/>
      <c r="AC721" s="347"/>
      <c r="AD721" s="347"/>
      <c r="AE721" s="347"/>
      <c r="AF721" s="347"/>
      <c r="AG721" s="347"/>
      <c r="AH721" s="347"/>
      <c r="AI721" s="347"/>
      <c r="AJ721" s="347"/>
      <c r="AK721" s="347"/>
      <c r="AL721" s="347"/>
      <c r="AM721" s="347"/>
      <c r="AN721" s="347"/>
      <c r="AO721" s="351"/>
      <c r="AP721" s="351"/>
      <c r="AQ721" s="335"/>
      <c r="AR721" s="335"/>
      <c r="AS721" s="335"/>
      <c r="AT721" s="335"/>
      <c r="AU721" s="334"/>
      <c r="AV721" s="334"/>
      <c r="AW721" s="335"/>
      <c r="AX721" s="335"/>
      <c r="AY721" s="335"/>
      <c r="AZ721" s="335"/>
      <c r="BA721" s="335"/>
      <c r="BB721" s="335"/>
      <c r="BC721" s="335"/>
      <c r="BD721" s="335"/>
      <c r="BE721" s="335"/>
    </row>
    <row r="722" customFormat="false" ht="14.15" hidden="true" customHeight="true" outlineLevel="1" collapsed="false">
      <c r="A722" s="541" t="s">
        <v>2147</v>
      </c>
      <c r="B722" s="542" t="s">
        <v>156</v>
      </c>
      <c r="C722" s="610" t="n">
        <v>0.3</v>
      </c>
      <c r="D722" s="611"/>
      <c r="I722" s="437"/>
      <c r="J722" s="437"/>
      <c r="K722" s="437"/>
      <c r="L722" s="437"/>
      <c r="M722" s="486"/>
      <c r="N722" s="486"/>
      <c r="O722" s="486"/>
      <c r="P722" s="486"/>
      <c r="Q722" s="486"/>
      <c r="R722" s="358"/>
      <c r="S722" s="358"/>
      <c r="T722" s="347"/>
      <c r="U722" s="347"/>
      <c r="V722" s="347"/>
      <c r="W722" s="347"/>
      <c r="X722" s="347"/>
      <c r="Y722" s="347"/>
      <c r="Z722" s="347"/>
      <c r="AA722" s="347"/>
      <c r="AB722" s="347"/>
      <c r="AC722" s="347"/>
      <c r="AD722" s="347"/>
      <c r="AE722" s="347"/>
      <c r="AF722" s="347"/>
      <c r="AG722" s="347"/>
      <c r="AH722" s="347"/>
      <c r="AI722" s="347"/>
      <c r="AJ722" s="347"/>
      <c r="AK722" s="347"/>
      <c r="AL722" s="347"/>
      <c r="AM722" s="347"/>
      <c r="AN722" s="347"/>
      <c r="AO722" s="351"/>
      <c r="AP722" s="351"/>
      <c r="AQ722" s="335"/>
      <c r="AR722" s="335"/>
      <c r="AS722" s="335"/>
      <c r="AT722" s="335"/>
      <c r="AU722" s="334"/>
      <c r="AV722" s="334"/>
      <c r="AW722" s="335"/>
      <c r="AX722" s="335"/>
      <c r="AY722" s="335"/>
      <c r="AZ722" s="335"/>
      <c r="BA722" s="335"/>
      <c r="BB722" s="335"/>
      <c r="BC722" s="335"/>
      <c r="BD722" s="335"/>
      <c r="BE722" s="335"/>
    </row>
    <row r="723" customFormat="false" ht="14.15" hidden="true" customHeight="true" outlineLevel="1" collapsed="false">
      <c r="A723" s="548" t="s">
        <v>2148</v>
      </c>
      <c r="B723" s="542" t="s">
        <v>156</v>
      </c>
      <c r="C723" s="610" t="n">
        <v>0.3</v>
      </c>
      <c r="D723" s="611"/>
      <c r="I723" s="437"/>
      <c r="J723" s="437"/>
      <c r="K723" s="437"/>
      <c r="L723" s="437"/>
      <c r="M723" s="486"/>
      <c r="N723" s="486"/>
      <c r="O723" s="486"/>
      <c r="P723" s="486"/>
      <c r="Q723" s="486"/>
      <c r="R723" s="358"/>
      <c r="S723" s="358"/>
      <c r="T723" s="347"/>
      <c r="U723" s="347"/>
      <c r="V723" s="347"/>
      <c r="W723" s="347"/>
      <c r="X723" s="347"/>
      <c r="Y723" s="347"/>
      <c r="Z723" s="347"/>
      <c r="AA723" s="347"/>
      <c r="AB723" s="347"/>
      <c r="AC723" s="347"/>
      <c r="AD723" s="347"/>
      <c r="AE723" s="347"/>
      <c r="AF723" s="347"/>
      <c r="AG723" s="347"/>
      <c r="AH723" s="347"/>
      <c r="AI723" s="347"/>
      <c r="AJ723" s="347"/>
      <c r="AK723" s="347"/>
      <c r="AL723" s="347"/>
      <c r="AM723" s="347"/>
      <c r="AN723" s="347"/>
      <c r="AO723" s="351"/>
      <c r="AP723" s="351"/>
      <c r="AQ723" s="335"/>
      <c r="AR723" s="335"/>
      <c r="AS723" s="335"/>
      <c r="AT723" s="335"/>
      <c r="AU723" s="334"/>
      <c r="AV723" s="334"/>
      <c r="AW723" s="335"/>
      <c r="AX723" s="335"/>
      <c r="AY723" s="335"/>
      <c r="AZ723" s="335"/>
      <c r="BA723" s="335"/>
      <c r="BB723" s="335"/>
      <c r="BC723" s="335"/>
      <c r="BD723" s="335"/>
      <c r="BE723" s="335"/>
    </row>
    <row r="724" customFormat="false" ht="14.15" hidden="true" customHeight="true" outlineLevel="1" collapsed="false">
      <c r="A724" s="548" t="s">
        <v>2149</v>
      </c>
      <c r="B724" s="542" t="s">
        <v>156</v>
      </c>
      <c r="C724" s="610" t="n">
        <v>0.3</v>
      </c>
      <c r="D724" s="611"/>
      <c r="I724" s="437"/>
      <c r="J724" s="437"/>
      <c r="K724" s="437"/>
      <c r="L724" s="437"/>
      <c r="M724" s="486"/>
      <c r="N724" s="486"/>
      <c r="O724" s="486"/>
      <c r="P724" s="486"/>
      <c r="Q724" s="486"/>
      <c r="R724" s="358"/>
      <c r="S724" s="358"/>
      <c r="T724" s="347"/>
      <c r="U724" s="347"/>
      <c r="V724" s="347"/>
      <c r="W724" s="347"/>
      <c r="X724" s="347"/>
      <c r="Y724" s="347"/>
      <c r="Z724" s="347"/>
      <c r="AA724" s="347"/>
      <c r="AB724" s="347"/>
      <c r="AC724" s="347"/>
      <c r="AD724" s="347"/>
      <c r="AE724" s="347"/>
      <c r="AF724" s="347"/>
      <c r="AG724" s="347"/>
      <c r="AH724" s="347"/>
      <c r="AI724" s="347"/>
      <c r="AJ724" s="347"/>
      <c r="AK724" s="347"/>
      <c r="AL724" s="347"/>
      <c r="AM724" s="347"/>
      <c r="AN724" s="347"/>
      <c r="AO724" s="351"/>
      <c r="AP724" s="351"/>
      <c r="AQ724" s="335"/>
      <c r="AR724" s="335"/>
      <c r="AS724" s="335"/>
      <c r="AT724" s="335"/>
      <c r="AU724" s="334"/>
      <c r="AV724" s="334"/>
      <c r="AW724" s="335"/>
      <c r="AX724" s="335"/>
      <c r="AY724" s="335"/>
      <c r="AZ724" s="335"/>
      <c r="BA724" s="335"/>
      <c r="BB724" s="335"/>
      <c r="BC724" s="335"/>
      <c r="BD724" s="335"/>
      <c r="BE724" s="335"/>
    </row>
    <row r="725" customFormat="false" ht="14.15" hidden="true" customHeight="true" outlineLevel="1" collapsed="false">
      <c r="A725" s="548" t="s">
        <v>2150</v>
      </c>
      <c r="B725" s="542" t="s">
        <v>156</v>
      </c>
      <c r="C725" s="610" t="n">
        <v>0.3</v>
      </c>
      <c r="D725" s="611"/>
      <c r="I725" s="486"/>
      <c r="J725" s="486"/>
      <c r="K725" s="486"/>
      <c r="L725" s="486"/>
      <c r="M725" s="486"/>
      <c r="N725" s="486"/>
      <c r="O725" s="486"/>
      <c r="P725" s="486"/>
      <c r="Q725" s="486"/>
      <c r="R725" s="358"/>
      <c r="S725" s="358"/>
      <c r="T725" s="347"/>
      <c r="U725" s="347"/>
      <c r="V725" s="347"/>
      <c r="W725" s="347"/>
      <c r="X725" s="347"/>
      <c r="Y725" s="347"/>
      <c r="Z725" s="347"/>
      <c r="AA725" s="347"/>
      <c r="AB725" s="347"/>
      <c r="AC725" s="347"/>
      <c r="AD725" s="347"/>
      <c r="AE725" s="347"/>
      <c r="AF725" s="347"/>
      <c r="AG725" s="347"/>
      <c r="AH725" s="347"/>
      <c r="AI725" s="347"/>
      <c r="AJ725" s="347"/>
      <c r="AK725" s="347"/>
      <c r="AL725" s="347"/>
      <c r="AM725" s="347"/>
      <c r="AN725" s="347"/>
      <c r="AO725" s="351"/>
      <c r="AP725" s="351"/>
      <c r="AQ725" s="335"/>
      <c r="AR725" s="335"/>
      <c r="AS725" s="335"/>
      <c r="AT725" s="335"/>
      <c r="AU725" s="334"/>
      <c r="AV725" s="334"/>
      <c r="AW725" s="335"/>
      <c r="AX725" s="335"/>
      <c r="AY725" s="335"/>
      <c r="AZ725" s="335"/>
      <c r="BA725" s="335"/>
      <c r="BB725" s="335"/>
      <c r="BC725" s="335"/>
      <c r="BD725" s="335"/>
      <c r="BE725" s="335"/>
    </row>
    <row r="726" customFormat="false" ht="14.15" hidden="true" customHeight="true" outlineLevel="1" collapsed="false">
      <c r="A726" s="541" t="s">
        <v>2151</v>
      </c>
      <c r="B726" s="542" t="s">
        <v>156</v>
      </c>
      <c r="C726" s="610" t="n">
        <v>0.4</v>
      </c>
      <c r="D726" s="611"/>
      <c r="I726" s="486"/>
      <c r="J726" s="486"/>
      <c r="K726" s="486"/>
      <c r="L726" s="486"/>
      <c r="M726" s="486"/>
      <c r="N726" s="486"/>
      <c r="O726" s="486"/>
      <c r="P726" s="486"/>
      <c r="Q726" s="486"/>
      <c r="R726" s="358"/>
      <c r="S726" s="358"/>
      <c r="T726" s="347"/>
      <c r="U726" s="347"/>
      <c r="V726" s="347"/>
      <c r="W726" s="347"/>
      <c r="X726" s="347"/>
      <c r="Y726" s="347"/>
      <c r="Z726" s="347"/>
      <c r="AA726" s="347"/>
      <c r="AB726" s="347"/>
      <c r="AC726" s="347"/>
      <c r="AD726" s="347"/>
      <c r="AE726" s="347"/>
      <c r="AF726" s="347"/>
      <c r="AG726" s="347"/>
      <c r="AH726" s="347"/>
      <c r="AI726" s="347"/>
      <c r="AJ726" s="347"/>
      <c r="AK726" s="347"/>
      <c r="AL726" s="347"/>
      <c r="AM726" s="347"/>
      <c r="AN726" s="347"/>
      <c r="AO726" s="351"/>
      <c r="AP726" s="351"/>
      <c r="AQ726" s="335"/>
      <c r="AR726" s="335"/>
      <c r="AS726" s="335"/>
      <c r="AT726" s="335"/>
      <c r="AU726" s="334"/>
      <c r="AV726" s="334"/>
      <c r="AW726" s="335"/>
      <c r="AX726" s="335"/>
      <c r="AY726" s="335"/>
      <c r="AZ726" s="335"/>
      <c r="BA726" s="335"/>
      <c r="BB726" s="335"/>
      <c r="BC726" s="335"/>
      <c r="BD726" s="335"/>
      <c r="BE726" s="335"/>
    </row>
    <row r="727" customFormat="false" ht="14.15" hidden="true" customHeight="true" outlineLevel="1" collapsed="false">
      <c r="A727" s="469" t="s">
        <v>2152</v>
      </c>
      <c r="B727" s="348"/>
      <c r="C727" s="612"/>
      <c r="D727" s="437"/>
      <c r="I727" s="486"/>
      <c r="J727" s="486"/>
      <c r="K727" s="486"/>
      <c r="L727" s="486"/>
      <c r="M727" s="486"/>
      <c r="N727" s="486"/>
      <c r="O727" s="486"/>
      <c r="P727" s="486"/>
      <c r="Q727" s="486"/>
      <c r="R727" s="358"/>
      <c r="S727" s="358"/>
      <c r="T727" s="347"/>
      <c r="U727" s="347"/>
      <c r="V727" s="347"/>
      <c r="W727" s="347"/>
      <c r="X727" s="347"/>
      <c r="Y727" s="347"/>
      <c r="Z727" s="347"/>
      <c r="AA727" s="347"/>
      <c r="AB727" s="347"/>
      <c r="AC727" s="347"/>
      <c r="AD727" s="347"/>
      <c r="AE727" s="347"/>
      <c r="AF727" s="347"/>
      <c r="AG727" s="347"/>
      <c r="AH727" s="347"/>
      <c r="AI727" s="347"/>
      <c r="AJ727" s="347"/>
      <c r="AK727" s="347"/>
      <c r="AL727" s="347"/>
      <c r="AM727" s="347"/>
      <c r="AN727" s="347"/>
      <c r="AO727" s="351"/>
      <c r="AP727" s="351"/>
      <c r="AQ727" s="335"/>
      <c r="AR727" s="335"/>
      <c r="AS727" s="335"/>
      <c r="AT727" s="335"/>
      <c r="AU727" s="334"/>
      <c r="AV727" s="334"/>
      <c r="AW727" s="335"/>
      <c r="AX727" s="335"/>
      <c r="AY727" s="335"/>
      <c r="AZ727" s="335"/>
      <c r="BA727" s="335"/>
      <c r="BB727" s="335"/>
      <c r="BC727" s="335"/>
      <c r="BD727" s="335"/>
      <c r="BE727" s="335"/>
    </row>
    <row r="728" customFormat="false" ht="14.15" hidden="true" customHeight="true" outlineLevel="1" collapsed="false">
      <c r="A728" s="613" t="s">
        <v>200</v>
      </c>
      <c r="B728" s="348"/>
      <c r="C728" s="612"/>
      <c r="D728" s="437"/>
      <c r="I728" s="486"/>
      <c r="J728" s="486"/>
      <c r="K728" s="486"/>
      <c r="L728" s="486"/>
      <c r="M728" s="486"/>
      <c r="N728" s="486"/>
      <c r="O728" s="486"/>
      <c r="P728" s="486"/>
      <c r="Q728" s="486"/>
      <c r="R728" s="358"/>
      <c r="S728" s="358"/>
      <c r="T728" s="347"/>
      <c r="U728" s="347"/>
      <c r="V728" s="347"/>
      <c r="W728" s="347"/>
      <c r="X728" s="347"/>
      <c r="Y728" s="347"/>
      <c r="Z728" s="347"/>
      <c r="AA728" s="347"/>
      <c r="AB728" s="347"/>
      <c r="AC728" s="347"/>
      <c r="AD728" s="347"/>
      <c r="AE728" s="347"/>
      <c r="AF728" s="347"/>
      <c r="AG728" s="347"/>
      <c r="AH728" s="347"/>
      <c r="AI728" s="347"/>
      <c r="AJ728" s="347"/>
      <c r="AK728" s="347"/>
      <c r="AL728" s="347"/>
      <c r="AM728" s="347"/>
      <c r="AN728" s="347"/>
      <c r="AO728" s="351"/>
      <c r="AP728" s="351"/>
      <c r="AQ728" s="335"/>
      <c r="AR728" s="335"/>
      <c r="AS728" s="335"/>
      <c r="AT728" s="335"/>
      <c r="AU728" s="334"/>
      <c r="AV728" s="334"/>
      <c r="AW728" s="335"/>
      <c r="AX728" s="335"/>
      <c r="AY728" s="335"/>
      <c r="AZ728" s="335"/>
      <c r="BA728" s="335"/>
      <c r="BB728" s="335"/>
      <c r="BC728" s="335"/>
      <c r="BD728" s="335"/>
      <c r="BE728" s="335"/>
    </row>
    <row r="729" s="355" customFormat="true" ht="14.15" hidden="true" customHeight="true" outlineLevel="1" collapsed="false">
      <c r="A729" s="469" t="s">
        <v>2153</v>
      </c>
      <c r="B729" s="348"/>
      <c r="C729" s="612"/>
      <c r="D729" s="437"/>
      <c r="I729" s="437"/>
      <c r="J729" s="437"/>
      <c r="K729" s="437"/>
      <c r="L729" s="437"/>
      <c r="M729" s="437"/>
      <c r="N729" s="437"/>
      <c r="O729" s="437"/>
      <c r="P729" s="437"/>
      <c r="Q729" s="437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  <c r="AF729" s="358"/>
      <c r="AG729" s="358"/>
      <c r="AH729" s="358"/>
      <c r="AI729" s="358"/>
      <c r="AJ729" s="358"/>
      <c r="AK729" s="358"/>
      <c r="AL729" s="358"/>
      <c r="AM729" s="358"/>
      <c r="AN729" s="358"/>
      <c r="AO729" s="359"/>
      <c r="AP729" s="359"/>
      <c r="AQ729" s="334"/>
      <c r="AR729" s="334"/>
      <c r="AS729" s="334"/>
      <c r="AT729" s="334"/>
      <c r="AU729" s="334"/>
      <c r="AV729" s="334"/>
      <c r="AW729" s="334"/>
      <c r="AX729" s="334"/>
      <c r="AY729" s="334"/>
      <c r="AZ729" s="334"/>
      <c r="BA729" s="334"/>
      <c r="BB729" s="334"/>
      <c r="BC729" s="334"/>
      <c r="BD729" s="334"/>
      <c r="BE729" s="334"/>
      <c r="BF729" s="360"/>
    </row>
    <row r="730" customFormat="false" ht="14.15" hidden="true" customHeight="true" outlineLevel="1" collapsed="false">
      <c r="A730" s="614" t="s">
        <v>265</v>
      </c>
      <c r="B730" s="348"/>
      <c r="C730" s="612"/>
      <c r="D730" s="437"/>
      <c r="I730" s="486"/>
      <c r="J730" s="486"/>
      <c r="K730" s="486"/>
      <c r="L730" s="486"/>
      <c r="M730" s="486"/>
      <c r="N730" s="486"/>
      <c r="O730" s="486"/>
      <c r="P730" s="486"/>
      <c r="Q730" s="486"/>
      <c r="R730" s="358"/>
      <c r="S730" s="358"/>
      <c r="T730" s="347"/>
      <c r="U730" s="347"/>
      <c r="V730" s="347"/>
      <c r="W730" s="347"/>
      <c r="X730" s="347"/>
      <c r="Y730" s="347"/>
      <c r="Z730" s="347"/>
      <c r="AA730" s="347"/>
      <c r="AB730" s="347"/>
      <c r="AC730" s="347"/>
      <c r="AD730" s="347"/>
      <c r="AE730" s="347"/>
      <c r="AF730" s="347"/>
      <c r="AG730" s="347"/>
      <c r="AH730" s="347"/>
      <c r="AI730" s="347"/>
      <c r="AJ730" s="347"/>
      <c r="AK730" s="347"/>
      <c r="AL730" s="347"/>
      <c r="AM730" s="347"/>
      <c r="AN730" s="347"/>
      <c r="AO730" s="351"/>
      <c r="AP730" s="351"/>
      <c r="AQ730" s="335"/>
      <c r="AR730" s="335"/>
      <c r="AS730" s="335"/>
      <c r="AT730" s="335"/>
      <c r="AU730" s="334"/>
      <c r="AV730" s="334"/>
      <c r="AW730" s="335"/>
      <c r="AX730" s="335"/>
      <c r="AY730" s="335"/>
      <c r="AZ730" s="335"/>
      <c r="BA730" s="335"/>
      <c r="BB730" s="335"/>
      <c r="BC730" s="335"/>
      <c r="BD730" s="335"/>
      <c r="BE730" s="335"/>
    </row>
    <row r="731" s="355" customFormat="true" ht="14.15" hidden="true" customHeight="true" outlineLevel="1" collapsed="false">
      <c r="A731" s="372" t="s">
        <v>2154</v>
      </c>
      <c r="I731" s="437"/>
      <c r="J731" s="437"/>
      <c r="K731" s="437"/>
      <c r="L731" s="437"/>
      <c r="M731" s="437"/>
      <c r="N731" s="437"/>
      <c r="O731" s="437"/>
      <c r="P731" s="437"/>
      <c r="Q731" s="437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  <c r="AF731" s="358"/>
      <c r="AG731" s="358"/>
      <c r="AH731" s="358"/>
      <c r="AI731" s="358"/>
      <c r="AJ731" s="358"/>
      <c r="AK731" s="358"/>
      <c r="AL731" s="358"/>
      <c r="AM731" s="358"/>
      <c r="AN731" s="358"/>
      <c r="AO731" s="359"/>
      <c r="AP731" s="359"/>
      <c r="AQ731" s="334"/>
      <c r="AR731" s="334"/>
      <c r="AS731" s="334"/>
      <c r="AT731" s="334"/>
      <c r="AU731" s="334"/>
      <c r="AV731" s="334"/>
      <c r="AW731" s="334"/>
      <c r="AX731" s="334"/>
      <c r="AY731" s="334"/>
      <c r="AZ731" s="334"/>
      <c r="BA731" s="334"/>
      <c r="BB731" s="334"/>
      <c r="BC731" s="334"/>
      <c r="BD731" s="334"/>
      <c r="BE731" s="334"/>
      <c r="BF731" s="360"/>
    </row>
    <row r="732" customFormat="false" ht="14.15" hidden="true" customHeight="true" outlineLevel="1" collapsed="false">
      <c r="A732" s="615" t="s">
        <v>179</v>
      </c>
      <c r="B732" s="542" t="s">
        <v>1802</v>
      </c>
      <c r="C732" s="610" t="n">
        <v>6</v>
      </c>
      <c r="D732" s="616"/>
      <c r="I732" s="617"/>
      <c r="J732" s="617"/>
      <c r="K732" s="617"/>
      <c r="L732" s="486"/>
      <c r="M732" s="486"/>
      <c r="N732" s="486"/>
      <c r="O732" s="486"/>
      <c r="P732" s="486"/>
      <c r="Q732" s="486"/>
      <c r="R732" s="358"/>
      <c r="S732" s="358"/>
      <c r="T732" s="347"/>
      <c r="U732" s="347"/>
      <c r="V732" s="347"/>
      <c r="W732" s="347"/>
      <c r="X732" s="347"/>
      <c r="Y732" s="347"/>
      <c r="Z732" s="347"/>
      <c r="AA732" s="347"/>
      <c r="AB732" s="347"/>
      <c r="AC732" s="347"/>
      <c r="AD732" s="347"/>
      <c r="AE732" s="347"/>
      <c r="AF732" s="347"/>
      <c r="AG732" s="347"/>
      <c r="AH732" s="347"/>
      <c r="AI732" s="347"/>
      <c r="AJ732" s="347"/>
      <c r="AK732" s="347"/>
      <c r="AL732" s="347"/>
      <c r="AM732" s="347"/>
      <c r="AN732" s="347"/>
      <c r="AO732" s="351"/>
      <c r="AP732" s="351"/>
      <c r="AQ732" s="335"/>
      <c r="AR732" s="335"/>
      <c r="AS732" s="335"/>
      <c r="AT732" s="335"/>
      <c r="AU732" s="334"/>
      <c r="AV732" s="334"/>
      <c r="AW732" s="335"/>
      <c r="AX732" s="335"/>
      <c r="AY732" s="335"/>
      <c r="AZ732" s="335"/>
      <c r="BA732" s="335"/>
      <c r="BB732" s="335"/>
      <c r="BC732" s="335"/>
      <c r="BD732" s="335"/>
      <c r="BE732" s="335"/>
    </row>
    <row r="733" s="355" customFormat="true" ht="14.15" hidden="true" customHeight="true" outlineLevel="1" collapsed="false">
      <c r="A733" s="469" t="s">
        <v>2155</v>
      </c>
      <c r="B733" s="348"/>
      <c r="C733" s="612"/>
      <c r="D733" s="616"/>
      <c r="I733" s="616"/>
      <c r="J733" s="616"/>
      <c r="K733" s="616"/>
      <c r="L733" s="437"/>
      <c r="M733" s="437"/>
      <c r="N733" s="437"/>
      <c r="O733" s="437"/>
      <c r="P733" s="437"/>
      <c r="Q733" s="437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  <c r="AF733" s="358"/>
      <c r="AG733" s="358"/>
      <c r="AH733" s="358"/>
      <c r="AI733" s="358"/>
      <c r="AJ733" s="358"/>
      <c r="AK733" s="358"/>
      <c r="AL733" s="358"/>
      <c r="AM733" s="358"/>
      <c r="AN733" s="358"/>
      <c r="AO733" s="359"/>
      <c r="AP733" s="359"/>
      <c r="AQ733" s="334"/>
      <c r="AR733" s="334"/>
      <c r="AS733" s="334"/>
      <c r="AT733" s="334"/>
      <c r="AU733" s="334"/>
      <c r="AV733" s="334"/>
      <c r="AW733" s="334"/>
      <c r="AX733" s="334"/>
      <c r="AY733" s="334"/>
      <c r="AZ733" s="334"/>
      <c r="BA733" s="334"/>
      <c r="BB733" s="334"/>
      <c r="BC733" s="334"/>
      <c r="BD733" s="334"/>
      <c r="BE733" s="334"/>
      <c r="BF733" s="360"/>
    </row>
    <row r="734" s="355" customFormat="true" ht="14.15" hidden="true" customHeight="true" outlineLevel="1" collapsed="false">
      <c r="A734" s="613" t="s">
        <v>178</v>
      </c>
      <c r="B734" s="375" t="s">
        <v>2156</v>
      </c>
      <c r="C734" s="610" t="n">
        <v>0.4</v>
      </c>
      <c r="D734" s="616"/>
      <c r="I734" s="616"/>
      <c r="J734" s="616"/>
      <c r="K734" s="616"/>
      <c r="L734" s="437"/>
      <c r="M734" s="437"/>
      <c r="N734" s="437"/>
      <c r="O734" s="437"/>
      <c r="P734" s="437"/>
      <c r="Q734" s="437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  <c r="AF734" s="358"/>
      <c r="AG734" s="358"/>
      <c r="AH734" s="358"/>
      <c r="AI734" s="358"/>
      <c r="AJ734" s="358"/>
      <c r="AK734" s="358"/>
      <c r="AL734" s="358"/>
      <c r="AM734" s="358"/>
      <c r="AN734" s="358"/>
      <c r="AO734" s="359"/>
      <c r="AP734" s="359"/>
      <c r="AQ734" s="334"/>
      <c r="AR734" s="334"/>
      <c r="AS734" s="334"/>
      <c r="AT734" s="334"/>
      <c r="AU734" s="334"/>
      <c r="AV734" s="334"/>
      <c r="AW734" s="334"/>
      <c r="AX734" s="334"/>
      <c r="AY734" s="334"/>
      <c r="AZ734" s="334"/>
      <c r="BA734" s="334"/>
      <c r="BB734" s="334"/>
      <c r="BC734" s="334"/>
      <c r="BD734" s="334"/>
      <c r="BE734" s="334"/>
      <c r="BF734" s="360"/>
    </row>
    <row r="735" customFormat="false" ht="14.15" hidden="true" customHeight="true" outlineLevel="1" collapsed="false">
      <c r="A735" s="541" t="s">
        <v>2157</v>
      </c>
      <c r="B735" s="542" t="s">
        <v>156</v>
      </c>
      <c r="C735" s="610" t="n">
        <v>10</v>
      </c>
      <c r="D735" s="437"/>
      <c r="I735" s="437"/>
      <c r="J735" s="486"/>
      <c r="K735" s="609"/>
      <c r="L735" s="486"/>
      <c r="M735" s="486"/>
      <c r="N735" s="486"/>
      <c r="O735" s="486"/>
      <c r="P735" s="486"/>
      <c r="Q735" s="486"/>
      <c r="R735" s="358"/>
      <c r="S735" s="358"/>
      <c r="T735" s="347"/>
      <c r="U735" s="347"/>
      <c r="V735" s="347"/>
      <c r="W735" s="347"/>
      <c r="X735" s="347"/>
      <c r="Y735" s="347"/>
      <c r="Z735" s="347"/>
      <c r="AA735" s="347"/>
      <c r="AB735" s="347"/>
      <c r="AC735" s="347"/>
      <c r="AD735" s="347"/>
      <c r="AE735" s="347"/>
      <c r="AF735" s="347"/>
      <c r="AG735" s="347"/>
      <c r="AH735" s="347"/>
      <c r="AI735" s="347"/>
      <c r="AJ735" s="347"/>
      <c r="AK735" s="347"/>
      <c r="AL735" s="347"/>
      <c r="AM735" s="347"/>
      <c r="AN735" s="347"/>
      <c r="AO735" s="351"/>
      <c r="AP735" s="351"/>
      <c r="AQ735" s="335"/>
      <c r="AR735" s="335"/>
      <c r="AS735" s="335"/>
      <c r="AT735" s="335"/>
      <c r="AU735" s="334"/>
      <c r="AV735" s="334"/>
      <c r="AW735" s="335"/>
      <c r="AX735" s="335"/>
      <c r="AY735" s="335"/>
      <c r="AZ735" s="335"/>
      <c r="BA735" s="335"/>
      <c r="BB735" s="335"/>
      <c r="BC735" s="335"/>
      <c r="BD735" s="335"/>
      <c r="BE735" s="335"/>
    </row>
    <row r="736" customFormat="false" ht="14.15" hidden="true" customHeight="true" outlineLevel="1" collapsed="false">
      <c r="A736" s="618" t="s">
        <v>2158</v>
      </c>
      <c r="B736" s="477"/>
      <c r="C736" s="489"/>
      <c r="D736" s="437"/>
      <c r="I736" s="619"/>
      <c r="J736" s="620"/>
      <c r="K736" s="620"/>
      <c r="L736" s="620"/>
      <c r="M736" s="620"/>
      <c r="N736" s="620"/>
      <c r="O736" s="620"/>
      <c r="P736" s="620"/>
      <c r="Q736" s="486"/>
      <c r="R736" s="358"/>
      <c r="S736" s="358"/>
      <c r="T736" s="347"/>
      <c r="U736" s="347"/>
      <c r="V736" s="347"/>
      <c r="W736" s="347"/>
      <c r="X736" s="347"/>
      <c r="Y736" s="347"/>
      <c r="Z736" s="347"/>
      <c r="AA736" s="347"/>
      <c r="AB736" s="347"/>
      <c r="AC736" s="347"/>
      <c r="AD736" s="347"/>
      <c r="AE736" s="347"/>
      <c r="AF736" s="347"/>
      <c r="AG736" s="347"/>
      <c r="AH736" s="347"/>
      <c r="AI736" s="347"/>
      <c r="AJ736" s="347"/>
      <c r="AK736" s="347"/>
      <c r="AL736" s="347"/>
      <c r="AM736" s="347"/>
      <c r="AN736" s="347"/>
      <c r="AO736" s="351"/>
      <c r="AP736" s="351"/>
      <c r="AQ736" s="335"/>
      <c r="AR736" s="335"/>
      <c r="AS736" s="335"/>
      <c r="AT736" s="335"/>
      <c r="AU736" s="334"/>
      <c r="AV736" s="334"/>
      <c r="AW736" s="335"/>
      <c r="AX736" s="335"/>
      <c r="AY736" s="335"/>
      <c r="AZ736" s="335"/>
      <c r="BA736" s="335"/>
      <c r="BB736" s="335"/>
      <c r="BC736" s="335"/>
      <c r="BD736" s="335"/>
      <c r="BE736" s="335"/>
    </row>
    <row r="737" customFormat="false" ht="14.15" hidden="true" customHeight="true" outlineLevel="1" collapsed="false">
      <c r="A737" s="525" t="s">
        <v>294</v>
      </c>
      <c r="B737" s="348"/>
      <c r="C737" s="489"/>
      <c r="D737" s="437"/>
      <c r="I737" s="486"/>
      <c r="J737" s="486"/>
      <c r="K737" s="609"/>
      <c r="L737" s="486"/>
      <c r="M737" s="486"/>
      <c r="N737" s="486"/>
      <c r="O737" s="486"/>
      <c r="P737" s="486"/>
      <c r="Q737" s="486"/>
      <c r="R737" s="358"/>
      <c r="S737" s="358"/>
      <c r="T737" s="347"/>
      <c r="U737" s="347"/>
      <c r="V737" s="347"/>
      <c r="W737" s="347"/>
      <c r="X737" s="347"/>
      <c r="Y737" s="347"/>
      <c r="Z737" s="347"/>
      <c r="AA737" s="347"/>
      <c r="AB737" s="347"/>
      <c r="AC737" s="347"/>
      <c r="AD737" s="347"/>
      <c r="AE737" s="347"/>
      <c r="AF737" s="347"/>
      <c r="AG737" s="347"/>
      <c r="AH737" s="347"/>
      <c r="AI737" s="347"/>
      <c r="AJ737" s="347"/>
      <c r="AK737" s="347"/>
      <c r="AL737" s="347"/>
      <c r="AM737" s="347"/>
      <c r="AN737" s="347"/>
      <c r="AO737" s="351"/>
      <c r="AP737" s="351"/>
      <c r="AQ737" s="335"/>
      <c r="AR737" s="335"/>
      <c r="AS737" s="335"/>
      <c r="AT737" s="335"/>
      <c r="AU737" s="334"/>
      <c r="AV737" s="334"/>
      <c r="AW737" s="335"/>
      <c r="AX737" s="335"/>
      <c r="AY737" s="335"/>
      <c r="AZ737" s="335"/>
      <c r="BA737" s="335"/>
      <c r="BB737" s="335"/>
      <c r="BC737" s="335"/>
      <c r="BD737" s="335"/>
      <c r="BE737" s="335"/>
    </row>
    <row r="738" customFormat="false" ht="14.15" hidden="true" customHeight="true" outlineLevel="1" collapsed="false">
      <c r="A738" s="621"/>
      <c r="B738" s="348"/>
      <c r="C738" s="489"/>
      <c r="D738" s="437"/>
      <c r="I738" s="486"/>
      <c r="J738" s="486"/>
      <c r="K738" s="609"/>
      <c r="L738" s="486"/>
      <c r="M738" s="486"/>
      <c r="N738" s="486"/>
      <c r="O738" s="486"/>
      <c r="P738" s="486"/>
      <c r="Q738" s="486"/>
      <c r="R738" s="358"/>
      <c r="S738" s="358"/>
      <c r="T738" s="347"/>
      <c r="U738" s="347"/>
      <c r="V738" s="347"/>
      <c r="W738" s="347"/>
      <c r="X738" s="347"/>
      <c r="Y738" s="347"/>
      <c r="Z738" s="347"/>
      <c r="AA738" s="347"/>
      <c r="AB738" s="347"/>
      <c r="AC738" s="347"/>
      <c r="AD738" s="347"/>
      <c r="AE738" s="347"/>
      <c r="AF738" s="347"/>
      <c r="AG738" s="347"/>
      <c r="AH738" s="347"/>
      <c r="AI738" s="347"/>
      <c r="AJ738" s="347"/>
      <c r="AK738" s="347"/>
      <c r="AL738" s="347"/>
      <c r="AM738" s="347"/>
      <c r="AN738" s="347"/>
      <c r="AO738" s="351"/>
      <c r="AP738" s="351"/>
      <c r="AQ738" s="335"/>
      <c r="AR738" s="335"/>
      <c r="AS738" s="335"/>
      <c r="AT738" s="335"/>
      <c r="AU738" s="334"/>
      <c r="AV738" s="334"/>
      <c r="AW738" s="335"/>
      <c r="AX738" s="335"/>
      <c r="AY738" s="335"/>
      <c r="AZ738" s="335"/>
      <c r="BA738" s="335"/>
      <c r="BB738" s="335"/>
      <c r="BC738" s="335"/>
      <c r="BD738" s="335"/>
      <c r="BE738" s="335"/>
    </row>
    <row r="739" customFormat="false" ht="14.15" hidden="true" customHeight="true" outlineLevel="1" collapsed="false">
      <c r="A739" s="622" t="s">
        <v>2159</v>
      </c>
      <c r="B739" s="542" t="s">
        <v>1820</v>
      </c>
      <c r="C739" s="623" t="s">
        <v>1821</v>
      </c>
      <c r="D739" s="437"/>
      <c r="I739" s="486"/>
      <c r="J739" s="486"/>
      <c r="K739" s="609"/>
      <c r="L739" s="486"/>
      <c r="M739" s="486"/>
      <c r="N739" s="486"/>
      <c r="O739" s="486"/>
      <c r="P739" s="486"/>
      <c r="Q739" s="486"/>
      <c r="R739" s="358"/>
      <c r="S739" s="358"/>
      <c r="T739" s="347"/>
      <c r="U739" s="347"/>
      <c r="V739" s="347"/>
      <c r="W739" s="347"/>
      <c r="X739" s="347"/>
      <c r="Y739" s="347"/>
      <c r="Z739" s="347"/>
      <c r="AA739" s="347"/>
      <c r="AB739" s="347"/>
      <c r="AC739" s="347"/>
      <c r="AD739" s="347"/>
      <c r="AE739" s="347"/>
      <c r="AF739" s="347"/>
      <c r="AG739" s="347"/>
      <c r="AH739" s="347"/>
      <c r="AI739" s="347"/>
      <c r="AJ739" s="347"/>
      <c r="AK739" s="347"/>
      <c r="AL739" s="347"/>
      <c r="AM739" s="347"/>
      <c r="AN739" s="347"/>
      <c r="AO739" s="351"/>
      <c r="AP739" s="351"/>
      <c r="AQ739" s="335"/>
      <c r="AR739" s="335"/>
      <c r="AS739" s="335"/>
      <c r="AT739" s="335"/>
      <c r="AU739" s="334"/>
      <c r="AV739" s="334"/>
      <c r="AW739" s="335"/>
      <c r="AX739" s="335"/>
      <c r="AY739" s="335"/>
      <c r="AZ739" s="335"/>
      <c r="BA739" s="335"/>
      <c r="BB739" s="335"/>
      <c r="BC739" s="335"/>
      <c r="BD739" s="335"/>
      <c r="BE739" s="335"/>
    </row>
    <row r="740" s="355" customFormat="true" ht="14.15" hidden="true" customHeight="true" outlineLevel="1" collapsed="false">
      <c r="A740" s="368" t="s">
        <v>2160</v>
      </c>
      <c r="B740" s="364" t="s">
        <v>1322</v>
      </c>
      <c r="C740" s="23" t="n">
        <v>0.3</v>
      </c>
      <c r="D740" s="437"/>
      <c r="I740" s="437"/>
      <c r="J740" s="437"/>
      <c r="K740" s="624"/>
      <c r="L740" s="437"/>
      <c r="M740" s="437"/>
      <c r="N740" s="437"/>
      <c r="O740" s="437"/>
      <c r="P740" s="437"/>
      <c r="Q740" s="437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  <c r="AF740" s="358"/>
      <c r="AG740" s="358"/>
      <c r="AH740" s="358"/>
      <c r="AI740" s="358"/>
      <c r="AJ740" s="358"/>
      <c r="AK740" s="358"/>
      <c r="AL740" s="358"/>
      <c r="AM740" s="358"/>
      <c r="AN740" s="358"/>
      <c r="AO740" s="359"/>
      <c r="AP740" s="359"/>
      <c r="AQ740" s="334"/>
      <c r="AR740" s="334"/>
      <c r="AS740" s="334"/>
      <c r="AT740" s="334"/>
      <c r="AU740" s="334"/>
      <c r="AV740" s="334"/>
      <c r="AW740" s="334"/>
      <c r="AX740" s="334"/>
      <c r="AY740" s="334"/>
      <c r="AZ740" s="334"/>
      <c r="BA740" s="334"/>
      <c r="BB740" s="334"/>
      <c r="BC740" s="334"/>
      <c r="BD740" s="334"/>
      <c r="BE740" s="334"/>
      <c r="BF740" s="360"/>
    </row>
    <row r="741" customFormat="false" ht="14.15" hidden="true" customHeight="true" outlineLevel="1" collapsed="false">
      <c r="A741" s="421" t="s">
        <v>2161</v>
      </c>
      <c r="B741" s="364" t="s">
        <v>1322</v>
      </c>
      <c r="C741" s="23" t="n">
        <v>3</v>
      </c>
      <c r="D741" s="625"/>
      <c r="E741" s="625"/>
      <c r="F741" s="625"/>
      <c r="I741" s="626"/>
      <c r="J741" s="627"/>
      <c r="K741" s="627"/>
      <c r="L741" s="627"/>
      <c r="M741" s="627"/>
      <c r="N741" s="627"/>
      <c r="O741" s="627"/>
      <c r="P741" s="446"/>
      <c r="Q741" s="446"/>
      <c r="R741" s="358"/>
      <c r="S741" s="358"/>
      <c r="T741" s="347"/>
      <c r="U741" s="347"/>
      <c r="V741" s="347"/>
      <c r="W741" s="347"/>
      <c r="X741" s="347"/>
      <c r="Y741" s="347"/>
      <c r="Z741" s="347"/>
      <c r="AA741" s="347"/>
      <c r="AB741" s="347"/>
      <c r="AC741" s="347"/>
      <c r="AD741" s="347"/>
      <c r="AE741" s="347"/>
      <c r="AF741" s="347"/>
      <c r="AG741" s="347"/>
      <c r="AH741" s="347"/>
      <c r="AI741" s="347"/>
      <c r="AJ741" s="347"/>
      <c r="AK741" s="347"/>
      <c r="AL741" s="347"/>
      <c r="AM741" s="347"/>
      <c r="AN741" s="347"/>
      <c r="AO741" s="351"/>
      <c r="AP741" s="351"/>
      <c r="AQ741" s="335"/>
      <c r="AR741" s="335"/>
      <c r="AS741" s="335"/>
      <c r="AT741" s="335"/>
      <c r="AU741" s="334"/>
      <c r="AV741" s="334"/>
      <c r="AW741" s="335"/>
      <c r="AX741" s="335"/>
      <c r="AY741" s="335"/>
      <c r="AZ741" s="335"/>
      <c r="BA741" s="335"/>
      <c r="BB741" s="335"/>
      <c r="BC741" s="335"/>
      <c r="BD741" s="335"/>
      <c r="BE741" s="335"/>
    </row>
    <row r="742" customFormat="false" ht="14.15" hidden="true" customHeight="true" outlineLevel="1" collapsed="false">
      <c r="A742" s="324" t="s">
        <v>2162</v>
      </c>
      <c r="D742" s="355"/>
      <c r="K742" s="628"/>
      <c r="O742" s="629"/>
      <c r="P742" s="492"/>
      <c r="R742" s="358"/>
      <c r="S742" s="358"/>
      <c r="T742" s="347"/>
      <c r="U742" s="347"/>
      <c r="V742" s="347"/>
      <c r="W742" s="347"/>
      <c r="X742" s="347"/>
      <c r="Y742" s="347"/>
      <c r="Z742" s="347"/>
      <c r="AA742" s="347"/>
      <c r="AB742" s="347"/>
      <c r="AC742" s="347"/>
      <c r="AD742" s="347"/>
      <c r="AE742" s="347"/>
      <c r="AF742" s="347"/>
      <c r="AG742" s="347"/>
      <c r="AH742" s="347"/>
      <c r="AI742" s="347"/>
      <c r="AJ742" s="347"/>
      <c r="AK742" s="347"/>
      <c r="AL742" s="347"/>
      <c r="AM742" s="347"/>
      <c r="AN742" s="347"/>
      <c r="AO742" s="351"/>
      <c r="AP742" s="351"/>
      <c r="AQ742" s="335"/>
      <c r="AR742" s="335"/>
      <c r="AS742" s="335"/>
      <c r="AT742" s="335"/>
      <c r="AU742" s="334"/>
      <c r="AV742" s="334"/>
      <c r="AW742" s="335"/>
      <c r="AX742" s="335"/>
      <c r="AY742" s="335"/>
      <c r="AZ742" s="335"/>
      <c r="BA742" s="335"/>
      <c r="BB742" s="335"/>
      <c r="BC742" s="335"/>
      <c r="BD742" s="335"/>
      <c r="BE742" s="335"/>
    </row>
    <row r="743" customFormat="false" ht="14.15" hidden="true" customHeight="true" outlineLevel="1" collapsed="false">
      <c r="A743" s="393" t="s">
        <v>201</v>
      </c>
      <c r="D743" s="355"/>
      <c r="K743" s="628"/>
      <c r="O743" s="629"/>
      <c r="P743" s="492"/>
      <c r="R743" s="358"/>
      <c r="S743" s="358"/>
      <c r="T743" s="347"/>
      <c r="U743" s="347"/>
      <c r="V743" s="347"/>
      <c r="W743" s="347"/>
      <c r="X743" s="347"/>
      <c r="Y743" s="347"/>
      <c r="Z743" s="347"/>
      <c r="AA743" s="347"/>
      <c r="AB743" s="347"/>
      <c r="AC743" s="347"/>
      <c r="AD743" s="347"/>
      <c r="AE743" s="347"/>
      <c r="AF743" s="347"/>
      <c r="AG743" s="347"/>
      <c r="AH743" s="347"/>
      <c r="AI743" s="347"/>
      <c r="AJ743" s="347"/>
      <c r="AK743" s="347"/>
      <c r="AL743" s="347"/>
      <c r="AM743" s="347"/>
      <c r="AN743" s="347"/>
      <c r="AO743" s="351"/>
      <c r="AP743" s="351"/>
      <c r="AQ743" s="335"/>
      <c r="AR743" s="335"/>
      <c r="AS743" s="335"/>
      <c r="AT743" s="335"/>
      <c r="AU743" s="334"/>
      <c r="AV743" s="334"/>
      <c r="AW743" s="335"/>
      <c r="AX743" s="335"/>
      <c r="AY743" s="335"/>
      <c r="AZ743" s="335"/>
      <c r="BA743" s="335"/>
      <c r="BB743" s="335"/>
      <c r="BC743" s="335"/>
      <c r="BD743" s="335"/>
      <c r="BE743" s="335"/>
    </row>
    <row r="744" customFormat="false" ht="14.15" hidden="true" customHeight="true" outlineLevel="1" collapsed="false">
      <c r="D744" s="355"/>
      <c r="K744" s="628"/>
      <c r="O744" s="629"/>
      <c r="P744" s="492"/>
      <c r="R744" s="358"/>
      <c r="S744" s="358"/>
      <c r="T744" s="347"/>
      <c r="U744" s="347"/>
      <c r="V744" s="347"/>
      <c r="W744" s="347"/>
      <c r="X744" s="347"/>
      <c r="Y744" s="347"/>
      <c r="Z744" s="347"/>
      <c r="AA744" s="347"/>
      <c r="AB744" s="347"/>
      <c r="AC744" s="347"/>
      <c r="AD744" s="347"/>
      <c r="AE744" s="347"/>
      <c r="AF744" s="347"/>
      <c r="AG744" s="347"/>
      <c r="AH744" s="347"/>
      <c r="AI744" s="347"/>
      <c r="AJ744" s="347"/>
      <c r="AK744" s="347"/>
      <c r="AL744" s="347"/>
      <c r="AM744" s="347"/>
      <c r="AN744" s="347"/>
      <c r="AO744" s="351"/>
      <c r="AP744" s="351"/>
      <c r="AQ744" s="335"/>
      <c r="AR744" s="335"/>
      <c r="AS744" s="335"/>
      <c r="AT744" s="335"/>
      <c r="AU744" s="334"/>
      <c r="AV744" s="334"/>
      <c r="AW744" s="335"/>
      <c r="AX744" s="335"/>
      <c r="AY744" s="335"/>
      <c r="AZ744" s="335"/>
      <c r="BA744" s="335"/>
      <c r="BB744" s="335"/>
      <c r="BC744" s="335"/>
      <c r="BD744" s="335"/>
      <c r="BE744" s="335"/>
    </row>
    <row r="745" customFormat="false" ht="14.15" hidden="true" customHeight="true" outlineLevel="1" collapsed="false">
      <c r="A745" s="630" t="s">
        <v>2163</v>
      </c>
      <c r="B745" s="404" t="s">
        <v>2164</v>
      </c>
      <c r="C745" s="631" t="s">
        <v>1798</v>
      </c>
      <c r="D745" s="355"/>
      <c r="K745" s="628"/>
      <c r="O745" s="629"/>
      <c r="P745" s="492"/>
      <c r="R745" s="358"/>
      <c r="S745" s="358"/>
      <c r="T745" s="347"/>
      <c r="U745" s="347"/>
      <c r="V745" s="347"/>
      <c r="W745" s="347"/>
      <c r="X745" s="347"/>
      <c r="Y745" s="347"/>
      <c r="Z745" s="347"/>
      <c r="AA745" s="347"/>
      <c r="AB745" s="347"/>
      <c r="AC745" s="347"/>
      <c r="AD745" s="347"/>
      <c r="AE745" s="347"/>
      <c r="AF745" s="347"/>
      <c r="AG745" s="347"/>
      <c r="AH745" s="347"/>
      <c r="AI745" s="347"/>
      <c r="AJ745" s="347"/>
      <c r="AK745" s="347"/>
      <c r="AL745" s="347"/>
      <c r="AM745" s="347"/>
      <c r="AN745" s="347"/>
      <c r="AO745" s="351"/>
      <c r="AP745" s="351"/>
      <c r="AQ745" s="335"/>
      <c r="AR745" s="335"/>
      <c r="AS745" s="335"/>
      <c r="AT745" s="335"/>
      <c r="AU745" s="334"/>
      <c r="AV745" s="334"/>
      <c r="AW745" s="335"/>
      <c r="AX745" s="335"/>
      <c r="AY745" s="335"/>
      <c r="AZ745" s="335"/>
      <c r="BA745" s="335"/>
      <c r="BB745" s="335"/>
      <c r="BC745" s="335"/>
      <c r="BD745" s="335"/>
      <c r="BE745" s="335"/>
    </row>
    <row r="746" customFormat="false" ht="14.15" hidden="true" customHeight="true" outlineLevel="1" collapsed="false">
      <c r="A746" s="541" t="s">
        <v>2165</v>
      </c>
      <c r="B746" s="542" t="s">
        <v>156</v>
      </c>
      <c r="C746" s="610" t="n">
        <v>0.8</v>
      </c>
      <c r="D746" s="600"/>
      <c r="I746" s="600"/>
      <c r="J746" s="600"/>
      <c r="K746" s="600"/>
      <c r="L746" s="600"/>
      <c r="M746" s="600"/>
      <c r="N746" s="600"/>
      <c r="O746" s="600"/>
      <c r="P746" s="600"/>
      <c r="Q746" s="600"/>
      <c r="R746" s="358"/>
      <c r="S746" s="358"/>
      <c r="T746" s="347"/>
      <c r="U746" s="347"/>
      <c r="V746" s="347"/>
      <c r="W746" s="347"/>
      <c r="X746" s="347"/>
      <c r="Y746" s="347"/>
      <c r="Z746" s="347"/>
      <c r="AA746" s="347"/>
      <c r="AB746" s="347"/>
      <c r="AC746" s="347"/>
      <c r="AD746" s="347"/>
      <c r="AE746" s="347"/>
      <c r="AF746" s="347"/>
      <c r="AG746" s="347"/>
      <c r="AH746" s="347"/>
      <c r="AI746" s="347"/>
      <c r="AJ746" s="347"/>
      <c r="AK746" s="347"/>
      <c r="AL746" s="347"/>
      <c r="AM746" s="347"/>
      <c r="AN746" s="347"/>
      <c r="AO746" s="351"/>
      <c r="AP746" s="351"/>
      <c r="AQ746" s="335"/>
      <c r="AR746" s="335"/>
      <c r="AS746" s="335"/>
      <c r="AT746" s="335"/>
      <c r="AU746" s="334"/>
      <c r="AV746" s="334"/>
      <c r="AW746" s="335"/>
      <c r="AX746" s="335"/>
      <c r="AY746" s="335"/>
      <c r="AZ746" s="335"/>
      <c r="BA746" s="335"/>
      <c r="BB746" s="335"/>
      <c r="BC746" s="335"/>
      <c r="BD746" s="335"/>
      <c r="BE746" s="335"/>
    </row>
    <row r="747" customFormat="false" ht="14.15" hidden="true" customHeight="true" outlineLevel="1" collapsed="false">
      <c r="A747" s="541" t="s">
        <v>2166</v>
      </c>
      <c r="B747" s="542" t="s">
        <v>156</v>
      </c>
      <c r="C747" s="610" t="n">
        <v>0.1</v>
      </c>
      <c r="D747" s="600"/>
      <c r="I747" s="600"/>
      <c r="J747" s="600"/>
      <c r="K747" s="600"/>
      <c r="L747" s="600"/>
      <c r="M747" s="600"/>
      <c r="N747" s="600"/>
      <c r="O747" s="600"/>
      <c r="P747" s="342"/>
      <c r="Q747" s="342"/>
      <c r="R747" s="358"/>
      <c r="S747" s="358"/>
      <c r="T747" s="347"/>
      <c r="U747" s="347"/>
      <c r="V747" s="347"/>
      <c r="W747" s="347"/>
      <c r="X747" s="347"/>
      <c r="Y747" s="347"/>
      <c r="Z747" s="347"/>
      <c r="AA747" s="347"/>
      <c r="AB747" s="347"/>
      <c r="AC747" s="347"/>
      <c r="AD747" s="347"/>
      <c r="AE747" s="347"/>
      <c r="AF747" s="347"/>
      <c r="AG747" s="347"/>
      <c r="AH747" s="347"/>
      <c r="AI747" s="347"/>
      <c r="AJ747" s="347"/>
      <c r="AK747" s="347"/>
      <c r="AL747" s="347"/>
      <c r="AM747" s="347"/>
      <c r="AN747" s="347"/>
      <c r="AO747" s="351"/>
      <c r="AP747" s="351"/>
      <c r="AQ747" s="335"/>
      <c r="AR747" s="335"/>
      <c r="AS747" s="335"/>
      <c r="AT747" s="335"/>
      <c r="AU747" s="334"/>
      <c r="AV747" s="334"/>
      <c r="AW747" s="335"/>
      <c r="AX747" s="335"/>
      <c r="AY747" s="335"/>
      <c r="AZ747" s="335"/>
      <c r="BA747" s="335"/>
      <c r="BB747" s="335"/>
      <c r="BC747" s="335"/>
      <c r="BD747" s="335"/>
      <c r="BE747" s="335"/>
    </row>
    <row r="748" customFormat="false" ht="14.15" hidden="true" customHeight="true" outlineLevel="1" collapsed="false">
      <c r="A748" s="541" t="s">
        <v>2167</v>
      </c>
      <c r="B748" s="542" t="s">
        <v>156</v>
      </c>
      <c r="C748" s="632" t="n">
        <v>0.2</v>
      </c>
      <c r="D748" s="600"/>
      <c r="I748" s="600"/>
      <c r="J748" s="600"/>
      <c r="K748" s="600"/>
      <c r="L748" s="600"/>
      <c r="M748" s="600"/>
      <c r="N748" s="600"/>
      <c r="O748" s="600"/>
      <c r="P748" s="342"/>
      <c r="Q748" s="342"/>
      <c r="R748" s="358"/>
      <c r="S748" s="358"/>
      <c r="T748" s="347"/>
      <c r="U748" s="347"/>
      <c r="V748" s="347"/>
      <c r="W748" s="347"/>
      <c r="X748" s="347"/>
      <c r="Y748" s="347"/>
      <c r="Z748" s="347"/>
      <c r="AA748" s="347"/>
      <c r="AB748" s="347"/>
      <c r="AC748" s="347"/>
      <c r="AD748" s="347"/>
      <c r="AE748" s="347"/>
      <c r="AF748" s="347"/>
      <c r="AG748" s="347"/>
      <c r="AH748" s="347"/>
      <c r="AI748" s="347"/>
      <c r="AJ748" s="347"/>
      <c r="AK748" s="347"/>
      <c r="AL748" s="347"/>
      <c r="AM748" s="347"/>
      <c r="AN748" s="347"/>
      <c r="AO748" s="351"/>
      <c r="AP748" s="351"/>
      <c r="AQ748" s="335"/>
      <c r="AR748" s="335"/>
      <c r="AS748" s="335"/>
      <c r="AT748" s="335"/>
      <c r="AU748" s="334"/>
      <c r="AV748" s="334"/>
      <c r="AW748" s="335"/>
      <c r="AX748" s="335"/>
      <c r="AY748" s="335"/>
      <c r="AZ748" s="335"/>
      <c r="BA748" s="335"/>
      <c r="BB748" s="335"/>
      <c r="BC748" s="335"/>
      <c r="BD748" s="335"/>
      <c r="BE748" s="335"/>
    </row>
    <row r="749" customFormat="false" ht="14.15" hidden="true" customHeight="true" outlineLevel="1" collapsed="false">
      <c r="A749" s="541" t="s">
        <v>2168</v>
      </c>
      <c r="B749" s="542" t="s">
        <v>156</v>
      </c>
      <c r="C749" s="633" t="n">
        <v>0.8</v>
      </c>
      <c r="D749" s="372"/>
      <c r="E749" s="372"/>
      <c r="F749" s="372"/>
      <c r="G749" s="372"/>
      <c r="H749" s="486"/>
      <c r="I749" s="629"/>
      <c r="J749" s="492"/>
      <c r="K749" s="609"/>
      <c r="L749" s="486"/>
      <c r="M749" s="486"/>
      <c r="N749" s="486"/>
      <c r="O749" s="629"/>
      <c r="P749" s="492"/>
      <c r="Q749" s="486"/>
      <c r="R749" s="358"/>
      <c r="S749" s="358"/>
      <c r="T749" s="347"/>
      <c r="U749" s="347"/>
      <c r="V749" s="347"/>
      <c r="W749" s="347"/>
      <c r="X749" s="347"/>
      <c r="Y749" s="347"/>
      <c r="Z749" s="347"/>
      <c r="AA749" s="347"/>
      <c r="AB749" s="347"/>
      <c r="AC749" s="347"/>
      <c r="AD749" s="347"/>
      <c r="AE749" s="347"/>
      <c r="AF749" s="347"/>
      <c r="AG749" s="347"/>
      <c r="AH749" s="347"/>
      <c r="AI749" s="347"/>
      <c r="AJ749" s="347"/>
      <c r="AK749" s="347"/>
      <c r="AL749" s="347"/>
      <c r="AM749" s="347"/>
      <c r="AN749" s="347"/>
      <c r="AO749" s="351"/>
      <c r="AP749" s="351"/>
      <c r="AQ749" s="335"/>
      <c r="AR749" s="335"/>
      <c r="AS749" s="335"/>
      <c r="AT749" s="335"/>
      <c r="AU749" s="334"/>
      <c r="AV749" s="334"/>
      <c r="AW749" s="335"/>
      <c r="AX749" s="335"/>
      <c r="AY749" s="335"/>
      <c r="AZ749" s="335"/>
      <c r="BA749" s="335"/>
      <c r="BB749" s="335"/>
      <c r="BC749" s="335"/>
      <c r="BD749" s="335"/>
      <c r="BE749" s="335"/>
    </row>
    <row r="750" customFormat="false" ht="14.15" hidden="true" customHeight="true" outlineLevel="1" collapsed="false">
      <c r="A750" s="469" t="s">
        <v>2169</v>
      </c>
      <c r="C750" s="261" t="s">
        <v>2170</v>
      </c>
      <c r="D750" s="261"/>
      <c r="E750" s="261"/>
      <c r="F750" s="261"/>
      <c r="G750" s="261"/>
      <c r="H750" s="437"/>
      <c r="J750" s="634"/>
      <c r="K750" s="634"/>
      <c r="L750" s="634"/>
      <c r="M750" s="634"/>
      <c r="N750" s="634"/>
      <c r="O750" s="634"/>
      <c r="P750" s="634"/>
      <c r="Q750" s="486"/>
      <c r="R750" s="358"/>
      <c r="S750" s="358"/>
      <c r="T750" s="347"/>
      <c r="U750" s="347"/>
      <c r="V750" s="347"/>
      <c r="W750" s="347"/>
      <c r="X750" s="347"/>
      <c r="Y750" s="347"/>
      <c r="Z750" s="347"/>
      <c r="AA750" s="347"/>
      <c r="AB750" s="347"/>
      <c r="AC750" s="347"/>
      <c r="AD750" s="347"/>
      <c r="AE750" s="347"/>
      <c r="AF750" s="347"/>
      <c r="AG750" s="347"/>
      <c r="AH750" s="347"/>
      <c r="AI750" s="347"/>
      <c r="AJ750" s="347"/>
      <c r="AK750" s="347"/>
      <c r="AL750" s="347"/>
      <c r="AM750" s="347"/>
      <c r="AN750" s="347"/>
      <c r="AO750" s="351"/>
      <c r="AP750" s="351"/>
      <c r="AQ750" s="335"/>
      <c r="AR750" s="335"/>
      <c r="AS750" s="335"/>
      <c r="AT750" s="335"/>
      <c r="AU750" s="334"/>
      <c r="AV750" s="334"/>
      <c r="AW750" s="335"/>
      <c r="AX750" s="335"/>
      <c r="AY750" s="335"/>
      <c r="AZ750" s="335"/>
      <c r="BA750" s="335"/>
      <c r="BB750" s="335"/>
      <c r="BC750" s="335"/>
      <c r="BD750" s="335"/>
      <c r="BE750" s="335"/>
    </row>
    <row r="751" customFormat="false" ht="14.15" hidden="true" customHeight="true" outlineLevel="1" collapsed="false">
      <c r="A751" s="635" t="s">
        <v>294</v>
      </c>
      <c r="C751" s="636" t="s">
        <v>1020</v>
      </c>
      <c r="D751" s="636"/>
      <c r="E751" s="636"/>
      <c r="F751" s="637" t="s">
        <v>1820</v>
      </c>
      <c r="G751" s="638" t="s">
        <v>1821</v>
      </c>
      <c r="I751" s="620"/>
      <c r="J751" s="620"/>
      <c r="K751" s="609"/>
      <c r="L751" s="486"/>
      <c r="M751" s="486"/>
      <c r="N751" s="486"/>
      <c r="O751" s="629"/>
      <c r="P751" s="492"/>
      <c r="Q751" s="486"/>
      <c r="R751" s="358"/>
      <c r="S751" s="358"/>
      <c r="T751" s="347"/>
      <c r="U751" s="347"/>
      <c r="V751" s="347"/>
      <c r="W751" s="347"/>
      <c r="X751" s="347"/>
      <c r="Y751" s="347"/>
      <c r="Z751" s="347"/>
      <c r="AA751" s="347"/>
      <c r="AB751" s="347"/>
      <c r="AC751" s="347"/>
      <c r="AD751" s="347"/>
      <c r="AE751" s="347"/>
      <c r="AF751" s="347"/>
      <c r="AG751" s="347"/>
      <c r="AH751" s="347"/>
      <c r="AI751" s="347"/>
      <c r="AJ751" s="347"/>
      <c r="AK751" s="347"/>
      <c r="AL751" s="347"/>
      <c r="AM751" s="347"/>
      <c r="AN751" s="347"/>
      <c r="AO751" s="351"/>
      <c r="AP751" s="351"/>
      <c r="AQ751" s="335"/>
      <c r="AR751" s="335"/>
      <c r="AS751" s="335"/>
      <c r="AT751" s="335"/>
      <c r="AU751" s="334"/>
      <c r="AV751" s="334"/>
      <c r="AW751" s="335"/>
      <c r="AX751" s="335"/>
      <c r="AY751" s="335"/>
      <c r="AZ751" s="335"/>
      <c r="BA751" s="335"/>
      <c r="BB751" s="335"/>
      <c r="BC751" s="335"/>
      <c r="BD751" s="335"/>
      <c r="BE751" s="335"/>
    </row>
    <row r="752" customFormat="false" ht="14.15" hidden="true" customHeight="true" outlineLevel="1" collapsed="false">
      <c r="A752" s="324" t="s">
        <v>2171</v>
      </c>
      <c r="B752" s="348"/>
      <c r="C752" s="639" t="s">
        <v>2172</v>
      </c>
      <c r="D752" s="639"/>
      <c r="E752" s="639"/>
      <c r="F752" s="640"/>
      <c r="G752" s="641"/>
      <c r="H752" s="437"/>
      <c r="J752" s="492"/>
      <c r="K752" s="609"/>
      <c r="L752" s="486"/>
      <c r="M752" s="486"/>
      <c r="N752" s="486"/>
      <c r="O752" s="629"/>
      <c r="P752" s="492"/>
      <c r="Q752" s="486"/>
      <c r="R752" s="358"/>
      <c r="S752" s="358"/>
      <c r="T752" s="347"/>
      <c r="U752" s="347"/>
      <c r="V752" s="347"/>
      <c r="W752" s="347"/>
      <c r="X752" s="347"/>
      <c r="Y752" s="347"/>
      <c r="Z752" s="347"/>
      <c r="AA752" s="347"/>
      <c r="AB752" s="347"/>
      <c r="AC752" s="347"/>
      <c r="AD752" s="347"/>
      <c r="AE752" s="347"/>
      <c r="AF752" s="347"/>
      <c r="AG752" s="347"/>
      <c r="AH752" s="347"/>
      <c r="AI752" s="347"/>
      <c r="AJ752" s="347"/>
      <c r="AK752" s="347"/>
      <c r="AL752" s="347"/>
      <c r="AM752" s="347"/>
      <c r="AN752" s="347"/>
      <c r="AO752" s="351"/>
      <c r="AP752" s="351"/>
      <c r="AQ752" s="335"/>
      <c r="AR752" s="335"/>
      <c r="AS752" s="335"/>
      <c r="AT752" s="335"/>
      <c r="AU752" s="334"/>
      <c r="AV752" s="334"/>
      <c r="AW752" s="335"/>
      <c r="AX752" s="335"/>
      <c r="AY752" s="335"/>
      <c r="AZ752" s="335"/>
      <c r="BA752" s="335"/>
      <c r="BB752" s="335"/>
      <c r="BC752" s="335"/>
      <c r="BD752" s="335"/>
      <c r="BE752" s="335"/>
    </row>
    <row r="753" customFormat="false" ht="14.15" hidden="true" customHeight="true" outlineLevel="1" collapsed="false">
      <c r="A753" s="478" t="s">
        <v>199</v>
      </c>
      <c r="B753" s="348"/>
      <c r="C753" s="642" t="s">
        <v>1027</v>
      </c>
      <c r="D753" s="642"/>
      <c r="E753" s="642"/>
      <c r="F753" s="365" t="s">
        <v>1820</v>
      </c>
      <c r="G753" s="623" t="s">
        <v>1821</v>
      </c>
      <c r="H753" s="437"/>
      <c r="J753" s="492"/>
      <c r="K753" s="609"/>
      <c r="L753" s="486"/>
      <c r="M753" s="486"/>
      <c r="N753" s="486"/>
      <c r="O753" s="629"/>
      <c r="P753" s="492"/>
      <c r="Q753" s="486"/>
      <c r="R753" s="358"/>
      <c r="S753" s="358"/>
      <c r="T753" s="347"/>
      <c r="U753" s="347"/>
      <c r="V753" s="347"/>
      <c r="W753" s="347"/>
      <c r="X753" s="347"/>
      <c r="Y753" s="347"/>
      <c r="Z753" s="347"/>
      <c r="AA753" s="347"/>
      <c r="AB753" s="347"/>
      <c r="AC753" s="347"/>
      <c r="AD753" s="347"/>
      <c r="AE753" s="347"/>
      <c r="AF753" s="347"/>
      <c r="AG753" s="347"/>
      <c r="AH753" s="347"/>
      <c r="AI753" s="347"/>
      <c r="AJ753" s="347"/>
      <c r="AK753" s="347"/>
      <c r="AL753" s="347"/>
      <c r="AM753" s="347"/>
      <c r="AN753" s="347"/>
      <c r="AO753" s="351"/>
      <c r="AP753" s="351"/>
      <c r="AQ753" s="335"/>
      <c r="AR753" s="335"/>
      <c r="AS753" s="335"/>
      <c r="AT753" s="335"/>
      <c r="AU753" s="334"/>
      <c r="AV753" s="334"/>
      <c r="AW753" s="335"/>
      <c r="AX753" s="335"/>
      <c r="AY753" s="335"/>
      <c r="AZ753" s="335"/>
      <c r="BA753" s="335"/>
      <c r="BB753" s="335"/>
      <c r="BC753" s="335"/>
      <c r="BD753" s="335"/>
      <c r="BE753" s="335"/>
    </row>
    <row r="754" customFormat="false" ht="14.15" hidden="true" customHeight="true" outlineLevel="1" collapsed="false">
      <c r="B754" s="348"/>
      <c r="C754" s="489"/>
      <c r="H754" s="437"/>
      <c r="J754" s="492"/>
      <c r="K754" s="609"/>
      <c r="L754" s="486"/>
      <c r="M754" s="486"/>
      <c r="N754" s="486"/>
      <c r="O754" s="629"/>
      <c r="P754" s="492"/>
      <c r="Q754" s="486"/>
      <c r="R754" s="358"/>
      <c r="S754" s="358"/>
      <c r="T754" s="347"/>
      <c r="U754" s="347"/>
      <c r="V754" s="347"/>
      <c r="W754" s="347"/>
      <c r="X754" s="347"/>
      <c r="Y754" s="347"/>
      <c r="Z754" s="347"/>
      <c r="AA754" s="347"/>
      <c r="AB754" s="347"/>
      <c r="AC754" s="347"/>
      <c r="AD754" s="347"/>
      <c r="AE754" s="347"/>
      <c r="AF754" s="347"/>
      <c r="AG754" s="347"/>
      <c r="AH754" s="347"/>
      <c r="AI754" s="347"/>
      <c r="AJ754" s="347"/>
      <c r="AK754" s="347"/>
      <c r="AL754" s="347"/>
      <c r="AM754" s="347"/>
      <c r="AN754" s="347"/>
      <c r="AO754" s="351"/>
      <c r="AP754" s="351"/>
      <c r="AQ754" s="335"/>
      <c r="AR754" s="335"/>
      <c r="AS754" s="335"/>
      <c r="AT754" s="335"/>
      <c r="AU754" s="334"/>
      <c r="AV754" s="334"/>
      <c r="AW754" s="335"/>
      <c r="AX754" s="335"/>
      <c r="AY754" s="335"/>
      <c r="AZ754" s="335"/>
      <c r="BA754" s="335"/>
      <c r="BB754" s="335"/>
      <c r="BC754" s="335"/>
      <c r="BD754" s="335"/>
      <c r="BE754" s="335"/>
    </row>
    <row r="755" customFormat="false" ht="14.15" hidden="true" customHeight="true" outlineLevel="1" collapsed="false">
      <c r="A755" s="355" t="s">
        <v>2173</v>
      </c>
      <c r="B755" s="272"/>
      <c r="C755" s="244"/>
      <c r="H755" s="437"/>
      <c r="J755" s="492"/>
      <c r="K755" s="609"/>
      <c r="L755" s="486"/>
      <c r="M755" s="486"/>
      <c r="N755" s="486"/>
      <c r="O755" s="629"/>
      <c r="P755" s="492"/>
      <c r="Q755" s="486"/>
      <c r="R755" s="358"/>
      <c r="S755" s="358"/>
      <c r="T755" s="347"/>
      <c r="U755" s="347"/>
      <c r="V755" s="347"/>
      <c r="W755" s="347"/>
      <c r="X755" s="347"/>
      <c r="Y755" s="347"/>
      <c r="Z755" s="347"/>
      <c r="AA755" s="347"/>
      <c r="AB755" s="347"/>
      <c r="AC755" s="347"/>
      <c r="AD755" s="347"/>
      <c r="AE755" s="347"/>
      <c r="AF755" s="347"/>
      <c r="AG755" s="347"/>
      <c r="AH755" s="347"/>
      <c r="AI755" s="347"/>
      <c r="AJ755" s="347"/>
      <c r="AK755" s="347"/>
      <c r="AL755" s="347"/>
      <c r="AM755" s="347"/>
      <c r="AN755" s="347"/>
      <c r="AO755" s="351"/>
      <c r="AP755" s="351"/>
      <c r="AQ755" s="335"/>
      <c r="AR755" s="335"/>
      <c r="AS755" s="335"/>
      <c r="AT755" s="335"/>
      <c r="AU755" s="334"/>
      <c r="AV755" s="334"/>
      <c r="AW755" s="335"/>
      <c r="AX755" s="335"/>
      <c r="AY755" s="335"/>
      <c r="AZ755" s="335"/>
      <c r="BA755" s="335"/>
      <c r="BB755" s="335"/>
      <c r="BC755" s="335"/>
      <c r="BD755" s="335"/>
      <c r="BE755" s="335"/>
    </row>
    <row r="756" customFormat="false" ht="14.15" hidden="true" customHeight="true" outlineLevel="1" collapsed="false">
      <c r="A756" s="403" t="s">
        <v>152</v>
      </c>
      <c r="B756" s="584" t="s">
        <v>154</v>
      </c>
      <c r="C756" s="585" t="n">
        <v>4</v>
      </c>
      <c r="H756" s="437"/>
      <c r="J756" s="492"/>
      <c r="K756" s="609"/>
      <c r="L756" s="486"/>
      <c r="M756" s="486"/>
      <c r="N756" s="486"/>
      <c r="O756" s="629"/>
      <c r="P756" s="492"/>
      <c r="Q756" s="486"/>
      <c r="R756" s="358"/>
      <c r="S756" s="358"/>
      <c r="T756" s="347"/>
      <c r="U756" s="347"/>
      <c r="V756" s="347"/>
      <c r="W756" s="347"/>
      <c r="X756" s="347"/>
      <c r="Y756" s="347"/>
      <c r="Z756" s="347"/>
      <c r="AA756" s="347"/>
      <c r="AB756" s="347"/>
      <c r="AC756" s="347"/>
      <c r="AD756" s="347"/>
      <c r="AE756" s="347"/>
      <c r="AF756" s="347"/>
      <c r="AG756" s="347"/>
      <c r="AH756" s="347"/>
      <c r="AI756" s="347"/>
      <c r="AJ756" s="347"/>
      <c r="AK756" s="347"/>
      <c r="AL756" s="347"/>
      <c r="AM756" s="347"/>
      <c r="AN756" s="347"/>
      <c r="AO756" s="351"/>
      <c r="AP756" s="351"/>
      <c r="AQ756" s="335"/>
      <c r="AR756" s="335"/>
      <c r="AS756" s="335"/>
      <c r="AT756" s="335"/>
      <c r="AU756" s="334"/>
      <c r="AV756" s="334"/>
      <c r="AW756" s="335"/>
      <c r="AX756" s="335"/>
      <c r="AY756" s="335"/>
      <c r="AZ756" s="335"/>
      <c r="BA756" s="335"/>
      <c r="BB756" s="335"/>
      <c r="BC756" s="335"/>
      <c r="BD756" s="335"/>
      <c r="BE756" s="335"/>
    </row>
    <row r="757" customFormat="false" ht="14.15" hidden="true" customHeight="true" outlineLevel="1" collapsed="false">
      <c r="A757" s="476" t="s">
        <v>152</v>
      </c>
      <c r="B757" s="643" t="s">
        <v>159</v>
      </c>
      <c r="C757" s="586" t="n">
        <v>4</v>
      </c>
      <c r="H757" s="437"/>
      <c r="J757" s="492"/>
      <c r="K757" s="609"/>
      <c r="L757" s="486"/>
      <c r="M757" s="486"/>
      <c r="N757" s="486"/>
      <c r="O757" s="629"/>
      <c r="P757" s="492"/>
      <c r="Q757" s="486"/>
      <c r="R757" s="358"/>
      <c r="S757" s="358"/>
      <c r="T757" s="347"/>
      <c r="U757" s="347"/>
      <c r="V757" s="347"/>
      <c r="W757" s="347"/>
      <c r="X757" s="347"/>
      <c r="Y757" s="347"/>
      <c r="Z757" s="347"/>
      <c r="AA757" s="347"/>
      <c r="AB757" s="347"/>
      <c r="AC757" s="347"/>
      <c r="AD757" s="347"/>
      <c r="AE757" s="347"/>
      <c r="AF757" s="347"/>
      <c r="AG757" s="347"/>
      <c r="AH757" s="347"/>
      <c r="AI757" s="347"/>
      <c r="AJ757" s="347"/>
      <c r="AK757" s="347"/>
      <c r="AL757" s="347"/>
      <c r="AM757" s="347"/>
      <c r="AN757" s="347"/>
      <c r="AO757" s="351"/>
      <c r="AP757" s="351"/>
      <c r="AQ757" s="335"/>
      <c r="AR757" s="335"/>
      <c r="AS757" s="335"/>
      <c r="AT757" s="335"/>
      <c r="AU757" s="334"/>
      <c r="AV757" s="334"/>
      <c r="AW757" s="335"/>
      <c r="AX757" s="335"/>
      <c r="AY757" s="335"/>
      <c r="AZ757" s="335"/>
      <c r="BA757" s="335"/>
      <c r="BB757" s="335"/>
      <c r="BC757" s="335"/>
      <c r="BD757" s="335"/>
      <c r="BE757" s="335"/>
    </row>
    <row r="758" customFormat="false" ht="14.15" hidden="true" customHeight="true" outlineLevel="1" collapsed="false">
      <c r="A758" s="476" t="s">
        <v>152</v>
      </c>
      <c r="B758" s="643" t="s">
        <v>159</v>
      </c>
      <c r="C758" s="586" t="n">
        <v>6</v>
      </c>
      <c r="H758" s="437"/>
      <c r="J758" s="492"/>
      <c r="K758" s="609"/>
      <c r="L758" s="486"/>
      <c r="M758" s="486"/>
      <c r="N758" s="486"/>
      <c r="O758" s="629"/>
      <c r="P758" s="492"/>
      <c r="Q758" s="486"/>
      <c r="R758" s="358"/>
      <c r="S758" s="358"/>
      <c r="T758" s="347"/>
      <c r="U758" s="347"/>
      <c r="V758" s="347"/>
      <c r="W758" s="347"/>
      <c r="X758" s="347"/>
      <c r="Y758" s="347"/>
      <c r="Z758" s="347"/>
      <c r="AA758" s="347"/>
      <c r="AB758" s="347"/>
      <c r="AC758" s="347"/>
      <c r="AD758" s="347"/>
      <c r="AE758" s="347"/>
      <c r="AF758" s="347"/>
      <c r="AG758" s="347"/>
      <c r="AH758" s="347"/>
      <c r="AI758" s="347"/>
      <c r="AJ758" s="347"/>
      <c r="AK758" s="347"/>
      <c r="AL758" s="347"/>
      <c r="AM758" s="347"/>
      <c r="AN758" s="347"/>
      <c r="AO758" s="351"/>
      <c r="AP758" s="351"/>
      <c r="AQ758" s="335"/>
      <c r="AR758" s="335"/>
      <c r="AS758" s="335"/>
      <c r="AT758" s="335"/>
      <c r="AU758" s="334"/>
      <c r="AV758" s="334"/>
      <c r="AW758" s="335"/>
      <c r="AX758" s="335"/>
      <c r="AY758" s="335"/>
      <c r="AZ758" s="335"/>
      <c r="BA758" s="335"/>
      <c r="BB758" s="335"/>
      <c r="BC758" s="335"/>
      <c r="BD758" s="335"/>
      <c r="BE758" s="335"/>
    </row>
    <row r="759" customFormat="false" ht="14.15" hidden="true" customHeight="true" outlineLevel="1" collapsed="false">
      <c r="A759" s="476" t="s">
        <v>152</v>
      </c>
      <c r="B759" s="643" t="s">
        <v>154</v>
      </c>
      <c r="C759" s="586" t="n">
        <v>4</v>
      </c>
      <c r="H759" s="437"/>
      <c r="J759" s="492"/>
      <c r="K759" s="609"/>
      <c r="L759" s="486"/>
      <c r="M759" s="486"/>
      <c r="N759" s="486"/>
      <c r="O759" s="629"/>
      <c r="P759" s="492"/>
      <c r="Q759" s="486"/>
      <c r="R759" s="358"/>
      <c r="S759" s="358"/>
      <c r="T759" s="347"/>
      <c r="U759" s="347"/>
      <c r="V759" s="347"/>
      <c r="W759" s="347"/>
      <c r="X759" s="347"/>
      <c r="Y759" s="347"/>
      <c r="Z759" s="347"/>
      <c r="AA759" s="347"/>
      <c r="AB759" s="347"/>
      <c r="AC759" s="347"/>
      <c r="AD759" s="347"/>
      <c r="AE759" s="347"/>
      <c r="AF759" s="347"/>
      <c r="AG759" s="347"/>
      <c r="AH759" s="347"/>
      <c r="AI759" s="347"/>
      <c r="AJ759" s="347"/>
      <c r="AK759" s="347"/>
      <c r="AL759" s="347"/>
      <c r="AM759" s="347"/>
      <c r="AN759" s="347"/>
      <c r="AO759" s="351"/>
      <c r="AP759" s="351"/>
      <c r="AQ759" s="335"/>
      <c r="AR759" s="335"/>
      <c r="AS759" s="335"/>
      <c r="AT759" s="335"/>
      <c r="AU759" s="334"/>
      <c r="AV759" s="334"/>
      <c r="AW759" s="335"/>
      <c r="AX759" s="335"/>
      <c r="AY759" s="335"/>
      <c r="AZ759" s="335"/>
      <c r="BA759" s="335"/>
      <c r="BB759" s="335"/>
      <c r="BC759" s="335"/>
      <c r="BD759" s="335"/>
      <c r="BE759" s="335"/>
    </row>
    <row r="760" customFormat="false" ht="14.15" hidden="true" customHeight="true" outlineLevel="1" collapsed="false">
      <c r="A760" s="403" t="s">
        <v>152</v>
      </c>
      <c r="B760" s="584"/>
      <c r="C760" s="585" t="n">
        <v>0</v>
      </c>
      <c r="H760" s="437"/>
      <c r="J760" s="492"/>
      <c r="K760" s="609"/>
      <c r="L760" s="486"/>
      <c r="M760" s="486"/>
      <c r="N760" s="486"/>
      <c r="O760" s="629"/>
      <c r="P760" s="492"/>
      <c r="Q760" s="486"/>
      <c r="R760" s="358"/>
      <c r="S760" s="358"/>
      <c r="T760" s="347"/>
      <c r="U760" s="347"/>
      <c r="V760" s="347"/>
      <c r="W760" s="347"/>
      <c r="X760" s="347"/>
      <c r="Y760" s="347"/>
      <c r="Z760" s="347"/>
      <c r="AA760" s="347"/>
      <c r="AB760" s="347"/>
      <c r="AC760" s="347"/>
      <c r="AD760" s="347"/>
      <c r="AE760" s="347"/>
      <c r="AF760" s="347"/>
      <c r="AG760" s="347"/>
      <c r="AH760" s="347"/>
      <c r="AI760" s="347"/>
      <c r="AJ760" s="347"/>
      <c r="AK760" s="347"/>
      <c r="AL760" s="347"/>
      <c r="AM760" s="347"/>
      <c r="AN760" s="347"/>
      <c r="AO760" s="351"/>
      <c r="AP760" s="351"/>
      <c r="AQ760" s="335"/>
      <c r="AR760" s="335"/>
      <c r="AS760" s="335"/>
      <c r="AT760" s="335"/>
      <c r="AU760" s="334"/>
      <c r="AV760" s="334"/>
      <c r="AW760" s="335"/>
      <c r="AX760" s="335"/>
      <c r="AY760" s="335"/>
      <c r="AZ760" s="335"/>
      <c r="BA760" s="335"/>
      <c r="BB760" s="335"/>
      <c r="BC760" s="335"/>
      <c r="BD760" s="335"/>
      <c r="BE760" s="335"/>
    </row>
    <row r="761" customFormat="false" ht="14.15" hidden="true" customHeight="true" outlineLevel="1" collapsed="false">
      <c r="B761" s="348"/>
      <c r="C761" s="489"/>
      <c r="H761" s="437"/>
      <c r="J761" s="492"/>
      <c r="K761" s="609"/>
      <c r="L761" s="486"/>
      <c r="M761" s="486"/>
      <c r="N761" s="486"/>
      <c r="O761" s="629"/>
      <c r="P761" s="492"/>
      <c r="Q761" s="486"/>
      <c r="R761" s="358"/>
      <c r="S761" s="358"/>
      <c r="T761" s="347"/>
      <c r="U761" s="347"/>
      <c r="V761" s="347"/>
      <c r="W761" s="347"/>
      <c r="X761" s="347"/>
      <c r="Y761" s="347"/>
      <c r="Z761" s="347"/>
      <c r="AA761" s="347"/>
      <c r="AB761" s="347"/>
      <c r="AC761" s="347"/>
      <c r="AD761" s="347"/>
      <c r="AE761" s="347"/>
      <c r="AF761" s="347"/>
      <c r="AG761" s="347"/>
      <c r="AH761" s="347"/>
      <c r="AI761" s="347"/>
      <c r="AJ761" s="347"/>
      <c r="AK761" s="347"/>
      <c r="AL761" s="347"/>
      <c r="AM761" s="347"/>
      <c r="AN761" s="347"/>
      <c r="AO761" s="351"/>
      <c r="AP761" s="351"/>
      <c r="AQ761" s="335"/>
      <c r="AR761" s="335"/>
      <c r="AS761" s="335"/>
      <c r="AT761" s="335"/>
      <c r="AU761" s="334"/>
      <c r="AV761" s="334"/>
      <c r="AW761" s="335"/>
      <c r="AX761" s="335"/>
      <c r="AY761" s="335"/>
      <c r="AZ761" s="335"/>
      <c r="BA761" s="335"/>
      <c r="BB761" s="335"/>
      <c r="BC761" s="335"/>
      <c r="BD761" s="335"/>
      <c r="BE761" s="335"/>
    </row>
    <row r="762" customFormat="false" ht="14.15" hidden="true" customHeight="true" outlineLevel="1" collapsed="false">
      <c r="A762" s="265" t="s">
        <v>2174</v>
      </c>
      <c r="B762" s="404" t="s">
        <v>1796</v>
      </c>
      <c r="C762" s="644" t="n">
        <v>8000</v>
      </c>
      <c r="H762" s="437"/>
      <c r="J762" s="492"/>
      <c r="K762" s="609"/>
      <c r="L762" s="486"/>
      <c r="M762" s="486"/>
      <c r="N762" s="486"/>
      <c r="O762" s="629"/>
      <c r="P762" s="492"/>
      <c r="Q762" s="486"/>
      <c r="R762" s="358"/>
      <c r="S762" s="358"/>
      <c r="T762" s="347"/>
      <c r="U762" s="347"/>
      <c r="V762" s="347"/>
      <c r="W762" s="347"/>
      <c r="X762" s="347"/>
      <c r="Y762" s="347"/>
      <c r="Z762" s="347"/>
      <c r="AA762" s="347"/>
      <c r="AB762" s="347"/>
      <c r="AC762" s="347"/>
      <c r="AD762" s="347"/>
      <c r="AE762" s="347"/>
      <c r="AF762" s="347"/>
      <c r="AG762" s="347"/>
      <c r="AH762" s="347"/>
      <c r="AI762" s="347"/>
      <c r="AJ762" s="347"/>
      <c r="AK762" s="347"/>
      <c r="AL762" s="347"/>
      <c r="AM762" s="347"/>
      <c r="AN762" s="347"/>
      <c r="AO762" s="351"/>
      <c r="AP762" s="351"/>
      <c r="AQ762" s="335"/>
      <c r="AR762" s="335"/>
      <c r="AS762" s="335"/>
      <c r="AT762" s="335"/>
      <c r="AU762" s="334"/>
      <c r="AV762" s="334"/>
      <c r="AW762" s="335"/>
      <c r="AX762" s="335"/>
      <c r="AY762" s="335"/>
      <c r="AZ762" s="335"/>
      <c r="BA762" s="335"/>
      <c r="BB762" s="335"/>
      <c r="BC762" s="335"/>
      <c r="BD762" s="335"/>
      <c r="BE762" s="335"/>
    </row>
    <row r="763" customFormat="false" ht="14.15" hidden="true" customHeight="true" outlineLevel="1" collapsed="false">
      <c r="H763" s="437"/>
      <c r="J763" s="492"/>
      <c r="K763" s="609"/>
      <c r="L763" s="486"/>
      <c r="M763" s="486"/>
      <c r="N763" s="486"/>
      <c r="O763" s="629"/>
      <c r="P763" s="492"/>
      <c r="Q763" s="486"/>
      <c r="R763" s="358"/>
      <c r="S763" s="358"/>
      <c r="T763" s="347"/>
      <c r="U763" s="347"/>
      <c r="V763" s="347"/>
      <c r="W763" s="347"/>
      <c r="X763" s="347"/>
      <c r="Y763" s="347"/>
      <c r="Z763" s="347"/>
      <c r="AA763" s="347"/>
      <c r="AB763" s="347"/>
      <c r="AC763" s="347"/>
      <c r="AD763" s="347"/>
      <c r="AE763" s="347"/>
      <c r="AF763" s="347"/>
      <c r="AG763" s="347"/>
      <c r="AH763" s="347"/>
      <c r="AI763" s="347"/>
      <c r="AJ763" s="347"/>
      <c r="AK763" s="347"/>
      <c r="AL763" s="347"/>
      <c r="AM763" s="347"/>
      <c r="AN763" s="347"/>
      <c r="AO763" s="351"/>
      <c r="AP763" s="351"/>
      <c r="AQ763" s="335"/>
      <c r="AR763" s="335"/>
      <c r="AS763" s="335"/>
      <c r="AT763" s="335"/>
      <c r="AU763" s="334"/>
      <c r="AV763" s="334"/>
      <c r="AW763" s="335"/>
      <c r="AX763" s="335"/>
      <c r="AY763" s="335"/>
      <c r="AZ763" s="335"/>
      <c r="BA763" s="335"/>
      <c r="BB763" s="335"/>
      <c r="BC763" s="335"/>
      <c r="BD763" s="335"/>
      <c r="BE763" s="335"/>
    </row>
    <row r="764" customFormat="false" ht="14.15" hidden="false" customHeight="true" outlineLevel="0" collapsed="false">
      <c r="A764" s="645" t="s">
        <v>2175</v>
      </c>
      <c r="B764" s="645"/>
      <c r="C764" s="645"/>
      <c r="D764" s="645"/>
      <c r="E764" s="645"/>
      <c r="F764" s="631" t="s">
        <v>1798</v>
      </c>
      <c r="H764" s="625"/>
      <c r="I764" s="625"/>
      <c r="J764" s="625"/>
      <c r="K764" s="625"/>
      <c r="L764" s="625"/>
      <c r="M764" s="600"/>
      <c r="N764" s="600"/>
      <c r="O764" s="600"/>
      <c r="P764" s="559"/>
      <c r="Q764" s="358"/>
      <c r="R764" s="559"/>
      <c r="S764" s="347"/>
      <c r="T764" s="559"/>
      <c r="U764" s="559"/>
      <c r="V764" s="559"/>
      <c r="W764" s="347"/>
      <c r="X764" s="347"/>
      <c r="Y764" s="347"/>
      <c r="Z764" s="347"/>
      <c r="AA764" s="347"/>
      <c r="AB764" s="347"/>
      <c r="AC764" s="347"/>
      <c r="AD764" s="347"/>
      <c r="AE764" s="347"/>
      <c r="AF764" s="347"/>
      <c r="AG764" s="347"/>
      <c r="AH764" s="347"/>
      <c r="AI764" s="347"/>
      <c r="AJ764" s="347"/>
      <c r="AK764" s="347"/>
      <c r="AL764" s="347"/>
      <c r="AM764" s="347"/>
      <c r="AN764" s="347"/>
      <c r="AO764" s="351"/>
      <c r="AP764" s="351"/>
      <c r="AQ764" s="335"/>
      <c r="AR764" s="335"/>
      <c r="AS764" s="335"/>
      <c r="AT764" s="335"/>
      <c r="AU764" s="334"/>
      <c r="AV764" s="646" t="n">
        <f aca="false">M764</f>
        <v>0</v>
      </c>
      <c r="AW764" s="335"/>
      <c r="AX764" s="335"/>
      <c r="AY764" s="335"/>
      <c r="AZ764" s="335"/>
      <c r="BA764" s="335"/>
      <c r="BB764" s="335"/>
      <c r="BC764" s="335"/>
      <c r="BD764" s="335"/>
      <c r="BE764" s="335"/>
    </row>
    <row r="765" customFormat="false" ht="14.15" hidden="false" customHeight="true" outlineLevel="0" collapsed="false">
      <c r="A765" s="469"/>
      <c r="B765" s="348"/>
      <c r="C765" s="489"/>
      <c r="D765" s="489"/>
      <c r="E765" s="489"/>
      <c r="F765" s="489"/>
      <c r="G765" s="489"/>
      <c r="H765" s="348"/>
      <c r="I765" s="461"/>
      <c r="J765" s="492"/>
      <c r="K765" s="446"/>
      <c r="L765" s="446"/>
      <c r="M765" s="492"/>
      <c r="N765" s="358"/>
      <c r="O765" s="358"/>
      <c r="P765" s="358"/>
      <c r="Q765" s="347"/>
      <c r="R765" s="347"/>
      <c r="S765" s="347"/>
      <c r="T765" s="347"/>
      <c r="U765" s="347"/>
      <c r="V765" s="347"/>
      <c r="W765" s="347"/>
      <c r="X765" s="347"/>
      <c r="Y765" s="347"/>
      <c r="Z765" s="347"/>
      <c r="AA765" s="347"/>
      <c r="AB765" s="347"/>
      <c r="AC765" s="347"/>
      <c r="AD765" s="347"/>
      <c r="AE765" s="347"/>
      <c r="AF765" s="347"/>
      <c r="AG765" s="347"/>
      <c r="AH765" s="347"/>
      <c r="AI765" s="347"/>
      <c r="AJ765" s="347"/>
      <c r="AK765" s="347"/>
      <c r="AL765" s="347"/>
      <c r="AM765" s="347"/>
      <c r="AN765" s="347"/>
      <c r="AO765" s="351"/>
      <c r="AP765" s="351"/>
      <c r="AQ765" s="335"/>
      <c r="AR765" s="335"/>
      <c r="AS765" s="335"/>
      <c r="AT765" s="335"/>
      <c r="AU765" s="334"/>
      <c r="AV765" s="334"/>
      <c r="AW765" s="335"/>
      <c r="AX765" s="335"/>
      <c r="AY765" s="335"/>
      <c r="AZ765" s="335"/>
      <c r="BA765" s="335"/>
      <c r="BB765" s="335"/>
      <c r="BC765" s="335"/>
      <c r="BD765" s="335"/>
      <c r="BE765" s="335"/>
    </row>
    <row r="766" customFormat="false" ht="14.15" hidden="true" customHeight="true" outlineLevel="1" collapsed="false">
      <c r="A766" s="647" t="s">
        <v>2176</v>
      </c>
      <c r="B766" s="647"/>
      <c r="C766" s="647"/>
      <c r="D766" s="647"/>
      <c r="E766" s="647"/>
      <c r="F766" s="647"/>
      <c r="G766" s="647"/>
      <c r="H766" s="648"/>
      <c r="I766" s="648"/>
      <c r="J766" s="648"/>
      <c r="K766" s="648"/>
      <c r="L766" s="648"/>
      <c r="M766" s="648"/>
      <c r="N766" s="648"/>
      <c r="O766" s="648"/>
      <c r="P766" s="648"/>
      <c r="Q766" s="648"/>
      <c r="R766" s="648"/>
      <c r="S766" s="648"/>
      <c r="T766" s="648"/>
      <c r="U766" s="648"/>
      <c r="V766" s="648"/>
      <c r="W766" s="648"/>
      <c r="X766" s="648"/>
      <c r="Y766" s="648"/>
      <c r="Z766" s="648"/>
      <c r="AA766" s="648"/>
      <c r="AB766" s="648"/>
      <c r="AC766" s="648"/>
      <c r="AD766" s="648"/>
      <c r="AE766" s="648"/>
      <c r="AF766" s="648"/>
      <c r="AG766" s="648"/>
      <c r="AH766" s="347"/>
      <c r="AI766" s="347"/>
      <c r="AJ766" s="347"/>
      <c r="AK766" s="347"/>
      <c r="AL766" s="347"/>
      <c r="AM766" s="347"/>
      <c r="AN766" s="347"/>
      <c r="AO766" s="351"/>
      <c r="AP766" s="351"/>
      <c r="AQ766" s="335"/>
      <c r="AR766" s="335"/>
      <c r="AS766" s="335"/>
      <c r="AT766" s="335"/>
      <c r="AU766" s="334"/>
      <c r="AV766" s="334"/>
      <c r="AW766" s="335"/>
      <c r="AX766" s="335"/>
      <c r="AY766" s="335"/>
      <c r="AZ766" s="335"/>
      <c r="BA766" s="335"/>
      <c r="BB766" s="335"/>
      <c r="BC766" s="335"/>
      <c r="BD766" s="335"/>
      <c r="BE766" s="335"/>
    </row>
    <row r="767" customFormat="false" ht="14.15" hidden="true" customHeight="true" outlineLevel="1" collapsed="false">
      <c r="A767" s="647"/>
      <c r="B767" s="647"/>
      <c r="C767" s="647"/>
      <c r="D767" s="647"/>
      <c r="E767" s="647"/>
      <c r="F767" s="647"/>
      <c r="G767" s="647"/>
      <c r="H767" s="648"/>
      <c r="I767" s="648"/>
      <c r="J767" s="648"/>
      <c r="K767" s="648"/>
      <c r="L767" s="648"/>
      <c r="M767" s="648"/>
      <c r="N767" s="648"/>
      <c r="O767" s="648"/>
      <c r="P767" s="648"/>
      <c r="Q767" s="648"/>
      <c r="R767" s="648"/>
      <c r="S767" s="648"/>
      <c r="T767" s="648"/>
      <c r="U767" s="648"/>
      <c r="V767" s="648"/>
      <c r="W767" s="648"/>
      <c r="X767" s="648"/>
      <c r="Y767" s="648"/>
      <c r="Z767" s="648"/>
      <c r="AA767" s="648"/>
      <c r="AB767" s="648"/>
      <c r="AC767" s="648"/>
      <c r="AD767" s="648"/>
      <c r="AE767" s="648"/>
      <c r="AF767" s="648"/>
      <c r="AG767" s="648"/>
      <c r="AH767" s="347"/>
      <c r="AI767" s="347"/>
      <c r="AJ767" s="347"/>
      <c r="AK767" s="347"/>
      <c r="AL767" s="347"/>
      <c r="AM767" s="347"/>
      <c r="AN767" s="347"/>
      <c r="AO767" s="351"/>
      <c r="AP767" s="351"/>
      <c r="AQ767" s="335"/>
      <c r="AR767" s="335"/>
      <c r="AS767" s="335"/>
      <c r="AT767" s="335"/>
      <c r="AU767" s="334"/>
      <c r="AV767" s="334"/>
      <c r="AW767" s="335"/>
      <c r="AX767" s="335"/>
      <c r="AY767" s="335"/>
      <c r="AZ767" s="335"/>
      <c r="BA767" s="335"/>
      <c r="BB767" s="335"/>
      <c r="BC767" s="335"/>
      <c r="BD767" s="335"/>
      <c r="BE767" s="335"/>
    </row>
    <row r="768" customFormat="false" ht="14.15" hidden="true" customHeight="true" outlineLevel="1" collapsed="false">
      <c r="A768" s="605" t="s">
        <v>1806</v>
      </c>
      <c r="B768" s="418"/>
      <c r="C768" s="605"/>
      <c r="D768" s="649" t="n">
        <v>1</v>
      </c>
      <c r="G768" s="244"/>
      <c r="H768" s="244"/>
      <c r="I768" s="244"/>
      <c r="J768" s="244"/>
      <c r="K768" s="244"/>
      <c r="L768" s="244"/>
      <c r="M768" s="244"/>
      <c r="N768" s="244"/>
      <c r="O768" s="244"/>
      <c r="P768" s="244"/>
      <c r="Q768" s="244"/>
      <c r="R768" s="244"/>
      <c r="S768" s="244"/>
      <c r="T768" s="244"/>
      <c r="U768" s="244"/>
      <c r="V768" s="244"/>
      <c r="W768" s="244"/>
      <c r="X768" s="244"/>
      <c r="Y768" s="650"/>
      <c r="Z768" s="650"/>
      <c r="AA768" s="651"/>
      <c r="AB768" s="650"/>
      <c r="AC768" s="652"/>
      <c r="AD768" s="652"/>
      <c r="AE768" s="652"/>
      <c r="AF768" s="653"/>
      <c r="AH768" s="653"/>
      <c r="AI768" s="653"/>
      <c r="AJ768" s="347"/>
      <c r="AK768" s="347"/>
      <c r="AL768" s="347"/>
      <c r="AM768" s="347"/>
      <c r="AN768" s="347"/>
      <c r="AO768" s="351"/>
      <c r="AP768" s="351"/>
      <c r="AQ768" s="335"/>
      <c r="AR768" s="335"/>
      <c r="AS768" s="335"/>
      <c r="AT768" s="335"/>
      <c r="AU768" s="334"/>
      <c r="AV768" s="334"/>
      <c r="AW768" s="335"/>
      <c r="AX768" s="335"/>
      <c r="AY768" s="335"/>
      <c r="AZ768" s="335"/>
      <c r="BA768" s="335"/>
      <c r="BB768" s="335"/>
      <c r="BC768" s="335"/>
      <c r="BD768" s="335"/>
      <c r="BE768" s="335"/>
    </row>
    <row r="769" customFormat="false" ht="14.15" hidden="true" customHeight="true" outlineLevel="1" collapsed="false">
      <c r="A769" s="415" t="s">
        <v>1808</v>
      </c>
      <c r="B769" s="419"/>
      <c r="C769" s="415"/>
      <c r="D769" s="218" t="n">
        <v>1</v>
      </c>
      <c r="G769" s="244"/>
      <c r="H769" s="244"/>
      <c r="I769" s="244"/>
      <c r="J769" s="244"/>
      <c r="K769" s="244"/>
      <c r="L769" s="244"/>
      <c r="M769" s="244"/>
      <c r="N769" s="244"/>
      <c r="O769" s="244"/>
      <c r="P769" s="244"/>
      <c r="Q769" s="244"/>
      <c r="R769" s="244"/>
      <c r="S769" s="244"/>
      <c r="T769" s="244"/>
      <c r="U769" s="244"/>
      <c r="V769" s="244"/>
      <c r="W769" s="244"/>
      <c r="X769" s="244"/>
      <c r="Y769" s="650"/>
      <c r="Z769" s="650"/>
      <c r="AA769" s="650"/>
      <c r="AB769" s="650"/>
      <c r="AC769" s="652"/>
      <c r="AD769" s="652"/>
      <c r="AE769" s="652"/>
      <c r="AF769" s="653"/>
      <c r="AG769" s="653"/>
      <c r="AH769" s="653"/>
      <c r="AI769" s="653"/>
      <c r="AJ769" s="347"/>
      <c r="AK769" s="347"/>
      <c r="AL769" s="347"/>
      <c r="AM769" s="347"/>
      <c r="AN769" s="347"/>
      <c r="AO769" s="351"/>
      <c r="AP769" s="351"/>
      <c r="AQ769" s="335"/>
      <c r="AR769" s="335"/>
      <c r="AS769" s="335"/>
      <c r="AT769" s="335"/>
      <c r="AU769" s="334"/>
      <c r="AV769" s="334"/>
      <c r="AW769" s="335"/>
      <c r="AX769" s="335"/>
      <c r="AY769" s="335"/>
      <c r="AZ769" s="335"/>
      <c r="BA769" s="335"/>
      <c r="BB769" s="335"/>
      <c r="BC769" s="335"/>
      <c r="BD769" s="335"/>
      <c r="BE769" s="335"/>
    </row>
    <row r="770" customFormat="false" ht="14.15" hidden="true" customHeight="true" outlineLevel="1" collapsed="false">
      <c r="A770" s="355"/>
      <c r="B770" s="272"/>
      <c r="C770" s="244"/>
      <c r="D770" s="244"/>
      <c r="E770" s="244"/>
      <c r="F770" s="244"/>
      <c r="G770" s="244"/>
      <c r="H770" s="244"/>
      <c r="I770" s="244"/>
      <c r="J770" s="244"/>
      <c r="K770" s="244"/>
      <c r="L770" s="244"/>
      <c r="M770" s="244"/>
      <c r="N770" s="244"/>
      <c r="O770" s="244"/>
      <c r="P770" s="244"/>
      <c r="Q770" s="244"/>
      <c r="R770" s="244"/>
      <c r="S770" s="244"/>
      <c r="T770" s="244"/>
      <c r="U770" s="244"/>
      <c r="V770" s="244"/>
      <c r="W770" s="355"/>
      <c r="X770" s="244"/>
      <c r="Y770" s="654"/>
      <c r="Z770" s="654"/>
      <c r="AA770" s="355"/>
      <c r="AB770" s="654"/>
      <c r="AC770" s="652"/>
      <c r="AD770" s="652"/>
      <c r="AE770" s="652"/>
      <c r="AF770" s="653"/>
      <c r="AG770" s="653"/>
      <c r="AH770" s="653"/>
      <c r="AI770" s="653"/>
      <c r="AJ770" s="347"/>
      <c r="AK770" s="347"/>
      <c r="AL770" s="347"/>
      <c r="AM770" s="347"/>
      <c r="AN770" s="347"/>
      <c r="AO770" s="351"/>
      <c r="AP770" s="351"/>
      <c r="AQ770" s="335"/>
      <c r="AR770" s="335"/>
      <c r="AS770" s="335"/>
      <c r="AT770" s="335"/>
      <c r="AU770" s="334"/>
      <c r="AV770" s="334"/>
      <c r="AW770" s="335"/>
      <c r="AX770" s="335"/>
      <c r="AY770" s="335"/>
      <c r="AZ770" s="335"/>
      <c r="BA770" s="335"/>
      <c r="BB770" s="335"/>
      <c r="BC770" s="335"/>
      <c r="BD770" s="335"/>
      <c r="BE770" s="335"/>
    </row>
    <row r="771" customFormat="false" ht="14.15" hidden="true" customHeight="true" outlineLevel="1" collapsed="false">
      <c r="A771" s="655" t="s">
        <v>1093</v>
      </c>
      <c r="B771" s="402" t="s">
        <v>120</v>
      </c>
      <c r="C771" s="402" t="s">
        <v>1753</v>
      </c>
      <c r="D771" s="437"/>
      <c r="E771" s="355"/>
      <c r="F771" s="355"/>
      <c r="G771" s="355"/>
      <c r="H771" s="619"/>
      <c r="I771" s="437"/>
      <c r="J771" s="437"/>
      <c r="K771" s="437"/>
      <c r="L771" s="619"/>
      <c r="M771" s="619"/>
      <c r="N771" s="619"/>
      <c r="O771" s="619"/>
      <c r="P771" s="619"/>
      <c r="Q771" s="619"/>
      <c r="R771" s="619"/>
      <c r="S771" s="619"/>
      <c r="T771" s="619"/>
      <c r="U771" s="619"/>
      <c r="V771" s="619"/>
      <c r="W771" s="619"/>
      <c r="X771" s="619"/>
      <c r="Y771" s="656"/>
      <c r="Z771" s="656"/>
      <c r="AA771" s="656"/>
      <c r="AB771" s="656"/>
      <c r="AC771" s="653"/>
      <c r="AD771" s="653"/>
      <c r="AE771" s="653"/>
      <c r="AF771" s="653"/>
      <c r="AG771" s="653"/>
      <c r="AH771" s="653"/>
      <c r="AI771" s="653"/>
      <c r="AJ771" s="347"/>
      <c r="AK771" s="347"/>
      <c r="AL771" s="347"/>
      <c r="AM771" s="347"/>
      <c r="AN771" s="347"/>
      <c r="AO771" s="351"/>
      <c r="AP771" s="351"/>
      <c r="AQ771" s="335"/>
      <c r="AR771" s="335"/>
      <c r="AS771" s="335"/>
      <c r="AT771" s="335"/>
      <c r="AU771" s="334"/>
      <c r="AV771" s="334"/>
      <c r="AW771" s="335"/>
      <c r="AX771" s="335"/>
      <c r="AY771" s="335"/>
      <c r="AZ771" s="335"/>
      <c r="BA771" s="335"/>
      <c r="BB771" s="335"/>
      <c r="BC771" s="335"/>
      <c r="BD771" s="335"/>
      <c r="BE771" s="335"/>
    </row>
    <row r="772" customFormat="false" ht="14.15" hidden="true" customHeight="true" outlineLevel="1" collapsed="false">
      <c r="A772" s="368" t="s">
        <v>2177</v>
      </c>
      <c r="B772" s="364" t="s">
        <v>156</v>
      </c>
      <c r="C772" s="657" t="n">
        <v>0.2</v>
      </c>
      <c r="D772" s="342"/>
      <c r="E772" s="355"/>
      <c r="F772" s="355"/>
      <c r="G772" s="355"/>
      <c r="H772" s="355"/>
      <c r="I772" s="355"/>
      <c r="J772" s="355"/>
      <c r="K772" s="658"/>
      <c r="L772" s="355"/>
      <c r="M772" s="355"/>
      <c r="N772" s="358"/>
      <c r="O772" s="358"/>
      <c r="P772" s="358"/>
      <c r="Q772" s="347"/>
      <c r="R772" s="347"/>
      <c r="S772" s="347"/>
      <c r="T772" s="347"/>
      <c r="U772" s="347"/>
      <c r="V772" s="347"/>
      <c r="W772" s="347"/>
      <c r="X772" s="347"/>
      <c r="Y772" s="347"/>
      <c r="Z772" s="347"/>
      <c r="AA772" s="347"/>
      <c r="AB772" s="347"/>
      <c r="AC772" s="347"/>
      <c r="AD772" s="347"/>
      <c r="AE772" s="347"/>
      <c r="AF772" s="347"/>
      <c r="AG772" s="347"/>
      <c r="AH772" s="347"/>
      <c r="AI772" s="347"/>
      <c r="AJ772" s="347"/>
      <c r="AK772" s="347"/>
      <c r="AL772" s="347"/>
      <c r="AM772" s="347"/>
      <c r="AN772" s="347"/>
      <c r="AO772" s="351"/>
      <c r="AP772" s="351"/>
      <c r="AQ772" s="335"/>
      <c r="AR772" s="335"/>
      <c r="AS772" s="335"/>
      <c r="AT772" s="335"/>
      <c r="AU772" s="334"/>
      <c r="AV772" s="334"/>
      <c r="AW772" s="335"/>
      <c r="AX772" s="335"/>
      <c r="AY772" s="335"/>
      <c r="AZ772" s="335"/>
      <c r="BA772" s="335"/>
      <c r="BB772" s="335"/>
      <c r="BC772" s="335"/>
      <c r="BD772" s="335"/>
      <c r="BE772" s="335"/>
    </row>
    <row r="773" customFormat="false" ht="14.15" hidden="true" customHeight="true" outlineLevel="1" collapsed="false">
      <c r="A773" s="368" t="s">
        <v>2178</v>
      </c>
      <c r="B773" s="364" t="s">
        <v>156</v>
      </c>
      <c r="C773" s="657" t="n">
        <v>0.2</v>
      </c>
      <c r="D773" s="342"/>
      <c r="E773" s="355"/>
      <c r="F773" s="355"/>
      <c r="G773" s="355"/>
      <c r="H773" s="355"/>
      <c r="I773" s="355"/>
      <c r="J773" s="355"/>
      <c r="K773" s="658"/>
      <c r="L773" s="355"/>
      <c r="M773" s="355"/>
      <c r="N773" s="358"/>
      <c r="O773" s="358"/>
      <c r="P773" s="358"/>
      <c r="Q773" s="347"/>
      <c r="R773" s="347"/>
      <c r="S773" s="347"/>
      <c r="T773" s="347"/>
      <c r="U773" s="347"/>
      <c r="V773" s="347"/>
      <c r="W773" s="347"/>
      <c r="X773" s="347"/>
      <c r="Y773" s="347"/>
      <c r="Z773" s="347"/>
      <c r="AA773" s="347"/>
      <c r="AB773" s="347"/>
      <c r="AC773" s="347"/>
      <c r="AD773" s="347"/>
      <c r="AE773" s="347"/>
      <c r="AF773" s="347"/>
      <c r="AG773" s="347"/>
      <c r="AH773" s="347"/>
      <c r="AI773" s="347"/>
      <c r="AJ773" s="347"/>
      <c r="AK773" s="347"/>
      <c r="AL773" s="347"/>
      <c r="AM773" s="347"/>
      <c r="AN773" s="347"/>
      <c r="AO773" s="351"/>
      <c r="AP773" s="351"/>
      <c r="AQ773" s="335"/>
      <c r="AR773" s="335"/>
      <c r="AS773" s="335"/>
      <c r="AT773" s="335"/>
      <c r="AU773" s="334"/>
      <c r="AV773" s="334"/>
      <c r="AW773" s="335"/>
      <c r="AX773" s="335"/>
      <c r="AY773" s="335"/>
      <c r="AZ773" s="335"/>
      <c r="BA773" s="335"/>
      <c r="BB773" s="335"/>
      <c r="BC773" s="335"/>
      <c r="BD773" s="335"/>
      <c r="BE773" s="335"/>
    </row>
    <row r="774" customFormat="false" ht="14.15" hidden="true" customHeight="true" outlineLevel="1" collapsed="false">
      <c r="A774" s="368" t="s">
        <v>2179</v>
      </c>
      <c r="B774" s="364" t="s">
        <v>156</v>
      </c>
      <c r="C774" s="657" t="n">
        <v>0.1</v>
      </c>
      <c r="D774" s="342"/>
      <c r="E774" s="355"/>
      <c r="F774" s="355"/>
      <c r="G774" s="355"/>
      <c r="H774" s="355"/>
      <c r="I774" s="355"/>
      <c r="J774" s="355"/>
      <c r="K774" s="658"/>
      <c r="L774" s="355"/>
      <c r="M774" s="355"/>
      <c r="N774" s="358"/>
      <c r="O774" s="358"/>
      <c r="P774" s="358"/>
      <c r="Q774" s="347"/>
      <c r="R774" s="347"/>
      <c r="S774" s="347"/>
      <c r="T774" s="347"/>
      <c r="U774" s="347"/>
      <c r="V774" s="347"/>
      <c r="W774" s="347"/>
      <c r="X774" s="347"/>
      <c r="Y774" s="347"/>
      <c r="Z774" s="347"/>
      <c r="AA774" s="347"/>
      <c r="AB774" s="347"/>
      <c r="AC774" s="347"/>
      <c r="AD774" s="347"/>
      <c r="AE774" s="347"/>
      <c r="AF774" s="347"/>
      <c r="AG774" s="347"/>
      <c r="AH774" s="347"/>
      <c r="AI774" s="347"/>
      <c r="AJ774" s="347"/>
      <c r="AK774" s="347"/>
      <c r="AL774" s="347"/>
      <c r="AM774" s="347"/>
      <c r="AN774" s="347"/>
      <c r="AO774" s="351"/>
      <c r="AP774" s="351"/>
      <c r="AQ774" s="335"/>
      <c r="AR774" s="335"/>
      <c r="AS774" s="335"/>
      <c r="AT774" s="335"/>
      <c r="AU774" s="334"/>
      <c r="AV774" s="334"/>
      <c r="AW774" s="335"/>
      <c r="AX774" s="335"/>
      <c r="AY774" s="335"/>
      <c r="AZ774" s="335"/>
      <c r="BA774" s="335"/>
      <c r="BB774" s="335"/>
      <c r="BC774" s="335"/>
      <c r="BD774" s="335"/>
      <c r="BE774" s="335"/>
    </row>
    <row r="775" customFormat="false" ht="14.15" hidden="true" customHeight="true" outlineLevel="1" collapsed="false">
      <c r="A775" s="659" t="s">
        <v>2180</v>
      </c>
      <c r="B775" s="429"/>
      <c r="C775" s="660"/>
      <c r="D775" s="342"/>
      <c r="E775" s="355"/>
      <c r="F775" s="355"/>
      <c r="G775" s="355"/>
      <c r="H775" s="355"/>
      <c r="I775" s="355"/>
      <c r="J775" s="355"/>
      <c r="K775" s="658"/>
      <c r="L775" s="355"/>
      <c r="M775" s="355"/>
      <c r="N775" s="358"/>
      <c r="O775" s="358"/>
      <c r="P775" s="358"/>
      <c r="Q775" s="347"/>
      <c r="R775" s="347"/>
      <c r="S775" s="347"/>
      <c r="T775" s="347"/>
      <c r="U775" s="347"/>
      <c r="V775" s="347"/>
      <c r="W775" s="347"/>
      <c r="X775" s="347"/>
      <c r="Y775" s="347"/>
      <c r="Z775" s="347"/>
      <c r="AA775" s="347"/>
      <c r="AB775" s="347"/>
      <c r="AC775" s="347"/>
      <c r="AD775" s="347"/>
      <c r="AE775" s="347"/>
      <c r="AF775" s="347"/>
      <c r="AG775" s="347"/>
      <c r="AH775" s="347"/>
      <c r="AI775" s="347"/>
      <c r="AJ775" s="347"/>
      <c r="AK775" s="347"/>
      <c r="AL775" s="347"/>
      <c r="AM775" s="347"/>
      <c r="AN775" s="347"/>
      <c r="AO775" s="351"/>
      <c r="AP775" s="351"/>
      <c r="AQ775" s="335"/>
      <c r="AR775" s="335"/>
      <c r="AS775" s="335"/>
      <c r="AT775" s="335"/>
      <c r="AU775" s="334"/>
      <c r="AV775" s="334"/>
      <c r="AW775" s="335"/>
      <c r="AX775" s="335"/>
      <c r="AY775" s="335"/>
      <c r="AZ775" s="335"/>
      <c r="BA775" s="335"/>
      <c r="BB775" s="335"/>
      <c r="BC775" s="335"/>
      <c r="BD775" s="335"/>
      <c r="BE775" s="335"/>
    </row>
    <row r="776" customFormat="false" ht="14.15" hidden="true" customHeight="true" outlineLevel="1" collapsed="false">
      <c r="A776" s="614" t="s">
        <v>2181</v>
      </c>
      <c r="B776" s="429"/>
      <c r="C776" s="660"/>
      <c r="D776" s="342"/>
      <c r="E776" s="355"/>
      <c r="F776" s="355"/>
      <c r="G776" s="355"/>
      <c r="H776" s="355"/>
      <c r="I776" s="355"/>
      <c r="J776" s="355"/>
      <c r="K776" s="658"/>
      <c r="L776" s="355"/>
      <c r="M776" s="355"/>
      <c r="N776" s="358"/>
      <c r="O776" s="358"/>
      <c r="P776" s="358"/>
      <c r="Q776" s="347"/>
      <c r="R776" s="347"/>
      <c r="S776" s="347"/>
      <c r="T776" s="347"/>
      <c r="U776" s="347"/>
      <c r="V776" s="347"/>
      <c r="W776" s="347"/>
      <c r="X776" s="347"/>
      <c r="Y776" s="347"/>
      <c r="Z776" s="347"/>
      <c r="AA776" s="347"/>
      <c r="AB776" s="347"/>
      <c r="AC776" s="347"/>
      <c r="AD776" s="347"/>
      <c r="AE776" s="347"/>
      <c r="AF776" s="347"/>
      <c r="AG776" s="347"/>
      <c r="AH776" s="347"/>
      <c r="AI776" s="347"/>
      <c r="AJ776" s="347"/>
      <c r="AK776" s="347"/>
      <c r="AL776" s="347"/>
      <c r="AM776" s="347"/>
      <c r="AN776" s="347"/>
      <c r="AO776" s="351"/>
      <c r="AP776" s="351"/>
      <c r="AQ776" s="335"/>
      <c r="AR776" s="335"/>
      <c r="AS776" s="335"/>
      <c r="AT776" s="335"/>
      <c r="AU776" s="334"/>
      <c r="AV776" s="334"/>
      <c r="AW776" s="335"/>
      <c r="AX776" s="335"/>
      <c r="AY776" s="335"/>
      <c r="AZ776" s="335"/>
      <c r="BA776" s="335"/>
      <c r="BB776" s="335"/>
      <c r="BC776" s="335"/>
      <c r="BD776" s="335"/>
      <c r="BE776" s="335"/>
    </row>
    <row r="777" customFormat="false" ht="14.15" hidden="true" customHeight="true" outlineLevel="1" collapsed="false">
      <c r="A777" s="368" t="s">
        <v>2182</v>
      </c>
      <c r="B777" s="364" t="s">
        <v>156</v>
      </c>
      <c r="C777" s="657" t="n">
        <v>0</v>
      </c>
      <c r="D777" s="342"/>
      <c r="E777" s="355"/>
      <c r="F777" s="355"/>
      <c r="G777" s="355"/>
      <c r="H777" s="355"/>
      <c r="I777" s="355"/>
      <c r="J777" s="355"/>
      <c r="K777" s="658"/>
      <c r="L777" s="355"/>
      <c r="M777" s="355"/>
      <c r="N777" s="358"/>
      <c r="O777" s="358"/>
      <c r="P777" s="358"/>
      <c r="Q777" s="347"/>
      <c r="R777" s="347"/>
      <c r="S777" s="347"/>
      <c r="T777" s="347"/>
      <c r="U777" s="347"/>
      <c r="V777" s="347"/>
      <c r="W777" s="347"/>
      <c r="X777" s="347"/>
      <c r="Y777" s="347"/>
      <c r="Z777" s="347"/>
      <c r="AA777" s="347"/>
      <c r="AB777" s="347"/>
      <c r="AC777" s="347"/>
      <c r="AD777" s="347"/>
      <c r="AE777" s="347"/>
      <c r="AF777" s="347"/>
      <c r="AG777" s="347"/>
      <c r="AH777" s="347"/>
      <c r="AI777" s="347"/>
      <c r="AJ777" s="347"/>
      <c r="AK777" s="347"/>
      <c r="AL777" s="347"/>
      <c r="AM777" s="347"/>
      <c r="AN777" s="347"/>
      <c r="AO777" s="351"/>
      <c r="AP777" s="351"/>
      <c r="AQ777" s="335"/>
      <c r="AR777" s="335"/>
      <c r="AS777" s="335"/>
      <c r="AT777" s="335"/>
      <c r="AU777" s="334"/>
      <c r="AV777" s="334"/>
      <c r="AW777" s="335"/>
      <c r="AX777" s="335"/>
      <c r="AY777" s="335"/>
      <c r="AZ777" s="335"/>
      <c r="BA777" s="335"/>
      <c r="BB777" s="335"/>
      <c r="BC777" s="335"/>
      <c r="BD777" s="335"/>
      <c r="BE777" s="335"/>
    </row>
    <row r="778" customFormat="false" ht="14.15" hidden="true" customHeight="true" outlineLevel="1" collapsed="false">
      <c r="A778" s="368" t="s">
        <v>2183</v>
      </c>
      <c r="B778" s="364" t="s">
        <v>156</v>
      </c>
      <c r="C778" s="657" t="n">
        <v>0</v>
      </c>
      <c r="D778" s="342"/>
      <c r="E778" s="355"/>
      <c r="F778" s="355"/>
      <c r="G778" s="355"/>
      <c r="H778" s="355"/>
      <c r="I778" s="355"/>
      <c r="J778" s="355"/>
      <c r="K778" s="658"/>
      <c r="L778" s="355"/>
      <c r="M778" s="355"/>
      <c r="N778" s="358"/>
      <c r="O778" s="358"/>
      <c r="P778" s="358"/>
      <c r="Q778" s="347"/>
      <c r="R778" s="347"/>
      <c r="S778" s="347"/>
      <c r="T778" s="347"/>
      <c r="U778" s="347"/>
      <c r="V778" s="347"/>
      <c r="W778" s="347"/>
      <c r="X778" s="347"/>
      <c r="Y778" s="347"/>
      <c r="Z778" s="347"/>
      <c r="AA778" s="347"/>
      <c r="AB778" s="347"/>
      <c r="AC778" s="347"/>
      <c r="AD778" s="347"/>
      <c r="AE778" s="347"/>
      <c r="AF778" s="347"/>
      <c r="AG778" s="347"/>
      <c r="AH778" s="347"/>
      <c r="AI778" s="347"/>
      <c r="AJ778" s="347"/>
      <c r="AK778" s="347"/>
      <c r="AL778" s="347"/>
      <c r="AM778" s="347"/>
      <c r="AN778" s="347"/>
      <c r="AO778" s="351"/>
      <c r="AP778" s="351"/>
      <c r="AQ778" s="335"/>
      <c r="AR778" s="335"/>
      <c r="AS778" s="335"/>
      <c r="AT778" s="335"/>
      <c r="AU778" s="334"/>
      <c r="AV778" s="334"/>
      <c r="AW778" s="335"/>
      <c r="AX778" s="335"/>
      <c r="AY778" s="335"/>
      <c r="AZ778" s="335"/>
      <c r="BA778" s="335"/>
      <c r="BB778" s="335"/>
      <c r="BC778" s="335"/>
      <c r="BD778" s="335"/>
      <c r="BE778" s="335"/>
    </row>
    <row r="779" customFormat="false" ht="14.15" hidden="true" customHeight="true" outlineLevel="1" collapsed="false">
      <c r="A779" s="368" t="s">
        <v>2184</v>
      </c>
      <c r="B779" s="364" t="s">
        <v>156</v>
      </c>
      <c r="C779" s="657" t="n">
        <v>0</v>
      </c>
      <c r="D779" s="342"/>
      <c r="E779" s="355"/>
      <c r="F779" s="355"/>
      <c r="G779" s="355"/>
      <c r="H779" s="355"/>
      <c r="I779" s="355"/>
      <c r="J779" s="355"/>
      <c r="K779" s="658"/>
      <c r="L779" s="355"/>
      <c r="M779" s="355"/>
      <c r="N779" s="358"/>
      <c r="O779" s="358"/>
      <c r="P779" s="358"/>
      <c r="Q779" s="347"/>
      <c r="R779" s="347"/>
      <c r="S779" s="347"/>
      <c r="T779" s="347"/>
      <c r="U779" s="347"/>
      <c r="V779" s="347"/>
      <c r="W779" s="347"/>
      <c r="X779" s="347"/>
      <c r="Y779" s="347"/>
      <c r="Z779" s="347"/>
      <c r="AA779" s="347"/>
      <c r="AB779" s="347"/>
      <c r="AC779" s="347"/>
      <c r="AD779" s="347"/>
      <c r="AE779" s="347"/>
      <c r="AF779" s="347"/>
      <c r="AG779" s="347"/>
      <c r="AH779" s="347"/>
      <c r="AI779" s="347"/>
      <c r="AJ779" s="347"/>
      <c r="AK779" s="347"/>
      <c r="AL779" s="347"/>
      <c r="AM779" s="347"/>
      <c r="AN779" s="347"/>
      <c r="AO779" s="351"/>
      <c r="AP779" s="351"/>
      <c r="AQ779" s="335"/>
      <c r="AR779" s="335"/>
      <c r="AS779" s="335"/>
      <c r="AT779" s="335"/>
      <c r="AU779" s="334"/>
      <c r="AV779" s="334"/>
      <c r="AW779" s="335"/>
      <c r="AX779" s="335"/>
      <c r="AY779" s="335"/>
      <c r="AZ779" s="335"/>
      <c r="BA779" s="335"/>
      <c r="BB779" s="335"/>
      <c r="BC779" s="335"/>
      <c r="BD779" s="335"/>
      <c r="BE779" s="335"/>
    </row>
    <row r="780" s="355" customFormat="true" ht="14.15" hidden="true" customHeight="true" outlineLevel="1" collapsed="false">
      <c r="A780" s="342" t="s">
        <v>2153</v>
      </c>
      <c r="B780" s="429"/>
      <c r="C780" s="661"/>
      <c r="D780" s="342"/>
      <c r="K780" s="6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  <c r="AF780" s="358"/>
      <c r="AG780" s="358"/>
      <c r="AH780" s="358"/>
      <c r="AI780" s="358"/>
      <c r="AJ780" s="358"/>
      <c r="AK780" s="358"/>
      <c r="AL780" s="358"/>
      <c r="AM780" s="358"/>
      <c r="AN780" s="358"/>
      <c r="AO780" s="359"/>
      <c r="AP780" s="359"/>
      <c r="AQ780" s="334"/>
      <c r="AR780" s="334"/>
      <c r="AS780" s="334"/>
      <c r="AT780" s="334"/>
      <c r="AU780" s="334"/>
      <c r="AV780" s="334"/>
      <c r="AW780" s="334"/>
      <c r="AX780" s="334"/>
      <c r="AY780" s="334"/>
      <c r="AZ780" s="334"/>
      <c r="BA780" s="334"/>
      <c r="BB780" s="334"/>
      <c r="BC780" s="334"/>
      <c r="BD780" s="334"/>
      <c r="BE780" s="334"/>
      <c r="BF780" s="360"/>
    </row>
    <row r="781" customFormat="false" ht="14.15" hidden="true" customHeight="true" outlineLevel="1" collapsed="false">
      <c r="A781" s="525" t="s">
        <v>264</v>
      </c>
      <c r="B781" s="429"/>
      <c r="C781" s="661"/>
      <c r="D781" s="342"/>
      <c r="E781" s="355"/>
      <c r="F781" s="355"/>
      <c r="G781" s="355"/>
      <c r="H781" s="355"/>
      <c r="I781" s="355"/>
      <c r="J781" s="355"/>
      <c r="K781" s="658"/>
      <c r="L781" s="355"/>
      <c r="M781" s="355"/>
      <c r="N781" s="358"/>
      <c r="O781" s="358"/>
      <c r="P781" s="358"/>
      <c r="Q781" s="347"/>
      <c r="R781" s="347"/>
      <c r="S781" s="347"/>
      <c r="T781" s="347"/>
      <c r="U781" s="347"/>
      <c r="V781" s="347"/>
      <c r="W781" s="347"/>
      <c r="X781" s="347"/>
      <c r="Y781" s="347"/>
      <c r="Z781" s="347"/>
      <c r="AA781" s="347"/>
      <c r="AB781" s="347"/>
      <c r="AC781" s="347"/>
      <c r="AD781" s="347"/>
      <c r="AE781" s="347"/>
      <c r="AF781" s="347"/>
      <c r="AG781" s="347"/>
      <c r="AH781" s="347"/>
      <c r="AI781" s="347"/>
      <c r="AJ781" s="347"/>
      <c r="AK781" s="347"/>
      <c r="AL781" s="347"/>
      <c r="AM781" s="347"/>
      <c r="AN781" s="347"/>
      <c r="AO781" s="351"/>
      <c r="AP781" s="351"/>
      <c r="AQ781" s="335"/>
      <c r="AR781" s="335"/>
      <c r="AS781" s="335"/>
      <c r="AT781" s="335"/>
      <c r="AU781" s="334"/>
      <c r="AV781" s="334"/>
      <c r="AW781" s="335"/>
      <c r="AX781" s="335"/>
      <c r="AY781" s="335"/>
      <c r="AZ781" s="335"/>
      <c r="BA781" s="335"/>
      <c r="BB781" s="335"/>
      <c r="BC781" s="335"/>
      <c r="BD781" s="335"/>
      <c r="BE781" s="335"/>
    </row>
    <row r="782" customFormat="false" ht="14.15" hidden="true" customHeight="true" outlineLevel="1" collapsed="false">
      <c r="A782" s="662" t="s">
        <v>2185</v>
      </c>
      <c r="B782" s="429"/>
      <c r="C782" s="661"/>
      <c r="D782" s="342"/>
      <c r="E782" s="355"/>
      <c r="F782" s="355"/>
      <c r="G782" s="355"/>
      <c r="H782" s="355"/>
      <c r="I782" s="355"/>
      <c r="J782" s="355"/>
      <c r="K782" s="658"/>
      <c r="L782" s="355"/>
      <c r="M782" s="355"/>
      <c r="N782" s="358"/>
      <c r="O782" s="358"/>
      <c r="P782" s="358"/>
      <c r="Q782" s="347"/>
      <c r="R782" s="347"/>
      <c r="S782" s="347"/>
      <c r="T782" s="347"/>
      <c r="U782" s="347"/>
      <c r="V782" s="347"/>
      <c r="W782" s="347"/>
      <c r="X782" s="347"/>
      <c r="Y782" s="347"/>
      <c r="Z782" s="347"/>
      <c r="AA782" s="347"/>
      <c r="AB782" s="347"/>
      <c r="AC782" s="347"/>
      <c r="AD782" s="347"/>
      <c r="AE782" s="347"/>
      <c r="AF782" s="347"/>
      <c r="AG782" s="347"/>
      <c r="AH782" s="347"/>
      <c r="AI782" s="347"/>
      <c r="AJ782" s="347"/>
      <c r="AK782" s="347"/>
      <c r="AL782" s="347"/>
      <c r="AM782" s="347"/>
      <c r="AN782" s="347"/>
      <c r="AO782" s="351"/>
      <c r="AP782" s="351"/>
      <c r="AQ782" s="335"/>
      <c r="AR782" s="335"/>
      <c r="AS782" s="335"/>
      <c r="AT782" s="335"/>
      <c r="AU782" s="334"/>
      <c r="AV782" s="334"/>
      <c r="AW782" s="335"/>
      <c r="AX782" s="335"/>
      <c r="AY782" s="335"/>
      <c r="AZ782" s="335"/>
      <c r="BA782" s="335"/>
      <c r="BB782" s="335"/>
      <c r="BC782" s="335"/>
      <c r="BD782" s="335"/>
      <c r="BE782" s="335"/>
    </row>
    <row r="783" customFormat="false" ht="14.15" hidden="true" customHeight="true" outlineLevel="1" collapsed="false">
      <c r="A783" s="525" t="s">
        <v>202</v>
      </c>
      <c r="B783" s="429"/>
      <c r="C783" s="661"/>
      <c r="D783" s="342"/>
      <c r="E783" s="355"/>
      <c r="F783" s="355"/>
      <c r="G783" s="355"/>
      <c r="H783" s="355"/>
      <c r="I783" s="355"/>
      <c r="J783" s="355"/>
      <c r="K783" s="658"/>
      <c r="L783" s="355"/>
      <c r="M783" s="355"/>
      <c r="N783" s="358"/>
      <c r="O783" s="358"/>
      <c r="P783" s="358"/>
      <c r="Q783" s="347"/>
      <c r="R783" s="347"/>
      <c r="S783" s="347"/>
      <c r="T783" s="347"/>
      <c r="U783" s="347"/>
      <c r="V783" s="347"/>
      <c r="W783" s="347"/>
      <c r="X783" s="347"/>
      <c r="Y783" s="347"/>
      <c r="Z783" s="347"/>
      <c r="AA783" s="347"/>
      <c r="AB783" s="347"/>
      <c r="AC783" s="347"/>
      <c r="AD783" s="347"/>
      <c r="AE783" s="347"/>
      <c r="AF783" s="347"/>
      <c r="AG783" s="347"/>
      <c r="AH783" s="347"/>
      <c r="AI783" s="347"/>
      <c r="AJ783" s="347"/>
      <c r="AK783" s="347"/>
      <c r="AL783" s="347"/>
      <c r="AM783" s="347"/>
      <c r="AN783" s="347"/>
      <c r="AO783" s="351"/>
      <c r="AP783" s="351"/>
      <c r="AQ783" s="335"/>
      <c r="AR783" s="335"/>
      <c r="AS783" s="335"/>
      <c r="AT783" s="335"/>
      <c r="AU783" s="334"/>
      <c r="AV783" s="334"/>
      <c r="AW783" s="335"/>
      <c r="AX783" s="335"/>
      <c r="AY783" s="335"/>
      <c r="AZ783" s="335"/>
      <c r="BA783" s="335"/>
      <c r="BB783" s="335"/>
      <c r="BC783" s="335"/>
      <c r="BD783" s="335"/>
      <c r="BE783" s="335"/>
    </row>
    <row r="784" customFormat="false" ht="14.15" hidden="true" customHeight="true" outlineLevel="1" collapsed="false">
      <c r="A784" s="663" t="s">
        <v>2186</v>
      </c>
      <c r="B784" s="364" t="s">
        <v>156</v>
      </c>
      <c r="C784" s="657" t="n">
        <v>0</v>
      </c>
      <c r="D784" s="342"/>
      <c r="E784" s="355"/>
      <c r="F784" s="355"/>
      <c r="G784" s="355"/>
      <c r="H784" s="355"/>
      <c r="I784" s="355"/>
      <c r="J784" s="355"/>
      <c r="K784" s="658"/>
      <c r="L784" s="355"/>
      <c r="M784" s="355"/>
      <c r="N784" s="358"/>
      <c r="O784" s="358"/>
      <c r="P784" s="358"/>
      <c r="Q784" s="347"/>
      <c r="R784" s="347"/>
      <c r="S784" s="347"/>
      <c r="T784" s="347"/>
      <c r="U784" s="347"/>
      <c r="V784" s="347"/>
      <c r="W784" s="347"/>
      <c r="X784" s="347"/>
      <c r="Y784" s="347"/>
      <c r="Z784" s="347"/>
      <c r="AA784" s="347"/>
      <c r="AB784" s="347"/>
      <c r="AC784" s="347"/>
      <c r="AD784" s="347"/>
      <c r="AE784" s="347"/>
      <c r="AF784" s="347"/>
      <c r="AG784" s="347"/>
      <c r="AH784" s="347"/>
      <c r="AI784" s="347"/>
      <c r="AJ784" s="347"/>
      <c r="AK784" s="347"/>
      <c r="AL784" s="347"/>
      <c r="AM784" s="347"/>
      <c r="AN784" s="347"/>
      <c r="AO784" s="351"/>
      <c r="AP784" s="351"/>
      <c r="AQ784" s="335"/>
      <c r="AR784" s="335"/>
      <c r="AS784" s="335"/>
      <c r="AT784" s="335"/>
      <c r="AU784" s="334"/>
      <c r="AV784" s="334"/>
      <c r="AW784" s="335"/>
      <c r="AX784" s="335"/>
      <c r="AY784" s="335"/>
      <c r="AZ784" s="335"/>
      <c r="BA784" s="335"/>
      <c r="BB784" s="335"/>
      <c r="BC784" s="335"/>
      <c r="BD784" s="335"/>
      <c r="BE784" s="335"/>
    </row>
    <row r="785" customFormat="false" ht="14.15" hidden="true" customHeight="true" outlineLevel="1" collapsed="false">
      <c r="A785" s="368" t="s">
        <v>2187</v>
      </c>
      <c r="B785" s="364" t="s">
        <v>156</v>
      </c>
      <c r="C785" s="657" t="n">
        <v>0</v>
      </c>
      <c r="D785" s="342"/>
      <c r="E785" s="355"/>
      <c r="F785" s="355"/>
      <c r="G785" s="355"/>
      <c r="H785" s="355"/>
      <c r="I785" s="355"/>
      <c r="J785" s="355"/>
      <c r="K785" s="658"/>
      <c r="L785" s="355"/>
      <c r="M785" s="355"/>
      <c r="N785" s="358"/>
      <c r="O785" s="358"/>
      <c r="P785" s="358"/>
      <c r="Q785" s="347"/>
      <c r="R785" s="347"/>
      <c r="S785" s="347"/>
      <c r="T785" s="347"/>
      <c r="U785" s="347"/>
      <c r="V785" s="347"/>
      <c r="W785" s="347"/>
      <c r="X785" s="347"/>
      <c r="Y785" s="347"/>
      <c r="Z785" s="347"/>
      <c r="AA785" s="347"/>
      <c r="AB785" s="347"/>
      <c r="AC785" s="347"/>
      <c r="AD785" s="347"/>
      <c r="AE785" s="347"/>
      <c r="AF785" s="347"/>
      <c r="AG785" s="347"/>
      <c r="AH785" s="347"/>
      <c r="AI785" s="347"/>
      <c r="AJ785" s="347"/>
      <c r="AK785" s="347"/>
      <c r="AL785" s="347"/>
      <c r="AM785" s="347"/>
      <c r="AN785" s="347"/>
      <c r="AO785" s="351"/>
      <c r="AP785" s="351"/>
      <c r="AQ785" s="335"/>
      <c r="AR785" s="335"/>
      <c r="AS785" s="335"/>
      <c r="AT785" s="335"/>
      <c r="AU785" s="334"/>
      <c r="AV785" s="334"/>
      <c r="AW785" s="335"/>
      <c r="AX785" s="335"/>
      <c r="AY785" s="335"/>
      <c r="AZ785" s="335"/>
      <c r="BA785" s="335"/>
      <c r="BB785" s="335"/>
      <c r="BC785" s="335"/>
      <c r="BD785" s="335"/>
      <c r="BE785" s="335"/>
    </row>
    <row r="786" customFormat="false" ht="14.15" hidden="true" customHeight="true" outlineLevel="1" collapsed="false">
      <c r="A786" s="368" t="s">
        <v>2188</v>
      </c>
      <c r="B786" s="364" t="s">
        <v>156</v>
      </c>
      <c r="C786" s="657" t="n">
        <v>0</v>
      </c>
      <c r="D786" s="342"/>
      <c r="E786" s="355"/>
      <c r="F786" s="355"/>
      <c r="G786" s="355"/>
      <c r="H786" s="355"/>
      <c r="I786" s="355"/>
      <c r="J786" s="355"/>
      <c r="K786" s="658"/>
      <c r="L786" s="355"/>
      <c r="M786" s="355"/>
      <c r="N786" s="358"/>
      <c r="O786" s="358"/>
      <c r="P786" s="358"/>
      <c r="Q786" s="347"/>
      <c r="R786" s="347"/>
      <c r="S786" s="347"/>
      <c r="T786" s="347"/>
      <c r="U786" s="347"/>
      <c r="V786" s="347"/>
      <c r="W786" s="347"/>
      <c r="X786" s="347"/>
      <c r="Y786" s="347"/>
      <c r="Z786" s="347"/>
      <c r="AA786" s="347"/>
      <c r="AB786" s="347"/>
      <c r="AC786" s="347"/>
      <c r="AD786" s="347"/>
      <c r="AE786" s="347"/>
      <c r="AF786" s="347"/>
      <c r="AG786" s="347"/>
      <c r="AH786" s="347"/>
      <c r="AI786" s="347"/>
      <c r="AJ786" s="347"/>
      <c r="AK786" s="347"/>
      <c r="AL786" s="347"/>
      <c r="AM786" s="347"/>
      <c r="AN786" s="347"/>
      <c r="AO786" s="351"/>
      <c r="AP786" s="351"/>
      <c r="AQ786" s="335"/>
      <c r="AR786" s="335"/>
      <c r="AS786" s="335"/>
      <c r="AT786" s="335"/>
      <c r="AU786" s="334"/>
      <c r="AV786" s="334"/>
      <c r="AW786" s="335"/>
      <c r="AX786" s="335"/>
      <c r="AY786" s="335"/>
      <c r="AZ786" s="335"/>
      <c r="BA786" s="335"/>
      <c r="BB786" s="335"/>
      <c r="BC786" s="335"/>
      <c r="BD786" s="335"/>
      <c r="BE786" s="335"/>
    </row>
    <row r="787" customFormat="false" ht="14.15" hidden="true" customHeight="true" outlineLevel="1" collapsed="false">
      <c r="A787" s="664" t="s">
        <v>2189</v>
      </c>
      <c r="B787" s="429"/>
      <c r="C787" s="661"/>
      <c r="D787" s="342"/>
      <c r="E787" s="355"/>
      <c r="F787" s="355"/>
      <c r="G787" s="355"/>
      <c r="H787" s="355"/>
      <c r="I787" s="355"/>
      <c r="J787" s="355"/>
      <c r="K787" s="658"/>
      <c r="L787" s="355"/>
      <c r="M787" s="355"/>
      <c r="N787" s="358"/>
      <c r="O787" s="358"/>
      <c r="P787" s="358"/>
      <c r="Q787" s="347"/>
      <c r="R787" s="347"/>
      <c r="S787" s="347"/>
      <c r="T787" s="347"/>
      <c r="U787" s="347"/>
      <c r="V787" s="347"/>
      <c r="W787" s="347"/>
      <c r="X787" s="347"/>
      <c r="Y787" s="347"/>
      <c r="Z787" s="347"/>
      <c r="AA787" s="347"/>
      <c r="AB787" s="347"/>
      <c r="AC787" s="347"/>
      <c r="AD787" s="347"/>
      <c r="AE787" s="347"/>
      <c r="AF787" s="347"/>
      <c r="AG787" s="347"/>
      <c r="AH787" s="347"/>
      <c r="AI787" s="347"/>
      <c r="AJ787" s="347"/>
      <c r="AK787" s="347"/>
      <c r="AL787" s="347"/>
      <c r="AM787" s="347"/>
      <c r="AN787" s="347"/>
      <c r="AO787" s="351"/>
      <c r="AP787" s="351"/>
      <c r="AQ787" s="335"/>
      <c r="AR787" s="335"/>
      <c r="AS787" s="335"/>
      <c r="AT787" s="335"/>
      <c r="AU787" s="334"/>
      <c r="AV787" s="334"/>
      <c r="AW787" s="335"/>
      <c r="AX787" s="335"/>
      <c r="AY787" s="335"/>
      <c r="AZ787" s="335"/>
      <c r="BA787" s="335"/>
      <c r="BB787" s="335"/>
      <c r="BC787" s="335"/>
      <c r="BD787" s="335"/>
      <c r="BE787" s="335"/>
    </row>
    <row r="788" customFormat="false" ht="14.15" hidden="true" customHeight="true" outlineLevel="1" collapsed="false">
      <c r="A788" s="525" t="s">
        <v>173</v>
      </c>
      <c r="B788" s="364" t="s">
        <v>1802</v>
      </c>
      <c r="C788" s="657" t="n">
        <v>4</v>
      </c>
      <c r="D788" s="342"/>
      <c r="E788" s="355"/>
      <c r="F788" s="355"/>
      <c r="G788" s="355"/>
      <c r="H788" s="355"/>
      <c r="I788" s="355"/>
      <c r="J788" s="355"/>
      <c r="K788" s="658"/>
      <c r="L788" s="355"/>
      <c r="M788" s="355"/>
      <c r="N788" s="358"/>
      <c r="O788" s="358"/>
      <c r="P788" s="358"/>
      <c r="Q788" s="347"/>
      <c r="R788" s="347"/>
      <c r="S788" s="347"/>
      <c r="T788" s="347"/>
      <c r="U788" s="347"/>
      <c r="V788" s="347"/>
      <c r="W788" s="347"/>
      <c r="X788" s="347"/>
      <c r="Y788" s="347"/>
      <c r="Z788" s="347"/>
      <c r="AA788" s="347"/>
      <c r="AB788" s="347"/>
      <c r="AC788" s="347"/>
      <c r="AD788" s="347"/>
      <c r="AE788" s="347"/>
      <c r="AF788" s="347"/>
      <c r="AG788" s="347"/>
      <c r="AH788" s="347"/>
      <c r="AI788" s="347"/>
      <c r="AJ788" s="347"/>
      <c r="AK788" s="347"/>
      <c r="AL788" s="347"/>
      <c r="AM788" s="347"/>
      <c r="AN788" s="347"/>
      <c r="AO788" s="351"/>
      <c r="AP788" s="351"/>
      <c r="AQ788" s="335"/>
      <c r="AR788" s="335"/>
      <c r="AS788" s="335"/>
      <c r="AT788" s="335"/>
      <c r="AU788" s="334"/>
      <c r="AV788" s="334"/>
      <c r="AW788" s="335"/>
      <c r="AX788" s="335"/>
      <c r="AY788" s="335"/>
      <c r="AZ788" s="335"/>
      <c r="BA788" s="335"/>
      <c r="BB788" s="335"/>
      <c r="BC788" s="335"/>
      <c r="BD788" s="335"/>
      <c r="BE788" s="335"/>
    </row>
    <row r="789" customFormat="false" ht="14.15" hidden="true" customHeight="true" outlineLevel="1" collapsed="false">
      <c r="A789" s="324" t="s">
        <v>2190</v>
      </c>
      <c r="D789" s="342"/>
      <c r="E789" s="355"/>
      <c r="F789" s="355"/>
      <c r="G789" s="355"/>
      <c r="H789" s="355"/>
      <c r="I789" s="355"/>
      <c r="J789" s="355"/>
      <c r="K789" s="658"/>
      <c r="L789" s="355"/>
      <c r="M789" s="355"/>
      <c r="N789" s="358"/>
      <c r="O789" s="358"/>
      <c r="P789" s="358"/>
      <c r="Q789" s="347"/>
      <c r="R789" s="347"/>
      <c r="S789" s="347"/>
      <c r="T789" s="347"/>
      <c r="U789" s="347"/>
      <c r="V789" s="347"/>
      <c r="W789" s="347"/>
      <c r="X789" s="347"/>
      <c r="Y789" s="347"/>
      <c r="Z789" s="347"/>
      <c r="AA789" s="347"/>
      <c r="AB789" s="347"/>
      <c r="AC789" s="347"/>
      <c r="AD789" s="347"/>
      <c r="AE789" s="347"/>
      <c r="AF789" s="347"/>
      <c r="AG789" s="347"/>
      <c r="AH789" s="347"/>
      <c r="AI789" s="347"/>
      <c r="AJ789" s="347"/>
      <c r="AK789" s="347"/>
      <c r="AL789" s="347"/>
      <c r="AM789" s="347"/>
      <c r="AN789" s="347"/>
      <c r="AO789" s="351"/>
      <c r="AP789" s="351"/>
      <c r="AQ789" s="335"/>
      <c r="AR789" s="335"/>
      <c r="AS789" s="335"/>
      <c r="AT789" s="335"/>
      <c r="AU789" s="334"/>
      <c r="AV789" s="334"/>
      <c r="AW789" s="335"/>
      <c r="AX789" s="335"/>
      <c r="AY789" s="335"/>
      <c r="AZ789" s="335"/>
      <c r="BA789" s="335"/>
      <c r="BB789" s="335"/>
      <c r="BC789" s="335"/>
      <c r="BD789" s="335"/>
      <c r="BE789" s="335"/>
    </row>
    <row r="790" customFormat="false" ht="14.15" hidden="true" customHeight="true" outlineLevel="1" collapsed="false">
      <c r="A790" s="393" t="s">
        <v>173</v>
      </c>
      <c r="B790" s="402" t="s">
        <v>2156</v>
      </c>
      <c r="C790" s="576" t="n">
        <v>0.4</v>
      </c>
      <c r="D790" s="342"/>
      <c r="E790" s="355"/>
      <c r="F790" s="355"/>
      <c r="G790" s="355"/>
      <c r="H790" s="355"/>
      <c r="I790" s="355"/>
      <c r="J790" s="355"/>
      <c r="K790" s="658"/>
      <c r="L790" s="355"/>
      <c r="M790" s="355"/>
      <c r="N790" s="358"/>
      <c r="O790" s="358"/>
      <c r="P790" s="358"/>
      <c r="Q790" s="347"/>
      <c r="R790" s="347"/>
      <c r="S790" s="347"/>
      <c r="T790" s="347"/>
      <c r="U790" s="347"/>
      <c r="V790" s="347"/>
      <c r="W790" s="347"/>
      <c r="X790" s="347"/>
      <c r="Y790" s="347"/>
      <c r="Z790" s="347"/>
      <c r="AA790" s="347"/>
      <c r="AB790" s="347"/>
      <c r="AC790" s="347"/>
      <c r="AD790" s="347"/>
      <c r="AE790" s="347"/>
      <c r="AF790" s="347"/>
      <c r="AG790" s="347"/>
      <c r="AH790" s="347"/>
      <c r="AI790" s="347"/>
      <c r="AJ790" s="347"/>
      <c r="AK790" s="347"/>
      <c r="AL790" s="347"/>
      <c r="AM790" s="347"/>
      <c r="AN790" s="347"/>
      <c r="AO790" s="351"/>
      <c r="AP790" s="351"/>
      <c r="AQ790" s="335"/>
      <c r="AR790" s="335"/>
      <c r="AS790" s="335"/>
      <c r="AT790" s="335"/>
      <c r="AU790" s="334"/>
      <c r="AV790" s="334"/>
      <c r="AW790" s="335"/>
      <c r="AX790" s="335"/>
      <c r="AY790" s="335"/>
      <c r="AZ790" s="335"/>
      <c r="BA790" s="335"/>
      <c r="BB790" s="335"/>
      <c r="BC790" s="335"/>
      <c r="BD790" s="335"/>
      <c r="BE790" s="335"/>
    </row>
    <row r="791" customFormat="false" ht="14.15" hidden="true" customHeight="true" outlineLevel="1" collapsed="false">
      <c r="A791" s="324" t="s">
        <v>2191</v>
      </c>
      <c r="D791" s="342"/>
      <c r="E791" s="355"/>
      <c r="F791" s="355"/>
      <c r="G791" s="355"/>
      <c r="H791" s="355"/>
      <c r="I791" s="355"/>
      <c r="J791" s="355"/>
      <c r="K791" s="658"/>
      <c r="L791" s="355"/>
      <c r="M791" s="355"/>
      <c r="N791" s="358"/>
      <c r="O791" s="358"/>
      <c r="P791" s="358"/>
      <c r="Q791" s="347"/>
      <c r="R791" s="347"/>
      <c r="S791" s="347"/>
      <c r="T791" s="347"/>
      <c r="U791" s="347"/>
      <c r="V791" s="347"/>
      <c r="W791" s="347"/>
      <c r="X791" s="347"/>
      <c r="Y791" s="347"/>
      <c r="Z791" s="347"/>
      <c r="AA791" s="347"/>
      <c r="AB791" s="347"/>
      <c r="AC791" s="347"/>
      <c r="AD791" s="347"/>
      <c r="AE791" s="347"/>
      <c r="AF791" s="347"/>
      <c r="AG791" s="347"/>
      <c r="AH791" s="347"/>
      <c r="AI791" s="347"/>
      <c r="AJ791" s="347"/>
      <c r="AK791" s="347"/>
      <c r="AL791" s="347"/>
      <c r="AM791" s="347"/>
      <c r="AN791" s="347"/>
      <c r="AO791" s="351"/>
      <c r="AP791" s="351"/>
      <c r="AQ791" s="335"/>
      <c r="AR791" s="335"/>
      <c r="AS791" s="335"/>
      <c r="AT791" s="335"/>
      <c r="AU791" s="334"/>
      <c r="AV791" s="334"/>
      <c r="AW791" s="335"/>
      <c r="AX791" s="335"/>
      <c r="AY791" s="335"/>
      <c r="AZ791" s="335"/>
      <c r="BA791" s="335"/>
      <c r="BB791" s="335"/>
      <c r="BC791" s="335"/>
      <c r="BD791" s="335"/>
      <c r="BE791" s="335"/>
    </row>
    <row r="792" customFormat="false" ht="14.15" hidden="true" customHeight="true" outlineLevel="1" collapsed="false">
      <c r="A792" s="393" t="s">
        <v>173</v>
      </c>
      <c r="B792" s="364" t="s">
        <v>2156</v>
      </c>
      <c r="C792" s="657" t="n">
        <v>0.2</v>
      </c>
      <c r="D792" s="342"/>
      <c r="E792" s="355"/>
      <c r="F792" s="355"/>
      <c r="G792" s="355"/>
      <c r="H792" s="355"/>
      <c r="I792" s="355"/>
      <c r="J792" s="355"/>
      <c r="K792" s="658"/>
      <c r="L792" s="355"/>
      <c r="M792" s="355"/>
      <c r="N792" s="358"/>
      <c r="O792" s="358"/>
      <c r="P792" s="358"/>
      <c r="Q792" s="347"/>
      <c r="R792" s="347"/>
      <c r="S792" s="347"/>
      <c r="T792" s="347"/>
      <c r="U792" s="347"/>
      <c r="V792" s="347"/>
      <c r="W792" s="347"/>
      <c r="X792" s="347"/>
      <c r="Y792" s="347"/>
      <c r="Z792" s="347"/>
      <c r="AA792" s="347"/>
      <c r="AB792" s="347"/>
      <c r="AC792" s="347"/>
      <c r="AD792" s="347"/>
      <c r="AE792" s="347"/>
      <c r="AF792" s="347"/>
      <c r="AG792" s="347"/>
      <c r="AH792" s="347"/>
      <c r="AI792" s="347"/>
      <c r="AJ792" s="347"/>
      <c r="AK792" s="347"/>
      <c r="AL792" s="347"/>
      <c r="AM792" s="347"/>
      <c r="AN792" s="347"/>
      <c r="AO792" s="351"/>
      <c r="AP792" s="351"/>
      <c r="AQ792" s="335"/>
      <c r="AR792" s="335"/>
      <c r="AS792" s="335"/>
      <c r="AT792" s="335"/>
      <c r="AU792" s="334"/>
      <c r="AV792" s="334"/>
      <c r="AW792" s="335"/>
      <c r="AX792" s="335"/>
      <c r="AY792" s="335"/>
      <c r="AZ792" s="335"/>
      <c r="BA792" s="335"/>
      <c r="BB792" s="335"/>
      <c r="BC792" s="335"/>
      <c r="BD792" s="335"/>
      <c r="BE792" s="335"/>
    </row>
    <row r="793" customFormat="false" ht="14.15" hidden="true" customHeight="true" outlineLevel="1" collapsed="false">
      <c r="A793" s="261" t="s">
        <v>2192</v>
      </c>
      <c r="B793" s="364" t="s">
        <v>159</v>
      </c>
      <c r="C793" s="657" t="n">
        <v>1</v>
      </c>
      <c r="D793" s="665"/>
      <c r="E793" s="355"/>
      <c r="F793" s="355"/>
      <c r="G793" s="355"/>
      <c r="H793" s="355"/>
      <c r="I793" s="355"/>
      <c r="J793" s="355"/>
      <c r="K793" s="658"/>
      <c r="L793" s="355"/>
      <c r="M793" s="355"/>
      <c r="N793" s="358"/>
      <c r="O793" s="358"/>
      <c r="P793" s="358"/>
      <c r="Q793" s="347"/>
      <c r="R793" s="347"/>
      <c r="S793" s="347"/>
      <c r="T793" s="347"/>
      <c r="U793" s="347"/>
      <c r="V793" s="347"/>
      <c r="W793" s="347"/>
      <c r="X793" s="347"/>
      <c r="Y793" s="347"/>
      <c r="Z793" s="347"/>
      <c r="AA793" s="347"/>
      <c r="AB793" s="347"/>
      <c r="AC793" s="347"/>
      <c r="AD793" s="347"/>
      <c r="AE793" s="347"/>
      <c r="AF793" s="347"/>
      <c r="AG793" s="347"/>
      <c r="AH793" s="347"/>
      <c r="AI793" s="347"/>
      <c r="AJ793" s="347"/>
      <c r="AK793" s="347"/>
      <c r="AL793" s="347"/>
      <c r="AM793" s="347"/>
      <c r="AN793" s="347"/>
      <c r="AO793" s="351"/>
      <c r="AP793" s="351"/>
      <c r="AQ793" s="335"/>
      <c r="AR793" s="335"/>
      <c r="AS793" s="335"/>
      <c r="AT793" s="335"/>
      <c r="AU793" s="334"/>
      <c r="AV793" s="334"/>
      <c r="AW793" s="335"/>
      <c r="AX793" s="335"/>
      <c r="AY793" s="335"/>
      <c r="AZ793" s="335"/>
      <c r="BA793" s="335"/>
      <c r="BB793" s="335"/>
      <c r="BC793" s="335"/>
      <c r="BD793" s="335"/>
      <c r="BE793" s="335"/>
    </row>
    <row r="794" s="355" customFormat="true" ht="14.15" hidden="true" customHeight="true" outlineLevel="1" collapsed="false">
      <c r="A794" s="666" t="s">
        <v>2170</v>
      </c>
      <c r="B794" s="429"/>
      <c r="C794" s="661"/>
      <c r="D794" s="665"/>
      <c r="K794" s="6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  <c r="AF794" s="358"/>
      <c r="AG794" s="358"/>
      <c r="AH794" s="358"/>
      <c r="AI794" s="358"/>
      <c r="AJ794" s="358"/>
      <c r="AK794" s="358"/>
      <c r="AL794" s="358"/>
      <c r="AM794" s="358"/>
      <c r="AN794" s="358"/>
      <c r="AO794" s="359"/>
      <c r="AP794" s="359"/>
      <c r="AQ794" s="334"/>
      <c r="AR794" s="334"/>
      <c r="AS794" s="334"/>
      <c r="AT794" s="334"/>
      <c r="AU794" s="334"/>
      <c r="AV794" s="334"/>
      <c r="AW794" s="334"/>
      <c r="AX794" s="334"/>
      <c r="AY794" s="334"/>
      <c r="AZ794" s="334"/>
      <c r="BA794" s="334"/>
      <c r="BB794" s="334"/>
      <c r="BC794" s="334"/>
      <c r="BD794" s="334"/>
      <c r="BE794" s="334"/>
      <c r="BF794" s="360"/>
    </row>
    <row r="795" customFormat="false" ht="14.15" hidden="true" customHeight="true" outlineLevel="1" collapsed="false">
      <c r="A795" s="614" t="s">
        <v>1020</v>
      </c>
      <c r="B795" s="365" t="s">
        <v>1820</v>
      </c>
      <c r="C795" s="623" t="s">
        <v>1821</v>
      </c>
      <c r="D795" s="342"/>
      <c r="E795" s="355"/>
      <c r="F795" s="355"/>
      <c r="G795" s="355"/>
      <c r="H795" s="355"/>
      <c r="I795" s="355"/>
      <c r="J795" s="355"/>
      <c r="K795" s="658"/>
      <c r="L795" s="355"/>
      <c r="M795" s="355"/>
      <c r="N795" s="358"/>
      <c r="O795" s="358"/>
      <c r="P795" s="358"/>
      <c r="Q795" s="347"/>
      <c r="R795" s="347"/>
      <c r="S795" s="347"/>
      <c r="T795" s="347"/>
      <c r="U795" s="347"/>
      <c r="V795" s="347"/>
      <c r="W795" s="347"/>
      <c r="X795" s="347"/>
      <c r="Y795" s="347"/>
      <c r="Z795" s="347"/>
      <c r="AA795" s="347"/>
      <c r="AB795" s="347"/>
      <c r="AC795" s="347"/>
      <c r="AD795" s="347"/>
      <c r="AE795" s="347"/>
      <c r="AF795" s="347"/>
      <c r="AG795" s="347"/>
      <c r="AH795" s="347"/>
      <c r="AI795" s="347"/>
      <c r="AJ795" s="347"/>
      <c r="AK795" s="347"/>
      <c r="AL795" s="347"/>
      <c r="AM795" s="347"/>
      <c r="AN795" s="347"/>
      <c r="AO795" s="351"/>
      <c r="AP795" s="351"/>
      <c r="AQ795" s="335"/>
      <c r="AR795" s="335"/>
      <c r="AS795" s="335"/>
      <c r="AT795" s="335"/>
      <c r="AU795" s="334"/>
      <c r="AV795" s="334"/>
      <c r="AW795" s="335"/>
      <c r="AX795" s="335"/>
      <c r="AY795" s="335"/>
      <c r="AZ795" s="335"/>
      <c r="BA795" s="335"/>
      <c r="BB795" s="335"/>
      <c r="BC795" s="335"/>
      <c r="BD795" s="335"/>
      <c r="BE795" s="335"/>
    </row>
    <row r="796" s="355" customFormat="true" ht="14.15" hidden="true" customHeight="true" outlineLevel="1" collapsed="false">
      <c r="A796" s="662" t="s">
        <v>2172</v>
      </c>
      <c r="B796" s="640"/>
      <c r="C796" s="641"/>
      <c r="D796" s="342"/>
      <c r="K796" s="6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  <c r="AF796" s="358"/>
      <c r="AG796" s="358"/>
      <c r="AH796" s="358"/>
      <c r="AI796" s="358"/>
      <c r="AJ796" s="358"/>
      <c r="AK796" s="358"/>
      <c r="AL796" s="358"/>
      <c r="AM796" s="358"/>
      <c r="AN796" s="358"/>
      <c r="AO796" s="359"/>
      <c r="AP796" s="359"/>
      <c r="AQ796" s="334"/>
      <c r="AR796" s="334"/>
      <c r="AS796" s="334"/>
      <c r="AT796" s="334"/>
      <c r="AU796" s="334"/>
      <c r="AV796" s="334"/>
      <c r="AW796" s="334"/>
      <c r="AX796" s="334"/>
      <c r="AY796" s="334"/>
      <c r="AZ796" s="334"/>
      <c r="BA796" s="334"/>
      <c r="BB796" s="334"/>
      <c r="BC796" s="334"/>
      <c r="BD796" s="334"/>
      <c r="BE796" s="334"/>
      <c r="BF796" s="360"/>
    </row>
    <row r="797" customFormat="false" ht="14.15" hidden="true" customHeight="true" outlineLevel="1" collapsed="false">
      <c r="A797" s="525" t="s">
        <v>1027</v>
      </c>
      <c r="B797" s="365" t="s">
        <v>1820</v>
      </c>
      <c r="C797" s="623" t="s">
        <v>1821</v>
      </c>
      <c r="D797" s="342"/>
      <c r="E797" s="355"/>
      <c r="F797" s="355"/>
      <c r="G797" s="355"/>
      <c r="H797" s="355"/>
      <c r="I797" s="355"/>
      <c r="J797" s="355"/>
      <c r="K797" s="658"/>
      <c r="L797" s="355"/>
      <c r="M797" s="355"/>
      <c r="N797" s="358"/>
      <c r="O797" s="358"/>
      <c r="P797" s="358"/>
      <c r="Q797" s="347"/>
      <c r="R797" s="347"/>
      <c r="S797" s="347"/>
      <c r="T797" s="347"/>
      <c r="U797" s="347"/>
      <c r="V797" s="347"/>
      <c r="W797" s="347"/>
      <c r="X797" s="347"/>
      <c r="Y797" s="347"/>
      <c r="Z797" s="347"/>
      <c r="AA797" s="347"/>
      <c r="AB797" s="347"/>
      <c r="AC797" s="347"/>
      <c r="AD797" s="347"/>
      <c r="AE797" s="347"/>
      <c r="AF797" s="347"/>
      <c r="AG797" s="347"/>
      <c r="AH797" s="347"/>
      <c r="AI797" s="347"/>
      <c r="AJ797" s="347"/>
      <c r="AK797" s="347"/>
      <c r="AL797" s="347"/>
      <c r="AM797" s="347"/>
      <c r="AN797" s="347"/>
      <c r="AO797" s="351"/>
      <c r="AP797" s="351"/>
      <c r="AQ797" s="335"/>
      <c r="AR797" s="335"/>
      <c r="AS797" s="335"/>
      <c r="AT797" s="335"/>
      <c r="AU797" s="334"/>
      <c r="AV797" s="334"/>
      <c r="AW797" s="335"/>
      <c r="AX797" s="335"/>
      <c r="AY797" s="335"/>
      <c r="AZ797" s="335"/>
      <c r="BA797" s="335"/>
      <c r="BB797" s="335"/>
      <c r="BC797" s="335"/>
      <c r="BD797" s="335"/>
      <c r="BE797" s="335"/>
    </row>
    <row r="798" customFormat="false" ht="14.15" hidden="true" customHeight="true" outlineLevel="1" collapsed="false">
      <c r="A798" s="667" t="s">
        <v>2193</v>
      </c>
      <c r="B798" s="364" t="s">
        <v>156</v>
      </c>
      <c r="C798" s="23" t="n">
        <f aca="false">фундамент!C465</f>
        <v>0</v>
      </c>
      <c r="D798" s="342"/>
      <c r="E798" s="355"/>
      <c r="F798" s="355"/>
      <c r="G798" s="355"/>
      <c r="H798" s="355"/>
      <c r="I798" s="355"/>
      <c r="J798" s="355"/>
      <c r="K798" s="658"/>
      <c r="L798" s="355"/>
      <c r="M798" s="355"/>
      <c r="N798" s="358"/>
      <c r="O798" s="358"/>
      <c r="P798" s="358"/>
      <c r="Q798" s="347"/>
      <c r="R798" s="347"/>
      <c r="S798" s="347"/>
      <c r="T798" s="347"/>
      <c r="U798" s="347"/>
      <c r="V798" s="347"/>
      <c r="W798" s="347"/>
      <c r="X798" s="347"/>
      <c r="Y798" s="347"/>
      <c r="Z798" s="347"/>
      <c r="AA798" s="347"/>
      <c r="AB798" s="347"/>
      <c r="AC798" s="347"/>
      <c r="AD798" s="347"/>
      <c r="AE798" s="347"/>
      <c r="AF798" s="347"/>
      <c r="AG798" s="347"/>
      <c r="AH798" s="347"/>
      <c r="AI798" s="347"/>
      <c r="AJ798" s="347"/>
      <c r="AK798" s="347"/>
      <c r="AL798" s="347"/>
      <c r="AM798" s="347"/>
      <c r="AN798" s="347"/>
      <c r="AO798" s="351"/>
      <c r="AP798" s="351"/>
      <c r="AQ798" s="335"/>
      <c r="AR798" s="335"/>
      <c r="AS798" s="335"/>
      <c r="AT798" s="335"/>
      <c r="AU798" s="334"/>
      <c r="AV798" s="334"/>
      <c r="AW798" s="335"/>
      <c r="AX798" s="335"/>
      <c r="AY798" s="335"/>
      <c r="AZ798" s="335"/>
      <c r="BA798" s="335"/>
      <c r="BB798" s="335"/>
      <c r="BC798" s="335"/>
      <c r="BD798" s="335"/>
      <c r="BE798" s="335"/>
    </row>
    <row r="799" customFormat="false" ht="14.15" hidden="true" customHeight="true" outlineLevel="1" collapsed="false">
      <c r="A799" s="613" t="s">
        <v>1038</v>
      </c>
      <c r="B799" s="429"/>
      <c r="C799" s="668"/>
      <c r="D799" s="342"/>
      <c r="E799" s="355"/>
      <c r="F799" s="355"/>
      <c r="G799" s="355"/>
      <c r="H799" s="355"/>
      <c r="I799" s="355"/>
      <c r="J799" s="355"/>
      <c r="K799" s="658"/>
      <c r="L799" s="355"/>
      <c r="M799" s="355"/>
      <c r="N799" s="358"/>
      <c r="O799" s="358"/>
      <c r="P799" s="358"/>
      <c r="Q799" s="347"/>
      <c r="R799" s="347"/>
      <c r="S799" s="347"/>
      <c r="T799" s="347"/>
      <c r="U799" s="347"/>
      <c r="V799" s="347"/>
      <c r="W799" s="347"/>
      <c r="X799" s="347"/>
      <c r="Y799" s="347"/>
      <c r="Z799" s="347"/>
      <c r="AA799" s="347"/>
      <c r="AB799" s="347"/>
      <c r="AC799" s="347"/>
      <c r="AD799" s="347"/>
      <c r="AE799" s="347"/>
      <c r="AF799" s="347"/>
      <c r="AG799" s="347"/>
      <c r="AH799" s="347"/>
      <c r="AI799" s="347"/>
      <c r="AJ799" s="347"/>
      <c r="AK799" s="347"/>
      <c r="AL799" s="347"/>
      <c r="AM799" s="347"/>
      <c r="AN799" s="347"/>
      <c r="AO799" s="351"/>
      <c r="AP799" s="351"/>
      <c r="AQ799" s="335"/>
      <c r="AR799" s="335"/>
      <c r="AS799" s="335"/>
      <c r="AT799" s="335"/>
      <c r="AU799" s="334"/>
      <c r="AV799" s="334"/>
      <c r="AW799" s="335"/>
      <c r="AX799" s="335"/>
      <c r="AY799" s="335"/>
      <c r="AZ799" s="335"/>
      <c r="BA799" s="335"/>
      <c r="BB799" s="335"/>
      <c r="BC799" s="335"/>
      <c r="BD799" s="335"/>
      <c r="BE799" s="335"/>
    </row>
    <row r="800" customFormat="false" ht="14.15" hidden="true" customHeight="true" outlineLevel="1" collapsed="false">
      <c r="A800" s="669" t="s">
        <v>2194</v>
      </c>
      <c r="B800" s="364" t="s">
        <v>159</v>
      </c>
      <c r="C800" s="657" t="n">
        <v>0</v>
      </c>
      <c r="D800" s="342"/>
      <c r="E800" s="355"/>
      <c r="F800" s="355"/>
      <c r="G800" s="355"/>
      <c r="H800" s="355"/>
      <c r="I800" s="355"/>
      <c r="J800" s="355"/>
      <c r="K800" s="658"/>
      <c r="L800" s="355"/>
      <c r="M800" s="355"/>
      <c r="N800" s="358"/>
      <c r="O800" s="358"/>
      <c r="P800" s="358"/>
      <c r="Q800" s="347"/>
      <c r="R800" s="347"/>
      <c r="S800" s="347"/>
      <c r="T800" s="347"/>
      <c r="U800" s="347"/>
      <c r="V800" s="347"/>
      <c r="W800" s="347"/>
      <c r="X800" s="347"/>
      <c r="Y800" s="347"/>
      <c r="Z800" s="347"/>
      <c r="AA800" s="347"/>
      <c r="AB800" s="347"/>
      <c r="AC800" s="347"/>
      <c r="AD800" s="347"/>
      <c r="AE800" s="347"/>
      <c r="AF800" s="347"/>
      <c r="AG800" s="347"/>
      <c r="AH800" s="347"/>
      <c r="AI800" s="347"/>
      <c r="AJ800" s="347"/>
      <c r="AK800" s="347"/>
      <c r="AL800" s="347"/>
      <c r="AM800" s="347"/>
      <c r="AN800" s="347"/>
      <c r="AO800" s="351"/>
      <c r="AP800" s="351"/>
      <c r="AQ800" s="335"/>
      <c r="AR800" s="335"/>
      <c r="AS800" s="335"/>
      <c r="AT800" s="335"/>
      <c r="AU800" s="334"/>
      <c r="AV800" s="334"/>
      <c r="AW800" s="335"/>
      <c r="AX800" s="335"/>
      <c r="AY800" s="335"/>
      <c r="AZ800" s="335"/>
      <c r="BA800" s="335"/>
      <c r="BB800" s="335"/>
      <c r="BC800" s="335"/>
      <c r="BD800" s="335"/>
      <c r="BE800" s="335"/>
    </row>
    <row r="801" customFormat="false" ht="14.15" hidden="true" customHeight="true" outlineLevel="1" collapsed="false">
      <c r="A801" s="525" t="s">
        <v>1054</v>
      </c>
      <c r="B801" s="429"/>
      <c r="C801" s="661"/>
      <c r="D801" s="342"/>
      <c r="E801" s="355"/>
      <c r="F801" s="355"/>
      <c r="G801" s="355"/>
      <c r="H801" s="355"/>
      <c r="I801" s="355"/>
      <c r="J801" s="355"/>
      <c r="K801" s="658"/>
      <c r="L801" s="355"/>
      <c r="M801" s="355"/>
      <c r="N801" s="358"/>
      <c r="O801" s="358"/>
      <c r="P801" s="358"/>
      <c r="Q801" s="347"/>
      <c r="R801" s="347"/>
      <c r="S801" s="347"/>
      <c r="T801" s="347"/>
      <c r="U801" s="347"/>
      <c r="V801" s="347"/>
      <c r="W801" s="347"/>
      <c r="X801" s="347"/>
      <c r="Y801" s="347"/>
      <c r="Z801" s="347"/>
      <c r="AA801" s="347"/>
      <c r="AB801" s="347"/>
      <c r="AC801" s="347"/>
      <c r="AD801" s="347"/>
      <c r="AE801" s="347"/>
      <c r="AF801" s="347"/>
      <c r="AG801" s="347"/>
      <c r="AH801" s="347"/>
      <c r="AI801" s="347"/>
      <c r="AJ801" s="347"/>
      <c r="AK801" s="347"/>
      <c r="AL801" s="347"/>
      <c r="AM801" s="347"/>
      <c r="AN801" s="347"/>
      <c r="AO801" s="351"/>
      <c r="AP801" s="351"/>
      <c r="AQ801" s="335"/>
      <c r="AR801" s="335"/>
      <c r="AS801" s="335"/>
      <c r="AT801" s="335"/>
      <c r="AU801" s="334"/>
      <c r="AV801" s="334"/>
      <c r="AW801" s="335"/>
      <c r="AX801" s="335"/>
      <c r="AY801" s="335"/>
      <c r="AZ801" s="335"/>
      <c r="BA801" s="335"/>
      <c r="BB801" s="335"/>
      <c r="BC801" s="335"/>
      <c r="BD801" s="335"/>
      <c r="BE801" s="335"/>
    </row>
    <row r="802" customFormat="false" ht="14.15" hidden="true" customHeight="true" outlineLevel="1" collapsed="false">
      <c r="A802" s="663" t="s">
        <v>2195</v>
      </c>
      <c r="B802" s="364" t="s">
        <v>156</v>
      </c>
      <c r="C802" s="657" t="n">
        <v>0</v>
      </c>
      <c r="D802" s="342"/>
      <c r="E802" s="355"/>
      <c r="F802" s="355"/>
      <c r="G802" s="355"/>
      <c r="H802" s="355"/>
      <c r="I802" s="355"/>
      <c r="J802" s="355"/>
      <c r="K802" s="658"/>
      <c r="L802" s="355"/>
      <c r="M802" s="355"/>
      <c r="N802" s="358"/>
      <c r="O802" s="358"/>
      <c r="P802" s="358"/>
      <c r="Q802" s="347"/>
      <c r="R802" s="347"/>
      <c r="S802" s="347"/>
      <c r="T802" s="347"/>
      <c r="U802" s="347"/>
      <c r="V802" s="347"/>
      <c r="W802" s="347"/>
      <c r="X802" s="347"/>
      <c r="Y802" s="347"/>
      <c r="Z802" s="347"/>
      <c r="AA802" s="347"/>
      <c r="AB802" s="347"/>
      <c r="AC802" s="347"/>
      <c r="AD802" s="347"/>
      <c r="AE802" s="347"/>
      <c r="AF802" s="347"/>
      <c r="AG802" s="347"/>
      <c r="AH802" s="347"/>
      <c r="AI802" s="347"/>
      <c r="AJ802" s="347"/>
      <c r="AK802" s="347"/>
      <c r="AL802" s="347"/>
      <c r="AM802" s="347"/>
      <c r="AN802" s="347"/>
      <c r="AO802" s="351"/>
      <c r="AP802" s="351"/>
      <c r="AQ802" s="335"/>
      <c r="AR802" s="335"/>
      <c r="AS802" s="335"/>
      <c r="AT802" s="335"/>
      <c r="AU802" s="334"/>
      <c r="AV802" s="334"/>
      <c r="AW802" s="335"/>
      <c r="AX802" s="335"/>
      <c r="AY802" s="335"/>
      <c r="AZ802" s="335"/>
      <c r="BA802" s="335"/>
      <c r="BB802" s="335"/>
      <c r="BC802" s="335"/>
      <c r="BD802" s="335"/>
      <c r="BE802" s="335"/>
    </row>
    <row r="803" customFormat="false" ht="14.15" hidden="true" customHeight="true" outlineLevel="1" collapsed="false">
      <c r="A803" s="368" t="s">
        <v>2196</v>
      </c>
      <c r="B803" s="364" t="s">
        <v>156</v>
      </c>
      <c r="C803" s="657" t="n">
        <v>0</v>
      </c>
      <c r="D803" s="342"/>
      <c r="E803" s="355"/>
      <c r="F803" s="355"/>
      <c r="G803" s="355"/>
      <c r="H803" s="355"/>
      <c r="I803" s="355"/>
      <c r="J803" s="355"/>
      <c r="K803" s="658"/>
      <c r="L803" s="355"/>
      <c r="M803" s="355"/>
      <c r="N803" s="358"/>
      <c r="O803" s="358"/>
      <c r="P803" s="358"/>
      <c r="Q803" s="347"/>
      <c r="R803" s="347"/>
      <c r="S803" s="347"/>
      <c r="T803" s="347"/>
      <c r="U803" s="347"/>
      <c r="V803" s="347"/>
      <c r="W803" s="347"/>
      <c r="X803" s="347"/>
      <c r="Y803" s="347"/>
      <c r="Z803" s="347"/>
      <c r="AA803" s="347"/>
      <c r="AB803" s="347"/>
      <c r="AC803" s="347"/>
      <c r="AD803" s="347"/>
      <c r="AE803" s="347"/>
      <c r="AF803" s="347"/>
      <c r="AG803" s="347"/>
      <c r="AH803" s="347"/>
      <c r="AI803" s="347"/>
      <c r="AJ803" s="347"/>
      <c r="AK803" s="347"/>
      <c r="AL803" s="347"/>
      <c r="AM803" s="347"/>
      <c r="AN803" s="347"/>
      <c r="AO803" s="351"/>
      <c r="AP803" s="351"/>
      <c r="AQ803" s="335"/>
      <c r="AR803" s="335"/>
      <c r="AS803" s="335"/>
      <c r="AT803" s="335"/>
      <c r="AU803" s="334"/>
      <c r="AV803" s="334"/>
      <c r="AW803" s="335"/>
      <c r="AX803" s="335"/>
      <c r="AY803" s="335"/>
      <c r="AZ803" s="335"/>
      <c r="BA803" s="335"/>
      <c r="BB803" s="335"/>
      <c r="BC803" s="335"/>
      <c r="BD803" s="335"/>
      <c r="BE803" s="335"/>
    </row>
    <row r="804" customFormat="false" ht="14.15" hidden="true" customHeight="true" outlineLevel="1" collapsed="false">
      <c r="A804" s="670" t="s">
        <v>2163</v>
      </c>
      <c r="B804" s="365" t="s">
        <v>1820</v>
      </c>
      <c r="C804" s="671" t="s">
        <v>1798</v>
      </c>
      <c r="D804" s="672"/>
      <c r="E804" s="355"/>
      <c r="F804" s="355"/>
      <c r="G804" s="355"/>
      <c r="H804" s="355"/>
      <c r="I804" s="629"/>
      <c r="J804" s="492"/>
      <c r="K804" s="658"/>
      <c r="L804" s="355"/>
      <c r="M804" s="355"/>
      <c r="N804" s="358"/>
      <c r="O804" s="358"/>
      <c r="P804" s="358"/>
      <c r="Q804" s="347"/>
      <c r="R804" s="347"/>
      <c r="S804" s="347"/>
      <c r="T804" s="347"/>
      <c r="U804" s="347"/>
      <c r="V804" s="347"/>
      <c r="W804" s="347"/>
      <c r="X804" s="347"/>
      <c r="Y804" s="347"/>
      <c r="Z804" s="347"/>
      <c r="AA804" s="347"/>
      <c r="AB804" s="347"/>
      <c r="AC804" s="347"/>
      <c r="AD804" s="347"/>
      <c r="AE804" s="347"/>
      <c r="AF804" s="347"/>
      <c r="AG804" s="347"/>
      <c r="AH804" s="347"/>
      <c r="AI804" s="347"/>
      <c r="AJ804" s="347"/>
      <c r="AK804" s="347"/>
      <c r="AL804" s="347"/>
      <c r="AM804" s="347"/>
      <c r="AN804" s="347"/>
      <c r="AO804" s="351"/>
      <c r="AP804" s="351"/>
      <c r="AQ804" s="335"/>
      <c r="AR804" s="335"/>
      <c r="AS804" s="335"/>
      <c r="AT804" s="335"/>
      <c r="AU804" s="334"/>
      <c r="AV804" s="334"/>
      <c r="AW804" s="335"/>
      <c r="AX804" s="335"/>
      <c r="AY804" s="335"/>
      <c r="AZ804" s="335"/>
      <c r="BA804" s="335"/>
      <c r="BB804" s="335"/>
      <c r="BC804" s="335"/>
      <c r="BD804" s="335"/>
      <c r="BE804" s="335"/>
    </row>
    <row r="805" s="355" customFormat="true" ht="14.15" hidden="true" customHeight="true" outlineLevel="1" collapsed="false">
      <c r="A805" s="662" t="s">
        <v>2197</v>
      </c>
      <c r="B805" s="640"/>
      <c r="C805" s="673"/>
      <c r="D805" s="672"/>
      <c r="I805" s="629"/>
      <c r="J805" s="492"/>
      <c r="K805" s="6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  <c r="AF805" s="358"/>
      <c r="AG805" s="358"/>
      <c r="AH805" s="358"/>
      <c r="AI805" s="358"/>
      <c r="AJ805" s="358"/>
      <c r="AK805" s="358"/>
      <c r="AL805" s="358"/>
      <c r="AM805" s="358"/>
      <c r="AN805" s="358"/>
      <c r="AO805" s="359"/>
      <c r="AP805" s="359"/>
      <c r="AQ805" s="334"/>
      <c r="AR805" s="334"/>
      <c r="AS805" s="334"/>
      <c r="AT805" s="334"/>
      <c r="AU805" s="334"/>
      <c r="AV805" s="334"/>
      <c r="AW805" s="334"/>
      <c r="AX805" s="334"/>
      <c r="AY805" s="334"/>
      <c r="AZ805" s="334"/>
      <c r="BA805" s="334"/>
      <c r="BB805" s="334"/>
      <c r="BC805" s="334"/>
      <c r="BD805" s="334"/>
      <c r="BE805" s="334"/>
      <c r="BF805" s="360"/>
    </row>
    <row r="806" s="355" customFormat="true" ht="14.15" hidden="true" customHeight="true" outlineLevel="1" collapsed="false">
      <c r="A806" s="525" t="s">
        <v>200</v>
      </c>
      <c r="B806" s="640"/>
      <c r="C806" s="673"/>
      <c r="D806" s="672"/>
      <c r="I806" s="629"/>
      <c r="J806" s="492"/>
      <c r="K806" s="6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  <c r="AF806" s="358"/>
      <c r="AG806" s="358"/>
      <c r="AH806" s="358"/>
      <c r="AI806" s="358"/>
      <c r="AJ806" s="358"/>
      <c r="AK806" s="358"/>
      <c r="AL806" s="358"/>
      <c r="AM806" s="358"/>
      <c r="AN806" s="358"/>
      <c r="AO806" s="359"/>
      <c r="AP806" s="359"/>
      <c r="AQ806" s="334"/>
      <c r="AR806" s="334"/>
      <c r="AS806" s="334"/>
      <c r="AT806" s="334"/>
      <c r="AU806" s="334"/>
      <c r="AV806" s="334"/>
      <c r="AW806" s="334"/>
      <c r="AX806" s="334"/>
      <c r="AY806" s="334"/>
      <c r="AZ806" s="334"/>
      <c r="BA806" s="334"/>
      <c r="BB806" s="334"/>
      <c r="BC806" s="334"/>
      <c r="BD806" s="334"/>
      <c r="BE806" s="334"/>
      <c r="BF806" s="360"/>
    </row>
    <row r="807" customFormat="false" ht="14.15" hidden="true" customHeight="true" outlineLevel="1" collapsed="false">
      <c r="A807" s="663" t="s">
        <v>2165</v>
      </c>
      <c r="B807" s="364" t="s">
        <v>156</v>
      </c>
      <c r="C807" s="23" t="n">
        <v>0.8</v>
      </c>
      <c r="D807" s="342"/>
      <c r="E807" s="355"/>
      <c r="F807" s="355"/>
      <c r="G807" s="355"/>
      <c r="H807" s="355"/>
      <c r="I807" s="454"/>
      <c r="J807" s="492"/>
      <c r="K807" s="658"/>
      <c r="L807" s="355"/>
      <c r="M807" s="355"/>
      <c r="N807" s="358"/>
      <c r="O807" s="358"/>
      <c r="P807" s="358"/>
      <c r="Q807" s="347"/>
      <c r="R807" s="347"/>
      <c r="S807" s="347"/>
      <c r="T807" s="347"/>
      <c r="U807" s="347"/>
      <c r="V807" s="347"/>
      <c r="W807" s="347"/>
      <c r="X807" s="347"/>
      <c r="Y807" s="347"/>
      <c r="Z807" s="347"/>
      <c r="AA807" s="347"/>
      <c r="AB807" s="347"/>
      <c r="AC807" s="347"/>
      <c r="AD807" s="347"/>
      <c r="AE807" s="347"/>
      <c r="AF807" s="347"/>
      <c r="AG807" s="347"/>
      <c r="AH807" s="347"/>
      <c r="AI807" s="347"/>
      <c r="AJ807" s="347"/>
      <c r="AK807" s="347"/>
      <c r="AL807" s="347"/>
      <c r="AM807" s="347"/>
      <c r="AN807" s="347"/>
      <c r="AO807" s="351"/>
      <c r="AP807" s="351"/>
      <c r="AQ807" s="335"/>
      <c r="AR807" s="335"/>
      <c r="AS807" s="335"/>
      <c r="AT807" s="335"/>
      <c r="AU807" s="334"/>
      <c r="AV807" s="334"/>
      <c r="AW807" s="335"/>
      <c r="AX807" s="335"/>
      <c r="AY807" s="335"/>
      <c r="AZ807" s="335"/>
      <c r="BA807" s="335"/>
      <c r="BB807" s="335"/>
      <c r="BC807" s="335"/>
      <c r="BD807" s="335"/>
      <c r="BE807" s="335"/>
    </row>
    <row r="808" customFormat="false" ht="14.15" hidden="true" customHeight="true" outlineLevel="1" collapsed="false">
      <c r="A808" s="368" t="s">
        <v>2166</v>
      </c>
      <c r="B808" s="364" t="s">
        <v>156</v>
      </c>
      <c r="C808" s="23" t="n">
        <v>0.1</v>
      </c>
      <c r="D808" s="342"/>
      <c r="E808" s="355"/>
      <c r="F808" s="355"/>
      <c r="G808" s="355"/>
      <c r="H808" s="355"/>
      <c r="I808" s="629"/>
      <c r="J808" s="492"/>
      <c r="K808" s="658"/>
      <c r="L808" s="355"/>
      <c r="M808" s="355"/>
      <c r="N808" s="358"/>
      <c r="O808" s="358"/>
      <c r="P808" s="358"/>
      <c r="Q808" s="347"/>
      <c r="R808" s="347"/>
      <c r="S808" s="347"/>
      <c r="T808" s="347"/>
      <c r="U808" s="347"/>
      <c r="V808" s="347"/>
      <c r="W808" s="347"/>
      <c r="X808" s="347"/>
      <c r="Y808" s="347"/>
      <c r="Z808" s="347"/>
      <c r="AA808" s="347"/>
      <c r="AB808" s="347"/>
      <c r="AC808" s="347"/>
      <c r="AD808" s="347"/>
      <c r="AE808" s="347"/>
      <c r="AF808" s="347"/>
      <c r="AG808" s="347"/>
      <c r="AH808" s="347"/>
      <c r="AI808" s="347"/>
      <c r="AJ808" s="347"/>
      <c r="AK808" s="347"/>
      <c r="AL808" s="347"/>
      <c r="AM808" s="347"/>
      <c r="AN808" s="347"/>
      <c r="AO808" s="351"/>
      <c r="AP808" s="351"/>
      <c r="AQ808" s="335"/>
      <c r="AR808" s="335"/>
      <c r="AS808" s="335"/>
      <c r="AT808" s="335"/>
      <c r="AU808" s="334"/>
      <c r="AV808" s="334"/>
      <c r="AW808" s="335"/>
      <c r="AX808" s="335"/>
      <c r="AY808" s="335"/>
      <c r="AZ808" s="335"/>
      <c r="BA808" s="335"/>
      <c r="BB808" s="335"/>
      <c r="BC808" s="335"/>
      <c r="BD808" s="335"/>
      <c r="BE808" s="335"/>
    </row>
    <row r="809" customFormat="false" ht="14.15" hidden="true" customHeight="true" outlineLevel="1" collapsed="false">
      <c r="A809" s="368" t="s">
        <v>2198</v>
      </c>
      <c r="B809" s="364" t="s">
        <v>156</v>
      </c>
      <c r="C809" s="23" t="n">
        <v>0.05</v>
      </c>
      <c r="D809" s="342"/>
      <c r="E809" s="355"/>
      <c r="F809" s="355"/>
      <c r="G809" s="355"/>
      <c r="H809" s="355"/>
      <c r="I809" s="355"/>
      <c r="J809" s="492"/>
      <c r="K809" s="658"/>
      <c r="L809" s="355"/>
      <c r="M809" s="355"/>
      <c r="N809" s="358"/>
      <c r="O809" s="358"/>
      <c r="P809" s="358"/>
      <c r="Q809" s="347"/>
      <c r="R809" s="347"/>
      <c r="S809" s="347"/>
      <c r="T809" s="347"/>
      <c r="U809" s="347"/>
      <c r="V809" s="347"/>
      <c r="W809" s="347"/>
      <c r="X809" s="347"/>
      <c r="Y809" s="347"/>
      <c r="Z809" s="347"/>
      <c r="AA809" s="347"/>
      <c r="AB809" s="347"/>
      <c r="AC809" s="347"/>
      <c r="AD809" s="347"/>
      <c r="AE809" s="347"/>
      <c r="AF809" s="347"/>
      <c r="AG809" s="347"/>
      <c r="AH809" s="347"/>
      <c r="AI809" s="347"/>
      <c r="AJ809" s="347"/>
      <c r="AK809" s="347"/>
      <c r="AL809" s="347"/>
      <c r="AM809" s="347"/>
      <c r="AN809" s="347"/>
      <c r="AO809" s="351"/>
      <c r="AP809" s="351"/>
      <c r="AQ809" s="335"/>
      <c r="AR809" s="335"/>
      <c r="AS809" s="335"/>
      <c r="AT809" s="335"/>
      <c r="AU809" s="334"/>
      <c r="AV809" s="334"/>
      <c r="AW809" s="335"/>
      <c r="AX809" s="335"/>
      <c r="AY809" s="335"/>
      <c r="AZ809" s="335"/>
      <c r="BA809" s="335"/>
      <c r="BB809" s="335"/>
      <c r="BC809" s="335"/>
      <c r="BD809" s="335"/>
      <c r="BE809" s="335"/>
    </row>
    <row r="810" customFormat="false" ht="14.15" hidden="true" customHeight="true" outlineLevel="1" collapsed="false">
      <c r="A810" s="368" t="s">
        <v>2167</v>
      </c>
      <c r="B810" s="364" t="s">
        <v>156</v>
      </c>
      <c r="C810" s="632" t="n">
        <v>0.2</v>
      </c>
      <c r="D810" s="342"/>
      <c r="E810" s="355"/>
      <c r="F810" s="355"/>
      <c r="G810" s="355"/>
      <c r="H810" s="355"/>
      <c r="I810" s="629"/>
      <c r="J810" s="492"/>
      <c r="K810" s="658"/>
      <c r="L810" s="355"/>
      <c r="M810" s="355"/>
      <c r="N810" s="358"/>
      <c r="O810" s="358"/>
      <c r="P810" s="358"/>
      <c r="Q810" s="347"/>
      <c r="R810" s="347"/>
      <c r="S810" s="347"/>
      <c r="T810" s="347"/>
      <c r="U810" s="347"/>
      <c r="V810" s="347"/>
      <c r="W810" s="347"/>
      <c r="X810" s="347"/>
      <c r="Y810" s="347"/>
      <c r="Z810" s="347"/>
      <c r="AA810" s="347"/>
      <c r="AB810" s="347"/>
      <c r="AC810" s="347"/>
      <c r="AD810" s="347"/>
      <c r="AE810" s="347"/>
      <c r="AF810" s="347"/>
      <c r="AG810" s="347"/>
      <c r="AH810" s="347"/>
      <c r="AI810" s="347"/>
      <c r="AJ810" s="347"/>
      <c r="AK810" s="347"/>
      <c r="AL810" s="347"/>
      <c r="AM810" s="347"/>
      <c r="AN810" s="347"/>
      <c r="AO810" s="351"/>
      <c r="AP810" s="351"/>
      <c r="AQ810" s="335"/>
      <c r="AR810" s="335"/>
      <c r="AS810" s="335"/>
      <c r="AT810" s="335"/>
      <c r="AU810" s="334"/>
      <c r="AV810" s="334"/>
      <c r="AW810" s="335"/>
      <c r="AX810" s="335"/>
      <c r="AY810" s="335"/>
      <c r="AZ810" s="335"/>
      <c r="BA810" s="335"/>
      <c r="BB810" s="335"/>
      <c r="BC810" s="335"/>
      <c r="BD810" s="335"/>
      <c r="BE810" s="335"/>
    </row>
    <row r="811" customFormat="false" ht="14.15" hidden="true" customHeight="true" outlineLevel="1" collapsed="false">
      <c r="A811" s="368" t="s">
        <v>2168</v>
      </c>
      <c r="B811" s="364" t="s">
        <v>156</v>
      </c>
      <c r="C811" s="23" t="n">
        <v>0.8</v>
      </c>
      <c r="D811" s="342"/>
      <c r="E811" s="355"/>
      <c r="F811" s="355"/>
      <c r="G811" s="355"/>
      <c r="H811" s="355"/>
      <c r="I811" s="629"/>
      <c r="J811" s="492"/>
      <c r="K811" s="658"/>
      <c r="L811" s="355"/>
      <c r="M811" s="355"/>
      <c r="N811" s="358"/>
      <c r="O811" s="358"/>
      <c r="P811" s="358"/>
      <c r="Q811" s="347"/>
      <c r="R811" s="347"/>
      <c r="S811" s="347"/>
      <c r="T811" s="347"/>
      <c r="U811" s="347"/>
      <c r="V811" s="347"/>
      <c r="W811" s="347"/>
      <c r="X811" s="347"/>
      <c r="Y811" s="347"/>
      <c r="Z811" s="347"/>
      <c r="AA811" s="347"/>
      <c r="AB811" s="347"/>
      <c r="AC811" s="347"/>
      <c r="AD811" s="347"/>
      <c r="AE811" s="347"/>
      <c r="AF811" s="347"/>
      <c r="AG811" s="347"/>
      <c r="AH811" s="347"/>
      <c r="AI811" s="347"/>
      <c r="AJ811" s="347"/>
      <c r="AK811" s="347"/>
      <c r="AL811" s="347"/>
      <c r="AM811" s="347"/>
      <c r="AN811" s="347"/>
      <c r="AO811" s="351"/>
      <c r="AP811" s="351"/>
      <c r="AQ811" s="335"/>
      <c r="AR811" s="335"/>
      <c r="AS811" s="335"/>
      <c r="AT811" s="335"/>
      <c r="AU811" s="334"/>
      <c r="AV811" s="334"/>
      <c r="AW811" s="335"/>
      <c r="AX811" s="335"/>
      <c r="AY811" s="335"/>
      <c r="AZ811" s="335"/>
      <c r="BA811" s="335"/>
      <c r="BB811" s="335"/>
      <c r="BC811" s="335"/>
      <c r="BD811" s="335"/>
      <c r="BE811" s="335"/>
    </row>
    <row r="812" customFormat="false" ht="14.15" hidden="true" customHeight="true" outlineLevel="1" collapsed="false">
      <c r="A812" s="342"/>
      <c r="B812" s="429"/>
      <c r="C812" s="668"/>
      <c r="D812" s="342"/>
      <c r="E812" s="355"/>
      <c r="F812" s="355"/>
      <c r="G812" s="355"/>
      <c r="H812" s="355"/>
      <c r="I812" s="629"/>
      <c r="J812" s="492"/>
      <c r="K812" s="658"/>
      <c r="L812" s="355"/>
      <c r="M812" s="355"/>
      <c r="N812" s="358"/>
      <c r="O812" s="358"/>
      <c r="P812" s="358"/>
      <c r="Q812" s="347"/>
      <c r="R812" s="347"/>
      <c r="S812" s="347"/>
      <c r="T812" s="347"/>
      <c r="U812" s="347"/>
      <c r="V812" s="347"/>
      <c r="W812" s="347"/>
      <c r="X812" s="347"/>
      <c r="Y812" s="347"/>
      <c r="Z812" s="347"/>
      <c r="AA812" s="347"/>
      <c r="AB812" s="347"/>
      <c r="AC812" s="347"/>
      <c r="AD812" s="347"/>
      <c r="AE812" s="347"/>
      <c r="AF812" s="347"/>
      <c r="AG812" s="347"/>
      <c r="AH812" s="347"/>
      <c r="AI812" s="347"/>
      <c r="AJ812" s="347"/>
      <c r="AK812" s="347"/>
      <c r="AL812" s="347"/>
      <c r="AM812" s="347"/>
      <c r="AN812" s="347"/>
      <c r="AO812" s="351"/>
      <c r="AP812" s="351"/>
      <c r="AQ812" s="335"/>
      <c r="AR812" s="335"/>
      <c r="AS812" s="335"/>
      <c r="AT812" s="335"/>
      <c r="AU812" s="334"/>
      <c r="AV812" s="334"/>
      <c r="AW812" s="335"/>
      <c r="AX812" s="335"/>
      <c r="AY812" s="335"/>
      <c r="AZ812" s="335"/>
      <c r="BA812" s="335"/>
      <c r="BB812" s="335"/>
      <c r="BC812" s="335"/>
      <c r="BD812" s="335"/>
      <c r="BE812" s="335"/>
    </row>
    <row r="813" customFormat="false" ht="14.15" hidden="true" customHeight="true" outlineLevel="1" collapsed="false">
      <c r="A813" s="674" t="s">
        <v>2199</v>
      </c>
      <c r="B813" s="674"/>
      <c r="C813" s="674"/>
      <c r="D813" s="342"/>
      <c r="E813" s="355"/>
      <c r="F813" s="355"/>
      <c r="G813" s="355"/>
      <c r="H813" s="355"/>
      <c r="I813" s="629"/>
      <c r="J813" s="492"/>
      <c r="K813" s="658"/>
      <c r="L813" s="355"/>
      <c r="M813" s="355"/>
      <c r="N813" s="358"/>
      <c r="O813" s="358"/>
      <c r="P813" s="358"/>
      <c r="Q813" s="347"/>
      <c r="R813" s="347"/>
      <c r="S813" s="347"/>
      <c r="T813" s="347"/>
      <c r="U813" s="347"/>
      <c r="V813" s="347"/>
      <c r="W813" s="347"/>
      <c r="X813" s="347"/>
      <c r="Y813" s="347"/>
      <c r="Z813" s="347"/>
      <c r="AA813" s="347"/>
      <c r="AB813" s="347"/>
      <c r="AC813" s="347"/>
      <c r="AD813" s="347"/>
      <c r="AE813" s="347"/>
      <c r="AF813" s="347"/>
      <c r="AG813" s="347"/>
      <c r="AH813" s="347"/>
      <c r="AI813" s="347"/>
      <c r="AJ813" s="347"/>
      <c r="AK813" s="347"/>
      <c r="AL813" s="347"/>
      <c r="AM813" s="347"/>
      <c r="AN813" s="347"/>
      <c r="AO813" s="351"/>
      <c r="AP813" s="351"/>
      <c r="AQ813" s="335"/>
      <c r="AR813" s="335"/>
      <c r="AS813" s="335"/>
      <c r="AT813" s="335"/>
      <c r="AU813" s="334"/>
      <c r="AV813" s="334"/>
      <c r="AW813" s="335"/>
      <c r="AX813" s="335"/>
      <c r="AY813" s="335"/>
      <c r="AZ813" s="335"/>
      <c r="BA813" s="335"/>
      <c r="BB813" s="335"/>
      <c r="BC813" s="335"/>
      <c r="BD813" s="335"/>
      <c r="BE813" s="335"/>
    </row>
    <row r="814" customFormat="false" ht="14.15" hidden="true" customHeight="true" outlineLevel="1" collapsed="false">
      <c r="A814" s="525" t="s">
        <v>152</v>
      </c>
      <c r="B814" s="364" t="s">
        <v>1793</v>
      </c>
      <c r="C814" s="23" t="n">
        <v>3</v>
      </c>
      <c r="D814" s="342"/>
      <c r="E814" s="355"/>
      <c r="F814" s="355"/>
      <c r="G814" s="355"/>
      <c r="H814" s="355"/>
      <c r="I814" s="629"/>
      <c r="J814" s="492"/>
      <c r="K814" s="658"/>
      <c r="L814" s="355"/>
      <c r="M814" s="355"/>
      <c r="N814" s="358"/>
      <c r="O814" s="358"/>
      <c r="P814" s="358"/>
      <c r="Q814" s="347"/>
      <c r="R814" s="347"/>
      <c r="S814" s="347"/>
      <c r="T814" s="347"/>
      <c r="U814" s="347"/>
      <c r="V814" s="347"/>
      <c r="W814" s="347"/>
      <c r="X814" s="347"/>
      <c r="Y814" s="347"/>
      <c r="Z814" s="347"/>
      <c r="AA814" s="347"/>
      <c r="AB814" s="347"/>
      <c r="AC814" s="347"/>
      <c r="AD814" s="347"/>
      <c r="AE814" s="347"/>
      <c r="AF814" s="347"/>
      <c r="AG814" s="347"/>
      <c r="AH814" s="347"/>
      <c r="AI814" s="347"/>
      <c r="AJ814" s="347"/>
      <c r="AK814" s="347"/>
      <c r="AL814" s="347"/>
      <c r="AM814" s="347"/>
      <c r="AN814" s="347"/>
      <c r="AO814" s="351"/>
      <c r="AP814" s="351"/>
      <c r="AQ814" s="335"/>
      <c r="AR814" s="335"/>
      <c r="AS814" s="335"/>
      <c r="AT814" s="335"/>
      <c r="AU814" s="334"/>
      <c r="AV814" s="334"/>
      <c r="AW814" s="335"/>
      <c r="AX814" s="335"/>
      <c r="AY814" s="335"/>
      <c r="AZ814" s="335"/>
      <c r="BA814" s="335"/>
      <c r="BB814" s="335"/>
      <c r="BC814" s="335"/>
      <c r="BD814" s="335"/>
      <c r="BE814" s="335"/>
    </row>
    <row r="815" customFormat="false" ht="14.15" hidden="true" customHeight="true" outlineLevel="1" collapsed="false">
      <c r="A815" s="525" t="s">
        <v>152</v>
      </c>
      <c r="B815" s="364" t="s">
        <v>1793</v>
      </c>
      <c r="C815" s="23" t="n">
        <v>0</v>
      </c>
      <c r="D815" s="342"/>
      <c r="E815" s="355"/>
      <c r="F815" s="355"/>
      <c r="G815" s="355"/>
      <c r="H815" s="355"/>
      <c r="I815" s="629"/>
      <c r="J815" s="492"/>
      <c r="K815" s="658"/>
      <c r="L815" s="355"/>
      <c r="M815" s="355"/>
      <c r="N815" s="358"/>
      <c r="O815" s="358"/>
      <c r="P815" s="358"/>
      <c r="Q815" s="347"/>
      <c r="R815" s="347"/>
      <c r="S815" s="347"/>
      <c r="T815" s="347"/>
      <c r="U815" s="347"/>
      <c r="V815" s="347"/>
      <c r="W815" s="347"/>
      <c r="X815" s="347"/>
      <c r="Y815" s="347"/>
      <c r="Z815" s="347"/>
      <c r="AA815" s="347"/>
      <c r="AB815" s="347"/>
      <c r="AC815" s="347"/>
      <c r="AD815" s="347"/>
      <c r="AE815" s="347"/>
      <c r="AF815" s="347"/>
      <c r="AG815" s="347"/>
      <c r="AH815" s="347"/>
      <c r="AI815" s="347"/>
      <c r="AJ815" s="347"/>
      <c r="AK815" s="347"/>
      <c r="AL815" s="347"/>
      <c r="AM815" s="347"/>
      <c r="AN815" s="347"/>
      <c r="AO815" s="351"/>
      <c r="AP815" s="351"/>
      <c r="AQ815" s="335"/>
      <c r="AR815" s="335"/>
      <c r="AS815" s="335"/>
      <c r="AT815" s="335"/>
      <c r="AU815" s="334"/>
      <c r="AV815" s="334"/>
      <c r="AW815" s="335"/>
      <c r="AX815" s="335"/>
      <c r="AY815" s="335"/>
      <c r="AZ815" s="335"/>
      <c r="BA815" s="335"/>
      <c r="BB815" s="335"/>
      <c r="BC815" s="335"/>
      <c r="BD815" s="335"/>
      <c r="BE815" s="335"/>
    </row>
    <row r="816" customFormat="false" ht="14.15" hidden="true" customHeight="true" outlineLevel="1" collapsed="false">
      <c r="A816" s="525" t="s">
        <v>152</v>
      </c>
      <c r="B816" s="364" t="s">
        <v>1793</v>
      </c>
      <c r="C816" s="23" t="n">
        <v>0</v>
      </c>
      <c r="D816" s="342"/>
      <c r="E816" s="355"/>
      <c r="F816" s="355"/>
      <c r="G816" s="355"/>
      <c r="H816" s="355"/>
      <c r="I816" s="629"/>
      <c r="J816" s="492"/>
      <c r="K816" s="658"/>
      <c r="L816" s="355"/>
      <c r="M816" s="355"/>
      <c r="N816" s="358"/>
      <c r="O816" s="358"/>
      <c r="P816" s="358"/>
      <c r="Q816" s="347"/>
      <c r="R816" s="347"/>
      <c r="S816" s="347"/>
      <c r="T816" s="347"/>
      <c r="U816" s="347"/>
      <c r="V816" s="347"/>
      <c r="W816" s="347"/>
      <c r="X816" s="347"/>
      <c r="Y816" s="347"/>
      <c r="Z816" s="347"/>
      <c r="AA816" s="347"/>
      <c r="AB816" s="347"/>
      <c r="AC816" s="347"/>
      <c r="AD816" s="347"/>
      <c r="AE816" s="347"/>
      <c r="AF816" s="347"/>
      <c r="AG816" s="347"/>
      <c r="AH816" s="347"/>
      <c r="AI816" s="347"/>
      <c r="AJ816" s="347"/>
      <c r="AK816" s="347"/>
      <c r="AL816" s="347"/>
      <c r="AM816" s="347"/>
      <c r="AN816" s="347"/>
      <c r="AO816" s="351"/>
      <c r="AP816" s="351"/>
      <c r="AQ816" s="335"/>
      <c r="AR816" s="335"/>
      <c r="AS816" s="335"/>
      <c r="AT816" s="335"/>
      <c r="AU816" s="334"/>
      <c r="AV816" s="334"/>
      <c r="AW816" s="335"/>
      <c r="AX816" s="335"/>
      <c r="AY816" s="335"/>
      <c r="AZ816" s="335"/>
      <c r="BA816" s="335"/>
      <c r="BB816" s="335"/>
      <c r="BC816" s="335"/>
      <c r="BD816" s="335"/>
      <c r="BE816" s="335"/>
    </row>
    <row r="817" customFormat="false" ht="14.15" hidden="true" customHeight="true" outlineLevel="1" collapsed="false">
      <c r="A817" s="525" t="s">
        <v>152</v>
      </c>
      <c r="B817" s="364" t="s">
        <v>1793</v>
      </c>
      <c r="C817" s="23" t="n">
        <v>0</v>
      </c>
      <c r="D817" s="342"/>
      <c r="E817" s="355"/>
      <c r="F817" s="355"/>
      <c r="G817" s="355"/>
      <c r="H817" s="355"/>
      <c r="I817" s="629"/>
      <c r="J817" s="492"/>
      <c r="K817" s="658"/>
      <c r="L817" s="355"/>
      <c r="M817" s="355"/>
      <c r="N817" s="358"/>
      <c r="O817" s="358"/>
      <c r="P817" s="358"/>
      <c r="Q817" s="347"/>
      <c r="R817" s="347"/>
      <c r="S817" s="347"/>
      <c r="T817" s="347"/>
      <c r="U817" s="347"/>
      <c r="V817" s="347"/>
      <c r="W817" s="347"/>
      <c r="X817" s="347"/>
      <c r="Y817" s="347"/>
      <c r="Z817" s="347"/>
      <c r="AA817" s="347"/>
      <c r="AB817" s="347"/>
      <c r="AC817" s="347"/>
      <c r="AD817" s="347"/>
      <c r="AE817" s="347"/>
      <c r="AF817" s="347"/>
      <c r="AG817" s="347"/>
      <c r="AH817" s="347"/>
      <c r="AI817" s="347"/>
      <c r="AJ817" s="347"/>
      <c r="AK817" s="347"/>
      <c r="AL817" s="347"/>
      <c r="AM817" s="347"/>
      <c r="AN817" s="347"/>
      <c r="AO817" s="351"/>
      <c r="AP817" s="351"/>
      <c r="AQ817" s="335"/>
      <c r="AR817" s="335"/>
      <c r="AS817" s="335"/>
      <c r="AT817" s="335"/>
      <c r="AU817" s="334"/>
      <c r="AV817" s="334"/>
      <c r="AW817" s="335"/>
      <c r="AX817" s="335"/>
      <c r="AY817" s="335"/>
      <c r="AZ817" s="335"/>
      <c r="BA817" s="335"/>
      <c r="BB817" s="335"/>
      <c r="BC817" s="335"/>
      <c r="BD817" s="335"/>
      <c r="BE817" s="335"/>
    </row>
    <row r="818" customFormat="false" ht="14.15" hidden="true" customHeight="true" outlineLevel="1" collapsed="false">
      <c r="A818" s="525" t="s">
        <v>152</v>
      </c>
      <c r="B818" s="364" t="s">
        <v>1793</v>
      </c>
      <c r="C818" s="23" t="n">
        <v>0</v>
      </c>
      <c r="D818" s="342"/>
      <c r="E818" s="355"/>
      <c r="F818" s="355"/>
      <c r="G818" s="355"/>
      <c r="H818" s="355"/>
      <c r="I818" s="629"/>
      <c r="J818" s="492"/>
      <c r="K818" s="658"/>
      <c r="L818" s="355"/>
      <c r="M818" s="355"/>
      <c r="N818" s="358"/>
      <c r="O818" s="358"/>
      <c r="P818" s="358"/>
      <c r="Q818" s="347"/>
      <c r="R818" s="347"/>
      <c r="S818" s="347"/>
      <c r="T818" s="347"/>
      <c r="U818" s="347"/>
      <c r="V818" s="347"/>
      <c r="W818" s="347"/>
      <c r="X818" s="347"/>
      <c r="Y818" s="347"/>
      <c r="Z818" s="347"/>
      <c r="AA818" s="347"/>
      <c r="AB818" s="347"/>
      <c r="AC818" s="347"/>
      <c r="AD818" s="347"/>
      <c r="AE818" s="347"/>
      <c r="AF818" s="347"/>
      <c r="AG818" s="347"/>
      <c r="AH818" s="347"/>
      <c r="AI818" s="347"/>
      <c r="AJ818" s="347"/>
      <c r="AK818" s="347"/>
      <c r="AL818" s="347"/>
      <c r="AM818" s="347"/>
      <c r="AN818" s="347"/>
      <c r="AO818" s="351"/>
      <c r="AP818" s="351"/>
      <c r="AQ818" s="335"/>
      <c r="AR818" s="335"/>
      <c r="AS818" s="335"/>
      <c r="AT818" s="335"/>
      <c r="AU818" s="334"/>
      <c r="AV818" s="334"/>
      <c r="AW818" s="335"/>
      <c r="AX818" s="335"/>
      <c r="AY818" s="335"/>
      <c r="AZ818" s="335"/>
      <c r="BA818" s="335"/>
      <c r="BB818" s="335"/>
      <c r="BC818" s="335"/>
      <c r="BD818" s="335"/>
      <c r="BE818" s="335"/>
    </row>
    <row r="819" customFormat="false" ht="14.15" hidden="true" customHeight="true" outlineLevel="1" collapsed="false">
      <c r="A819" s="342"/>
      <c r="B819" s="429"/>
      <c r="C819" s="668"/>
      <c r="D819" s="342"/>
      <c r="E819" s="355"/>
      <c r="F819" s="355"/>
      <c r="G819" s="355"/>
      <c r="H819" s="355"/>
      <c r="I819" s="629"/>
      <c r="J819" s="492"/>
      <c r="K819" s="658"/>
      <c r="L819" s="355"/>
      <c r="M819" s="355"/>
      <c r="N819" s="358"/>
      <c r="O819" s="358"/>
      <c r="P819" s="358"/>
      <c r="Q819" s="347"/>
      <c r="R819" s="347"/>
      <c r="S819" s="347"/>
      <c r="T819" s="347"/>
      <c r="U819" s="347"/>
      <c r="V819" s="347"/>
      <c r="W819" s="347"/>
      <c r="X819" s="347"/>
      <c r="Y819" s="347"/>
      <c r="Z819" s="347"/>
      <c r="AA819" s="347"/>
      <c r="AB819" s="347"/>
      <c r="AC819" s="347"/>
      <c r="AD819" s="347"/>
      <c r="AE819" s="347"/>
      <c r="AF819" s="347"/>
      <c r="AG819" s="347"/>
      <c r="AH819" s="347"/>
      <c r="AI819" s="347"/>
      <c r="AJ819" s="347"/>
      <c r="AK819" s="347"/>
      <c r="AL819" s="347"/>
      <c r="AM819" s="347"/>
      <c r="AN819" s="347"/>
      <c r="AO819" s="351"/>
      <c r="AP819" s="351"/>
      <c r="AQ819" s="335"/>
      <c r="AR819" s="335"/>
      <c r="AS819" s="335"/>
      <c r="AT819" s="335"/>
      <c r="AU819" s="334"/>
      <c r="AV819" s="334"/>
      <c r="AW819" s="335"/>
      <c r="AX819" s="335"/>
      <c r="AY819" s="335"/>
      <c r="AZ819" s="335"/>
      <c r="BA819" s="335"/>
      <c r="BB819" s="335"/>
      <c r="BC819" s="335"/>
      <c r="BD819" s="335"/>
      <c r="BE819" s="335"/>
    </row>
    <row r="820" customFormat="false" ht="14.15" hidden="true" customHeight="true" outlineLevel="1" collapsed="false">
      <c r="A820" s="622" t="s">
        <v>2200</v>
      </c>
      <c r="B820" s="364" t="s">
        <v>1796</v>
      </c>
      <c r="C820" s="246" t="n">
        <v>12000</v>
      </c>
      <c r="D820" s="342"/>
      <c r="E820" s="355"/>
      <c r="F820" s="355"/>
      <c r="G820" s="355"/>
      <c r="H820" s="355"/>
      <c r="I820" s="629"/>
      <c r="J820" s="492"/>
      <c r="K820" s="658"/>
      <c r="L820" s="355"/>
      <c r="M820" s="355"/>
      <c r="N820" s="358"/>
      <c r="O820" s="358"/>
      <c r="P820" s="358"/>
      <c r="Q820" s="347"/>
      <c r="R820" s="347"/>
      <c r="S820" s="347"/>
      <c r="T820" s="347"/>
      <c r="U820" s="347"/>
      <c r="V820" s="347"/>
      <c r="W820" s="347"/>
      <c r="X820" s="347"/>
      <c r="Y820" s="347"/>
      <c r="Z820" s="347"/>
      <c r="AA820" s="347"/>
      <c r="AB820" s="347"/>
      <c r="AC820" s="347"/>
      <c r="AD820" s="347"/>
      <c r="AE820" s="347"/>
      <c r="AF820" s="347"/>
      <c r="AG820" s="347"/>
      <c r="AH820" s="347"/>
      <c r="AI820" s="347"/>
      <c r="AJ820" s="347"/>
      <c r="AK820" s="347"/>
      <c r="AL820" s="347"/>
      <c r="AM820" s="347"/>
      <c r="AN820" s="347"/>
      <c r="AO820" s="351"/>
      <c r="AP820" s="351"/>
      <c r="AQ820" s="335"/>
      <c r="AR820" s="335"/>
      <c r="AS820" s="335"/>
      <c r="AT820" s="335"/>
      <c r="AU820" s="334"/>
      <c r="AV820" s="334"/>
      <c r="AW820" s="335"/>
      <c r="AX820" s="335"/>
      <c r="AY820" s="335"/>
      <c r="AZ820" s="335"/>
      <c r="BA820" s="335"/>
      <c r="BB820" s="335"/>
      <c r="BC820" s="335"/>
      <c r="BD820" s="335"/>
      <c r="BE820" s="335"/>
    </row>
    <row r="821" customFormat="false" ht="14.15" hidden="true" customHeight="true" outlineLevel="1" collapsed="false">
      <c r="A821" s="342"/>
      <c r="B821" s="429"/>
      <c r="C821" s="668"/>
      <c r="D821" s="342"/>
      <c r="E821" s="355"/>
      <c r="F821" s="355"/>
      <c r="G821" s="355"/>
      <c r="H821" s="355"/>
      <c r="I821" s="629"/>
      <c r="J821" s="492"/>
      <c r="K821" s="658"/>
      <c r="L821" s="355"/>
      <c r="M821" s="355"/>
      <c r="N821" s="358"/>
      <c r="O821" s="358"/>
      <c r="P821" s="358"/>
      <c r="Q821" s="347"/>
      <c r="R821" s="347"/>
      <c r="S821" s="347"/>
      <c r="T821" s="347"/>
      <c r="U821" s="347"/>
      <c r="V821" s="347"/>
      <c r="W821" s="347"/>
      <c r="X821" s="347"/>
      <c r="Y821" s="347"/>
      <c r="Z821" s="347"/>
      <c r="AA821" s="347"/>
      <c r="AB821" s="347"/>
      <c r="AC821" s="347"/>
      <c r="AD821" s="347"/>
      <c r="AE821" s="347"/>
      <c r="AF821" s="347"/>
      <c r="AG821" s="347"/>
      <c r="AH821" s="347"/>
      <c r="AI821" s="347"/>
      <c r="AJ821" s="347"/>
      <c r="AK821" s="347"/>
      <c r="AL821" s="347"/>
      <c r="AM821" s="347"/>
      <c r="AN821" s="347"/>
      <c r="AO821" s="351"/>
      <c r="AP821" s="351"/>
      <c r="AQ821" s="335"/>
      <c r="AR821" s="335"/>
      <c r="AS821" s="335"/>
      <c r="AT821" s="335"/>
      <c r="AU821" s="334"/>
      <c r="AV821" s="334"/>
      <c r="AW821" s="335"/>
      <c r="AX821" s="335"/>
      <c r="AY821" s="335"/>
      <c r="AZ821" s="335"/>
      <c r="BA821" s="335"/>
      <c r="BB821" s="335"/>
      <c r="BC821" s="335"/>
      <c r="BD821" s="335"/>
      <c r="BE821" s="335"/>
    </row>
    <row r="822" customFormat="false" ht="14.15" hidden="false" customHeight="true" outlineLevel="0" collapsed="false">
      <c r="A822" s="645" t="s">
        <v>2201</v>
      </c>
      <c r="B822" s="645"/>
      <c r="C822" s="645"/>
      <c r="D822" s="645"/>
      <c r="E822" s="645"/>
      <c r="F822" s="631" t="s">
        <v>1798</v>
      </c>
      <c r="H822" s="625"/>
      <c r="I822" s="625"/>
      <c r="J822" s="625"/>
      <c r="K822" s="625"/>
      <c r="L822" s="625"/>
      <c r="M822" s="600"/>
      <c r="N822" s="600"/>
      <c r="O822" s="600"/>
      <c r="P822" s="559"/>
      <c r="Q822" s="358"/>
      <c r="R822" s="559"/>
      <c r="S822" s="358"/>
      <c r="T822" s="559"/>
      <c r="U822" s="559"/>
      <c r="V822" s="559"/>
      <c r="W822" s="347"/>
      <c r="X822" s="347"/>
      <c r="Y822" s="347"/>
      <c r="Z822" s="347"/>
      <c r="AA822" s="347"/>
      <c r="AB822" s="347"/>
      <c r="AC822" s="347"/>
      <c r="AD822" s="347"/>
      <c r="AE822" s="347"/>
      <c r="AF822" s="347"/>
      <c r="AG822" s="347"/>
      <c r="AH822" s="347"/>
      <c r="AI822" s="347"/>
      <c r="AJ822" s="347"/>
      <c r="AK822" s="347"/>
      <c r="AL822" s="347"/>
      <c r="AM822" s="347"/>
      <c r="AN822" s="347"/>
      <c r="AO822" s="351"/>
      <c r="AP822" s="351"/>
      <c r="AQ822" s="335"/>
      <c r="AR822" s="335"/>
      <c r="AS822" s="335"/>
      <c r="AT822" s="335"/>
      <c r="AU822" s="334"/>
      <c r="AV822" s="646" t="n">
        <f aca="false">M822</f>
        <v>0</v>
      </c>
      <c r="AW822" s="335"/>
      <c r="AX822" s="335"/>
      <c r="AY822" s="335"/>
      <c r="AZ822" s="335"/>
      <c r="BA822" s="335"/>
      <c r="BB822" s="335"/>
      <c r="BC822" s="335"/>
      <c r="BD822" s="335"/>
      <c r="BE822" s="335"/>
    </row>
    <row r="823" customFormat="false" ht="14.15" hidden="false" customHeight="true" outlineLevel="0" collapsed="false">
      <c r="A823" s="489"/>
      <c r="B823" s="348"/>
      <c r="C823" s="489"/>
      <c r="D823" s="489"/>
      <c r="E823" s="489"/>
      <c r="F823" s="489"/>
      <c r="G823" s="489"/>
      <c r="H823" s="348"/>
      <c r="I823" s="461"/>
      <c r="J823" s="492"/>
      <c r="K823" s="446"/>
      <c r="L823" s="446"/>
      <c r="M823" s="492"/>
      <c r="N823" s="358"/>
      <c r="O823" s="358"/>
      <c r="P823" s="358"/>
      <c r="Q823" s="358"/>
      <c r="R823" s="358"/>
      <c r="S823" s="358"/>
      <c r="T823" s="358"/>
      <c r="U823" s="347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  <c r="AF823" s="358"/>
      <c r="AG823" s="358"/>
      <c r="AH823" s="358"/>
      <c r="AI823" s="358"/>
      <c r="AJ823" s="358"/>
      <c r="AK823" s="358"/>
      <c r="AL823" s="358"/>
      <c r="AM823" s="358"/>
      <c r="AN823" s="358"/>
      <c r="AO823" s="359"/>
      <c r="AP823" s="359"/>
      <c r="AQ823" s="334"/>
      <c r="AR823" s="334"/>
      <c r="AS823" s="334"/>
      <c r="AT823" s="334"/>
      <c r="AU823" s="334"/>
      <c r="AV823" s="334"/>
      <c r="AW823" s="335"/>
      <c r="AX823" s="335"/>
      <c r="AY823" s="335"/>
      <c r="AZ823" s="335"/>
      <c r="BA823" s="335"/>
      <c r="BB823" s="335"/>
      <c r="BC823" s="335"/>
      <c r="BD823" s="335"/>
      <c r="BE823" s="335"/>
    </row>
    <row r="824" customFormat="false" ht="14.15" hidden="true" customHeight="true" outlineLevel="1" collapsed="false">
      <c r="A824" s="647" t="s">
        <v>2202</v>
      </c>
      <c r="B824" s="647"/>
      <c r="C824" s="647"/>
      <c r="D824" s="647"/>
      <c r="E824" s="647"/>
      <c r="F824" s="647"/>
      <c r="G824" s="647"/>
      <c r="H824" s="648"/>
      <c r="I824" s="648"/>
      <c r="J824" s="648"/>
      <c r="K824" s="648"/>
      <c r="L824" s="648"/>
      <c r="M824" s="648"/>
      <c r="N824" s="648"/>
      <c r="O824" s="648"/>
      <c r="P824" s="648"/>
      <c r="Q824" s="648"/>
      <c r="R824" s="648"/>
      <c r="S824" s="648"/>
      <c r="T824" s="648"/>
      <c r="U824" s="648"/>
      <c r="V824" s="675"/>
      <c r="W824" s="675"/>
      <c r="X824" s="675"/>
      <c r="Y824" s="675"/>
      <c r="Z824" s="675"/>
      <c r="AA824" s="675"/>
      <c r="AB824" s="675"/>
      <c r="AC824" s="675"/>
      <c r="AD824" s="675"/>
      <c r="AE824" s="675"/>
      <c r="AF824" s="675"/>
      <c r="AG824" s="652"/>
      <c r="AH824" s="652"/>
      <c r="AI824" s="652"/>
      <c r="AJ824" s="652"/>
      <c r="AK824" s="358"/>
      <c r="AL824" s="358"/>
      <c r="AM824" s="358"/>
      <c r="AN824" s="358"/>
      <c r="AO824" s="359"/>
      <c r="AP824" s="359"/>
      <c r="AQ824" s="334"/>
      <c r="AR824" s="334"/>
      <c r="AS824" s="334"/>
      <c r="AT824" s="334"/>
      <c r="AU824" s="334"/>
      <c r="AV824" s="334"/>
      <c r="AW824" s="335"/>
      <c r="AX824" s="335"/>
      <c r="AY824" s="335"/>
      <c r="AZ824" s="335"/>
      <c r="BA824" s="335"/>
      <c r="BB824" s="335"/>
      <c r="BC824" s="335"/>
      <c r="BD824" s="335"/>
      <c r="BE824" s="335"/>
    </row>
    <row r="825" customFormat="false" ht="14.15" hidden="true" customHeight="true" outlineLevel="1" collapsed="false">
      <c r="A825" s="647"/>
      <c r="B825" s="647"/>
      <c r="C825" s="647"/>
      <c r="D825" s="647"/>
      <c r="E825" s="647"/>
      <c r="F825" s="647"/>
      <c r="G825" s="647"/>
      <c r="H825" s="648"/>
      <c r="I825" s="648"/>
      <c r="J825" s="648"/>
      <c r="K825" s="648"/>
      <c r="L825" s="648"/>
      <c r="M825" s="648"/>
      <c r="N825" s="648"/>
      <c r="O825" s="648"/>
      <c r="P825" s="648"/>
      <c r="Q825" s="648"/>
      <c r="R825" s="648"/>
      <c r="S825" s="648"/>
      <c r="T825" s="648"/>
      <c r="U825" s="648"/>
      <c r="V825" s="675"/>
      <c r="W825" s="675"/>
      <c r="X825" s="675"/>
      <c r="Y825" s="675"/>
      <c r="Z825" s="675"/>
      <c r="AA825" s="675"/>
      <c r="AB825" s="675"/>
      <c r="AC825" s="675"/>
      <c r="AD825" s="675"/>
      <c r="AE825" s="675"/>
      <c r="AF825" s="675"/>
      <c r="AG825" s="652"/>
      <c r="AH825" s="652"/>
      <c r="AI825" s="652"/>
      <c r="AJ825" s="652"/>
      <c r="AK825" s="358"/>
      <c r="AL825" s="358"/>
      <c r="AM825" s="358"/>
      <c r="AN825" s="358"/>
      <c r="AO825" s="359"/>
      <c r="AP825" s="359"/>
      <c r="AQ825" s="334"/>
      <c r="AR825" s="334"/>
      <c r="AS825" s="334"/>
      <c r="AT825" s="334"/>
      <c r="AU825" s="334"/>
      <c r="AV825" s="334"/>
      <c r="AW825" s="335"/>
      <c r="AX825" s="335"/>
      <c r="AY825" s="335"/>
      <c r="AZ825" s="335"/>
      <c r="BA825" s="335"/>
      <c r="BB825" s="335"/>
      <c r="BC825" s="335"/>
      <c r="BD825" s="335"/>
      <c r="BE825" s="335"/>
    </row>
    <row r="826" customFormat="false" ht="14.15" hidden="true" customHeight="true" outlineLevel="1" collapsed="false">
      <c r="A826" s="494" t="s">
        <v>2087</v>
      </c>
      <c r="B826" s="494"/>
      <c r="C826" s="494"/>
      <c r="D826" s="494"/>
      <c r="E826" s="474" t="n">
        <v>1.1</v>
      </c>
      <c r="F826" s="676"/>
      <c r="G826" s="676"/>
      <c r="H826" s="676"/>
      <c r="I826" s="676"/>
      <c r="J826" s="676"/>
      <c r="K826" s="676"/>
      <c r="L826" s="676"/>
      <c r="M826" s="676"/>
      <c r="N826" s="676"/>
      <c r="O826" s="676"/>
      <c r="P826" s="676"/>
      <c r="Q826" s="676"/>
      <c r="R826" s="676"/>
      <c r="S826" s="676"/>
      <c r="T826" s="676"/>
      <c r="U826" s="676"/>
      <c r="V826" s="677"/>
      <c r="W826" s="677"/>
      <c r="X826" s="677"/>
      <c r="Y826" s="678"/>
      <c r="Z826" s="678"/>
      <c r="AA826" s="678"/>
      <c r="AB826" s="678"/>
      <c r="AC826" s="678"/>
      <c r="AD826" s="679"/>
      <c r="AE826" s="679"/>
      <c r="AF826" s="679"/>
      <c r="AG826" s="652"/>
      <c r="AH826" s="652"/>
      <c r="AI826" s="652"/>
      <c r="AJ826" s="652"/>
      <c r="AK826" s="358"/>
      <c r="AL826" s="358"/>
      <c r="AM826" s="358"/>
      <c r="AN826" s="358"/>
      <c r="AO826" s="359"/>
      <c r="AP826" s="359"/>
      <c r="AQ826" s="334"/>
      <c r="AR826" s="334"/>
      <c r="AS826" s="334"/>
      <c r="AT826" s="334"/>
      <c r="AU826" s="334"/>
      <c r="AV826" s="334"/>
      <c r="AW826" s="335"/>
      <c r="AX826" s="335"/>
      <c r="AY826" s="335"/>
      <c r="AZ826" s="335"/>
      <c r="BA826" s="335"/>
      <c r="BB826" s="335"/>
      <c r="BC826" s="335"/>
      <c r="BD826" s="335"/>
      <c r="BE826" s="335"/>
    </row>
    <row r="827" customFormat="false" ht="14.15" hidden="true" customHeight="true" outlineLevel="1" collapsed="false">
      <c r="A827" s="494" t="s">
        <v>2088</v>
      </c>
      <c r="B827" s="494"/>
      <c r="C827" s="494"/>
      <c r="D827" s="494"/>
      <c r="E827" s="474" t="n">
        <v>1.2</v>
      </c>
      <c r="F827" s="676"/>
      <c r="G827" s="676"/>
      <c r="H827" s="676"/>
      <c r="I827" s="676"/>
      <c r="J827" s="676"/>
      <c r="K827" s="676"/>
      <c r="L827" s="676"/>
      <c r="M827" s="676"/>
      <c r="N827" s="676"/>
      <c r="O827" s="676"/>
      <c r="P827" s="676"/>
      <c r="Q827" s="676"/>
      <c r="R827" s="676"/>
      <c r="S827" s="676"/>
      <c r="T827" s="676"/>
      <c r="U827" s="676"/>
      <c r="V827" s="677"/>
      <c r="W827" s="677"/>
      <c r="X827" s="677"/>
      <c r="Y827" s="678"/>
      <c r="Z827" s="678"/>
      <c r="AA827" s="678"/>
      <c r="AB827" s="678"/>
      <c r="AC827" s="678"/>
      <c r="AD827" s="679"/>
      <c r="AE827" s="679"/>
      <c r="AF827" s="679"/>
      <c r="AG827" s="652"/>
      <c r="AH827" s="652"/>
      <c r="AI827" s="652"/>
      <c r="AJ827" s="652"/>
      <c r="AK827" s="358"/>
      <c r="AL827" s="358"/>
      <c r="AM827" s="358"/>
      <c r="AN827" s="358"/>
      <c r="AO827" s="359"/>
      <c r="AP827" s="359"/>
      <c r="AQ827" s="334"/>
      <c r="AR827" s="334"/>
      <c r="AS827" s="334"/>
      <c r="AT827" s="334"/>
      <c r="AU827" s="334"/>
      <c r="AV827" s="334"/>
      <c r="AW827" s="335"/>
      <c r="AX827" s="335"/>
      <c r="AY827" s="335"/>
      <c r="AZ827" s="335"/>
      <c r="BA827" s="335"/>
      <c r="BB827" s="335"/>
      <c r="BC827" s="335"/>
      <c r="BD827" s="335"/>
      <c r="BE827" s="335"/>
    </row>
    <row r="828" customFormat="false" ht="14.15" hidden="true" customHeight="true" outlineLevel="1" collapsed="false">
      <c r="D828" s="358"/>
      <c r="F828" s="676"/>
      <c r="G828" s="676"/>
      <c r="H828" s="676"/>
      <c r="I828" s="676"/>
      <c r="J828" s="676"/>
      <c r="K828" s="676"/>
      <c r="L828" s="676"/>
      <c r="M828" s="676"/>
      <c r="N828" s="676"/>
      <c r="O828" s="676"/>
      <c r="P828" s="676"/>
      <c r="Q828" s="676"/>
      <c r="R828" s="676"/>
      <c r="S828" s="676"/>
      <c r="T828" s="676"/>
      <c r="U828" s="676"/>
      <c r="V828" s="677"/>
      <c r="W828" s="677"/>
      <c r="X828" s="677"/>
      <c r="Y828" s="678"/>
      <c r="Z828" s="678"/>
      <c r="AA828" s="678"/>
      <c r="AB828" s="678"/>
      <c r="AC828" s="678"/>
      <c r="AD828" s="679"/>
      <c r="AE828" s="679"/>
      <c r="AF828" s="679"/>
      <c r="AG828" s="652"/>
      <c r="AH828" s="652"/>
      <c r="AI828" s="652"/>
      <c r="AJ828" s="652"/>
      <c r="AK828" s="358"/>
      <c r="AL828" s="358"/>
      <c r="AM828" s="358"/>
      <c r="AN828" s="358"/>
      <c r="AO828" s="359"/>
      <c r="AP828" s="359"/>
      <c r="AQ828" s="334"/>
      <c r="AR828" s="334"/>
      <c r="AS828" s="334"/>
      <c r="AT828" s="334"/>
      <c r="AU828" s="334"/>
      <c r="AV828" s="334"/>
      <c r="AW828" s="335"/>
      <c r="AX828" s="335"/>
      <c r="AY828" s="335"/>
      <c r="AZ828" s="335"/>
      <c r="BA828" s="335"/>
      <c r="BB828" s="335"/>
      <c r="BC828" s="335"/>
      <c r="BD828" s="335"/>
      <c r="BE828" s="335"/>
    </row>
    <row r="829" customFormat="false" ht="14.15" hidden="true" customHeight="true" outlineLevel="1" collapsed="false">
      <c r="A829" s="513" t="s">
        <v>1236</v>
      </c>
      <c r="B829" s="425" t="s">
        <v>120</v>
      </c>
      <c r="C829" s="513" t="s">
        <v>1753</v>
      </c>
      <c r="D829" s="358"/>
      <c r="F829" s="676"/>
      <c r="G829" s="676"/>
      <c r="H829" s="358"/>
      <c r="I829" s="358"/>
      <c r="J829" s="371"/>
      <c r="K829" s="371"/>
      <c r="L829" s="371"/>
      <c r="M829" s="358"/>
      <c r="N829" s="358"/>
      <c r="O829" s="347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71"/>
      <c r="AE829" s="371"/>
      <c r="AF829" s="371"/>
      <c r="AG829" s="371"/>
      <c r="AH829" s="445"/>
      <c r="AI829" s="652"/>
      <c r="AJ829" s="652"/>
      <c r="AK829" s="358"/>
      <c r="AL829" s="358"/>
      <c r="AM829" s="358"/>
      <c r="AN829" s="358"/>
      <c r="AO829" s="359"/>
      <c r="AP829" s="359"/>
      <c r="AQ829" s="334"/>
      <c r="AR829" s="334"/>
      <c r="AS829" s="334"/>
      <c r="AT829" s="334"/>
      <c r="AU829" s="334"/>
      <c r="AV829" s="334"/>
      <c r="AW829" s="335"/>
      <c r="AX829" s="335"/>
      <c r="AY829" s="335"/>
      <c r="AZ829" s="335"/>
      <c r="BA829" s="335"/>
      <c r="BB829" s="335"/>
      <c r="BC829" s="335"/>
      <c r="BD829" s="335"/>
      <c r="BE829" s="335"/>
    </row>
    <row r="830" customFormat="false" ht="14.15" hidden="true" customHeight="true" outlineLevel="1" collapsed="false">
      <c r="A830" s="465" t="s">
        <v>134</v>
      </c>
      <c r="B830" s="425" t="s">
        <v>156</v>
      </c>
      <c r="C830" s="680" t="n">
        <v>0.6</v>
      </c>
      <c r="D830" s="358"/>
      <c r="F830" s="676"/>
      <c r="G830" s="676"/>
      <c r="H830" s="358"/>
      <c r="I830" s="358"/>
      <c r="J830" s="371"/>
      <c r="K830" s="371"/>
      <c r="L830" s="371"/>
      <c r="M830" s="358"/>
      <c r="N830" s="358"/>
      <c r="O830" s="347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71"/>
      <c r="AE830" s="371"/>
      <c r="AF830" s="371"/>
      <c r="AG830" s="371"/>
      <c r="AH830" s="445"/>
      <c r="AI830" s="652"/>
      <c r="AJ830" s="652"/>
      <c r="AK830" s="358"/>
      <c r="AL830" s="358"/>
      <c r="AM830" s="358"/>
      <c r="AN830" s="358"/>
      <c r="AO830" s="359"/>
      <c r="AP830" s="359"/>
      <c r="AQ830" s="334"/>
      <c r="AR830" s="334"/>
      <c r="AS830" s="334"/>
      <c r="AT830" s="334"/>
      <c r="AU830" s="334"/>
      <c r="AV830" s="334"/>
      <c r="AW830" s="335"/>
      <c r="AX830" s="335"/>
      <c r="AY830" s="335"/>
      <c r="AZ830" s="335"/>
      <c r="BA830" s="335"/>
      <c r="BB830" s="335"/>
      <c r="BC830" s="335"/>
      <c r="BD830" s="335"/>
      <c r="BE830" s="335"/>
    </row>
    <row r="831" customFormat="false" ht="14.15" hidden="true" customHeight="true" outlineLevel="1" collapsed="false">
      <c r="A831" s="681" t="s">
        <v>1093</v>
      </c>
      <c r="B831" s="425" t="s">
        <v>120</v>
      </c>
      <c r="C831" s="513" t="s">
        <v>853</v>
      </c>
      <c r="D831" s="358"/>
      <c r="F831" s="676"/>
      <c r="G831" s="676"/>
      <c r="H831" s="358"/>
      <c r="I831" s="358"/>
      <c r="J831" s="371"/>
      <c r="K831" s="371"/>
      <c r="L831" s="371"/>
      <c r="M831" s="358"/>
      <c r="N831" s="358"/>
      <c r="O831" s="347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71"/>
      <c r="AE831" s="371"/>
      <c r="AF831" s="371"/>
      <c r="AG831" s="371"/>
      <c r="AH831" s="445"/>
      <c r="AI831" s="652"/>
      <c r="AJ831" s="652"/>
      <c r="AK831" s="358"/>
      <c r="AL831" s="358"/>
      <c r="AM831" s="358"/>
      <c r="AN831" s="358"/>
      <c r="AO831" s="359"/>
      <c r="AP831" s="359"/>
      <c r="AQ831" s="334"/>
      <c r="AR831" s="334"/>
      <c r="AS831" s="334"/>
      <c r="AT831" s="334"/>
      <c r="AU831" s="334"/>
      <c r="AV831" s="334"/>
      <c r="AW831" s="335"/>
      <c r="AX831" s="335"/>
      <c r="AY831" s="335"/>
      <c r="AZ831" s="335"/>
      <c r="BA831" s="335"/>
      <c r="BB831" s="335"/>
      <c r="BC831" s="335"/>
      <c r="BD831" s="335"/>
      <c r="BE831" s="335"/>
    </row>
    <row r="832" customFormat="false" ht="14.15" hidden="true" customHeight="true" outlineLevel="1" collapsed="false">
      <c r="A832" s="682" t="s">
        <v>2203</v>
      </c>
      <c r="B832" s="683" t="s">
        <v>156</v>
      </c>
      <c r="C832" s="684" t="n">
        <v>4</v>
      </c>
      <c r="D832" s="358"/>
      <c r="F832" s="676"/>
      <c r="G832" s="676"/>
      <c r="H832" s="358"/>
      <c r="I832" s="358"/>
      <c r="J832" s="371"/>
      <c r="K832" s="371"/>
      <c r="L832" s="371"/>
      <c r="M832" s="358"/>
      <c r="N832" s="358"/>
      <c r="O832" s="347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  <c r="AF832" s="358"/>
      <c r="AG832" s="358"/>
      <c r="AH832" s="359"/>
      <c r="AI832" s="652"/>
      <c r="AJ832" s="652"/>
      <c r="AK832" s="358"/>
      <c r="AL832" s="358"/>
      <c r="AM832" s="358"/>
      <c r="AN832" s="358"/>
      <c r="AO832" s="359"/>
      <c r="AP832" s="359"/>
      <c r="AQ832" s="334"/>
      <c r="AR832" s="334"/>
      <c r="AS832" s="334"/>
      <c r="AT832" s="334"/>
      <c r="AU832" s="334"/>
      <c r="AV832" s="334"/>
      <c r="AW832" s="335"/>
      <c r="AX832" s="335"/>
      <c r="AY832" s="335"/>
      <c r="AZ832" s="335"/>
      <c r="BA832" s="335"/>
      <c r="BB832" s="335"/>
      <c r="BC832" s="335"/>
      <c r="BD832" s="335"/>
      <c r="BE832" s="335"/>
    </row>
    <row r="833" customFormat="false" ht="14.15" hidden="true" customHeight="true" outlineLevel="1" collapsed="false">
      <c r="A833" s="534" t="s">
        <v>2204</v>
      </c>
      <c r="B833" s="425" t="s">
        <v>156</v>
      </c>
      <c r="C833" s="474" t="n">
        <v>5</v>
      </c>
      <c r="D833" s="358"/>
      <c r="F833" s="676"/>
      <c r="G833" s="676"/>
      <c r="H833" s="358"/>
      <c r="I833" s="358"/>
      <c r="J833" s="371"/>
      <c r="K833" s="371"/>
      <c r="L833" s="371"/>
      <c r="M833" s="358"/>
      <c r="N833" s="358"/>
      <c r="O833" s="347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  <c r="AF833" s="358"/>
      <c r="AG833" s="358"/>
      <c r="AH833" s="351"/>
      <c r="AI833" s="652"/>
      <c r="AJ833" s="652"/>
      <c r="AK833" s="358"/>
      <c r="AL833" s="358"/>
      <c r="AM833" s="358"/>
      <c r="AN833" s="358"/>
      <c r="AO833" s="359"/>
      <c r="AP833" s="359"/>
      <c r="AQ833" s="334"/>
      <c r="AR833" s="334"/>
      <c r="AS833" s="334"/>
      <c r="AT833" s="334"/>
      <c r="AU833" s="334"/>
      <c r="AV833" s="334"/>
      <c r="AW833" s="335"/>
      <c r="AX833" s="335"/>
      <c r="AY833" s="335"/>
      <c r="AZ833" s="335"/>
      <c r="BA833" s="335"/>
      <c r="BB833" s="335"/>
      <c r="BC833" s="335"/>
      <c r="BD833" s="335"/>
      <c r="BE833" s="335"/>
    </row>
    <row r="834" customFormat="false" ht="14.15" hidden="true" customHeight="true" outlineLevel="1" collapsed="false">
      <c r="A834" s="534" t="s">
        <v>2205</v>
      </c>
      <c r="B834" s="425" t="s">
        <v>156</v>
      </c>
      <c r="C834" s="474" t="n">
        <v>3</v>
      </c>
      <c r="E834" s="347"/>
      <c r="F834" s="676"/>
      <c r="G834" s="676"/>
      <c r="H834" s="358"/>
      <c r="I834" s="358"/>
      <c r="J834" s="358"/>
      <c r="K834" s="358"/>
      <c r="L834" s="358"/>
      <c r="M834" s="358"/>
      <c r="N834" s="358"/>
      <c r="O834" s="347"/>
      <c r="P834" s="358"/>
      <c r="Q834" s="358"/>
      <c r="R834" s="358"/>
      <c r="S834" s="358"/>
      <c r="T834" s="358"/>
      <c r="U834" s="358"/>
      <c r="V834" s="347"/>
      <c r="W834" s="358"/>
      <c r="X834" s="358"/>
      <c r="Y834" s="358"/>
      <c r="Z834" s="358"/>
      <c r="AA834" s="358"/>
      <c r="AB834" s="358"/>
      <c r="AC834" s="358"/>
      <c r="AD834" s="358"/>
      <c r="AE834" s="358"/>
      <c r="AF834" s="358"/>
      <c r="AG834" s="358"/>
      <c r="AH834" s="359"/>
      <c r="AI834" s="652"/>
      <c r="AJ834" s="652"/>
      <c r="AK834" s="358"/>
      <c r="AL834" s="358"/>
      <c r="AM834" s="358"/>
      <c r="AN834" s="358"/>
      <c r="AO834" s="359"/>
      <c r="AP834" s="359"/>
      <c r="AQ834" s="334"/>
      <c r="AR834" s="334"/>
      <c r="AS834" s="334"/>
      <c r="AT834" s="334"/>
      <c r="AU834" s="334"/>
      <c r="AV834" s="334"/>
      <c r="AW834" s="335"/>
      <c r="AX834" s="335"/>
      <c r="AY834" s="335"/>
      <c r="AZ834" s="335"/>
      <c r="BA834" s="335"/>
      <c r="BB834" s="335"/>
      <c r="BC834" s="335"/>
      <c r="BD834" s="335"/>
      <c r="BE834" s="335"/>
    </row>
    <row r="835" customFormat="false" ht="14.15" hidden="true" customHeight="true" outlineLevel="1" collapsed="false">
      <c r="A835" s="681" t="s">
        <v>1093</v>
      </c>
      <c r="B835" s="425" t="s">
        <v>120</v>
      </c>
      <c r="C835" s="513" t="s">
        <v>853</v>
      </c>
      <c r="D835" s="513" t="s">
        <v>1802</v>
      </c>
      <c r="E835" s="347"/>
      <c r="F835" s="676"/>
      <c r="G835" s="676"/>
      <c r="H835" s="358"/>
      <c r="I835" s="358"/>
      <c r="J835" s="358"/>
      <c r="K835" s="358"/>
      <c r="L835" s="358"/>
      <c r="M835" s="358"/>
      <c r="N835" s="358"/>
      <c r="O835" s="347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47"/>
      <c r="AA835" s="358"/>
      <c r="AB835" s="358"/>
      <c r="AC835" s="358"/>
      <c r="AD835" s="358"/>
      <c r="AE835" s="358"/>
      <c r="AF835" s="358"/>
      <c r="AG835" s="358"/>
      <c r="AH835" s="359"/>
      <c r="AI835" s="652"/>
      <c r="AJ835" s="652"/>
      <c r="AK835" s="358"/>
      <c r="AL835" s="358"/>
      <c r="AM835" s="358"/>
      <c r="AN835" s="358"/>
      <c r="AO835" s="359"/>
      <c r="AP835" s="359"/>
      <c r="AQ835" s="334"/>
      <c r="AR835" s="334"/>
      <c r="AS835" s="334"/>
      <c r="AT835" s="334"/>
      <c r="AU835" s="334"/>
      <c r="AV835" s="334"/>
      <c r="AW835" s="335"/>
      <c r="AX835" s="335"/>
      <c r="AY835" s="335"/>
      <c r="AZ835" s="335"/>
      <c r="BA835" s="335"/>
      <c r="BB835" s="335"/>
      <c r="BC835" s="335"/>
      <c r="BD835" s="335"/>
      <c r="BE835" s="335"/>
    </row>
    <row r="836" customFormat="false" ht="14.15" hidden="true" customHeight="true" outlineLevel="1" collapsed="false">
      <c r="A836" s="560" t="s">
        <v>2206</v>
      </c>
      <c r="B836" s="425" t="s">
        <v>156</v>
      </c>
      <c r="C836" s="474" t="n">
        <v>3</v>
      </c>
      <c r="D836" s="474" t="n">
        <v>0</v>
      </c>
      <c r="E836" s="347"/>
      <c r="F836" s="676"/>
      <c r="G836" s="676"/>
      <c r="H836" s="358"/>
      <c r="I836" s="358"/>
      <c r="J836" s="358"/>
      <c r="K836" s="358"/>
      <c r="L836" s="358"/>
      <c r="M836" s="358"/>
      <c r="N836" s="358"/>
      <c r="O836" s="347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  <c r="AF836" s="358"/>
      <c r="AG836" s="358"/>
      <c r="AH836" s="359"/>
      <c r="AI836" s="652"/>
      <c r="AJ836" s="652"/>
      <c r="AK836" s="358"/>
      <c r="AL836" s="358"/>
      <c r="AM836" s="358"/>
      <c r="AN836" s="358"/>
      <c r="AO836" s="359"/>
      <c r="AP836" s="359"/>
      <c r="AQ836" s="334"/>
      <c r="AR836" s="334"/>
      <c r="AS836" s="334"/>
      <c r="AT836" s="334"/>
      <c r="AU836" s="334"/>
      <c r="AV836" s="334"/>
      <c r="AW836" s="335"/>
      <c r="AX836" s="335"/>
      <c r="AY836" s="335"/>
      <c r="AZ836" s="335"/>
      <c r="BA836" s="335"/>
      <c r="BB836" s="335"/>
      <c r="BC836" s="335"/>
      <c r="BD836" s="335"/>
      <c r="BE836" s="335"/>
    </row>
    <row r="837" customFormat="false" ht="14.15" hidden="true" customHeight="true" outlineLevel="1" collapsed="false">
      <c r="A837" s="560"/>
      <c r="B837" s="425" t="s">
        <v>156</v>
      </c>
      <c r="C837" s="474" t="n">
        <v>1</v>
      </c>
      <c r="D837" s="474" t="n">
        <v>0</v>
      </c>
      <c r="F837" s="676"/>
      <c r="G837" s="676"/>
      <c r="H837" s="358"/>
      <c r="I837" s="358"/>
      <c r="J837" s="358"/>
      <c r="K837" s="358"/>
      <c r="L837" s="358"/>
      <c r="M837" s="358"/>
      <c r="N837" s="358"/>
      <c r="O837" s="347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  <c r="AF837" s="358"/>
      <c r="AG837" s="358"/>
      <c r="AH837" s="359"/>
      <c r="AI837" s="652"/>
      <c r="AJ837" s="652"/>
      <c r="AK837" s="358"/>
      <c r="AL837" s="358"/>
      <c r="AM837" s="358"/>
      <c r="AN837" s="358"/>
      <c r="AO837" s="359"/>
      <c r="AP837" s="359"/>
      <c r="AQ837" s="334"/>
      <c r="AR837" s="334"/>
      <c r="AS837" s="334"/>
      <c r="AT837" s="334"/>
      <c r="AU837" s="334"/>
      <c r="AV837" s="334"/>
      <c r="AW837" s="335"/>
      <c r="AX837" s="335"/>
      <c r="AY837" s="335"/>
      <c r="AZ837" s="335"/>
      <c r="BA837" s="335"/>
      <c r="BB837" s="335"/>
      <c r="BC837" s="335"/>
      <c r="BD837" s="335"/>
      <c r="BE837" s="335"/>
    </row>
    <row r="838" customFormat="false" ht="14.15" hidden="true" customHeight="true" outlineLevel="1" collapsed="false">
      <c r="A838" s="560" t="s">
        <v>2207</v>
      </c>
      <c r="B838" s="425" t="s">
        <v>156</v>
      </c>
      <c r="C838" s="474" t="n">
        <v>0</v>
      </c>
      <c r="D838" s="474" t="n">
        <v>0</v>
      </c>
      <c r="F838" s="676"/>
      <c r="G838" s="676"/>
      <c r="H838" s="358"/>
      <c r="I838" s="358"/>
      <c r="J838" s="358"/>
      <c r="K838" s="358"/>
      <c r="L838" s="358"/>
      <c r="M838" s="358"/>
      <c r="N838" s="358"/>
      <c r="O838" s="347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  <c r="AF838" s="358"/>
      <c r="AG838" s="358"/>
      <c r="AH838" s="359"/>
      <c r="AI838" s="652"/>
      <c r="AJ838" s="652"/>
      <c r="AK838" s="358"/>
      <c r="AL838" s="358"/>
      <c r="AM838" s="358"/>
      <c r="AN838" s="358"/>
      <c r="AO838" s="359"/>
      <c r="AP838" s="359"/>
      <c r="AQ838" s="334"/>
      <c r="AR838" s="334"/>
      <c r="AS838" s="334"/>
      <c r="AT838" s="334"/>
      <c r="AU838" s="334"/>
      <c r="AV838" s="334"/>
      <c r="AW838" s="335"/>
      <c r="AX838" s="335"/>
      <c r="AY838" s="335"/>
      <c r="AZ838" s="335"/>
      <c r="BA838" s="335"/>
      <c r="BB838" s="335"/>
      <c r="BC838" s="335"/>
      <c r="BD838" s="335"/>
      <c r="BE838" s="335"/>
    </row>
    <row r="839" customFormat="false" ht="14.15" hidden="true" customHeight="true" outlineLevel="1" collapsed="false">
      <c r="A839" s="560"/>
      <c r="B839" s="425" t="s">
        <v>156</v>
      </c>
      <c r="C839" s="474" t="n">
        <v>0</v>
      </c>
      <c r="D839" s="474" t="n">
        <v>0</v>
      </c>
      <c r="F839" s="676"/>
      <c r="G839" s="676"/>
      <c r="H839" s="358"/>
      <c r="I839" s="358"/>
      <c r="J839" s="358"/>
      <c r="K839" s="358"/>
      <c r="L839" s="358"/>
      <c r="M839" s="358"/>
      <c r="N839" s="358"/>
      <c r="O839" s="347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47"/>
      <c r="AD839" s="358" t="s">
        <v>1868</v>
      </c>
      <c r="AE839" s="358"/>
      <c r="AF839" s="358"/>
      <c r="AG839" s="358"/>
      <c r="AH839" s="359"/>
      <c r="AI839" s="652"/>
      <c r="AJ839" s="652"/>
      <c r="AK839" s="358"/>
      <c r="AL839" s="358"/>
      <c r="AM839" s="358"/>
      <c r="AN839" s="358"/>
      <c r="AO839" s="359"/>
      <c r="AP839" s="359"/>
      <c r="AQ839" s="334"/>
      <c r="AR839" s="334"/>
      <c r="AS839" s="334"/>
      <c r="AT839" s="334"/>
      <c r="AU839" s="334"/>
      <c r="AV839" s="334"/>
      <c r="AW839" s="335"/>
      <c r="AX839" s="335"/>
      <c r="AY839" s="335"/>
      <c r="AZ839" s="335"/>
      <c r="BA839" s="335"/>
      <c r="BB839" s="335"/>
      <c r="BC839" s="335"/>
      <c r="BD839" s="335"/>
      <c r="BE839" s="335"/>
    </row>
    <row r="840" customFormat="false" ht="14.15" hidden="true" customHeight="true" outlineLevel="1" collapsed="false">
      <c r="A840" s="685" t="s">
        <v>2208</v>
      </c>
      <c r="B840" s="425" t="s">
        <v>120</v>
      </c>
      <c r="C840" s="425" t="s">
        <v>1800</v>
      </c>
      <c r="D840" s="425" t="s">
        <v>293</v>
      </c>
      <c r="E840" s="425" t="s">
        <v>1802</v>
      </c>
      <c r="F840" s="676"/>
      <c r="G840" s="676"/>
      <c r="H840" s="358"/>
      <c r="I840" s="358"/>
      <c r="J840" s="358"/>
      <c r="K840" s="358"/>
      <c r="L840" s="358"/>
      <c r="M840" s="358"/>
      <c r="N840" s="358"/>
      <c r="O840" s="347" t="s">
        <v>2209</v>
      </c>
      <c r="P840" s="358"/>
      <c r="Q840" s="347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  <c r="AF840" s="358"/>
      <c r="AG840" s="358"/>
      <c r="AH840" s="359"/>
      <c r="AI840" s="652"/>
      <c r="AJ840" s="652"/>
      <c r="AK840" s="358"/>
      <c r="AL840" s="358"/>
      <c r="AM840" s="358"/>
      <c r="AN840" s="358"/>
      <c r="AO840" s="359"/>
      <c r="AP840" s="359"/>
      <c r="AQ840" s="334"/>
      <c r="AR840" s="334"/>
      <c r="AS840" s="334"/>
      <c r="AT840" s="334"/>
      <c r="AU840" s="334"/>
      <c r="AV840" s="334"/>
      <c r="AW840" s="335"/>
      <c r="AX840" s="335"/>
      <c r="AY840" s="335"/>
      <c r="AZ840" s="335"/>
      <c r="BA840" s="335"/>
      <c r="BB840" s="335"/>
      <c r="BC840" s="335"/>
      <c r="BD840" s="335"/>
      <c r="BE840" s="335"/>
    </row>
    <row r="841" customFormat="false" ht="14.15" hidden="true" customHeight="true" outlineLevel="1" collapsed="false">
      <c r="A841" s="560" t="s">
        <v>2210</v>
      </c>
      <c r="B841" s="425" t="s">
        <v>156</v>
      </c>
      <c r="C841" s="495" t="n">
        <v>0</v>
      </c>
      <c r="D841" s="495" t="n">
        <v>0</v>
      </c>
      <c r="E841" s="495" t="n">
        <v>0</v>
      </c>
      <c r="F841" s="676"/>
      <c r="G841" s="676"/>
      <c r="H841" s="358"/>
      <c r="I841" s="358"/>
      <c r="J841" s="358"/>
      <c r="K841" s="358"/>
      <c r="L841" s="358"/>
      <c r="M841" s="358"/>
      <c r="N841" s="358"/>
      <c r="O841" s="347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  <c r="AF841" s="358"/>
      <c r="AG841" s="358"/>
      <c r="AH841" s="359"/>
      <c r="AI841" s="652"/>
      <c r="AJ841" s="652"/>
      <c r="AK841" s="358"/>
      <c r="AL841" s="358"/>
      <c r="AM841" s="358"/>
      <c r="AN841" s="358"/>
      <c r="AO841" s="359"/>
      <c r="AP841" s="359"/>
      <c r="AQ841" s="334"/>
      <c r="AR841" s="334"/>
      <c r="AS841" s="334"/>
      <c r="AT841" s="334"/>
      <c r="AU841" s="334"/>
      <c r="AV841" s="334"/>
      <c r="AW841" s="335"/>
      <c r="AX841" s="335"/>
      <c r="AY841" s="335"/>
      <c r="AZ841" s="335"/>
      <c r="BA841" s="335"/>
      <c r="BB841" s="335"/>
      <c r="BC841" s="335"/>
      <c r="BD841" s="335"/>
      <c r="BE841" s="335"/>
    </row>
    <row r="842" customFormat="false" ht="14.15" hidden="true" customHeight="true" outlineLevel="1" collapsed="false">
      <c r="A842" s="560"/>
      <c r="B842" s="425" t="s">
        <v>156</v>
      </c>
      <c r="C842" s="495" t="n">
        <v>0</v>
      </c>
      <c r="D842" s="495" t="n">
        <v>0</v>
      </c>
      <c r="E842" s="495" t="n">
        <v>0</v>
      </c>
      <c r="F842" s="676"/>
      <c r="G842" s="676"/>
      <c r="H842" s="358"/>
      <c r="I842" s="358"/>
      <c r="J842" s="358"/>
      <c r="K842" s="358"/>
      <c r="L842" s="358"/>
      <c r="M842" s="347"/>
      <c r="N842" s="347"/>
      <c r="O842" s="347"/>
      <c r="P842" s="347"/>
      <c r="Q842" s="347"/>
      <c r="R842" s="347"/>
      <c r="S842" s="347"/>
      <c r="T842" s="347"/>
      <c r="U842" s="347"/>
      <c r="V842" s="347"/>
      <c r="W842" s="347"/>
      <c r="X842" s="347"/>
      <c r="Y842" s="347"/>
      <c r="Z842" s="347"/>
      <c r="AA842" s="347"/>
      <c r="AB842" s="347"/>
      <c r="AC842" s="347"/>
      <c r="AD842" s="347"/>
      <c r="AE842" s="347"/>
      <c r="AF842" s="347"/>
      <c r="AG842" s="347"/>
      <c r="AH842" s="351"/>
      <c r="AI842" s="652"/>
      <c r="AJ842" s="652"/>
      <c r="AK842" s="358"/>
      <c r="AL842" s="358"/>
      <c r="AM842" s="358"/>
      <c r="AN842" s="358"/>
      <c r="AO842" s="359"/>
      <c r="AP842" s="359"/>
      <c r="AQ842" s="334"/>
      <c r="AR842" s="334"/>
      <c r="AS842" s="334"/>
      <c r="AT842" s="334"/>
      <c r="AU842" s="334"/>
      <c r="AV842" s="334"/>
      <c r="AW842" s="335"/>
      <c r="AX842" s="335"/>
      <c r="AY842" s="335"/>
      <c r="AZ842" s="335"/>
      <c r="BA842" s="335"/>
      <c r="BB842" s="335"/>
      <c r="BC842" s="335"/>
      <c r="BD842" s="335"/>
      <c r="BE842" s="335"/>
    </row>
    <row r="843" customFormat="false" ht="14.15" hidden="true" customHeight="true" outlineLevel="1" collapsed="false">
      <c r="A843" s="560"/>
      <c r="B843" s="425" t="s">
        <v>156</v>
      </c>
      <c r="C843" s="495" t="n">
        <v>0</v>
      </c>
      <c r="D843" s="495" t="n">
        <v>0</v>
      </c>
      <c r="E843" s="495" t="n">
        <v>0</v>
      </c>
      <c r="F843" s="676"/>
      <c r="G843" s="676"/>
      <c r="H843" s="358"/>
      <c r="I843" s="358"/>
      <c r="J843" s="358"/>
      <c r="K843" s="358"/>
      <c r="L843" s="358"/>
      <c r="M843" s="347"/>
      <c r="N843" s="347"/>
      <c r="O843" s="347"/>
      <c r="P843" s="347"/>
      <c r="Q843" s="347"/>
      <c r="R843" s="347"/>
      <c r="S843" s="347"/>
      <c r="T843" s="347"/>
      <c r="U843" s="347"/>
      <c r="V843" s="347"/>
      <c r="W843" s="347"/>
      <c r="X843" s="347"/>
      <c r="Y843" s="347"/>
      <c r="Z843" s="347"/>
      <c r="AA843" s="347"/>
      <c r="AB843" s="347"/>
      <c r="AC843" s="347"/>
      <c r="AD843" s="347"/>
      <c r="AE843" s="347"/>
      <c r="AF843" s="347"/>
      <c r="AG843" s="347"/>
      <c r="AH843" s="351"/>
      <c r="AI843" s="652"/>
      <c r="AJ843" s="652"/>
      <c r="AK843" s="358"/>
      <c r="AL843" s="358"/>
      <c r="AM843" s="358"/>
      <c r="AN843" s="358"/>
      <c r="AO843" s="359"/>
      <c r="AP843" s="359"/>
      <c r="AQ843" s="334"/>
      <c r="AR843" s="334"/>
      <c r="AS843" s="334"/>
      <c r="AT843" s="334"/>
      <c r="AU843" s="334"/>
      <c r="AV843" s="334"/>
      <c r="AW843" s="335"/>
      <c r="AX843" s="335"/>
      <c r="AY843" s="335"/>
      <c r="AZ843" s="335"/>
      <c r="BA843" s="335"/>
      <c r="BB843" s="335"/>
      <c r="BC843" s="335"/>
      <c r="BD843" s="335"/>
      <c r="BE843" s="335"/>
    </row>
    <row r="844" customFormat="false" ht="14.15" hidden="true" customHeight="true" outlineLevel="1" collapsed="false">
      <c r="A844" s="686" t="s">
        <v>2211</v>
      </c>
      <c r="B844" s="425" t="s">
        <v>156</v>
      </c>
      <c r="C844" s="495" t="n">
        <v>1</v>
      </c>
      <c r="D844" s="495" t="n">
        <v>2</v>
      </c>
      <c r="E844" s="495" t="n">
        <v>0</v>
      </c>
      <c r="F844" s="676"/>
      <c r="G844" s="676"/>
      <c r="H844" s="358"/>
      <c r="I844" s="358"/>
      <c r="J844" s="358"/>
      <c r="K844" s="358"/>
      <c r="L844" s="358"/>
      <c r="M844" s="347"/>
      <c r="N844" s="347"/>
      <c r="O844" s="347"/>
      <c r="P844" s="347"/>
      <c r="Q844" s="347"/>
      <c r="R844" s="347"/>
      <c r="S844" s="347"/>
      <c r="T844" s="347"/>
      <c r="U844" s="347"/>
      <c r="V844" s="347"/>
      <c r="W844" s="347"/>
      <c r="X844" s="347"/>
      <c r="Y844" s="347"/>
      <c r="Z844" s="347"/>
      <c r="AA844" s="347"/>
      <c r="AB844" s="347"/>
      <c r="AC844" s="347"/>
      <c r="AD844" s="347"/>
      <c r="AE844" s="347"/>
      <c r="AF844" s="347"/>
      <c r="AG844" s="347"/>
      <c r="AH844" s="351"/>
      <c r="AI844" s="652"/>
      <c r="AJ844" s="652"/>
      <c r="AK844" s="358"/>
      <c r="AL844" s="358"/>
      <c r="AM844" s="358"/>
      <c r="AN844" s="358"/>
      <c r="AO844" s="359"/>
      <c r="AP844" s="359"/>
      <c r="AQ844" s="334"/>
      <c r="AR844" s="334"/>
      <c r="AS844" s="334"/>
      <c r="AT844" s="334"/>
      <c r="AU844" s="334"/>
      <c r="AV844" s="334"/>
      <c r="AW844" s="335"/>
      <c r="AX844" s="335"/>
      <c r="AY844" s="335"/>
      <c r="AZ844" s="335"/>
      <c r="BA844" s="335"/>
      <c r="BB844" s="335"/>
      <c r="BC844" s="335"/>
      <c r="BD844" s="335"/>
      <c r="BE844" s="335"/>
    </row>
    <row r="845" customFormat="false" ht="14.15" hidden="true" customHeight="true" outlineLevel="1" collapsed="false">
      <c r="A845" s="686"/>
      <c r="B845" s="425" t="s">
        <v>156</v>
      </c>
      <c r="C845" s="495" t="n">
        <v>0</v>
      </c>
      <c r="D845" s="495" t="n">
        <v>2.7</v>
      </c>
      <c r="E845" s="495" t="n">
        <v>0</v>
      </c>
      <c r="F845" s="676"/>
      <c r="G845" s="676"/>
      <c r="H845" s="358"/>
      <c r="I845" s="358"/>
      <c r="J845" s="358"/>
      <c r="K845" s="358"/>
      <c r="L845" s="358"/>
      <c r="M845" s="358"/>
      <c r="N845" s="358"/>
      <c r="O845" s="347"/>
      <c r="P845" s="358"/>
      <c r="Q845" s="358"/>
      <c r="R845" s="358"/>
      <c r="S845" s="358"/>
      <c r="T845" s="358"/>
      <c r="U845" s="358"/>
      <c r="V845" s="452" t="s">
        <v>2212</v>
      </c>
      <c r="W845" s="452"/>
      <c r="X845" s="358"/>
      <c r="Y845" s="358"/>
      <c r="Z845" s="358"/>
      <c r="AA845" s="358"/>
      <c r="AB845" s="358"/>
      <c r="AC845" s="358"/>
      <c r="AD845" s="358"/>
      <c r="AE845" s="358"/>
      <c r="AF845" s="358"/>
      <c r="AG845" s="358"/>
      <c r="AH845" s="359"/>
      <c r="AI845" s="652"/>
      <c r="AJ845" s="652"/>
      <c r="AK845" s="358"/>
      <c r="AL845" s="358"/>
      <c r="AM845" s="358"/>
      <c r="AN845" s="358"/>
      <c r="AO845" s="359"/>
      <c r="AP845" s="359"/>
      <c r="AQ845" s="334"/>
      <c r="AR845" s="334"/>
      <c r="AS845" s="334"/>
      <c r="AT845" s="334"/>
      <c r="AU845" s="334"/>
      <c r="AV845" s="334"/>
      <c r="AW845" s="335"/>
      <c r="AX845" s="335"/>
      <c r="AY845" s="335"/>
      <c r="AZ845" s="335"/>
      <c r="BA845" s="335"/>
      <c r="BB845" s="335"/>
      <c r="BC845" s="335"/>
      <c r="BD845" s="335"/>
      <c r="BE845" s="335"/>
    </row>
    <row r="846" customFormat="false" ht="14.15" hidden="true" customHeight="true" outlineLevel="1" collapsed="false">
      <c r="A846" s="687" t="s">
        <v>2213</v>
      </c>
      <c r="B846" s="425" t="s">
        <v>156</v>
      </c>
      <c r="C846" s="474" t="n">
        <v>2</v>
      </c>
      <c r="D846" s="474" t="n">
        <v>2</v>
      </c>
      <c r="E846" s="474" t="n">
        <v>0</v>
      </c>
      <c r="F846" s="676"/>
      <c r="G846" s="676"/>
      <c r="H846" s="358"/>
      <c r="I846" s="358"/>
      <c r="J846" s="347"/>
      <c r="K846" s="347"/>
      <c r="L846" s="347"/>
      <c r="M846" s="358"/>
      <c r="N846" s="358"/>
      <c r="O846" s="347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  <c r="AF846" s="358"/>
      <c r="AG846" s="358"/>
      <c r="AH846" s="359"/>
      <c r="AI846" s="652"/>
      <c r="AJ846" s="652"/>
      <c r="AK846" s="358"/>
      <c r="AL846" s="358"/>
      <c r="AM846" s="358"/>
      <c r="AN846" s="358"/>
      <c r="AO846" s="359"/>
      <c r="AP846" s="359"/>
      <c r="AQ846" s="334"/>
      <c r="AR846" s="334"/>
      <c r="AS846" s="334"/>
      <c r="AT846" s="334"/>
      <c r="AU846" s="334"/>
      <c r="AV846" s="334"/>
      <c r="AW846" s="335"/>
      <c r="AX846" s="335"/>
      <c r="AY846" s="335"/>
      <c r="AZ846" s="335"/>
      <c r="BA846" s="335"/>
      <c r="BB846" s="335"/>
      <c r="BC846" s="335"/>
      <c r="BD846" s="335"/>
      <c r="BE846" s="335"/>
    </row>
    <row r="847" customFormat="false" ht="14.15" hidden="true" customHeight="true" outlineLevel="1" collapsed="false">
      <c r="B847" s="598"/>
      <c r="C847" s="676"/>
      <c r="D847" s="676"/>
      <c r="E847" s="676"/>
      <c r="F847" s="676"/>
      <c r="G847" s="676"/>
      <c r="H847" s="358"/>
      <c r="I847" s="358"/>
      <c r="J847" s="347"/>
      <c r="K847" s="347"/>
      <c r="L847" s="347"/>
      <c r="M847" s="347"/>
      <c r="N847" s="347"/>
      <c r="O847" s="347"/>
      <c r="P847" s="347"/>
      <c r="Q847" s="347"/>
      <c r="R847" s="347"/>
      <c r="S847" s="347"/>
      <c r="T847" s="347"/>
      <c r="U847" s="347"/>
      <c r="V847" s="347"/>
      <c r="W847" s="347"/>
      <c r="X847" s="347"/>
      <c r="Y847" s="347"/>
      <c r="Z847" s="347"/>
      <c r="AA847" s="347"/>
      <c r="AB847" s="347"/>
      <c r="AC847" s="347"/>
      <c r="AD847" s="347"/>
      <c r="AE847" s="347"/>
      <c r="AF847" s="347"/>
      <c r="AG847" s="347"/>
      <c r="AH847" s="351"/>
      <c r="AI847" s="652"/>
      <c r="AJ847" s="652"/>
      <c r="AK847" s="358"/>
      <c r="AL847" s="358"/>
      <c r="AM847" s="358"/>
      <c r="AN847" s="358"/>
      <c r="AO847" s="359"/>
      <c r="AP847" s="359"/>
      <c r="AQ847" s="334"/>
      <c r="AR847" s="334"/>
      <c r="AS847" s="334"/>
      <c r="AT847" s="334"/>
      <c r="AU847" s="334"/>
      <c r="AV847" s="334"/>
      <c r="AW847" s="335"/>
      <c r="AX847" s="335"/>
      <c r="AY847" s="335"/>
      <c r="AZ847" s="335"/>
      <c r="BA847" s="335"/>
      <c r="BB847" s="335"/>
      <c r="BC847" s="335"/>
      <c r="BD847" s="335"/>
      <c r="BE847" s="335"/>
    </row>
    <row r="848" customFormat="false" ht="14.15" hidden="true" customHeight="true" outlineLevel="1" collapsed="false">
      <c r="A848" s="358"/>
      <c r="B848" s="363"/>
      <c r="C848" s="357"/>
      <c r="D848" s="676"/>
      <c r="E848" s="676"/>
      <c r="F848" s="676"/>
      <c r="G848" s="676"/>
      <c r="H848" s="358"/>
      <c r="I848" s="358"/>
      <c r="J848" s="347"/>
      <c r="K848" s="347"/>
      <c r="L848" s="347"/>
      <c r="M848" s="347"/>
      <c r="N848" s="347"/>
      <c r="O848" s="347"/>
      <c r="P848" s="347"/>
      <c r="Q848" s="347"/>
      <c r="R848" s="347"/>
      <c r="S848" s="347"/>
      <c r="T848" s="347"/>
      <c r="U848" s="347"/>
      <c r="V848" s="347"/>
      <c r="W848" s="347"/>
      <c r="X848" s="347"/>
      <c r="Y848" s="347"/>
      <c r="Z848" s="347"/>
      <c r="AA848" s="347"/>
      <c r="AB848" s="347"/>
      <c r="AC848" s="347"/>
      <c r="AD848" s="347"/>
      <c r="AE848" s="347"/>
      <c r="AF848" s="347"/>
      <c r="AG848" s="347"/>
      <c r="AH848" s="351"/>
      <c r="AI848" s="652"/>
      <c r="AJ848" s="652"/>
      <c r="AK848" s="358"/>
      <c r="AL848" s="358"/>
      <c r="AM848" s="358"/>
      <c r="AN848" s="358"/>
      <c r="AO848" s="359"/>
      <c r="AP848" s="359"/>
      <c r="AQ848" s="334"/>
      <c r="AR848" s="334"/>
      <c r="AS848" s="334"/>
      <c r="AT848" s="334"/>
      <c r="AU848" s="334"/>
      <c r="AV848" s="334"/>
      <c r="AW848" s="335"/>
      <c r="AX848" s="335"/>
      <c r="AY848" s="335"/>
      <c r="AZ848" s="335"/>
      <c r="BA848" s="335"/>
      <c r="BB848" s="335"/>
      <c r="BC848" s="335"/>
      <c r="BD848" s="335"/>
      <c r="BE848" s="335"/>
    </row>
    <row r="849" customFormat="false" ht="14.15" hidden="true" customHeight="true" outlineLevel="1" collapsed="false">
      <c r="A849" s="688" t="str">
        <f aca="false">A830</f>
        <v>Блоки ФБС</v>
      </c>
      <c r="B849" s="689" t="s">
        <v>120</v>
      </c>
      <c r="C849" s="391"/>
      <c r="D849" s="676"/>
      <c r="E849" s="676"/>
      <c r="F849" s="676"/>
      <c r="G849" s="676"/>
      <c r="H849" s="358"/>
      <c r="I849" s="358"/>
      <c r="J849" s="347"/>
      <c r="K849" s="347"/>
      <c r="L849" s="347"/>
      <c r="M849" s="347"/>
      <c r="N849" s="347"/>
      <c r="O849" s="347"/>
      <c r="P849" s="347"/>
      <c r="Q849" s="347"/>
      <c r="R849" s="347"/>
      <c r="S849" s="347"/>
      <c r="T849" s="347"/>
      <c r="U849" s="347"/>
      <c r="V849" s="347"/>
      <c r="W849" s="347"/>
      <c r="X849" s="347"/>
      <c r="Y849" s="347"/>
      <c r="Z849" s="347"/>
      <c r="AA849" s="347"/>
      <c r="AB849" s="347"/>
      <c r="AC849" s="347"/>
      <c r="AD849" s="347"/>
      <c r="AE849" s="347"/>
      <c r="AF849" s="347"/>
      <c r="AG849" s="347"/>
      <c r="AH849" s="351"/>
      <c r="AI849" s="652"/>
      <c r="AJ849" s="652"/>
      <c r="AK849" s="358"/>
      <c r="AL849" s="358"/>
      <c r="AM849" s="358"/>
      <c r="AN849" s="358"/>
      <c r="AO849" s="359"/>
      <c r="AP849" s="359"/>
      <c r="AQ849" s="334"/>
      <c r="AR849" s="334"/>
      <c r="AS849" s="334"/>
      <c r="AT849" s="334"/>
      <c r="AU849" s="334"/>
      <c r="AV849" s="334"/>
      <c r="AW849" s="335"/>
      <c r="AX849" s="335"/>
      <c r="AY849" s="335"/>
      <c r="AZ849" s="335"/>
      <c r="BA849" s="335"/>
      <c r="BB849" s="335"/>
      <c r="BC849" s="335"/>
      <c r="BD849" s="335"/>
      <c r="BE849" s="335"/>
    </row>
    <row r="850" customFormat="false" ht="14.15" hidden="true" customHeight="true" outlineLevel="1" collapsed="false">
      <c r="A850" s="513" t="s">
        <v>2214</v>
      </c>
      <c r="B850" s="425" t="s">
        <v>1820</v>
      </c>
      <c r="C850" s="578" t="s">
        <v>1821</v>
      </c>
      <c r="D850" s="676"/>
      <c r="E850" s="676"/>
      <c r="F850" s="676"/>
      <c r="G850" s="676"/>
      <c r="H850" s="358"/>
      <c r="I850" s="358"/>
      <c r="J850" s="347"/>
      <c r="K850" s="347"/>
      <c r="L850" s="347"/>
      <c r="M850" s="347"/>
      <c r="N850" s="347"/>
      <c r="O850" s="347"/>
      <c r="P850" s="347"/>
      <c r="Q850" s="347"/>
      <c r="R850" s="347"/>
      <c r="S850" s="347"/>
      <c r="T850" s="347"/>
      <c r="U850" s="347"/>
      <c r="V850" s="347"/>
      <c r="W850" s="347"/>
      <c r="X850" s="347"/>
      <c r="Y850" s="347"/>
      <c r="Z850" s="347"/>
      <c r="AA850" s="347"/>
      <c r="AB850" s="347"/>
      <c r="AC850" s="347"/>
      <c r="AD850" s="347"/>
      <c r="AE850" s="347" t="s">
        <v>2215</v>
      </c>
      <c r="AF850" s="347"/>
      <c r="AG850" s="347"/>
      <c r="AH850" s="351"/>
      <c r="AI850" s="652"/>
      <c r="AJ850" s="652"/>
      <c r="AK850" s="358"/>
      <c r="AL850" s="358"/>
      <c r="AM850" s="358"/>
      <c r="AN850" s="358"/>
      <c r="AO850" s="359"/>
      <c r="AP850" s="359"/>
      <c r="AQ850" s="334"/>
      <c r="AR850" s="334"/>
      <c r="AS850" s="334"/>
      <c r="AT850" s="334"/>
      <c r="AU850" s="334"/>
      <c r="AV850" s="334"/>
      <c r="AW850" s="335"/>
      <c r="AX850" s="335"/>
      <c r="AY850" s="335"/>
      <c r="AZ850" s="335"/>
      <c r="BA850" s="335"/>
      <c r="BB850" s="335"/>
      <c r="BC850" s="335"/>
      <c r="BD850" s="335"/>
      <c r="BE850" s="335"/>
    </row>
    <row r="851" customFormat="false" ht="14.15" hidden="true" customHeight="true" outlineLevel="1" collapsed="false">
      <c r="A851" s="474" t="s">
        <v>2216</v>
      </c>
      <c r="B851" s="425" t="s">
        <v>156</v>
      </c>
      <c r="C851" s="377" t="n">
        <v>0.2</v>
      </c>
      <c r="D851" s="676"/>
      <c r="E851" s="676"/>
      <c r="F851" s="676"/>
      <c r="G851" s="676"/>
      <c r="H851" s="358"/>
      <c r="I851" s="358"/>
      <c r="J851" s="347"/>
      <c r="K851" s="347"/>
      <c r="L851" s="347"/>
      <c r="M851" s="347"/>
      <c r="N851" s="347" t="s">
        <v>2217</v>
      </c>
      <c r="O851" s="347"/>
      <c r="P851" s="347"/>
      <c r="Q851" s="347"/>
      <c r="R851" s="347"/>
      <c r="S851" s="347"/>
      <c r="T851" s="347"/>
      <c r="U851" s="347"/>
      <c r="V851" s="347"/>
      <c r="W851" s="347"/>
      <c r="X851" s="347"/>
      <c r="Y851" s="347"/>
      <c r="Z851" s="347"/>
      <c r="AA851" s="347"/>
      <c r="AB851" s="347"/>
      <c r="AC851" s="347"/>
      <c r="AD851" s="347"/>
      <c r="AE851" s="347"/>
      <c r="AF851" s="347"/>
      <c r="AG851" s="347"/>
      <c r="AH851" s="351"/>
      <c r="AI851" s="652"/>
      <c r="AJ851" s="652"/>
      <c r="AK851" s="358"/>
      <c r="AL851" s="358"/>
      <c r="AM851" s="358"/>
      <c r="AN851" s="358"/>
      <c r="AO851" s="359"/>
      <c r="AP851" s="359"/>
      <c r="AQ851" s="334"/>
      <c r="AR851" s="334"/>
      <c r="AS851" s="334"/>
      <c r="AT851" s="334"/>
      <c r="AU851" s="334"/>
      <c r="AV851" s="334"/>
      <c r="AW851" s="335"/>
      <c r="AX851" s="335"/>
      <c r="AY851" s="335"/>
      <c r="AZ851" s="335"/>
      <c r="BA851" s="335"/>
      <c r="BB851" s="335"/>
      <c r="BC851" s="335"/>
      <c r="BD851" s="335"/>
      <c r="BE851" s="335"/>
    </row>
    <row r="852" customFormat="false" ht="14.15" hidden="true" customHeight="true" outlineLevel="1" collapsed="false">
      <c r="A852" s="474" t="s">
        <v>2218</v>
      </c>
      <c r="B852" s="425" t="s">
        <v>159</v>
      </c>
      <c r="C852" s="377" t="n">
        <v>4</v>
      </c>
      <c r="D852" s="676"/>
      <c r="E852" s="676"/>
      <c r="F852" s="676"/>
      <c r="G852" s="676"/>
      <c r="H852" s="358"/>
      <c r="I852" s="358"/>
      <c r="J852" s="347"/>
      <c r="K852" s="347"/>
      <c r="L852" s="347"/>
      <c r="M852" s="347"/>
      <c r="N852" s="347"/>
      <c r="O852" s="347"/>
      <c r="P852" s="347"/>
      <c r="Q852" s="358"/>
      <c r="R852" s="347"/>
      <c r="S852" s="347"/>
      <c r="T852" s="347"/>
      <c r="U852" s="347"/>
      <c r="V852" s="347"/>
      <c r="W852" s="347"/>
      <c r="X852" s="347"/>
      <c r="Y852" s="347"/>
      <c r="Z852" s="347"/>
      <c r="AA852" s="347"/>
      <c r="AB852" s="358"/>
      <c r="AC852" s="347"/>
      <c r="AD852" s="347"/>
      <c r="AE852" s="347"/>
      <c r="AF852" s="347"/>
      <c r="AG852" s="347"/>
      <c r="AH852" s="351"/>
      <c r="AI852" s="652"/>
      <c r="AJ852" s="652"/>
      <c r="AK852" s="358"/>
      <c r="AL852" s="358"/>
      <c r="AM852" s="358"/>
      <c r="AN852" s="358"/>
      <c r="AO852" s="359"/>
      <c r="AP852" s="359"/>
      <c r="AQ852" s="334"/>
      <c r="AR852" s="334"/>
      <c r="AS852" s="334"/>
      <c r="AT852" s="334"/>
      <c r="AU852" s="334"/>
      <c r="AV852" s="334"/>
      <c r="AW852" s="335"/>
      <c r="AX852" s="335"/>
      <c r="AY852" s="335"/>
      <c r="AZ852" s="335"/>
      <c r="BA852" s="335"/>
      <c r="BB852" s="335"/>
      <c r="BC852" s="335"/>
      <c r="BD852" s="335"/>
      <c r="BE852" s="335"/>
    </row>
    <row r="853" customFormat="false" ht="14.15" hidden="true" customHeight="true" outlineLevel="1" collapsed="false">
      <c r="A853" s="474" t="s">
        <v>2219</v>
      </c>
      <c r="B853" s="425" t="s">
        <v>156</v>
      </c>
      <c r="C853" s="377" t="n">
        <v>0.4</v>
      </c>
      <c r="D853" s="676"/>
      <c r="E853" s="676"/>
      <c r="F853" s="676"/>
      <c r="G853" s="676"/>
      <c r="H853" s="358"/>
      <c r="I853" s="358"/>
      <c r="J853" s="347"/>
      <c r="K853" s="347"/>
      <c r="L853" s="347"/>
      <c r="M853" s="347"/>
      <c r="N853" s="347"/>
      <c r="O853" s="347"/>
      <c r="P853" s="347"/>
      <c r="Q853" s="347"/>
      <c r="R853" s="347"/>
      <c r="S853" s="347"/>
      <c r="T853" s="347"/>
      <c r="U853" s="347"/>
      <c r="V853" s="347"/>
      <c r="W853" s="347"/>
      <c r="X853" s="347"/>
      <c r="Y853" s="347"/>
      <c r="Z853" s="347"/>
      <c r="AA853" s="347"/>
      <c r="AB853" s="347"/>
      <c r="AC853" s="347"/>
      <c r="AD853" s="347"/>
      <c r="AE853" s="347"/>
      <c r="AF853" s="347"/>
      <c r="AG853" s="347"/>
      <c r="AH853" s="351"/>
      <c r="AI853" s="652"/>
      <c r="AJ853" s="652"/>
      <c r="AK853" s="358"/>
      <c r="AL853" s="358"/>
      <c r="AM853" s="358"/>
      <c r="AN853" s="358"/>
      <c r="AO853" s="359"/>
      <c r="AP853" s="359"/>
      <c r="AQ853" s="334"/>
      <c r="AR853" s="334"/>
      <c r="AS853" s="334"/>
      <c r="AT853" s="334"/>
      <c r="AU853" s="334"/>
      <c r="AV853" s="334"/>
      <c r="AW853" s="335"/>
      <c r="AX853" s="335"/>
      <c r="AY853" s="335"/>
      <c r="AZ853" s="335"/>
      <c r="BA853" s="335"/>
      <c r="BB853" s="335"/>
      <c r="BC853" s="335"/>
      <c r="BD853" s="335"/>
      <c r="BE853" s="335"/>
    </row>
    <row r="854" customFormat="false" ht="14.15" hidden="true" customHeight="true" outlineLevel="1" collapsed="false">
      <c r="A854" s="513" t="s">
        <v>2220</v>
      </c>
      <c r="B854" s="425" t="s">
        <v>120</v>
      </c>
      <c r="C854" s="391"/>
      <c r="D854" s="676"/>
      <c r="E854" s="676"/>
      <c r="F854" s="676"/>
      <c r="G854" s="676"/>
      <c r="H854" s="676"/>
      <c r="I854" s="676"/>
      <c r="J854" s="676"/>
      <c r="K854" s="676"/>
      <c r="L854" s="676"/>
      <c r="M854" s="676"/>
      <c r="N854" s="676"/>
      <c r="O854" s="676"/>
      <c r="P854" s="676"/>
      <c r="Q854" s="676"/>
      <c r="R854" s="676"/>
      <c r="S854" s="676"/>
      <c r="T854" s="676"/>
      <c r="U854" s="676"/>
      <c r="V854" s="677"/>
      <c r="W854" s="677"/>
      <c r="X854" s="677"/>
      <c r="Y854" s="678"/>
      <c r="Z854" s="678"/>
      <c r="AA854" s="678"/>
      <c r="AB854" s="678"/>
      <c r="AC854" s="678"/>
      <c r="AD854" s="679"/>
      <c r="AE854" s="679"/>
      <c r="AF854" s="679"/>
      <c r="AG854" s="652"/>
      <c r="AH854" s="652"/>
      <c r="AI854" s="652"/>
      <c r="AJ854" s="652"/>
      <c r="AK854" s="358"/>
      <c r="AL854" s="358"/>
      <c r="AM854" s="358"/>
      <c r="AN854" s="358"/>
      <c r="AO854" s="359"/>
      <c r="AP854" s="359"/>
      <c r="AQ854" s="334"/>
      <c r="AR854" s="334"/>
      <c r="AS854" s="334"/>
      <c r="AT854" s="334"/>
      <c r="AU854" s="334"/>
      <c r="AV854" s="334"/>
      <c r="AW854" s="335"/>
      <c r="AX854" s="335"/>
      <c r="AY854" s="335"/>
      <c r="AZ854" s="335"/>
      <c r="BA854" s="335"/>
      <c r="BB854" s="335"/>
      <c r="BC854" s="335"/>
      <c r="BD854" s="335"/>
      <c r="BE854" s="335"/>
    </row>
    <row r="855" customFormat="false" ht="14.15" hidden="true" customHeight="true" outlineLevel="1" collapsed="false">
      <c r="A855" s="474" t="s">
        <v>2221</v>
      </c>
      <c r="B855" s="425" t="s">
        <v>156</v>
      </c>
      <c r="C855" s="377" t="n">
        <v>0.05</v>
      </c>
      <c r="D855" s="676"/>
      <c r="E855" s="676"/>
      <c r="F855" s="676"/>
      <c r="G855" s="676"/>
      <c r="H855" s="676"/>
      <c r="I855" s="676"/>
      <c r="J855" s="676"/>
      <c r="K855" s="676"/>
      <c r="L855" s="676"/>
      <c r="M855" s="676"/>
      <c r="N855" s="676"/>
      <c r="O855" s="676"/>
      <c r="P855" s="676"/>
      <c r="Q855" s="676"/>
      <c r="R855" s="676"/>
      <c r="S855" s="676"/>
      <c r="T855" s="676"/>
      <c r="U855" s="676"/>
      <c r="V855" s="677"/>
      <c r="W855" s="677"/>
      <c r="X855" s="677"/>
      <c r="Y855" s="678"/>
      <c r="Z855" s="678"/>
      <c r="AA855" s="678"/>
      <c r="AB855" s="678"/>
      <c r="AC855" s="678"/>
      <c r="AD855" s="679"/>
      <c r="AE855" s="679"/>
      <c r="AF855" s="679"/>
      <c r="AG855" s="652"/>
      <c r="AH855" s="652"/>
      <c r="AI855" s="652"/>
      <c r="AJ855" s="652"/>
      <c r="AK855" s="358"/>
      <c r="AL855" s="358"/>
      <c r="AM855" s="358"/>
      <c r="AN855" s="358"/>
      <c r="AO855" s="359"/>
      <c r="AP855" s="359"/>
      <c r="AQ855" s="334"/>
      <c r="AR855" s="334"/>
      <c r="AS855" s="334"/>
      <c r="AT855" s="334"/>
      <c r="AU855" s="334"/>
      <c r="AV855" s="334"/>
      <c r="AW855" s="335"/>
      <c r="AX855" s="335"/>
      <c r="AY855" s="335"/>
      <c r="AZ855" s="335"/>
      <c r="BA855" s="335"/>
      <c r="BB855" s="335"/>
      <c r="BC855" s="335"/>
      <c r="BD855" s="335"/>
      <c r="BE855" s="335"/>
    </row>
    <row r="856" customFormat="false" ht="14.15" hidden="true" customHeight="true" outlineLevel="1" collapsed="false">
      <c r="A856" s="474" t="s">
        <v>2222</v>
      </c>
      <c r="B856" s="425" t="s">
        <v>156</v>
      </c>
      <c r="C856" s="377" t="n">
        <v>0.2</v>
      </c>
      <c r="D856" s="676"/>
      <c r="E856" s="676"/>
      <c r="F856" s="676"/>
      <c r="G856" s="676"/>
      <c r="H856" s="676"/>
      <c r="I856" s="676"/>
      <c r="J856" s="676"/>
      <c r="K856" s="676"/>
      <c r="L856" s="676"/>
      <c r="M856" s="676"/>
      <c r="N856" s="676"/>
      <c r="O856" s="676"/>
      <c r="P856" s="676"/>
      <c r="Q856" s="676"/>
      <c r="R856" s="676"/>
      <c r="S856" s="676"/>
      <c r="T856" s="676"/>
      <c r="U856" s="676"/>
      <c r="V856" s="677"/>
      <c r="W856" s="677"/>
      <c r="X856" s="677"/>
      <c r="Y856" s="678"/>
      <c r="Z856" s="678"/>
      <c r="AA856" s="678"/>
      <c r="AB856" s="678"/>
      <c r="AC856" s="678"/>
      <c r="AD856" s="679"/>
      <c r="AE856" s="679"/>
      <c r="AF856" s="679"/>
      <c r="AG856" s="652"/>
      <c r="AH856" s="652"/>
      <c r="AI856" s="652"/>
      <c r="AJ856" s="652"/>
      <c r="AK856" s="358"/>
      <c r="AL856" s="358"/>
      <c r="AM856" s="358"/>
      <c r="AN856" s="358"/>
      <c r="AO856" s="359"/>
      <c r="AP856" s="359"/>
      <c r="AQ856" s="334"/>
      <c r="AR856" s="334"/>
      <c r="AS856" s="334"/>
      <c r="AT856" s="334"/>
      <c r="AU856" s="334"/>
      <c r="AV856" s="334"/>
      <c r="AW856" s="335"/>
      <c r="AX856" s="335"/>
      <c r="AY856" s="335"/>
      <c r="AZ856" s="335"/>
      <c r="BA856" s="335"/>
      <c r="BB856" s="335"/>
      <c r="BC856" s="335"/>
      <c r="BD856" s="335"/>
      <c r="BE856" s="335"/>
    </row>
    <row r="857" customFormat="false" ht="14.15" hidden="true" customHeight="true" outlineLevel="1" collapsed="false">
      <c r="A857" s="474" t="s">
        <v>2223</v>
      </c>
      <c r="B857" s="425" t="s">
        <v>159</v>
      </c>
      <c r="C857" s="377" t="n">
        <v>2</v>
      </c>
      <c r="D857" s="676"/>
      <c r="E857" s="676"/>
      <c r="F857" s="676"/>
      <c r="G857" s="676"/>
      <c r="H857" s="676"/>
      <c r="I857" s="676"/>
      <c r="J857" s="676"/>
      <c r="K857" s="676"/>
      <c r="L857" s="676"/>
      <c r="M857" s="676"/>
      <c r="N857" s="676"/>
      <c r="O857" s="676"/>
      <c r="P857" s="676"/>
      <c r="Q857" s="676"/>
      <c r="R857" s="676"/>
      <c r="S857" s="676"/>
      <c r="T857" s="676"/>
      <c r="U857" s="676"/>
      <c r="V857" s="677"/>
      <c r="W857" s="677"/>
      <c r="X857" s="677"/>
      <c r="Y857" s="678"/>
      <c r="Z857" s="678"/>
      <c r="AA857" s="678"/>
      <c r="AB857" s="678"/>
      <c r="AC857" s="678"/>
      <c r="AD857" s="679"/>
      <c r="AE857" s="679"/>
      <c r="AF857" s="679"/>
      <c r="AG857" s="652"/>
      <c r="AH857" s="652"/>
      <c r="AI857" s="652"/>
      <c r="AJ857" s="652"/>
      <c r="AK857" s="358"/>
      <c r="AL857" s="358"/>
      <c r="AM857" s="358"/>
      <c r="AN857" s="358"/>
      <c r="AO857" s="359"/>
      <c r="AP857" s="359"/>
      <c r="AQ857" s="334"/>
      <c r="AR857" s="334"/>
      <c r="AS857" s="334"/>
      <c r="AT857" s="334"/>
      <c r="AU857" s="334"/>
      <c r="AV857" s="334"/>
      <c r="AW857" s="335"/>
      <c r="AX857" s="335"/>
      <c r="AY857" s="335"/>
      <c r="AZ857" s="335"/>
      <c r="BA857" s="335"/>
      <c r="BB857" s="335"/>
      <c r="BC857" s="335"/>
      <c r="BD857" s="335"/>
      <c r="BE857" s="335"/>
    </row>
    <row r="858" customFormat="false" ht="14.15" hidden="true" customHeight="true" outlineLevel="1" collapsed="false">
      <c r="A858" s="474" t="s">
        <v>2224</v>
      </c>
      <c r="B858" s="425" t="s">
        <v>154</v>
      </c>
      <c r="C858" s="690" t="n">
        <v>5</v>
      </c>
      <c r="D858" s="676"/>
      <c r="E858" s="676"/>
      <c r="F858" s="676"/>
      <c r="G858" s="676"/>
      <c r="H858" s="676"/>
      <c r="I858" s="676"/>
      <c r="J858" s="676"/>
      <c r="K858" s="676"/>
      <c r="L858" s="676"/>
      <c r="M858" s="676"/>
      <c r="N858" s="676"/>
      <c r="O858" s="676"/>
      <c r="P858" s="676"/>
      <c r="Q858" s="676"/>
      <c r="R858" s="676"/>
      <c r="S858" s="676"/>
      <c r="T858" s="676"/>
      <c r="U858" s="676"/>
      <c r="V858" s="677"/>
      <c r="W858" s="677"/>
      <c r="X858" s="677"/>
      <c r="Y858" s="678"/>
      <c r="Z858" s="678"/>
      <c r="AA858" s="678"/>
      <c r="AB858" s="678"/>
      <c r="AC858" s="678"/>
      <c r="AD858" s="679"/>
      <c r="AE858" s="679"/>
      <c r="AF858" s="679"/>
      <c r="AG858" s="652"/>
      <c r="AH858" s="652"/>
      <c r="AI858" s="652"/>
      <c r="AJ858" s="652"/>
      <c r="AK858" s="358"/>
      <c r="AL858" s="358"/>
      <c r="AM858" s="358"/>
      <c r="AN858" s="358"/>
      <c r="AO858" s="359"/>
      <c r="AP858" s="359"/>
      <c r="AQ858" s="334"/>
      <c r="AR858" s="334"/>
      <c r="AS858" s="334"/>
      <c r="AT858" s="334"/>
      <c r="AU858" s="334"/>
      <c r="AV858" s="334"/>
      <c r="AW858" s="335"/>
      <c r="AX858" s="335"/>
      <c r="AY858" s="335"/>
      <c r="AZ858" s="335"/>
      <c r="BA858" s="335"/>
      <c r="BB858" s="335"/>
      <c r="BC858" s="335"/>
      <c r="BD858" s="335"/>
      <c r="BE858" s="335"/>
    </row>
    <row r="859" customFormat="false" ht="14.15" hidden="true" customHeight="true" outlineLevel="1" collapsed="false">
      <c r="A859" s="513" t="s">
        <v>2225</v>
      </c>
      <c r="B859" s="425" t="s">
        <v>1820</v>
      </c>
      <c r="C859" s="578" t="s">
        <v>1821</v>
      </c>
      <c r="D859" s="676"/>
      <c r="E859" s="676"/>
      <c r="F859" s="676"/>
      <c r="G859" s="676"/>
      <c r="H859" s="676"/>
      <c r="I859" s="676"/>
      <c r="J859" s="676"/>
      <c r="K859" s="676"/>
      <c r="L859" s="676"/>
      <c r="M859" s="676"/>
      <c r="N859" s="676"/>
      <c r="O859" s="676"/>
      <c r="P859" s="676"/>
      <c r="Q859" s="676"/>
      <c r="R859" s="676"/>
      <c r="S859" s="676"/>
      <c r="T859" s="676"/>
      <c r="U859" s="676"/>
      <c r="V859" s="677"/>
      <c r="W859" s="677"/>
      <c r="X859" s="677"/>
      <c r="Y859" s="678"/>
      <c r="Z859" s="678"/>
      <c r="AA859" s="678"/>
      <c r="AB859" s="678"/>
      <c r="AC859" s="678"/>
      <c r="AD859" s="679"/>
      <c r="AE859" s="679"/>
      <c r="AF859" s="679"/>
      <c r="AG859" s="652"/>
      <c r="AH859" s="652"/>
      <c r="AI859" s="652"/>
      <c r="AJ859" s="652"/>
      <c r="AK859" s="358"/>
      <c r="AL859" s="358"/>
      <c r="AM859" s="358"/>
      <c r="AN859" s="358"/>
      <c r="AO859" s="359"/>
      <c r="AP859" s="359"/>
      <c r="AQ859" s="334"/>
      <c r="AR859" s="334"/>
      <c r="AS859" s="334"/>
      <c r="AT859" s="334"/>
      <c r="AU859" s="334"/>
      <c r="AV859" s="334"/>
      <c r="AW859" s="335"/>
      <c r="AX859" s="335"/>
      <c r="AY859" s="335"/>
      <c r="AZ859" s="335"/>
      <c r="BA859" s="335"/>
      <c r="BB859" s="335"/>
      <c r="BC859" s="335"/>
      <c r="BD859" s="335"/>
      <c r="BE859" s="335"/>
    </row>
    <row r="860" customFormat="false" ht="14.15" hidden="true" customHeight="true" outlineLevel="1" collapsed="false">
      <c r="A860" s="265" t="s">
        <v>1172</v>
      </c>
      <c r="B860" s="404" t="s">
        <v>154</v>
      </c>
      <c r="C860" s="264" t="n">
        <v>5</v>
      </c>
      <c r="D860" s="676"/>
      <c r="E860" s="676"/>
      <c r="F860" s="676"/>
      <c r="G860" s="676"/>
      <c r="H860" s="676"/>
      <c r="I860" s="676"/>
      <c r="J860" s="676"/>
      <c r="K860" s="676"/>
      <c r="L860" s="676"/>
      <c r="M860" s="676"/>
      <c r="N860" s="676"/>
      <c r="O860" s="676"/>
      <c r="P860" s="676"/>
      <c r="Q860" s="676"/>
      <c r="R860" s="676"/>
      <c r="S860" s="676"/>
      <c r="T860" s="676"/>
      <c r="U860" s="676"/>
      <c r="V860" s="677"/>
      <c r="W860" s="677"/>
      <c r="X860" s="677"/>
      <c r="Y860" s="678"/>
      <c r="Z860" s="678"/>
      <c r="AA860" s="678"/>
      <c r="AB860" s="678"/>
      <c r="AC860" s="678"/>
      <c r="AD860" s="679"/>
      <c r="AE860" s="679"/>
      <c r="AF860" s="679"/>
      <c r="AG860" s="652"/>
      <c r="AH860" s="652"/>
      <c r="AI860" s="652"/>
      <c r="AJ860" s="652"/>
      <c r="AK860" s="358"/>
      <c r="AL860" s="358"/>
      <c r="AM860" s="358"/>
      <c r="AN860" s="358"/>
      <c r="AO860" s="359"/>
      <c r="AP860" s="359"/>
      <c r="AQ860" s="334"/>
      <c r="AR860" s="334"/>
      <c r="AS860" s="334"/>
      <c r="AT860" s="334"/>
      <c r="AU860" s="334"/>
      <c r="AV860" s="334"/>
      <c r="AW860" s="335"/>
      <c r="AX860" s="335"/>
      <c r="AY860" s="335"/>
      <c r="AZ860" s="335"/>
      <c r="BA860" s="335"/>
      <c r="BB860" s="335"/>
      <c r="BC860" s="335"/>
      <c r="BD860" s="335"/>
      <c r="BE860" s="335"/>
    </row>
    <row r="861" customFormat="false" ht="14.15" hidden="true" customHeight="true" outlineLevel="1" collapsed="false">
      <c r="A861" s="265" t="s">
        <v>2226</v>
      </c>
      <c r="B861" s="404" t="s">
        <v>156</v>
      </c>
      <c r="C861" s="264" t="n">
        <v>0.4</v>
      </c>
      <c r="D861" s="676"/>
      <c r="E861" s="676"/>
      <c r="F861" s="676"/>
      <c r="G861" s="676"/>
      <c r="H861" s="676"/>
      <c r="I861" s="676"/>
      <c r="J861" s="676"/>
      <c r="K861" s="676"/>
      <c r="L861" s="676"/>
      <c r="M861" s="676"/>
      <c r="N861" s="676"/>
      <c r="O861" s="676"/>
      <c r="P861" s="676"/>
      <c r="Q861" s="676"/>
      <c r="R861" s="676"/>
      <c r="S861" s="676"/>
      <c r="T861" s="676"/>
      <c r="U861" s="676"/>
      <c r="V861" s="677"/>
      <c r="W861" s="677"/>
      <c r="X861" s="677"/>
      <c r="Y861" s="678"/>
      <c r="Z861" s="678"/>
      <c r="AA861" s="678"/>
      <c r="AB861" s="678"/>
      <c r="AC861" s="678"/>
      <c r="AD861" s="679"/>
      <c r="AE861" s="679"/>
      <c r="AF861" s="679"/>
      <c r="AG861" s="652"/>
      <c r="AH861" s="652"/>
      <c r="AI861" s="652"/>
      <c r="AJ861" s="652"/>
      <c r="AK861" s="358"/>
      <c r="AL861" s="358"/>
      <c r="AM861" s="358"/>
      <c r="AN861" s="358"/>
      <c r="AO861" s="359"/>
      <c r="AP861" s="359"/>
      <c r="AQ861" s="334"/>
      <c r="AR861" s="334"/>
      <c r="AS861" s="334"/>
      <c r="AT861" s="334"/>
      <c r="AU861" s="334"/>
      <c r="AV861" s="334"/>
      <c r="AW861" s="335"/>
      <c r="AX861" s="335"/>
      <c r="AY861" s="335"/>
      <c r="AZ861" s="335"/>
      <c r="BA861" s="335"/>
      <c r="BB861" s="335"/>
      <c r="BC861" s="335"/>
      <c r="BD861" s="335"/>
      <c r="BE861" s="335"/>
    </row>
    <row r="862" customFormat="false" ht="14.15" hidden="true" customHeight="true" outlineLevel="1" collapsed="false">
      <c r="A862" s="265" t="s">
        <v>2149</v>
      </c>
      <c r="B862" s="404" t="s">
        <v>156</v>
      </c>
      <c r="C862" s="264" t="n">
        <v>0.4</v>
      </c>
      <c r="D862" s="676"/>
      <c r="E862" s="676"/>
      <c r="F862" s="676"/>
      <c r="G862" s="676"/>
      <c r="H862" s="676"/>
      <c r="I862" s="676"/>
      <c r="J862" s="676"/>
      <c r="K862" s="676"/>
      <c r="L862" s="676"/>
      <c r="M862" s="676"/>
      <c r="N862" s="676"/>
      <c r="O862" s="676"/>
      <c r="P862" s="676"/>
      <c r="Q862" s="676"/>
      <c r="R862" s="676"/>
      <c r="S862" s="676"/>
      <c r="T862" s="676"/>
      <c r="U862" s="676"/>
      <c r="V862" s="677"/>
      <c r="W862" s="677"/>
      <c r="X862" s="677"/>
      <c r="Y862" s="678"/>
      <c r="Z862" s="678"/>
      <c r="AA862" s="678"/>
      <c r="AB862" s="678"/>
      <c r="AC862" s="678"/>
      <c r="AD862" s="679"/>
      <c r="AE862" s="679"/>
      <c r="AF862" s="679"/>
      <c r="AG862" s="652"/>
      <c r="AH862" s="652"/>
      <c r="AI862" s="652"/>
      <c r="AJ862" s="652"/>
      <c r="AK862" s="358"/>
      <c r="AL862" s="358"/>
      <c r="AM862" s="358"/>
      <c r="AN862" s="358"/>
      <c r="AO862" s="359"/>
      <c r="AP862" s="359"/>
      <c r="AQ862" s="334"/>
      <c r="AR862" s="334"/>
      <c r="AS862" s="334"/>
      <c r="AT862" s="334"/>
      <c r="AU862" s="334"/>
      <c r="AV862" s="334"/>
      <c r="AW862" s="335"/>
      <c r="AX862" s="335"/>
      <c r="AY862" s="335"/>
      <c r="AZ862" s="335"/>
      <c r="BA862" s="335"/>
      <c r="BB862" s="335"/>
      <c r="BC862" s="335"/>
      <c r="BD862" s="335"/>
      <c r="BE862" s="335"/>
    </row>
    <row r="863" customFormat="false" ht="14.15" hidden="true" customHeight="true" outlineLevel="1" collapsed="false">
      <c r="A863" s="265" t="s">
        <v>2150</v>
      </c>
      <c r="B863" s="404" t="s">
        <v>156</v>
      </c>
      <c r="C863" s="264" t="n">
        <v>0.2</v>
      </c>
      <c r="D863" s="676"/>
      <c r="E863" s="676"/>
      <c r="F863" s="676"/>
      <c r="G863" s="676"/>
      <c r="H863" s="676"/>
      <c r="I863" s="676"/>
      <c r="J863" s="676"/>
      <c r="K863" s="676"/>
      <c r="L863" s="676"/>
      <c r="M863" s="676"/>
      <c r="N863" s="676"/>
      <c r="O863" s="676"/>
      <c r="P863" s="676"/>
      <c r="Q863" s="676"/>
      <c r="R863" s="676"/>
      <c r="S863" s="676"/>
      <c r="T863" s="676"/>
      <c r="U863" s="676"/>
      <c r="V863" s="677"/>
      <c r="W863" s="677"/>
      <c r="X863" s="677"/>
      <c r="Y863" s="678"/>
      <c r="Z863" s="678"/>
      <c r="AA863" s="678"/>
      <c r="AB863" s="678"/>
      <c r="AC863" s="678"/>
      <c r="AD863" s="679"/>
      <c r="AE863" s="679"/>
      <c r="AF863" s="679"/>
      <c r="AG863" s="652"/>
      <c r="AH863" s="652"/>
      <c r="AI863" s="652"/>
      <c r="AJ863" s="652"/>
      <c r="AK863" s="358"/>
      <c r="AL863" s="358"/>
      <c r="AM863" s="358"/>
      <c r="AN863" s="358"/>
      <c r="AO863" s="359"/>
      <c r="AP863" s="359"/>
      <c r="AQ863" s="334"/>
      <c r="AR863" s="334"/>
      <c r="AS863" s="334"/>
      <c r="AT863" s="334"/>
      <c r="AU863" s="334"/>
      <c r="AV863" s="334"/>
      <c r="AW863" s="335"/>
      <c r="AX863" s="335"/>
      <c r="AY863" s="335"/>
      <c r="AZ863" s="335"/>
      <c r="BA863" s="335"/>
      <c r="BB863" s="335"/>
      <c r="BC863" s="335"/>
      <c r="BD863" s="335"/>
      <c r="BE863" s="335"/>
    </row>
    <row r="864" customFormat="false" ht="14.15" hidden="true" customHeight="true" outlineLevel="1" collapsed="false">
      <c r="A864" s="265" t="s">
        <v>2151</v>
      </c>
      <c r="B864" s="404" t="s">
        <v>156</v>
      </c>
      <c r="C864" s="264" t="n">
        <v>0.3</v>
      </c>
      <c r="D864" s="676"/>
      <c r="E864" s="676"/>
      <c r="F864" s="676"/>
      <c r="G864" s="676"/>
      <c r="H864" s="676"/>
      <c r="I864" s="676"/>
      <c r="J864" s="676"/>
      <c r="K864" s="676"/>
      <c r="L864" s="676"/>
      <c r="M864" s="676"/>
      <c r="N864" s="676"/>
      <c r="O864" s="676"/>
      <c r="P864" s="676"/>
      <c r="Q864" s="676"/>
      <c r="R864" s="676"/>
      <c r="S864" s="676"/>
      <c r="T864" s="676"/>
      <c r="U864" s="676"/>
      <c r="V864" s="677"/>
      <c r="W864" s="677"/>
      <c r="X864" s="677"/>
      <c r="Y864" s="678"/>
      <c r="Z864" s="678"/>
      <c r="AA864" s="678"/>
      <c r="AB864" s="678"/>
      <c r="AC864" s="678"/>
      <c r="AD864" s="679"/>
      <c r="AE864" s="679"/>
      <c r="AF864" s="679"/>
      <c r="AG864" s="652"/>
      <c r="AH864" s="652"/>
      <c r="AI864" s="652"/>
      <c r="AJ864" s="652"/>
      <c r="AK864" s="358"/>
      <c r="AL864" s="358"/>
      <c r="AM864" s="358"/>
      <c r="AN864" s="358"/>
      <c r="AO864" s="359"/>
      <c r="AP864" s="359"/>
      <c r="AQ864" s="334"/>
      <c r="AR864" s="334"/>
      <c r="AS864" s="334"/>
      <c r="AT864" s="334"/>
      <c r="AU864" s="334"/>
      <c r="AV864" s="334"/>
      <c r="AW864" s="335"/>
      <c r="AX864" s="335"/>
      <c r="AY864" s="335"/>
      <c r="AZ864" s="335"/>
      <c r="BA864" s="335"/>
      <c r="BB864" s="335"/>
      <c r="BC864" s="335"/>
      <c r="BD864" s="335"/>
      <c r="BE864" s="335"/>
    </row>
    <row r="865" customFormat="false" ht="14.15" hidden="true" customHeight="true" outlineLevel="1" collapsed="false">
      <c r="A865" s="265" t="s">
        <v>2227</v>
      </c>
      <c r="B865" s="404" t="s">
        <v>156</v>
      </c>
      <c r="C865" s="264" t="n">
        <v>0.04</v>
      </c>
      <c r="D865" s="676"/>
      <c r="E865" s="676"/>
      <c r="F865" s="676"/>
      <c r="G865" s="676"/>
      <c r="H865" s="676"/>
      <c r="I865" s="676"/>
      <c r="J865" s="676"/>
      <c r="K865" s="676"/>
      <c r="L865" s="676"/>
      <c r="M865" s="676"/>
      <c r="N865" s="676"/>
      <c r="O865" s="676"/>
      <c r="P865" s="676"/>
      <c r="Q865" s="676"/>
      <c r="R865" s="676"/>
      <c r="S865" s="676"/>
      <c r="T865" s="676"/>
      <c r="U865" s="676"/>
      <c r="V865" s="677"/>
      <c r="W865" s="677"/>
      <c r="X865" s="677"/>
      <c r="Y865" s="678"/>
      <c r="Z865" s="678"/>
      <c r="AA865" s="678"/>
      <c r="AB865" s="678"/>
      <c r="AC865" s="678"/>
      <c r="AD865" s="679"/>
      <c r="AE865" s="679"/>
      <c r="AF865" s="679"/>
      <c r="AG865" s="652"/>
      <c r="AH865" s="652"/>
      <c r="AI865" s="652"/>
      <c r="AJ865" s="652"/>
      <c r="AK865" s="358"/>
      <c r="AL865" s="358"/>
      <c r="AM865" s="358"/>
      <c r="AN865" s="358"/>
      <c r="AO865" s="359"/>
      <c r="AP865" s="359"/>
      <c r="AQ865" s="334"/>
      <c r="AR865" s="334"/>
      <c r="AS865" s="334"/>
      <c r="AT865" s="334"/>
      <c r="AU865" s="334"/>
      <c r="AV865" s="334"/>
      <c r="AW865" s="335"/>
      <c r="AX865" s="335"/>
      <c r="AY865" s="335"/>
      <c r="AZ865" s="335"/>
      <c r="BA865" s="335"/>
      <c r="BB865" s="335"/>
      <c r="BC865" s="335"/>
      <c r="BD865" s="335"/>
      <c r="BE865" s="335"/>
    </row>
    <row r="866" customFormat="false" ht="14.15" hidden="true" customHeight="true" outlineLevel="1" collapsed="false">
      <c r="A866" s="265" t="s">
        <v>2228</v>
      </c>
      <c r="B866" s="404" t="s">
        <v>159</v>
      </c>
      <c r="C866" s="264" t="n">
        <v>4</v>
      </c>
      <c r="D866" s="676"/>
      <c r="E866" s="676"/>
      <c r="F866" s="676"/>
      <c r="G866" s="676"/>
      <c r="H866" s="676"/>
      <c r="I866" s="676"/>
      <c r="J866" s="676"/>
      <c r="K866" s="676"/>
      <c r="L866" s="676"/>
      <c r="M866" s="676"/>
      <c r="N866" s="676"/>
      <c r="O866" s="676"/>
      <c r="P866" s="676"/>
      <c r="Q866" s="676"/>
      <c r="R866" s="676"/>
      <c r="S866" s="676"/>
      <c r="T866" s="676"/>
      <c r="U866" s="676"/>
      <c r="V866" s="677"/>
      <c r="W866" s="677"/>
      <c r="X866" s="677"/>
      <c r="Y866" s="678"/>
      <c r="Z866" s="678"/>
      <c r="AA866" s="678"/>
      <c r="AB866" s="678"/>
      <c r="AC866" s="678"/>
      <c r="AD866" s="679"/>
      <c r="AE866" s="679"/>
      <c r="AF866" s="679"/>
      <c r="AG866" s="652"/>
      <c r="AH866" s="652"/>
      <c r="AI866" s="652"/>
      <c r="AJ866" s="652"/>
      <c r="AK866" s="358"/>
      <c r="AL866" s="358"/>
      <c r="AM866" s="358"/>
      <c r="AN866" s="358"/>
      <c r="AO866" s="359"/>
      <c r="AP866" s="359"/>
      <c r="AQ866" s="334"/>
      <c r="AR866" s="334"/>
      <c r="AS866" s="334"/>
      <c r="AT866" s="334"/>
      <c r="AU866" s="334"/>
      <c r="AV866" s="334"/>
      <c r="AW866" s="335"/>
      <c r="AX866" s="335"/>
      <c r="AY866" s="335"/>
      <c r="AZ866" s="335"/>
      <c r="BA866" s="335"/>
      <c r="BB866" s="335"/>
      <c r="BC866" s="335"/>
      <c r="BD866" s="335"/>
      <c r="BE866" s="335"/>
    </row>
    <row r="867" customFormat="false" ht="14.15" hidden="true" customHeight="true" outlineLevel="1" collapsed="false">
      <c r="A867" s="265" t="s">
        <v>2229</v>
      </c>
      <c r="B867" s="404" t="s">
        <v>156</v>
      </c>
      <c r="C867" s="264" t="n">
        <v>0.6</v>
      </c>
      <c r="D867" s="676"/>
      <c r="E867" s="676"/>
      <c r="F867" s="676"/>
      <c r="G867" s="676"/>
      <c r="H867" s="676"/>
      <c r="I867" s="676"/>
      <c r="J867" s="676"/>
      <c r="K867" s="676"/>
      <c r="L867" s="676"/>
      <c r="M867" s="676"/>
      <c r="N867" s="676"/>
      <c r="O867" s="676"/>
      <c r="P867" s="676"/>
      <c r="Q867" s="676"/>
      <c r="R867" s="676"/>
      <c r="S867" s="676"/>
      <c r="T867" s="676"/>
      <c r="U867" s="676"/>
      <c r="V867" s="677"/>
      <c r="W867" s="677"/>
      <c r="X867" s="677"/>
      <c r="Y867" s="678"/>
      <c r="Z867" s="678"/>
      <c r="AA867" s="678"/>
      <c r="AB867" s="678"/>
      <c r="AC867" s="678"/>
      <c r="AD867" s="679"/>
      <c r="AE867" s="679"/>
      <c r="AF867" s="679"/>
      <c r="AG867" s="652"/>
      <c r="AH867" s="652"/>
      <c r="AI867" s="652"/>
      <c r="AJ867" s="652"/>
      <c r="AK867" s="358"/>
      <c r="AL867" s="358"/>
      <c r="AM867" s="358"/>
      <c r="AN867" s="358"/>
      <c r="AO867" s="359"/>
      <c r="AP867" s="359"/>
      <c r="AQ867" s="334"/>
      <c r="AR867" s="334"/>
      <c r="AS867" s="334"/>
      <c r="AT867" s="334"/>
      <c r="AU867" s="334"/>
      <c r="AV867" s="334"/>
      <c r="AW867" s="335"/>
      <c r="AX867" s="335"/>
      <c r="AY867" s="335"/>
      <c r="AZ867" s="335"/>
      <c r="BA867" s="335"/>
      <c r="BB867" s="335"/>
      <c r="BC867" s="335"/>
      <c r="BD867" s="335"/>
      <c r="BE867" s="335"/>
    </row>
    <row r="868" customFormat="false" ht="14.15" hidden="true" customHeight="true" outlineLevel="1" collapsed="false">
      <c r="A868" s="513" t="s">
        <v>2230</v>
      </c>
      <c r="B868" s="425" t="s">
        <v>1820</v>
      </c>
      <c r="C868" s="578" t="s">
        <v>1821</v>
      </c>
      <c r="D868" s="676"/>
      <c r="E868" s="676"/>
      <c r="F868" s="676"/>
      <c r="G868" s="676"/>
      <c r="H868" s="676"/>
      <c r="I868" s="676"/>
      <c r="J868" s="676"/>
      <c r="K868" s="676"/>
      <c r="L868" s="676"/>
      <c r="M868" s="676"/>
      <c r="N868" s="676"/>
      <c r="O868" s="676"/>
      <c r="P868" s="676"/>
      <c r="Q868" s="676"/>
      <c r="R868" s="676"/>
      <c r="S868" s="676"/>
      <c r="T868" s="676"/>
      <c r="U868" s="676"/>
      <c r="V868" s="677"/>
      <c r="W868" s="677"/>
      <c r="X868" s="677"/>
      <c r="Y868" s="678"/>
      <c r="Z868" s="678"/>
      <c r="AA868" s="678"/>
      <c r="AB868" s="678"/>
      <c r="AC868" s="678"/>
      <c r="AD868" s="679"/>
      <c r="AE868" s="679"/>
      <c r="AF868" s="679"/>
      <c r="AG868" s="652"/>
      <c r="AH868" s="652"/>
      <c r="AI868" s="652"/>
      <c r="AJ868" s="652"/>
      <c r="AK868" s="358"/>
      <c r="AL868" s="358"/>
      <c r="AM868" s="358"/>
      <c r="AN868" s="358"/>
      <c r="AO868" s="359"/>
      <c r="AP868" s="359"/>
      <c r="AQ868" s="334"/>
      <c r="AR868" s="334"/>
      <c r="AS868" s="334"/>
      <c r="AT868" s="334"/>
      <c r="AU868" s="334"/>
      <c r="AV868" s="334"/>
      <c r="AW868" s="335"/>
      <c r="AX868" s="335"/>
      <c r="AY868" s="335"/>
      <c r="AZ868" s="335"/>
      <c r="BA868" s="335"/>
      <c r="BB868" s="335"/>
      <c r="BC868" s="335"/>
      <c r="BD868" s="335"/>
      <c r="BE868" s="335"/>
    </row>
    <row r="869" customFormat="false" ht="14.15" hidden="true" customHeight="true" outlineLevel="1" collapsed="false">
      <c r="A869" s="265" t="s">
        <v>2177</v>
      </c>
      <c r="B869" s="404" t="s">
        <v>156</v>
      </c>
      <c r="C869" s="690" t="n">
        <v>0</v>
      </c>
      <c r="D869" s="676"/>
      <c r="E869" s="676"/>
      <c r="F869" s="676"/>
      <c r="G869" s="676"/>
      <c r="H869" s="676"/>
      <c r="I869" s="676"/>
      <c r="J869" s="676"/>
      <c r="K869" s="676"/>
      <c r="L869" s="676"/>
      <c r="M869" s="676"/>
      <c r="N869" s="676"/>
      <c r="O869" s="676"/>
      <c r="P869" s="676"/>
      <c r="Q869" s="676"/>
      <c r="R869" s="676"/>
      <c r="S869" s="676"/>
      <c r="T869" s="676"/>
      <c r="U869" s="676"/>
      <c r="V869" s="677"/>
      <c r="W869" s="677"/>
      <c r="X869" s="677"/>
      <c r="Y869" s="678"/>
      <c r="Z869" s="678"/>
      <c r="AA869" s="678"/>
      <c r="AB869" s="678"/>
      <c r="AC869" s="678"/>
      <c r="AD869" s="679"/>
      <c r="AE869" s="679"/>
      <c r="AF869" s="679"/>
      <c r="AG869" s="652"/>
      <c r="AH869" s="652"/>
      <c r="AI869" s="652"/>
      <c r="AJ869" s="652"/>
      <c r="AK869" s="358"/>
      <c r="AL869" s="358"/>
      <c r="AM869" s="358"/>
      <c r="AN869" s="358"/>
      <c r="AO869" s="359"/>
      <c r="AP869" s="359"/>
      <c r="AQ869" s="334"/>
      <c r="AR869" s="334"/>
      <c r="AS869" s="334"/>
      <c r="AT869" s="334"/>
      <c r="AU869" s="334"/>
      <c r="AV869" s="334"/>
      <c r="AW869" s="335"/>
      <c r="AX869" s="335"/>
      <c r="AY869" s="335"/>
      <c r="AZ869" s="335"/>
      <c r="BA869" s="335"/>
      <c r="BB869" s="335"/>
      <c r="BC869" s="335"/>
      <c r="BD869" s="335"/>
      <c r="BE869" s="335"/>
    </row>
    <row r="870" customFormat="false" ht="14.15" hidden="true" customHeight="true" outlineLevel="1" collapsed="false">
      <c r="A870" s="265" t="s">
        <v>2178</v>
      </c>
      <c r="B870" s="404" t="s">
        <v>156</v>
      </c>
      <c r="C870" s="690" t="n">
        <v>0</v>
      </c>
      <c r="D870" s="676"/>
      <c r="E870" s="676"/>
      <c r="F870" s="676"/>
      <c r="G870" s="676"/>
      <c r="H870" s="676"/>
      <c r="I870" s="676"/>
      <c r="J870" s="676"/>
      <c r="K870" s="676"/>
      <c r="L870" s="676"/>
      <c r="M870" s="676"/>
      <c r="N870" s="676"/>
      <c r="O870" s="676"/>
      <c r="P870" s="676"/>
      <c r="Q870" s="676"/>
      <c r="R870" s="676"/>
      <c r="S870" s="676"/>
      <c r="T870" s="676"/>
      <c r="U870" s="676"/>
      <c r="V870" s="677"/>
      <c r="W870" s="677"/>
      <c r="X870" s="677"/>
      <c r="Y870" s="678"/>
      <c r="Z870" s="678"/>
      <c r="AA870" s="678"/>
      <c r="AB870" s="678"/>
      <c r="AC870" s="678"/>
      <c r="AD870" s="679"/>
      <c r="AE870" s="679"/>
      <c r="AF870" s="679"/>
      <c r="AG870" s="652"/>
      <c r="AH870" s="652"/>
      <c r="AI870" s="652"/>
      <c r="AJ870" s="652"/>
      <c r="AK870" s="358"/>
      <c r="AL870" s="358"/>
      <c r="AM870" s="358"/>
      <c r="AN870" s="358"/>
      <c r="AO870" s="359"/>
      <c r="AP870" s="359"/>
      <c r="AQ870" s="334"/>
      <c r="AR870" s="334"/>
      <c r="AS870" s="334"/>
      <c r="AT870" s="334"/>
      <c r="AU870" s="334"/>
      <c r="AV870" s="334"/>
      <c r="AW870" s="335"/>
      <c r="AX870" s="335"/>
      <c r="AY870" s="335"/>
      <c r="AZ870" s="335"/>
      <c r="BA870" s="335"/>
      <c r="BB870" s="335"/>
      <c r="BC870" s="335"/>
      <c r="BD870" s="335"/>
      <c r="BE870" s="335"/>
    </row>
    <row r="871" customFormat="false" ht="14.15" hidden="true" customHeight="true" outlineLevel="1" collapsed="false">
      <c r="A871" s="265" t="s">
        <v>2179</v>
      </c>
      <c r="B871" s="404" t="s">
        <v>156</v>
      </c>
      <c r="C871" s="690" t="n">
        <v>0.2</v>
      </c>
      <c r="D871" s="676"/>
      <c r="E871" s="676"/>
      <c r="F871" s="676"/>
      <c r="G871" s="676"/>
      <c r="H871" s="676"/>
      <c r="I871" s="676"/>
      <c r="J871" s="676"/>
      <c r="K871" s="676"/>
      <c r="L871" s="676"/>
      <c r="M871" s="676"/>
      <c r="N871" s="676"/>
      <c r="O871" s="676"/>
      <c r="P871" s="676"/>
      <c r="Q871" s="676"/>
      <c r="R871" s="676"/>
      <c r="S871" s="676"/>
      <c r="T871" s="676"/>
      <c r="U871" s="676"/>
      <c r="V871" s="677"/>
      <c r="W871" s="677"/>
      <c r="X871" s="677"/>
      <c r="Y871" s="678"/>
      <c r="Z871" s="678"/>
      <c r="AA871" s="678"/>
      <c r="AB871" s="678"/>
      <c r="AC871" s="678"/>
      <c r="AD871" s="679"/>
      <c r="AE871" s="679"/>
      <c r="AF871" s="679"/>
      <c r="AG871" s="652"/>
      <c r="AH871" s="652"/>
      <c r="AI871" s="652"/>
      <c r="AJ871" s="652"/>
      <c r="AK871" s="358"/>
      <c r="AL871" s="358"/>
      <c r="AM871" s="358"/>
      <c r="AN871" s="358"/>
      <c r="AO871" s="359"/>
      <c r="AP871" s="359"/>
      <c r="AQ871" s="334"/>
      <c r="AR871" s="334"/>
      <c r="AS871" s="334"/>
      <c r="AT871" s="334"/>
      <c r="AU871" s="334"/>
      <c r="AV871" s="334"/>
      <c r="AW871" s="335"/>
      <c r="AX871" s="335"/>
      <c r="AY871" s="335"/>
      <c r="AZ871" s="335"/>
      <c r="BA871" s="335"/>
      <c r="BB871" s="335"/>
      <c r="BC871" s="335"/>
      <c r="BD871" s="335"/>
      <c r="BE871" s="335"/>
    </row>
    <row r="872" customFormat="false" ht="14.15" hidden="true" customHeight="true" outlineLevel="1" collapsed="false">
      <c r="A872" s="691" t="s">
        <v>706</v>
      </c>
      <c r="B872" s="404" t="s">
        <v>156</v>
      </c>
      <c r="C872" s="690" t="n">
        <v>0.1</v>
      </c>
      <c r="D872" s="676"/>
      <c r="E872" s="676"/>
      <c r="F872" s="676"/>
      <c r="G872" s="676"/>
      <c r="H872" s="676"/>
      <c r="I872" s="676"/>
      <c r="J872" s="676"/>
      <c r="K872" s="676"/>
      <c r="L872" s="676"/>
      <c r="M872" s="676"/>
      <c r="N872" s="676"/>
      <c r="O872" s="676"/>
      <c r="P872" s="676"/>
      <c r="Q872" s="676"/>
      <c r="R872" s="676"/>
      <c r="S872" s="676"/>
      <c r="T872" s="676"/>
      <c r="U872" s="676"/>
      <c r="V872" s="677"/>
      <c r="W872" s="677"/>
      <c r="X872" s="677"/>
      <c r="Y872" s="678"/>
      <c r="Z872" s="678"/>
      <c r="AA872" s="678"/>
      <c r="AB872" s="678"/>
      <c r="AC872" s="678"/>
      <c r="AD872" s="679"/>
      <c r="AE872" s="679"/>
      <c r="AF872" s="679"/>
      <c r="AG872" s="652"/>
      <c r="AH872" s="652"/>
      <c r="AI872" s="652"/>
      <c r="AJ872" s="652"/>
      <c r="AK872" s="358"/>
      <c r="AL872" s="358"/>
      <c r="AM872" s="358"/>
      <c r="AN872" s="358"/>
      <c r="AO872" s="359"/>
      <c r="AP872" s="359"/>
      <c r="AQ872" s="334"/>
      <c r="AR872" s="334"/>
      <c r="AS872" s="334"/>
      <c r="AT872" s="334"/>
      <c r="AU872" s="334"/>
      <c r="AV872" s="334"/>
      <c r="AW872" s="335"/>
      <c r="AX872" s="335"/>
      <c r="AY872" s="335"/>
      <c r="AZ872" s="335"/>
      <c r="BA872" s="335"/>
      <c r="BB872" s="335"/>
      <c r="BC872" s="335"/>
      <c r="BD872" s="335"/>
      <c r="BE872" s="335"/>
    </row>
    <row r="873" customFormat="false" ht="14.15" hidden="true" customHeight="true" outlineLevel="1" collapsed="false">
      <c r="A873" s="265" t="s">
        <v>2231</v>
      </c>
      <c r="B873" s="404" t="s">
        <v>156</v>
      </c>
      <c r="C873" s="690" t="n">
        <v>0.25</v>
      </c>
      <c r="D873" s="358"/>
      <c r="G873" s="358"/>
      <c r="H873" s="348"/>
      <c r="I873" s="461"/>
      <c r="J873" s="492"/>
      <c r="K873" s="446"/>
      <c r="L873" s="446"/>
      <c r="M873" s="492"/>
      <c r="N873" s="358"/>
      <c r="O873" s="358"/>
      <c r="P873" s="358"/>
      <c r="Q873" s="358"/>
      <c r="R873" s="358"/>
      <c r="S873" s="358"/>
      <c r="T873" s="358"/>
      <c r="U873" s="347"/>
      <c r="V873" s="652"/>
      <c r="W873" s="652"/>
      <c r="X873" s="652"/>
      <c r="Y873" s="652"/>
      <c r="Z873" s="652"/>
      <c r="AA873" s="652"/>
      <c r="AB873" s="652"/>
      <c r="AC873" s="652"/>
      <c r="AD873" s="652"/>
      <c r="AE873" s="652"/>
      <c r="AF873" s="652"/>
      <c r="AG873" s="652"/>
      <c r="AH873" s="652"/>
      <c r="AI873" s="652"/>
      <c r="AJ873" s="652"/>
      <c r="AK873" s="358"/>
      <c r="AL873" s="358"/>
      <c r="AM873" s="358"/>
      <c r="AN873" s="358"/>
      <c r="AO873" s="359"/>
      <c r="AP873" s="359"/>
      <c r="AQ873" s="334"/>
      <c r="AR873" s="334"/>
      <c r="AS873" s="334"/>
      <c r="AT873" s="334"/>
      <c r="AU873" s="334"/>
      <c r="AV873" s="334"/>
      <c r="AW873" s="335"/>
      <c r="AX873" s="335"/>
      <c r="AY873" s="335"/>
      <c r="AZ873" s="335"/>
      <c r="BA873" s="335"/>
      <c r="BB873" s="335"/>
      <c r="BC873" s="335"/>
      <c r="BD873" s="335"/>
      <c r="BE873" s="335"/>
    </row>
    <row r="874" customFormat="false" ht="14.15" hidden="true" customHeight="true" outlineLevel="1" collapsed="false">
      <c r="A874" s="265" t="s">
        <v>2232</v>
      </c>
      <c r="B874" s="404" t="s">
        <v>156</v>
      </c>
      <c r="C874" s="690" t="n">
        <v>0.2</v>
      </c>
      <c r="D874" s="371"/>
      <c r="E874" s="358"/>
      <c r="F874" s="358"/>
      <c r="G874" s="358"/>
      <c r="H874" s="348"/>
      <c r="I874" s="461"/>
      <c r="J874" s="492"/>
      <c r="K874" s="446"/>
      <c r="L874" s="446"/>
      <c r="M874" s="492"/>
      <c r="N874" s="358"/>
      <c r="O874" s="358"/>
      <c r="P874" s="358"/>
      <c r="Q874" s="358"/>
      <c r="R874" s="358"/>
      <c r="S874" s="358"/>
      <c r="T874" s="358"/>
      <c r="U874" s="347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  <c r="AF874" s="358"/>
      <c r="AG874" s="358"/>
      <c r="AH874" s="358"/>
      <c r="AI874" s="358"/>
      <c r="AJ874" s="358"/>
      <c r="AK874" s="358"/>
      <c r="AL874" s="358"/>
      <c r="AM874" s="358"/>
      <c r="AN874" s="358"/>
      <c r="AO874" s="359"/>
      <c r="AP874" s="359"/>
      <c r="AQ874" s="334"/>
      <c r="AR874" s="334"/>
      <c r="AS874" s="334"/>
      <c r="AT874" s="334"/>
      <c r="AU874" s="334"/>
      <c r="AV874" s="334"/>
      <c r="AW874" s="335"/>
      <c r="AX874" s="335"/>
      <c r="AY874" s="335"/>
      <c r="AZ874" s="335"/>
      <c r="BA874" s="335"/>
      <c r="BB874" s="335"/>
      <c r="BC874" s="335"/>
      <c r="BD874" s="335"/>
      <c r="BE874" s="335"/>
    </row>
    <row r="875" customFormat="false" ht="14.15" hidden="true" customHeight="true" outlineLevel="1" collapsed="false">
      <c r="A875" s="265" t="s">
        <v>2233</v>
      </c>
      <c r="B875" s="404" t="s">
        <v>159</v>
      </c>
      <c r="C875" s="690" t="n">
        <v>2</v>
      </c>
      <c r="D875" s="358"/>
      <c r="H875" s="358"/>
      <c r="I875" s="461"/>
      <c r="J875" s="492"/>
      <c r="K875" s="446"/>
      <c r="L875" s="446"/>
      <c r="M875" s="492"/>
      <c r="N875" s="358"/>
      <c r="O875" s="358"/>
      <c r="P875" s="358"/>
      <c r="Q875" s="358"/>
      <c r="R875" s="358"/>
      <c r="S875" s="358"/>
      <c r="T875" s="358"/>
      <c r="U875" s="347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  <c r="AF875" s="358"/>
      <c r="AG875" s="358"/>
      <c r="AH875" s="358"/>
      <c r="AI875" s="358"/>
      <c r="AJ875" s="358"/>
      <c r="AK875" s="358"/>
      <c r="AL875" s="358"/>
      <c r="AM875" s="358"/>
      <c r="AN875" s="358"/>
      <c r="AO875" s="359"/>
      <c r="AP875" s="359"/>
      <c r="AQ875" s="334"/>
      <c r="AR875" s="334"/>
      <c r="AS875" s="334"/>
      <c r="AT875" s="334"/>
      <c r="AU875" s="334"/>
      <c r="AV875" s="334"/>
      <c r="AW875" s="335"/>
      <c r="AX875" s="335"/>
      <c r="AY875" s="335"/>
      <c r="AZ875" s="335"/>
      <c r="BA875" s="335"/>
      <c r="BB875" s="335"/>
      <c r="BC875" s="335"/>
      <c r="BD875" s="335"/>
      <c r="BE875" s="335"/>
    </row>
    <row r="876" customFormat="false" ht="14.15" hidden="true" customHeight="true" outlineLevel="1" collapsed="false">
      <c r="A876" s="692" t="s">
        <v>2234</v>
      </c>
      <c r="B876" s="477"/>
      <c r="C876" s="520"/>
      <c r="D876" s="358"/>
      <c r="H876" s="358"/>
      <c r="I876" s="461"/>
      <c r="J876" s="492"/>
      <c r="K876" s="446"/>
      <c r="L876" s="446"/>
      <c r="M876" s="492"/>
      <c r="N876" s="358"/>
      <c r="O876" s="358"/>
      <c r="P876" s="358"/>
      <c r="Q876" s="358"/>
      <c r="R876" s="358"/>
      <c r="S876" s="358"/>
      <c r="T876" s="358"/>
      <c r="U876" s="347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  <c r="AF876" s="358"/>
      <c r="AG876" s="358"/>
      <c r="AH876" s="358"/>
      <c r="AI876" s="358"/>
      <c r="AJ876" s="358"/>
      <c r="AK876" s="358"/>
      <c r="AL876" s="358"/>
      <c r="AM876" s="358"/>
      <c r="AN876" s="358"/>
      <c r="AO876" s="359"/>
      <c r="AP876" s="359"/>
      <c r="AQ876" s="334"/>
      <c r="AR876" s="334"/>
      <c r="AS876" s="334"/>
      <c r="AT876" s="334"/>
      <c r="AU876" s="334"/>
      <c r="AV876" s="334"/>
      <c r="AW876" s="335"/>
      <c r="AX876" s="335"/>
      <c r="AY876" s="335"/>
      <c r="AZ876" s="335"/>
      <c r="BA876" s="335"/>
      <c r="BB876" s="335"/>
      <c r="BC876" s="335"/>
      <c r="BD876" s="335"/>
      <c r="BE876" s="335"/>
    </row>
    <row r="877" customFormat="false" ht="14.15" hidden="true" customHeight="true" outlineLevel="1" collapsed="false">
      <c r="A877" s="693" t="s">
        <v>706</v>
      </c>
      <c r="B877" s="477"/>
      <c r="C877" s="520"/>
      <c r="D877" s="358"/>
      <c r="H877" s="358"/>
      <c r="I877" s="461"/>
      <c r="J877" s="492"/>
      <c r="K877" s="446"/>
      <c r="L877" s="446"/>
      <c r="M877" s="492"/>
      <c r="N877" s="358"/>
      <c r="O877" s="358"/>
      <c r="P877" s="358"/>
      <c r="Q877" s="358"/>
      <c r="R877" s="358"/>
      <c r="S877" s="358"/>
      <c r="T877" s="358"/>
      <c r="U877" s="347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  <c r="AF877" s="358"/>
      <c r="AG877" s="358"/>
      <c r="AH877" s="358"/>
      <c r="AI877" s="358"/>
      <c r="AJ877" s="358"/>
      <c r="AK877" s="358"/>
      <c r="AL877" s="358"/>
      <c r="AM877" s="358"/>
      <c r="AN877" s="358"/>
      <c r="AO877" s="359"/>
      <c r="AP877" s="359"/>
      <c r="AQ877" s="334"/>
      <c r="AR877" s="334"/>
      <c r="AS877" s="334"/>
      <c r="AT877" s="334"/>
      <c r="AU877" s="334"/>
      <c r="AV877" s="334"/>
      <c r="AW877" s="335"/>
      <c r="AX877" s="335"/>
      <c r="AY877" s="335"/>
      <c r="AZ877" s="335"/>
      <c r="BA877" s="335"/>
      <c r="BB877" s="335"/>
      <c r="BC877" s="335"/>
      <c r="BD877" s="335"/>
      <c r="BE877" s="335"/>
    </row>
    <row r="878" customFormat="false" ht="14.15" hidden="true" customHeight="true" outlineLevel="1" collapsed="false">
      <c r="A878" s="614" t="s">
        <v>1020</v>
      </c>
      <c r="B878" s="404" t="s">
        <v>1820</v>
      </c>
      <c r="C878" s="568" t="s">
        <v>1821</v>
      </c>
      <c r="D878" s="358"/>
      <c r="H878" s="358"/>
      <c r="I878" s="461"/>
      <c r="J878" s="492"/>
      <c r="K878" s="446"/>
      <c r="L878" s="446"/>
      <c r="M878" s="492"/>
      <c r="N878" s="358"/>
      <c r="O878" s="358"/>
      <c r="P878" s="358"/>
      <c r="Q878" s="358"/>
      <c r="R878" s="358"/>
      <c r="S878" s="358"/>
      <c r="T878" s="358"/>
      <c r="U878" s="347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  <c r="AF878" s="358"/>
      <c r="AG878" s="358"/>
      <c r="AH878" s="358"/>
      <c r="AI878" s="358"/>
      <c r="AJ878" s="358"/>
      <c r="AK878" s="358"/>
      <c r="AL878" s="358"/>
      <c r="AM878" s="358"/>
      <c r="AN878" s="358"/>
      <c r="AO878" s="359"/>
      <c r="AP878" s="359"/>
      <c r="AQ878" s="334"/>
      <c r="AR878" s="334"/>
      <c r="AS878" s="334"/>
      <c r="AT878" s="334"/>
      <c r="AU878" s="334"/>
      <c r="AV878" s="334"/>
      <c r="AW878" s="335"/>
      <c r="AX878" s="335"/>
      <c r="AY878" s="335"/>
      <c r="AZ878" s="335"/>
      <c r="BA878" s="335"/>
      <c r="BB878" s="335"/>
      <c r="BC878" s="335"/>
      <c r="BD878" s="335"/>
      <c r="BE878" s="335"/>
    </row>
    <row r="879" customFormat="false" ht="14.15" hidden="true" customHeight="true" outlineLevel="1" collapsed="false">
      <c r="A879" s="525" t="s">
        <v>1032</v>
      </c>
      <c r="B879" s="404" t="s">
        <v>1820</v>
      </c>
      <c r="C879" s="568" t="s">
        <v>1798</v>
      </c>
      <c r="D879" s="358"/>
      <c r="H879" s="358"/>
      <c r="I879" s="461"/>
      <c r="J879" s="492"/>
      <c r="K879" s="446"/>
      <c r="L879" s="446"/>
      <c r="M879" s="492"/>
      <c r="N879" s="358"/>
      <c r="O879" s="358"/>
      <c r="P879" s="358"/>
      <c r="Q879" s="358"/>
      <c r="R879" s="358"/>
      <c r="S879" s="358"/>
      <c r="T879" s="358"/>
      <c r="U879" s="347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  <c r="AF879" s="358"/>
      <c r="AG879" s="358"/>
      <c r="AH879" s="358"/>
      <c r="AI879" s="358"/>
      <c r="AJ879" s="358"/>
      <c r="AK879" s="358"/>
      <c r="AL879" s="358"/>
      <c r="AM879" s="358"/>
      <c r="AN879" s="358"/>
      <c r="AO879" s="359"/>
      <c r="AP879" s="359"/>
      <c r="AQ879" s="334"/>
      <c r="AR879" s="334"/>
      <c r="AS879" s="334"/>
      <c r="AT879" s="334"/>
      <c r="AU879" s="334"/>
      <c r="AV879" s="334"/>
      <c r="AW879" s="335"/>
      <c r="AX879" s="335"/>
      <c r="AY879" s="335"/>
      <c r="AZ879" s="335"/>
      <c r="BA879" s="335"/>
      <c r="BB879" s="335"/>
      <c r="BC879" s="335"/>
      <c r="BD879" s="335"/>
      <c r="BE879" s="335"/>
    </row>
    <row r="880" customFormat="false" ht="14.15" hidden="true" customHeight="true" outlineLevel="1" collapsed="false">
      <c r="A880" s="613" t="s">
        <v>1042</v>
      </c>
      <c r="B880" s="404" t="s">
        <v>156</v>
      </c>
      <c r="C880" s="690" t="n">
        <v>6</v>
      </c>
      <c r="D880" s="358"/>
      <c r="H880" s="358"/>
      <c r="I880" s="461"/>
      <c r="J880" s="492"/>
      <c r="K880" s="446"/>
      <c r="L880" s="446"/>
      <c r="M880" s="492"/>
      <c r="N880" s="358"/>
      <c r="O880" s="358"/>
      <c r="P880" s="358"/>
      <c r="Q880" s="358"/>
      <c r="R880" s="358"/>
      <c r="S880" s="358"/>
      <c r="T880" s="358"/>
      <c r="U880" s="347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  <c r="AF880" s="358"/>
      <c r="AG880" s="358"/>
      <c r="AH880" s="358"/>
      <c r="AI880" s="358"/>
      <c r="AJ880" s="358"/>
      <c r="AK880" s="358"/>
      <c r="AL880" s="358"/>
      <c r="AM880" s="358"/>
      <c r="AN880" s="358"/>
      <c r="AO880" s="359"/>
      <c r="AP880" s="359"/>
      <c r="AQ880" s="334"/>
      <c r="AR880" s="334"/>
      <c r="AS880" s="334"/>
      <c r="AT880" s="334"/>
      <c r="AU880" s="334"/>
      <c r="AV880" s="334"/>
      <c r="AW880" s="335"/>
      <c r="AX880" s="335"/>
      <c r="AY880" s="335"/>
      <c r="AZ880" s="335"/>
      <c r="BA880" s="335"/>
      <c r="BB880" s="335"/>
      <c r="BC880" s="335"/>
      <c r="BD880" s="335"/>
      <c r="BE880" s="335"/>
    </row>
    <row r="881" customFormat="false" ht="14.15" hidden="true" customHeight="true" outlineLevel="1" collapsed="false">
      <c r="A881" s="525" t="s">
        <v>1055</v>
      </c>
      <c r="B881" s="404" t="s">
        <v>159</v>
      </c>
      <c r="C881" s="690" t="n">
        <v>2</v>
      </c>
      <c r="D881" s="358"/>
      <c r="H881" s="358"/>
      <c r="I881" s="461"/>
      <c r="J881" s="492"/>
      <c r="K881" s="446"/>
      <c r="L881" s="446"/>
      <c r="M881" s="492"/>
      <c r="N881" s="358"/>
      <c r="O881" s="358"/>
      <c r="P881" s="358"/>
      <c r="Q881" s="358"/>
      <c r="R881" s="358"/>
      <c r="S881" s="358"/>
      <c r="T881" s="358"/>
      <c r="U881" s="347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  <c r="AF881" s="358"/>
      <c r="AG881" s="358"/>
      <c r="AH881" s="358"/>
      <c r="AI881" s="358"/>
      <c r="AJ881" s="358"/>
      <c r="AK881" s="358"/>
      <c r="AL881" s="358"/>
      <c r="AM881" s="358"/>
      <c r="AN881" s="358"/>
      <c r="AO881" s="359"/>
      <c r="AP881" s="359"/>
      <c r="AQ881" s="334"/>
      <c r="AR881" s="334"/>
      <c r="AS881" s="334"/>
      <c r="AT881" s="334"/>
      <c r="AU881" s="334"/>
      <c r="AV881" s="334"/>
      <c r="AW881" s="335"/>
      <c r="AX881" s="335"/>
      <c r="AY881" s="335"/>
      <c r="AZ881" s="335"/>
      <c r="BA881" s="335"/>
      <c r="BB881" s="335"/>
      <c r="BC881" s="335"/>
      <c r="BD881" s="335"/>
      <c r="BE881" s="335"/>
    </row>
    <row r="882" customFormat="false" ht="14.15" hidden="true" customHeight="true" outlineLevel="1" collapsed="false">
      <c r="A882" s="479"/>
      <c r="B882" s="477"/>
      <c r="C882" s="570"/>
      <c r="D882" s="358"/>
      <c r="H882" s="358"/>
      <c r="I882" s="461"/>
      <c r="J882" s="492"/>
      <c r="K882" s="446"/>
      <c r="L882" s="446"/>
      <c r="M882" s="492"/>
      <c r="N882" s="358"/>
      <c r="O882" s="358"/>
      <c r="P882" s="358"/>
      <c r="Q882" s="358"/>
      <c r="R882" s="358"/>
      <c r="S882" s="358"/>
      <c r="T882" s="358"/>
      <c r="U882" s="347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  <c r="AF882" s="358"/>
      <c r="AG882" s="358"/>
      <c r="AH882" s="358"/>
      <c r="AI882" s="358"/>
      <c r="AJ882" s="358"/>
      <c r="AK882" s="358"/>
      <c r="AL882" s="358"/>
      <c r="AM882" s="358"/>
      <c r="AN882" s="358"/>
      <c r="AO882" s="359"/>
      <c r="AP882" s="359"/>
      <c r="AQ882" s="334"/>
      <c r="AR882" s="334"/>
      <c r="AS882" s="334"/>
      <c r="AT882" s="334"/>
      <c r="AU882" s="334"/>
      <c r="AV882" s="334"/>
      <c r="AW882" s="335"/>
      <c r="AX882" s="335"/>
      <c r="AY882" s="335"/>
      <c r="AZ882" s="335"/>
      <c r="BA882" s="335"/>
      <c r="BB882" s="335"/>
      <c r="BC882" s="335"/>
      <c r="BD882" s="335"/>
      <c r="BE882" s="335"/>
    </row>
    <row r="883" customFormat="false" ht="14.15" hidden="true" customHeight="true" outlineLevel="1" collapsed="false">
      <c r="A883" s="694" t="s">
        <v>152</v>
      </c>
      <c r="B883" s="425" t="s">
        <v>1793</v>
      </c>
      <c r="C883" s="474" t="n">
        <v>0</v>
      </c>
      <c r="D883" s="358"/>
      <c r="H883" s="504"/>
      <c r="I883" s="461"/>
      <c r="J883" s="492"/>
      <c r="K883" s="446"/>
      <c r="L883" s="446"/>
      <c r="M883" s="492"/>
      <c r="N883" s="358"/>
      <c r="O883" s="358"/>
      <c r="P883" s="358"/>
      <c r="Q883" s="358"/>
      <c r="R883" s="358"/>
      <c r="S883" s="358"/>
      <c r="T883" s="358"/>
      <c r="U883" s="347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  <c r="AF883" s="358"/>
      <c r="AG883" s="358"/>
      <c r="AH883" s="358"/>
      <c r="AI883" s="358"/>
      <c r="AJ883" s="358"/>
      <c r="AK883" s="358"/>
      <c r="AL883" s="358"/>
      <c r="AM883" s="358"/>
      <c r="AN883" s="358"/>
      <c r="AO883" s="359"/>
      <c r="AP883" s="359"/>
      <c r="AQ883" s="334"/>
      <c r="AR883" s="334"/>
      <c r="AS883" s="334"/>
      <c r="AT883" s="334"/>
      <c r="AU883" s="334"/>
      <c r="AV883" s="334"/>
      <c r="AW883" s="335"/>
      <c r="AX883" s="335"/>
      <c r="AY883" s="335"/>
      <c r="AZ883" s="335"/>
      <c r="BA883" s="335"/>
      <c r="BB883" s="335"/>
      <c r="BC883" s="335"/>
      <c r="BD883" s="335"/>
      <c r="BE883" s="335"/>
    </row>
    <row r="884" customFormat="false" ht="14.15" hidden="true" customHeight="true" outlineLevel="1" collapsed="false">
      <c r="A884" s="401" t="s">
        <v>152</v>
      </c>
      <c r="B884" s="402" t="s">
        <v>1793</v>
      </c>
      <c r="C884" s="370" t="n">
        <v>0</v>
      </c>
      <c r="D884" s="358"/>
      <c r="E884" s="358"/>
      <c r="F884" s="358"/>
      <c r="G884" s="358"/>
      <c r="H884" s="371"/>
      <c r="I884" s="461"/>
      <c r="J884" s="492"/>
      <c r="K884" s="446"/>
      <c r="L884" s="446"/>
      <c r="M884" s="492"/>
      <c r="N884" s="358"/>
      <c r="O884" s="358"/>
      <c r="P884" s="358"/>
      <c r="Q884" s="358"/>
      <c r="R884" s="358"/>
      <c r="S884" s="358"/>
      <c r="T884" s="358"/>
      <c r="U884" s="347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  <c r="AF884" s="358"/>
      <c r="AG884" s="358"/>
      <c r="AH884" s="358"/>
      <c r="AI884" s="358"/>
      <c r="AJ884" s="358"/>
      <c r="AK884" s="358"/>
      <c r="AL884" s="358"/>
      <c r="AM884" s="358"/>
      <c r="AN884" s="358"/>
      <c r="AO884" s="359"/>
      <c r="AP884" s="359"/>
      <c r="AQ884" s="334"/>
      <c r="AR884" s="334"/>
      <c r="AS884" s="334"/>
      <c r="AT884" s="334"/>
      <c r="AU884" s="334"/>
      <c r="AV884" s="334"/>
      <c r="AW884" s="335"/>
      <c r="AX884" s="335"/>
      <c r="AY884" s="335"/>
      <c r="AZ884" s="335"/>
      <c r="BA884" s="335"/>
      <c r="BB884" s="335"/>
      <c r="BC884" s="335"/>
      <c r="BD884" s="335"/>
      <c r="BE884" s="335"/>
    </row>
    <row r="885" customFormat="false" ht="14.15" hidden="true" customHeight="true" outlineLevel="1" collapsed="false">
      <c r="A885" s="695" t="s">
        <v>152</v>
      </c>
      <c r="B885" s="402" t="s">
        <v>1793</v>
      </c>
      <c r="C885" s="370" t="n">
        <v>0</v>
      </c>
      <c r="D885" s="479"/>
      <c r="H885" s="477"/>
      <c r="I885" s="461"/>
      <c r="J885" s="492"/>
      <c r="K885" s="446"/>
      <c r="L885" s="446"/>
      <c r="M885" s="492"/>
      <c r="N885" s="358"/>
      <c r="O885" s="358"/>
      <c r="P885" s="358"/>
      <c r="Q885" s="358"/>
      <c r="R885" s="358"/>
      <c r="S885" s="358"/>
      <c r="T885" s="358"/>
      <c r="U885" s="347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  <c r="AF885" s="358"/>
      <c r="AG885" s="358"/>
      <c r="AH885" s="358"/>
      <c r="AI885" s="358"/>
      <c r="AJ885" s="358"/>
      <c r="AK885" s="358"/>
      <c r="AL885" s="358"/>
      <c r="AM885" s="358"/>
      <c r="AN885" s="358"/>
      <c r="AO885" s="359"/>
      <c r="AP885" s="359"/>
      <c r="AQ885" s="334"/>
      <c r="AR885" s="334"/>
      <c r="AS885" s="334"/>
      <c r="AT885" s="334"/>
      <c r="AU885" s="334"/>
      <c r="AV885" s="334"/>
      <c r="AW885" s="335"/>
      <c r="AX885" s="335"/>
      <c r="AY885" s="335"/>
      <c r="AZ885" s="335"/>
      <c r="BA885" s="335"/>
      <c r="BB885" s="335"/>
      <c r="BC885" s="335"/>
      <c r="BD885" s="335"/>
      <c r="BE885" s="335"/>
    </row>
    <row r="886" customFormat="false" ht="14.15" hidden="true" customHeight="true" outlineLevel="1" collapsed="false">
      <c r="A886" s="695" t="s">
        <v>152</v>
      </c>
      <c r="B886" s="402" t="s">
        <v>1793</v>
      </c>
      <c r="C886" s="370" t="n">
        <v>0</v>
      </c>
      <c r="D886" s="479"/>
      <c r="H886" s="504"/>
      <c r="I886" s="461"/>
      <c r="J886" s="492"/>
      <c r="K886" s="446"/>
      <c r="L886" s="446"/>
      <c r="M886" s="492"/>
      <c r="N886" s="358"/>
      <c r="O886" s="358"/>
      <c r="P886" s="358"/>
      <c r="Q886" s="358"/>
      <c r="R886" s="358"/>
      <c r="S886" s="358"/>
      <c r="T886" s="358"/>
      <c r="U886" s="347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  <c r="AF886" s="358"/>
      <c r="AG886" s="358"/>
      <c r="AH886" s="358"/>
      <c r="AI886" s="358"/>
      <c r="AJ886" s="358"/>
      <c r="AK886" s="358"/>
      <c r="AL886" s="358"/>
      <c r="AM886" s="358"/>
      <c r="AN886" s="358"/>
      <c r="AO886" s="359"/>
      <c r="AP886" s="359"/>
      <c r="AQ886" s="334"/>
      <c r="AR886" s="334"/>
      <c r="AS886" s="334"/>
      <c r="AT886" s="334"/>
      <c r="AU886" s="334"/>
      <c r="AV886" s="334"/>
      <c r="AW886" s="335"/>
      <c r="AX886" s="335"/>
      <c r="AY886" s="335"/>
      <c r="AZ886" s="335"/>
      <c r="BA886" s="335"/>
      <c r="BB886" s="335"/>
      <c r="BC886" s="335"/>
      <c r="BD886" s="335"/>
      <c r="BE886" s="335"/>
    </row>
    <row r="887" customFormat="false" ht="14.15" hidden="true" customHeight="true" outlineLevel="1" collapsed="false">
      <c r="A887" s="355"/>
      <c r="D887" s="479"/>
      <c r="H887" s="504"/>
      <c r="I887" s="461"/>
      <c r="J887" s="492"/>
      <c r="K887" s="446"/>
      <c r="L887" s="446"/>
      <c r="M887" s="492"/>
      <c r="N887" s="358"/>
      <c r="O887" s="358"/>
      <c r="P887" s="358"/>
      <c r="Q887" s="358"/>
      <c r="R887" s="358"/>
      <c r="S887" s="358"/>
      <c r="T887" s="358"/>
      <c r="U887" s="347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  <c r="AF887" s="358"/>
      <c r="AG887" s="358"/>
      <c r="AH887" s="358"/>
      <c r="AI887" s="358"/>
      <c r="AJ887" s="358"/>
      <c r="AK887" s="358"/>
      <c r="AL887" s="358"/>
      <c r="AM887" s="358"/>
      <c r="AN887" s="358"/>
      <c r="AO887" s="359"/>
      <c r="AP887" s="359"/>
      <c r="AQ887" s="334"/>
      <c r="AR887" s="334"/>
      <c r="AS887" s="334"/>
      <c r="AT887" s="334"/>
      <c r="AU887" s="334"/>
      <c r="AV887" s="334"/>
      <c r="AW887" s="335"/>
      <c r="AX887" s="335"/>
      <c r="AY887" s="335"/>
      <c r="AZ887" s="335"/>
      <c r="BA887" s="335"/>
      <c r="BB887" s="335"/>
      <c r="BC887" s="335"/>
      <c r="BD887" s="335"/>
      <c r="BE887" s="335"/>
    </row>
    <row r="888" customFormat="false" ht="14.15" hidden="true" customHeight="true" outlineLevel="1" collapsed="false">
      <c r="A888" s="474" t="s">
        <v>2235</v>
      </c>
      <c r="B888" s="404" t="s">
        <v>1796</v>
      </c>
      <c r="C888" s="696" t="n">
        <v>5000</v>
      </c>
      <c r="D888" s="479"/>
      <c r="H888" s="504"/>
      <c r="I888" s="461"/>
      <c r="J888" s="492"/>
      <c r="K888" s="446"/>
      <c r="L888" s="446"/>
      <c r="M888" s="492"/>
      <c r="N888" s="358"/>
      <c r="O888" s="358"/>
      <c r="P888" s="358"/>
      <c r="Q888" s="358"/>
      <c r="R888" s="358"/>
      <c r="S888" s="358"/>
      <c r="T888" s="358"/>
      <c r="U888" s="347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  <c r="AF888" s="358"/>
      <c r="AG888" s="358"/>
      <c r="AH888" s="358"/>
      <c r="AI888" s="358"/>
      <c r="AJ888" s="358"/>
      <c r="AK888" s="358"/>
      <c r="AL888" s="358"/>
      <c r="AM888" s="358"/>
      <c r="AN888" s="358"/>
      <c r="AO888" s="359"/>
      <c r="AP888" s="359"/>
      <c r="AQ888" s="334"/>
      <c r="AR888" s="334"/>
      <c r="AS888" s="334"/>
      <c r="AT888" s="334"/>
      <c r="AU888" s="334"/>
      <c r="AV888" s="334"/>
      <c r="AW888" s="335"/>
      <c r="AX888" s="335"/>
      <c r="AY888" s="335"/>
      <c r="AZ888" s="335"/>
      <c r="BA888" s="335"/>
      <c r="BB888" s="335"/>
      <c r="BC888" s="335"/>
      <c r="BD888" s="335"/>
      <c r="BE888" s="335"/>
    </row>
    <row r="889" customFormat="false" ht="14.15" hidden="true" customHeight="true" outlineLevel="1" collapsed="false">
      <c r="D889" s="479"/>
      <c r="H889" s="504"/>
      <c r="I889" s="461"/>
      <c r="J889" s="492"/>
      <c r="K889" s="446"/>
      <c r="L889" s="446"/>
      <c r="M889" s="492"/>
      <c r="N889" s="358"/>
      <c r="O889" s="358"/>
      <c r="P889" s="358"/>
      <c r="Q889" s="358"/>
      <c r="R889" s="358"/>
      <c r="S889" s="358"/>
      <c r="T889" s="358"/>
      <c r="U889" s="347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  <c r="AF889" s="358"/>
      <c r="AG889" s="358"/>
      <c r="AH889" s="358"/>
      <c r="AI889" s="358"/>
      <c r="AJ889" s="358"/>
      <c r="AK889" s="358"/>
      <c r="AL889" s="358"/>
      <c r="AM889" s="358"/>
      <c r="AN889" s="358"/>
      <c r="AO889" s="359"/>
      <c r="AP889" s="359"/>
      <c r="AQ889" s="334"/>
      <c r="AR889" s="334"/>
      <c r="AS889" s="334"/>
      <c r="AT889" s="334"/>
      <c r="AU889" s="334"/>
      <c r="AV889" s="334"/>
      <c r="AW889" s="335"/>
      <c r="AX889" s="335"/>
      <c r="AY889" s="335"/>
      <c r="AZ889" s="335"/>
      <c r="BA889" s="335"/>
      <c r="BB889" s="335"/>
      <c r="BC889" s="335"/>
      <c r="BD889" s="335"/>
      <c r="BE889" s="335"/>
    </row>
    <row r="890" customFormat="false" ht="14.15" hidden="false" customHeight="true" outlineLevel="0" collapsed="false">
      <c r="A890" s="645" t="s">
        <v>2236</v>
      </c>
      <c r="B890" s="645"/>
      <c r="C890" s="645"/>
      <c r="D890" s="645"/>
      <c r="E890" s="645"/>
      <c r="F890" s="631" t="s">
        <v>1798</v>
      </c>
      <c r="H890" s="625"/>
      <c r="I890" s="625"/>
      <c r="J890" s="625"/>
      <c r="K890" s="625"/>
      <c r="L890" s="625"/>
      <c r="M890" s="600"/>
      <c r="N890" s="600"/>
      <c r="O890" s="600"/>
      <c r="P890" s="358"/>
      <c r="Q890" s="358"/>
      <c r="R890" s="358"/>
      <c r="S890" s="347"/>
      <c r="T890" s="358"/>
      <c r="U890" s="347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  <c r="AF890" s="358"/>
      <c r="AG890" s="358"/>
      <c r="AH890" s="358"/>
      <c r="AI890" s="358"/>
      <c r="AJ890" s="358"/>
      <c r="AK890" s="358"/>
      <c r="AL890" s="358"/>
      <c r="AM890" s="358"/>
      <c r="AN890" s="358"/>
      <c r="AO890" s="359"/>
      <c r="AP890" s="359"/>
      <c r="AQ890" s="334"/>
      <c r="AR890" s="334"/>
      <c r="AS890" s="334"/>
      <c r="AT890" s="334"/>
      <c r="AU890" s="334"/>
      <c r="AV890" s="388" t="n">
        <f aca="false">M890</f>
        <v>0</v>
      </c>
      <c r="AW890" s="335"/>
      <c r="AX890" s="335"/>
      <c r="AY890" s="335"/>
      <c r="AZ890" s="335"/>
      <c r="BA890" s="335"/>
      <c r="BB890" s="335"/>
      <c r="BC890" s="335"/>
      <c r="BD890" s="335"/>
      <c r="BE890" s="335"/>
    </row>
    <row r="891" customFormat="false" ht="14.15" hidden="false" customHeight="true" outlineLevel="0" collapsed="false">
      <c r="A891" s="489"/>
      <c r="B891" s="348"/>
      <c r="C891" s="489"/>
      <c r="D891" s="489"/>
      <c r="E891" s="489"/>
      <c r="F891" s="489"/>
      <c r="G891" s="489"/>
      <c r="H891" s="348"/>
      <c r="I891" s="461"/>
      <c r="J891" s="347"/>
      <c r="P891" s="371"/>
      <c r="Q891" s="358"/>
      <c r="R891" s="358"/>
      <c r="S891" s="358"/>
      <c r="T891" s="358"/>
      <c r="AI891" s="358"/>
      <c r="AJ891" s="358"/>
      <c r="AK891" s="358"/>
      <c r="AL891" s="358"/>
      <c r="AM891" s="358"/>
      <c r="AN891" s="358"/>
      <c r="AO891" s="359"/>
      <c r="AP891" s="359"/>
      <c r="AQ891" s="334"/>
      <c r="AR891" s="334"/>
      <c r="AS891" s="334"/>
      <c r="AT891" s="334"/>
      <c r="AU891" s="334"/>
      <c r="AV891" s="334"/>
      <c r="AW891" s="335"/>
      <c r="AX891" s="335"/>
      <c r="AY891" s="335"/>
      <c r="AZ891" s="335"/>
      <c r="BA891" s="335"/>
      <c r="BB891" s="335"/>
      <c r="BC891" s="335"/>
      <c r="BD891" s="335"/>
      <c r="BE891" s="335"/>
    </row>
    <row r="892" customFormat="false" ht="14.15" hidden="true" customHeight="true" outlineLevel="1" collapsed="false">
      <c r="A892" s="697" t="s">
        <v>2237</v>
      </c>
      <c r="B892" s="697"/>
      <c r="C892" s="697"/>
      <c r="D892" s="697"/>
      <c r="E892" s="697"/>
      <c r="F892" s="697"/>
      <c r="G892" s="697"/>
      <c r="AI892" s="648"/>
      <c r="AJ892" s="347"/>
      <c r="AK892" s="347"/>
      <c r="AL892" s="347"/>
      <c r="AM892" s="347"/>
      <c r="AN892" s="347"/>
      <c r="AO892" s="351"/>
      <c r="AP892" s="351"/>
      <c r="AQ892" s="335"/>
      <c r="AR892" s="335"/>
      <c r="AS892" s="335"/>
      <c r="AT892" s="335"/>
      <c r="AU892" s="335"/>
      <c r="AV892" s="335"/>
      <c r="AW892" s="335"/>
      <c r="AX892" s="335"/>
      <c r="AY892" s="335"/>
      <c r="AZ892" s="335"/>
      <c r="BA892" s="335"/>
      <c r="BB892" s="335"/>
      <c r="BC892" s="335"/>
      <c r="BD892" s="335"/>
      <c r="BE892" s="335"/>
    </row>
    <row r="893" customFormat="false" ht="14.15" hidden="true" customHeight="true" outlineLevel="1" collapsed="false">
      <c r="A893" s="697"/>
      <c r="B893" s="697"/>
      <c r="C893" s="697"/>
      <c r="D893" s="697"/>
      <c r="E893" s="697"/>
      <c r="F893" s="697"/>
      <c r="G893" s="697"/>
      <c r="AI893" s="648"/>
      <c r="AJ893" s="347"/>
      <c r="AK893" s="347"/>
      <c r="AL893" s="347"/>
      <c r="AM893" s="347"/>
      <c r="AN893" s="347"/>
      <c r="AO893" s="351"/>
      <c r="AP893" s="351"/>
      <c r="AQ893" s="335"/>
      <c r="AR893" s="335"/>
      <c r="AS893" s="335"/>
      <c r="AT893" s="335"/>
      <c r="AU893" s="335"/>
      <c r="AV893" s="335"/>
      <c r="AW893" s="335"/>
      <c r="AX893" s="335"/>
      <c r="AY893" s="335"/>
      <c r="AZ893" s="335"/>
      <c r="BA893" s="335"/>
      <c r="BB893" s="335"/>
      <c r="BC893" s="335"/>
      <c r="BD893" s="335"/>
      <c r="BE893" s="335"/>
    </row>
    <row r="894" customFormat="false" ht="14.15" hidden="true" customHeight="true" outlineLevel="1" collapsed="false">
      <c r="A894" s="415" t="s">
        <v>1806</v>
      </c>
      <c r="B894" s="698"/>
      <c r="C894" s="699"/>
      <c r="D894" s="368" t="n">
        <v>1.1</v>
      </c>
      <c r="G894" s="648"/>
      <c r="H894" s="648"/>
      <c r="I894" s="648"/>
      <c r="J894" s="359"/>
      <c r="P894" s="445"/>
      <c r="Q894" s="648"/>
      <c r="R894" s="648"/>
      <c r="S894" s="648"/>
      <c r="T894" s="648"/>
      <c r="U894" s="371"/>
      <c r="V894" s="371"/>
      <c r="W894" s="371"/>
      <c r="X894" s="371"/>
      <c r="Y894" s="371"/>
      <c r="Z894" s="371"/>
      <c r="AA894" s="371"/>
      <c r="AB894" s="445"/>
      <c r="AC894" s="445"/>
      <c r="AD894" s="445"/>
      <c r="AE894" s="445"/>
      <c r="AF894" s="445"/>
      <c r="AG894" s="445"/>
      <c r="AH894" s="700"/>
      <c r="AI894" s="648"/>
      <c r="AJ894" s="347"/>
      <c r="AK894" s="347"/>
      <c r="AL894" s="347"/>
      <c r="AM894" s="347"/>
      <c r="AN894" s="347"/>
      <c r="AO894" s="351"/>
      <c r="AP894" s="351"/>
      <c r="AQ894" s="335"/>
      <c r="AR894" s="335"/>
      <c r="AS894" s="335"/>
      <c r="AT894" s="335"/>
      <c r="AU894" s="335"/>
      <c r="AV894" s="335"/>
      <c r="AW894" s="335"/>
      <c r="AX894" s="335"/>
      <c r="AY894" s="335"/>
      <c r="AZ894" s="335"/>
      <c r="BA894" s="335"/>
      <c r="BB894" s="335"/>
      <c r="BC894" s="335"/>
      <c r="BD894" s="335"/>
      <c r="BE894" s="335"/>
    </row>
    <row r="895" customFormat="false" ht="14.15" hidden="true" customHeight="true" outlineLevel="1" collapsed="false">
      <c r="A895" s="415" t="s">
        <v>1808</v>
      </c>
      <c r="B895" s="698"/>
      <c r="C895" s="699"/>
      <c r="D895" s="368" t="n">
        <v>1</v>
      </c>
      <c r="E895" s="521" t="s">
        <v>156</v>
      </c>
      <c r="G895" s="648"/>
      <c r="H895" s="648"/>
      <c r="J895" s="349"/>
      <c r="K895" s="347"/>
      <c r="L895" s="347"/>
      <c r="M895" s="701"/>
      <c r="N895" s="371"/>
      <c r="O895" s="371"/>
      <c r="P895" s="347"/>
      <c r="Q895" s="648"/>
      <c r="R895" s="648"/>
      <c r="S895" s="648"/>
      <c r="T895" s="648"/>
      <c r="U895" s="680" t="n">
        <v>0.6</v>
      </c>
      <c r="V895" s="701"/>
      <c r="W895" s="701" t="n">
        <v>42</v>
      </c>
      <c r="X895" s="701"/>
      <c r="Y895" s="701"/>
      <c r="Z895" s="701"/>
      <c r="AA895" s="701"/>
      <c r="AB895" s="701"/>
      <c r="AC895" s="701"/>
      <c r="AD895" s="701"/>
      <c r="AE895" s="701"/>
      <c r="AF895" s="701"/>
      <c r="AG895" s="702"/>
      <c r="AH895" s="703" t="n">
        <v>0.6</v>
      </c>
      <c r="AI895" s="648"/>
      <c r="AJ895" s="347"/>
      <c r="AK895" s="347"/>
      <c r="AL895" s="347"/>
      <c r="AM895" s="347"/>
      <c r="AN895" s="347"/>
      <c r="AO895" s="351"/>
      <c r="AP895" s="351"/>
      <c r="AQ895" s="335"/>
      <c r="AR895" s="335"/>
      <c r="AS895" s="335"/>
      <c r="AT895" s="335"/>
      <c r="AU895" s="335"/>
      <c r="AV895" s="335"/>
      <c r="AW895" s="335"/>
      <c r="AX895" s="335"/>
      <c r="AY895" s="335"/>
      <c r="AZ895" s="335"/>
      <c r="BA895" s="335"/>
      <c r="BB895" s="335"/>
      <c r="BC895" s="335"/>
      <c r="BD895" s="335"/>
      <c r="BE895" s="335"/>
    </row>
    <row r="896" customFormat="false" ht="14.15" hidden="true" customHeight="true" outlineLevel="1" collapsed="false">
      <c r="A896" s="244"/>
      <c r="B896" s="704"/>
      <c r="C896" s="648"/>
      <c r="D896" s="342"/>
      <c r="E896" s="349" t="n">
        <f aca="false">'Ввод данных'!F205</f>
        <v>7.8</v>
      </c>
      <c r="G896" s="648"/>
      <c r="H896" s="648"/>
      <c r="I896" s="648"/>
      <c r="J896" s="359"/>
      <c r="K896" s="702"/>
      <c r="L896" s="702"/>
      <c r="M896" s="702"/>
      <c r="N896" s="702"/>
      <c r="O896" s="702"/>
      <c r="P896" s="359"/>
      <c r="Q896" s="648"/>
      <c r="R896" s="648"/>
      <c r="S896" s="648"/>
      <c r="T896" s="648"/>
      <c r="U896" s="705" t="n">
        <v>0.6</v>
      </c>
      <c r="V896" s="680"/>
      <c r="W896" s="680" t="n">
        <v>39</v>
      </c>
      <c r="X896" s="680"/>
      <c r="Y896" s="680"/>
      <c r="Z896" s="680"/>
      <c r="AA896" s="680"/>
      <c r="AB896" s="680"/>
      <c r="AC896" s="680"/>
      <c r="AD896" s="680"/>
      <c r="AE896" s="680"/>
      <c r="AF896" s="680"/>
      <c r="AG896" s="703"/>
      <c r="AH896" s="703" t="n">
        <v>0.6</v>
      </c>
      <c r="AI896" s="648"/>
      <c r="AJ896" s="347"/>
      <c r="AK896" s="347"/>
      <c r="AL896" s="347"/>
      <c r="AM896" s="347"/>
      <c r="AN896" s="347"/>
      <c r="AO896" s="351"/>
      <c r="AP896" s="351"/>
      <c r="AQ896" s="335"/>
      <c r="AR896" s="335"/>
      <c r="AS896" s="335"/>
      <c r="AT896" s="335"/>
      <c r="AU896" s="335"/>
      <c r="AV896" s="335"/>
      <c r="AW896" s="335"/>
      <c r="AX896" s="335"/>
      <c r="AY896" s="335"/>
      <c r="AZ896" s="335"/>
      <c r="BA896" s="335"/>
      <c r="BB896" s="335"/>
      <c r="BC896" s="335"/>
      <c r="BD896" s="335"/>
      <c r="BE896" s="335"/>
    </row>
    <row r="897" customFormat="false" ht="14.15" hidden="true" customHeight="true" outlineLevel="1" collapsed="false">
      <c r="A897" s="706" t="s">
        <v>2238</v>
      </c>
      <c r="B897" s="598"/>
      <c r="C897" s="676"/>
      <c r="D897" s="676"/>
      <c r="F897" s="446"/>
      <c r="G897" s="676"/>
      <c r="H897" s="347" t="s">
        <v>2239</v>
      </c>
      <c r="I897" s="358"/>
      <c r="J897" s="680"/>
      <c r="K897" s="680"/>
      <c r="L897" s="680"/>
      <c r="M897" s="680"/>
      <c r="N897" s="680"/>
      <c r="O897" s="680"/>
      <c r="P897" s="680"/>
      <c r="Q897" s="358"/>
      <c r="R897" s="347" t="s">
        <v>2240</v>
      </c>
      <c r="S897" s="648"/>
      <c r="T897" s="648"/>
      <c r="U897" s="705" t="n">
        <v>0.6</v>
      </c>
      <c r="V897" s="680"/>
      <c r="W897" s="680" t="n">
        <v>36</v>
      </c>
      <c r="X897" s="680"/>
      <c r="Y897" s="680"/>
      <c r="Z897" s="680"/>
      <c r="AA897" s="680"/>
      <c r="AB897" s="680"/>
      <c r="AC897" s="680"/>
      <c r="AD897" s="680"/>
      <c r="AE897" s="680"/>
      <c r="AF897" s="680"/>
      <c r="AG897" s="703"/>
      <c r="AH897" s="703" t="n">
        <v>0.6</v>
      </c>
      <c r="AI897" s="707"/>
      <c r="AJ897" s="347"/>
      <c r="AK897" s="347"/>
      <c r="AL897" s="347"/>
      <c r="AM897" s="347"/>
      <c r="AN897" s="347"/>
      <c r="AO897" s="351"/>
      <c r="AP897" s="351"/>
      <c r="AQ897" s="335"/>
      <c r="AR897" s="335"/>
      <c r="AS897" s="335"/>
      <c r="AT897" s="335"/>
      <c r="AU897" s="335"/>
      <c r="AV897" s="335"/>
      <c r="AW897" s="335"/>
      <c r="AX897" s="335"/>
      <c r="AY897" s="335"/>
      <c r="AZ897" s="335"/>
      <c r="BA897" s="335"/>
      <c r="BB897" s="335"/>
      <c r="BC897" s="335"/>
      <c r="BD897" s="335"/>
      <c r="BE897" s="335"/>
    </row>
    <row r="898" customFormat="false" ht="14.15" hidden="true" customHeight="true" outlineLevel="1" collapsed="false">
      <c r="A898" s="324" t="s">
        <v>2241</v>
      </c>
      <c r="B898" s="598"/>
      <c r="C898" s="676"/>
      <c r="E898" s="676"/>
      <c r="F898" s="676"/>
      <c r="G898" s="676"/>
      <c r="H898" s="680"/>
      <c r="I898" s="680"/>
      <c r="J898" s="680"/>
      <c r="K898" s="680"/>
      <c r="L898" s="680"/>
      <c r="M898" s="680"/>
      <c r="N898" s="680"/>
      <c r="O898" s="680"/>
      <c r="P898" s="680"/>
      <c r="Q898" s="680"/>
      <c r="R898" s="680"/>
      <c r="S898" s="648"/>
      <c r="T898" s="648"/>
      <c r="U898" s="347" t="s">
        <v>2242</v>
      </c>
      <c r="V898" s="708"/>
      <c r="W898" s="358"/>
      <c r="X898" s="358"/>
      <c r="Y898" s="347"/>
      <c r="Z898" s="358"/>
      <c r="AA898" s="358"/>
      <c r="AB898" s="351"/>
      <c r="AC898" s="351"/>
      <c r="AD898" s="351"/>
      <c r="AE898" s="359"/>
      <c r="AF898" s="359"/>
      <c r="AG898" s="709"/>
      <c r="AH898" s="351" t="s">
        <v>2243</v>
      </c>
      <c r="AI898" s="707"/>
      <c r="AJ898" s="347"/>
      <c r="AK898" s="347"/>
      <c r="AL898" s="347"/>
      <c r="AM898" s="347"/>
      <c r="AN898" s="347"/>
      <c r="AO898" s="351"/>
      <c r="AP898" s="351"/>
      <c r="AQ898" s="335"/>
      <c r="AR898" s="335"/>
      <c r="AS898" s="335"/>
      <c r="AT898" s="335"/>
      <c r="AU898" s="335"/>
      <c r="AV898" s="335"/>
      <c r="AW898" s="335"/>
      <c r="AX898" s="335"/>
      <c r="AY898" s="335"/>
      <c r="AZ898" s="335"/>
      <c r="BA898" s="335"/>
      <c r="BB898" s="335"/>
      <c r="BC898" s="335"/>
      <c r="BD898" s="335"/>
      <c r="BE898" s="335"/>
    </row>
    <row r="899" customFormat="false" ht="14.15" hidden="true" customHeight="true" outlineLevel="1" collapsed="false">
      <c r="A899" s="695" t="s">
        <v>305</v>
      </c>
      <c r="B899" s="355"/>
      <c r="C899" s="355"/>
      <c r="D899" s="676"/>
      <c r="F899" s="349"/>
      <c r="G899" s="676"/>
      <c r="H899" s="474" t="n">
        <v>0.3</v>
      </c>
      <c r="I899" s="710"/>
      <c r="J899" s="711" t="s">
        <v>2244</v>
      </c>
      <c r="K899" s="676"/>
      <c r="L899" s="676"/>
      <c r="M899" s="676"/>
      <c r="N899" s="676"/>
      <c r="O899" s="676"/>
      <c r="P899" s="676"/>
      <c r="Q899" s="710"/>
      <c r="R899" s="474" t="n">
        <v>0.3</v>
      </c>
      <c r="S899" s="676"/>
      <c r="T899" s="676"/>
      <c r="U899" s="474" t="n">
        <v>0.3</v>
      </c>
      <c r="V899" s="710"/>
      <c r="W899" s="560" t="s">
        <v>2244</v>
      </c>
      <c r="X899" s="710"/>
      <c r="Y899" s="710"/>
      <c r="Z899" s="710"/>
      <c r="AA899" s="710"/>
      <c r="AB899" s="710"/>
      <c r="AC899" s="712"/>
      <c r="AD899" s="713"/>
      <c r="AE899" s="713"/>
      <c r="AF899" s="714"/>
      <c r="AG899" s="715"/>
      <c r="AH899" s="474" t="n">
        <v>0.3</v>
      </c>
      <c r="AS899" s="335"/>
      <c r="AT899" s="335"/>
      <c r="AU899" s="335"/>
      <c r="AV899" s="335"/>
      <c r="AW899" s="335"/>
      <c r="AX899" s="335"/>
      <c r="AY899" s="335"/>
      <c r="AZ899" s="335"/>
      <c r="BA899" s="335"/>
      <c r="BB899" s="335"/>
      <c r="BC899" s="335"/>
      <c r="BD899" s="335"/>
      <c r="BE899" s="335"/>
    </row>
    <row r="900" customFormat="false" ht="14.15" hidden="true" customHeight="true" outlineLevel="1" collapsed="false">
      <c r="A900" s="358" t="s">
        <v>2245</v>
      </c>
      <c r="B900" s="371"/>
      <c r="C900" s="358"/>
      <c r="D900" s="676"/>
      <c r="E900" s="521" t="s">
        <v>156</v>
      </c>
      <c r="H900" s="474" t="n">
        <v>0.3</v>
      </c>
      <c r="I900" s="710"/>
      <c r="J900" s="687" t="s">
        <v>2246</v>
      </c>
      <c r="K900" s="713"/>
      <c r="L900" s="713"/>
      <c r="M900" s="713"/>
      <c r="N900" s="713"/>
      <c r="O900" s="713"/>
      <c r="P900" s="716"/>
      <c r="Q900" s="710"/>
      <c r="R900" s="474" t="n">
        <v>0.3</v>
      </c>
      <c r="S900" s="676"/>
      <c r="T900" s="676"/>
      <c r="U900" s="474" t="n">
        <v>0.3</v>
      </c>
      <c r="V900" s="717"/>
      <c r="W900" s="503" t="s">
        <v>2246</v>
      </c>
      <c r="X900" s="676"/>
      <c r="Y900" s="676"/>
      <c r="Z900" s="676"/>
      <c r="AA900" s="676"/>
      <c r="AB900" s="676"/>
      <c r="AC900" s="676"/>
      <c r="AD900" s="676"/>
      <c r="AE900" s="676"/>
      <c r="AF900" s="704"/>
      <c r="AG900" s="718"/>
      <c r="AH900" s="474" t="n">
        <v>0.3</v>
      </c>
      <c r="AS900" s="335"/>
      <c r="AT900" s="335"/>
      <c r="AU900" s="335"/>
      <c r="AV900" s="335"/>
      <c r="AW900" s="335"/>
      <c r="AX900" s="335"/>
      <c r="AY900" s="335"/>
      <c r="AZ900" s="335"/>
      <c r="BA900" s="335"/>
      <c r="BB900" s="335"/>
      <c r="BC900" s="335"/>
      <c r="BD900" s="335"/>
      <c r="BE900" s="335"/>
    </row>
    <row r="901" customFormat="false" ht="14.15" hidden="true" customHeight="true" outlineLevel="1" collapsed="false">
      <c r="A901" s="719" t="s">
        <v>307</v>
      </c>
      <c r="B901" s="371"/>
      <c r="C901" s="358"/>
      <c r="D901" s="676"/>
      <c r="E901" s="446" t="n">
        <f aca="false">'Ввод данных'!H5</f>
        <v>5.3</v>
      </c>
      <c r="G901" s="353"/>
      <c r="H901" s="474" t="n">
        <v>0.3</v>
      </c>
      <c r="I901" s="474"/>
      <c r="J901" s="720" t="s">
        <v>2247</v>
      </c>
      <c r="K901" s="347"/>
      <c r="L901" s="347"/>
      <c r="M901" s="347"/>
      <c r="N901" s="347"/>
      <c r="O901" s="347"/>
      <c r="P901" s="347"/>
      <c r="Q901" s="474"/>
      <c r="R901" s="474" t="n">
        <v>0.3</v>
      </c>
      <c r="S901" s="347"/>
      <c r="T901" s="347"/>
      <c r="U901" s="474" t="n">
        <v>0.3</v>
      </c>
      <c r="V901" s="370"/>
      <c r="W901" s="687" t="s">
        <v>2247</v>
      </c>
      <c r="X901" s="721"/>
      <c r="Y901" s="721"/>
      <c r="Z901" s="721"/>
      <c r="AA901" s="721"/>
      <c r="AB901" s="721"/>
      <c r="AC901" s="721"/>
      <c r="AD901" s="721"/>
      <c r="AE901" s="721"/>
      <c r="AF901" s="398"/>
      <c r="AG901" s="370"/>
      <c r="AH901" s="474" t="n">
        <v>0.3</v>
      </c>
      <c r="AS901" s="335"/>
      <c r="AT901" s="335"/>
      <c r="AU901" s="335"/>
      <c r="AV901" s="335"/>
      <c r="AW901" s="335"/>
      <c r="AX901" s="335"/>
      <c r="AY901" s="335"/>
      <c r="AZ901" s="335"/>
      <c r="BA901" s="335"/>
      <c r="BB901" s="335"/>
      <c r="BC901" s="335"/>
      <c r="BD901" s="335"/>
      <c r="BE901" s="335"/>
    </row>
    <row r="902" customFormat="false" ht="14.15" hidden="true" customHeight="true" outlineLevel="1" collapsed="false">
      <c r="A902" s="358" t="s">
        <v>2248</v>
      </c>
      <c r="B902" s="371"/>
      <c r="C902" s="358"/>
      <c r="G902" s="353"/>
      <c r="H902" s="474" t="n">
        <v>0.3</v>
      </c>
      <c r="I902" s="722"/>
      <c r="J902" s="687" t="s">
        <v>2249</v>
      </c>
      <c r="K902" s="723"/>
      <c r="L902" s="723"/>
      <c r="M902" s="723"/>
      <c r="N902" s="723"/>
      <c r="O902" s="724"/>
      <c r="P902" s="725"/>
      <c r="Q902" s="474"/>
      <c r="R902" s="474" t="n">
        <v>0.3</v>
      </c>
      <c r="S902" s="358"/>
      <c r="T902" s="347"/>
      <c r="U902" s="474" t="n">
        <v>0.3</v>
      </c>
      <c r="V902" s="680"/>
      <c r="W902" s="503" t="s">
        <v>2249</v>
      </c>
      <c r="X902" s="371"/>
      <c r="Y902" s="371"/>
      <c r="Z902" s="371"/>
      <c r="AA902" s="371"/>
      <c r="AB902" s="445"/>
      <c r="AC902" s="445"/>
      <c r="AD902" s="445"/>
      <c r="AE902" s="445"/>
      <c r="AF902" s="445"/>
      <c r="AG902" s="703"/>
      <c r="AH902" s="474" t="n">
        <v>0.3</v>
      </c>
      <c r="AS902" s="335"/>
      <c r="AT902" s="335"/>
      <c r="AU902" s="335"/>
      <c r="AV902" s="335"/>
      <c r="AW902" s="335"/>
      <c r="AX902" s="335"/>
      <c r="AY902" s="335"/>
      <c r="AZ902" s="335"/>
      <c r="BA902" s="335"/>
      <c r="BB902" s="335"/>
      <c r="BC902" s="335"/>
      <c r="BD902" s="335"/>
      <c r="BE902" s="335"/>
    </row>
    <row r="903" customFormat="false" ht="14.15" hidden="true" customHeight="true" outlineLevel="1" collapsed="false">
      <c r="A903" s="719" t="s">
        <v>308</v>
      </c>
      <c r="B903" s="371"/>
      <c r="C903" s="358"/>
      <c r="E903" s="521" t="s">
        <v>156</v>
      </c>
      <c r="G903" s="353"/>
      <c r="H903" s="474" t="n">
        <v>0.3</v>
      </c>
      <c r="I903" s="722"/>
      <c r="J903" s="720" t="s">
        <v>2250</v>
      </c>
      <c r="K903" s="347"/>
      <c r="L903" s="347"/>
      <c r="M903" s="347"/>
      <c r="N903" s="347"/>
      <c r="O903" s="371"/>
      <c r="P903" s="371"/>
      <c r="Q903" s="474"/>
      <c r="R903" s="474" t="n">
        <v>0.3</v>
      </c>
      <c r="S903" s="358"/>
      <c r="T903" s="347"/>
      <c r="U903" s="474" t="n">
        <v>0.3</v>
      </c>
      <c r="V903" s="680"/>
      <c r="W903" s="687" t="s">
        <v>2250</v>
      </c>
      <c r="X903" s="724"/>
      <c r="Y903" s="724"/>
      <c r="Z903" s="724"/>
      <c r="AA903" s="724"/>
      <c r="AB903" s="726"/>
      <c r="AC903" s="726"/>
      <c r="AD903" s="726"/>
      <c r="AE903" s="726"/>
      <c r="AF903" s="727"/>
      <c r="AG903" s="703"/>
      <c r="AH903" s="474" t="n">
        <v>0.3</v>
      </c>
      <c r="AS903" s="335"/>
      <c r="AT903" s="335"/>
      <c r="AU903" s="335"/>
      <c r="AV903" s="335"/>
      <c r="AW903" s="335"/>
      <c r="AX903" s="335"/>
      <c r="AY903" s="335"/>
      <c r="AZ903" s="335"/>
      <c r="BA903" s="335"/>
      <c r="BB903" s="335"/>
      <c r="BC903" s="335"/>
      <c r="BD903" s="335"/>
      <c r="BE903" s="335"/>
    </row>
    <row r="904" customFormat="false" ht="14.15" hidden="true" customHeight="true" outlineLevel="1" collapsed="false">
      <c r="A904" s="324" t="s">
        <v>2251</v>
      </c>
      <c r="E904" s="349" t="n">
        <f aca="false">'Ввод данных'!H10</f>
        <v>5.2</v>
      </c>
      <c r="F904" s="446"/>
      <c r="G904" s="371"/>
      <c r="H904" s="474" t="n">
        <v>0.3</v>
      </c>
      <c r="I904" s="722"/>
      <c r="J904" s="687" t="s">
        <v>2252</v>
      </c>
      <c r="K904" s="723"/>
      <c r="L904" s="723"/>
      <c r="M904" s="723"/>
      <c r="N904" s="723"/>
      <c r="O904" s="724"/>
      <c r="P904" s="725"/>
      <c r="Q904" s="474"/>
      <c r="R904" s="474" t="n">
        <v>0.3</v>
      </c>
      <c r="S904" s="358"/>
      <c r="T904" s="347"/>
      <c r="U904" s="474" t="n">
        <v>0.3</v>
      </c>
      <c r="V904" s="680"/>
      <c r="W904" s="503" t="s">
        <v>2252</v>
      </c>
      <c r="X904" s="371"/>
      <c r="Y904" s="371"/>
      <c r="Z904" s="371"/>
      <c r="AA904" s="371"/>
      <c r="AB904" s="445"/>
      <c r="AC904" s="445"/>
      <c r="AD904" s="445"/>
      <c r="AE904" s="445"/>
      <c r="AF904" s="445"/>
      <c r="AG904" s="703"/>
      <c r="AH904" s="474" t="n">
        <v>0.3</v>
      </c>
      <c r="AS904" s="335"/>
      <c r="AT904" s="335"/>
      <c r="AU904" s="335"/>
      <c r="AV904" s="335"/>
      <c r="AW904" s="335"/>
      <c r="AX904" s="335"/>
      <c r="AY904" s="335"/>
      <c r="AZ904" s="335"/>
      <c r="BA904" s="335"/>
      <c r="BB904" s="335"/>
      <c r="BC904" s="335"/>
      <c r="BD904" s="335"/>
      <c r="BE904" s="335"/>
    </row>
    <row r="905" customFormat="false" ht="14.15" hidden="true" customHeight="true" outlineLevel="1" collapsed="false">
      <c r="A905" s="695" t="s">
        <v>295</v>
      </c>
      <c r="E905" s="619"/>
      <c r="F905" s="619"/>
      <c r="G905" s="469"/>
      <c r="H905" s="474" t="n">
        <v>0.3</v>
      </c>
      <c r="I905" s="722"/>
      <c r="J905" s="720" t="s">
        <v>2253</v>
      </c>
      <c r="K905" s="347"/>
      <c r="L905" s="347"/>
      <c r="M905" s="347"/>
      <c r="N905" s="347"/>
      <c r="O905" s="371"/>
      <c r="P905" s="371"/>
      <c r="Q905" s="474"/>
      <c r="R905" s="474" t="n">
        <v>0.3</v>
      </c>
      <c r="S905" s="358"/>
      <c r="T905" s="347"/>
      <c r="U905" s="474" t="n">
        <v>0.3</v>
      </c>
      <c r="V905" s="680"/>
      <c r="W905" s="687" t="s">
        <v>2253</v>
      </c>
      <c r="X905" s="724"/>
      <c r="Y905" s="724"/>
      <c r="Z905" s="724"/>
      <c r="AA905" s="724"/>
      <c r="AB905" s="726"/>
      <c r="AC905" s="726"/>
      <c r="AD905" s="726"/>
      <c r="AE905" s="726"/>
      <c r="AF905" s="727"/>
      <c r="AG905" s="703"/>
      <c r="AH905" s="474" t="n">
        <v>0.3</v>
      </c>
      <c r="AS905" s="335"/>
      <c r="AT905" s="335"/>
      <c r="AU905" s="335"/>
      <c r="AV905" s="335"/>
      <c r="AW905" s="335"/>
      <c r="AX905" s="335"/>
      <c r="AY905" s="335"/>
      <c r="AZ905" s="335"/>
      <c r="BA905" s="335"/>
      <c r="BB905" s="335"/>
      <c r="BC905" s="335"/>
      <c r="BD905" s="335"/>
      <c r="BE905" s="335"/>
    </row>
    <row r="906" customFormat="false" ht="14.15" hidden="true" customHeight="true" outlineLevel="1" collapsed="false">
      <c r="G906" s="469"/>
      <c r="H906" s="474" t="n">
        <v>0.3</v>
      </c>
      <c r="I906" s="370"/>
      <c r="J906" s="687" t="s">
        <v>2254</v>
      </c>
      <c r="K906" s="723"/>
      <c r="L906" s="723"/>
      <c r="M906" s="723"/>
      <c r="N906" s="724"/>
      <c r="O906" s="724"/>
      <c r="P906" s="725"/>
      <c r="Q906" s="680"/>
      <c r="R906" s="474" t="n">
        <v>0.3</v>
      </c>
      <c r="S906" s="358"/>
      <c r="T906" s="347"/>
      <c r="U906" s="474" t="n">
        <v>0.3</v>
      </c>
      <c r="V906" s="680"/>
      <c r="W906" s="503" t="s">
        <v>2254</v>
      </c>
      <c r="X906" s="371"/>
      <c r="Y906" s="371"/>
      <c r="Z906" s="371"/>
      <c r="AA906" s="371"/>
      <c r="AB906" s="445"/>
      <c r="AC906" s="445"/>
      <c r="AD906" s="445"/>
      <c r="AE906" s="445"/>
      <c r="AF906" s="445"/>
      <c r="AG906" s="703"/>
      <c r="AH906" s="474" t="n">
        <v>0.3</v>
      </c>
      <c r="AS906" s="335"/>
      <c r="AT906" s="335"/>
      <c r="AU906" s="335"/>
      <c r="AV906" s="335"/>
      <c r="AW906" s="335"/>
      <c r="AX906" s="335"/>
      <c r="AY906" s="335"/>
      <c r="AZ906" s="335"/>
      <c r="BA906" s="335"/>
      <c r="BB906" s="335"/>
      <c r="BC906" s="335"/>
      <c r="BD906" s="335"/>
      <c r="BE906" s="335"/>
    </row>
    <row r="907" customFormat="false" ht="14.15" hidden="true" customHeight="true" outlineLevel="1" collapsed="false">
      <c r="A907" s="629" t="s">
        <v>2255</v>
      </c>
      <c r="B907" s="371"/>
      <c r="C907" s="619"/>
      <c r="D907" s="676"/>
      <c r="G907" s="619"/>
      <c r="H907" s="474" t="n">
        <v>0.3</v>
      </c>
      <c r="I907" s="370"/>
      <c r="J907" s="720" t="s">
        <v>2256</v>
      </c>
      <c r="Q907" s="680"/>
      <c r="R907" s="474" t="n">
        <v>0.3</v>
      </c>
      <c r="S907" s="358"/>
      <c r="T907" s="347"/>
      <c r="U907" s="474" t="n">
        <v>0.3</v>
      </c>
      <c r="V907" s="370"/>
      <c r="W907" s="687" t="s">
        <v>2256</v>
      </c>
      <c r="X907" s="721"/>
      <c r="Y907" s="721"/>
      <c r="Z907" s="721"/>
      <c r="AA907" s="721"/>
      <c r="AB907" s="721"/>
      <c r="AC907" s="721"/>
      <c r="AD907" s="721"/>
      <c r="AE907" s="721"/>
      <c r="AF907" s="398"/>
      <c r="AG907" s="370"/>
      <c r="AH907" s="474" t="n">
        <v>0.3</v>
      </c>
      <c r="AS907" s="335"/>
      <c r="AT907" s="335"/>
      <c r="AU907" s="335"/>
      <c r="AV907" s="335"/>
      <c r="AW907" s="335"/>
      <c r="AX907" s="335"/>
      <c r="AY907" s="335"/>
      <c r="AZ907" s="335"/>
      <c r="BA907" s="335"/>
      <c r="BB907" s="335"/>
      <c r="BC907" s="335"/>
      <c r="BD907" s="335"/>
      <c r="BE907" s="335"/>
    </row>
    <row r="908" customFormat="false" ht="14.15" hidden="true" customHeight="true" outlineLevel="1" collapsed="false">
      <c r="A908" s="324" t="s">
        <v>2241</v>
      </c>
      <c r="B908" s="371"/>
      <c r="C908" s="619"/>
      <c r="D908" s="355"/>
      <c r="E908" s="358"/>
      <c r="F908" s="358"/>
      <c r="G908" s="619"/>
      <c r="H908" s="474" t="n">
        <v>0.3</v>
      </c>
      <c r="I908" s="728"/>
      <c r="J908" s="687" t="s">
        <v>2257</v>
      </c>
      <c r="K908" s="721"/>
      <c r="L908" s="721"/>
      <c r="M908" s="721"/>
      <c r="N908" s="721"/>
      <c r="O908" s="721"/>
      <c r="P908" s="398"/>
      <c r="Q908" s="703"/>
      <c r="R908" s="474" t="n">
        <v>0.3</v>
      </c>
      <c r="S908" s="445"/>
      <c r="T908" s="358"/>
      <c r="U908" s="474" t="n">
        <v>0.3</v>
      </c>
      <c r="V908" s="370"/>
      <c r="W908" s="503" t="s">
        <v>2257</v>
      </c>
      <c r="X908" s="355"/>
      <c r="Y908" s="355"/>
      <c r="Z908" s="355"/>
      <c r="AA908" s="355"/>
      <c r="AB908" s="355"/>
      <c r="AC908" s="355"/>
      <c r="AD908" s="355"/>
      <c r="AE908" s="355"/>
      <c r="AF908" s="355"/>
      <c r="AG908" s="370"/>
      <c r="AH908" s="474" t="n">
        <v>0.3</v>
      </c>
      <c r="AS908" s="335"/>
      <c r="AT908" s="335"/>
      <c r="AU908" s="335"/>
      <c r="AV908" s="335"/>
      <c r="AW908" s="335"/>
      <c r="AX908" s="335"/>
      <c r="AY908" s="335"/>
      <c r="AZ908" s="335"/>
      <c r="BA908" s="335"/>
      <c r="BB908" s="335"/>
      <c r="BC908" s="335"/>
      <c r="BD908" s="335"/>
      <c r="BE908" s="335"/>
    </row>
    <row r="909" customFormat="false" ht="14.15" hidden="true" customHeight="true" outlineLevel="1" collapsed="false">
      <c r="A909" s="695" t="s">
        <v>404</v>
      </c>
      <c r="B909" s="371"/>
      <c r="C909" s="619"/>
      <c r="D909" s="355"/>
      <c r="G909" s="729"/>
      <c r="H909" s="474" t="n">
        <v>0.3</v>
      </c>
      <c r="I909" s="728"/>
      <c r="J909" s="730" t="s">
        <v>2258</v>
      </c>
      <c r="K909" s="731"/>
      <c r="L909" s="731"/>
      <c r="M909" s="731"/>
      <c r="N909" s="731"/>
      <c r="O909" s="731"/>
      <c r="P909" s="732"/>
      <c r="Q909" s="474"/>
      <c r="R909" s="474" t="n">
        <v>0.3</v>
      </c>
      <c r="S909" s="445"/>
      <c r="T909" s="355"/>
      <c r="U909" s="474" t="n">
        <v>0.3</v>
      </c>
      <c r="V909" s="370"/>
      <c r="W909" s="687" t="s">
        <v>2258</v>
      </c>
      <c r="X909" s="721"/>
      <c r="Y909" s="721"/>
      <c r="Z909" s="721"/>
      <c r="AA909" s="721"/>
      <c r="AB909" s="721"/>
      <c r="AC909" s="721"/>
      <c r="AD909" s="721"/>
      <c r="AE909" s="721"/>
      <c r="AF909" s="398"/>
      <c r="AG909" s="370"/>
      <c r="AH909" s="474" t="n">
        <v>0.3</v>
      </c>
      <c r="AW909" s="335"/>
      <c r="AX909" s="335"/>
      <c r="AY909" s="335"/>
      <c r="AZ909" s="335"/>
      <c r="BA909" s="335"/>
      <c r="BB909" s="335"/>
      <c r="BC909" s="335"/>
      <c r="BD909" s="335"/>
      <c r="BE909" s="335"/>
    </row>
    <row r="910" customFormat="false" ht="14.15" hidden="true" customHeight="true" outlineLevel="1" collapsed="false">
      <c r="A910" s="358" t="s">
        <v>2245</v>
      </c>
      <c r="E910" s="619"/>
      <c r="F910" s="619"/>
      <c r="G910" s="619"/>
      <c r="H910" s="474" t="n">
        <v>0.3</v>
      </c>
      <c r="I910" s="728"/>
      <c r="J910" s="687" t="s">
        <v>2259</v>
      </c>
      <c r="K910" s="721"/>
      <c r="L910" s="721"/>
      <c r="M910" s="721"/>
      <c r="N910" s="721"/>
      <c r="O910" s="721"/>
      <c r="P910" s="398"/>
      <c r="Q910" s="474"/>
      <c r="R910" s="474" t="n">
        <v>0.3</v>
      </c>
      <c r="S910" s="445"/>
      <c r="T910" s="355"/>
      <c r="U910" s="474" t="n">
        <v>0.3</v>
      </c>
      <c r="V910" s="370"/>
      <c r="W910" s="503" t="s">
        <v>2259</v>
      </c>
      <c r="X910" s="355"/>
      <c r="Y910" s="355"/>
      <c r="Z910" s="355"/>
      <c r="AA910" s="355"/>
      <c r="AB910" s="355"/>
      <c r="AC910" s="355"/>
      <c r="AD910" s="355"/>
      <c r="AE910" s="355"/>
      <c r="AF910" s="355"/>
      <c r="AG910" s="370"/>
      <c r="AH910" s="474" t="n">
        <v>0.3</v>
      </c>
      <c r="AW910" s="335"/>
      <c r="AX910" s="335"/>
      <c r="AY910" s="335"/>
      <c r="AZ910" s="335"/>
      <c r="BA910" s="335"/>
      <c r="BB910" s="335"/>
      <c r="BC910" s="335"/>
      <c r="BD910" s="335"/>
      <c r="BE910" s="335"/>
    </row>
    <row r="911" customFormat="false" ht="14.15" hidden="true" customHeight="true" outlineLevel="1" collapsed="false">
      <c r="A911" s="480" t="s">
        <v>401</v>
      </c>
      <c r="E911" s="619"/>
      <c r="F911" s="619"/>
      <c r="G911" s="619"/>
      <c r="H911" s="474" t="n">
        <v>0.3</v>
      </c>
      <c r="I911" s="370"/>
      <c r="J911" s="687" t="s">
        <v>2260</v>
      </c>
      <c r="K911" s="721"/>
      <c r="L911" s="721"/>
      <c r="M911" s="721"/>
      <c r="N911" s="721"/>
      <c r="O911" s="721"/>
      <c r="P911" s="398"/>
      <c r="Q911" s="370"/>
      <c r="R911" s="474" t="n">
        <v>0.3</v>
      </c>
      <c r="S911" s="371"/>
      <c r="T911" s="355"/>
      <c r="U911" s="474" t="n">
        <v>0.3</v>
      </c>
      <c r="V911" s="370"/>
      <c r="W911" s="687" t="s">
        <v>2260</v>
      </c>
      <c r="X911" s="721"/>
      <c r="Y911" s="721"/>
      <c r="Z911" s="721"/>
      <c r="AA911" s="721"/>
      <c r="AB911" s="721"/>
      <c r="AC911" s="721"/>
      <c r="AD911" s="721"/>
      <c r="AE911" s="721"/>
      <c r="AF911" s="398"/>
      <c r="AG911" s="370"/>
      <c r="AH911" s="474" t="n">
        <v>0.3</v>
      </c>
      <c r="AW911" s="335"/>
      <c r="AX911" s="335"/>
      <c r="AY911" s="335"/>
      <c r="AZ911" s="335"/>
      <c r="BA911" s="335"/>
      <c r="BB911" s="335"/>
      <c r="BC911" s="335"/>
      <c r="BD911" s="335"/>
      <c r="BE911" s="335"/>
    </row>
    <row r="912" customFormat="false" ht="14.15" hidden="true" customHeight="true" outlineLevel="1" collapsed="false">
      <c r="A912" s="358" t="s">
        <v>2248</v>
      </c>
      <c r="E912" s="358"/>
      <c r="F912" s="358"/>
      <c r="G912" s="347"/>
      <c r="H912" s="474" t="n">
        <v>0.3</v>
      </c>
      <c r="I912" s="370"/>
      <c r="J912" s="687" t="s">
        <v>2261</v>
      </c>
      <c r="K912" s="721"/>
      <c r="L912" s="721"/>
      <c r="M912" s="721"/>
      <c r="N912" s="721"/>
      <c r="O912" s="721"/>
      <c r="P912" s="398"/>
      <c r="Q912" s="370"/>
      <c r="R912" s="474" t="n">
        <v>0.3</v>
      </c>
      <c r="S912" s="371"/>
      <c r="T912" s="355"/>
      <c r="U912" s="474" t="n">
        <v>0.3</v>
      </c>
      <c r="V912" s="581"/>
      <c r="W912" s="503" t="s">
        <v>2261</v>
      </c>
      <c r="X912" s="355"/>
      <c r="Y912" s="355"/>
      <c r="Z912" s="355"/>
      <c r="AA912" s="355"/>
      <c r="AB912" s="355"/>
      <c r="AC912" s="355"/>
      <c r="AD912" s="355"/>
      <c r="AE912" s="355"/>
      <c r="AF912" s="355"/>
      <c r="AG912" s="581"/>
      <c r="AH912" s="474" t="n">
        <v>0.3</v>
      </c>
      <c r="AW912" s="335"/>
      <c r="AX912" s="335"/>
      <c r="AY912" s="335"/>
      <c r="AZ912" s="335"/>
      <c r="BA912" s="335"/>
      <c r="BB912" s="335"/>
      <c r="BC912" s="335"/>
      <c r="BD912" s="335"/>
      <c r="BE912" s="335"/>
    </row>
    <row r="913" customFormat="false" ht="14.15" hidden="true" customHeight="true" outlineLevel="1" collapsed="false">
      <c r="A913" s="480" t="s">
        <v>401</v>
      </c>
      <c r="E913" s="733"/>
      <c r="F913" s="733"/>
      <c r="G913" s="347"/>
      <c r="H913" s="474" t="n">
        <v>0.3</v>
      </c>
      <c r="I913" s="474"/>
      <c r="J913" s="734" t="s">
        <v>2262</v>
      </c>
      <c r="K913" s="735"/>
      <c r="L913" s="735"/>
      <c r="M913" s="735"/>
      <c r="N913" s="735"/>
      <c r="O913" s="735"/>
      <c r="P913" s="735"/>
      <c r="Q913" s="474"/>
      <c r="R913" s="474" t="n">
        <v>0.3</v>
      </c>
      <c r="S913" s="371"/>
      <c r="T913" s="355"/>
      <c r="U913" s="474" t="n">
        <v>0.3</v>
      </c>
      <c r="V913" s="474"/>
      <c r="W913" s="687" t="s">
        <v>2263</v>
      </c>
      <c r="X913" s="724"/>
      <c r="Y913" s="724"/>
      <c r="Z913" s="724"/>
      <c r="AA913" s="724"/>
      <c r="AB913" s="724"/>
      <c r="AC913" s="724"/>
      <c r="AD913" s="724"/>
      <c r="AE913" s="724"/>
      <c r="AF913" s="725"/>
      <c r="AG913" s="728"/>
      <c r="AH913" s="474" t="n">
        <v>0.3</v>
      </c>
      <c r="AW913" s="335"/>
      <c r="AX913" s="335"/>
      <c r="AY913" s="335"/>
      <c r="AZ913" s="335"/>
      <c r="BA913" s="335"/>
      <c r="BB913" s="335"/>
      <c r="BC913" s="335"/>
      <c r="BD913" s="335"/>
      <c r="BE913" s="335"/>
    </row>
    <row r="914" customFormat="false" ht="14.15" hidden="true" customHeight="true" outlineLevel="1" collapsed="false">
      <c r="A914" s="324" t="s">
        <v>2251</v>
      </c>
      <c r="E914" s="733"/>
      <c r="F914" s="733"/>
      <c r="G914" s="469"/>
      <c r="H914" s="474" t="n">
        <v>0.3</v>
      </c>
      <c r="I914" s="474"/>
      <c r="J914" s="687" t="s">
        <v>2264</v>
      </c>
      <c r="K914" s="724"/>
      <c r="L914" s="724"/>
      <c r="M914" s="724"/>
      <c r="N914" s="724"/>
      <c r="O914" s="724"/>
      <c r="P914" s="725"/>
      <c r="Q914" s="474"/>
      <c r="R914" s="474" t="n">
        <v>0.3</v>
      </c>
      <c r="S914" s="371"/>
      <c r="T914" s="355"/>
      <c r="U914" s="474" t="n">
        <v>0.3</v>
      </c>
      <c r="V914" s="736"/>
      <c r="W914" s="503" t="s">
        <v>2264</v>
      </c>
      <c r="X914" s="371"/>
      <c r="Y914" s="371"/>
      <c r="Z914" s="371"/>
      <c r="AA914" s="371"/>
      <c r="AB914" s="371"/>
      <c r="AC914" s="371"/>
      <c r="AD914" s="371"/>
      <c r="AE914" s="371"/>
      <c r="AF914" s="371"/>
      <c r="AG914" s="649"/>
      <c r="AH914" s="474" t="n">
        <v>0.3</v>
      </c>
      <c r="AW914" s="335"/>
      <c r="AX914" s="335"/>
      <c r="AY914" s="335"/>
      <c r="AZ914" s="335"/>
      <c r="BA914" s="335"/>
      <c r="BB914" s="335"/>
      <c r="BC914" s="335"/>
      <c r="BD914" s="335"/>
      <c r="BE914" s="335"/>
    </row>
    <row r="915" customFormat="false" ht="14.15" hidden="true" customHeight="true" outlineLevel="1" collapsed="false">
      <c r="A915" s="695" t="s">
        <v>404</v>
      </c>
      <c r="E915" s="446"/>
      <c r="F915" s="446"/>
      <c r="G915" s="469"/>
      <c r="H915" s="474" t="n">
        <v>0.3</v>
      </c>
      <c r="I915" s="474"/>
      <c r="J915" s="687" t="s">
        <v>2265</v>
      </c>
      <c r="K915" s="724"/>
      <c r="L915" s="724"/>
      <c r="M915" s="724"/>
      <c r="N915" s="724"/>
      <c r="O915" s="724"/>
      <c r="P915" s="725"/>
      <c r="Q915" s="474"/>
      <c r="R915" s="474" t="n">
        <v>0.3</v>
      </c>
      <c r="S915" s="371"/>
      <c r="T915" s="355"/>
      <c r="U915" s="474" t="n">
        <v>0.3</v>
      </c>
      <c r="V915" s="680"/>
      <c r="W915" s="687" t="s">
        <v>2266</v>
      </c>
      <c r="X915" s="724"/>
      <c r="Y915" s="724"/>
      <c r="Z915" s="724"/>
      <c r="AA915" s="724"/>
      <c r="AB915" s="724"/>
      <c r="AC915" s="724"/>
      <c r="AD915" s="724"/>
      <c r="AE915" s="724"/>
      <c r="AF915" s="725"/>
      <c r="AG915" s="703"/>
      <c r="AH915" s="474" t="n">
        <v>0.3</v>
      </c>
      <c r="AW915" s="335"/>
      <c r="AX915" s="335"/>
      <c r="AY915" s="335"/>
      <c r="AZ915" s="335"/>
      <c r="BA915" s="335"/>
      <c r="BB915" s="335"/>
      <c r="BC915" s="335"/>
      <c r="BD915" s="335"/>
      <c r="BE915" s="335"/>
    </row>
    <row r="916" customFormat="false" ht="14.15" hidden="true" customHeight="true" outlineLevel="1" collapsed="false">
      <c r="E916" s="521" t="s">
        <v>156</v>
      </c>
      <c r="F916" s="446"/>
      <c r="G916" s="469"/>
      <c r="H916" s="474" t="n">
        <v>0.3</v>
      </c>
      <c r="I916" s="680"/>
      <c r="J916" s="687" t="s">
        <v>2267</v>
      </c>
      <c r="K916" s="724"/>
      <c r="L916" s="724"/>
      <c r="M916" s="724"/>
      <c r="N916" s="724"/>
      <c r="O916" s="724"/>
      <c r="P916" s="725"/>
      <c r="Q916" s="474"/>
      <c r="R916" s="474" t="n">
        <v>0.3</v>
      </c>
      <c r="S916" s="371"/>
      <c r="T916" s="355"/>
      <c r="U916" s="474" t="n">
        <v>0.3</v>
      </c>
      <c r="V916" s="680"/>
      <c r="W916" s="503" t="s">
        <v>2268</v>
      </c>
      <c r="X916" s="371"/>
      <c r="Y916" s="371"/>
      <c r="Z916" s="371"/>
      <c r="AA916" s="371"/>
      <c r="AB916" s="371"/>
      <c r="AC916" s="371"/>
      <c r="AD916" s="371"/>
      <c r="AE916" s="371"/>
      <c r="AF916" s="371"/>
      <c r="AG916" s="703"/>
      <c r="AH916" s="474" t="n">
        <v>0.3</v>
      </c>
      <c r="AW916" s="335"/>
      <c r="AX916" s="335"/>
      <c r="AY916" s="335"/>
      <c r="AZ916" s="335"/>
      <c r="BA916" s="335"/>
      <c r="BB916" s="335"/>
      <c r="BC916" s="335"/>
      <c r="BD916" s="335"/>
      <c r="BE916" s="335"/>
    </row>
    <row r="917" customFormat="false" ht="14.15" hidden="true" customHeight="true" outlineLevel="1" collapsed="false">
      <c r="E917" s="349" t="n">
        <f aca="false">'Ввод данных'!H13</f>
        <v>3.2</v>
      </c>
      <c r="F917" s="358"/>
      <c r="G917" s="469"/>
      <c r="H917" s="474" t="n">
        <v>0.3</v>
      </c>
      <c r="I917" s="680"/>
      <c r="J917" s="687" t="s">
        <v>2269</v>
      </c>
      <c r="K917" s="724"/>
      <c r="L917" s="724"/>
      <c r="M917" s="724"/>
      <c r="N917" s="724"/>
      <c r="O917" s="724"/>
      <c r="P917" s="725"/>
      <c r="Q917" s="474"/>
      <c r="R917" s="474" t="n">
        <v>0.3</v>
      </c>
      <c r="S917" s="371"/>
      <c r="T917" s="355"/>
      <c r="U917" s="474" t="n">
        <v>0.3</v>
      </c>
      <c r="V917" s="680"/>
      <c r="W917" s="687" t="s">
        <v>2270</v>
      </c>
      <c r="X917" s="724"/>
      <c r="Y917" s="724"/>
      <c r="Z917" s="724"/>
      <c r="AA917" s="724"/>
      <c r="AB917" s="724"/>
      <c r="AC917" s="724"/>
      <c r="AD917" s="724"/>
      <c r="AE917" s="724"/>
      <c r="AF917" s="725"/>
      <c r="AG917" s="703"/>
      <c r="AH917" s="474" t="n">
        <v>0.3</v>
      </c>
      <c r="AW917" s="335"/>
      <c r="AX917" s="335"/>
      <c r="AY917" s="335"/>
      <c r="AZ917" s="335"/>
      <c r="BA917" s="335"/>
      <c r="BB917" s="335"/>
      <c r="BC917" s="335"/>
      <c r="BD917" s="335"/>
      <c r="BE917" s="335"/>
    </row>
    <row r="918" customFormat="false" ht="14.15" hidden="true" customHeight="true" outlineLevel="1" collapsed="false">
      <c r="A918" s="370" t="s">
        <v>2271</v>
      </c>
      <c r="B918" s="425" t="s">
        <v>156</v>
      </c>
      <c r="C918" s="370" t="n">
        <v>0.03</v>
      </c>
      <c r="E918" s="358"/>
      <c r="F918" s="358"/>
      <c r="G918" s="347"/>
      <c r="H918" s="474" t="n">
        <v>0.3</v>
      </c>
      <c r="I918" s="680"/>
      <c r="J918" s="687" t="s">
        <v>2272</v>
      </c>
      <c r="K918" s="724"/>
      <c r="L918" s="724"/>
      <c r="M918" s="724"/>
      <c r="N918" s="724"/>
      <c r="O918" s="724"/>
      <c r="P918" s="725"/>
      <c r="Q918" s="474"/>
      <c r="R918" s="474" t="n">
        <v>0.3</v>
      </c>
      <c r="S918" s="371"/>
      <c r="T918" s="355"/>
      <c r="U918" s="474" t="n">
        <v>0.3</v>
      </c>
      <c r="V918" s="680"/>
      <c r="W918" s="503" t="s">
        <v>2273</v>
      </c>
      <c r="X918" s="371"/>
      <c r="Y918" s="371"/>
      <c r="Z918" s="371"/>
      <c r="AA918" s="371"/>
      <c r="AB918" s="371"/>
      <c r="AC918" s="371"/>
      <c r="AD918" s="371"/>
      <c r="AE918" s="371"/>
      <c r="AF918" s="371"/>
      <c r="AG918" s="703"/>
      <c r="AH918" s="474" t="n">
        <v>0.3</v>
      </c>
      <c r="AW918" s="335"/>
      <c r="AX918" s="335"/>
      <c r="AY918" s="335"/>
      <c r="AZ918" s="335"/>
      <c r="BA918" s="335"/>
      <c r="BB918" s="335"/>
      <c r="BC918" s="335"/>
      <c r="BD918" s="335"/>
      <c r="BE918" s="335"/>
    </row>
    <row r="919" customFormat="false" ht="14.15" hidden="true" customHeight="true" outlineLevel="1" collapsed="false">
      <c r="E919" s="521" t="s">
        <v>156</v>
      </c>
      <c r="F919" s="358"/>
      <c r="G919" s="347"/>
      <c r="H919" s="474" t="n">
        <v>0.3</v>
      </c>
      <c r="I919" s="680"/>
      <c r="J919" s="687" t="s">
        <v>2274</v>
      </c>
      <c r="K919" s="724"/>
      <c r="L919" s="724"/>
      <c r="M919" s="724"/>
      <c r="N919" s="724"/>
      <c r="O919" s="724"/>
      <c r="P919" s="725"/>
      <c r="Q919" s="474"/>
      <c r="R919" s="474" t="n">
        <v>0.3</v>
      </c>
      <c r="S919" s="371"/>
      <c r="T919" s="355"/>
      <c r="U919" s="474" t="n">
        <v>0.3</v>
      </c>
      <c r="V919" s="680"/>
      <c r="W919" s="687" t="s">
        <v>2275</v>
      </c>
      <c r="X919" s="724"/>
      <c r="Y919" s="724"/>
      <c r="Z919" s="724"/>
      <c r="AA919" s="724"/>
      <c r="AB919" s="724"/>
      <c r="AC919" s="724"/>
      <c r="AD919" s="737"/>
      <c r="AE919" s="726"/>
      <c r="AF919" s="727"/>
      <c r="AG919" s="703"/>
      <c r="AH919" s="474" t="n">
        <v>0.3</v>
      </c>
      <c r="AW919" s="335"/>
      <c r="AX919" s="335"/>
      <c r="AY919" s="335"/>
      <c r="AZ919" s="335"/>
      <c r="BA919" s="335"/>
      <c r="BB919" s="335"/>
      <c r="BC919" s="335"/>
      <c r="BD919" s="335"/>
      <c r="BE919" s="335"/>
    </row>
    <row r="920" customFormat="false" ht="14.15" hidden="true" customHeight="true" outlineLevel="1" collapsed="false">
      <c r="A920" s="738" t="s">
        <v>2276</v>
      </c>
      <c r="B920" s="371"/>
      <c r="E920" s="349" t="n">
        <f aca="false">'Ввод данных'!H17</f>
        <v>3</v>
      </c>
      <c r="F920" s="358"/>
      <c r="G920" s="347"/>
      <c r="H920" s="474" t="n">
        <v>0.3</v>
      </c>
      <c r="I920" s="680"/>
      <c r="J920" s="687" t="s">
        <v>2277</v>
      </c>
      <c r="K920" s="724"/>
      <c r="L920" s="724"/>
      <c r="M920" s="724"/>
      <c r="N920" s="724"/>
      <c r="O920" s="724"/>
      <c r="P920" s="725"/>
      <c r="Q920" s="474"/>
      <c r="R920" s="474" t="n">
        <v>0.3</v>
      </c>
      <c r="S920" s="371"/>
      <c r="T920" s="355"/>
      <c r="U920" s="474" t="n">
        <v>0.3</v>
      </c>
      <c r="V920" s="680"/>
      <c r="W920" s="503" t="s">
        <v>2278</v>
      </c>
      <c r="X920" s="371"/>
      <c r="Y920" s="371"/>
      <c r="Z920" s="371"/>
      <c r="AA920" s="371"/>
      <c r="AB920" s="371"/>
      <c r="AC920" s="371"/>
      <c r="AD920" s="445"/>
      <c r="AE920" s="445"/>
      <c r="AF920" s="445"/>
      <c r="AG920" s="703"/>
      <c r="AH920" s="474" t="n">
        <v>0.3</v>
      </c>
      <c r="AW920" s="335"/>
      <c r="AX920" s="335"/>
      <c r="AY920" s="335"/>
      <c r="AZ920" s="335"/>
      <c r="BA920" s="335"/>
      <c r="BB920" s="335"/>
      <c r="BC920" s="335"/>
      <c r="BD920" s="335"/>
      <c r="BE920" s="335"/>
    </row>
    <row r="921" customFormat="false" ht="14.15" hidden="true" customHeight="true" outlineLevel="1" collapsed="false">
      <c r="A921" s="474" t="s">
        <v>2279</v>
      </c>
      <c r="B921" s="425" t="s">
        <v>156</v>
      </c>
      <c r="C921" s="474" t="n">
        <v>0.3</v>
      </c>
      <c r="F921" s="358"/>
      <c r="G921" s="347"/>
      <c r="H921" s="474" t="n">
        <v>0.3</v>
      </c>
      <c r="I921" s="680"/>
      <c r="J921" s="687" t="s">
        <v>2280</v>
      </c>
      <c r="K921" s="724"/>
      <c r="L921" s="724"/>
      <c r="M921" s="724"/>
      <c r="N921" s="724"/>
      <c r="O921" s="724"/>
      <c r="P921" s="725"/>
      <c r="Q921" s="474"/>
      <c r="R921" s="474" t="n">
        <v>0.3</v>
      </c>
      <c r="S921" s="371"/>
      <c r="T921" s="355"/>
      <c r="U921" s="739" t="n">
        <v>0.3</v>
      </c>
      <c r="V921" s="701"/>
      <c r="W921" s="687" t="s">
        <v>2281</v>
      </c>
      <c r="X921" s="724"/>
      <c r="Y921" s="724"/>
      <c r="Z921" s="724"/>
      <c r="AA921" s="724"/>
      <c r="AB921" s="726"/>
      <c r="AC921" s="726"/>
      <c r="AD921" s="726"/>
      <c r="AE921" s="726"/>
      <c r="AF921" s="727"/>
      <c r="AG921" s="702"/>
      <c r="AH921" s="740" t="n">
        <v>0.3</v>
      </c>
      <c r="AW921" s="335"/>
      <c r="AX921" s="335"/>
      <c r="AY921" s="335"/>
      <c r="AZ921" s="335"/>
      <c r="BA921" s="335"/>
      <c r="BB921" s="335"/>
      <c r="BC921" s="335"/>
      <c r="BD921" s="335"/>
      <c r="BE921" s="335"/>
    </row>
    <row r="922" customFormat="false" ht="14.15" hidden="true" customHeight="true" outlineLevel="1" collapsed="false">
      <c r="F922" s="349"/>
      <c r="G922" s="347"/>
      <c r="H922" s="741" t="n">
        <v>0.3</v>
      </c>
      <c r="I922" s="742"/>
      <c r="J922" s="743" t="s">
        <v>2282</v>
      </c>
      <c r="K922" s="744"/>
      <c r="L922" s="744"/>
      <c r="M922" s="744"/>
      <c r="N922" s="744"/>
      <c r="O922" s="744"/>
      <c r="P922" s="745"/>
      <c r="Q922" s="741"/>
      <c r="R922" s="741" t="n">
        <v>0.3</v>
      </c>
      <c r="S922" s="371"/>
      <c r="T922" s="355"/>
      <c r="U922" s="741" t="n">
        <v>0.3</v>
      </c>
      <c r="V922" s="742"/>
      <c r="W922" s="746" t="s">
        <v>2283</v>
      </c>
      <c r="X922" s="747"/>
      <c r="Y922" s="747"/>
      <c r="Z922" s="747"/>
      <c r="AA922" s="747"/>
      <c r="AB922" s="748"/>
      <c r="AC922" s="748"/>
      <c r="AD922" s="748"/>
      <c r="AE922" s="748"/>
      <c r="AF922" s="748"/>
      <c r="AG922" s="749"/>
      <c r="AH922" s="750" t="n">
        <v>0.3</v>
      </c>
      <c r="AW922" s="335"/>
      <c r="AX922" s="335"/>
      <c r="AY922" s="335"/>
      <c r="AZ922" s="335"/>
      <c r="BA922" s="335"/>
      <c r="BB922" s="335"/>
      <c r="BC922" s="335"/>
      <c r="BD922" s="335"/>
      <c r="BE922" s="335"/>
    </row>
    <row r="923" customFormat="false" ht="14.15" hidden="true" customHeight="true" outlineLevel="1" collapsed="false">
      <c r="A923" s="513" t="s">
        <v>2284</v>
      </c>
      <c r="B923" s="425" t="s">
        <v>120</v>
      </c>
      <c r="C923" s="513" t="s">
        <v>853</v>
      </c>
      <c r="D923" s="513" t="s">
        <v>853</v>
      </c>
      <c r="E923" s="358"/>
      <c r="F923" s="358"/>
      <c r="H923" s="474" t="n">
        <v>0.3</v>
      </c>
      <c r="I923" s="680"/>
      <c r="J923" s="687" t="s">
        <v>2285</v>
      </c>
      <c r="K923" s="724"/>
      <c r="L923" s="724"/>
      <c r="M923" s="724"/>
      <c r="N923" s="724"/>
      <c r="O923" s="724"/>
      <c r="P923" s="725"/>
      <c r="Q923" s="474"/>
      <c r="R923" s="474" t="n">
        <v>0.3</v>
      </c>
      <c r="S923" s="371"/>
      <c r="T923" s="355"/>
      <c r="U923" s="682" t="n">
        <v>0.3</v>
      </c>
      <c r="V923" s="736"/>
      <c r="W923" s="503" t="s">
        <v>2286</v>
      </c>
      <c r="X923" s="371"/>
      <c r="Y923" s="371"/>
      <c r="Z923" s="371"/>
      <c r="AA923" s="371"/>
      <c r="AB923" s="371"/>
      <c r="AC923" s="371"/>
      <c r="AD923" s="371"/>
      <c r="AE923" s="371"/>
      <c r="AF923" s="371"/>
      <c r="AG923" s="649"/>
      <c r="AH923" s="751" t="n">
        <v>0.3</v>
      </c>
      <c r="AW923" s="335"/>
      <c r="AX923" s="335"/>
      <c r="AY923" s="335"/>
      <c r="AZ923" s="335"/>
      <c r="BA923" s="335"/>
      <c r="BB923" s="335"/>
      <c r="BC923" s="335"/>
      <c r="BD923" s="335"/>
      <c r="BE923" s="335"/>
    </row>
    <row r="924" customFormat="false" ht="14.15" hidden="true" customHeight="true" outlineLevel="1" collapsed="false">
      <c r="A924" s="474" t="s">
        <v>2287</v>
      </c>
      <c r="B924" s="425" t="s">
        <v>156</v>
      </c>
      <c r="C924" s="474" t="n">
        <v>1</v>
      </c>
      <c r="D924" s="474" t="n">
        <v>0.5</v>
      </c>
      <c r="F924" s="358"/>
      <c r="G924" s="358"/>
      <c r="H924" s="474" t="n">
        <v>0.3</v>
      </c>
      <c r="I924" s="680"/>
      <c r="J924" s="687" t="s">
        <v>2288</v>
      </c>
      <c r="K924" s="724"/>
      <c r="L924" s="724"/>
      <c r="M924" s="724"/>
      <c r="N924" s="724"/>
      <c r="O924" s="724"/>
      <c r="P924" s="725"/>
      <c r="Q924" s="474"/>
      <c r="R924" s="474" t="n">
        <v>0.3</v>
      </c>
      <c r="S924" s="371"/>
      <c r="T924" s="355"/>
      <c r="U924" s="534" t="n">
        <v>0.3</v>
      </c>
      <c r="V924" s="474"/>
      <c r="W924" s="687" t="s">
        <v>2289</v>
      </c>
      <c r="X924" s="724"/>
      <c r="Y924" s="724"/>
      <c r="Z924" s="724"/>
      <c r="AA924" s="724"/>
      <c r="AB924" s="724"/>
      <c r="AC924" s="724"/>
      <c r="AD924" s="724"/>
      <c r="AE924" s="724"/>
      <c r="AF924" s="725"/>
      <c r="AG924" s="703"/>
      <c r="AH924" s="752" t="n">
        <v>0.3</v>
      </c>
      <c r="AW924" s="335"/>
      <c r="AX924" s="335"/>
      <c r="AY924" s="335"/>
      <c r="AZ924" s="335"/>
      <c r="BA924" s="335"/>
      <c r="BB924" s="335"/>
      <c r="BC924" s="335"/>
      <c r="BD924" s="335"/>
      <c r="BE924" s="335"/>
    </row>
    <row r="925" customFormat="false" ht="14.15" hidden="true" customHeight="true" outlineLevel="1" collapsed="false">
      <c r="A925" s="474" t="s">
        <v>2290</v>
      </c>
      <c r="B925" s="425" t="s">
        <v>156</v>
      </c>
      <c r="C925" s="474" t="n">
        <v>1</v>
      </c>
      <c r="D925" s="474" t="n">
        <v>0.5</v>
      </c>
      <c r="F925" s="349"/>
      <c r="G925" s="358"/>
      <c r="H925" s="474" t="n">
        <v>0.3</v>
      </c>
      <c r="I925" s="680"/>
      <c r="J925" s="687" t="s">
        <v>2291</v>
      </c>
      <c r="K925" s="724"/>
      <c r="L925" s="724"/>
      <c r="M925" s="724"/>
      <c r="N925" s="724"/>
      <c r="O925" s="724"/>
      <c r="P925" s="725"/>
      <c r="Q925" s="474"/>
      <c r="R925" s="474" t="n">
        <v>0.3</v>
      </c>
      <c r="S925" s="371"/>
      <c r="T925" s="355"/>
      <c r="U925" s="534" t="n">
        <v>0.3</v>
      </c>
      <c r="V925" s="680"/>
      <c r="W925" s="503" t="s">
        <v>2292</v>
      </c>
      <c r="X925" s="371"/>
      <c r="Y925" s="371"/>
      <c r="Z925" s="371"/>
      <c r="AA925" s="371"/>
      <c r="AB925" s="371"/>
      <c r="AC925" s="371"/>
      <c r="AD925" s="371"/>
      <c r="AE925" s="371"/>
      <c r="AF925" s="371"/>
      <c r="AG925" s="703"/>
      <c r="AH925" s="752" t="n">
        <v>0.3</v>
      </c>
      <c r="AW925" s="335"/>
      <c r="AX925" s="335"/>
      <c r="AY925" s="335"/>
      <c r="AZ925" s="335"/>
      <c r="BA925" s="335"/>
      <c r="BB925" s="335"/>
      <c r="BC925" s="335"/>
      <c r="BD925" s="335"/>
      <c r="BE925" s="335"/>
    </row>
    <row r="926" customFormat="false" ht="14.15" hidden="true" customHeight="true" outlineLevel="1" collapsed="false">
      <c r="A926" s="474" t="s">
        <v>2293</v>
      </c>
      <c r="B926" s="425" t="s">
        <v>156</v>
      </c>
      <c r="C926" s="474" t="n">
        <v>1</v>
      </c>
      <c r="D926" s="474" t="n">
        <v>0.5</v>
      </c>
      <c r="E926" s="358"/>
      <c r="F926" s="358"/>
      <c r="H926" s="474" t="n">
        <v>0.3</v>
      </c>
      <c r="I926" s="680"/>
      <c r="J926" s="687" t="s">
        <v>2294</v>
      </c>
      <c r="K926" s="724"/>
      <c r="L926" s="724"/>
      <c r="M926" s="724"/>
      <c r="N926" s="724"/>
      <c r="O926" s="724"/>
      <c r="P926" s="725"/>
      <c r="Q926" s="474"/>
      <c r="R926" s="474" t="n">
        <v>0.3</v>
      </c>
      <c r="S926" s="371"/>
      <c r="T926" s="355"/>
      <c r="U926" s="534" t="n">
        <v>0.3</v>
      </c>
      <c r="V926" s="680"/>
      <c r="W926" s="687" t="s">
        <v>2295</v>
      </c>
      <c r="X926" s="724"/>
      <c r="Y926" s="724"/>
      <c r="Z926" s="724"/>
      <c r="AA926" s="724"/>
      <c r="AB926" s="724"/>
      <c r="AC926" s="724"/>
      <c r="AD926" s="724"/>
      <c r="AE926" s="724"/>
      <c r="AF926" s="725"/>
      <c r="AG926" s="703"/>
      <c r="AH926" s="752" t="n">
        <v>0.3</v>
      </c>
      <c r="AW926" s="335"/>
      <c r="AX926" s="335"/>
      <c r="AY926" s="335"/>
      <c r="AZ926" s="335"/>
      <c r="BA926" s="335"/>
      <c r="BB926" s="335"/>
      <c r="BC926" s="335"/>
      <c r="BD926" s="335"/>
      <c r="BE926" s="335"/>
    </row>
    <row r="927" customFormat="false" ht="14.15" hidden="true" customHeight="true" outlineLevel="1" collapsed="false">
      <c r="A927" s="474" t="s">
        <v>2296</v>
      </c>
      <c r="B927" s="425" t="s">
        <v>156</v>
      </c>
      <c r="C927" s="474" t="n">
        <v>1</v>
      </c>
      <c r="D927" s="474" t="n">
        <v>0.5</v>
      </c>
      <c r="E927" s="358"/>
      <c r="F927" s="358"/>
      <c r="G927" s="358"/>
      <c r="H927" s="474" t="n">
        <v>0.4</v>
      </c>
      <c r="I927" s="680"/>
      <c r="J927" s="687" t="s">
        <v>2297</v>
      </c>
      <c r="K927" s="724"/>
      <c r="L927" s="724"/>
      <c r="M927" s="724"/>
      <c r="N927" s="724"/>
      <c r="O927" s="724"/>
      <c r="P927" s="725"/>
      <c r="Q927" s="474"/>
      <c r="R927" s="474" t="n">
        <v>0.4</v>
      </c>
      <c r="S927" s="371"/>
      <c r="T927" s="355"/>
      <c r="U927" s="534" t="n">
        <v>0.4</v>
      </c>
      <c r="V927" s="680"/>
      <c r="W927" s="503" t="s">
        <v>2298</v>
      </c>
      <c r="X927" s="371"/>
      <c r="Y927" s="371"/>
      <c r="Z927" s="371"/>
      <c r="AA927" s="371"/>
      <c r="AB927" s="371"/>
      <c r="AC927" s="371"/>
      <c r="AD927" s="371"/>
      <c r="AE927" s="371"/>
      <c r="AF927" s="371"/>
      <c r="AG927" s="703"/>
      <c r="AH927" s="752" t="n">
        <v>0.4</v>
      </c>
      <c r="AW927" s="335"/>
      <c r="AX927" s="335"/>
      <c r="AY927" s="335"/>
      <c r="AZ927" s="335"/>
      <c r="BA927" s="335"/>
      <c r="BB927" s="335"/>
      <c r="BC927" s="335"/>
      <c r="BD927" s="335"/>
      <c r="BE927" s="335"/>
    </row>
    <row r="928" customFormat="false" ht="14.15" hidden="true" customHeight="true" outlineLevel="1" collapsed="false">
      <c r="A928" s="560" t="s">
        <v>2299</v>
      </c>
      <c r="B928" s="425" t="s">
        <v>159</v>
      </c>
      <c r="C928" s="378"/>
      <c r="D928" s="474" t="n">
        <v>1</v>
      </c>
      <c r="E928" s="358"/>
      <c r="F928" s="358"/>
      <c r="G928" s="358"/>
      <c r="H928" s="474" t="n">
        <v>0.5</v>
      </c>
      <c r="I928" s="680"/>
      <c r="J928" s="687" t="s">
        <v>2300</v>
      </c>
      <c r="K928" s="724"/>
      <c r="L928" s="724"/>
      <c r="M928" s="724"/>
      <c r="N928" s="724"/>
      <c r="O928" s="724"/>
      <c r="P928" s="725"/>
      <c r="Q928" s="474"/>
      <c r="R928" s="474" t="n">
        <v>0.5</v>
      </c>
      <c r="S928" s="371"/>
      <c r="T928" s="355"/>
      <c r="U928" s="534" t="n">
        <v>0.5</v>
      </c>
      <c r="V928" s="680"/>
      <c r="W928" s="687" t="s">
        <v>2301</v>
      </c>
      <c r="X928" s="724"/>
      <c r="Y928" s="724"/>
      <c r="Z928" s="724"/>
      <c r="AA928" s="724"/>
      <c r="AB928" s="724"/>
      <c r="AC928" s="724"/>
      <c r="AD928" s="724"/>
      <c r="AE928" s="724"/>
      <c r="AF928" s="725"/>
      <c r="AG928" s="703"/>
      <c r="AH928" s="752" t="n">
        <v>0.5</v>
      </c>
      <c r="AW928" s="335"/>
      <c r="AX928" s="335"/>
      <c r="AY928" s="335"/>
      <c r="AZ928" s="335"/>
      <c r="BA928" s="335"/>
      <c r="BB928" s="335"/>
      <c r="BC928" s="335"/>
      <c r="BD928" s="335"/>
      <c r="BE928" s="335"/>
    </row>
    <row r="929" customFormat="false" ht="14.15" hidden="true" customHeight="true" outlineLevel="1" collapsed="false">
      <c r="E929" s="358"/>
      <c r="F929" s="358"/>
      <c r="G929" s="358"/>
      <c r="H929" s="474" t="n">
        <v>0.6</v>
      </c>
      <c r="I929" s="474"/>
      <c r="J929" s="687" t="s">
        <v>2302</v>
      </c>
      <c r="K929" s="724"/>
      <c r="L929" s="724"/>
      <c r="M929" s="724"/>
      <c r="N929" s="724"/>
      <c r="O929" s="724"/>
      <c r="P929" s="724"/>
      <c r="Q929" s="474"/>
      <c r="R929" s="474" t="n">
        <v>0.6</v>
      </c>
      <c r="S929" s="753"/>
      <c r="T929" s="355"/>
      <c r="U929" s="534" t="n">
        <v>0.6</v>
      </c>
      <c r="V929" s="474"/>
      <c r="W929" s="503" t="s">
        <v>2303</v>
      </c>
      <c r="X929" s="371"/>
      <c r="Y929" s="371"/>
      <c r="Z929" s="371"/>
      <c r="AA929" s="371"/>
      <c r="AB929" s="371"/>
      <c r="AC929" s="371"/>
      <c r="AD929" s="371"/>
      <c r="AE929" s="371"/>
      <c r="AF929" s="371"/>
      <c r="AG929" s="703"/>
      <c r="AH929" s="752" t="n">
        <v>0.6</v>
      </c>
      <c r="AW929" s="335"/>
      <c r="AX929" s="335"/>
      <c r="AY929" s="335"/>
      <c r="AZ929" s="335"/>
      <c r="BA929" s="335"/>
      <c r="BB929" s="335"/>
      <c r="BC929" s="335"/>
      <c r="BD929" s="335"/>
      <c r="BE929" s="335"/>
    </row>
    <row r="930" customFormat="false" ht="14.15" hidden="true" customHeight="true" outlineLevel="1" collapsed="false">
      <c r="A930" s="324" t="s">
        <v>2304</v>
      </c>
      <c r="E930" s="358"/>
      <c r="F930" s="358"/>
      <c r="G930" s="358"/>
      <c r="H930" s="474" t="n">
        <v>0.6</v>
      </c>
      <c r="I930" s="680"/>
      <c r="J930" s="687" t="s">
        <v>2305</v>
      </c>
      <c r="K930" s="724"/>
      <c r="L930" s="724"/>
      <c r="M930" s="724"/>
      <c r="N930" s="724"/>
      <c r="O930" s="724"/>
      <c r="P930" s="725"/>
      <c r="Q930" s="754"/>
      <c r="R930" s="474" t="n">
        <v>0.6</v>
      </c>
      <c r="S930" s="371"/>
      <c r="T930" s="355"/>
      <c r="U930" s="474" t="n">
        <v>0.6</v>
      </c>
      <c r="V930" s="680"/>
      <c r="W930" s="687" t="s">
        <v>2306</v>
      </c>
      <c r="X930" s="724"/>
      <c r="Y930" s="724"/>
      <c r="Z930" s="724"/>
      <c r="AA930" s="724"/>
      <c r="AB930" s="724"/>
      <c r="AC930" s="724"/>
      <c r="AD930" s="724"/>
      <c r="AE930" s="724"/>
      <c r="AF930" s="725"/>
      <c r="AG930" s="703"/>
      <c r="AH930" s="474" t="n">
        <v>0.6</v>
      </c>
      <c r="AW930" s="335"/>
      <c r="AX930" s="335"/>
      <c r="AY930" s="335"/>
      <c r="AZ930" s="335"/>
      <c r="BA930" s="335"/>
      <c r="BB930" s="335"/>
      <c r="BC930" s="335"/>
      <c r="BD930" s="335"/>
      <c r="BE930" s="335"/>
    </row>
    <row r="931" customFormat="false" ht="14.15" hidden="true" customHeight="true" outlineLevel="1" collapsed="false">
      <c r="A931" s="694" t="s">
        <v>493</v>
      </c>
      <c r="E931" s="358"/>
      <c r="F931" s="358"/>
      <c r="G931" s="358"/>
      <c r="H931" s="474" t="n">
        <v>0.6</v>
      </c>
      <c r="I931" s="680"/>
      <c r="J931" s="687" t="s">
        <v>2307</v>
      </c>
      <c r="K931" s="724"/>
      <c r="L931" s="724"/>
      <c r="M931" s="724"/>
      <c r="N931" s="724"/>
      <c r="O931" s="724"/>
      <c r="P931" s="725"/>
      <c r="Q931" s="754"/>
      <c r="R931" s="474" t="n">
        <v>0.6</v>
      </c>
      <c r="S931" s="371"/>
      <c r="T931" s="355"/>
      <c r="U931" s="474" t="n">
        <v>0.6</v>
      </c>
      <c r="V931" s="680"/>
      <c r="W931" s="503" t="s">
        <v>2308</v>
      </c>
      <c r="X931" s="371"/>
      <c r="Y931" s="371"/>
      <c r="Z931" s="371"/>
      <c r="AA931" s="371"/>
      <c r="AB931" s="371"/>
      <c r="AC931" s="371"/>
      <c r="AD931" s="371"/>
      <c r="AE931" s="371"/>
      <c r="AF931" s="371"/>
      <c r="AG931" s="703"/>
      <c r="AH931" s="474" t="n">
        <v>0.6</v>
      </c>
      <c r="AW931" s="335"/>
      <c r="AX931" s="335"/>
      <c r="AY931" s="335"/>
      <c r="AZ931" s="335"/>
      <c r="BA931" s="335"/>
      <c r="BB931" s="335"/>
      <c r="BC931" s="335"/>
      <c r="BD931" s="335"/>
      <c r="BE931" s="335"/>
    </row>
    <row r="932" customFormat="false" ht="14.15" hidden="true" customHeight="true" outlineLevel="1" collapsed="false">
      <c r="A932" s="358" t="s">
        <v>2309</v>
      </c>
      <c r="E932" s="358"/>
      <c r="F932" s="358"/>
      <c r="G932" s="358"/>
      <c r="H932" s="474" t="n">
        <v>0.6</v>
      </c>
      <c r="I932" s="680"/>
      <c r="J932" s="687" t="s">
        <v>2310</v>
      </c>
      <c r="K932" s="724"/>
      <c r="L932" s="724"/>
      <c r="M932" s="724"/>
      <c r="N932" s="724"/>
      <c r="O932" s="724"/>
      <c r="P932" s="725"/>
      <c r="Q932" s="754"/>
      <c r="R932" s="474" t="n">
        <v>0.6</v>
      </c>
      <c r="S932" s="371"/>
      <c r="T932" s="355"/>
      <c r="U932" s="474" t="n">
        <v>0.6</v>
      </c>
      <c r="V932" s="680"/>
      <c r="W932" s="687" t="s">
        <v>2311</v>
      </c>
      <c r="X932" s="724"/>
      <c r="Y932" s="724"/>
      <c r="Z932" s="724"/>
      <c r="AA932" s="724"/>
      <c r="AB932" s="724"/>
      <c r="AC932" s="724"/>
      <c r="AD932" s="724"/>
      <c r="AE932" s="724"/>
      <c r="AF932" s="725"/>
      <c r="AG932" s="703"/>
      <c r="AH932" s="474" t="n">
        <v>0.6</v>
      </c>
      <c r="AW932" s="335"/>
      <c r="AX932" s="335"/>
      <c r="AY932" s="335"/>
      <c r="AZ932" s="335"/>
      <c r="BA932" s="335"/>
      <c r="BB932" s="335"/>
      <c r="BC932" s="335"/>
      <c r="BD932" s="335"/>
      <c r="BE932" s="335"/>
    </row>
    <row r="933" customFormat="false" ht="14.15" hidden="true" customHeight="true" outlineLevel="1" collapsed="false">
      <c r="A933" s="480" t="s">
        <v>2312</v>
      </c>
      <c r="B933" s="371"/>
      <c r="C933" s="358"/>
      <c r="E933" s="358"/>
      <c r="F933" s="358"/>
      <c r="H933" s="474" t="n">
        <v>0.6</v>
      </c>
      <c r="I933" s="680"/>
      <c r="J933" s="687" t="s">
        <v>2313</v>
      </c>
      <c r="K933" s="724"/>
      <c r="L933" s="724"/>
      <c r="M933" s="724"/>
      <c r="N933" s="724"/>
      <c r="O933" s="724"/>
      <c r="P933" s="725"/>
      <c r="Q933" s="754"/>
      <c r="R933" s="474" t="n">
        <v>0.6</v>
      </c>
      <c r="S933" s="371"/>
      <c r="T933" s="355"/>
      <c r="U933" s="474" t="n">
        <v>0.6</v>
      </c>
      <c r="V933" s="680"/>
      <c r="W933" s="503" t="s">
        <v>2314</v>
      </c>
      <c r="X933" s="371"/>
      <c r="Y933" s="371"/>
      <c r="Z933" s="371"/>
      <c r="AA933" s="371"/>
      <c r="AB933" s="371"/>
      <c r="AC933" s="371"/>
      <c r="AD933" s="371"/>
      <c r="AE933" s="371"/>
      <c r="AF933" s="371"/>
      <c r="AG933" s="703"/>
      <c r="AH933" s="474" t="n">
        <v>0.6</v>
      </c>
      <c r="AW933" s="335"/>
      <c r="AX933" s="335"/>
      <c r="AY933" s="335"/>
      <c r="AZ933" s="335"/>
      <c r="BA933" s="335"/>
      <c r="BB933" s="335"/>
      <c r="BC933" s="335"/>
      <c r="BD933" s="335"/>
      <c r="BE933" s="335"/>
    </row>
    <row r="934" customFormat="false" ht="14.15" hidden="true" customHeight="true" outlineLevel="1" collapsed="false">
      <c r="A934" s="358" t="s">
        <v>2315</v>
      </c>
      <c r="B934" s="479"/>
      <c r="C934" s="355"/>
      <c r="E934" s="358"/>
      <c r="F934" s="358"/>
      <c r="G934" s="371"/>
      <c r="H934" s="474" t="n">
        <v>0.6</v>
      </c>
      <c r="I934" s="680"/>
      <c r="J934" s="687" t="s">
        <v>2316</v>
      </c>
      <c r="K934" s="724"/>
      <c r="L934" s="724"/>
      <c r="M934" s="724"/>
      <c r="N934" s="724"/>
      <c r="O934" s="724"/>
      <c r="P934" s="725"/>
      <c r="Q934" s="754"/>
      <c r="R934" s="474" t="n">
        <v>0.6</v>
      </c>
      <c r="S934" s="371"/>
      <c r="T934" s="355"/>
      <c r="U934" s="474" t="n">
        <v>0.6</v>
      </c>
      <c r="V934" s="680"/>
      <c r="W934" s="687" t="s">
        <v>2317</v>
      </c>
      <c r="X934" s="724"/>
      <c r="Y934" s="724"/>
      <c r="Z934" s="724"/>
      <c r="AA934" s="724"/>
      <c r="AB934" s="724"/>
      <c r="AC934" s="724"/>
      <c r="AD934" s="724"/>
      <c r="AE934" s="724"/>
      <c r="AF934" s="725"/>
      <c r="AG934" s="703"/>
      <c r="AH934" s="474" t="n">
        <v>0.6</v>
      </c>
      <c r="AW934" s="335"/>
      <c r="AX934" s="335"/>
      <c r="AY934" s="335"/>
      <c r="AZ934" s="335"/>
      <c r="BA934" s="335"/>
      <c r="BB934" s="335"/>
      <c r="BC934" s="335"/>
      <c r="BD934" s="335"/>
      <c r="BE934" s="335"/>
    </row>
    <row r="935" customFormat="false" ht="14.15" hidden="true" customHeight="true" outlineLevel="1" collapsed="false">
      <c r="A935" s="480" t="s">
        <v>2318</v>
      </c>
      <c r="B935" s="479"/>
      <c r="C935" s="355"/>
      <c r="E935" s="358"/>
      <c r="F935" s="358"/>
      <c r="G935" s="358"/>
      <c r="H935" s="474" t="n">
        <v>0.6</v>
      </c>
      <c r="I935" s="680"/>
      <c r="J935" s="687" t="s">
        <v>2319</v>
      </c>
      <c r="K935" s="724"/>
      <c r="L935" s="724"/>
      <c r="M935" s="724"/>
      <c r="N935" s="724"/>
      <c r="O935" s="724"/>
      <c r="P935" s="725"/>
      <c r="Q935" s="754"/>
      <c r="R935" s="474" t="n">
        <v>0.6</v>
      </c>
      <c r="S935" s="371"/>
      <c r="T935" s="355"/>
      <c r="U935" s="474" t="n">
        <v>0.6</v>
      </c>
      <c r="V935" s="680"/>
      <c r="W935" s="503" t="s">
        <v>2320</v>
      </c>
      <c r="X935" s="503"/>
      <c r="Y935" s="371"/>
      <c r="Z935" s="371"/>
      <c r="AA935" s="371"/>
      <c r="AB935" s="371"/>
      <c r="AC935" s="371"/>
      <c r="AD935" s="755"/>
      <c r="AE935" s="445"/>
      <c r="AF935" s="445"/>
      <c r="AG935" s="703"/>
      <c r="AH935" s="474" t="n">
        <v>0.6</v>
      </c>
      <c r="AW935" s="335"/>
      <c r="AX935" s="335"/>
      <c r="AY935" s="335"/>
      <c r="AZ935" s="335"/>
      <c r="BA935" s="335"/>
      <c r="BB935" s="335"/>
      <c r="BC935" s="335"/>
      <c r="BD935" s="335"/>
      <c r="BE935" s="335"/>
    </row>
    <row r="936" customFormat="false" ht="14.15" hidden="true" customHeight="true" outlineLevel="1" collapsed="false">
      <c r="A936" s="355" t="s">
        <v>2321</v>
      </c>
      <c r="E936" s="358"/>
      <c r="F936" s="358"/>
      <c r="G936" s="358"/>
      <c r="H936" s="474" t="n">
        <v>0.3</v>
      </c>
      <c r="I936" s="680"/>
      <c r="J936" s="687" t="s">
        <v>2322</v>
      </c>
      <c r="K936" s="724"/>
      <c r="L936" s="724"/>
      <c r="M936" s="724"/>
      <c r="N936" s="724"/>
      <c r="O936" s="724"/>
      <c r="P936" s="725"/>
      <c r="Q936" s="754"/>
      <c r="R936" s="474" t="n">
        <v>0.3</v>
      </c>
      <c r="S936" s="371"/>
      <c r="T936" s="355"/>
      <c r="U936" s="534" t="n">
        <v>0.3</v>
      </c>
      <c r="V936" s="680"/>
      <c r="W936" s="687" t="s">
        <v>2323</v>
      </c>
      <c r="X936" s="724"/>
      <c r="Y936" s="724"/>
      <c r="Z936" s="724"/>
      <c r="AA936" s="724"/>
      <c r="AB936" s="724"/>
      <c r="AC936" s="724"/>
      <c r="AD936" s="726"/>
      <c r="AE936" s="726"/>
      <c r="AF936" s="727"/>
      <c r="AG936" s="703"/>
      <c r="AH936" s="752" t="n">
        <v>0.3</v>
      </c>
      <c r="AW936" s="335"/>
      <c r="AX936" s="335"/>
      <c r="AY936" s="335"/>
      <c r="AZ936" s="335"/>
      <c r="BA936" s="335"/>
      <c r="BB936" s="335"/>
      <c r="BC936" s="335"/>
      <c r="BD936" s="335"/>
      <c r="BE936" s="335"/>
    </row>
    <row r="937" customFormat="false" ht="14.15" hidden="true" customHeight="true" outlineLevel="1" collapsed="false">
      <c r="A937" s="401" t="s">
        <v>271</v>
      </c>
      <c r="E937" s="347"/>
      <c r="F937" s="347"/>
      <c r="G937" s="358"/>
      <c r="H937" s="474" t="n">
        <v>0.3</v>
      </c>
      <c r="I937" s="680"/>
      <c r="J937" s="687" t="s">
        <v>2324</v>
      </c>
      <c r="K937" s="724"/>
      <c r="L937" s="724"/>
      <c r="M937" s="724"/>
      <c r="N937" s="724"/>
      <c r="O937" s="724"/>
      <c r="P937" s="725"/>
      <c r="Q937" s="754"/>
      <c r="R937" s="474" t="n">
        <v>0.3</v>
      </c>
      <c r="S937" s="371"/>
      <c r="T937" s="355"/>
      <c r="U937" s="534" t="n">
        <v>0.3</v>
      </c>
      <c r="V937" s="680"/>
      <c r="W937" s="503" t="s">
        <v>2325</v>
      </c>
      <c r="X937" s="371"/>
      <c r="Y937" s="371"/>
      <c r="Z937" s="371"/>
      <c r="AA937" s="371"/>
      <c r="AB937" s="371"/>
      <c r="AC937" s="371"/>
      <c r="AD937" s="371"/>
      <c r="AE937" s="371"/>
      <c r="AF937" s="371"/>
      <c r="AG937" s="703"/>
      <c r="AH937" s="752" t="n">
        <v>0.3</v>
      </c>
      <c r="AW937" s="335"/>
      <c r="AX937" s="335"/>
      <c r="AY937" s="335"/>
      <c r="AZ937" s="335"/>
      <c r="BA937" s="335"/>
      <c r="BB937" s="335"/>
      <c r="BC937" s="335"/>
      <c r="BD937" s="335"/>
      <c r="BE937" s="335"/>
    </row>
    <row r="938" customFormat="false" ht="14.15" hidden="true" customHeight="true" outlineLevel="1" collapsed="false">
      <c r="E938" s="521" t="s">
        <v>156</v>
      </c>
      <c r="F938" s="347"/>
      <c r="G938" s="358"/>
      <c r="H938" s="474" t="n">
        <v>0.3</v>
      </c>
      <c r="I938" s="680"/>
      <c r="J938" s="687" t="s">
        <v>2326</v>
      </c>
      <c r="K938" s="724"/>
      <c r="L938" s="724"/>
      <c r="M938" s="724"/>
      <c r="N938" s="724"/>
      <c r="O938" s="724"/>
      <c r="P938" s="725"/>
      <c r="Q938" s="754"/>
      <c r="R938" s="474" t="n">
        <v>0.3</v>
      </c>
      <c r="S938" s="371"/>
      <c r="T938" s="355"/>
      <c r="U938" s="534" t="n">
        <v>0.3</v>
      </c>
      <c r="V938" s="680"/>
      <c r="W938" s="687" t="s">
        <v>2327</v>
      </c>
      <c r="X938" s="724"/>
      <c r="Y938" s="724"/>
      <c r="Z938" s="724"/>
      <c r="AA938" s="724"/>
      <c r="AB938" s="724"/>
      <c r="AC938" s="724"/>
      <c r="AD938" s="724"/>
      <c r="AE938" s="724"/>
      <c r="AF938" s="725"/>
      <c r="AG938" s="703"/>
      <c r="AH938" s="752" t="n">
        <v>0.3</v>
      </c>
      <c r="AW938" s="335"/>
      <c r="AX938" s="335"/>
      <c r="AY938" s="335"/>
      <c r="AZ938" s="335"/>
      <c r="BA938" s="335"/>
      <c r="BB938" s="335"/>
      <c r="BC938" s="335"/>
      <c r="BD938" s="335"/>
      <c r="BE938" s="335"/>
    </row>
    <row r="939" customFormat="false" ht="14.15" hidden="true" customHeight="true" outlineLevel="1" collapsed="false">
      <c r="A939" s="324" t="s">
        <v>2328</v>
      </c>
      <c r="E939" s="382" t="n">
        <f aca="false">'Ввод данных'!H21</f>
        <v>0.2</v>
      </c>
      <c r="F939" s="353"/>
      <c r="G939" s="358"/>
      <c r="H939" s="474" t="n">
        <v>0.3</v>
      </c>
      <c r="I939" s="680"/>
      <c r="J939" s="687" t="s">
        <v>2329</v>
      </c>
      <c r="K939" s="724"/>
      <c r="L939" s="724"/>
      <c r="M939" s="724"/>
      <c r="N939" s="724"/>
      <c r="O939" s="724"/>
      <c r="P939" s="725"/>
      <c r="Q939" s="754"/>
      <c r="R939" s="474" t="n">
        <v>0.3</v>
      </c>
      <c r="S939" s="371"/>
      <c r="T939" s="355"/>
      <c r="U939" s="534" t="n">
        <v>0.3</v>
      </c>
      <c r="V939" s="680"/>
      <c r="W939" s="503" t="s">
        <v>2330</v>
      </c>
      <c r="X939" s="371"/>
      <c r="Y939" s="371"/>
      <c r="Z939" s="371"/>
      <c r="AA939" s="371"/>
      <c r="AB939" s="371"/>
      <c r="AC939" s="371"/>
      <c r="AD939" s="371"/>
      <c r="AE939" s="371"/>
      <c r="AF939" s="371"/>
      <c r="AG939" s="703"/>
      <c r="AH939" s="752" t="n">
        <v>0.3</v>
      </c>
      <c r="AW939" s="335"/>
      <c r="AX939" s="335"/>
      <c r="AY939" s="335"/>
      <c r="AZ939" s="335"/>
      <c r="BA939" s="335"/>
      <c r="BB939" s="335"/>
      <c r="BC939" s="335"/>
      <c r="BD939" s="335"/>
      <c r="BE939" s="335"/>
    </row>
    <row r="940" customFormat="false" ht="14.15" hidden="true" customHeight="true" outlineLevel="1" collapsed="false">
      <c r="A940" s="401" t="s">
        <v>392</v>
      </c>
      <c r="B940" s="371"/>
      <c r="C940" s="358"/>
      <c r="D940" s="358"/>
      <c r="E940" s="347"/>
      <c r="F940" s="347"/>
      <c r="G940" s="358"/>
      <c r="H940" s="474" t="n">
        <v>0.3</v>
      </c>
      <c r="I940" s="680"/>
      <c r="J940" s="687" t="s">
        <v>2331</v>
      </c>
      <c r="K940" s="724"/>
      <c r="L940" s="724"/>
      <c r="M940" s="724"/>
      <c r="N940" s="724"/>
      <c r="O940" s="724"/>
      <c r="P940" s="725"/>
      <c r="Q940" s="754"/>
      <c r="R940" s="474" t="n">
        <v>0.3</v>
      </c>
      <c r="S940" s="371"/>
      <c r="T940" s="355"/>
      <c r="U940" s="534" t="n">
        <v>0.3</v>
      </c>
      <c r="V940" s="474"/>
      <c r="W940" s="687" t="s">
        <v>2332</v>
      </c>
      <c r="X940" s="724"/>
      <c r="Y940" s="724"/>
      <c r="Z940" s="724"/>
      <c r="AA940" s="724"/>
      <c r="AB940" s="724"/>
      <c r="AC940" s="724"/>
      <c r="AD940" s="724"/>
      <c r="AE940" s="724"/>
      <c r="AF940" s="725"/>
      <c r="AG940" s="703"/>
      <c r="AH940" s="752" t="n">
        <v>0.3</v>
      </c>
      <c r="AW940" s="335"/>
      <c r="AX940" s="335"/>
      <c r="AY940" s="335"/>
      <c r="AZ940" s="335"/>
      <c r="BA940" s="335"/>
      <c r="BB940" s="335"/>
      <c r="BC940" s="335"/>
      <c r="BD940" s="335"/>
      <c r="BE940" s="335"/>
    </row>
    <row r="941" customFormat="false" ht="14.15" hidden="true" customHeight="true" outlineLevel="1" collapsed="false">
      <c r="D941" s="358"/>
      <c r="E941" s="521" t="s">
        <v>156</v>
      </c>
      <c r="F941" s="347"/>
      <c r="G941" s="358"/>
      <c r="H941" s="474" t="n">
        <v>0.3</v>
      </c>
      <c r="I941" s="680"/>
      <c r="J941" s="687" t="s">
        <v>2333</v>
      </c>
      <c r="K941" s="723"/>
      <c r="L941" s="723"/>
      <c r="M941" s="723"/>
      <c r="N941" s="723"/>
      <c r="O941" s="723"/>
      <c r="P941" s="754"/>
      <c r="Q941" s="754"/>
      <c r="R941" s="474" t="n">
        <v>0.3</v>
      </c>
      <c r="S941" s="358"/>
      <c r="T941" s="355"/>
      <c r="U941" s="534" t="n">
        <v>0.3</v>
      </c>
      <c r="V941" s="680"/>
      <c r="W941" s="358" t="s">
        <v>2334</v>
      </c>
      <c r="X941" s="358"/>
      <c r="Y941" s="358"/>
      <c r="Z941" s="358"/>
      <c r="AA941" s="358"/>
      <c r="AB941" s="358"/>
      <c r="AC941" s="358"/>
      <c r="AD941" s="358"/>
      <c r="AE941" s="358"/>
      <c r="AF941" s="358"/>
      <c r="AG941" s="703"/>
      <c r="AH941" s="752" t="n">
        <v>0.3</v>
      </c>
      <c r="AW941" s="335"/>
      <c r="AX941" s="335"/>
      <c r="AY941" s="335"/>
      <c r="AZ941" s="335"/>
      <c r="BA941" s="335"/>
      <c r="BB941" s="335"/>
      <c r="BC941" s="335"/>
      <c r="BD941" s="335"/>
      <c r="BE941" s="335"/>
    </row>
    <row r="942" customFormat="false" ht="14.15" hidden="true" customHeight="true" outlineLevel="1" collapsed="false">
      <c r="A942" s="324" t="s">
        <v>2335</v>
      </c>
      <c r="E942" s="349" t="n">
        <f aca="false">'Ввод данных'!H25</f>
        <v>0</v>
      </c>
      <c r="F942" s="349"/>
      <c r="H942" s="474" t="n">
        <v>0.3</v>
      </c>
      <c r="I942" s="680"/>
      <c r="J942" s="687" t="s">
        <v>2336</v>
      </c>
      <c r="K942" s="723"/>
      <c r="L942" s="723"/>
      <c r="M942" s="723"/>
      <c r="N942" s="723"/>
      <c r="O942" s="723"/>
      <c r="P942" s="754"/>
      <c r="Q942" s="754"/>
      <c r="R942" s="474" t="n">
        <v>0.3</v>
      </c>
      <c r="S942" s="358"/>
      <c r="T942" s="355"/>
      <c r="U942" s="534" t="n">
        <v>0.3</v>
      </c>
      <c r="V942" s="680"/>
      <c r="W942" s="534" t="s">
        <v>2337</v>
      </c>
      <c r="X942" s="723"/>
      <c r="Y942" s="723"/>
      <c r="Z942" s="723"/>
      <c r="AA942" s="723"/>
      <c r="AB942" s="723"/>
      <c r="AC942" s="723"/>
      <c r="AD942" s="723"/>
      <c r="AE942" s="723"/>
      <c r="AF942" s="754"/>
      <c r="AG942" s="703"/>
      <c r="AH942" s="752" t="n">
        <v>0.3</v>
      </c>
      <c r="AW942" s="335"/>
      <c r="AX942" s="335"/>
      <c r="AY942" s="335"/>
      <c r="AZ942" s="335"/>
      <c r="BA942" s="335"/>
      <c r="BB942" s="335"/>
      <c r="BC942" s="335"/>
      <c r="BD942" s="335"/>
      <c r="BE942" s="335"/>
    </row>
    <row r="943" customFormat="false" ht="14.15" hidden="true" customHeight="true" outlineLevel="1" collapsed="false">
      <c r="A943" s="480" t="s">
        <v>386</v>
      </c>
      <c r="E943" s="347"/>
      <c r="F943" s="347"/>
      <c r="G943" s="358"/>
      <c r="H943" s="474" t="n">
        <v>0.4</v>
      </c>
      <c r="I943" s="680"/>
      <c r="J943" s="687" t="s">
        <v>2338</v>
      </c>
      <c r="K943" s="723"/>
      <c r="L943" s="723"/>
      <c r="M943" s="723"/>
      <c r="N943" s="723"/>
      <c r="O943" s="723"/>
      <c r="P943" s="754"/>
      <c r="Q943" s="754"/>
      <c r="R943" s="474" t="n">
        <v>0.4</v>
      </c>
      <c r="S943" s="358"/>
      <c r="T943" s="355"/>
      <c r="U943" s="534" t="n">
        <v>0.4</v>
      </c>
      <c r="V943" s="680"/>
      <c r="W943" s="358" t="s">
        <v>2339</v>
      </c>
      <c r="X943" s="358"/>
      <c r="Y943" s="358"/>
      <c r="Z943" s="358"/>
      <c r="AA943" s="358"/>
      <c r="AB943" s="358"/>
      <c r="AC943" s="358"/>
      <c r="AD943" s="358"/>
      <c r="AE943" s="358"/>
      <c r="AF943" s="358"/>
      <c r="AG943" s="703"/>
      <c r="AH943" s="752" t="n">
        <v>0.4</v>
      </c>
      <c r="AW943" s="335"/>
      <c r="AX943" s="335"/>
      <c r="AY943" s="335"/>
      <c r="AZ943" s="335"/>
      <c r="BA943" s="335"/>
      <c r="BB943" s="335"/>
      <c r="BC943" s="335"/>
      <c r="BD943" s="335"/>
      <c r="BE943" s="335"/>
    </row>
    <row r="944" customFormat="false" ht="14.15" hidden="true" customHeight="true" outlineLevel="1" collapsed="false">
      <c r="D944" s="358"/>
      <c r="E944" s="347"/>
      <c r="F944" s="347"/>
      <c r="G944" s="358"/>
      <c r="H944" s="474" t="n">
        <v>0.5</v>
      </c>
      <c r="I944" s="680"/>
      <c r="J944" s="687" t="s">
        <v>2340</v>
      </c>
      <c r="K944" s="723"/>
      <c r="L944" s="723"/>
      <c r="M944" s="723"/>
      <c r="N944" s="723"/>
      <c r="O944" s="723"/>
      <c r="P944" s="754"/>
      <c r="Q944" s="754"/>
      <c r="R944" s="474" t="n">
        <v>0.5</v>
      </c>
      <c r="S944" s="358"/>
      <c r="T944" s="355"/>
      <c r="U944" s="534" t="n">
        <v>0.5</v>
      </c>
      <c r="V944" s="680"/>
      <c r="W944" s="534" t="s">
        <v>2341</v>
      </c>
      <c r="X944" s="723"/>
      <c r="Y944" s="723"/>
      <c r="Z944" s="723"/>
      <c r="AA944" s="723"/>
      <c r="AB944" s="723"/>
      <c r="AC944" s="723"/>
      <c r="AD944" s="723"/>
      <c r="AE944" s="723"/>
      <c r="AF944" s="754"/>
      <c r="AG944" s="703"/>
      <c r="AH944" s="752" t="n">
        <v>0.5</v>
      </c>
      <c r="AW944" s="335"/>
      <c r="AX944" s="335"/>
      <c r="AY944" s="335"/>
      <c r="AZ944" s="335"/>
      <c r="BA944" s="335"/>
      <c r="BB944" s="335"/>
      <c r="BC944" s="335"/>
      <c r="BD944" s="335"/>
      <c r="BE944" s="335"/>
    </row>
    <row r="945" customFormat="false" ht="14.15" hidden="true" customHeight="true" outlineLevel="1" collapsed="false">
      <c r="A945" s="401" t="s">
        <v>2342</v>
      </c>
      <c r="D945" s="358"/>
      <c r="E945" s="347"/>
      <c r="F945" s="347"/>
      <c r="G945" s="358"/>
      <c r="H945" s="756" t="n">
        <v>0.6</v>
      </c>
      <c r="I945" s="757"/>
      <c r="J945" s="758" t="s">
        <v>2343</v>
      </c>
      <c r="K945" s="759"/>
      <c r="L945" s="759"/>
      <c r="M945" s="759"/>
      <c r="N945" s="759"/>
      <c r="O945" s="759"/>
      <c r="P945" s="760"/>
      <c r="Q945" s="761"/>
      <c r="R945" s="756" t="n">
        <v>0.6</v>
      </c>
      <c r="S945" s="358"/>
      <c r="T945" s="355"/>
      <c r="U945" s="758" t="n">
        <v>0.6</v>
      </c>
      <c r="V945" s="756"/>
      <c r="W945" s="762" t="s">
        <v>2343</v>
      </c>
      <c r="X945" s="763"/>
      <c r="Y945" s="763"/>
      <c r="Z945" s="763"/>
      <c r="AA945" s="763"/>
      <c r="AB945" s="763"/>
      <c r="AC945" s="763"/>
      <c r="AD945" s="763"/>
      <c r="AE945" s="763"/>
      <c r="AF945" s="764"/>
      <c r="AG945" s="765"/>
      <c r="AH945" s="766" t="n">
        <v>0.6</v>
      </c>
      <c r="AW945" s="335"/>
      <c r="AX945" s="335"/>
      <c r="AY945" s="335"/>
      <c r="AZ945" s="335"/>
      <c r="BA945" s="335"/>
      <c r="BB945" s="335"/>
      <c r="BC945" s="335"/>
      <c r="BD945" s="335"/>
      <c r="BE945" s="335"/>
    </row>
    <row r="946" customFormat="false" ht="14.15" hidden="true" customHeight="true" outlineLevel="1" collapsed="false">
      <c r="A946" s="324" t="s">
        <v>2344</v>
      </c>
      <c r="D946" s="358"/>
      <c r="E946" s="347"/>
      <c r="F946" s="347"/>
      <c r="G946" s="358"/>
      <c r="H946" s="358"/>
      <c r="I946" s="680"/>
      <c r="J946" s="371"/>
      <c r="K946" s="371"/>
      <c r="L946" s="371"/>
      <c r="M946" s="371"/>
      <c r="N946" s="371"/>
      <c r="O946" s="371"/>
      <c r="P946" s="371"/>
      <c r="Q946" s="680"/>
      <c r="R946" s="767"/>
      <c r="S946" s="358"/>
      <c r="T946" s="358"/>
      <c r="U946" s="371"/>
      <c r="V946" s="680"/>
      <c r="W946" s="347"/>
      <c r="X946" s="347"/>
      <c r="Y946" s="347"/>
      <c r="Z946" s="347"/>
      <c r="AA946" s="347"/>
      <c r="AB946" s="351"/>
      <c r="AC946" s="351"/>
      <c r="AD946" s="351"/>
      <c r="AE946" s="351"/>
      <c r="AF946" s="351"/>
      <c r="AG946" s="703"/>
      <c r="AH946" s="445"/>
      <c r="AW946" s="335"/>
      <c r="AX946" s="335"/>
      <c r="AY946" s="335"/>
      <c r="AZ946" s="335"/>
      <c r="BA946" s="335"/>
      <c r="BB946" s="335"/>
      <c r="BC946" s="335"/>
      <c r="BD946" s="335"/>
      <c r="BE946" s="335"/>
    </row>
    <row r="947" customFormat="false" ht="14.15" hidden="true" customHeight="true" outlineLevel="1" collapsed="false">
      <c r="A947" s="401" t="s">
        <v>392</v>
      </c>
      <c r="E947" s="347"/>
      <c r="F947" s="347"/>
      <c r="G947" s="358"/>
      <c r="H947" s="450" t="s">
        <v>2239</v>
      </c>
      <c r="I947" s="450"/>
      <c r="J947" s="450"/>
      <c r="K947" s="450"/>
      <c r="L947" s="450"/>
      <c r="M947" s="450" t="s">
        <v>1775</v>
      </c>
      <c r="N947" s="450"/>
      <c r="P947" s="450"/>
      <c r="Q947" s="450"/>
      <c r="R947" s="371" t="s">
        <v>2345</v>
      </c>
      <c r="S947" s="450"/>
      <c r="T947" s="450"/>
      <c r="U947" s="450" t="s">
        <v>2242</v>
      </c>
      <c r="V947" s="450"/>
      <c r="W947" s="450"/>
      <c r="X947" s="450"/>
      <c r="Y947" s="450"/>
      <c r="Z947" s="450"/>
      <c r="AA947" s="450"/>
      <c r="AB947" s="700" t="s">
        <v>1773</v>
      </c>
      <c r="AC947" s="700"/>
      <c r="AD947" s="700"/>
      <c r="AE947" s="700"/>
      <c r="AF947" s="700"/>
      <c r="AG947" s="700"/>
      <c r="AH947" s="700" t="s">
        <v>2243</v>
      </c>
      <c r="AW947" s="335"/>
      <c r="AX947" s="335"/>
      <c r="AY947" s="335"/>
      <c r="AZ947" s="335"/>
      <c r="BA947" s="335"/>
      <c r="BB947" s="335"/>
      <c r="BC947" s="335"/>
      <c r="BD947" s="335"/>
      <c r="BE947" s="335"/>
    </row>
    <row r="948" customFormat="false" ht="14.15" hidden="true" customHeight="true" outlineLevel="1" collapsed="false">
      <c r="E948" s="347"/>
      <c r="F948" s="347"/>
      <c r="G948" s="358"/>
      <c r="H948" s="450"/>
      <c r="I948" s="450"/>
      <c r="J948" s="450"/>
      <c r="K948" s="450"/>
      <c r="L948" s="450"/>
      <c r="M948" s="450"/>
      <c r="N948" s="450"/>
      <c r="P948" s="450"/>
      <c r="Q948" s="450"/>
      <c r="R948" s="371"/>
      <c r="S948" s="450"/>
      <c r="T948" s="450"/>
      <c r="U948" s="450"/>
      <c r="V948" s="450"/>
      <c r="W948" s="450"/>
      <c r="X948" s="450"/>
      <c r="Y948" s="450"/>
      <c r="Z948" s="450"/>
      <c r="AA948" s="450"/>
      <c r="AB948" s="700"/>
      <c r="AC948" s="700"/>
      <c r="AD948" s="700"/>
      <c r="AE948" s="700"/>
      <c r="AF948" s="700"/>
      <c r="AG948" s="700"/>
      <c r="AH948" s="700"/>
      <c r="AW948" s="335"/>
      <c r="AX948" s="335"/>
      <c r="AY948" s="335"/>
      <c r="AZ948" s="335"/>
      <c r="BA948" s="335"/>
      <c r="BB948" s="335"/>
      <c r="BC948" s="335"/>
      <c r="BD948" s="335"/>
      <c r="BE948" s="335"/>
    </row>
    <row r="949" customFormat="false" ht="14.15" hidden="true" customHeight="true" outlineLevel="1" collapsed="false">
      <c r="A949" s="324" t="s">
        <v>2346</v>
      </c>
      <c r="E949" s="347"/>
      <c r="F949" s="347"/>
      <c r="G949" s="358"/>
      <c r="H949" s="450"/>
      <c r="I949" s="450"/>
      <c r="J949" s="450"/>
      <c r="K949" s="450"/>
      <c r="L949" s="450"/>
      <c r="M949" s="450"/>
      <c r="N949" s="450"/>
      <c r="P949" s="450"/>
      <c r="Q949" s="450"/>
      <c r="R949" s="371"/>
      <c r="S949" s="450"/>
      <c r="T949" s="450"/>
      <c r="U949" s="450"/>
      <c r="V949" s="450"/>
      <c r="W949" s="450"/>
      <c r="X949" s="450"/>
      <c r="Y949" s="450"/>
      <c r="Z949" s="450"/>
      <c r="AA949" s="450"/>
      <c r="AB949" s="700"/>
      <c r="AC949" s="700"/>
      <c r="AD949" s="700"/>
      <c r="AE949" s="700"/>
      <c r="AF949" s="700"/>
      <c r="AG949" s="700"/>
      <c r="AH949" s="700"/>
      <c r="AW949" s="335"/>
      <c r="AX949" s="335"/>
      <c r="AY949" s="335"/>
      <c r="AZ949" s="335"/>
      <c r="BA949" s="335"/>
      <c r="BB949" s="335"/>
      <c r="BC949" s="335"/>
      <c r="BD949" s="335"/>
      <c r="BE949" s="335"/>
    </row>
    <row r="950" customFormat="false" ht="14.15" hidden="true" customHeight="true" outlineLevel="1" collapsed="false">
      <c r="A950" s="401" t="s">
        <v>694</v>
      </c>
      <c r="E950" s="347"/>
      <c r="F950" s="347"/>
      <c r="G950" s="358"/>
      <c r="H950" s="450"/>
      <c r="I950" s="450"/>
      <c r="J950" s="450"/>
      <c r="K950" s="450"/>
      <c r="L950" s="450"/>
      <c r="M950" s="450"/>
      <c r="N950" s="450"/>
      <c r="P950" s="450"/>
      <c r="Q950" s="450"/>
      <c r="R950" s="371"/>
      <c r="S950" s="450"/>
      <c r="T950" s="450"/>
      <c r="U950" s="450"/>
      <c r="V950" s="450"/>
      <c r="W950" s="450"/>
      <c r="X950" s="450"/>
      <c r="Y950" s="450"/>
      <c r="Z950" s="450"/>
      <c r="AA950" s="450"/>
      <c r="AB950" s="700"/>
      <c r="AC950" s="700"/>
      <c r="AD950" s="700"/>
      <c r="AE950" s="700"/>
      <c r="AF950" s="700"/>
      <c r="AG950" s="700"/>
      <c r="AH950" s="700"/>
      <c r="AW950" s="335"/>
      <c r="AX950" s="335"/>
      <c r="AY950" s="335"/>
      <c r="AZ950" s="335"/>
      <c r="BA950" s="335"/>
      <c r="BB950" s="335"/>
      <c r="BC950" s="335"/>
      <c r="BD950" s="335"/>
      <c r="BE950" s="335"/>
    </row>
    <row r="951" customFormat="false" ht="14.15" hidden="true" customHeight="true" outlineLevel="1" collapsed="false">
      <c r="A951" s="579" t="s">
        <v>2347</v>
      </c>
      <c r="B951" s="402" t="s">
        <v>396</v>
      </c>
      <c r="C951" s="768" t="n">
        <v>0.1</v>
      </c>
      <c r="E951" s="347"/>
      <c r="F951" s="347"/>
      <c r="G951" s="358"/>
      <c r="H951" s="450"/>
      <c r="I951" s="450"/>
      <c r="J951" s="450"/>
      <c r="K951" s="450"/>
      <c r="L951" s="450"/>
      <c r="M951" s="450"/>
      <c r="N951" s="450"/>
      <c r="P951" s="450"/>
      <c r="Q951" s="450"/>
      <c r="R951" s="371"/>
      <c r="S951" s="450"/>
      <c r="T951" s="450"/>
      <c r="U951" s="450"/>
      <c r="V951" s="450"/>
      <c r="W951" s="450"/>
      <c r="X951" s="450"/>
      <c r="Y951" s="450"/>
      <c r="Z951" s="450"/>
      <c r="AA951" s="450"/>
      <c r="AB951" s="700"/>
      <c r="AC951" s="700"/>
      <c r="AD951" s="700"/>
      <c r="AE951" s="700"/>
      <c r="AF951" s="700"/>
      <c r="AG951" s="700"/>
      <c r="AH951" s="700"/>
      <c r="AW951" s="335"/>
      <c r="AX951" s="335"/>
      <c r="AY951" s="335"/>
      <c r="AZ951" s="335"/>
      <c r="BA951" s="335"/>
      <c r="BB951" s="335"/>
      <c r="BC951" s="335"/>
      <c r="BD951" s="335"/>
      <c r="BE951" s="335"/>
    </row>
    <row r="952" customFormat="false" ht="14.15" hidden="true" customHeight="true" outlineLevel="1" collapsed="false">
      <c r="A952" s="370" t="s">
        <v>2348</v>
      </c>
      <c r="B952" s="402" t="s">
        <v>159</v>
      </c>
      <c r="C952" s="768" t="n">
        <v>1</v>
      </c>
      <c r="E952" s="347"/>
      <c r="F952" s="347"/>
      <c r="G952" s="358"/>
      <c r="H952" s="450"/>
      <c r="I952" s="450"/>
      <c r="J952" s="450"/>
      <c r="K952" s="450"/>
      <c r="L952" s="450"/>
      <c r="M952" s="450"/>
      <c r="N952" s="450"/>
      <c r="P952" s="450"/>
      <c r="Q952" s="450"/>
      <c r="R952" s="371"/>
      <c r="S952" s="450"/>
      <c r="T952" s="450"/>
      <c r="U952" s="450"/>
      <c r="V952" s="450"/>
      <c r="W952" s="450"/>
      <c r="X952" s="450"/>
      <c r="Y952" s="450"/>
      <c r="Z952" s="450"/>
      <c r="AA952" s="450"/>
      <c r="AB952" s="700"/>
      <c r="AC952" s="700"/>
      <c r="AD952" s="700"/>
      <c r="AE952" s="700"/>
      <c r="AF952" s="700"/>
      <c r="AG952" s="700"/>
      <c r="AH952" s="700"/>
      <c r="AW952" s="335"/>
      <c r="AX952" s="335"/>
      <c r="AY952" s="335"/>
      <c r="AZ952" s="335"/>
      <c r="BA952" s="335"/>
      <c r="BB952" s="335"/>
      <c r="BC952" s="335"/>
      <c r="BD952" s="335"/>
      <c r="BE952" s="335"/>
    </row>
    <row r="953" customFormat="false" ht="14.15" hidden="true" customHeight="true" outlineLevel="1" collapsed="false">
      <c r="E953" s="347"/>
      <c r="F953" s="347"/>
      <c r="G953" s="358"/>
      <c r="H953" s="450"/>
      <c r="I953" s="450"/>
      <c r="J953" s="450"/>
      <c r="K953" s="450"/>
      <c r="L953" s="450"/>
      <c r="M953" s="450"/>
      <c r="N953" s="450"/>
      <c r="P953" s="450"/>
      <c r="Q953" s="450"/>
      <c r="R953" s="371"/>
      <c r="S953" s="450"/>
      <c r="T953" s="450"/>
      <c r="U953" s="450"/>
      <c r="V953" s="450"/>
      <c r="W953" s="450"/>
      <c r="X953" s="450"/>
      <c r="Y953" s="450"/>
      <c r="Z953" s="450"/>
      <c r="AA953" s="450"/>
      <c r="AB953" s="700"/>
      <c r="AC953" s="700"/>
      <c r="AD953" s="700"/>
      <c r="AE953" s="700"/>
      <c r="AF953" s="700"/>
      <c r="AG953" s="700"/>
      <c r="AH953" s="700"/>
      <c r="AW953" s="335"/>
      <c r="AX953" s="335"/>
      <c r="AY953" s="335"/>
      <c r="AZ953" s="335"/>
      <c r="BA953" s="335"/>
      <c r="BB953" s="335"/>
      <c r="BC953" s="335"/>
      <c r="BD953" s="335"/>
      <c r="BE953" s="335"/>
    </row>
    <row r="954" customFormat="false" ht="14.15" hidden="true" customHeight="true" outlineLevel="1" collapsed="false">
      <c r="A954" s="342" t="s">
        <v>2349</v>
      </c>
      <c r="C954" s="521"/>
      <c r="E954" s="347"/>
      <c r="F954" s="347"/>
      <c r="G954" s="358"/>
      <c r="H954" s="450"/>
      <c r="I954" s="450"/>
      <c r="J954" s="450"/>
      <c r="K954" s="450"/>
      <c r="L954" s="450"/>
      <c r="M954" s="450"/>
      <c r="N954" s="450"/>
      <c r="P954" s="450"/>
      <c r="Q954" s="450"/>
      <c r="R954" s="371"/>
      <c r="S954" s="450"/>
      <c r="T954" s="450"/>
      <c r="U954" s="450"/>
      <c r="V954" s="450"/>
      <c r="W954" s="450"/>
      <c r="X954" s="450"/>
      <c r="Y954" s="450"/>
      <c r="Z954" s="450"/>
      <c r="AA954" s="450"/>
      <c r="AB954" s="700"/>
      <c r="AC954" s="700"/>
      <c r="AD954" s="700"/>
      <c r="AE954" s="700"/>
      <c r="AF954" s="700"/>
      <c r="AG954" s="700"/>
      <c r="AH954" s="700"/>
      <c r="AW954" s="335"/>
      <c r="AX954" s="335"/>
      <c r="AY954" s="335"/>
      <c r="AZ954" s="335"/>
      <c r="BA954" s="335"/>
      <c r="BB954" s="335"/>
      <c r="BC954" s="335"/>
      <c r="BD954" s="335"/>
      <c r="BE954" s="335"/>
    </row>
    <row r="955" customFormat="false" ht="14.15" hidden="true" customHeight="true" outlineLevel="1" collapsed="false">
      <c r="A955" s="525" t="s">
        <v>1364</v>
      </c>
      <c r="B955" s="429"/>
      <c r="C955" s="769"/>
      <c r="E955" s="347"/>
      <c r="F955" s="347"/>
      <c r="G955" s="358"/>
      <c r="H955" s="450"/>
      <c r="I955" s="450"/>
      <c r="J955" s="450"/>
      <c r="K955" s="450"/>
      <c r="L955" s="450"/>
      <c r="M955" s="450"/>
      <c r="N955" s="450"/>
      <c r="P955" s="450"/>
      <c r="Q955" s="450"/>
      <c r="R955" s="371"/>
      <c r="S955" s="450"/>
      <c r="T955" s="450"/>
      <c r="U955" s="450"/>
      <c r="V955" s="450"/>
      <c r="W955" s="450"/>
      <c r="X955" s="450"/>
      <c r="Y955" s="450"/>
      <c r="Z955" s="450"/>
      <c r="AA955" s="450"/>
      <c r="AB955" s="700"/>
      <c r="AC955" s="700"/>
      <c r="AD955" s="700"/>
      <c r="AE955" s="700"/>
      <c r="AF955" s="700"/>
      <c r="AG955" s="700"/>
      <c r="AH955" s="700"/>
      <c r="AW955" s="335"/>
      <c r="AX955" s="335"/>
      <c r="AY955" s="335"/>
      <c r="AZ955" s="335"/>
      <c r="BA955" s="335"/>
      <c r="BB955" s="335"/>
      <c r="BC955" s="335"/>
      <c r="BD955" s="335"/>
      <c r="BE955" s="335"/>
    </row>
    <row r="956" customFormat="false" ht="14.15" hidden="true" customHeight="true" outlineLevel="1" collapsed="false">
      <c r="A956" s="579" t="s">
        <v>2347</v>
      </c>
      <c r="B956" s="402" t="s">
        <v>396</v>
      </c>
      <c r="C956" s="768" t="n">
        <v>0.1</v>
      </c>
      <c r="E956" s="347"/>
      <c r="F956" s="347"/>
      <c r="G956" s="358"/>
      <c r="H956" s="450"/>
      <c r="I956" s="450"/>
      <c r="J956" s="450"/>
      <c r="K956" s="450"/>
      <c r="L956" s="450"/>
      <c r="M956" s="450"/>
      <c r="N956" s="450"/>
      <c r="P956" s="450"/>
      <c r="Q956" s="450"/>
      <c r="R956" s="371"/>
      <c r="S956" s="450"/>
      <c r="T956" s="450"/>
      <c r="U956" s="450"/>
      <c r="V956" s="450"/>
      <c r="W956" s="450"/>
      <c r="X956" s="450"/>
      <c r="Y956" s="450"/>
      <c r="Z956" s="450"/>
      <c r="AA956" s="450"/>
      <c r="AB956" s="700"/>
      <c r="AC956" s="700"/>
      <c r="AD956" s="700"/>
      <c r="AE956" s="700"/>
      <c r="AF956" s="700"/>
      <c r="AG956" s="700"/>
      <c r="AH956" s="700"/>
      <c r="AW956" s="335"/>
      <c r="AX956" s="335"/>
      <c r="AY956" s="335"/>
      <c r="AZ956" s="335"/>
      <c r="BA956" s="335"/>
      <c r="BB956" s="335"/>
      <c r="BC956" s="335"/>
      <c r="BD956" s="335"/>
      <c r="BE956" s="335"/>
    </row>
    <row r="957" customFormat="false" ht="14.15" hidden="true" customHeight="true" outlineLevel="1" collapsed="false">
      <c r="A957" s="370" t="s">
        <v>2350</v>
      </c>
      <c r="B957" s="402" t="s">
        <v>159</v>
      </c>
      <c r="C957" s="768" t="n">
        <v>2</v>
      </c>
      <c r="E957" s="347"/>
      <c r="F957" s="347"/>
      <c r="G957" s="358"/>
      <c r="H957" s="450"/>
      <c r="I957" s="450"/>
      <c r="J957" s="450"/>
      <c r="K957" s="450"/>
      <c r="L957" s="450"/>
      <c r="M957" s="450"/>
      <c r="N957" s="450"/>
      <c r="P957" s="450"/>
      <c r="Q957" s="450"/>
      <c r="R957" s="371"/>
      <c r="S957" s="450"/>
      <c r="T957" s="450"/>
      <c r="U957" s="450"/>
      <c r="V957" s="450"/>
      <c r="W957" s="450"/>
      <c r="X957" s="450"/>
      <c r="Y957" s="450"/>
      <c r="Z957" s="450"/>
      <c r="AA957" s="450"/>
      <c r="AB957" s="700"/>
      <c r="AC957" s="700"/>
      <c r="AD957" s="700"/>
      <c r="AE957" s="700"/>
      <c r="AF957" s="700"/>
      <c r="AG957" s="700"/>
      <c r="AH957" s="700"/>
      <c r="AW957" s="335"/>
      <c r="AX957" s="335"/>
      <c r="AY957" s="335"/>
      <c r="AZ957" s="335"/>
      <c r="BA957" s="335"/>
      <c r="BB957" s="335"/>
      <c r="BC957" s="335"/>
      <c r="BD957" s="335"/>
      <c r="BE957" s="335"/>
    </row>
    <row r="958" customFormat="false" ht="14.15" hidden="true" customHeight="true" outlineLevel="1" collapsed="false">
      <c r="C958" s="521"/>
      <c r="E958" s="347"/>
      <c r="F958" s="347"/>
      <c r="G958" s="358"/>
      <c r="H958" s="450"/>
      <c r="I958" s="450"/>
      <c r="J958" s="450"/>
      <c r="K958" s="450"/>
      <c r="L958" s="450"/>
      <c r="M958" s="450"/>
      <c r="N958" s="450"/>
      <c r="P958" s="450"/>
      <c r="Q958" s="450"/>
      <c r="R958" s="371"/>
      <c r="S958" s="450"/>
      <c r="T958" s="450"/>
      <c r="U958" s="450"/>
      <c r="V958" s="450"/>
      <c r="W958" s="450"/>
      <c r="X958" s="450"/>
      <c r="Y958" s="450"/>
      <c r="Z958" s="450"/>
      <c r="AA958" s="450"/>
      <c r="AB958" s="700"/>
      <c r="AC958" s="700"/>
      <c r="AD958" s="700"/>
      <c r="AE958" s="700"/>
      <c r="AF958" s="700"/>
      <c r="AG958" s="700"/>
      <c r="AH958" s="700"/>
      <c r="AW958" s="335"/>
      <c r="AX958" s="335"/>
      <c r="AY958" s="335"/>
      <c r="AZ958" s="335"/>
      <c r="BA958" s="335"/>
      <c r="BB958" s="335"/>
      <c r="BC958" s="335"/>
      <c r="BD958" s="335"/>
      <c r="BE958" s="335"/>
    </row>
    <row r="959" customFormat="false" ht="14.15" hidden="true" customHeight="true" outlineLevel="1" collapsed="false">
      <c r="A959" s="342" t="s">
        <v>2351</v>
      </c>
      <c r="C959" s="521"/>
      <c r="E959" s="347"/>
      <c r="F959" s="347"/>
      <c r="G959" s="358"/>
      <c r="H959" s="450"/>
      <c r="I959" s="450"/>
      <c r="J959" s="450"/>
      <c r="K959" s="450"/>
      <c r="L959" s="450"/>
      <c r="M959" s="450"/>
      <c r="N959" s="450"/>
      <c r="P959" s="450"/>
      <c r="Q959" s="450"/>
      <c r="R959" s="371"/>
      <c r="S959" s="450"/>
      <c r="T959" s="450"/>
      <c r="U959" s="450"/>
      <c r="V959" s="450"/>
      <c r="W959" s="450"/>
      <c r="X959" s="450"/>
      <c r="Y959" s="450"/>
      <c r="Z959" s="450"/>
      <c r="AA959" s="450"/>
      <c r="AB959" s="700"/>
      <c r="AC959" s="700"/>
      <c r="AD959" s="700"/>
      <c r="AE959" s="700"/>
      <c r="AF959" s="700"/>
      <c r="AG959" s="700"/>
      <c r="AH959" s="700"/>
      <c r="AW959" s="335"/>
      <c r="AX959" s="335"/>
      <c r="AY959" s="335"/>
      <c r="AZ959" s="335"/>
      <c r="BA959" s="335"/>
      <c r="BB959" s="335"/>
      <c r="BC959" s="335"/>
      <c r="BD959" s="335"/>
      <c r="BE959" s="335"/>
    </row>
    <row r="960" customFormat="false" ht="14.15" hidden="true" customHeight="true" outlineLevel="1" collapsed="false">
      <c r="A960" s="525" t="s">
        <v>1366</v>
      </c>
      <c r="B960" s="429"/>
      <c r="C960" s="769"/>
      <c r="E960" s="347"/>
      <c r="F960" s="347"/>
      <c r="G960" s="358"/>
      <c r="H960" s="450"/>
      <c r="I960" s="450"/>
      <c r="J960" s="450"/>
      <c r="K960" s="450"/>
      <c r="L960" s="450"/>
      <c r="M960" s="450"/>
      <c r="N960" s="450"/>
      <c r="P960" s="450"/>
      <c r="Q960" s="450"/>
      <c r="R960" s="371"/>
      <c r="S960" s="450"/>
      <c r="T960" s="450"/>
      <c r="U960" s="450"/>
      <c r="V960" s="450"/>
      <c r="W960" s="450"/>
      <c r="X960" s="450"/>
      <c r="Y960" s="450"/>
      <c r="Z960" s="450"/>
      <c r="AA960" s="450"/>
      <c r="AB960" s="700"/>
      <c r="AC960" s="700"/>
      <c r="AD960" s="700"/>
      <c r="AE960" s="700"/>
      <c r="AF960" s="700"/>
      <c r="AG960" s="700"/>
      <c r="AH960" s="700"/>
      <c r="AW960" s="335"/>
      <c r="AX960" s="335"/>
      <c r="AY960" s="335"/>
      <c r="AZ960" s="335"/>
      <c r="BA960" s="335"/>
      <c r="BB960" s="335"/>
      <c r="BC960" s="335"/>
      <c r="BD960" s="335"/>
      <c r="BE960" s="335"/>
    </row>
    <row r="961" customFormat="false" ht="14.15" hidden="true" customHeight="true" outlineLevel="1" collapsed="false">
      <c r="A961" s="579" t="s">
        <v>2347</v>
      </c>
      <c r="B961" s="402" t="s">
        <v>396</v>
      </c>
      <c r="C961" s="768" t="n">
        <v>0.1</v>
      </c>
      <c r="E961" s="347"/>
      <c r="F961" s="347"/>
      <c r="G961" s="358"/>
      <c r="H961" s="450"/>
      <c r="I961" s="450"/>
      <c r="J961" s="450"/>
      <c r="K961" s="450"/>
      <c r="L961" s="450"/>
      <c r="M961" s="450"/>
      <c r="N961" s="450"/>
      <c r="P961" s="450"/>
      <c r="Q961" s="450"/>
      <c r="R961" s="371"/>
      <c r="S961" s="450"/>
      <c r="T961" s="450"/>
      <c r="U961" s="450"/>
      <c r="V961" s="450"/>
      <c r="W961" s="450"/>
      <c r="X961" s="450"/>
      <c r="Y961" s="450"/>
      <c r="Z961" s="450"/>
      <c r="AA961" s="450"/>
      <c r="AB961" s="700"/>
      <c r="AC961" s="700"/>
      <c r="AD961" s="700"/>
      <c r="AE961" s="700"/>
      <c r="AF961" s="700"/>
      <c r="AG961" s="700"/>
      <c r="AH961" s="700"/>
      <c r="AW961" s="335"/>
      <c r="AX961" s="335"/>
      <c r="AY961" s="335"/>
      <c r="AZ961" s="335"/>
      <c r="BA961" s="335"/>
      <c r="BB961" s="335"/>
      <c r="BC961" s="335"/>
      <c r="BD961" s="335"/>
      <c r="BE961" s="335"/>
    </row>
    <row r="962" customFormat="false" ht="14.15" hidden="true" customHeight="true" outlineLevel="1" collapsed="false">
      <c r="A962" s="370" t="s">
        <v>2350</v>
      </c>
      <c r="B962" s="402" t="s">
        <v>159</v>
      </c>
      <c r="C962" s="768" t="n">
        <v>2</v>
      </c>
      <c r="E962" s="347"/>
      <c r="F962" s="347"/>
      <c r="G962" s="358"/>
      <c r="H962" s="450"/>
      <c r="I962" s="450"/>
      <c r="J962" s="450"/>
      <c r="K962" s="450"/>
      <c r="L962" s="450"/>
      <c r="M962" s="450"/>
      <c r="N962" s="450"/>
      <c r="P962" s="450"/>
      <c r="Q962" s="450"/>
      <c r="R962" s="371"/>
      <c r="S962" s="450"/>
      <c r="T962" s="450"/>
      <c r="U962" s="450"/>
      <c r="V962" s="450"/>
      <c r="W962" s="450"/>
      <c r="X962" s="450"/>
      <c r="Y962" s="450"/>
      <c r="Z962" s="450"/>
      <c r="AA962" s="450"/>
      <c r="AB962" s="700"/>
      <c r="AC962" s="700"/>
      <c r="AD962" s="700"/>
      <c r="AE962" s="700"/>
      <c r="AF962" s="700"/>
      <c r="AG962" s="700"/>
      <c r="AH962" s="700"/>
      <c r="AW962" s="335"/>
      <c r="AX962" s="335"/>
      <c r="AY962" s="335"/>
      <c r="AZ962" s="335"/>
      <c r="BA962" s="335"/>
      <c r="BB962" s="335"/>
      <c r="BC962" s="335"/>
      <c r="BD962" s="335"/>
      <c r="BE962" s="335"/>
    </row>
    <row r="963" customFormat="false" ht="14.15" hidden="true" customHeight="true" outlineLevel="1" collapsed="false">
      <c r="E963" s="347"/>
      <c r="F963" s="347"/>
      <c r="G963" s="358"/>
      <c r="H963" s="450"/>
      <c r="I963" s="450"/>
      <c r="J963" s="450"/>
      <c r="K963" s="450"/>
      <c r="L963" s="450"/>
      <c r="M963" s="450"/>
      <c r="N963" s="450"/>
      <c r="P963" s="450"/>
      <c r="Q963" s="450"/>
      <c r="R963" s="371"/>
      <c r="S963" s="450"/>
      <c r="T963" s="450"/>
      <c r="U963" s="450"/>
      <c r="V963" s="450"/>
      <c r="W963" s="450"/>
      <c r="X963" s="450"/>
      <c r="Y963" s="450"/>
      <c r="Z963" s="450"/>
      <c r="AA963" s="450"/>
      <c r="AB963" s="700"/>
      <c r="AC963" s="700"/>
      <c r="AD963" s="700"/>
      <c r="AE963" s="700"/>
      <c r="AF963" s="700"/>
      <c r="AG963" s="700"/>
      <c r="AH963" s="700"/>
      <c r="AW963" s="335"/>
      <c r="AX963" s="335"/>
      <c r="AY963" s="335"/>
      <c r="AZ963" s="335"/>
      <c r="BA963" s="335"/>
      <c r="BB963" s="335"/>
      <c r="BC963" s="335"/>
      <c r="BD963" s="335"/>
      <c r="BE963" s="335"/>
    </row>
    <row r="964" customFormat="false" ht="14.15" hidden="true" customHeight="true" outlineLevel="1" collapsed="false">
      <c r="A964" s="324" t="s">
        <v>2352</v>
      </c>
      <c r="E964" s="347"/>
      <c r="F964" s="347"/>
      <c r="G964" s="358"/>
      <c r="H964" s="450"/>
      <c r="I964" s="450"/>
      <c r="J964" s="450"/>
      <c r="K964" s="450"/>
      <c r="L964" s="450"/>
      <c r="M964" s="450"/>
      <c r="N964" s="450"/>
      <c r="P964" s="450"/>
      <c r="Q964" s="450"/>
      <c r="R964" s="371"/>
      <c r="S964" s="450"/>
      <c r="T964" s="450"/>
      <c r="U964" s="450"/>
      <c r="V964" s="450"/>
      <c r="W964" s="450"/>
      <c r="X964" s="450"/>
      <c r="Y964" s="450"/>
      <c r="Z964" s="450"/>
      <c r="AA964" s="450"/>
      <c r="AB964" s="700"/>
      <c r="AC964" s="700"/>
      <c r="AD964" s="700"/>
      <c r="AE964" s="700"/>
      <c r="AF964" s="700"/>
      <c r="AG964" s="700"/>
      <c r="AH964" s="700"/>
      <c r="AW964" s="335"/>
      <c r="AX964" s="335"/>
      <c r="AY964" s="335"/>
      <c r="AZ964" s="335"/>
      <c r="BA964" s="335"/>
      <c r="BB964" s="335"/>
      <c r="BC964" s="335"/>
      <c r="BD964" s="335"/>
      <c r="BE964" s="335"/>
    </row>
    <row r="965" customFormat="false" ht="14.15" hidden="true" customHeight="true" outlineLevel="1" collapsed="false">
      <c r="A965" s="401" t="s">
        <v>1610</v>
      </c>
      <c r="E965" s="347"/>
      <c r="F965" s="347"/>
      <c r="G965" s="358"/>
      <c r="H965" s="450"/>
      <c r="I965" s="450"/>
      <c r="J965" s="450"/>
      <c r="K965" s="450"/>
      <c r="L965" s="450"/>
      <c r="M965" s="450"/>
      <c r="N965" s="450"/>
      <c r="P965" s="450"/>
      <c r="Q965" s="450"/>
      <c r="R965" s="371"/>
      <c r="S965" s="450"/>
      <c r="T965" s="450"/>
      <c r="U965" s="450"/>
      <c r="V965" s="450"/>
      <c r="W965" s="450"/>
      <c r="X965" s="450"/>
      <c r="Y965" s="450"/>
      <c r="Z965" s="450"/>
      <c r="AA965" s="450"/>
      <c r="AB965" s="700"/>
      <c r="AC965" s="700"/>
      <c r="AD965" s="700"/>
      <c r="AE965" s="700"/>
      <c r="AF965" s="700"/>
      <c r="AG965" s="700"/>
      <c r="AH965" s="700"/>
      <c r="AW965" s="335"/>
      <c r="AX965" s="335"/>
      <c r="AY965" s="335"/>
      <c r="AZ965" s="335"/>
      <c r="BA965" s="335"/>
      <c r="BB965" s="335"/>
      <c r="BC965" s="335"/>
      <c r="BD965" s="335"/>
      <c r="BE965" s="335"/>
    </row>
    <row r="966" customFormat="false" ht="14.15" hidden="true" customHeight="true" outlineLevel="1" collapsed="false">
      <c r="E966" s="347"/>
      <c r="F966" s="347"/>
      <c r="G966" s="358"/>
      <c r="H966" s="450"/>
      <c r="I966" s="450"/>
      <c r="J966" s="450"/>
      <c r="K966" s="450"/>
      <c r="L966" s="450"/>
      <c r="M966" s="450"/>
      <c r="N966" s="450"/>
      <c r="P966" s="450"/>
      <c r="Q966" s="450"/>
      <c r="R966" s="371"/>
      <c r="S966" s="450"/>
      <c r="T966" s="450"/>
      <c r="U966" s="450"/>
      <c r="V966" s="450"/>
      <c r="W966" s="450"/>
      <c r="X966" s="450"/>
      <c r="Y966" s="450"/>
      <c r="Z966" s="450"/>
      <c r="AA966" s="450"/>
      <c r="AB966" s="700"/>
      <c r="AC966" s="700"/>
      <c r="AD966" s="700"/>
      <c r="AE966" s="700"/>
      <c r="AF966" s="700"/>
      <c r="AG966" s="700"/>
      <c r="AH966" s="700"/>
      <c r="AW966" s="335"/>
      <c r="AX966" s="335"/>
      <c r="AY966" s="335"/>
      <c r="AZ966" s="335"/>
      <c r="BA966" s="335"/>
      <c r="BB966" s="335"/>
      <c r="BC966" s="335"/>
      <c r="BD966" s="335"/>
      <c r="BE966" s="335"/>
    </row>
    <row r="967" customFormat="false" ht="14.15" hidden="true" customHeight="true" outlineLevel="1" collapsed="false">
      <c r="A967" s="324" t="s">
        <v>2353</v>
      </c>
      <c r="E967" s="347"/>
      <c r="F967" s="347"/>
      <c r="G967" s="358"/>
      <c r="H967" s="450"/>
      <c r="I967" s="450"/>
      <c r="J967" s="450"/>
      <c r="K967" s="450"/>
      <c r="L967" s="450"/>
      <c r="M967" s="450"/>
      <c r="N967" s="450"/>
      <c r="P967" s="450"/>
      <c r="Q967" s="450"/>
      <c r="R967" s="371"/>
      <c r="S967" s="450"/>
      <c r="T967" s="450"/>
      <c r="U967" s="450"/>
      <c r="V967" s="450"/>
      <c r="W967" s="450"/>
      <c r="X967" s="450"/>
      <c r="Y967" s="450"/>
      <c r="Z967" s="450"/>
      <c r="AA967" s="450"/>
      <c r="AB967" s="700"/>
      <c r="AC967" s="700"/>
      <c r="AD967" s="700"/>
      <c r="AE967" s="700"/>
      <c r="AF967" s="700"/>
      <c r="AG967" s="700"/>
      <c r="AH967" s="700"/>
      <c r="AW967" s="335"/>
      <c r="AX967" s="335"/>
      <c r="AY967" s="335"/>
      <c r="AZ967" s="335"/>
      <c r="BA967" s="335"/>
      <c r="BB967" s="335"/>
      <c r="BC967" s="335"/>
      <c r="BD967" s="335"/>
      <c r="BE967" s="335"/>
    </row>
    <row r="968" customFormat="false" ht="14.15" hidden="true" customHeight="true" outlineLevel="1" collapsed="false">
      <c r="A968" s="401" t="s">
        <v>683</v>
      </c>
      <c r="E968" s="347"/>
      <c r="F968" s="347"/>
      <c r="G968" s="358"/>
      <c r="H968" s="450"/>
      <c r="I968" s="450"/>
      <c r="J968" s="450"/>
      <c r="K968" s="450"/>
      <c r="L968" s="450"/>
      <c r="M968" s="450"/>
      <c r="N968" s="450"/>
      <c r="P968" s="450"/>
      <c r="Q968" s="450"/>
      <c r="R968" s="371"/>
      <c r="S968" s="450"/>
      <c r="T968" s="450"/>
      <c r="U968" s="450"/>
      <c r="V968" s="450"/>
      <c r="W968" s="450"/>
      <c r="X968" s="450"/>
      <c r="Y968" s="450"/>
      <c r="Z968" s="450"/>
      <c r="AA968" s="450"/>
      <c r="AB968" s="700"/>
      <c r="AC968" s="700"/>
      <c r="AD968" s="700"/>
      <c r="AE968" s="700"/>
      <c r="AF968" s="700"/>
      <c r="AG968" s="700"/>
      <c r="AH968" s="700"/>
      <c r="AW968" s="335"/>
      <c r="AX968" s="335"/>
      <c r="AY968" s="335"/>
      <c r="AZ968" s="335"/>
      <c r="BA968" s="335"/>
      <c r="BB968" s="335"/>
      <c r="BC968" s="335"/>
      <c r="BD968" s="335"/>
      <c r="BE968" s="335"/>
    </row>
    <row r="969" customFormat="false" ht="14.15" hidden="true" customHeight="true" outlineLevel="1" collapsed="false">
      <c r="A969" s="324" t="s">
        <v>2354</v>
      </c>
      <c r="E969" s="347"/>
      <c r="F969" s="347"/>
      <c r="G969" s="358"/>
      <c r="H969" s="450"/>
      <c r="I969" s="450"/>
      <c r="J969" s="450"/>
      <c r="K969" s="450"/>
      <c r="L969" s="450"/>
      <c r="M969" s="450"/>
      <c r="N969" s="450"/>
      <c r="P969" s="450"/>
      <c r="Q969" s="450"/>
      <c r="R969" s="371"/>
      <c r="S969" s="450"/>
      <c r="T969" s="450"/>
      <c r="U969" s="450"/>
      <c r="V969" s="450"/>
      <c r="W969" s="450"/>
      <c r="X969" s="450"/>
      <c r="Y969" s="450"/>
      <c r="Z969" s="450"/>
      <c r="AA969" s="450"/>
      <c r="AB969" s="700"/>
      <c r="AC969" s="700"/>
      <c r="AD969" s="700"/>
      <c r="AE969" s="700"/>
      <c r="AF969" s="700"/>
      <c r="AG969" s="700"/>
      <c r="AH969" s="700"/>
      <c r="AW969" s="335"/>
      <c r="AX969" s="335"/>
      <c r="AY969" s="335"/>
      <c r="AZ969" s="335"/>
      <c r="BA969" s="335"/>
      <c r="BB969" s="335"/>
      <c r="BC969" s="335"/>
      <c r="BD969" s="335"/>
      <c r="BE969" s="335"/>
    </row>
    <row r="970" customFormat="false" ht="14.15" hidden="true" customHeight="true" outlineLevel="1" collapsed="false">
      <c r="A970" s="401" t="s">
        <v>683</v>
      </c>
      <c r="E970" s="347"/>
      <c r="F970" s="347"/>
      <c r="G970" s="358"/>
      <c r="H970" s="450"/>
      <c r="I970" s="450"/>
      <c r="J970" s="450"/>
      <c r="K970" s="450"/>
      <c r="L970" s="450"/>
      <c r="M970" s="450"/>
      <c r="N970" s="450"/>
      <c r="P970" s="450"/>
      <c r="Q970" s="450"/>
      <c r="R970" s="371"/>
      <c r="S970" s="450"/>
      <c r="T970" s="450"/>
      <c r="U970" s="450"/>
      <c r="V970" s="450"/>
      <c r="W970" s="450"/>
      <c r="X970" s="450"/>
      <c r="Y970" s="450"/>
      <c r="Z970" s="450"/>
      <c r="AA970" s="450"/>
      <c r="AB970" s="700"/>
      <c r="AC970" s="700"/>
      <c r="AD970" s="700"/>
      <c r="AE970" s="700"/>
      <c r="AF970" s="700"/>
      <c r="AG970" s="700"/>
      <c r="AH970" s="700"/>
      <c r="AW970" s="335"/>
      <c r="AX970" s="335"/>
      <c r="AY970" s="335"/>
      <c r="AZ970" s="335"/>
      <c r="BA970" s="335"/>
      <c r="BB970" s="335"/>
      <c r="BC970" s="335"/>
      <c r="BD970" s="335"/>
      <c r="BE970" s="335"/>
    </row>
    <row r="971" customFormat="false" ht="14.15" hidden="true" customHeight="true" outlineLevel="1" collapsed="false">
      <c r="E971" s="347"/>
      <c r="F971" s="347"/>
      <c r="G971" s="358"/>
      <c r="H971" s="450"/>
      <c r="I971" s="450"/>
      <c r="J971" s="450"/>
      <c r="K971" s="450"/>
      <c r="L971" s="450"/>
      <c r="M971" s="450"/>
      <c r="N971" s="450"/>
      <c r="P971" s="450"/>
      <c r="Q971" s="450"/>
      <c r="R971" s="371"/>
      <c r="S971" s="450"/>
      <c r="T971" s="450"/>
      <c r="U971" s="450"/>
      <c r="V971" s="450"/>
      <c r="W971" s="450"/>
      <c r="X971" s="450"/>
      <c r="Y971" s="450"/>
      <c r="Z971" s="450"/>
      <c r="AA971" s="450"/>
      <c r="AB971" s="700"/>
      <c r="AC971" s="700"/>
      <c r="AD971" s="700"/>
      <c r="AE971" s="700"/>
      <c r="AF971" s="700"/>
      <c r="AG971" s="700"/>
      <c r="AH971" s="700"/>
      <c r="AW971" s="335"/>
      <c r="AX971" s="335"/>
      <c r="AY971" s="335"/>
      <c r="AZ971" s="335"/>
      <c r="BA971" s="335"/>
      <c r="BB971" s="335"/>
      <c r="BC971" s="335"/>
      <c r="BD971" s="335"/>
      <c r="BE971" s="335"/>
    </row>
    <row r="972" customFormat="false" ht="14.15" hidden="true" customHeight="true" outlineLevel="1" collapsed="false">
      <c r="A972" s="324" t="s">
        <v>2355</v>
      </c>
      <c r="E972" s="347"/>
      <c r="F972" s="347"/>
      <c r="G972" s="358"/>
      <c r="H972" s="450"/>
      <c r="I972" s="450"/>
      <c r="J972" s="450"/>
      <c r="K972" s="450"/>
      <c r="L972" s="450"/>
      <c r="M972" s="450"/>
      <c r="N972" s="450"/>
      <c r="P972" s="450"/>
      <c r="Q972" s="450"/>
      <c r="R972" s="371"/>
      <c r="S972" s="450"/>
      <c r="T972" s="450"/>
      <c r="U972" s="450"/>
      <c r="V972" s="450"/>
      <c r="W972" s="450"/>
      <c r="X972" s="450"/>
      <c r="Y972" s="450"/>
      <c r="Z972" s="450"/>
      <c r="AA972" s="450"/>
      <c r="AB972" s="700"/>
      <c r="AC972" s="700"/>
      <c r="AD972" s="700"/>
      <c r="AE972" s="700"/>
      <c r="AF972" s="700"/>
      <c r="AG972" s="700"/>
      <c r="AH972" s="700"/>
      <c r="AW972" s="335"/>
      <c r="AX972" s="335"/>
      <c r="AY972" s="335"/>
      <c r="AZ972" s="335"/>
      <c r="BA972" s="335"/>
      <c r="BB972" s="335"/>
      <c r="BC972" s="335"/>
      <c r="BD972" s="335"/>
      <c r="BE972" s="335"/>
    </row>
    <row r="973" customFormat="false" ht="14.15" hidden="true" customHeight="true" outlineLevel="1" collapsed="false">
      <c r="A973" s="770" t="s">
        <v>2356</v>
      </c>
      <c r="B973" s="425" t="s">
        <v>1793</v>
      </c>
      <c r="C973" s="475" t="s">
        <v>1902</v>
      </c>
      <c r="E973" s="347"/>
      <c r="F973" s="347"/>
      <c r="G973" s="358"/>
      <c r="H973" s="450"/>
      <c r="I973" s="450"/>
      <c r="J973" s="450"/>
      <c r="K973" s="450"/>
      <c r="L973" s="450"/>
      <c r="M973" s="450"/>
      <c r="N973" s="450"/>
      <c r="P973" s="450"/>
      <c r="Q973" s="450"/>
      <c r="R973" s="371"/>
      <c r="S973" s="450"/>
      <c r="T973" s="450"/>
      <c r="U973" s="450"/>
      <c r="V973" s="450"/>
      <c r="W973" s="450"/>
      <c r="X973" s="450"/>
      <c r="Y973" s="450"/>
      <c r="Z973" s="450"/>
      <c r="AA973" s="450"/>
      <c r="AB973" s="700"/>
      <c r="AC973" s="700"/>
      <c r="AD973" s="700"/>
      <c r="AE973" s="700"/>
      <c r="AF973" s="700"/>
      <c r="AG973" s="700"/>
      <c r="AH973" s="700"/>
      <c r="AW973" s="335"/>
      <c r="AX973" s="335"/>
      <c r="AY973" s="335"/>
      <c r="AZ973" s="335"/>
      <c r="BA973" s="335"/>
      <c r="BB973" s="335"/>
      <c r="BC973" s="335"/>
      <c r="BD973" s="335"/>
      <c r="BE973" s="335"/>
    </row>
    <row r="974" customFormat="false" ht="14.15" hidden="true" customHeight="true" outlineLevel="1" collapsed="false">
      <c r="A974" s="770" t="s">
        <v>1323</v>
      </c>
      <c r="B974" s="464" t="s">
        <v>1322</v>
      </c>
      <c r="C974" s="370" t="n">
        <v>5</v>
      </c>
      <c r="E974" s="347"/>
      <c r="F974" s="347"/>
      <c r="G974" s="358"/>
      <c r="H974" s="450"/>
      <c r="I974" s="450"/>
      <c r="J974" s="450"/>
      <c r="K974" s="450"/>
      <c r="L974" s="450"/>
      <c r="M974" s="450"/>
      <c r="N974" s="450"/>
      <c r="P974" s="450"/>
      <c r="Q974" s="450"/>
      <c r="R974" s="371"/>
      <c r="S974" s="450"/>
      <c r="T974" s="450"/>
      <c r="U974" s="450"/>
      <c r="V974" s="450"/>
      <c r="W974" s="450"/>
      <c r="X974" s="450"/>
      <c r="Y974" s="450"/>
      <c r="Z974" s="450"/>
      <c r="AA974" s="450"/>
      <c r="AB974" s="700"/>
      <c r="AC974" s="700"/>
      <c r="AD974" s="700"/>
      <c r="AE974" s="700"/>
      <c r="AF974" s="700"/>
      <c r="AG974" s="700"/>
      <c r="AH974" s="700"/>
      <c r="AW974" s="335"/>
      <c r="AX974" s="335"/>
      <c r="AY974" s="335"/>
      <c r="AZ974" s="335"/>
      <c r="BA974" s="335"/>
      <c r="BB974" s="335"/>
      <c r="BC974" s="335"/>
      <c r="BD974" s="335"/>
      <c r="BE974" s="335"/>
    </row>
    <row r="975" customFormat="false" ht="14.15" hidden="true" customHeight="true" outlineLevel="1" collapsed="false">
      <c r="A975" s="770" t="s">
        <v>1321</v>
      </c>
      <c r="B975" s="464" t="s">
        <v>1322</v>
      </c>
      <c r="C975" s="370"/>
      <c r="E975" s="347"/>
      <c r="F975" s="347"/>
      <c r="G975" s="358"/>
      <c r="H975" s="450"/>
      <c r="I975" s="450"/>
      <c r="J975" s="450"/>
      <c r="K975" s="450"/>
      <c r="L975" s="450"/>
      <c r="M975" s="450"/>
      <c r="N975" s="450"/>
      <c r="P975" s="450"/>
      <c r="Q975" s="450"/>
      <c r="R975" s="371"/>
      <c r="S975" s="450"/>
      <c r="T975" s="450"/>
      <c r="U975" s="450"/>
      <c r="V975" s="450"/>
      <c r="W975" s="450"/>
      <c r="X975" s="450"/>
      <c r="Y975" s="450"/>
      <c r="Z975" s="450"/>
      <c r="AA975" s="450"/>
      <c r="AB975" s="700"/>
      <c r="AC975" s="700"/>
      <c r="AD975" s="700"/>
      <c r="AE975" s="700"/>
      <c r="AF975" s="700"/>
      <c r="AG975" s="700"/>
      <c r="AH975" s="700"/>
      <c r="AW975" s="335"/>
      <c r="AX975" s="335"/>
      <c r="AY975" s="335"/>
      <c r="AZ975" s="335"/>
      <c r="BA975" s="335"/>
      <c r="BB975" s="335"/>
      <c r="BC975" s="335"/>
      <c r="BD975" s="335"/>
      <c r="BE975" s="335"/>
    </row>
    <row r="976" customFormat="false" ht="14.15" hidden="true" customHeight="true" outlineLevel="1" collapsed="false">
      <c r="A976" s="770" t="s">
        <v>2357</v>
      </c>
      <c r="B976" s="425" t="s">
        <v>1793</v>
      </c>
      <c r="C976" s="475" t="s">
        <v>1902</v>
      </c>
      <c r="E976" s="347"/>
      <c r="F976" s="347"/>
      <c r="G976" s="358"/>
      <c r="H976" s="450"/>
      <c r="I976" s="450"/>
      <c r="J976" s="450"/>
      <c r="K976" s="450"/>
      <c r="L976" s="450"/>
      <c r="M976" s="450"/>
      <c r="N976" s="450"/>
      <c r="P976" s="450"/>
      <c r="Q976" s="450"/>
      <c r="R976" s="371"/>
      <c r="S976" s="450"/>
      <c r="T976" s="450"/>
      <c r="U976" s="450"/>
      <c r="V976" s="450"/>
      <c r="W976" s="450"/>
      <c r="X976" s="450"/>
      <c r="Y976" s="450"/>
      <c r="Z976" s="450"/>
      <c r="AA976" s="450"/>
      <c r="AB976" s="700"/>
      <c r="AC976" s="700"/>
      <c r="AD976" s="700"/>
      <c r="AE976" s="700"/>
      <c r="AF976" s="700"/>
      <c r="AG976" s="700"/>
      <c r="AH976" s="700"/>
      <c r="AW976" s="335"/>
      <c r="AX976" s="335"/>
      <c r="AY976" s="335"/>
      <c r="AZ976" s="335"/>
      <c r="BA976" s="335"/>
      <c r="BB976" s="335"/>
      <c r="BC976" s="335"/>
      <c r="BD976" s="335"/>
      <c r="BE976" s="335"/>
    </row>
    <row r="977" customFormat="false" ht="14.15" hidden="true" customHeight="true" outlineLevel="1" collapsed="false">
      <c r="A977" s="770" t="s">
        <v>1323</v>
      </c>
      <c r="B977" s="464" t="s">
        <v>1322</v>
      </c>
      <c r="C977" s="370"/>
      <c r="E977" s="347"/>
      <c r="F977" s="347"/>
      <c r="G977" s="358"/>
      <c r="H977" s="450"/>
      <c r="I977" s="450"/>
      <c r="J977" s="450"/>
      <c r="K977" s="450"/>
      <c r="L977" s="450"/>
      <c r="M977" s="450"/>
      <c r="N977" s="450"/>
      <c r="P977" s="450"/>
      <c r="Q977" s="450"/>
      <c r="R977" s="371"/>
      <c r="S977" s="450"/>
      <c r="T977" s="450"/>
      <c r="U977" s="450"/>
      <c r="V977" s="450"/>
      <c r="W977" s="450"/>
      <c r="X977" s="450"/>
      <c r="Y977" s="450"/>
      <c r="Z977" s="450"/>
      <c r="AA977" s="450"/>
      <c r="AB977" s="700"/>
      <c r="AC977" s="700"/>
      <c r="AD977" s="700"/>
      <c r="AE977" s="700"/>
      <c r="AF977" s="700"/>
      <c r="AG977" s="700"/>
      <c r="AH977" s="700"/>
      <c r="AW977" s="335"/>
      <c r="AX977" s="335"/>
      <c r="AY977" s="335"/>
      <c r="AZ977" s="335"/>
      <c r="BA977" s="335"/>
      <c r="BB977" s="335"/>
      <c r="BC977" s="335"/>
      <c r="BD977" s="335"/>
      <c r="BE977" s="335"/>
    </row>
    <row r="978" customFormat="false" ht="14.15" hidden="true" customHeight="true" outlineLevel="1" collapsed="false">
      <c r="A978" s="695" t="s">
        <v>1324</v>
      </c>
      <c r="B978" s="464" t="s">
        <v>1322</v>
      </c>
      <c r="C978" s="370"/>
      <c r="E978" s="347"/>
      <c r="F978" s="347"/>
      <c r="G978" s="358"/>
      <c r="H978" s="450"/>
      <c r="I978" s="450"/>
      <c r="J978" s="450"/>
      <c r="K978" s="450"/>
      <c r="L978" s="450"/>
      <c r="M978" s="450"/>
      <c r="N978" s="450"/>
      <c r="P978" s="450"/>
      <c r="Q978" s="450"/>
      <c r="R978" s="371"/>
      <c r="S978" s="450"/>
      <c r="T978" s="450"/>
      <c r="U978" s="450"/>
      <c r="V978" s="450"/>
      <c r="W978" s="450"/>
      <c r="X978" s="450"/>
      <c r="Y978" s="450"/>
      <c r="Z978" s="450"/>
      <c r="AA978" s="450"/>
      <c r="AB978" s="700"/>
      <c r="AC978" s="700"/>
      <c r="AD978" s="700"/>
      <c r="AE978" s="700"/>
      <c r="AF978" s="700"/>
      <c r="AG978" s="700"/>
      <c r="AH978" s="700"/>
      <c r="AW978" s="335"/>
      <c r="AX978" s="335"/>
      <c r="AY978" s="335"/>
      <c r="AZ978" s="335"/>
      <c r="BA978" s="335"/>
      <c r="BB978" s="335"/>
      <c r="BC978" s="335"/>
      <c r="BD978" s="335"/>
      <c r="BE978" s="335"/>
    </row>
    <row r="979" customFormat="false" ht="14.15" hidden="true" customHeight="true" outlineLevel="1" collapsed="false">
      <c r="E979" s="347"/>
      <c r="F979" s="347"/>
      <c r="G979" s="358"/>
      <c r="H979" s="450"/>
      <c r="I979" s="450"/>
      <c r="J979" s="450"/>
      <c r="K979" s="450"/>
      <c r="L979" s="450"/>
      <c r="M979" s="450"/>
      <c r="N979" s="450"/>
      <c r="P979" s="450"/>
      <c r="Q979" s="450"/>
      <c r="R979" s="371"/>
      <c r="S979" s="450"/>
      <c r="T979" s="450"/>
      <c r="U979" s="450"/>
      <c r="V979" s="450"/>
      <c r="W979" s="450"/>
      <c r="X979" s="450"/>
      <c r="Y979" s="450"/>
      <c r="Z979" s="450"/>
      <c r="AA979" s="450"/>
      <c r="AB979" s="700"/>
      <c r="AC979" s="700"/>
      <c r="AD979" s="700"/>
      <c r="AE979" s="700"/>
      <c r="AF979" s="700"/>
      <c r="AG979" s="700"/>
      <c r="AH979" s="700"/>
      <c r="AW979" s="335"/>
      <c r="AX979" s="335"/>
      <c r="AY979" s="335"/>
      <c r="AZ979" s="335"/>
      <c r="BA979" s="335"/>
      <c r="BB979" s="335"/>
      <c r="BC979" s="335"/>
      <c r="BD979" s="335"/>
      <c r="BE979" s="335"/>
    </row>
    <row r="980" customFormat="false" ht="14.15" hidden="true" customHeight="true" outlineLevel="1" collapsed="false">
      <c r="A980" s="324" t="s">
        <v>1922</v>
      </c>
      <c r="E980" s="347"/>
      <c r="F980" s="347"/>
      <c r="G980" s="358"/>
      <c r="H980" s="450"/>
      <c r="I980" s="450"/>
      <c r="J980" s="450"/>
      <c r="K980" s="450"/>
      <c r="L980" s="450"/>
      <c r="M980" s="450"/>
      <c r="N980" s="450"/>
      <c r="P980" s="450"/>
      <c r="Q980" s="450"/>
      <c r="R980" s="371"/>
      <c r="S980" s="450"/>
      <c r="T980" s="450"/>
      <c r="U980" s="450"/>
      <c r="V980" s="450"/>
      <c r="W980" s="450"/>
      <c r="X980" s="450"/>
      <c r="Y980" s="450"/>
      <c r="Z980" s="450"/>
      <c r="AA980" s="450"/>
      <c r="AB980" s="700"/>
      <c r="AC980" s="700"/>
      <c r="AD980" s="700"/>
      <c r="AE980" s="700"/>
      <c r="AF980" s="700"/>
      <c r="AG980" s="700"/>
      <c r="AH980" s="700"/>
      <c r="AW980" s="335"/>
      <c r="AX980" s="335"/>
      <c r="AY980" s="335"/>
      <c r="AZ980" s="335"/>
      <c r="BA980" s="335"/>
      <c r="BB980" s="335"/>
      <c r="BC980" s="335"/>
      <c r="BD980" s="335"/>
      <c r="BE980" s="335"/>
    </row>
    <row r="981" customFormat="false" ht="14.15" hidden="true" customHeight="true" outlineLevel="1" collapsed="false">
      <c r="A981" s="694" t="s">
        <v>152</v>
      </c>
      <c r="B981" s="425" t="s">
        <v>1793</v>
      </c>
      <c r="C981" s="474" t="n">
        <v>6</v>
      </c>
      <c r="E981" s="347"/>
      <c r="F981" s="347"/>
      <c r="G981" s="358"/>
      <c r="H981" s="450"/>
      <c r="I981" s="450"/>
      <c r="J981" s="450"/>
      <c r="K981" s="450"/>
      <c r="L981" s="450"/>
      <c r="M981" s="450"/>
      <c r="N981" s="450"/>
      <c r="P981" s="450"/>
      <c r="Q981" s="450"/>
      <c r="R981" s="371"/>
      <c r="S981" s="450"/>
      <c r="T981" s="450"/>
      <c r="U981" s="450"/>
      <c r="V981" s="450"/>
      <c r="W981" s="450"/>
      <c r="X981" s="450"/>
      <c r="Y981" s="450"/>
      <c r="Z981" s="450"/>
      <c r="AA981" s="450"/>
      <c r="AB981" s="700"/>
      <c r="AC981" s="700"/>
      <c r="AD981" s="700"/>
      <c r="AE981" s="700"/>
      <c r="AF981" s="700"/>
      <c r="AG981" s="700"/>
      <c r="AH981" s="700"/>
      <c r="AW981" s="335"/>
      <c r="AX981" s="335"/>
      <c r="AY981" s="335"/>
      <c r="AZ981" s="335"/>
      <c r="BA981" s="335"/>
      <c r="BB981" s="335"/>
      <c r="BC981" s="335"/>
      <c r="BD981" s="335"/>
      <c r="BE981" s="335"/>
    </row>
    <row r="982" customFormat="false" ht="14.15" hidden="true" customHeight="true" outlineLevel="1" collapsed="false">
      <c r="A982" s="401" t="s">
        <v>152</v>
      </c>
      <c r="B982" s="402" t="s">
        <v>1793</v>
      </c>
      <c r="C982" s="370" t="n">
        <v>0</v>
      </c>
      <c r="E982" s="347"/>
      <c r="F982" s="347"/>
      <c r="G982" s="358"/>
      <c r="H982" s="450"/>
      <c r="I982" s="450"/>
      <c r="J982" s="450"/>
      <c r="K982" s="450"/>
      <c r="L982" s="450"/>
      <c r="M982" s="450"/>
      <c r="N982" s="450"/>
      <c r="P982" s="450"/>
      <c r="Q982" s="450"/>
      <c r="R982" s="371"/>
      <c r="S982" s="450"/>
      <c r="T982" s="450"/>
      <c r="U982" s="450"/>
      <c r="V982" s="450"/>
      <c r="W982" s="450"/>
      <c r="X982" s="450"/>
      <c r="Y982" s="450"/>
      <c r="Z982" s="450"/>
      <c r="AA982" s="450"/>
      <c r="AB982" s="700"/>
      <c r="AC982" s="700"/>
      <c r="AD982" s="700"/>
      <c r="AE982" s="700"/>
      <c r="AF982" s="700"/>
      <c r="AG982" s="700"/>
      <c r="AH982" s="700"/>
      <c r="AW982" s="335"/>
      <c r="AX982" s="335"/>
      <c r="AY982" s="335"/>
      <c r="AZ982" s="335"/>
      <c r="BA982" s="335"/>
      <c r="BB982" s="335"/>
      <c r="BC982" s="335"/>
      <c r="BD982" s="335"/>
      <c r="BE982" s="335"/>
    </row>
    <row r="983" customFormat="false" ht="14.15" hidden="true" customHeight="true" outlineLevel="1" collapsed="false">
      <c r="A983" s="474" t="s">
        <v>2358</v>
      </c>
      <c r="B983" s="404" t="s">
        <v>1796</v>
      </c>
      <c r="C983" s="474" t="n">
        <v>3000</v>
      </c>
      <c r="E983" s="347"/>
      <c r="F983" s="347"/>
      <c r="G983" s="358"/>
      <c r="H983" s="450"/>
      <c r="I983" s="450"/>
      <c r="J983" s="450"/>
      <c r="K983" s="450"/>
      <c r="L983" s="450"/>
      <c r="M983" s="450"/>
      <c r="N983" s="450"/>
      <c r="P983" s="450"/>
      <c r="Q983" s="450"/>
      <c r="R983" s="371"/>
      <c r="S983" s="450"/>
      <c r="T983" s="450"/>
      <c r="U983" s="450"/>
      <c r="V983" s="450"/>
      <c r="W983" s="450"/>
      <c r="X983" s="450"/>
      <c r="Y983" s="450"/>
      <c r="Z983" s="450"/>
      <c r="AA983" s="450"/>
      <c r="AB983" s="700"/>
      <c r="AC983" s="700"/>
      <c r="AD983" s="700"/>
      <c r="AE983" s="700"/>
      <c r="AF983" s="700"/>
      <c r="AG983" s="700"/>
      <c r="AH983" s="700"/>
      <c r="AW983" s="335"/>
      <c r="AX983" s="335"/>
      <c r="AY983" s="335"/>
      <c r="AZ983" s="335"/>
      <c r="BA983" s="335"/>
      <c r="BB983" s="335"/>
      <c r="BC983" s="335"/>
      <c r="BD983" s="335"/>
      <c r="BE983" s="335"/>
    </row>
    <row r="984" customFormat="false" ht="14.15" hidden="true" customHeight="true" outlineLevel="1" collapsed="false">
      <c r="E984" s="347"/>
      <c r="F984" s="347"/>
      <c r="G984" s="358"/>
      <c r="H984" s="450"/>
      <c r="I984" s="450"/>
      <c r="J984" s="450"/>
      <c r="K984" s="450"/>
      <c r="L984" s="450"/>
      <c r="M984" s="450"/>
      <c r="N984" s="450"/>
      <c r="P984" s="450"/>
      <c r="Q984" s="450"/>
      <c r="R984" s="371"/>
      <c r="S984" s="450"/>
      <c r="T984" s="450"/>
      <c r="U984" s="450"/>
      <c r="V984" s="450"/>
      <c r="W984" s="450"/>
      <c r="X984" s="450"/>
      <c r="Y984" s="450"/>
      <c r="Z984" s="450"/>
      <c r="AA984" s="450"/>
      <c r="AB984" s="700"/>
      <c r="AC984" s="700"/>
      <c r="AD984" s="700"/>
      <c r="AE984" s="700"/>
      <c r="AF984" s="700"/>
      <c r="AG984" s="700"/>
      <c r="AH984" s="700"/>
      <c r="AW984" s="335"/>
      <c r="AX984" s="335"/>
      <c r="AY984" s="335"/>
      <c r="AZ984" s="335"/>
      <c r="BA984" s="335"/>
      <c r="BB984" s="335"/>
      <c r="BC984" s="335"/>
      <c r="BD984" s="335"/>
      <c r="BE984" s="335"/>
    </row>
    <row r="985" customFormat="false" ht="14.15" hidden="true" customHeight="true" outlineLevel="1" collapsed="false">
      <c r="A985" s="370" t="s">
        <v>2359</v>
      </c>
      <c r="B985" s="402" t="s">
        <v>208</v>
      </c>
      <c r="C985" s="631" t="s">
        <v>1798</v>
      </c>
      <c r="E985" s="347"/>
      <c r="F985" s="347"/>
      <c r="G985" s="358"/>
      <c r="H985" s="450"/>
      <c r="I985" s="450"/>
      <c r="J985" s="450"/>
      <c r="K985" s="450"/>
      <c r="L985" s="450"/>
      <c r="M985" s="450"/>
      <c r="N985" s="450"/>
      <c r="P985" s="450"/>
      <c r="Q985" s="450"/>
      <c r="R985" s="371"/>
      <c r="S985" s="450"/>
      <c r="T985" s="450"/>
      <c r="U985" s="450"/>
      <c r="V985" s="450"/>
      <c r="W985" s="450"/>
      <c r="X985" s="450"/>
      <c r="Y985" s="450"/>
      <c r="Z985" s="450"/>
      <c r="AA985" s="450"/>
      <c r="AB985" s="700"/>
      <c r="AC985" s="700"/>
      <c r="AD985" s="700"/>
      <c r="AE985" s="700"/>
      <c r="AF985" s="700"/>
      <c r="AG985" s="700"/>
      <c r="AH985" s="700"/>
      <c r="AW985" s="335"/>
      <c r="AX985" s="335"/>
      <c r="AY985" s="335"/>
      <c r="AZ985" s="335"/>
      <c r="BA985" s="335"/>
      <c r="BB985" s="335"/>
      <c r="BC985" s="335"/>
      <c r="BD985" s="335"/>
      <c r="BE985" s="335"/>
    </row>
    <row r="986" customFormat="false" ht="14.15" hidden="true" customHeight="true" outlineLevel="1" collapsed="false">
      <c r="A986" s="474" t="s">
        <v>2360</v>
      </c>
      <c r="B986" s="402" t="s">
        <v>1793</v>
      </c>
      <c r="C986" s="370" t="n">
        <v>2</v>
      </c>
      <c r="E986" s="347"/>
      <c r="F986" s="347"/>
      <c r="G986" s="358"/>
      <c r="H986" s="450"/>
      <c r="I986" s="450"/>
      <c r="J986" s="450"/>
      <c r="K986" s="450"/>
      <c r="L986" s="450"/>
      <c r="M986" s="450"/>
      <c r="N986" s="450"/>
      <c r="P986" s="450"/>
      <c r="Q986" s="450"/>
      <c r="R986" s="371"/>
      <c r="S986" s="450"/>
      <c r="T986" s="450"/>
      <c r="U986" s="450"/>
      <c r="V986" s="450"/>
      <c r="W986" s="450"/>
      <c r="X986" s="450"/>
      <c r="Y986" s="450"/>
      <c r="Z986" s="450"/>
      <c r="AA986" s="450"/>
      <c r="AB986" s="700"/>
      <c r="AC986" s="700"/>
      <c r="AD986" s="700"/>
      <c r="AE986" s="700"/>
      <c r="AF986" s="700"/>
      <c r="AG986" s="700"/>
      <c r="AH986" s="700"/>
      <c r="AW986" s="335"/>
      <c r="AX986" s="335"/>
      <c r="AY986" s="335"/>
      <c r="AZ986" s="335"/>
      <c r="BA986" s="335"/>
      <c r="BB986" s="335"/>
      <c r="BC986" s="335"/>
      <c r="BD986" s="335"/>
      <c r="BE986" s="335"/>
    </row>
    <row r="987" customFormat="false" ht="14.15" hidden="true" customHeight="true" outlineLevel="1" collapsed="false">
      <c r="A987" s="370" t="s">
        <v>2361</v>
      </c>
      <c r="B987" s="425" t="s">
        <v>1793</v>
      </c>
      <c r="C987" s="474" t="n">
        <v>5</v>
      </c>
      <c r="E987" s="347"/>
      <c r="F987" s="347"/>
      <c r="G987" s="358"/>
      <c r="H987" s="450"/>
      <c r="I987" s="450"/>
      <c r="J987" s="450"/>
      <c r="K987" s="450"/>
      <c r="L987" s="450"/>
      <c r="M987" s="450"/>
      <c r="N987" s="450"/>
      <c r="P987" s="450"/>
      <c r="Q987" s="450"/>
      <c r="R987" s="371"/>
      <c r="S987" s="450"/>
      <c r="T987" s="450"/>
      <c r="U987" s="450"/>
      <c r="V987" s="450"/>
      <c r="W987" s="450"/>
      <c r="X987" s="450"/>
      <c r="Y987" s="450"/>
      <c r="Z987" s="450"/>
      <c r="AA987" s="450"/>
      <c r="AB987" s="700"/>
      <c r="AC987" s="700"/>
      <c r="AD987" s="700"/>
      <c r="AE987" s="700"/>
      <c r="AF987" s="700"/>
      <c r="AG987" s="700"/>
      <c r="AH987" s="700"/>
      <c r="AW987" s="335"/>
      <c r="AX987" s="335"/>
      <c r="AY987" s="335"/>
      <c r="AZ987" s="335"/>
      <c r="BA987" s="335"/>
      <c r="BB987" s="335"/>
      <c r="BC987" s="335"/>
      <c r="BD987" s="335"/>
      <c r="BE987" s="335"/>
    </row>
    <row r="988" customFormat="false" ht="14.15" hidden="true" customHeight="true" outlineLevel="1" collapsed="false">
      <c r="A988" s="370" t="s">
        <v>2362</v>
      </c>
      <c r="B988" s="402" t="s">
        <v>1796</v>
      </c>
      <c r="C988" s="370" t="n">
        <v>800</v>
      </c>
      <c r="E988" s="347"/>
      <c r="F988" s="347"/>
      <c r="G988" s="358"/>
      <c r="H988" s="450"/>
      <c r="I988" s="450"/>
      <c r="J988" s="450"/>
      <c r="K988" s="450"/>
      <c r="L988" s="450"/>
      <c r="M988" s="450"/>
      <c r="N988" s="450"/>
      <c r="P988" s="450"/>
      <c r="Q988" s="450"/>
      <c r="R988" s="371"/>
      <c r="S988" s="450"/>
      <c r="T988" s="450"/>
      <c r="U988" s="450"/>
      <c r="V988" s="450"/>
      <c r="W988" s="450"/>
      <c r="X988" s="450"/>
      <c r="Y988" s="450"/>
      <c r="Z988" s="450"/>
      <c r="AA988" s="450"/>
      <c r="AB988" s="700"/>
      <c r="AC988" s="700"/>
      <c r="AD988" s="700"/>
      <c r="AE988" s="700"/>
      <c r="AF988" s="700"/>
      <c r="AG988" s="700"/>
      <c r="AH988" s="700"/>
      <c r="AW988" s="335"/>
      <c r="AX988" s="335"/>
      <c r="AY988" s="335"/>
      <c r="AZ988" s="335"/>
      <c r="BA988" s="335"/>
      <c r="BB988" s="335"/>
      <c r="BC988" s="335"/>
      <c r="BD988" s="335"/>
      <c r="BE988" s="335"/>
    </row>
    <row r="989" customFormat="false" ht="14.15" hidden="true" customHeight="true" outlineLevel="1" collapsed="false">
      <c r="A989" s="358"/>
      <c r="B989" s="371"/>
      <c r="C989" s="358"/>
      <c r="E989" s="347"/>
      <c r="F989" s="347"/>
      <c r="G989" s="358"/>
      <c r="H989" s="450"/>
      <c r="I989" s="450"/>
      <c r="J989" s="450"/>
      <c r="K989" s="450"/>
      <c r="L989" s="450"/>
      <c r="M989" s="450"/>
      <c r="N989" s="450"/>
      <c r="P989" s="450"/>
      <c r="Q989" s="450"/>
      <c r="R989" s="371"/>
      <c r="S989" s="450"/>
      <c r="T989" s="450"/>
      <c r="U989" s="450"/>
      <c r="V989" s="450"/>
      <c r="W989" s="450"/>
      <c r="X989" s="450"/>
      <c r="Y989" s="450"/>
      <c r="Z989" s="450"/>
      <c r="AA989" s="450"/>
      <c r="AB989" s="700"/>
      <c r="AC989" s="700"/>
      <c r="AD989" s="700"/>
      <c r="AE989" s="700"/>
      <c r="AF989" s="700"/>
      <c r="AG989" s="700"/>
      <c r="AH989" s="700"/>
      <c r="AW989" s="335"/>
      <c r="AX989" s="335"/>
      <c r="AY989" s="335"/>
      <c r="AZ989" s="335"/>
      <c r="BA989" s="335"/>
      <c r="BB989" s="335"/>
      <c r="BC989" s="335"/>
      <c r="BD989" s="335"/>
      <c r="BE989" s="335"/>
    </row>
    <row r="990" customFormat="false" ht="14.15" hidden="true" customHeight="true" outlineLevel="1" collapsed="false">
      <c r="A990" s="358"/>
      <c r="B990" s="371"/>
      <c r="C990" s="358"/>
      <c r="E990" s="347"/>
      <c r="F990" s="347"/>
      <c r="G990" s="358"/>
      <c r="H990" s="450"/>
      <c r="I990" s="450"/>
      <c r="J990" s="450"/>
      <c r="K990" s="450"/>
      <c r="L990" s="450"/>
      <c r="M990" s="450"/>
      <c r="N990" s="450"/>
      <c r="P990" s="450"/>
      <c r="Q990" s="450"/>
      <c r="R990" s="371"/>
      <c r="S990" s="450"/>
      <c r="T990" s="450"/>
      <c r="U990" s="450"/>
      <c r="V990" s="450"/>
      <c r="W990" s="450"/>
      <c r="X990" s="450"/>
      <c r="Y990" s="450"/>
      <c r="Z990" s="450"/>
      <c r="AA990" s="450"/>
      <c r="AB990" s="700"/>
      <c r="AC990" s="700"/>
      <c r="AD990" s="700"/>
      <c r="AE990" s="700"/>
      <c r="AF990" s="700"/>
      <c r="AG990" s="700"/>
      <c r="AH990" s="700"/>
      <c r="AW990" s="335"/>
      <c r="AX990" s="335"/>
      <c r="AY990" s="335"/>
      <c r="AZ990" s="335"/>
      <c r="BA990" s="335"/>
      <c r="BB990" s="335"/>
      <c r="BC990" s="335"/>
      <c r="BD990" s="335"/>
      <c r="BE990" s="335"/>
    </row>
    <row r="991" customFormat="false" ht="14.15" hidden="false" customHeight="true" outlineLevel="0" collapsed="false">
      <c r="A991" s="771" t="s">
        <v>2363</v>
      </c>
      <c r="B991" s="771"/>
      <c r="C991" s="771"/>
      <c r="D991" s="771"/>
      <c r="E991" s="771"/>
      <c r="F991" s="771"/>
      <c r="G991" s="771"/>
      <c r="H991" s="463"/>
      <c r="I991" s="463"/>
      <c r="J991" s="463"/>
      <c r="K991" s="463"/>
      <c r="L991" s="463"/>
      <c r="M991" s="600"/>
      <c r="N991" s="600"/>
      <c r="O991" s="600"/>
      <c r="P991" s="358"/>
      <c r="Q991" s="358"/>
      <c r="R991" s="347"/>
      <c r="S991" s="347"/>
      <c r="T991" s="347"/>
      <c r="U991" s="347"/>
      <c r="V991" s="347"/>
      <c r="W991" s="347"/>
      <c r="X991" s="347"/>
      <c r="Y991" s="347"/>
      <c r="Z991" s="358"/>
      <c r="AA991" s="355"/>
      <c r="AB991" s="355"/>
      <c r="AC991" s="358"/>
      <c r="AD991" s="358"/>
      <c r="AE991" s="358"/>
      <c r="AF991" s="358"/>
      <c r="AG991" s="358"/>
      <c r="AH991" s="358"/>
      <c r="AI991" s="358"/>
      <c r="AJ991" s="358"/>
      <c r="AK991" s="358"/>
      <c r="AL991" s="358"/>
      <c r="AM991" s="358"/>
      <c r="AN991" s="358"/>
      <c r="AO991" s="351"/>
      <c r="AP991" s="351"/>
      <c r="AQ991" s="335"/>
      <c r="AR991" s="335"/>
      <c r="AS991" s="335"/>
      <c r="AT991" s="335"/>
      <c r="AU991" s="335"/>
      <c r="AV991" s="388" t="n">
        <f aca="false">M991</f>
        <v>0</v>
      </c>
      <c r="AW991" s="335"/>
      <c r="AX991" s="335"/>
      <c r="AY991" s="334"/>
      <c r="AZ991" s="334"/>
      <c r="BA991" s="335"/>
      <c r="BB991" s="335"/>
      <c r="BC991" s="335"/>
      <c r="BD991" s="335"/>
      <c r="BE991" s="335"/>
    </row>
    <row r="992" customFormat="false" ht="14.15" hidden="false" customHeight="true" outlineLevel="0" collapsed="false">
      <c r="A992" s="347"/>
      <c r="B992" s="450"/>
      <c r="C992" s="347"/>
      <c r="D992" s="347"/>
      <c r="E992" s="347"/>
      <c r="F992" s="347"/>
      <c r="G992" s="347"/>
      <c r="H992" s="347"/>
      <c r="I992" s="347"/>
      <c r="J992" s="347"/>
      <c r="K992" s="347"/>
      <c r="L992" s="347"/>
      <c r="M992" s="347"/>
      <c r="N992" s="347"/>
      <c r="O992" s="347"/>
      <c r="P992" s="347"/>
      <c r="Q992" s="347"/>
      <c r="R992" s="347"/>
      <c r="S992" s="347"/>
      <c r="T992" s="347"/>
      <c r="U992" s="347"/>
      <c r="V992" s="347"/>
      <c r="W992" s="347"/>
      <c r="X992" s="347"/>
      <c r="Y992" s="347"/>
      <c r="Z992" s="347"/>
      <c r="AA992" s="347"/>
      <c r="AB992" s="347"/>
      <c r="AC992" s="347"/>
      <c r="AD992" s="347"/>
      <c r="AE992" s="347"/>
      <c r="AF992" s="347"/>
      <c r="AG992" s="347"/>
      <c r="AH992" s="347"/>
      <c r="AI992" s="347"/>
      <c r="AJ992" s="347"/>
      <c r="AK992" s="347"/>
      <c r="AL992" s="347"/>
      <c r="AM992" s="347"/>
      <c r="AN992" s="347"/>
      <c r="AO992" s="351"/>
      <c r="AP992" s="351"/>
      <c r="AQ992" s="335"/>
      <c r="AR992" s="335"/>
      <c r="AS992" s="335"/>
      <c r="AT992" s="335"/>
      <c r="AU992" s="335"/>
      <c r="AV992" s="335"/>
      <c r="AW992" s="335"/>
      <c r="AX992" s="335"/>
      <c r="AY992" s="334"/>
      <c r="AZ992" s="334"/>
      <c r="BA992" s="335"/>
      <c r="BB992" s="335"/>
      <c r="BC992" s="335"/>
      <c r="BD992" s="335"/>
      <c r="BE992" s="335"/>
    </row>
    <row r="993" customFormat="false" ht="14.15" hidden="true" customHeight="true" outlineLevel="1" collapsed="false">
      <c r="A993" s="697" t="s">
        <v>2364</v>
      </c>
      <c r="B993" s="697"/>
      <c r="C993" s="697"/>
      <c r="D993" s="697"/>
      <c r="E993" s="697"/>
      <c r="F993" s="697"/>
      <c r="G993" s="697"/>
      <c r="H993" s="648"/>
      <c r="I993" s="648"/>
      <c r="J993" s="648"/>
      <c r="K993" s="648"/>
      <c r="L993" s="648"/>
      <c r="M993" s="648"/>
      <c r="N993" s="648"/>
      <c r="O993" s="648"/>
      <c r="P993" s="648"/>
      <c r="Q993" s="648"/>
      <c r="R993" s="648"/>
      <c r="S993" s="648"/>
      <c r="T993" s="648"/>
      <c r="U993" s="648"/>
      <c r="V993" s="648"/>
      <c r="W993" s="648"/>
      <c r="X993" s="648"/>
      <c r="Y993" s="648"/>
      <c r="Z993" s="648"/>
      <c r="AA993" s="648"/>
      <c r="AB993" s="648"/>
      <c r="AC993" s="648"/>
      <c r="AD993" s="648"/>
      <c r="AE993" s="648"/>
      <c r="AF993" s="648"/>
      <c r="AG993" s="342"/>
      <c r="AH993" s="342"/>
      <c r="AI993" s="342"/>
      <c r="AJ993" s="342"/>
      <c r="AK993" s="342"/>
      <c r="AL993" s="342"/>
      <c r="AM993" s="342"/>
      <c r="AN993" s="342"/>
      <c r="AO993" s="662"/>
      <c r="AP993" s="662"/>
      <c r="AQ993" s="772"/>
      <c r="AR993" s="772"/>
      <c r="AS993" s="772"/>
      <c r="AT993" s="772"/>
      <c r="AU993" s="772"/>
      <c r="AV993" s="772"/>
      <c r="AW993" s="772"/>
      <c r="AX993" s="772"/>
      <c r="AY993" s="772"/>
      <c r="AZ993" s="772"/>
      <c r="BA993" s="772"/>
      <c r="BB993" s="772"/>
      <c r="BC993" s="772"/>
      <c r="BD993" s="772"/>
      <c r="BE993" s="772"/>
    </row>
    <row r="994" customFormat="false" ht="14.15" hidden="true" customHeight="true" outlineLevel="1" collapsed="false">
      <c r="A994" s="697"/>
      <c r="B994" s="697"/>
      <c r="C994" s="697"/>
      <c r="D994" s="697"/>
      <c r="E994" s="697"/>
      <c r="F994" s="697"/>
      <c r="G994" s="697"/>
      <c r="H994" s="648"/>
      <c r="I994" s="648"/>
      <c r="J994" s="648"/>
      <c r="K994" s="648"/>
      <c r="L994" s="648"/>
      <c r="M994" s="648"/>
      <c r="N994" s="648"/>
      <c r="O994" s="648"/>
      <c r="P994" s="648"/>
      <c r="Q994" s="648"/>
      <c r="R994" s="648"/>
      <c r="S994" s="648"/>
      <c r="T994" s="648"/>
      <c r="U994" s="648"/>
      <c r="V994" s="648"/>
      <c r="W994" s="648"/>
      <c r="X994" s="648"/>
      <c r="Y994" s="648"/>
      <c r="Z994" s="648"/>
      <c r="AA994" s="648"/>
      <c r="AB994" s="648"/>
      <c r="AC994" s="648"/>
      <c r="AD994" s="648"/>
      <c r="AE994" s="648"/>
      <c r="AF994" s="648"/>
      <c r="AG994" s="342"/>
      <c r="AH994" s="342"/>
      <c r="AI994" s="342"/>
      <c r="AJ994" s="342"/>
      <c r="AK994" s="342"/>
      <c r="AL994" s="342"/>
      <c r="AM994" s="342"/>
      <c r="AN994" s="342"/>
      <c r="AO994" s="662"/>
      <c r="AP994" s="662"/>
      <c r="AQ994" s="772"/>
      <c r="AR994" s="772"/>
      <c r="AS994" s="772"/>
      <c r="AT994" s="772"/>
      <c r="AU994" s="772"/>
      <c r="AV994" s="772"/>
      <c r="AW994" s="772"/>
      <c r="AX994" s="772"/>
      <c r="AY994" s="772"/>
      <c r="AZ994" s="772"/>
      <c r="BA994" s="772"/>
      <c r="BB994" s="772"/>
      <c r="BC994" s="772"/>
      <c r="BD994" s="772"/>
      <c r="BE994" s="772"/>
    </row>
    <row r="995" customFormat="false" ht="14.15" hidden="true" customHeight="true" outlineLevel="1" collapsed="false">
      <c r="A995" s="415" t="s">
        <v>1806</v>
      </c>
      <c r="B995" s="416"/>
      <c r="C995" s="417"/>
      <c r="D995" s="595" t="n">
        <v>1</v>
      </c>
      <c r="G995" s="676"/>
      <c r="H995" s="676"/>
      <c r="I995" s="676"/>
      <c r="J995" s="676"/>
      <c r="K995" s="676"/>
      <c r="L995" s="676"/>
      <c r="M995" s="676"/>
      <c r="N995" s="676"/>
      <c r="O995" s="676"/>
      <c r="P995" s="676"/>
      <c r="Q995" s="676"/>
      <c r="R995" s="676"/>
      <c r="S995" s="676"/>
      <c r="T995" s="676"/>
      <c r="U995" s="676"/>
      <c r="V995" s="676"/>
      <c r="W995" s="676"/>
      <c r="X995" s="676"/>
      <c r="Y995" s="676"/>
      <c r="Z995" s="676"/>
      <c r="AA995" s="676"/>
      <c r="AB995" s="676"/>
      <c r="AC995" s="676"/>
      <c r="AD995" s="342"/>
      <c r="AE995" s="342"/>
      <c r="AF995" s="772"/>
      <c r="AG995" s="342"/>
      <c r="AH995" s="342"/>
      <c r="AI995" s="342"/>
      <c r="AJ995" s="342"/>
      <c r="AK995" s="342"/>
      <c r="AL995" s="342"/>
      <c r="AM995" s="342"/>
      <c r="AN995" s="342"/>
      <c r="AO995" s="662"/>
      <c r="AP995" s="662"/>
      <c r="AQ995" s="772"/>
      <c r="AR995" s="772"/>
      <c r="AS995" s="772"/>
      <c r="AT995" s="772"/>
      <c r="AU995" s="772"/>
      <c r="AV995" s="772"/>
      <c r="AW995" s="772"/>
      <c r="AX995" s="772"/>
      <c r="AY995" s="772"/>
      <c r="AZ995" s="772"/>
      <c r="BA995" s="772"/>
      <c r="BB995" s="772"/>
      <c r="BC995" s="772"/>
      <c r="BD995" s="772"/>
      <c r="BE995" s="772"/>
    </row>
    <row r="996" customFormat="false" ht="14.15" hidden="true" customHeight="true" outlineLevel="1" collapsed="false">
      <c r="A996" s="415" t="s">
        <v>1808</v>
      </c>
      <c r="B996" s="416"/>
      <c r="C996" s="417"/>
      <c r="D996" s="595" t="n">
        <v>1</v>
      </c>
      <c r="G996" s="676"/>
      <c r="H996" s="676"/>
      <c r="I996" s="676"/>
      <c r="J996" s="676"/>
      <c r="K996" s="676"/>
      <c r="L996" s="676"/>
      <c r="M996" s="676"/>
      <c r="N996" s="676"/>
      <c r="O996" s="676"/>
      <c r="P996" s="676"/>
      <c r="Q996" s="676"/>
      <c r="R996" s="676"/>
      <c r="S996" s="676"/>
      <c r="T996" s="676"/>
      <c r="U996" s="676"/>
      <c r="V996" s="676"/>
      <c r="W996" s="676"/>
      <c r="X996" s="676"/>
      <c r="Y996" s="676"/>
      <c r="Z996" s="676"/>
      <c r="AA996" s="676"/>
      <c r="AB996" s="676"/>
      <c r="AC996" s="676"/>
      <c r="AD996" s="342"/>
      <c r="AE996" s="342"/>
      <c r="AF996" s="342"/>
      <c r="AG996" s="342"/>
      <c r="AH996" s="342"/>
      <c r="AI996" s="342"/>
      <c r="AJ996" s="342"/>
      <c r="AK996" s="342"/>
      <c r="AL996" s="342"/>
      <c r="AM996" s="342"/>
      <c r="AN996" s="342"/>
      <c r="AO996" s="662"/>
      <c r="AP996" s="662"/>
      <c r="AQ996" s="772"/>
      <c r="AR996" s="772"/>
      <c r="AS996" s="772"/>
      <c r="AT996" s="772"/>
      <c r="AU996" s="772"/>
      <c r="AV996" s="772"/>
      <c r="AW996" s="772"/>
      <c r="AX996" s="772"/>
      <c r="AY996" s="772"/>
      <c r="AZ996" s="772"/>
      <c r="BA996" s="772"/>
      <c r="BB996" s="772"/>
      <c r="BC996" s="772"/>
      <c r="BD996" s="772"/>
      <c r="BE996" s="772"/>
    </row>
    <row r="997" customFormat="false" ht="14.15" hidden="true" customHeight="true" outlineLevel="1" collapsed="false">
      <c r="B997" s="598"/>
      <c r="C997" s="676"/>
      <c r="D997" s="676"/>
      <c r="E997" s="676"/>
      <c r="F997" s="676"/>
      <c r="G997" s="676"/>
      <c r="H997" s="676"/>
      <c r="I997" s="676"/>
      <c r="J997" s="676"/>
      <c r="K997" s="676"/>
      <c r="L997" s="676"/>
      <c r="M997" s="676"/>
      <c r="N997" s="676"/>
      <c r="O997" s="676"/>
      <c r="P997" s="676"/>
      <c r="Q997" s="676"/>
      <c r="R997" s="676"/>
      <c r="S997" s="676"/>
      <c r="T997" s="676"/>
      <c r="U997" s="676"/>
      <c r="V997" s="676"/>
      <c r="W997" s="676"/>
      <c r="X997" s="676"/>
      <c r="Y997" s="598"/>
      <c r="Z997" s="598"/>
      <c r="AA997" s="597"/>
      <c r="AB997" s="598"/>
      <c r="AC997" s="598"/>
      <c r="AD997" s="342"/>
      <c r="AE997" s="342"/>
      <c r="AF997" s="342"/>
      <c r="AG997" s="342"/>
      <c r="AH997" s="342"/>
      <c r="AI997" s="342"/>
      <c r="AJ997" s="342"/>
      <c r="AK997" s="342"/>
      <c r="AL997" s="342"/>
      <c r="AM997" s="342"/>
      <c r="AN997" s="342"/>
      <c r="AO997" s="662"/>
      <c r="AP997" s="662"/>
      <c r="AQ997" s="772"/>
      <c r="AR997" s="772"/>
      <c r="AS997" s="772"/>
      <c r="AT997" s="772"/>
      <c r="AU997" s="772"/>
      <c r="AV997" s="772"/>
      <c r="AW997" s="772"/>
      <c r="AX997" s="772"/>
      <c r="AY997" s="772"/>
      <c r="AZ997" s="772"/>
      <c r="BA997" s="772"/>
      <c r="BB997" s="772"/>
      <c r="BC997" s="772"/>
      <c r="BD997" s="772"/>
      <c r="BE997" s="772"/>
    </row>
    <row r="998" customFormat="false" ht="14.15" hidden="true" customHeight="true" outlineLevel="1" collapsed="false">
      <c r="A998" s="342" t="s">
        <v>2365</v>
      </c>
      <c r="B998" s="429"/>
      <c r="C998" s="773"/>
      <c r="G998" s="342"/>
      <c r="H998" s="342"/>
      <c r="I998" s="342"/>
      <c r="J998" s="342"/>
      <c r="K998" s="342"/>
      <c r="L998" s="774"/>
      <c r="M998" s="774"/>
      <c r="N998" s="342"/>
      <c r="O998" s="342"/>
      <c r="P998" s="342"/>
      <c r="Q998" s="342"/>
      <c r="R998" s="342"/>
      <c r="S998" s="342"/>
      <c r="T998" s="342"/>
      <c r="U998" s="342"/>
      <c r="V998" s="342"/>
      <c r="W998" s="342"/>
      <c r="X998" s="342"/>
      <c r="Y998" s="342"/>
      <c r="Z998" s="342"/>
      <c r="AA998" s="342"/>
      <c r="AB998" s="342"/>
      <c r="AC998" s="342"/>
      <c r="AD998" s="342"/>
      <c r="AE998" s="342"/>
      <c r="AF998" s="342"/>
      <c r="AG998" s="342"/>
      <c r="AH998" s="342"/>
      <c r="AI998" s="342"/>
      <c r="AJ998" s="342"/>
      <c r="AK998" s="342"/>
      <c r="AL998" s="342"/>
      <c r="AM998" s="342"/>
      <c r="AN998" s="342"/>
      <c r="AO998" s="662"/>
      <c r="AP998" s="662"/>
      <c r="AQ998" s="772"/>
      <c r="AR998" s="772"/>
      <c r="AS998" s="772"/>
      <c r="AT998" s="772"/>
      <c r="AU998" s="772"/>
      <c r="AV998" s="772"/>
      <c r="AW998" s="772"/>
      <c r="AX998" s="772"/>
      <c r="AY998" s="772"/>
      <c r="AZ998" s="772"/>
      <c r="BA998" s="772"/>
      <c r="BB998" s="772"/>
      <c r="BC998" s="772"/>
      <c r="BD998" s="772"/>
      <c r="BE998" s="772"/>
    </row>
    <row r="999" customFormat="false" ht="14.15" hidden="true" customHeight="true" outlineLevel="1" collapsed="false">
      <c r="A999" s="525" t="s">
        <v>2366</v>
      </c>
      <c r="B999" s="429"/>
      <c r="C999" s="773"/>
      <c r="G999" s="342"/>
      <c r="H999" s="342"/>
      <c r="I999" s="342"/>
      <c r="J999" s="342"/>
      <c r="K999" s="342"/>
      <c r="L999" s="342"/>
      <c r="M999" s="342"/>
      <c r="N999" s="342"/>
      <c r="O999" s="342"/>
      <c r="P999" s="342"/>
      <c r="Q999" s="342"/>
      <c r="R999" s="342"/>
      <c r="S999" s="342"/>
      <c r="T999" s="342"/>
      <c r="U999" s="342"/>
      <c r="V999" s="342"/>
      <c r="W999" s="342"/>
      <c r="X999" s="342"/>
      <c r="Y999" s="342"/>
      <c r="Z999" s="342"/>
      <c r="AA999" s="342"/>
      <c r="AB999" s="342"/>
      <c r="AC999" s="342"/>
      <c r="AD999" s="342"/>
      <c r="AE999" s="342"/>
      <c r="AF999" s="342"/>
      <c r="AG999" s="342"/>
      <c r="AH999" s="342"/>
      <c r="AI999" s="342"/>
      <c r="AJ999" s="342"/>
      <c r="AK999" s="342"/>
      <c r="AL999" s="342"/>
      <c r="AM999" s="342"/>
      <c r="AN999" s="342"/>
      <c r="AO999" s="662"/>
      <c r="AP999" s="662"/>
      <c r="AQ999" s="772"/>
      <c r="AR999" s="772"/>
      <c r="AS999" s="772"/>
      <c r="AT999" s="772"/>
      <c r="AU999" s="772"/>
      <c r="AV999" s="772"/>
      <c r="AW999" s="772"/>
      <c r="AX999" s="772"/>
      <c r="AY999" s="772"/>
      <c r="AZ999" s="772"/>
      <c r="BA999" s="772"/>
      <c r="BB999" s="772"/>
      <c r="BC999" s="772"/>
      <c r="BD999" s="772"/>
      <c r="BE999" s="772"/>
    </row>
    <row r="1000" customFormat="false" ht="14.15" hidden="true" customHeight="true" outlineLevel="1" collapsed="false">
      <c r="A1000" s="342" t="s">
        <v>2062</v>
      </c>
      <c r="B1000" s="429"/>
      <c r="C1000" s="773"/>
      <c r="G1000" s="342"/>
      <c r="H1000" s="342"/>
      <c r="I1000" s="342"/>
      <c r="J1000" s="342"/>
      <c r="K1000" s="342"/>
      <c r="L1000" s="342"/>
      <c r="M1000" s="342"/>
      <c r="N1000" s="342"/>
      <c r="O1000" s="342"/>
      <c r="P1000" s="342"/>
      <c r="Q1000" s="342"/>
      <c r="R1000" s="342"/>
      <c r="S1000" s="342"/>
      <c r="T1000" s="342"/>
      <c r="U1000" s="342"/>
      <c r="V1000" s="342"/>
      <c r="W1000" s="342"/>
      <c r="X1000" s="342"/>
      <c r="Y1000" s="342"/>
      <c r="Z1000" s="342"/>
      <c r="AA1000" s="342"/>
      <c r="AB1000" s="342"/>
      <c r="AC1000" s="342"/>
      <c r="AD1000" s="342"/>
      <c r="AE1000" s="342"/>
      <c r="AF1000" s="342"/>
      <c r="AG1000" s="342"/>
      <c r="AH1000" s="342"/>
      <c r="AI1000" s="342"/>
      <c r="AJ1000" s="342"/>
      <c r="AK1000" s="342"/>
      <c r="AL1000" s="342"/>
      <c r="AM1000" s="342"/>
      <c r="AN1000" s="342"/>
      <c r="AO1000" s="662"/>
      <c r="AP1000" s="662"/>
      <c r="AQ1000" s="772"/>
      <c r="AR1000" s="772"/>
      <c r="AS1000" s="772"/>
      <c r="AT1000" s="772"/>
      <c r="AU1000" s="772"/>
      <c r="AV1000" s="772"/>
      <c r="AW1000" s="772"/>
      <c r="AX1000" s="772"/>
      <c r="AY1000" s="772"/>
      <c r="AZ1000" s="772"/>
      <c r="BA1000" s="772"/>
      <c r="BB1000" s="772"/>
      <c r="BC1000" s="772"/>
      <c r="BD1000" s="772"/>
      <c r="BE1000" s="772"/>
    </row>
    <row r="1001" customFormat="false" ht="14.15" hidden="true" customHeight="true" outlineLevel="1" collapsed="false">
      <c r="A1001" s="525" t="s">
        <v>234</v>
      </c>
      <c r="B1001" s="429"/>
      <c r="C1001" s="342"/>
      <c r="G1001" s="600"/>
      <c r="H1001" s="355"/>
      <c r="I1001" s="342"/>
      <c r="J1001" s="342"/>
      <c r="K1001" s="342"/>
      <c r="L1001" s="342"/>
      <c r="M1001" s="342"/>
      <c r="N1001" s="342"/>
      <c r="O1001" s="342"/>
      <c r="P1001" s="342"/>
      <c r="Q1001" s="342"/>
      <c r="R1001" s="342"/>
      <c r="S1001" s="342"/>
      <c r="T1001" s="342"/>
      <c r="U1001" s="342"/>
      <c r="V1001" s="342"/>
      <c r="W1001" s="342"/>
      <c r="X1001" s="342"/>
      <c r="Y1001" s="342"/>
      <c r="Z1001" s="342"/>
      <c r="AA1001" s="342"/>
      <c r="AB1001" s="342"/>
      <c r="AC1001" s="342"/>
      <c r="AD1001" s="342"/>
      <c r="AE1001" s="342"/>
      <c r="AF1001" s="342"/>
      <c r="AG1001" s="342"/>
      <c r="AH1001" s="342"/>
      <c r="AI1001" s="342"/>
      <c r="AJ1001" s="342"/>
      <c r="AK1001" s="342"/>
      <c r="AL1001" s="342"/>
      <c r="AM1001" s="342"/>
      <c r="AN1001" s="342"/>
      <c r="AO1001" s="662"/>
      <c r="AP1001" s="662"/>
      <c r="AQ1001" s="772"/>
      <c r="AR1001" s="772"/>
      <c r="AS1001" s="772"/>
      <c r="AT1001" s="772"/>
      <c r="AU1001" s="772"/>
      <c r="AV1001" s="772"/>
      <c r="AW1001" s="772"/>
      <c r="AX1001" s="772"/>
      <c r="AY1001" s="772"/>
      <c r="AZ1001" s="772"/>
      <c r="BA1001" s="772"/>
      <c r="BB1001" s="772"/>
      <c r="BC1001" s="772"/>
      <c r="BD1001" s="772"/>
      <c r="BE1001" s="772"/>
    </row>
    <row r="1002" customFormat="false" ht="14.15" hidden="true" customHeight="true" outlineLevel="1" collapsed="false">
      <c r="A1002" s="342" t="s">
        <v>2367</v>
      </c>
      <c r="B1002" s="429"/>
      <c r="C1002" s="342"/>
      <c r="G1002" s="600"/>
      <c r="H1002" s="355"/>
      <c r="I1002" s="342"/>
      <c r="J1002" s="342"/>
      <c r="K1002" s="342"/>
      <c r="L1002" s="342"/>
      <c r="M1002" s="342"/>
      <c r="N1002" s="342"/>
      <c r="O1002" s="342"/>
      <c r="P1002" s="342"/>
      <c r="Q1002" s="342"/>
      <c r="R1002" s="342"/>
      <c r="S1002" s="342"/>
      <c r="T1002" s="342"/>
      <c r="U1002" s="342"/>
      <c r="V1002" s="342"/>
      <c r="W1002" s="342"/>
      <c r="X1002" s="342"/>
      <c r="Y1002" s="342"/>
      <c r="Z1002" s="342"/>
      <c r="AA1002" s="342"/>
      <c r="AB1002" s="342"/>
      <c r="AC1002" s="342"/>
      <c r="AD1002" s="342"/>
      <c r="AE1002" s="342"/>
      <c r="AF1002" s="342"/>
      <c r="AG1002" s="342"/>
      <c r="AH1002" s="342"/>
      <c r="AI1002" s="342"/>
      <c r="AJ1002" s="342"/>
      <c r="AK1002" s="342"/>
      <c r="AL1002" s="342"/>
      <c r="AM1002" s="342"/>
      <c r="AN1002" s="342"/>
      <c r="AO1002" s="662"/>
      <c r="AP1002" s="662"/>
      <c r="AQ1002" s="772"/>
      <c r="AR1002" s="772"/>
      <c r="AS1002" s="772"/>
      <c r="AT1002" s="772"/>
      <c r="AU1002" s="772"/>
      <c r="AV1002" s="772"/>
      <c r="AW1002" s="772"/>
      <c r="AX1002" s="772"/>
      <c r="AY1002" s="772"/>
      <c r="AZ1002" s="772"/>
      <c r="BA1002" s="772"/>
      <c r="BB1002" s="772"/>
      <c r="BC1002" s="772"/>
      <c r="BD1002" s="772"/>
      <c r="BE1002" s="772"/>
    </row>
    <row r="1003" customFormat="false" ht="14.15" hidden="true" customHeight="true" outlineLevel="1" collapsed="false">
      <c r="A1003" s="525" t="s">
        <v>234</v>
      </c>
      <c r="B1003" s="429"/>
      <c r="C1003" s="342"/>
      <c r="G1003" s="600"/>
      <c r="H1003" s="355"/>
      <c r="I1003" s="342"/>
      <c r="J1003" s="342"/>
      <c r="K1003" s="342"/>
      <c r="L1003" s="342"/>
      <c r="M1003" s="342"/>
      <c r="N1003" s="342"/>
      <c r="O1003" s="342"/>
      <c r="P1003" s="342"/>
      <c r="Q1003" s="342"/>
      <c r="R1003" s="342"/>
      <c r="S1003" s="342"/>
      <c r="T1003" s="342"/>
      <c r="U1003" s="342"/>
      <c r="V1003" s="342"/>
      <c r="W1003" s="342"/>
      <c r="X1003" s="342"/>
      <c r="Y1003" s="342"/>
      <c r="Z1003" s="342"/>
      <c r="AA1003" s="342"/>
      <c r="AB1003" s="342"/>
      <c r="AC1003" s="342"/>
      <c r="AD1003" s="342"/>
      <c r="AE1003" s="342"/>
      <c r="AF1003" s="342"/>
      <c r="AG1003" s="342"/>
      <c r="AH1003" s="342"/>
      <c r="AI1003" s="342"/>
      <c r="AJ1003" s="342"/>
      <c r="AK1003" s="342"/>
      <c r="AL1003" s="342"/>
      <c r="AM1003" s="342"/>
      <c r="AN1003" s="342"/>
      <c r="AO1003" s="662"/>
      <c r="AP1003" s="662"/>
      <c r="AQ1003" s="772"/>
      <c r="AR1003" s="772"/>
      <c r="AS1003" s="772"/>
      <c r="AT1003" s="772"/>
      <c r="AU1003" s="772"/>
      <c r="AV1003" s="772"/>
      <c r="AW1003" s="772"/>
      <c r="AX1003" s="772"/>
      <c r="AY1003" s="772"/>
      <c r="AZ1003" s="772"/>
      <c r="BA1003" s="772"/>
      <c r="BB1003" s="772"/>
      <c r="BC1003" s="772"/>
      <c r="BD1003" s="772"/>
      <c r="BE1003" s="772"/>
    </row>
    <row r="1004" customFormat="false" ht="14.15" hidden="true" customHeight="true" outlineLevel="1" collapsed="false">
      <c r="A1004" s="342" t="s">
        <v>2368</v>
      </c>
      <c r="B1004" s="429"/>
      <c r="C1004" s="342"/>
      <c r="G1004" s="600"/>
      <c r="H1004" s="355"/>
      <c r="I1004" s="342"/>
      <c r="J1004" s="342"/>
      <c r="K1004" s="342"/>
      <c r="L1004" s="342"/>
      <c r="M1004" s="342"/>
      <c r="N1004" s="342"/>
      <c r="O1004" s="342"/>
      <c r="P1004" s="342"/>
      <c r="Q1004" s="342"/>
      <c r="R1004" s="342"/>
      <c r="S1004" s="342"/>
      <c r="T1004" s="342"/>
      <c r="U1004" s="342"/>
      <c r="V1004" s="342"/>
      <c r="W1004" s="342"/>
      <c r="X1004" s="342"/>
      <c r="Y1004" s="342"/>
      <c r="Z1004" s="342"/>
      <c r="AA1004" s="342"/>
      <c r="AB1004" s="342"/>
      <c r="AC1004" s="342"/>
      <c r="AD1004" s="342"/>
      <c r="AE1004" s="342"/>
      <c r="AF1004" s="342"/>
      <c r="AG1004" s="342"/>
      <c r="AH1004" s="342"/>
      <c r="AI1004" s="342"/>
      <c r="AJ1004" s="342"/>
      <c r="AK1004" s="342"/>
      <c r="AL1004" s="342"/>
      <c r="AM1004" s="342"/>
      <c r="AN1004" s="342"/>
      <c r="AO1004" s="662"/>
      <c r="AP1004" s="662"/>
      <c r="AQ1004" s="772"/>
      <c r="AR1004" s="772"/>
      <c r="AS1004" s="772"/>
      <c r="AT1004" s="772"/>
      <c r="AU1004" s="772"/>
      <c r="AV1004" s="772"/>
      <c r="AW1004" s="772"/>
      <c r="AX1004" s="772"/>
      <c r="AY1004" s="772"/>
      <c r="AZ1004" s="772"/>
      <c r="BA1004" s="772"/>
      <c r="BB1004" s="772"/>
      <c r="BC1004" s="772"/>
      <c r="BD1004" s="772"/>
      <c r="BE1004" s="772"/>
    </row>
    <row r="1005" customFormat="false" ht="14.15" hidden="true" customHeight="true" outlineLevel="1" collapsed="false">
      <c r="A1005" s="525" t="s">
        <v>233</v>
      </c>
      <c r="B1005" s="429"/>
      <c r="C1005" s="342"/>
      <c r="G1005" s="600"/>
      <c r="H1005" s="355"/>
      <c r="I1005" s="342"/>
      <c r="J1005" s="342"/>
      <c r="K1005" s="342"/>
      <c r="L1005" s="342"/>
      <c r="M1005" s="342"/>
      <c r="N1005" s="342"/>
      <c r="O1005" s="342"/>
      <c r="P1005" s="342"/>
      <c r="Q1005" s="342"/>
      <c r="R1005" s="342"/>
      <c r="S1005" s="342"/>
      <c r="T1005" s="342"/>
      <c r="U1005" s="342"/>
      <c r="V1005" s="342"/>
      <c r="W1005" s="342"/>
      <c r="X1005" s="342"/>
      <c r="Y1005" s="342"/>
      <c r="Z1005" s="342"/>
      <c r="AA1005" s="342"/>
      <c r="AB1005" s="342"/>
      <c r="AC1005" s="342"/>
      <c r="AD1005" s="342"/>
      <c r="AE1005" s="342"/>
      <c r="AF1005" s="342"/>
      <c r="AG1005" s="342"/>
      <c r="AH1005" s="342"/>
      <c r="AI1005" s="342"/>
      <c r="AJ1005" s="342"/>
      <c r="AK1005" s="342"/>
      <c r="AL1005" s="342"/>
      <c r="AM1005" s="342"/>
      <c r="AN1005" s="342"/>
      <c r="AO1005" s="662"/>
      <c r="AP1005" s="662"/>
      <c r="AQ1005" s="772"/>
      <c r="AR1005" s="772"/>
      <c r="AS1005" s="772"/>
      <c r="AT1005" s="772"/>
      <c r="AU1005" s="772"/>
      <c r="AV1005" s="772"/>
      <c r="AW1005" s="772"/>
      <c r="AX1005" s="772"/>
      <c r="AY1005" s="772"/>
      <c r="AZ1005" s="772"/>
      <c r="BA1005" s="772"/>
      <c r="BB1005" s="772"/>
      <c r="BC1005" s="772"/>
      <c r="BD1005" s="772"/>
      <c r="BE1005" s="772"/>
    </row>
    <row r="1006" customFormat="false" ht="14.15" hidden="true" customHeight="true" outlineLevel="1" collapsed="false">
      <c r="A1006" s="342" t="s">
        <v>2369</v>
      </c>
      <c r="B1006" s="429"/>
      <c r="C1006" s="342"/>
      <c r="G1006" s="600"/>
      <c r="H1006" s="355"/>
      <c r="I1006" s="342"/>
      <c r="J1006" s="342"/>
      <c r="K1006" s="342"/>
      <c r="L1006" s="342"/>
      <c r="M1006" s="342"/>
      <c r="N1006" s="342"/>
      <c r="O1006" s="342"/>
      <c r="P1006" s="342"/>
      <c r="Q1006" s="342"/>
      <c r="R1006" s="342"/>
      <c r="S1006" s="342"/>
      <c r="T1006" s="342"/>
      <c r="U1006" s="342"/>
      <c r="V1006" s="342"/>
      <c r="W1006" s="342"/>
      <c r="X1006" s="342"/>
      <c r="Y1006" s="342"/>
      <c r="Z1006" s="342"/>
      <c r="AA1006" s="342"/>
      <c r="AB1006" s="342"/>
      <c r="AC1006" s="342"/>
      <c r="AD1006" s="342"/>
      <c r="AE1006" s="342"/>
      <c r="AF1006" s="342"/>
      <c r="AG1006" s="342"/>
      <c r="AH1006" s="342"/>
      <c r="AI1006" s="342"/>
      <c r="AJ1006" s="342"/>
      <c r="AK1006" s="342"/>
      <c r="AL1006" s="342"/>
      <c r="AM1006" s="342"/>
      <c r="AN1006" s="342"/>
      <c r="AO1006" s="662"/>
      <c r="AP1006" s="662"/>
      <c r="AQ1006" s="772"/>
      <c r="AR1006" s="772"/>
      <c r="AS1006" s="772"/>
      <c r="AT1006" s="772"/>
      <c r="AU1006" s="772"/>
      <c r="AV1006" s="772"/>
      <c r="AW1006" s="772"/>
      <c r="AX1006" s="772"/>
      <c r="AY1006" s="772"/>
      <c r="AZ1006" s="772"/>
      <c r="BA1006" s="772"/>
      <c r="BB1006" s="772"/>
      <c r="BC1006" s="772"/>
      <c r="BD1006" s="772"/>
      <c r="BE1006" s="772"/>
    </row>
    <row r="1007" customFormat="false" ht="14.15" hidden="true" customHeight="true" outlineLevel="1" collapsed="false">
      <c r="A1007" s="525" t="s">
        <v>82</v>
      </c>
      <c r="B1007" s="429"/>
      <c r="C1007" s="342"/>
      <c r="G1007" s="600"/>
      <c r="H1007" s="355"/>
      <c r="I1007" s="355"/>
      <c r="J1007" s="355"/>
      <c r="L1007" s="342"/>
      <c r="O1007" s="342"/>
      <c r="P1007" s="342"/>
      <c r="Q1007" s="342"/>
      <c r="R1007" s="342"/>
      <c r="S1007" s="342"/>
      <c r="T1007" s="342"/>
      <c r="U1007" s="342"/>
      <c r="V1007" s="342"/>
      <c r="W1007" s="342"/>
      <c r="X1007" s="342"/>
      <c r="Y1007" s="342"/>
      <c r="Z1007" s="342"/>
      <c r="AA1007" s="342"/>
      <c r="AB1007" s="342"/>
      <c r="AC1007" s="342"/>
      <c r="AD1007" s="342"/>
      <c r="AE1007" s="342"/>
      <c r="AF1007" s="342"/>
      <c r="AG1007" s="342"/>
      <c r="AH1007" s="342"/>
      <c r="AI1007" s="342"/>
      <c r="AJ1007" s="342"/>
      <c r="AK1007" s="342"/>
      <c r="AL1007" s="342"/>
      <c r="AM1007" s="342"/>
      <c r="AN1007" s="342"/>
      <c r="AO1007" s="662"/>
      <c r="AP1007" s="662"/>
      <c r="AQ1007" s="772"/>
      <c r="AR1007" s="772"/>
      <c r="AS1007" s="772"/>
      <c r="AT1007" s="772"/>
      <c r="AU1007" s="772"/>
      <c r="AV1007" s="772"/>
      <c r="AW1007" s="772"/>
      <c r="AX1007" s="772"/>
      <c r="AY1007" s="772"/>
      <c r="AZ1007" s="772"/>
      <c r="BA1007" s="772"/>
      <c r="BB1007" s="772"/>
      <c r="BC1007" s="772"/>
      <c r="BD1007" s="772"/>
      <c r="BE1007" s="772"/>
    </row>
    <row r="1008" customFormat="false" ht="14.15" hidden="true" customHeight="true" outlineLevel="1" collapsed="false">
      <c r="A1008" s="342" t="s">
        <v>2370</v>
      </c>
      <c r="B1008" s="429"/>
      <c r="C1008" s="342"/>
      <c r="G1008" s="600"/>
      <c r="H1008" s="355"/>
      <c r="I1008" s="355"/>
      <c r="J1008" s="355"/>
      <c r="L1008" s="342"/>
      <c r="O1008" s="342"/>
      <c r="P1008" s="342"/>
      <c r="Q1008" s="342"/>
      <c r="R1008" s="342"/>
      <c r="S1008" s="342"/>
      <c r="T1008" s="342"/>
      <c r="U1008" s="342"/>
      <c r="V1008" s="342"/>
      <c r="W1008" s="342"/>
      <c r="X1008" s="342"/>
      <c r="Y1008" s="342"/>
      <c r="Z1008" s="342"/>
      <c r="AA1008" s="342"/>
      <c r="AB1008" s="342"/>
      <c r="AC1008" s="342"/>
      <c r="AD1008" s="342"/>
      <c r="AE1008" s="342"/>
      <c r="AF1008" s="342"/>
      <c r="AG1008" s="342"/>
      <c r="AH1008" s="342"/>
      <c r="AI1008" s="342"/>
      <c r="AJ1008" s="342"/>
      <c r="AK1008" s="342"/>
      <c r="AL1008" s="342"/>
      <c r="AM1008" s="342"/>
      <c r="AN1008" s="342"/>
      <c r="AO1008" s="662"/>
      <c r="AP1008" s="662"/>
      <c r="AQ1008" s="772"/>
      <c r="AR1008" s="772"/>
      <c r="AS1008" s="772"/>
      <c r="AT1008" s="772"/>
      <c r="AU1008" s="772"/>
      <c r="AV1008" s="772"/>
      <c r="AW1008" s="772"/>
      <c r="AX1008" s="772"/>
      <c r="AY1008" s="772"/>
      <c r="AZ1008" s="772"/>
      <c r="BA1008" s="772"/>
      <c r="BB1008" s="772"/>
      <c r="BC1008" s="772"/>
      <c r="BD1008" s="772"/>
      <c r="BE1008" s="772"/>
    </row>
    <row r="1009" customFormat="false" ht="14.15" hidden="true" customHeight="true" outlineLevel="1" collapsed="false">
      <c r="A1009" s="525" t="s">
        <v>152</v>
      </c>
      <c r="B1009" s="364" t="s">
        <v>159</v>
      </c>
      <c r="C1009" s="414" t="n">
        <v>2</v>
      </c>
      <c r="G1009" s="600"/>
      <c r="H1009" s="600"/>
      <c r="I1009" s="600"/>
      <c r="J1009" s="600"/>
      <c r="K1009" s="600"/>
      <c r="L1009" s="600"/>
      <c r="M1009" s="342"/>
      <c r="N1009" s="342"/>
      <c r="O1009" s="342"/>
      <c r="P1009" s="342"/>
      <c r="Q1009" s="342"/>
      <c r="R1009" s="342"/>
      <c r="S1009" s="342"/>
      <c r="T1009" s="342"/>
      <c r="U1009" s="342"/>
      <c r="V1009" s="342"/>
      <c r="W1009" s="342"/>
      <c r="X1009" s="342"/>
      <c r="Y1009" s="342"/>
      <c r="Z1009" s="342"/>
      <c r="AA1009" s="342"/>
      <c r="AB1009" s="342"/>
      <c r="AC1009" s="342"/>
      <c r="AD1009" s="342"/>
      <c r="AE1009" s="342"/>
      <c r="AF1009" s="342"/>
      <c r="AG1009" s="342"/>
      <c r="AH1009" s="342"/>
      <c r="AI1009" s="342"/>
      <c r="AJ1009" s="342"/>
      <c r="AK1009" s="342"/>
      <c r="AL1009" s="342"/>
      <c r="AM1009" s="342"/>
      <c r="AN1009" s="342"/>
      <c r="AO1009" s="662"/>
      <c r="AP1009" s="662"/>
      <c r="AQ1009" s="772"/>
      <c r="AR1009" s="772"/>
      <c r="AS1009" s="772"/>
      <c r="AT1009" s="772"/>
      <c r="AU1009" s="772"/>
      <c r="AV1009" s="772"/>
      <c r="AW1009" s="772"/>
      <c r="AX1009" s="772"/>
      <c r="AY1009" s="772"/>
      <c r="AZ1009" s="772"/>
      <c r="BA1009" s="772"/>
      <c r="BB1009" s="772"/>
      <c r="BC1009" s="772"/>
      <c r="BD1009" s="772"/>
      <c r="BE1009" s="772"/>
    </row>
    <row r="1010" customFormat="false" ht="14.15" hidden="true" customHeight="true" outlineLevel="1" collapsed="false">
      <c r="A1010" s="342"/>
      <c r="B1010" s="429"/>
      <c r="C1010" s="600"/>
      <c r="G1010" s="600"/>
      <c r="H1010" s="600"/>
      <c r="I1010" s="600"/>
      <c r="J1010" s="600"/>
      <c r="K1010" s="600"/>
      <c r="L1010" s="600"/>
      <c r="M1010" s="342"/>
      <c r="N1010" s="342"/>
      <c r="O1010" s="342"/>
      <c r="P1010" s="342"/>
      <c r="Q1010" s="342"/>
      <c r="R1010" s="342"/>
      <c r="S1010" s="342"/>
      <c r="T1010" s="342"/>
      <c r="U1010" s="342"/>
      <c r="V1010" s="342"/>
      <c r="W1010" s="342"/>
      <c r="X1010" s="342"/>
      <c r="Y1010" s="342"/>
      <c r="Z1010" s="342"/>
      <c r="AA1010" s="342"/>
      <c r="AB1010" s="342"/>
      <c r="AC1010" s="342"/>
      <c r="AD1010" s="342"/>
      <c r="AE1010" s="342"/>
      <c r="AF1010" s="342"/>
      <c r="AG1010" s="342"/>
      <c r="AH1010" s="342"/>
      <c r="AI1010" s="342"/>
      <c r="AJ1010" s="342"/>
      <c r="AK1010" s="342"/>
      <c r="AL1010" s="342"/>
      <c r="AM1010" s="342"/>
      <c r="AN1010" s="342"/>
      <c r="AO1010" s="662"/>
      <c r="AP1010" s="662"/>
      <c r="AQ1010" s="772"/>
      <c r="AR1010" s="772"/>
      <c r="AS1010" s="772"/>
      <c r="AT1010" s="772"/>
      <c r="AU1010" s="772"/>
      <c r="AV1010" s="772"/>
      <c r="AW1010" s="772"/>
      <c r="AX1010" s="772"/>
      <c r="AY1010" s="772"/>
      <c r="AZ1010" s="772"/>
      <c r="BA1010" s="772"/>
      <c r="BB1010" s="772"/>
      <c r="BC1010" s="772"/>
      <c r="BD1010" s="772"/>
      <c r="BE1010" s="772"/>
    </row>
    <row r="1011" customFormat="false" ht="14.15" hidden="true" customHeight="true" outlineLevel="1" collapsed="false">
      <c r="A1011" s="265" t="s">
        <v>2371</v>
      </c>
      <c r="B1011" s="404" t="s">
        <v>1796</v>
      </c>
      <c r="C1011" s="775" t="n">
        <v>3000</v>
      </c>
      <c r="G1011" s="600"/>
      <c r="H1011" s="600"/>
      <c r="I1011" s="600"/>
      <c r="J1011" s="600"/>
      <c r="K1011" s="600"/>
      <c r="L1011" s="600"/>
      <c r="M1011" s="342"/>
      <c r="N1011" s="342"/>
      <c r="O1011" s="342"/>
      <c r="P1011" s="342"/>
      <c r="Q1011" s="342"/>
      <c r="R1011" s="342"/>
      <c r="S1011" s="342"/>
      <c r="T1011" s="342"/>
      <c r="U1011" s="342"/>
      <c r="V1011" s="342"/>
      <c r="W1011" s="342"/>
      <c r="X1011" s="342"/>
      <c r="Y1011" s="342"/>
      <c r="Z1011" s="342"/>
      <c r="AA1011" s="342"/>
      <c r="AB1011" s="342"/>
      <c r="AC1011" s="342"/>
      <c r="AD1011" s="342"/>
      <c r="AE1011" s="342"/>
      <c r="AF1011" s="342"/>
      <c r="AG1011" s="342"/>
      <c r="AH1011" s="342"/>
      <c r="AI1011" s="342"/>
      <c r="AJ1011" s="342"/>
      <c r="AK1011" s="342"/>
      <c r="AL1011" s="342"/>
      <c r="AM1011" s="342"/>
      <c r="AN1011" s="342"/>
      <c r="AO1011" s="662"/>
      <c r="AP1011" s="662"/>
      <c r="AQ1011" s="772"/>
      <c r="AR1011" s="772"/>
      <c r="AS1011" s="772"/>
      <c r="AT1011" s="772"/>
      <c r="AU1011" s="772"/>
      <c r="AV1011" s="772"/>
      <c r="AW1011" s="772"/>
      <c r="AX1011" s="772"/>
      <c r="AY1011" s="772"/>
      <c r="AZ1011" s="772"/>
      <c r="BA1011" s="772"/>
      <c r="BB1011" s="772"/>
      <c r="BC1011" s="772"/>
      <c r="BD1011" s="772"/>
      <c r="BE1011" s="772"/>
    </row>
    <row r="1012" customFormat="false" ht="14.15" hidden="true" customHeight="true" outlineLevel="1" collapsed="false">
      <c r="A1012" s="342"/>
      <c r="B1012" s="429"/>
      <c r="C1012" s="600"/>
      <c r="G1012" s="600"/>
      <c r="H1012" s="600"/>
      <c r="I1012" s="600"/>
      <c r="J1012" s="600"/>
      <c r="K1012" s="600"/>
      <c r="L1012" s="600"/>
      <c r="M1012" s="342"/>
      <c r="N1012" s="342"/>
      <c r="O1012" s="342"/>
      <c r="P1012" s="342"/>
      <c r="Q1012" s="342"/>
      <c r="R1012" s="342"/>
      <c r="S1012" s="342"/>
      <c r="T1012" s="342"/>
      <c r="U1012" s="342"/>
      <c r="V1012" s="342"/>
      <c r="W1012" s="342"/>
      <c r="X1012" s="342"/>
      <c r="Y1012" s="342"/>
      <c r="Z1012" s="342"/>
      <c r="AA1012" s="342"/>
      <c r="AB1012" s="342"/>
      <c r="AC1012" s="342"/>
      <c r="AD1012" s="342"/>
      <c r="AE1012" s="342"/>
      <c r="AF1012" s="342"/>
      <c r="AG1012" s="342"/>
      <c r="AH1012" s="342"/>
      <c r="AI1012" s="342"/>
      <c r="AJ1012" s="342"/>
      <c r="AK1012" s="342"/>
      <c r="AL1012" s="342"/>
      <c r="AM1012" s="342"/>
      <c r="AN1012" s="342"/>
      <c r="AO1012" s="662"/>
      <c r="AP1012" s="662"/>
      <c r="AQ1012" s="772"/>
      <c r="AR1012" s="772"/>
      <c r="AS1012" s="772"/>
      <c r="AT1012" s="772"/>
      <c r="AU1012" s="772"/>
      <c r="AV1012" s="772"/>
      <c r="AW1012" s="772"/>
      <c r="AX1012" s="772"/>
      <c r="AY1012" s="772"/>
      <c r="AZ1012" s="772"/>
      <c r="BA1012" s="772"/>
      <c r="BB1012" s="772"/>
      <c r="BC1012" s="772"/>
      <c r="BD1012" s="772"/>
      <c r="BE1012" s="772"/>
    </row>
    <row r="1013" customFormat="false" ht="14.15" hidden="true" customHeight="true" outlineLevel="1" collapsed="false">
      <c r="A1013" s="370" t="s">
        <v>2359</v>
      </c>
      <c r="B1013" s="402" t="s">
        <v>208</v>
      </c>
      <c r="C1013" s="776" t="s">
        <v>1798</v>
      </c>
      <c r="G1013" s="600"/>
      <c r="H1013" s="600"/>
      <c r="I1013" s="600"/>
      <c r="J1013" s="600"/>
      <c r="K1013" s="600"/>
      <c r="L1013" s="600"/>
      <c r="M1013" s="342"/>
      <c r="N1013" s="342"/>
      <c r="O1013" s="342"/>
      <c r="P1013" s="342"/>
      <c r="Q1013" s="342"/>
      <c r="R1013" s="342"/>
      <c r="S1013" s="342"/>
      <c r="T1013" s="342"/>
      <c r="U1013" s="342"/>
      <c r="V1013" s="342"/>
      <c r="W1013" s="342"/>
      <c r="X1013" s="342"/>
      <c r="Y1013" s="342"/>
      <c r="Z1013" s="342"/>
      <c r="AA1013" s="342"/>
      <c r="AB1013" s="342"/>
      <c r="AC1013" s="342"/>
      <c r="AD1013" s="342"/>
      <c r="AE1013" s="342"/>
      <c r="AF1013" s="342"/>
      <c r="AG1013" s="342"/>
      <c r="AH1013" s="342"/>
      <c r="AI1013" s="342"/>
      <c r="AJ1013" s="342"/>
      <c r="AK1013" s="342"/>
      <c r="AL1013" s="342"/>
      <c r="AM1013" s="342"/>
      <c r="AN1013" s="342"/>
      <c r="AO1013" s="662"/>
      <c r="AP1013" s="662"/>
      <c r="AQ1013" s="772"/>
      <c r="AR1013" s="772"/>
      <c r="AS1013" s="772"/>
      <c r="AT1013" s="772"/>
      <c r="AU1013" s="772"/>
      <c r="AV1013" s="772"/>
      <c r="AW1013" s="772"/>
      <c r="AX1013" s="772"/>
      <c r="AY1013" s="772"/>
      <c r="AZ1013" s="772"/>
      <c r="BA1013" s="772"/>
      <c r="BB1013" s="772"/>
      <c r="BC1013" s="772"/>
      <c r="BD1013" s="772"/>
      <c r="BE1013" s="772"/>
    </row>
    <row r="1014" customFormat="false" ht="14.15" hidden="true" customHeight="true" outlineLevel="1" collapsed="false">
      <c r="A1014" s="474" t="s">
        <v>2360</v>
      </c>
      <c r="B1014" s="402" t="s">
        <v>1793</v>
      </c>
      <c r="C1014" s="370" t="n">
        <v>3</v>
      </c>
      <c r="G1014" s="600"/>
      <c r="H1014" s="600"/>
      <c r="I1014" s="600"/>
      <c r="J1014" s="600"/>
      <c r="K1014" s="600"/>
      <c r="L1014" s="600"/>
      <c r="M1014" s="342"/>
      <c r="N1014" s="342"/>
      <c r="O1014" s="342"/>
      <c r="P1014" s="342"/>
      <c r="Q1014" s="342"/>
      <c r="R1014" s="342"/>
      <c r="S1014" s="342"/>
      <c r="T1014" s="342"/>
      <c r="U1014" s="342"/>
      <c r="V1014" s="342"/>
      <c r="W1014" s="342"/>
      <c r="X1014" s="342"/>
      <c r="Y1014" s="342"/>
      <c r="Z1014" s="342"/>
      <c r="AA1014" s="342"/>
      <c r="AB1014" s="342"/>
      <c r="AC1014" s="342"/>
      <c r="AD1014" s="342"/>
      <c r="AE1014" s="342"/>
      <c r="AF1014" s="342"/>
      <c r="AG1014" s="342"/>
      <c r="AH1014" s="342"/>
      <c r="AI1014" s="342"/>
      <c r="AJ1014" s="342"/>
      <c r="AK1014" s="342"/>
      <c r="AL1014" s="342"/>
      <c r="AM1014" s="342"/>
      <c r="AN1014" s="342"/>
      <c r="AO1014" s="662"/>
      <c r="AP1014" s="662"/>
      <c r="AQ1014" s="772"/>
      <c r="AR1014" s="772"/>
      <c r="AS1014" s="772"/>
      <c r="AT1014" s="772"/>
      <c r="AU1014" s="772"/>
      <c r="AV1014" s="772"/>
      <c r="AW1014" s="772"/>
      <c r="AX1014" s="772"/>
      <c r="AY1014" s="772"/>
      <c r="AZ1014" s="772"/>
      <c r="BA1014" s="772"/>
      <c r="BB1014" s="772"/>
      <c r="BC1014" s="772"/>
      <c r="BD1014" s="772"/>
      <c r="BE1014" s="772"/>
    </row>
    <row r="1015" customFormat="false" ht="14.15" hidden="true" customHeight="true" outlineLevel="1" collapsed="false">
      <c r="A1015" s="370" t="s">
        <v>2361</v>
      </c>
      <c r="B1015" s="425" t="s">
        <v>1793</v>
      </c>
      <c r="C1015" s="474" t="n">
        <v>9</v>
      </c>
      <c r="G1015" s="600"/>
      <c r="H1015" s="600"/>
      <c r="I1015" s="600"/>
      <c r="J1015" s="600"/>
      <c r="K1015" s="600"/>
      <c r="L1015" s="600"/>
      <c r="M1015" s="342"/>
      <c r="N1015" s="342"/>
      <c r="O1015" s="342"/>
      <c r="P1015" s="342"/>
      <c r="Q1015" s="342"/>
      <c r="R1015" s="342"/>
      <c r="S1015" s="342"/>
      <c r="T1015" s="342"/>
      <c r="U1015" s="342"/>
      <c r="V1015" s="342"/>
      <c r="W1015" s="342"/>
      <c r="X1015" s="342"/>
      <c r="Y1015" s="342"/>
      <c r="Z1015" s="342"/>
      <c r="AA1015" s="342"/>
      <c r="AB1015" s="342"/>
      <c r="AC1015" s="342"/>
      <c r="AD1015" s="342"/>
      <c r="AE1015" s="342"/>
      <c r="AF1015" s="342"/>
      <c r="AG1015" s="342"/>
      <c r="AH1015" s="342"/>
      <c r="AI1015" s="342"/>
      <c r="AJ1015" s="342"/>
      <c r="AK1015" s="342"/>
      <c r="AL1015" s="342"/>
      <c r="AM1015" s="342"/>
      <c r="AN1015" s="342"/>
      <c r="AO1015" s="662"/>
      <c r="AP1015" s="662"/>
      <c r="AQ1015" s="772"/>
      <c r="AR1015" s="772"/>
      <c r="AS1015" s="772"/>
      <c r="AT1015" s="772"/>
      <c r="AU1015" s="772"/>
      <c r="AV1015" s="772"/>
      <c r="AW1015" s="772"/>
      <c r="AX1015" s="772"/>
      <c r="AY1015" s="772"/>
      <c r="AZ1015" s="772"/>
      <c r="BA1015" s="772"/>
      <c r="BB1015" s="772"/>
      <c r="BC1015" s="772"/>
      <c r="BD1015" s="772"/>
      <c r="BE1015" s="772"/>
    </row>
    <row r="1016" customFormat="false" ht="14.15" hidden="true" customHeight="true" outlineLevel="1" collapsed="false">
      <c r="A1016" s="370" t="s">
        <v>2362</v>
      </c>
      <c r="B1016" s="402" t="s">
        <v>1796</v>
      </c>
      <c r="C1016" s="370" t="n">
        <v>700</v>
      </c>
      <c r="G1016" s="600"/>
      <c r="H1016" s="600"/>
      <c r="I1016" s="600"/>
      <c r="J1016" s="600"/>
      <c r="K1016" s="600"/>
      <c r="L1016" s="600"/>
      <c r="M1016" s="342"/>
      <c r="N1016" s="342"/>
      <c r="O1016" s="342"/>
      <c r="P1016" s="342"/>
      <c r="Q1016" s="342"/>
      <c r="R1016" s="342"/>
      <c r="S1016" s="342"/>
      <c r="T1016" s="342"/>
      <c r="U1016" s="342"/>
      <c r="V1016" s="342"/>
      <c r="W1016" s="342"/>
      <c r="X1016" s="342"/>
      <c r="Y1016" s="342"/>
      <c r="Z1016" s="342"/>
      <c r="AA1016" s="342"/>
      <c r="AB1016" s="342"/>
      <c r="AC1016" s="342"/>
      <c r="AD1016" s="342"/>
      <c r="AE1016" s="342"/>
      <c r="AF1016" s="342"/>
      <c r="AG1016" s="342"/>
      <c r="AH1016" s="342"/>
      <c r="AI1016" s="342"/>
      <c r="AJ1016" s="342"/>
      <c r="AK1016" s="342"/>
      <c r="AL1016" s="342"/>
      <c r="AM1016" s="342"/>
      <c r="AN1016" s="342"/>
      <c r="AO1016" s="662"/>
      <c r="AP1016" s="662"/>
      <c r="AQ1016" s="772"/>
      <c r="AR1016" s="772"/>
      <c r="AS1016" s="772"/>
      <c r="AT1016" s="772"/>
      <c r="AU1016" s="772"/>
      <c r="AV1016" s="772"/>
      <c r="AW1016" s="772"/>
      <c r="AX1016" s="772"/>
      <c r="AY1016" s="772"/>
      <c r="AZ1016" s="772"/>
      <c r="BA1016" s="772"/>
      <c r="BB1016" s="772"/>
      <c r="BC1016" s="772"/>
      <c r="BD1016" s="772"/>
      <c r="BE1016" s="772"/>
    </row>
    <row r="1017" customFormat="false" ht="14.15" hidden="true" customHeight="true" outlineLevel="1" collapsed="false">
      <c r="A1017" s="342"/>
      <c r="B1017" s="429"/>
      <c r="C1017" s="600"/>
      <c r="G1017" s="600"/>
      <c r="H1017" s="600"/>
      <c r="I1017" s="600"/>
      <c r="J1017" s="600"/>
      <c r="K1017" s="600"/>
      <c r="L1017" s="600"/>
      <c r="M1017" s="342"/>
      <c r="N1017" s="342"/>
      <c r="O1017" s="342"/>
      <c r="P1017" s="342"/>
      <c r="Q1017" s="342"/>
      <c r="R1017" s="342"/>
      <c r="S1017" s="342"/>
      <c r="T1017" s="342"/>
      <c r="U1017" s="342"/>
      <c r="V1017" s="342"/>
      <c r="W1017" s="342"/>
      <c r="X1017" s="342"/>
      <c r="Y1017" s="342"/>
      <c r="Z1017" s="342"/>
      <c r="AA1017" s="342"/>
      <c r="AB1017" s="342"/>
      <c r="AC1017" s="342"/>
      <c r="AD1017" s="342"/>
      <c r="AE1017" s="342"/>
      <c r="AF1017" s="342"/>
      <c r="AG1017" s="342"/>
      <c r="AH1017" s="342"/>
      <c r="AI1017" s="342"/>
      <c r="AJ1017" s="342"/>
      <c r="AK1017" s="342"/>
      <c r="AL1017" s="342"/>
      <c r="AM1017" s="342"/>
      <c r="AN1017" s="342"/>
      <c r="AO1017" s="662"/>
      <c r="AP1017" s="662"/>
      <c r="AQ1017" s="772"/>
      <c r="AR1017" s="772"/>
      <c r="AS1017" s="772"/>
      <c r="AT1017" s="772"/>
      <c r="AU1017" s="772"/>
      <c r="AV1017" s="772"/>
      <c r="AW1017" s="772"/>
      <c r="AX1017" s="772"/>
      <c r="AY1017" s="772"/>
      <c r="AZ1017" s="772"/>
      <c r="BA1017" s="772"/>
      <c r="BB1017" s="772"/>
      <c r="BC1017" s="772"/>
      <c r="BD1017" s="772"/>
      <c r="BE1017" s="772"/>
    </row>
    <row r="1018" customFormat="false" ht="14.15" hidden="false" customHeight="true" outlineLevel="0" collapsed="false">
      <c r="A1018" s="777" t="s">
        <v>2364</v>
      </c>
      <c r="B1018" s="777"/>
      <c r="C1018" s="777"/>
      <c r="D1018" s="777"/>
      <c r="E1018" s="777"/>
      <c r="F1018" s="777"/>
      <c r="G1018" s="777"/>
      <c r="H1018" s="625"/>
      <c r="I1018" s="625"/>
      <c r="J1018" s="625"/>
      <c r="K1018" s="625"/>
      <c r="L1018" s="625"/>
      <c r="M1018" s="600"/>
      <c r="N1018" s="600"/>
      <c r="O1018" s="600"/>
      <c r="P1018" s="778"/>
      <c r="Q1018" s="358"/>
      <c r="R1018" s="778"/>
      <c r="S1018" s="778"/>
      <c r="T1018" s="778"/>
      <c r="U1018" s="778"/>
      <c r="V1018" s="778"/>
      <c r="W1018" s="778"/>
      <c r="X1018" s="778"/>
      <c r="Y1018" s="778"/>
      <c r="Z1018" s="778"/>
      <c r="AA1018" s="778"/>
      <c r="AB1018" s="778"/>
      <c r="AC1018" s="778"/>
      <c r="AD1018" s="778"/>
      <c r="AE1018" s="778"/>
      <c r="AF1018" s="778"/>
      <c r="AG1018" s="778"/>
      <c r="AH1018" s="778"/>
      <c r="AI1018" s="778"/>
      <c r="AJ1018" s="778"/>
      <c r="AK1018" s="778"/>
      <c r="AL1018" s="778"/>
      <c r="AM1018" s="778"/>
      <c r="AN1018" s="778"/>
      <c r="AO1018" s="779"/>
      <c r="AP1018" s="779"/>
      <c r="AQ1018" s="780"/>
      <c r="AR1018" s="780"/>
      <c r="AS1018" s="780"/>
      <c r="AT1018" s="780"/>
      <c r="AU1018" s="780"/>
      <c r="AV1018" s="388" t="n">
        <f aca="false">M1018</f>
        <v>0</v>
      </c>
      <c r="AW1018" s="780"/>
      <c r="AX1018" s="780"/>
      <c r="AY1018" s="780"/>
      <c r="AZ1018" s="780"/>
      <c r="BA1018" s="780"/>
      <c r="BB1018" s="780"/>
      <c r="BC1018" s="780"/>
      <c r="BD1018" s="780"/>
      <c r="BE1018" s="780"/>
    </row>
    <row r="1019" customFormat="false" ht="14.15" hidden="false" customHeight="true" outlineLevel="0" collapsed="false">
      <c r="A1019" s="781"/>
      <c r="B1019" s="781"/>
      <c r="C1019" s="781"/>
      <c r="D1019" s="781"/>
      <c r="E1019" s="781"/>
      <c r="F1019" s="781"/>
      <c r="G1019" s="781"/>
      <c r="H1019" s="782"/>
      <c r="I1019" s="778"/>
      <c r="J1019" s="778"/>
      <c r="K1019" s="778"/>
      <c r="L1019" s="778"/>
      <c r="M1019" s="600"/>
      <c r="N1019" s="600"/>
      <c r="O1019" s="600"/>
      <c r="P1019" s="778"/>
      <c r="Q1019" s="778"/>
      <c r="R1019" s="778"/>
      <c r="S1019" s="778"/>
      <c r="T1019" s="778"/>
      <c r="U1019" s="778"/>
      <c r="V1019" s="778"/>
      <c r="W1019" s="778"/>
      <c r="X1019" s="778"/>
      <c r="Y1019" s="778"/>
      <c r="Z1019" s="778"/>
      <c r="AA1019" s="778"/>
      <c r="AB1019" s="778"/>
      <c r="AC1019" s="778"/>
      <c r="AD1019" s="778"/>
      <c r="AE1019" s="778"/>
      <c r="AF1019" s="778"/>
      <c r="AG1019" s="778"/>
      <c r="AH1019" s="778"/>
      <c r="AI1019" s="778"/>
      <c r="AJ1019" s="778"/>
      <c r="AK1019" s="778"/>
      <c r="AL1019" s="778"/>
      <c r="AM1019" s="778"/>
      <c r="AN1019" s="778"/>
      <c r="AO1019" s="779"/>
      <c r="AP1019" s="779"/>
      <c r="AQ1019" s="780"/>
      <c r="AR1019" s="780"/>
      <c r="AS1019" s="780"/>
      <c r="AT1019" s="780"/>
      <c r="AU1019" s="780"/>
      <c r="AV1019" s="780"/>
      <c r="AW1019" s="780"/>
      <c r="AX1019" s="780"/>
      <c r="AY1019" s="780"/>
      <c r="AZ1019" s="780"/>
      <c r="BA1019" s="780"/>
      <c r="BB1019" s="780"/>
      <c r="BC1019" s="780"/>
      <c r="BD1019" s="780"/>
      <c r="BE1019" s="780"/>
    </row>
    <row r="1020" customFormat="false" ht="14.15" hidden="true" customHeight="true" outlineLevel="1" collapsed="false">
      <c r="A1020" s="783" t="s">
        <v>2372</v>
      </c>
      <c r="B1020" s="783"/>
      <c r="C1020" s="783"/>
      <c r="D1020" s="783"/>
      <c r="E1020" s="783"/>
      <c r="F1020" s="783"/>
      <c r="G1020" s="783"/>
      <c r="H1020" s="784"/>
      <c r="I1020" s="784"/>
      <c r="J1020" s="784"/>
      <c r="K1020" s="784"/>
      <c r="L1020" s="784"/>
      <c r="M1020" s="784"/>
      <c r="N1020" s="784"/>
      <c r="O1020" s="784"/>
      <c r="P1020" s="784"/>
      <c r="Q1020" s="784"/>
      <c r="R1020" s="784"/>
      <c r="S1020" s="784"/>
      <c r="T1020" s="784"/>
      <c r="U1020" s="784"/>
      <c r="V1020" s="784"/>
      <c r="W1020" s="784"/>
      <c r="X1020" s="784"/>
      <c r="Y1020" s="784"/>
      <c r="Z1020" s="784"/>
      <c r="AA1020" s="784"/>
      <c r="AB1020" s="784"/>
      <c r="AC1020" s="784"/>
      <c r="AD1020" s="784"/>
      <c r="AE1020" s="784"/>
      <c r="AF1020" s="784"/>
      <c r="AG1020" s="784"/>
      <c r="AH1020" s="784"/>
      <c r="AI1020" s="784"/>
      <c r="AJ1020" s="778"/>
      <c r="AK1020" s="778"/>
      <c r="AL1020" s="778"/>
      <c r="AM1020" s="778"/>
      <c r="AN1020" s="778"/>
      <c r="AO1020" s="779"/>
      <c r="AP1020" s="779"/>
      <c r="AQ1020" s="780"/>
      <c r="AR1020" s="780"/>
      <c r="AS1020" s="780"/>
      <c r="AT1020" s="780"/>
      <c r="AU1020" s="780"/>
      <c r="AV1020" s="780"/>
      <c r="AW1020" s="780"/>
      <c r="AX1020" s="780"/>
      <c r="AY1020" s="780"/>
      <c r="AZ1020" s="780"/>
      <c r="BA1020" s="780"/>
      <c r="BB1020" s="780"/>
      <c r="BC1020" s="780"/>
      <c r="BD1020" s="780"/>
      <c r="BE1020" s="780"/>
    </row>
    <row r="1021" customFormat="false" ht="14.15" hidden="true" customHeight="true" outlineLevel="1" collapsed="false">
      <c r="A1021" s="783"/>
      <c r="B1021" s="783"/>
      <c r="C1021" s="783"/>
      <c r="D1021" s="783"/>
      <c r="E1021" s="783"/>
      <c r="F1021" s="783"/>
      <c r="G1021" s="783"/>
      <c r="H1021" s="784"/>
      <c r="I1021" s="784"/>
      <c r="J1021" s="784"/>
      <c r="K1021" s="784"/>
      <c r="L1021" s="784"/>
      <c r="M1021" s="784"/>
      <c r="N1021" s="784"/>
      <c r="O1021" s="784"/>
      <c r="P1021" s="784"/>
      <c r="Q1021" s="784"/>
      <c r="R1021" s="784"/>
      <c r="S1021" s="784"/>
      <c r="T1021" s="784"/>
      <c r="U1021" s="784"/>
      <c r="V1021" s="784"/>
      <c r="W1021" s="784"/>
      <c r="X1021" s="784"/>
      <c r="Y1021" s="784"/>
      <c r="Z1021" s="784"/>
      <c r="AA1021" s="784"/>
      <c r="AB1021" s="784"/>
      <c r="AC1021" s="784"/>
      <c r="AD1021" s="784"/>
      <c r="AE1021" s="784"/>
      <c r="AF1021" s="784"/>
      <c r="AG1021" s="784"/>
      <c r="AH1021" s="784"/>
      <c r="AI1021" s="784"/>
      <c r="AJ1021" s="778"/>
      <c r="AK1021" s="778"/>
      <c r="AL1021" s="778"/>
      <c r="AM1021" s="778"/>
      <c r="AN1021" s="778"/>
      <c r="AO1021" s="779"/>
      <c r="AP1021" s="779"/>
      <c r="AQ1021" s="780"/>
      <c r="AR1021" s="780"/>
      <c r="AS1021" s="780"/>
      <c r="AT1021" s="780"/>
      <c r="AU1021" s="780"/>
      <c r="AV1021" s="780"/>
      <c r="AW1021" s="780"/>
      <c r="AX1021" s="780"/>
      <c r="AY1021" s="780"/>
      <c r="AZ1021" s="780"/>
      <c r="BA1021" s="780"/>
      <c r="BB1021" s="780"/>
      <c r="BC1021" s="780"/>
      <c r="BD1021" s="780"/>
      <c r="BE1021" s="780"/>
    </row>
    <row r="1022" customFormat="false" ht="14.15" hidden="true" customHeight="true" outlineLevel="1" collapsed="false">
      <c r="A1022" s="594" t="s">
        <v>1806</v>
      </c>
      <c r="B1022" s="785"/>
      <c r="C1022" s="785"/>
      <c r="D1022" s="786" t="n">
        <v>1</v>
      </c>
      <c r="G1022" s="787"/>
      <c r="H1022" s="676"/>
      <c r="I1022" s="676"/>
      <c r="J1022" s="676"/>
      <c r="K1022" s="676"/>
      <c r="L1022" s="676"/>
      <c r="M1022" s="676"/>
      <c r="N1022" s="676"/>
      <c r="O1022" s="676"/>
      <c r="P1022" s="676"/>
      <c r="Q1022" s="676"/>
      <c r="R1022" s="676"/>
      <c r="S1022" s="676"/>
      <c r="T1022" s="676"/>
      <c r="U1022" s="676"/>
      <c r="V1022" s="676"/>
      <c r="W1022" s="676"/>
      <c r="X1022" s="676"/>
      <c r="Y1022" s="676"/>
      <c r="Z1022" s="676"/>
      <c r="AA1022" s="676"/>
      <c r="AB1022" s="676"/>
      <c r="AC1022" s="676"/>
      <c r="AD1022" s="676"/>
      <c r="AE1022" s="676"/>
      <c r="AF1022" s="342"/>
      <c r="AG1022" s="342"/>
      <c r="AH1022" s="342"/>
      <c r="AI1022" s="772"/>
      <c r="AJ1022" s="778"/>
      <c r="AK1022" s="778"/>
      <c r="AL1022" s="778"/>
      <c r="AM1022" s="778"/>
      <c r="AN1022" s="778"/>
      <c r="AO1022" s="779"/>
      <c r="AP1022" s="779"/>
      <c r="AQ1022" s="780"/>
      <c r="AR1022" s="780"/>
      <c r="AS1022" s="780"/>
      <c r="AT1022" s="780"/>
      <c r="AU1022" s="780"/>
      <c r="AV1022" s="780"/>
      <c r="AW1022" s="780"/>
      <c r="AX1022" s="780"/>
      <c r="AY1022" s="780"/>
      <c r="AZ1022" s="780"/>
      <c r="BA1022" s="780"/>
      <c r="BB1022" s="780"/>
      <c r="BC1022" s="780"/>
      <c r="BD1022" s="780"/>
      <c r="BE1022" s="780"/>
    </row>
    <row r="1023" customFormat="false" ht="14.15" hidden="true" customHeight="true" outlineLevel="1" collapsed="false">
      <c r="A1023" s="594" t="s">
        <v>1808</v>
      </c>
      <c r="B1023" s="785"/>
      <c r="C1023" s="785"/>
      <c r="D1023" s="786" t="n">
        <v>1</v>
      </c>
      <c r="G1023" s="787"/>
      <c r="H1023" s="676"/>
      <c r="I1023" s="676"/>
      <c r="J1023" s="676"/>
      <c r="K1023" s="676"/>
      <c r="L1023" s="676"/>
      <c r="M1023" s="676"/>
      <c r="N1023" s="676"/>
      <c r="O1023" s="676"/>
      <c r="P1023" s="676"/>
      <c r="Q1023" s="676"/>
      <c r="R1023" s="676"/>
      <c r="S1023" s="676"/>
      <c r="T1023" s="676"/>
      <c r="U1023" s="676"/>
      <c r="V1023" s="676"/>
      <c r="W1023" s="676"/>
      <c r="X1023" s="676"/>
      <c r="Y1023" s="676"/>
      <c r="Z1023" s="676"/>
      <c r="AA1023" s="676"/>
      <c r="AB1023" s="676"/>
      <c r="AC1023" s="676"/>
      <c r="AD1023" s="676"/>
      <c r="AE1023" s="676"/>
      <c r="AF1023" s="342"/>
      <c r="AG1023" s="342"/>
      <c r="AH1023" s="342"/>
      <c r="AI1023" s="342"/>
      <c r="AJ1023" s="778"/>
      <c r="AK1023" s="778"/>
      <c r="AL1023" s="778"/>
      <c r="AM1023" s="778"/>
      <c r="AN1023" s="778"/>
      <c r="AO1023" s="779"/>
      <c r="AP1023" s="779"/>
      <c r="AQ1023" s="780"/>
      <c r="AR1023" s="780"/>
      <c r="AS1023" s="780"/>
      <c r="AT1023" s="780"/>
      <c r="AU1023" s="780"/>
      <c r="AV1023" s="780"/>
      <c r="AW1023" s="780"/>
      <c r="AX1023" s="780"/>
      <c r="AY1023" s="780"/>
      <c r="AZ1023" s="780"/>
      <c r="BA1023" s="780"/>
      <c r="BB1023" s="780"/>
      <c r="BC1023" s="780"/>
      <c r="BD1023" s="780"/>
      <c r="BE1023" s="780"/>
    </row>
    <row r="1024" customFormat="false" ht="14.15" hidden="true" customHeight="true" outlineLevel="1" collapsed="false">
      <c r="A1024" s="788"/>
      <c r="B1024" s="787"/>
      <c r="C1024" s="787"/>
      <c r="D1024" s="787"/>
      <c r="E1024" s="787"/>
      <c r="F1024" s="787"/>
      <c r="G1024" s="787"/>
      <c r="H1024" s="676"/>
      <c r="I1024" s="676"/>
      <c r="J1024" s="676"/>
      <c r="K1024" s="676"/>
      <c r="L1024" s="676"/>
      <c r="M1024" s="676"/>
      <c r="N1024" s="676"/>
      <c r="O1024" s="676"/>
      <c r="P1024" s="676"/>
      <c r="Q1024" s="676"/>
      <c r="R1024" s="676"/>
      <c r="S1024" s="676"/>
      <c r="T1024" s="676"/>
      <c r="U1024" s="676"/>
      <c r="V1024" s="676"/>
      <c r="W1024" s="676"/>
      <c r="X1024" s="676"/>
      <c r="Y1024" s="598"/>
      <c r="Z1024" s="598"/>
      <c r="AA1024" s="597"/>
      <c r="AB1024" s="598"/>
      <c r="AC1024" s="598"/>
      <c r="AD1024" s="598"/>
      <c r="AE1024" s="598"/>
      <c r="AF1024" s="342"/>
      <c r="AG1024" s="342"/>
      <c r="AH1024" s="342"/>
      <c r="AI1024" s="342"/>
      <c r="AJ1024" s="778"/>
      <c r="AK1024" s="778"/>
      <c r="AL1024" s="778"/>
      <c r="AM1024" s="778"/>
      <c r="AN1024" s="778"/>
      <c r="AO1024" s="779"/>
      <c r="AP1024" s="779"/>
      <c r="AQ1024" s="780"/>
      <c r="AR1024" s="780"/>
      <c r="AS1024" s="780"/>
      <c r="AT1024" s="780"/>
      <c r="AU1024" s="780"/>
      <c r="AV1024" s="780"/>
      <c r="AW1024" s="780"/>
      <c r="AX1024" s="780"/>
      <c r="AY1024" s="780"/>
      <c r="AZ1024" s="780"/>
      <c r="BA1024" s="780"/>
      <c r="BB1024" s="780"/>
      <c r="BC1024" s="780"/>
      <c r="BD1024" s="780"/>
      <c r="BE1024" s="780"/>
    </row>
    <row r="1025" customFormat="false" ht="14.15" hidden="true" customHeight="true" outlineLevel="1" collapsed="false">
      <c r="A1025" s="666" t="s">
        <v>2373</v>
      </c>
      <c r="B1025" s="477"/>
      <c r="C1025" s="666"/>
      <c r="D1025" s="788"/>
      <c r="E1025" s="788"/>
      <c r="F1025" s="788"/>
      <c r="G1025" s="666"/>
      <c r="H1025" s="789"/>
      <c r="I1025" s="479"/>
      <c r="J1025" s="479"/>
      <c r="K1025" s="479"/>
      <c r="L1025" s="479"/>
      <c r="M1025" s="479"/>
      <c r="N1025" s="479"/>
      <c r="O1025" s="479"/>
      <c r="P1025" s="790"/>
      <c r="Q1025" s="778"/>
      <c r="R1025" s="778"/>
      <c r="S1025" s="778"/>
      <c r="T1025" s="778"/>
      <c r="U1025" s="778"/>
      <c r="V1025" s="778"/>
      <c r="W1025" s="778"/>
      <c r="X1025" s="778"/>
      <c r="Y1025" s="778"/>
      <c r="Z1025" s="778"/>
      <c r="AA1025" s="778"/>
      <c r="AB1025" s="778"/>
      <c r="AC1025" s="778"/>
      <c r="AD1025" s="778"/>
      <c r="AE1025" s="778"/>
      <c r="AF1025" s="778"/>
      <c r="AG1025" s="778"/>
      <c r="AH1025" s="778"/>
      <c r="AI1025" s="778"/>
      <c r="AJ1025" s="778"/>
      <c r="AK1025" s="778"/>
      <c r="AL1025" s="778"/>
      <c r="AM1025" s="778"/>
      <c r="AN1025" s="778"/>
      <c r="AO1025" s="779"/>
      <c r="AP1025" s="779"/>
      <c r="AQ1025" s="780"/>
      <c r="AR1025" s="780"/>
      <c r="AS1025" s="780"/>
      <c r="AT1025" s="780"/>
      <c r="AU1025" s="780"/>
      <c r="AV1025" s="780"/>
      <c r="AW1025" s="780"/>
      <c r="AX1025" s="780"/>
      <c r="AY1025" s="780"/>
      <c r="AZ1025" s="780"/>
      <c r="BA1025" s="780"/>
      <c r="BB1025" s="780"/>
      <c r="BC1025" s="780"/>
      <c r="BD1025" s="780"/>
      <c r="BE1025" s="780"/>
    </row>
    <row r="1026" customFormat="false" ht="14.15" hidden="true" customHeight="true" outlineLevel="1" collapsed="false">
      <c r="A1026" s="791" t="s">
        <v>2366</v>
      </c>
      <c r="B1026" s="477"/>
      <c r="C1026" s="666"/>
      <c r="D1026" s="788"/>
      <c r="E1026" s="788"/>
      <c r="F1026" s="788"/>
      <c r="G1026" s="666"/>
      <c r="H1026" s="792"/>
      <c r="I1026" s="479"/>
      <c r="J1026" s="479"/>
      <c r="K1026" s="479"/>
      <c r="L1026" s="479"/>
      <c r="M1026" s="479"/>
      <c r="N1026" s="479"/>
      <c r="O1026" s="479"/>
      <c r="P1026" s="790"/>
      <c r="Q1026" s="778"/>
      <c r="R1026" s="778"/>
      <c r="S1026" s="778"/>
      <c r="T1026" s="778"/>
      <c r="U1026" s="778"/>
      <c r="V1026" s="778"/>
      <c r="W1026" s="778"/>
      <c r="X1026" s="778"/>
      <c r="Y1026" s="778"/>
      <c r="Z1026" s="778"/>
      <c r="AA1026" s="778"/>
      <c r="AB1026" s="778"/>
      <c r="AC1026" s="778"/>
      <c r="AD1026" s="778"/>
      <c r="AE1026" s="778"/>
      <c r="AF1026" s="778"/>
      <c r="AG1026" s="778"/>
      <c r="AH1026" s="778"/>
      <c r="AI1026" s="778"/>
      <c r="AJ1026" s="778"/>
      <c r="AK1026" s="778"/>
      <c r="AL1026" s="778"/>
      <c r="AM1026" s="778"/>
      <c r="AN1026" s="778"/>
      <c r="AO1026" s="779"/>
      <c r="AP1026" s="779"/>
      <c r="AQ1026" s="780"/>
      <c r="AR1026" s="780"/>
      <c r="AS1026" s="780"/>
      <c r="AT1026" s="780"/>
      <c r="AU1026" s="780"/>
      <c r="AV1026" s="780"/>
      <c r="AW1026" s="780"/>
      <c r="AX1026" s="780"/>
      <c r="AY1026" s="780"/>
      <c r="AZ1026" s="780"/>
      <c r="BA1026" s="780"/>
      <c r="BB1026" s="780"/>
      <c r="BC1026" s="780"/>
      <c r="BD1026" s="780"/>
      <c r="BE1026" s="780"/>
    </row>
    <row r="1027" customFormat="false" ht="14.15" hidden="true" customHeight="true" outlineLevel="1" collapsed="false">
      <c r="A1027" s="261" t="s">
        <v>2374</v>
      </c>
      <c r="B1027" s="404" t="s">
        <v>156</v>
      </c>
      <c r="C1027" s="793" t="n">
        <v>0.6</v>
      </c>
      <c r="D1027" s="788"/>
      <c r="E1027" s="788"/>
      <c r="F1027" s="788"/>
      <c r="G1027" s="666"/>
      <c r="H1027" s="789"/>
      <c r="I1027" s="479"/>
      <c r="J1027" s="479"/>
      <c r="K1027" s="479"/>
      <c r="L1027" s="479"/>
      <c r="M1027" s="479"/>
      <c r="N1027" s="479"/>
      <c r="O1027" s="479"/>
      <c r="P1027" s="790"/>
      <c r="Q1027" s="778"/>
      <c r="R1027" s="778"/>
      <c r="S1027" s="778"/>
      <c r="T1027" s="778"/>
      <c r="U1027" s="778"/>
      <c r="V1027" s="778"/>
      <c r="W1027" s="778"/>
      <c r="X1027" s="778"/>
      <c r="Y1027" s="778"/>
      <c r="Z1027" s="778"/>
      <c r="AA1027" s="778"/>
      <c r="AB1027" s="778"/>
      <c r="AC1027" s="778"/>
      <c r="AD1027" s="778"/>
      <c r="AE1027" s="778"/>
      <c r="AF1027" s="778"/>
      <c r="AG1027" s="778"/>
      <c r="AH1027" s="778"/>
      <c r="AI1027" s="778"/>
      <c r="AJ1027" s="778"/>
      <c r="AK1027" s="778"/>
      <c r="AL1027" s="778"/>
      <c r="AM1027" s="778"/>
      <c r="AN1027" s="778"/>
      <c r="AO1027" s="779"/>
      <c r="AP1027" s="779"/>
      <c r="AQ1027" s="780"/>
      <c r="AR1027" s="780"/>
      <c r="AS1027" s="780"/>
      <c r="AT1027" s="780"/>
      <c r="AU1027" s="780"/>
      <c r="AV1027" s="780"/>
      <c r="AW1027" s="780"/>
      <c r="AX1027" s="780"/>
      <c r="AY1027" s="780"/>
      <c r="AZ1027" s="780"/>
      <c r="BA1027" s="780"/>
      <c r="BB1027" s="780"/>
      <c r="BC1027" s="780"/>
      <c r="BD1027" s="780"/>
      <c r="BE1027" s="780"/>
    </row>
    <row r="1028" customFormat="false" ht="14.15" hidden="true" customHeight="true" outlineLevel="1" collapsed="false">
      <c r="A1028" s="261" t="s">
        <v>2375</v>
      </c>
      <c r="B1028" s="404" t="s">
        <v>156</v>
      </c>
      <c r="C1028" s="793" t="n">
        <v>0.6</v>
      </c>
      <c r="D1028" s="788"/>
      <c r="E1028" s="788"/>
      <c r="F1028" s="788"/>
      <c r="G1028" s="666"/>
      <c r="H1028" s="789"/>
      <c r="I1028" s="479"/>
      <c r="J1028" s="479"/>
      <c r="K1028" s="479"/>
      <c r="L1028" s="479"/>
      <c r="M1028" s="479"/>
      <c r="N1028" s="479"/>
      <c r="O1028" s="479"/>
      <c r="P1028" s="790"/>
      <c r="Q1028" s="778"/>
      <c r="R1028" s="778"/>
      <c r="S1028" s="778"/>
      <c r="T1028" s="778"/>
      <c r="U1028" s="778"/>
      <c r="V1028" s="778"/>
      <c r="W1028" s="778"/>
      <c r="X1028" s="778"/>
      <c r="Y1028" s="778"/>
      <c r="Z1028" s="778"/>
      <c r="AA1028" s="778"/>
      <c r="AB1028" s="778"/>
      <c r="AC1028" s="778"/>
      <c r="AD1028" s="778"/>
      <c r="AE1028" s="778"/>
      <c r="AF1028" s="778"/>
      <c r="AG1028" s="778"/>
      <c r="AH1028" s="778"/>
      <c r="AI1028" s="778"/>
      <c r="AJ1028" s="778"/>
      <c r="AK1028" s="778"/>
      <c r="AL1028" s="778"/>
      <c r="AM1028" s="778"/>
      <c r="AN1028" s="778"/>
      <c r="AO1028" s="779"/>
      <c r="AP1028" s="779"/>
      <c r="AQ1028" s="780"/>
      <c r="AR1028" s="780"/>
      <c r="AS1028" s="780"/>
      <c r="AT1028" s="780"/>
      <c r="AU1028" s="780"/>
      <c r="AV1028" s="780"/>
      <c r="AW1028" s="780"/>
      <c r="AX1028" s="780"/>
      <c r="AY1028" s="780"/>
      <c r="AZ1028" s="780"/>
      <c r="BA1028" s="780"/>
      <c r="BB1028" s="780"/>
      <c r="BC1028" s="780"/>
      <c r="BD1028" s="780"/>
      <c r="BE1028" s="780"/>
    </row>
    <row r="1029" customFormat="false" ht="14.15" hidden="true" customHeight="true" outlineLevel="1" collapsed="false">
      <c r="A1029" s="261" t="s">
        <v>2376</v>
      </c>
      <c r="B1029" s="404" t="s">
        <v>156</v>
      </c>
      <c r="C1029" s="793" t="n">
        <v>0.6</v>
      </c>
      <c r="D1029" s="788"/>
      <c r="E1029" s="788"/>
      <c r="F1029" s="788"/>
      <c r="G1029" s="666"/>
      <c r="H1029" s="789"/>
      <c r="I1029" s="479"/>
      <c r="J1029" s="479"/>
      <c r="K1029" s="479"/>
      <c r="L1029" s="479"/>
      <c r="M1029" s="479"/>
      <c r="N1029" s="479"/>
      <c r="O1029" s="479"/>
      <c r="P1029" s="790"/>
      <c r="Q1029" s="778"/>
      <c r="R1029" s="778"/>
      <c r="S1029" s="778"/>
      <c r="T1029" s="778"/>
      <c r="U1029" s="778"/>
      <c r="V1029" s="778"/>
      <c r="W1029" s="778"/>
      <c r="X1029" s="778"/>
      <c r="Y1029" s="778"/>
      <c r="Z1029" s="778"/>
      <c r="AA1029" s="778"/>
      <c r="AB1029" s="778"/>
      <c r="AC1029" s="778"/>
      <c r="AD1029" s="778"/>
      <c r="AE1029" s="778"/>
      <c r="AF1029" s="778"/>
      <c r="AG1029" s="778"/>
      <c r="AH1029" s="778"/>
      <c r="AI1029" s="778"/>
      <c r="AJ1029" s="778"/>
      <c r="AK1029" s="778"/>
      <c r="AL1029" s="778"/>
      <c r="AM1029" s="778"/>
      <c r="AN1029" s="778"/>
      <c r="AO1029" s="779"/>
      <c r="AP1029" s="779"/>
      <c r="AQ1029" s="780"/>
      <c r="AR1029" s="780"/>
      <c r="AS1029" s="780"/>
      <c r="AT1029" s="780"/>
      <c r="AU1029" s="780"/>
      <c r="AV1029" s="780"/>
      <c r="AW1029" s="780"/>
      <c r="AX1029" s="780"/>
      <c r="AY1029" s="780"/>
      <c r="AZ1029" s="780"/>
      <c r="BA1029" s="780"/>
      <c r="BB1029" s="780"/>
      <c r="BC1029" s="780"/>
      <c r="BD1029" s="780"/>
      <c r="BE1029" s="780"/>
    </row>
    <row r="1030" s="355" customFormat="true" ht="14.15" hidden="true" customHeight="true" outlineLevel="1" collapsed="false">
      <c r="A1030" s="666" t="s">
        <v>2377</v>
      </c>
      <c r="B1030" s="477"/>
      <c r="C1030" s="794"/>
      <c r="D1030" s="559"/>
      <c r="E1030" s="559"/>
      <c r="F1030" s="559"/>
      <c r="G1030" s="666"/>
      <c r="H1030" s="789"/>
      <c r="I1030" s="479"/>
      <c r="J1030" s="479"/>
      <c r="K1030" s="479"/>
      <c r="L1030" s="479"/>
      <c r="M1030" s="479"/>
      <c r="N1030" s="479"/>
      <c r="O1030" s="479"/>
      <c r="P1030" s="479"/>
      <c r="Q1030" s="342"/>
      <c r="R1030" s="342"/>
      <c r="S1030" s="342"/>
      <c r="T1030" s="342"/>
      <c r="U1030" s="342"/>
      <c r="V1030" s="342"/>
      <c r="W1030" s="342"/>
      <c r="X1030" s="342"/>
      <c r="Y1030" s="342"/>
      <c r="Z1030" s="342"/>
      <c r="AA1030" s="342"/>
      <c r="AB1030" s="342"/>
      <c r="AC1030" s="342"/>
      <c r="AD1030" s="342"/>
      <c r="AE1030" s="342"/>
      <c r="AF1030" s="342"/>
      <c r="AG1030" s="342"/>
      <c r="AH1030" s="342"/>
      <c r="AI1030" s="342"/>
      <c r="AJ1030" s="342"/>
      <c r="AK1030" s="342"/>
      <c r="AL1030" s="342"/>
      <c r="AM1030" s="342"/>
      <c r="AN1030" s="342"/>
      <c r="AO1030" s="662"/>
      <c r="AP1030" s="662"/>
      <c r="AQ1030" s="772"/>
      <c r="AR1030" s="772"/>
      <c r="AS1030" s="772"/>
      <c r="AT1030" s="772"/>
      <c r="AU1030" s="772"/>
      <c r="AV1030" s="772"/>
      <c r="AW1030" s="772"/>
      <c r="AX1030" s="772"/>
      <c r="AY1030" s="772"/>
      <c r="AZ1030" s="772"/>
      <c r="BA1030" s="772"/>
      <c r="BB1030" s="772"/>
      <c r="BC1030" s="772"/>
      <c r="BD1030" s="772"/>
      <c r="BE1030" s="772"/>
      <c r="BF1030" s="360"/>
    </row>
    <row r="1031" customFormat="false" ht="14.15" hidden="true" customHeight="true" outlineLevel="1" collapsed="false">
      <c r="A1031" s="691" t="s">
        <v>521</v>
      </c>
      <c r="C1031" s="666"/>
      <c r="D1031" s="795" t="s">
        <v>2378</v>
      </c>
      <c r="E1031" s="795"/>
      <c r="F1031" s="795"/>
      <c r="G1031" s="795"/>
      <c r="H1031" s="795"/>
      <c r="I1031" s="795"/>
      <c r="J1031" s="796"/>
      <c r="K1031" s="796"/>
      <c r="L1031" s="796"/>
      <c r="M1031" s="796"/>
      <c r="N1031" s="796"/>
      <c r="O1031" s="796"/>
      <c r="P1031" s="796"/>
      <c r="Q1031" s="778"/>
      <c r="R1031" s="778"/>
      <c r="S1031" s="778"/>
      <c r="T1031" s="778"/>
      <c r="U1031" s="778"/>
      <c r="V1031" s="778"/>
      <c r="W1031" s="778"/>
      <c r="X1031" s="778"/>
      <c r="Y1031" s="778"/>
      <c r="Z1031" s="778"/>
      <c r="AA1031" s="778"/>
      <c r="AB1031" s="778"/>
      <c r="AC1031" s="778"/>
      <c r="AD1031" s="778"/>
      <c r="AE1031" s="778"/>
      <c r="AF1031" s="778"/>
      <c r="AG1031" s="778"/>
      <c r="AH1031" s="778"/>
      <c r="AI1031" s="778"/>
      <c r="AJ1031" s="778"/>
      <c r="AK1031" s="778"/>
      <c r="AL1031" s="778"/>
      <c r="AM1031" s="778"/>
      <c r="AN1031" s="778"/>
      <c r="AO1031" s="779"/>
      <c r="AP1031" s="779"/>
      <c r="AQ1031" s="780"/>
      <c r="AR1031" s="780"/>
      <c r="AS1031" s="780"/>
      <c r="AT1031" s="780"/>
      <c r="AU1031" s="780"/>
      <c r="AV1031" s="780"/>
      <c r="AW1031" s="780"/>
      <c r="AX1031" s="780"/>
      <c r="AY1031" s="780"/>
      <c r="AZ1031" s="780"/>
      <c r="BA1031" s="780"/>
      <c r="BB1031" s="780"/>
      <c r="BC1031" s="780"/>
      <c r="BD1031" s="780"/>
      <c r="BE1031" s="780"/>
    </row>
    <row r="1032" s="355" customFormat="true" ht="14.15" hidden="true" customHeight="true" outlineLevel="1" collapsed="false">
      <c r="A1032" s="666" t="s">
        <v>2379</v>
      </c>
      <c r="B1032" s="666"/>
      <c r="C1032" s="666"/>
      <c r="D1032" s="797" t="s">
        <v>493</v>
      </c>
      <c r="E1032" s="797"/>
      <c r="F1032" s="797"/>
      <c r="G1032" s="797"/>
      <c r="H1032" s="797"/>
      <c r="I1032" s="797"/>
      <c r="J1032" s="798" t="s">
        <v>2380</v>
      </c>
      <c r="K1032" s="799"/>
      <c r="L1032" s="800"/>
      <c r="M1032" s="801"/>
      <c r="N1032" s="800"/>
      <c r="O1032" s="801"/>
      <c r="P1032" s="802" t="n">
        <v>0.4</v>
      </c>
      <c r="Q1032" s="342"/>
      <c r="R1032" s="342"/>
      <c r="S1032" s="342"/>
      <c r="T1032" s="342"/>
      <c r="U1032" s="342"/>
      <c r="V1032" s="342"/>
      <c r="W1032" s="342"/>
      <c r="X1032" s="342"/>
      <c r="Y1032" s="342"/>
      <c r="Z1032" s="342"/>
      <c r="AA1032" s="342"/>
      <c r="AB1032" s="342"/>
      <c r="AC1032" s="342"/>
      <c r="AD1032" s="342"/>
      <c r="AE1032" s="342"/>
      <c r="AF1032" s="342"/>
      <c r="AG1032" s="342"/>
      <c r="AH1032" s="342"/>
      <c r="AI1032" s="342"/>
      <c r="AJ1032" s="342"/>
      <c r="AK1032" s="342"/>
      <c r="AL1032" s="342"/>
      <c r="AM1032" s="342"/>
      <c r="AN1032" s="342"/>
      <c r="AO1032" s="662"/>
      <c r="AP1032" s="662"/>
      <c r="AQ1032" s="772"/>
      <c r="AR1032" s="772"/>
      <c r="AS1032" s="772"/>
      <c r="AT1032" s="772"/>
      <c r="AU1032" s="772"/>
      <c r="AV1032" s="772"/>
      <c r="AW1032" s="772"/>
      <c r="AX1032" s="772"/>
      <c r="AY1032" s="772"/>
      <c r="AZ1032" s="772"/>
      <c r="BA1032" s="772"/>
      <c r="BB1032" s="772"/>
      <c r="BC1032" s="772"/>
      <c r="BD1032" s="772"/>
      <c r="BE1032" s="772"/>
      <c r="BF1032" s="360"/>
    </row>
    <row r="1033" customFormat="false" ht="14.15" hidden="true" customHeight="true" outlineLevel="1" collapsed="false">
      <c r="A1033" s="691" t="s">
        <v>519</v>
      </c>
      <c r="C1033" s="666"/>
      <c r="D1033" s="87" t="s">
        <v>2381</v>
      </c>
      <c r="E1033" s="87"/>
      <c r="F1033" s="87"/>
      <c r="G1033" s="87"/>
      <c r="H1033" s="87"/>
      <c r="I1033" s="87"/>
      <c r="J1033" s="796"/>
      <c r="K1033" s="796"/>
      <c r="L1033" s="796"/>
      <c r="M1033" s="796"/>
      <c r="N1033" s="796"/>
      <c r="O1033" s="796"/>
      <c r="P1033" s="796"/>
      <c r="Q1033" s="778"/>
      <c r="R1033" s="778"/>
      <c r="S1033" s="778"/>
      <c r="T1033" s="778"/>
      <c r="U1033" s="778"/>
      <c r="V1033" s="778"/>
      <c r="W1033" s="778"/>
      <c r="X1033" s="778"/>
      <c r="Y1033" s="778"/>
      <c r="Z1033" s="778"/>
      <c r="AA1033" s="778"/>
      <c r="AB1033" s="778"/>
      <c r="AC1033" s="778"/>
      <c r="AD1033" s="778"/>
      <c r="AE1033" s="778"/>
      <c r="AF1033" s="778"/>
      <c r="AG1033" s="778"/>
      <c r="AH1033" s="778"/>
      <c r="AI1033" s="778"/>
      <c r="AJ1033" s="778"/>
      <c r="AK1033" s="778"/>
      <c r="AL1033" s="778"/>
      <c r="AM1033" s="778"/>
      <c r="AN1033" s="778"/>
      <c r="AO1033" s="779"/>
      <c r="AP1033" s="779"/>
      <c r="AQ1033" s="780"/>
      <c r="AR1033" s="780"/>
      <c r="AS1033" s="780"/>
      <c r="AT1033" s="780"/>
      <c r="AU1033" s="780"/>
      <c r="AV1033" s="780"/>
      <c r="AW1033" s="780"/>
      <c r="AX1033" s="780"/>
      <c r="AY1033" s="780"/>
      <c r="AZ1033" s="780"/>
      <c r="BA1033" s="780"/>
      <c r="BB1033" s="780"/>
      <c r="BC1033" s="780"/>
      <c r="BD1033" s="780"/>
      <c r="BE1033" s="780"/>
    </row>
    <row r="1034" s="355" customFormat="true" ht="14.15" hidden="true" customHeight="true" outlineLevel="1" collapsed="false">
      <c r="A1034" s="666" t="s">
        <v>2248</v>
      </c>
      <c r="B1034" s="666"/>
      <c r="C1034" s="666"/>
      <c r="D1034" s="797" t="s">
        <v>493</v>
      </c>
      <c r="E1034" s="797"/>
      <c r="F1034" s="797"/>
      <c r="G1034" s="797"/>
      <c r="H1034" s="797"/>
      <c r="I1034" s="797"/>
      <c r="J1034" s="796"/>
      <c r="K1034" s="796"/>
      <c r="L1034" s="796"/>
      <c r="M1034" s="796"/>
      <c r="N1034" s="796"/>
      <c r="O1034" s="796"/>
      <c r="P1034" s="796"/>
      <c r="Q1034" s="342"/>
      <c r="R1034" s="342"/>
      <c r="S1034" s="342"/>
      <c r="T1034" s="342"/>
      <c r="U1034" s="342"/>
      <c r="V1034" s="342"/>
      <c r="W1034" s="342"/>
      <c r="X1034" s="342"/>
      <c r="Y1034" s="342"/>
      <c r="Z1034" s="342"/>
      <c r="AA1034" s="342"/>
      <c r="AB1034" s="342"/>
      <c r="AC1034" s="342"/>
      <c r="AD1034" s="342"/>
      <c r="AE1034" s="342"/>
      <c r="AF1034" s="342"/>
      <c r="AG1034" s="342"/>
      <c r="AH1034" s="342"/>
      <c r="AI1034" s="342"/>
      <c r="AJ1034" s="342"/>
      <c r="AK1034" s="342"/>
      <c r="AL1034" s="342"/>
      <c r="AM1034" s="342"/>
      <c r="AN1034" s="342"/>
      <c r="AO1034" s="662"/>
      <c r="AP1034" s="662"/>
      <c r="AQ1034" s="772"/>
      <c r="AR1034" s="772"/>
      <c r="AS1034" s="772"/>
      <c r="AT1034" s="772"/>
      <c r="AU1034" s="772"/>
      <c r="AV1034" s="772"/>
      <c r="AW1034" s="772"/>
      <c r="AX1034" s="772"/>
      <c r="AY1034" s="772"/>
      <c r="AZ1034" s="772"/>
      <c r="BA1034" s="772"/>
      <c r="BB1034" s="772"/>
      <c r="BC1034" s="772"/>
      <c r="BD1034" s="772"/>
      <c r="BE1034" s="772"/>
      <c r="BF1034" s="360"/>
    </row>
    <row r="1035" customFormat="false" ht="14.15" hidden="true" customHeight="true" outlineLevel="1" collapsed="false">
      <c r="A1035" s="691" t="s">
        <v>526</v>
      </c>
      <c r="C1035" s="666"/>
      <c r="D1035" s="261" t="s">
        <v>2382</v>
      </c>
      <c r="E1035" s="261"/>
      <c r="F1035" s="261"/>
      <c r="G1035" s="261"/>
      <c r="H1035" s="261"/>
      <c r="I1035" s="261"/>
      <c r="J1035" s="796"/>
      <c r="K1035" s="796"/>
      <c r="L1035" s="796"/>
      <c r="M1035" s="796"/>
      <c r="N1035" s="796"/>
      <c r="O1035" s="796"/>
      <c r="P1035" s="796"/>
      <c r="Q1035" s="778"/>
      <c r="R1035" s="778"/>
      <c r="S1035" s="778"/>
      <c r="T1035" s="778"/>
      <c r="U1035" s="778"/>
      <c r="V1035" s="778"/>
      <c r="W1035" s="778"/>
      <c r="X1035" s="778"/>
      <c r="Y1035" s="778"/>
      <c r="Z1035" s="778"/>
      <c r="AA1035" s="778"/>
      <c r="AB1035" s="778"/>
      <c r="AC1035" s="778"/>
      <c r="AD1035" s="778"/>
      <c r="AE1035" s="778"/>
      <c r="AF1035" s="778"/>
      <c r="AG1035" s="778"/>
      <c r="AH1035" s="778"/>
      <c r="AI1035" s="778"/>
      <c r="AJ1035" s="778"/>
      <c r="AK1035" s="778"/>
      <c r="AL1035" s="778"/>
      <c r="AM1035" s="778"/>
      <c r="AN1035" s="778"/>
      <c r="AO1035" s="779"/>
      <c r="AP1035" s="779"/>
      <c r="AQ1035" s="780"/>
      <c r="AR1035" s="780"/>
      <c r="AS1035" s="780"/>
      <c r="AT1035" s="780"/>
      <c r="AU1035" s="780"/>
      <c r="AV1035" s="780"/>
      <c r="AW1035" s="780"/>
      <c r="AX1035" s="780"/>
      <c r="AY1035" s="780"/>
      <c r="AZ1035" s="780"/>
      <c r="BA1035" s="780"/>
      <c r="BB1035" s="780"/>
      <c r="BC1035" s="780"/>
      <c r="BD1035" s="780"/>
      <c r="BE1035" s="780"/>
    </row>
    <row r="1036" s="355" customFormat="true" ht="14.15" hidden="true" customHeight="true" outlineLevel="1" collapsed="false">
      <c r="A1036" s="466" t="s">
        <v>2234</v>
      </c>
      <c r="B1036" s="363"/>
      <c r="C1036" s="666"/>
      <c r="D1036" s="433" t="s">
        <v>493</v>
      </c>
      <c r="E1036" s="433"/>
      <c r="F1036" s="433"/>
      <c r="G1036" s="433"/>
      <c r="H1036" s="433"/>
      <c r="I1036" s="433"/>
      <c r="J1036" s="796"/>
      <c r="K1036" s="796"/>
      <c r="L1036" s="796"/>
      <c r="M1036" s="796"/>
      <c r="N1036" s="796"/>
      <c r="O1036" s="796"/>
      <c r="P1036" s="796"/>
      <c r="Q1036" s="342"/>
      <c r="R1036" s="342"/>
      <c r="S1036" s="342"/>
      <c r="T1036" s="342"/>
      <c r="U1036" s="342"/>
      <c r="V1036" s="342"/>
      <c r="W1036" s="342"/>
      <c r="X1036" s="342"/>
      <c r="Y1036" s="342"/>
      <c r="Z1036" s="342"/>
      <c r="AA1036" s="342"/>
      <c r="AB1036" s="342"/>
      <c r="AC1036" s="342"/>
      <c r="AD1036" s="342"/>
      <c r="AE1036" s="342"/>
      <c r="AF1036" s="342"/>
      <c r="AG1036" s="342"/>
      <c r="AH1036" s="342"/>
      <c r="AI1036" s="342"/>
      <c r="AJ1036" s="342"/>
      <c r="AK1036" s="342"/>
      <c r="AL1036" s="342"/>
      <c r="AM1036" s="342"/>
      <c r="AN1036" s="342"/>
      <c r="AO1036" s="662"/>
      <c r="AP1036" s="662"/>
      <c r="AQ1036" s="772"/>
      <c r="AR1036" s="772"/>
      <c r="AS1036" s="772"/>
      <c r="AT1036" s="772"/>
      <c r="AU1036" s="772"/>
      <c r="AV1036" s="772"/>
      <c r="AW1036" s="772"/>
      <c r="AX1036" s="772"/>
      <c r="AY1036" s="772"/>
      <c r="AZ1036" s="772"/>
      <c r="BA1036" s="772"/>
      <c r="BB1036" s="772"/>
      <c r="BC1036" s="772"/>
      <c r="BD1036" s="772"/>
      <c r="BE1036" s="772"/>
      <c r="BF1036" s="360"/>
    </row>
    <row r="1037" customFormat="false" ht="14.15" hidden="true" customHeight="true" outlineLevel="1" collapsed="false">
      <c r="A1037" s="691" t="s">
        <v>294</v>
      </c>
      <c r="B1037" s="477"/>
      <c r="C1037" s="666"/>
      <c r="D1037" s="87" t="s">
        <v>2383</v>
      </c>
      <c r="E1037" s="87"/>
      <c r="F1037" s="87"/>
      <c r="G1037" s="87"/>
      <c r="H1037" s="87"/>
      <c r="I1037" s="87"/>
      <c r="J1037" s="479"/>
      <c r="K1037" s="479"/>
      <c r="L1037" s="479"/>
      <c r="M1037" s="479"/>
      <c r="N1037" s="479"/>
      <c r="O1037" s="479"/>
      <c r="P1037" s="790"/>
      <c r="Q1037" s="778"/>
      <c r="R1037" s="778"/>
      <c r="S1037" s="778"/>
      <c r="T1037" s="778"/>
      <c r="U1037" s="778"/>
      <c r="V1037" s="778"/>
      <c r="W1037" s="778"/>
      <c r="X1037" s="778"/>
      <c r="Y1037" s="778"/>
      <c r="Z1037" s="778"/>
      <c r="AA1037" s="778"/>
      <c r="AB1037" s="778"/>
      <c r="AC1037" s="778"/>
      <c r="AD1037" s="778"/>
      <c r="AE1037" s="778"/>
      <c r="AF1037" s="778"/>
      <c r="AG1037" s="778"/>
      <c r="AH1037" s="778"/>
      <c r="AI1037" s="778"/>
      <c r="AJ1037" s="778"/>
      <c r="AK1037" s="778"/>
      <c r="AL1037" s="778"/>
      <c r="AM1037" s="778"/>
      <c r="AN1037" s="778"/>
      <c r="AO1037" s="779"/>
      <c r="AP1037" s="779"/>
      <c r="AQ1037" s="780"/>
      <c r="AR1037" s="780"/>
      <c r="AS1037" s="780"/>
      <c r="AT1037" s="780"/>
      <c r="AU1037" s="780"/>
      <c r="AV1037" s="780"/>
      <c r="AW1037" s="780"/>
      <c r="AX1037" s="780"/>
      <c r="AY1037" s="780"/>
      <c r="AZ1037" s="780"/>
      <c r="BA1037" s="780"/>
      <c r="BB1037" s="780"/>
      <c r="BC1037" s="780"/>
      <c r="BD1037" s="780"/>
      <c r="BE1037" s="780"/>
    </row>
    <row r="1038" s="355" customFormat="true" ht="14.15" hidden="true" customHeight="true" outlineLevel="1" collapsed="false">
      <c r="A1038" s="466" t="s">
        <v>2384</v>
      </c>
      <c r="B1038" s="477"/>
      <c r="C1038" s="666"/>
      <c r="D1038" s="797" t="s">
        <v>493</v>
      </c>
      <c r="E1038" s="797"/>
      <c r="F1038" s="797"/>
      <c r="G1038" s="797"/>
      <c r="H1038" s="797"/>
      <c r="I1038" s="797"/>
      <c r="J1038" s="479"/>
      <c r="K1038" s="479"/>
      <c r="L1038" s="479"/>
      <c r="M1038" s="479"/>
      <c r="N1038" s="479"/>
      <c r="O1038" s="479"/>
      <c r="P1038" s="479"/>
      <c r="Q1038" s="342"/>
      <c r="R1038" s="342"/>
      <c r="S1038" s="342"/>
      <c r="T1038" s="342"/>
      <c r="U1038" s="342"/>
      <c r="V1038" s="342"/>
      <c r="W1038" s="342"/>
      <c r="X1038" s="342"/>
      <c r="Y1038" s="342"/>
      <c r="Z1038" s="342"/>
      <c r="AA1038" s="342"/>
      <c r="AB1038" s="342"/>
      <c r="AC1038" s="342"/>
      <c r="AD1038" s="342"/>
      <c r="AE1038" s="342"/>
      <c r="AF1038" s="342"/>
      <c r="AG1038" s="342"/>
      <c r="AH1038" s="342"/>
      <c r="AI1038" s="342"/>
      <c r="AJ1038" s="342"/>
      <c r="AK1038" s="342"/>
      <c r="AL1038" s="342"/>
      <c r="AM1038" s="342"/>
      <c r="AN1038" s="342"/>
      <c r="AO1038" s="662"/>
      <c r="AP1038" s="662"/>
      <c r="AQ1038" s="772"/>
      <c r="AR1038" s="772"/>
      <c r="AS1038" s="772"/>
      <c r="AT1038" s="772"/>
      <c r="AU1038" s="772"/>
      <c r="AV1038" s="772"/>
      <c r="AW1038" s="772"/>
      <c r="AX1038" s="772"/>
      <c r="AY1038" s="772"/>
      <c r="AZ1038" s="772"/>
      <c r="BA1038" s="772"/>
      <c r="BB1038" s="772"/>
      <c r="BC1038" s="772"/>
      <c r="BD1038" s="772"/>
      <c r="BE1038" s="772"/>
      <c r="BF1038" s="360"/>
    </row>
    <row r="1039" customFormat="false" ht="14.15" hidden="true" customHeight="true" outlineLevel="1" collapsed="false">
      <c r="A1039" s="791" t="s">
        <v>294</v>
      </c>
      <c r="B1039" s="477"/>
      <c r="C1039" s="666"/>
      <c r="D1039" s="261" t="s">
        <v>2385</v>
      </c>
      <c r="E1039" s="261"/>
      <c r="F1039" s="261"/>
      <c r="G1039" s="261"/>
      <c r="H1039" s="261"/>
      <c r="I1039" s="261"/>
      <c r="J1039" s="479"/>
      <c r="K1039" s="479"/>
      <c r="L1039" s="479"/>
      <c r="M1039" s="479"/>
      <c r="N1039" s="479"/>
      <c r="O1039" s="479"/>
      <c r="P1039" s="790"/>
      <c r="Q1039" s="778"/>
      <c r="R1039" s="778"/>
      <c r="S1039" s="778"/>
      <c r="T1039" s="778"/>
      <c r="U1039" s="778"/>
      <c r="V1039" s="778"/>
      <c r="W1039" s="778"/>
      <c r="X1039" s="778"/>
      <c r="Y1039" s="778"/>
      <c r="Z1039" s="778"/>
      <c r="AA1039" s="778"/>
      <c r="AB1039" s="778"/>
      <c r="AC1039" s="778"/>
      <c r="AD1039" s="778"/>
      <c r="AE1039" s="778"/>
      <c r="AF1039" s="778"/>
      <c r="AG1039" s="778"/>
      <c r="AH1039" s="778"/>
      <c r="AI1039" s="778"/>
      <c r="AJ1039" s="778"/>
      <c r="AK1039" s="778"/>
      <c r="AL1039" s="778"/>
      <c r="AM1039" s="778"/>
      <c r="AN1039" s="778"/>
      <c r="AO1039" s="779"/>
      <c r="AP1039" s="779"/>
      <c r="AQ1039" s="780"/>
      <c r="AR1039" s="780"/>
      <c r="AS1039" s="780"/>
      <c r="AT1039" s="780"/>
      <c r="AU1039" s="780"/>
      <c r="AV1039" s="780"/>
      <c r="AW1039" s="780"/>
      <c r="AX1039" s="780"/>
      <c r="AY1039" s="780"/>
      <c r="AZ1039" s="780"/>
      <c r="BA1039" s="780"/>
      <c r="BB1039" s="780"/>
      <c r="BC1039" s="780"/>
      <c r="BD1039" s="780"/>
      <c r="BE1039" s="780"/>
    </row>
    <row r="1040" customFormat="false" ht="14.15" hidden="true" customHeight="true" outlineLevel="1" collapsed="false">
      <c r="A1040" s="485" t="s">
        <v>2062</v>
      </c>
      <c r="B1040" s="477"/>
      <c r="C1040" s="666"/>
      <c r="D1040" s="433" t="s">
        <v>493</v>
      </c>
      <c r="E1040" s="433"/>
      <c r="F1040" s="433"/>
      <c r="G1040" s="433"/>
      <c r="H1040" s="433"/>
      <c r="I1040" s="433"/>
      <c r="J1040" s="479"/>
      <c r="K1040" s="479"/>
      <c r="L1040" s="479"/>
      <c r="M1040" s="479"/>
      <c r="N1040" s="479"/>
      <c r="O1040" s="479"/>
      <c r="P1040" s="790"/>
      <c r="Q1040" s="778"/>
      <c r="R1040" s="778"/>
      <c r="S1040" s="778"/>
      <c r="T1040" s="778"/>
      <c r="U1040" s="778"/>
      <c r="V1040" s="778"/>
      <c r="W1040" s="778"/>
      <c r="X1040" s="778"/>
      <c r="Y1040" s="778"/>
      <c r="Z1040" s="778"/>
      <c r="AA1040" s="778"/>
      <c r="AB1040" s="778"/>
      <c r="AC1040" s="778"/>
      <c r="AD1040" s="778"/>
      <c r="AE1040" s="778"/>
      <c r="AF1040" s="778"/>
      <c r="AG1040" s="778"/>
      <c r="AH1040" s="778"/>
      <c r="AI1040" s="778"/>
      <c r="AJ1040" s="778"/>
      <c r="AK1040" s="778"/>
      <c r="AL1040" s="778"/>
      <c r="AM1040" s="778"/>
      <c r="AN1040" s="778"/>
      <c r="AO1040" s="779"/>
      <c r="AP1040" s="779"/>
      <c r="AQ1040" s="780"/>
      <c r="AR1040" s="780"/>
      <c r="AS1040" s="780"/>
      <c r="AT1040" s="780"/>
      <c r="AU1040" s="780"/>
      <c r="AV1040" s="780"/>
      <c r="AW1040" s="780"/>
      <c r="AX1040" s="780"/>
      <c r="AY1040" s="780"/>
      <c r="AZ1040" s="780"/>
      <c r="BA1040" s="780"/>
      <c r="BB1040" s="780"/>
      <c r="BC1040" s="780"/>
      <c r="BD1040" s="780"/>
      <c r="BE1040" s="780"/>
    </row>
    <row r="1041" customFormat="false" ht="14.15" hidden="true" customHeight="true" outlineLevel="1" collapsed="false">
      <c r="A1041" s="803" t="s">
        <v>493</v>
      </c>
      <c r="B1041" s="477"/>
      <c r="C1041" s="666"/>
      <c r="D1041" s="788"/>
      <c r="E1041" s="788"/>
      <c r="F1041" s="788"/>
      <c r="G1041" s="666"/>
      <c r="H1041" s="504"/>
      <c r="I1041" s="479"/>
      <c r="J1041" s="479"/>
      <c r="K1041" s="479"/>
      <c r="L1041" s="479"/>
      <c r="M1041" s="479"/>
      <c r="N1041" s="479"/>
      <c r="O1041" s="479"/>
      <c r="P1041" s="790"/>
      <c r="Q1041" s="778"/>
      <c r="R1041" s="778"/>
      <c r="S1041" s="778"/>
      <c r="T1041" s="778"/>
      <c r="U1041" s="778"/>
      <c r="V1041" s="778"/>
      <c r="W1041" s="778"/>
      <c r="X1041" s="778"/>
      <c r="Y1041" s="778"/>
      <c r="Z1041" s="778"/>
      <c r="AA1041" s="778"/>
      <c r="AB1041" s="778"/>
      <c r="AC1041" s="778"/>
      <c r="AD1041" s="778"/>
      <c r="AE1041" s="778"/>
      <c r="AF1041" s="778"/>
      <c r="AG1041" s="778"/>
      <c r="AH1041" s="778"/>
      <c r="AI1041" s="778"/>
      <c r="AJ1041" s="778"/>
      <c r="AK1041" s="778"/>
      <c r="AL1041" s="778"/>
      <c r="AM1041" s="778"/>
      <c r="AN1041" s="778"/>
      <c r="AO1041" s="779"/>
      <c r="AP1041" s="779"/>
      <c r="AQ1041" s="780"/>
      <c r="AR1041" s="780"/>
      <c r="AS1041" s="780"/>
      <c r="AT1041" s="780"/>
      <c r="AU1041" s="780"/>
      <c r="AV1041" s="780"/>
      <c r="AW1041" s="780"/>
      <c r="AX1041" s="780"/>
      <c r="AY1041" s="780"/>
      <c r="AZ1041" s="780"/>
      <c r="BA1041" s="780"/>
      <c r="BB1041" s="780"/>
      <c r="BC1041" s="780"/>
      <c r="BD1041" s="780"/>
      <c r="BE1041" s="780"/>
    </row>
    <row r="1042" customFormat="false" ht="14.15" hidden="true" customHeight="true" outlineLevel="1" collapsed="false">
      <c r="A1042" s="485" t="s">
        <v>2368</v>
      </c>
      <c r="B1042" s="477"/>
      <c r="C1042" s="666"/>
      <c r="D1042" s="788"/>
      <c r="E1042" s="788"/>
      <c r="F1042" s="788"/>
      <c r="G1042" s="666"/>
      <c r="H1042" s="504"/>
      <c r="I1042" s="479"/>
      <c r="J1042" s="479"/>
      <c r="K1042" s="479"/>
      <c r="L1042" s="479"/>
      <c r="M1042" s="479"/>
      <c r="N1042" s="479"/>
      <c r="O1042" s="479"/>
      <c r="P1042" s="790"/>
      <c r="Q1042" s="778"/>
      <c r="R1042" s="778"/>
      <c r="S1042" s="778"/>
      <c r="T1042" s="778"/>
      <c r="U1042" s="778"/>
      <c r="V1042" s="778"/>
      <c r="W1042" s="778"/>
      <c r="X1042" s="778"/>
      <c r="Y1042" s="778"/>
      <c r="Z1042" s="778"/>
      <c r="AA1042" s="778"/>
      <c r="AB1042" s="778"/>
      <c r="AC1042" s="778"/>
      <c r="AD1042" s="778"/>
      <c r="AE1042" s="778"/>
      <c r="AF1042" s="778"/>
      <c r="AG1042" s="778"/>
      <c r="AH1042" s="778"/>
      <c r="AI1042" s="778"/>
      <c r="AJ1042" s="778"/>
      <c r="AK1042" s="778"/>
      <c r="AL1042" s="778"/>
      <c r="AM1042" s="778"/>
      <c r="AN1042" s="778"/>
      <c r="AO1042" s="779"/>
      <c r="AP1042" s="779"/>
      <c r="AQ1042" s="780"/>
      <c r="AR1042" s="780"/>
      <c r="AS1042" s="780"/>
      <c r="AT1042" s="780"/>
      <c r="AU1042" s="780"/>
      <c r="AV1042" s="780"/>
      <c r="AW1042" s="780"/>
      <c r="AX1042" s="780"/>
      <c r="AY1042" s="780"/>
      <c r="AZ1042" s="780"/>
      <c r="BA1042" s="780"/>
      <c r="BB1042" s="780"/>
      <c r="BC1042" s="780"/>
      <c r="BD1042" s="780"/>
      <c r="BE1042" s="780"/>
    </row>
    <row r="1043" customFormat="false" ht="14.15" hidden="true" customHeight="true" outlineLevel="1" collapsed="false">
      <c r="A1043" s="433" t="s">
        <v>493</v>
      </c>
      <c r="B1043" s="477"/>
      <c r="C1043" s="666"/>
      <c r="D1043" s="788"/>
      <c r="E1043" s="788"/>
      <c r="F1043" s="788"/>
      <c r="G1043" s="666"/>
      <c r="H1043" s="504"/>
      <c r="I1043" s="479"/>
      <c r="J1043" s="479"/>
      <c r="K1043" s="479"/>
      <c r="L1043" s="479"/>
      <c r="M1043" s="479"/>
      <c r="N1043" s="479"/>
      <c r="O1043" s="479"/>
      <c r="P1043" s="790"/>
      <c r="Q1043" s="778"/>
      <c r="R1043" s="778"/>
      <c r="S1043" s="778"/>
      <c r="T1043" s="778"/>
      <c r="U1043" s="778"/>
      <c r="V1043" s="778"/>
      <c r="W1043" s="778"/>
      <c r="X1043" s="778"/>
      <c r="Y1043" s="778"/>
      <c r="Z1043" s="778"/>
      <c r="AA1043" s="778"/>
      <c r="AB1043" s="778"/>
      <c r="AC1043" s="778"/>
      <c r="AD1043" s="778"/>
      <c r="AE1043" s="778"/>
      <c r="AF1043" s="778"/>
      <c r="AG1043" s="778"/>
      <c r="AH1043" s="778"/>
      <c r="AI1043" s="778"/>
      <c r="AJ1043" s="778"/>
      <c r="AK1043" s="778"/>
      <c r="AL1043" s="778"/>
      <c r="AM1043" s="778"/>
      <c r="AN1043" s="778"/>
      <c r="AO1043" s="779"/>
      <c r="AP1043" s="779"/>
      <c r="AQ1043" s="780"/>
      <c r="AR1043" s="780"/>
      <c r="AS1043" s="780"/>
      <c r="AT1043" s="780"/>
      <c r="AU1043" s="780"/>
      <c r="AV1043" s="780"/>
      <c r="AW1043" s="780"/>
      <c r="AX1043" s="780"/>
      <c r="AY1043" s="780"/>
      <c r="AZ1043" s="780"/>
      <c r="BA1043" s="780"/>
      <c r="BB1043" s="780"/>
      <c r="BC1043" s="780"/>
      <c r="BD1043" s="780"/>
      <c r="BE1043" s="780"/>
    </row>
    <row r="1044" customFormat="false" ht="14.15" hidden="true" customHeight="true" outlineLevel="1" collapsed="false">
      <c r="A1044" s="485" t="s">
        <v>2386</v>
      </c>
      <c r="B1044" s="666"/>
      <c r="D1044" s="788"/>
      <c r="E1044" s="788"/>
      <c r="F1044" s="788"/>
      <c r="G1044" s="666"/>
      <c r="H1044" s="504"/>
      <c r="I1044" s="479"/>
      <c r="J1044" s="479"/>
      <c r="K1044" s="479"/>
      <c r="L1044" s="479"/>
      <c r="M1044" s="479"/>
      <c r="N1044" s="479"/>
      <c r="O1044" s="479"/>
      <c r="P1044" s="790"/>
      <c r="Q1044" s="778"/>
      <c r="R1044" s="778"/>
      <c r="S1044" s="778"/>
      <c r="T1044" s="778"/>
      <c r="U1044" s="778"/>
      <c r="V1044" s="778"/>
      <c r="W1044" s="778"/>
      <c r="X1044" s="778"/>
      <c r="Y1044" s="778"/>
      <c r="Z1044" s="778"/>
      <c r="AA1044" s="778"/>
      <c r="AB1044" s="778"/>
      <c r="AC1044" s="778"/>
      <c r="AD1044" s="778"/>
      <c r="AE1044" s="778"/>
      <c r="AF1044" s="778"/>
      <c r="AG1044" s="778"/>
      <c r="AH1044" s="778"/>
      <c r="AI1044" s="778"/>
      <c r="AJ1044" s="778"/>
      <c r="AK1044" s="778"/>
      <c r="AL1044" s="778"/>
      <c r="AM1044" s="778"/>
      <c r="AN1044" s="778"/>
      <c r="AO1044" s="779"/>
      <c r="AP1044" s="779"/>
      <c r="AQ1044" s="780"/>
      <c r="AR1044" s="780"/>
      <c r="AS1044" s="780"/>
      <c r="AT1044" s="780"/>
      <c r="AU1044" s="780"/>
      <c r="AV1044" s="780"/>
      <c r="AW1044" s="780"/>
      <c r="AX1044" s="780"/>
      <c r="AY1044" s="780"/>
      <c r="AZ1044" s="780"/>
      <c r="BA1044" s="780"/>
      <c r="BB1044" s="780"/>
      <c r="BC1044" s="780"/>
      <c r="BD1044" s="780"/>
      <c r="BE1044" s="780"/>
    </row>
    <row r="1045" customFormat="false" ht="14.15" hidden="true" customHeight="true" outlineLevel="1" collapsed="false">
      <c r="A1045" s="433" t="s">
        <v>493</v>
      </c>
      <c r="B1045" s="477"/>
      <c r="C1045" s="666"/>
      <c r="D1045" s="788"/>
      <c r="E1045" s="788"/>
      <c r="F1045" s="788"/>
      <c r="G1045" s="666"/>
      <c r="H1045" s="504"/>
      <c r="I1045" s="479"/>
      <c r="J1045" s="479"/>
      <c r="K1045" s="479"/>
      <c r="L1045" s="479"/>
      <c r="M1045" s="479"/>
      <c r="N1045" s="479"/>
      <c r="O1045" s="479"/>
      <c r="P1045" s="790"/>
      <c r="Q1045" s="778"/>
      <c r="R1045" s="778"/>
      <c r="S1045" s="778"/>
      <c r="T1045" s="778"/>
      <c r="U1045" s="778"/>
      <c r="V1045" s="778"/>
      <c r="W1045" s="778"/>
      <c r="X1045" s="778"/>
      <c r="Y1045" s="778"/>
      <c r="Z1045" s="778"/>
      <c r="AA1045" s="778"/>
      <c r="AB1045" s="778"/>
      <c r="AC1045" s="778"/>
      <c r="AD1045" s="778"/>
      <c r="AE1045" s="778"/>
      <c r="AF1045" s="778"/>
      <c r="AG1045" s="778"/>
      <c r="AH1045" s="778"/>
      <c r="AI1045" s="778"/>
      <c r="AJ1045" s="778"/>
      <c r="AK1045" s="778"/>
      <c r="AL1045" s="778"/>
      <c r="AM1045" s="778"/>
      <c r="AN1045" s="778"/>
      <c r="AO1045" s="779"/>
      <c r="AP1045" s="779"/>
      <c r="AQ1045" s="780"/>
      <c r="AR1045" s="780"/>
      <c r="AS1045" s="780"/>
      <c r="AT1045" s="780"/>
      <c r="AU1045" s="780"/>
      <c r="AV1045" s="780"/>
      <c r="AW1045" s="780"/>
      <c r="AX1045" s="780"/>
      <c r="AY1045" s="780"/>
      <c r="AZ1045" s="780"/>
      <c r="BA1045" s="780"/>
      <c r="BB1045" s="780"/>
      <c r="BC1045" s="780"/>
      <c r="BD1045" s="780"/>
      <c r="BE1045" s="780"/>
    </row>
    <row r="1046" customFormat="false" ht="14.15" hidden="true" customHeight="true" outlineLevel="1" collapsed="false">
      <c r="A1046" s="485" t="s">
        <v>2387</v>
      </c>
      <c r="B1046" s="477"/>
      <c r="C1046" s="666"/>
      <c r="D1046" s="788"/>
      <c r="E1046" s="788"/>
      <c r="F1046" s="788"/>
      <c r="G1046" s="666"/>
      <c r="H1046" s="504"/>
      <c r="I1046" s="479"/>
      <c r="J1046" s="479"/>
      <c r="K1046" s="479"/>
      <c r="L1046" s="479"/>
      <c r="M1046" s="479"/>
      <c r="N1046" s="479"/>
      <c r="O1046" s="479"/>
      <c r="P1046" s="790"/>
      <c r="Q1046" s="778"/>
      <c r="R1046" s="778"/>
      <c r="S1046" s="778"/>
      <c r="T1046" s="778"/>
      <c r="U1046" s="778"/>
      <c r="V1046" s="778"/>
      <c r="W1046" s="778"/>
      <c r="X1046" s="778"/>
      <c r="Y1046" s="778"/>
      <c r="Z1046" s="778"/>
      <c r="AA1046" s="778"/>
      <c r="AB1046" s="778"/>
      <c r="AC1046" s="778"/>
      <c r="AD1046" s="778"/>
      <c r="AE1046" s="778"/>
      <c r="AF1046" s="778"/>
      <c r="AG1046" s="778"/>
      <c r="AH1046" s="778"/>
      <c r="AI1046" s="778"/>
      <c r="AJ1046" s="778"/>
      <c r="AK1046" s="778"/>
      <c r="AL1046" s="778"/>
      <c r="AM1046" s="778"/>
      <c r="AN1046" s="778"/>
      <c r="AO1046" s="779"/>
      <c r="AP1046" s="779"/>
      <c r="AQ1046" s="780"/>
      <c r="AR1046" s="780"/>
      <c r="AS1046" s="780"/>
      <c r="AT1046" s="780"/>
      <c r="AU1046" s="780"/>
      <c r="AV1046" s="780"/>
      <c r="AW1046" s="780"/>
      <c r="AX1046" s="780"/>
      <c r="AY1046" s="780"/>
      <c r="AZ1046" s="780"/>
      <c r="BA1046" s="780"/>
      <c r="BB1046" s="780"/>
      <c r="BC1046" s="780"/>
      <c r="BD1046" s="780"/>
      <c r="BE1046" s="780"/>
    </row>
    <row r="1047" customFormat="false" ht="14.15" hidden="true" customHeight="true" outlineLevel="1" collapsed="false">
      <c r="A1047" s="433" t="s">
        <v>966</v>
      </c>
      <c r="B1047" s="477"/>
      <c r="C1047" s="666"/>
      <c r="D1047" s="788"/>
      <c r="E1047" s="788"/>
      <c r="F1047" s="788"/>
      <c r="G1047" s="666"/>
      <c r="H1047" s="504"/>
      <c r="I1047" s="479"/>
      <c r="J1047" s="479"/>
      <c r="K1047" s="479"/>
      <c r="L1047" s="479"/>
      <c r="M1047" s="479"/>
      <c r="N1047" s="479"/>
      <c r="O1047" s="479"/>
      <c r="P1047" s="790"/>
      <c r="Q1047" s="778"/>
      <c r="R1047" s="778"/>
      <c r="S1047" s="778"/>
      <c r="T1047" s="778"/>
      <c r="U1047" s="778"/>
      <c r="V1047" s="778"/>
      <c r="W1047" s="778"/>
      <c r="X1047" s="778"/>
      <c r="Y1047" s="778"/>
      <c r="Z1047" s="778"/>
      <c r="AA1047" s="778"/>
      <c r="AB1047" s="778"/>
      <c r="AC1047" s="778"/>
      <c r="AD1047" s="778"/>
      <c r="AE1047" s="778"/>
      <c r="AF1047" s="778"/>
      <c r="AG1047" s="778"/>
      <c r="AH1047" s="778"/>
      <c r="AI1047" s="778"/>
      <c r="AJ1047" s="778"/>
      <c r="AK1047" s="778"/>
      <c r="AL1047" s="778"/>
      <c r="AM1047" s="778"/>
      <c r="AN1047" s="778"/>
      <c r="AO1047" s="779"/>
      <c r="AP1047" s="779"/>
      <c r="AQ1047" s="780"/>
      <c r="AR1047" s="780"/>
      <c r="AS1047" s="780"/>
      <c r="AT1047" s="780"/>
      <c r="AU1047" s="780"/>
      <c r="AV1047" s="780"/>
      <c r="AW1047" s="780"/>
      <c r="AX1047" s="780"/>
      <c r="AY1047" s="780"/>
      <c r="AZ1047" s="780"/>
      <c r="BA1047" s="780"/>
      <c r="BB1047" s="780"/>
      <c r="BC1047" s="780"/>
      <c r="BD1047" s="780"/>
      <c r="BE1047" s="780"/>
    </row>
    <row r="1048" customFormat="false" ht="14.15" hidden="true" customHeight="true" outlineLevel="1" collapsed="false">
      <c r="A1048" s="485" t="s">
        <v>2388</v>
      </c>
      <c r="B1048" s="477"/>
      <c r="C1048" s="794"/>
      <c r="D1048" s="804"/>
      <c r="E1048" s="168" t="s">
        <v>2389</v>
      </c>
      <c r="F1048" s="805"/>
      <c r="G1048" s="806"/>
      <c r="H1048" s="807"/>
      <c r="I1048" s="808"/>
      <c r="J1048" s="808"/>
      <c r="K1048" s="809"/>
      <c r="L1048" s="479"/>
      <c r="M1048" s="479"/>
      <c r="N1048" s="479"/>
      <c r="O1048" s="479"/>
      <c r="P1048" s="790"/>
      <c r="Q1048" s="778"/>
      <c r="R1048" s="778"/>
      <c r="S1048" s="778"/>
      <c r="T1048" s="778"/>
      <c r="U1048" s="778"/>
      <c r="V1048" s="778"/>
      <c r="W1048" s="778"/>
      <c r="X1048" s="778"/>
      <c r="Y1048" s="778"/>
      <c r="Z1048" s="778"/>
      <c r="AA1048" s="778"/>
      <c r="AB1048" s="778"/>
      <c r="AC1048" s="778"/>
      <c r="AD1048" s="778"/>
      <c r="AE1048" s="778"/>
      <c r="AF1048" s="778"/>
      <c r="AG1048" s="778"/>
      <c r="AH1048" s="778"/>
      <c r="AI1048" s="778"/>
      <c r="AJ1048" s="778"/>
      <c r="AK1048" s="778"/>
      <c r="AL1048" s="778"/>
      <c r="AM1048" s="778"/>
      <c r="AN1048" s="778"/>
      <c r="AO1048" s="779"/>
      <c r="AP1048" s="779"/>
      <c r="AQ1048" s="780"/>
      <c r="AR1048" s="780"/>
      <c r="AS1048" s="780"/>
      <c r="AT1048" s="780"/>
      <c r="AU1048" s="780"/>
      <c r="AV1048" s="780"/>
      <c r="AW1048" s="780"/>
      <c r="AX1048" s="780"/>
      <c r="AY1048" s="780"/>
      <c r="AZ1048" s="780"/>
      <c r="BA1048" s="780"/>
      <c r="BB1048" s="780"/>
      <c r="BC1048" s="780"/>
      <c r="BD1048" s="780"/>
      <c r="BE1048" s="780"/>
    </row>
    <row r="1049" customFormat="false" ht="14.15" hidden="true" customHeight="true" outlineLevel="1" collapsed="false">
      <c r="A1049" s="433" t="s">
        <v>493</v>
      </c>
      <c r="B1049" s="477"/>
      <c r="C1049" s="794"/>
      <c r="D1049" s="810"/>
      <c r="E1049" s="811"/>
      <c r="F1049" s="811"/>
      <c r="G1049" s="812"/>
      <c r="H1049" s="813"/>
      <c r="I1049" s="814"/>
      <c r="J1049" s="814"/>
      <c r="K1049" s="815"/>
      <c r="L1049" s="479"/>
      <c r="M1049" s="479"/>
      <c r="N1049" s="479"/>
      <c r="O1049" s="479"/>
      <c r="P1049" s="790"/>
      <c r="Q1049" s="778"/>
      <c r="R1049" s="778"/>
      <c r="S1049" s="778"/>
      <c r="T1049" s="778"/>
      <c r="U1049" s="778"/>
      <c r="V1049" s="778"/>
      <c r="W1049" s="778"/>
      <c r="X1049" s="778"/>
      <c r="Y1049" s="778"/>
      <c r="Z1049" s="778"/>
      <c r="AA1049" s="778"/>
      <c r="AB1049" s="778"/>
      <c r="AC1049" s="778"/>
      <c r="AD1049" s="778"/>
      <c r="AE1049" s="778"/>
      <c r="AF1049" s="778"/>
      <c r="AG1049" s="778"/>
      <c r="AH1049" s="778"/>
      <c r="AI1049" s="778"/>
      <c r="AJ1049" s="778"/>
      <c r="AK1049" s="778"/>
      <c r="AL1049" s="778"/>
      <c r="AM1049" s="778"/>
      <c r="AN1049" s="778"/>
      <c r="AO1049" s="779"/>
      <c r="AP1049" s="779"/>
      <c r="AQ1049" s="780"/>
      <c r="AR1049" s="780"/>
      <c r="AS1049" s="780"/>
      <c r="AT1049" s="780"/>
      <c r="AU1049" s="780"/>
      <c r="AV1049" s="780"/>
      <c r="AW1049" s="780"/>
      <c r="AX1049" s="780"/>
      <c r="AY1049" s="780"/>
      <c r="AZ1049" s="780"/>
      <c r="BA1049" s="780"/>
      <c r="BB1049" s="780"/>
      <c r="BC1049" s="780"/>
      <c r="BD1049" s="780"/>
      <c r="BE1049" s="780"/>
    </row>
    <row r="1050" customFormat="false" ht="14.15" hidden="true" customHeight="true" outlineLevel="1" collapsed="false">
      <c r="A1050" s="485" t="s">
        <v>2390</v>
      </c>
      <c r="B1050" s="477"/>
      <c r="C1050" s="794"/>
      <c r="D1050" s="795" t="s">
        <v>2391</v>
      </c>
      <c r="E1050" s="795"/>
      <c r="F1050" s="795"/>
      <c r="G1050" s="795"/>
      <c r="H1050" s="795"/>
      <c r="I1050" s="795"/>
      <c r="J1050" s="814"/>
      <c r="K1050" s="815"/>
      <c r="L1050" s="479"/>
      <c r="M1050" s="479"/>
      <c r="N1050" s="479"/>
      <c r="O1050" s="479"/>
      <c r="P1050" s="790"/>
      <c r="Q1050" s="778"/>
      <c r="R1050" s="778"/>
      <c r="S1050" s="778"/>
      <c r="T1050" s="778"/>
      <c r="U1050" s="778"/>
      <c r="V1050" s="778"/>
      <c r="W1050" s="778"/>
      <c r="X1050" s="778"/>
      <c r="Y1050" s="778"/>
      <c r="Z1050" s="778"/>
      <c r="AA1050" s="778"/>
      <c r="AB1050" s="778"/>
      <c r="AC1050" s="778"/>
      <c r="AD1050" s="778"/>
      <c r="AE1050" s="778"/>
      <c r="AF1050" s="778"/>
      <c r="AG1050" s="778"/>
      <c r="AH1050" s="778"/>
      <c r="AI1050" s="778"/>
      <c r="AJ1050" s="778"/>
      <c r="AK1050" s="778"/>
      <c r="AL1050" s="778"/>
      <c r="AM1050" s="778"/>
      <c r="AN1050" s="778"/>
      <c r="AO1050" s="779"/>
      <c r="AP1050" s="779"/>
      <c r="AQ1050" s="780"/>
      <c r="AR1050" s="780"/>
      <c r="AS1050" s="780"/>
      <c r="AT1050" s="780"/>
      <c r="AU1050" s="780"/>
      <c r="AV1050" s="780"/>
      <c r="AW1050" s="780"/>
      <c r="AX1050" s="780"/>
      <c r="AY1050" s="780"/>
      <c r="AZ1050" s="780"/>
      <c r="BA1050" s="780"/>
      <c r="BB1050" s="780"/>
      <c r="BC1050" s="780"/>
      <c r="BD1050" s="780"/>
      <c r="BE1050" s="780"/>
    </row>
    <row r="1051" customFormat="false" ht="14.15" hidden="true" customHeight="true" outlineLevel="1" collapsed="false">
      <c r="A1051" s="816" t="s">
        <v>493</v>
      </c>
      <c r="B1051" s="477"/>
      <c r="C1051" s="794"/>
      <c r="D1051" s="797" t="s">
        <v>493</v>
      </c>
      <c r="E1051" s="797"/>
      <c r="F1051" s="797"/>
      <c r="G1051" s="797"/>
      <c r="H1051" s="797"/>
      <c r="I1051" s="797"/>
      <c r="J1051" s="814"/>
      <c r="K1051" s="815"/>
      <c r="L1051" s="479"/>
      <c r="M1051" s="479"/>
      <c r="N1051" s="479"/>
      <c r="O1051" s="479"/>
      <c r="P1051" s="790"/>
      <c r="Q1051" s="778"/>
      <c r="R1051" s="778"/>
      <c r="S1051" s="778"/>
      <c r="T1051" s="778"/>
      <c r="U1051" s="778"/>
      <c r="V1051" s="778"/>
      <c r="W1051" s="778"/>
      <c r="X1051" s="778"/>
      <c r="Y1051" s="778"/>
      <c r="Z1051" s="778"/>
      <c r="AA1051" s="778"/>
      <c r="AB1051" s="778"/>
      <c r="AC1051" s="778"/>
      <c r="AD1051" s="778"/>
      <c r="AE1051" s="778"/>
      <c r="AF1051" s="778"/>
      <c r="AG1051" s="778"/>
      <c r="AH1051" s="778"/>
      <c r="AI1051" s="778"/>
      <c r="AJ1051" s="778"/>
      <c r="AK1051" s="778"/>
      <c r="AL1051" s="778"/>
      <c r="AM1051" s="778"/>
      <c r="AN1051" s="778"/>
      <c r="AO1051" s="779"/>
      <c r="AP1051" s="779"/>
      <c r="AQ1051" s="780"/>
      <c r="AR1051" s="780"/>
      <c r="AS1051" s="780"/>
      <c r="AT1051" s="780"/>
      <c r="AU1051" s="780"/>
      <c r="AV1051" s="780"/>
      <c r="AW1051" s="780"/>
      <c r="AX1051" s="780"/>
      <c r="AY1051" s="780"/>
      <c r="AZ1051" s="780"/>
      <c r="BA1051" s="780"/>
      <c r="BB1051" s="780"/>
      <c r="BC1051" s="780"/>
      <c r="BD1051" s="780"/>
      <c r="BE1051" s="780"/>
    </row>
    <row r="1052" s="355" customFormat="true" ht="14.15" hidden="true" customHeight="true" outlineLevel="1" collapsed="false">
      <c r="A1052" s="666" t="s">
        <v>2392</v>
      </c>
      <c r="B1052" s="477"/>
      <c r="C1052" s="794"/>
      <c r="D1052" s="795" t="s">
        <v>2393</v>
      </c>
      <c r="E1052" s="795"/>
      <c r="F1052" s="795"/>
      <c r="G1052" s="795"/>
      <c r="H1052" s="795"/>
      <c r="I1052" s="795"/>
      <c r="J1052" s="814"/>
      <c r="K1052" s="815"/>
      <c r="L1052" s="479"/>
      <c r="M1052" s="479"/>
      <c r="N1052" s="479"/>
      <c r="O1052" s="479"/>
      <c r="P1052" s="479"/>
      <c r="Q1052" s="342"/>
      <c r="R1052" s="342"/>
      <c r="S1052" s="342"/>
      <c r="T1052" s="342"/>
      <c r="U1052" s="342"/>
      <c r="V1052" s="342"/>
      <c r="W1052" s="342"/>
      <c r="X1052" s="342"/>
      <c r="Y1052" s="342"/>
      <c r="Z1052" s="342"/>
      <c r="AA1052" s="342"/>
      <c r="AB1052" s="342"/>
      <c r="AC1052" s="342"/>
      <c r="AD1052" s="342"/>
      <c r="AE1052" s="342"/>
      <c r="AF1052" s="342"/>
      <c r="AG1052" s="342"/>
      <c r="AH1052" s="342"/>
      <c r="AI1052" s="342"/>
      <c r="AJ1052" s="342"/>
      <c r="AK1052" s="342"/>
      <c r="AL1052" s="342"/>
      <c r="AM1052" s="342"/>
      <c r="AN1052" s="342"/>
      <c r="AO1052" s="662"/>
      <c r="AP1052" s="662"/>
      <c r="AQ1052" s="772"/>
      <c r="AR1052" s="772"/>
      <c r="AS1052" s="772"/>
      <c r="AT1052" s="772"/>
      <c r="AU1052" s="772"/>
      <c r="AV1052" s="772"/>
      <c r="AW1052" s="772"/>
      <c r="AX1052" s="772"/>
      <c r="AY1052" s="772"/>
      <c r="AZ1052" s="772"/>
      <c r="BA1052" s="772"/>
      <c r="BB1052" s="772"/>
      <c r="BC1052" s="772"/>
      <c r="BD1052" s="772"/>
      <c r="BE1052" s="772"/>
      <c r="BF1052" s="360"/>
    </row>
    <row r="1053" customFormat="false" ht="14.15" hidden="true" customHeight="true" outlineLevel="1" collapsed="false">
      <c r="A1053" s="691" t="s">
        <v>753</v>
      </c>
      <c r="C1053" s="666"/>
      <c r="D1053" s="433" t="s">
        <v>493</v>
      </c>
      <c r="E1053" s="433"/>
      <c r="F1053" s="433"/>
      <c r="G1053" s="433"/>
      <c r="H1053" s="433"/>
      <c r="I1053" s="433"/>
      <c r="J1053" s="814"/>
      <c r="K1053" s="815"/>
      <c r="L1053" s="479"/>
      <c r="M1053" s="479"/>
      <c r="N1053" s="479"/>
      <c r="O1053" s="479"/>
      <c r="P1053" s="790"/>
      <c r="Q1053" s="778"/>
      <c r="R1053" s="778"/>
      <c r="S1053" s="778"/>
      <c r="T1053" s="778"/>
      <c r="U1053" s="778"/>
      <c r="V1053" s="778"/>
      <c r="W1053" s="778"/>
      <c r="X1053" s="778"/>
      <c r="Y1053" s="778"/>
      <c r="Z1053" s="778"/>
      <c r="AA1053" s="778"/>
      <c r="AB1053" s="778"/>
      <c r="AC1053" s="778"/>
      <c r="AD1053" s="778"/>
      <c r="AE1053" s="778"/>
      <c r="AF1053" s="778"/>
      <c r="AG1053" s="778"/>
      <c r="AH1053" s="778"/>
      <c r="AI1053" s="778"/>
      <c r="AJ1053" s="778"/>
      <c r="AK1053" s="778"/>
      <c r="AL1053" s="778"/>
      <c r="AM1053" s="778"/>
      <c r="AN1053" s="778"/>
      <c r="AO1053" s="779"/>
      <c r="AP1053" s="779"/>
      <c r="AQ1053" s="780"/>
      <c r="AR1053" s="780"/>
      <c r="AS1053" s="780"/>
      <c r="AT1053" s="780"/>
      <c r="AU1053" s="780"/>
      <c r="AV1053" s="780"/>
      <c r="AW1053" s="780"/>
      <c r="AX1053" s="780"/>
      <c r="AY1053" s="780"/>
      <c r="AZ1053" s="780"/>
      <c r="BA1053" s="780"/>
      <c r="BB1053" s="780"/>
      <c r="BC1053" s="780"/>
      <c r="BD1053" s="780"/>
      <c r="BE1053" s="780"/>
    </row>
    <row r="1054" s="355" customFormat="true" ht="14.15" hidden="true" customHeight="true" outlineLevel="1" collapsed="false">
      <c r="A1054" s="666" t="s">
        <v>2394</v>
      </c>
      <c r="B1054" s="666"/>
      <c r="C1054" s="666"/>
      <c r="D1054" s="261" t="s">
        <v>2386</v>
      </c>
      <c r="E1054" s="261"/>
      <c r="F1054" s="261"/>
      <c r="G1054" s="261"/>
      <c r="H1054" s="261"/>
      <c r="I1054" s="261"/>
      <c r="J1054" s="814"/>
      <c r="K1054" s="815"/>
      <c r="L1054" s="479"/>
      <c r="M1054" s="479"/>
      <c r="N1054" s="479"/>
      <c r="O1054" s="479"/>
      <c r="P1054" s="479"/>
      <c r="Q1054" s="342"/>
      <c r="R1054" s="342"/>
      <c r="S1054" s="342"/>
      <c r="T1054" s="342"/>
      <c r="U1054" s="342"/>
      <c r="V1054" s="342"/>
      <c r="W1054" s="342"/>
      <c r="X1054" s="342"/>
      <c r="Y1054" s="342"/>
      <c r="Z1054" s="342"/>
      <c r="AA1054" s="342"/>
      <c r="AB1054" s="342"/>
      <c r="AC1054" s="342"/>
      <c r="AD1054" s="342"/>
      <c r="AE1054" s="342"/>
      <c r="AF1054" s="342"/>
      <c r="AG1054" s="342"/>
      <c r="AH1054" s="342"/>
      <c r="AI1054" s="342"/>
      <c r="AJ1054" s="342"/>
      <c r="AK1054" s="342"/>
      <c r="AL1054" s="342"/>
      <c r="AM1054" s="342"/>
      <c r="AN1054" s="342"/>
      <c r="AO1054" s="662"/>
      <c r="AP1054" s="662"/>
      <c r="AQ1054" s="772"/>
      <c r="AR1054" s="772"/>
      <c r="AS1054" s="772"/>
      <c r="AT1054" s="772"/>
      <c r="AU1054" s="772"/>
      <c r="AV1054" s="772"/>
      <c r="AW1054" s="772"/>
      <c r="AX1054" s="772"/>
      <c r="AY1054" s="772"/>
      <c r="AZ1054" s="772"/>
      <c r="BA1054" s="772"/>
      <c r="BB1054" s="772"/>
      <c r="BC1054" s="772"/>
      <c r="BD1054" s="772"/>
      <c r="BE1054" s="772"/>
      <c r="BF1054" s="360"/>
    </row>
    <row r="1055" customFormat="false" ht="14.15" hidden="true" customHeight="true" outlineLevel="1" collapsed="false">
      <c r="A1055" s="791" t="s">
        <v>785</v>
      </c>
      <c r="C1055" s="666"/>
      <c r="D1055" s="433" t="s">
        <v>493</v>
      </c>
      <c r="E1055" s="433"/>
      <c r="F1055" s="433"/>
      <c r="G1055" s="433"/>
      <c r="H1055" s="433"/>
      <c r="I1055" s="433"/>
      <c r="J1055" s="814"/>
      <c r="K1055" s="815"/>
      <c r="L1055" s="479"/>
      <c r="M1055" s="479"/>
      <c r="N1055" s="479"/>
      <c r="O1055" s="479"/>
      <c r="P1055" s="790"/>
      <c r="Q1055" s="778"/>
      <c r="R1055" s="778"/>
      <c r="S1055" s="778"/>
      <c r="T1055" s="778"/>
      <c r="U1055" s="778"/>
      <c r="V1055" s="778"/>
      <c r="W1055" s="778"/>
      <c r="X1055" s="778"/>
      <c r="Y1055" s="778"/>
      <c r="Z1055" s="778"/>
      <c r="AA1055" s="778"/>
      <c r="AB1055" s="778"/>
      <c r="AC1055" s="778"/>
      <c r="AD1055" s="778"/>
      <c r="AE1055" s="778"/>
      <c r="AF1055" s="778"/>
      <c r="AG1055" s="778"/>
      <c r="AH1055" s="778"/>
      <c r="AI1055" s="778"/>
      <c r="AJ1055" s="778"/>
      <c r="AK1055" s="778"/>
      <c r="AL1055" s="778"/>
      <c r="AM1055" s="778"/>
      <c r="AN1055" s="778"/>
      <c r="AO1055" s="779"/>
      <c r="AP1055" s="779"/>
      <c r="AQ1055" s="780"/>
      <c r="AR1055" s="780"/>
      <c r="AS1055" s="780"/>
      <c r="AT1055" s="780"/>
      <c r="AU1055" s="780"/>
      <c r="AV1055" s="780"/>
      <c r="AW1055" s="780"/>
      <c r="AX1055" s="780"/>
      <c r="AY1055" s="780"/>
      <c r="AZ1055" s="780"/>
      <c r="BA1055" s="780"/>
      <c r="BB1055" s="780"/>
      <c r="BC1055" s="780"/>
      <c r="BD1055" s="780"/>
      <c r="BE1055" s="780"/>
    </row>
    <row r="1056" customFormat="false" ht="14.15" hidden="true" customHeight="true" outlineLevel="1" collapsed="false">
      <c r="A1056" s="324" t="s">
        <v>151</v>
      </c>
      <c r="D1056" s="810"/>
      <c r="E1056" s="811"/>
      <c r="F1056" s="811"/>
      <c r="G1056" s="812"/>
      <c r="H1056" s="817"/>
      <c r="I1056" s="817"/>
      <c r="J1056" s="817"/>
      <c r="K1056" s="818"/>
      <c r="L1056" s="819"/>
      <c r="M1056" s="819"/>
      <c r="N1056" s="819"/>
      <c r="O1056" s="819"/>
      <c r="P1056" s="819"/>
      <c r="Q1056" s="778"/>
      <c r="R1056" s="778"/>
      <c r="S1056" s="778"/>
      <c r="T1056" s="778"/>
      <c r="U1056" s="778"/>
      <c r="V1056" s="778"/>
      <c r="W1056" s="778"/>
      <c r="X1056" s="778"/>
      <c r="Y1056" s="778"/>
      <c r="Z1056" s="778"/>
      <c r="AA1056" s="778"/>
      <c r="AB1056" s="778"/>
      <c r="AC1056" s="778"/>
      <c r="AD1056" s="778"/>
      <c r="AE1056" s="778"/>
      <c r="AF1056" s="778"/>
      <c r="AG1056" s="778"/>
      <c r="AH1056" s="778"/>
      <c r="AI1056" s="778"/>
      <c r="AJ1056" s="778"/>
      <c r="AK1056" s="778"/>
      <c r="AL1056" s="778"/>
      <c r="AM1056" s="778"/>
      <c r="AN1056" s="778"/>
      <c r="AO1056" s="779"/>
      <c r="AP1056" s="779"/>
      <c r="AQ1056" s="780"/>
      <c r="AR1056" s="780"/>
      <c r="AS1056" s="780"/>
      <c r="AT1056" s="780"/>
      <c r="AU1056" s="780"/>
      <c r="AV1056" s="780"/>
      <c r="AW1056" s="780"/>
      <c r="AX1056" s="780"/>
      <c r="AY1056" s="780"/>
      <c r="AZ1056" s="780"/>
      <c r="BA1056" s="780"/>
      <c r="BB1056" s="780"/>
      <c r="BC1056" s="780"/>
      <c r="BD1056" s="780"/>
      <c r="BE1056" s="780"/>
    </row>
    <row r="1057" customFormat="false" ht="14.15" hidden="true" customHeight="true" outlineLevel="1" collapsed="false">
      <c r="A1057" s="433" t="s">
        <v>152</v>
      </c>
      <c r="B1057" s="404" t="s">
        <v>1802</v>
      </c>
      <c r="C1057" s="820" t="n">
        <v>2</v>
      </c>
      <c r="D1057" s="810"/>
      <c r="E1057" s="795" t="s">
        <v>2391</v>
      </c>
      <c r="F1057" s="795"/>
      <c r="G1057" s="795"/>
      <c r="H1057" s="795"/>
      <c r="I1057" s="795"/>
      <c r="J1057" s="795"/>
      <c r="K1057" s="818"/>
      <c r="L1057" s="819"/>
      <c r="M1057" s="819"/>
      <c r="N1057" s="819"/>
      <c r="O1057" s="342"/>
      <c r="P1057" s="342"/>
      <c r="Q1057" s="778"/>
      <c r="R1057" s="778"/>
      <c r="S1057" s="778"/>
      <c r="T1057" s="778"/>
      <c r="U1057" s="778"/>
      <c r="V1057" s="778"/>
      <c r="W1057" s="778"/>
      <c r="X1057" s="778"/>
      <c r="Y1057" s="778"/>
      <c r="Z1057" s="778"/>
      <c r="AA1057" s="778"/>
      <c r="AB1057" s="778"/>
      <c r="AC1057" s="778"/>
      <c r="AD1057" s="778"/>
      <c r="AE1057" s="778"/>
      <c r="AF1057" s="778"/>
      <c r="AG1057" s="778"/>
      <c r="AH1057" s="778"/>
      <c r="AI1057" s="778"/>
      <c r="AJ1057" s="778"/>
      <c r="AK1057" s="778"/>
      <c r="AL1057" s="778"/>
      <c r="AM1057" s="778"/>
      <c r="AN1057" s="778"/>
      <c r="AO1057" s="779"/>
      <c r="AP1057" s="779"/>
      <c r="AQ1057" s="780"/>
      <c r="AR1057" s="780"/>
      <c r="AS1057" s="780"/>
      <c r="AT1057" s="780"/>
      <c r="AU1057" s="780"/>
      <c r="AV1057" s="780"/>
      <c r="AW1057" s="780"/>
      <c r="AX1057" s="780"/>
      <c r="AY1057" s="780"/>
      <c r="AZ1057" s="780"/>
      <c r="BA1057" s="780"/>
      <c r="BB1057" s="780"/>
      <c r="BC1057" s="780"/>
      <c r="BD1057" s="780"/>
      <c r="BE1057" s="780"/>
    </row>
    <row r="1058" customFormat="false" ht="14.15" hidden="true" customHeight="true" outlineLevel="1" collapsed="false">
      <c r="A1058" s="821" t="s">
        <v>152</v>
      </c>
      <c r="B1058" s="404" t="s">
        <v>1802</v>
      </c>
      <c r="C1058" s="820" t="n">
        <v>0</v>
      </c>
      <c r="D1058" s="810"/>
      <c r="E1058" s="797" t="s">
        <v>493</v>
      </c>
      <c r="F1058" s="797"/>
      <c r="G1058" s="797"/>
      <c r="H1058" s="797"/>
      <c r="I1058" s="797"/>
      <c r="J1058" s="797"/>
      <c r="K1058" s="818"/>
      <c r="L1058" s="819"/>
      <c r="M1058" s="819"/>
      <c r="N1058" s="819"/>
      <c r="O1058" s="342"/>
      <c r="P1058" s="342"/>
      <c r="Q1058" s="778"/>
      <c r="R1058" s="778"/>
      <c r="S1058" s="778"/>
      <c r="T1058" s="778"/>
      <c r="U1058" s="778"/>
      <c r="V1058" s="778"/>
      <c r="W1058" s="778"/>
      <c r="X1058" s="778"/>
      <c r="Y1058" s="778"/>
      <c r="Z1058" s="778"/>
      <c r="AA1058" s="778"/>
      <c r="AB1058" s="778"/>
      <c r="AC1058" s="778"/>
      <c r="AD1058" s="778"/>
      <c r="AE1058" s="778"/>
      <c r="AF1058" s="778"/>
      <c r="AG1058" s="778"/>
      <c r="AH1058" s="778"/>
      <c r="AI1058" s="778"/>
      <c r="AJ1058" s="778"/>
      <c r="AK1058" s="778"/>
      <c r="AL1058" s="778"/>
      <c r="AM1058" s="778"/>
      <c r="AN1058" s="778"/>
      <c r="AO1058" s="779"/>
      <c r="AP1058" s="779"/>
      <c r="AQ1058" s="780"/>
      <c r="AR1058" s="780"/>
      <c r="AS1058" s="780"/>
      <c r="AT1058" s="780"/>
      <c r="AU1058" s="780"/>
      <c r="AV1058" s="780"/>
      <c r="AW1058" s="780"/>
      <c r="AX1058" s="780"/>
      <c r="AY1058" s="780"/>
      <c r="AZ1058" s="780"/>
      <c r="BA1058" s="780"/>
      <c r="BB1058" s="780"/>
      <c r="BC1058" s="780"/>
      <c r="BD1058" s="780"/>
      <c r="BE1058" s="780"/>
    </row>
    <row r="1059" customFormat="false" ht="14.15" hidden="true" customHeight="true" outlineLevel="1" collapsed="false">
      <c r="A1059" s="822"/>
      <c r="B1059" s="477"/>
      <c r="C1059" s="666"/>
      <c r="D1059" s="810"/>
      <c r="E1059" s="795" t="s">
        <v>2393</v>
      </c>
      <c r="F1059" s="795"/>
      <c r="G1059" s="795"/>
      <c r="H1059" s="795"/>
      <c r="I1059" s="795"/>
      <c r="J1059" s="795"/>
      <c r="K1059" s="818"/>
      <c r="L1059" s="819"/>
      <c r="M1059" s="819"/>
      <c r="N1059" s="819"/>
      <c r="O1059" s="342"/>
      <c r="P1059" s="342"/>
      <c r="Q1059" s="778"/>
      <c r="R1059" s="778"/>
      <c r="S1059" s="778"/>
      <c r="T1059" s="778"/>
      <c r="U1059" s="778"/>
      <c r="V1059" s="778"/>
      <c r="W1059" s="778"/>
      <c r="X1059" s="778"/>
      <c r="Y1059" s="778"/>
      <c r="Z1059" s="778"/>
      <c r="AA1059" s="778"/>
      <c r="AB1059" s="778"/>
      <c r="AC1059" s="778"/>
      <c r="AD1059" s="778"/>
      <c r="AE1059" s="778"/>
      <c r="AF1059" s="778"/>
      <c r="AG1059" s="778"/>
      <c r="AH1059" s="778"/>
      <c r="AI1059" s="778"/>
      <c r="AJ1059" s="778"/>
      <c r="AK1059" s="778"/>
      <c r="AL1059" s="778"/>
      <c r="AM1059" s="778"/>
      <c r="AN1059" s="778"/>
      <c r="AO1059" s="779"/>
      <c r="AP1059" s="779"/>
      <c r="AQ1059" s="780"/>
      <c r="AR1059" s="780"/>
      <c r="AS1059" s="780"/>
      <c r="AT1059" s="780"/>
      <c r="AU1059" s="780"/>
      <c r="AV1059" s="780"/>
      <c r="AW1059" s="780"/>
      <c r="AX1059" s="780"/>
      <c r="AY1059" s="780"/>
      <c r="AZ1059" s="780"/>
      <c r="BA1059" s="780"/>
      <c r="BB1059" s="780"/>
      <c r="BC1059" s="780"/>
      <c r="BD1059" s="780"/>
      <c r="BE1059" s="780"/>
    </row>
    <row r="1060" customFormat="false" ht="14.15" hidden="true" customHeight="true" outlineLevel="1" collapsed="false">
      <c r="A1060" s="261" t="s">
        <v>2395</v>
      </c>
      <c r="B1060" s="404" t="s">
        <v>1796</v>
      </c>
      <c r="C1060" s="823" t="n">
        <v>12000</v>
      </c>
      <c r="D1060" s="810"/>
      <c r="E1060" s="433" t="s">
        <v>493</v>
      </c>
      <c r="F1060" s="433"/>
      <c r="G1060" s="433"/>
      <c r="H1060" s="433"/>
      <c r="I1060" s="433"/>
      <c r="J1060" s="433"/>
      <c r="K1060" s="818"/>
      <c r="L1060" s="819"/>
      <c r="M1060" s="819"/>
      <c r="N1060" s="819"/>
      <c r="O1060" s="342"/>
      <c r="P1060" s="342"/>
      <c r="Q1060" s="778"/>
      <c r="R1060" s="778"/>
      <c r="S1060" s="778"/>
      <c r="T1060" s="778"/>
      <c r="U1060" s="778"/>
      <c r="V1060" s="778"/>
      <c r="W1060" s="778"/>
      <c r="X1060" s="778"/>
      <c r="Y1060" s="778"/>
      <c r="Z1060" s="778"/>
      <c r="AA1060" s="778"/>
      <c r="AB1060" s="778"/>
      <c r="AC1060" s="778"/>
      <c r="AD1060" s="778"/>
      <c r="AE1060" s="778"/>
      <c r="AF1060" s="778"/>
      <c r="AG1060" s="778"/>
      <c r="AH1060" s="778"/>
      <c r="AI1060" s="778"/>
      <c r="AJ1060" s="778"/>
      <c r="AK1060" s="778"/>
      <c r="AL1060" s="778"/>
      <c r="AM1060" s="778"/>
      <c r="AN1060" s="778"/>
      <c r="AO1060" s="779"/>
      <c r="AP1060" s="779"/>
      <c r="AQ1060" s="780"/>
      <c r="AR1060" s="780"/>
      <c r="AS1060" s="780"/>
      <c r="AT1060" s="780"/>
      <c r="AU1060" s="780"/>
      <c r="AV1060" s="780"/>
      <c r="AW1060" s="780"/>
      <c r="AX1060" s="780"/>
      <c r="AY1060" s="780"/>
      <c r="AZ1060" s="780"/>
      <c r="BA1060" s="780"/>
      <c r="BB1060" s="780"/>
      <c r="BC1060" s="780"/>
      <c r="BD1060" s="780"/>
      <c r="BE1060" s="780"/>
    </row>
    <row r="1061" customFormat="false" ht="14.15" hidden="true" customHeight="true" outlineLevel="1" collapsed="false">
      <c r="A1061" s="666"/>
      <c r="B1061" s="666"/>
      <c r="C1061" s="666"/>
      <c r="D1061" s="810"/>
      <c r="E1061" s="261" t="s">
        <v>2386</v>
      </c>
      <c r="F1061" s="261"/>
      <c r="G1061" s="261"/>
      <c r="H1061" s="261"/>
      <c r="I1061" s="261"/>
      <c r="J1061" s="261"/>
      <c r="K1061" s="818"/>
      <c r="L1061" s="819"/>
      <c r="M1061" s="819"/>
      <c r="N1061" s="819"/>
      <c r="O1061" s="342"/>
      <c r="P1061" s="342"/>
      <c r="Q1061" s="778"/>
      <c r="R1061" s="778"/>
      <c r="S1061" s="778"/>
      <c r="T1061" s="778"/>
      <c r="U1061" s="778"/>
      <c r="V1061" s="778"/>
      <c r="W1061" s="778"/>
      <c r="X1061" s="778"/>
      <c r="Y1061" s="778"/>
      <c r="Z1061" s="778"/>
      <c r="AA1061" s="778"/>
      <c r="AB1061" s="778"/>
      <c r="AC1061" s="778"/>
      <c r="AD1061" s="778"/>
      <c r="AE1061" s="778"/>
      <c r="AF1061" s="778"/>
      <c r="AG1061" s="778"/>
      <c r="AH1061" s="778"/>
      <c r="AI1061" s="778"/>
      <c r="AJ1061" s="778"/>
      <c r="AK1061" s="778"/>
      <c r="AL1061" s="778"/>
      <c r="AM1061" s="778"/>
      <c r="AN1061" s="778"/>
      <c r="AO1061" s="779"/>
      <c r="AP1061" s="779"/>
      <c r="AQ1061" s="780"/>
      <c r="AR1061" s="780"/>
      <c r="AS1061" s="780"/>
      <c r="AT1061" s="780"/>
      <c r="AU1061" s="780"/>
      <c r="AV1061" s="780"/>
      <c r="AW1061" s="780"/>
      <c r="AX1061" s="780"/>
      <c r="AY1061" s="780"/>
      <c r="AZ1061" s="780"/>
      <c r="BA1061" s="780"/>
      <c r="BB1061" s="780"/>
      <c r="BC1061" s="780"/>
      <c r="BD1061" s="780"/>
      <c r="BE1061" s="780"/>
    </row>
    <row r="1062" customFormat="false" ht="14.15" hidden="true" customHeight="true" outlineLevel="1" collapsed="false">
      <c r="A1062" s="370" t="s">
        <v>2359</v>
      </c>
      <c r="B1062" s="402" t="s">
        <v>208</v>
      </c>
      <c r="C1062" s="824" t="s">
        <v>1798</v>
      </c>
      <c r="D1062" s="810"/>
      <c r="E1062" s="816" t="s">
        <v>493</v>
      </c>
      <c r="F1062" s="816"/>
      <c r="G1062" s="816"/>
      <c r="H1062" s="816"/>
      <c r="I1062" s="816"/>
      <c r="J1062" s="816"/>
      <c r="K1062" s="818"/>
      <c r="L1062" s="819"/>
      <c r="M1062" s="819"/>
      <c r="N1062" s="819"/>
      <c r="O1062" s="342"/>
      <c r="P1062" s="342"/>
      <c r="Q1062" s="778"/>
      <c r="R1062" s="778"/>
      <c r="S1062" s="778"/>
      <c r="T1062" s="778"/>
      <c r="U1062" s="778"/>
      <c r="V1062" s="778"/>
      <c r="W1062" s="778"/>
      <c r="X1062" s="778"/>
      <c r="Y1062" s="778"/>
      <c r="Z1062" s="778"/>
      <c r="AA1062" s="778"/>
      <c r="AB1062" s="778"/>
      <c r="AC1062" s="778"/>
      <c r="AD1062" s="778"/>
      <c r="AE1062" s="778"/>
      <c r="AF1062" s="778"/>
      <c r="AG1062" s="778"/>
      <c r="AH1062" s="778"/>
      <c r="AI1062" s="778"/>
      <c r="AJ1062" s="778"/>
      <c r="AK1062" s="778"/>
      <c r="AL1062" s="778"/>
      <c r="AM1062" s="778"/>
      <c r="AN1062" s="778"/>
      <c r="AO1062" s="779"/>
      <c r="AP1062" s="779"/>
      <c r="AQ1062" s="780"/>
      <c r="AR1062" s="780"/>
      <c r="AS1062" s="780"/>
      <c r="AT1062" s="780"/>
      <c r="AU1062" s="780"/>
      <c r="AV1062" s="780"/>
      <c r="AW1062" s="780"/>
      <c r="AX1062" s="780"/>
      <c r="AY1062" s="780"/>
      <c r="AZ1062" s="780"/>
      <c r="BA1062" s="780"/>
      <c r="BB1062" s="780"/>
      <c r="BC1062" s="780"/>
      <c r="BD1062" s="780"/>
      <c r="BE1062" s="780"/>
    </row>
    <row r="1063" customFormat="false" ht="14.15" hidden="true" customHeight="true" outlineLevel="1" collapsed="false">
      <c r="A1063" s="474" t="s">
        <v>2360</v>
      </c>
      <c r="B1063" s="402" t="s">
        <v>1793</v>
      </c>
      <c r="C1063" s="538" t="n">
        <v>3</v>
      </c>
      <c r="D1063" s="825"/>
      <c r="E1063" s="826"/>
      <c r="F1063" s="827"/>
      <c r="G1063" s="828"/>
      <c r="H1063" s="828"/>
      <c r="I1063" s="828"/>
      <c r="J1063" s="828"/>
      <c r="K1063" s="829"/>
      <c r="L1063" s="819"/>
      <c r="M1063" s="819"/>
      <c r="N1063" s="819"/>
      <c r="O1063" s="342"/>
      <c r="P1063" s="342"/>
      <c r="Q1063" s="778"/>
      <c r="R1063" s="778"/>
      <c r="S1063" s="778"/>
      <c r="T1063" s="778"/>
      <c r="U1063" s="778"/>
      <c r="V1063" s="778"/>
      <c r="W1063" s="778"/>
      <c r="X1063" s="778"/>
      <c r="Y1063" s="778"/>
      <c r="Z1063" s="778"/>
      <c r="AA1063" s="778"/>
      <c r="AB1063" s="778"/>
      <c r="AC1063" s="778"/>
      <c r="AD1063" s="778"/>
      <c r="AE1063" s="778"/>
      <c r="AF1063" s="778"/>
      <c r="AG1063" s="778"/>
      <c r="AH1063" s="778"/>
      <c r="AI1063" s="778"/>
      <c r="AJ1063" s="778"/>
      <c r="AK1063" s="778"/>
      <c r="AL1063" s="778"/>
      <c r="AM1063" s="778"/>
      <c r="AN1063" s="778"/>
      <c r="AO1063" s="779"/>
      <c r="AP1063" s="779"/>
      <c r="AQ1063" s="780"/>
      <c r="AR1063" s="780"/>
      <c r="AS1063" s="780"/>
      <c r="AT1063" s="780"/>
      <c r="AU1063" s="780"/>
      <c r="AV1063" s="780"/>
      <c r="AW1063" s="780"/>
      <c r="AX1063" s="780"/>
      <c r="AY1063" s="780"/>
      <c r="AZ1063" s="780"/>
      <c r="BA1063" s="780"/>
      <c r="BB1063" s="780"/>
      <c r="BC1063" s="780"/>
      <c r="BD1063" s="780"/>
      <c r="BE1063" s="780"/>
    </row>
    <row r="1064" customFormat="false" ht="14.15" hidden="true" customHeight="true" outlineLevel="1" collapsed="false">
      <c r="A1064" s="370" t="s">
        <v>2361</v>
      </c>
      <c r="B1064" s="425" t="s">
        <v>1793</v>
      </c>
      <c r="C1064" s="474" t="n">
        <v>5</v>
      </c>
      <c r="D1064" s="788"/>
      <c r="E1064" s="788"/>
      <c r="F1064" s="788"/>
      <c r="G1064" s="819"/>
      <c r="H1064" s="819"/>
      <c r="I1064" s="819"/>
      <c r="J1064" s="819"/>
      <c r="K1064" s="819"/>
      <c r="L1064" s="819"/>
      <c r="M1064" s="819"/>
      <c r="N1064" s="819"/>
      <c r="O1064" s="342"/>
      <c r="P1064" s="342"/>
      <c r="Q1064" s="778"/>
      <c r="R1064" s="778"/>
      <c r="S1064" s="778"/>
      <c r="T1064" s="778"/>
      <c r="U1064" s="778"/>
      <c r="V1064" s="778"/>
      <c r="W1064" s="778"/>
      <c r="X1064" s="778"/>
      <c r="Y1064" s="778"/>
      <c r="Z1064" s="778"/>
      <c r="AA1064" s="778"/>
      <c r="AB1064" s="778"/>
      <c r="AC1064" s="778"/>
      <c r="AD1064" s="778"/>
      <c r="AE1064" s="778"/>
      <c r="AF1064" s="778"/>
      <c r="AG1064" s="778"/>
      <c r="AH1064" s="778"/>
      <c r="AI1064" s="778"/>
      <c r="AJ1064" s="778"/>
      <c r="AK1064" s="778"/>
      <c r="AL1064" s="778"/>
      <c r="AM1064" s="778"/>
      <c r="AN1064" s="778"/>
      <c r="AO1064" s="779"/>
      <c r="AP1064" s="779"/>
      <c r="AQ1064" s="780"/>
      <c r="AR1064" s="780"/>
      <c r="AS1064" s="780"/>
      <c r="AT1064" s="780"/>
      <c r="AU1064" s="780"/>
      <c r="AV1064" s="780"/>
      <c r="AW1064" s="780"/>
      <c r="AX1064" s="780"/>
      <c r="AY1064" s="780"/>
      <c r="AZ1064" s="780"/>
      <c r="BA1064" s="780"/>
      <c r="BB1064" s="780"/>
      <c r="BC1064" s="780"/>
      <c r="BD1064" s="780"/>
      <c r="BE1064" s="780"/>
    </row>
    <row r="1065" customFormat="false" ht="14.15" hidden="true" customHeight="true" outlineLevel="1" collapsed="false">
      <c r="A1065" s="370" t="s">
        <v>2362</v>
      </c>
      <c r="B1065" s="402" t="s">
        <v>1796</v>
      </c>
      <c r="C1065" s="370" t="n">
        <v>700</v>
      </c>
      <c r="D1065" s="788"/>
      <c r="E1065" s="788"/>
      <c r="F1065" s="788"/>
      <c r="G1065" s="819"/>
      <c r="H1065" s="819"/>
      <c r="I1065" s="819"/>
      <c r="J1065" s="819"/>
      <c r="K1065" s="819"/>
      <c r="L1065" s="819"/>
      <c r="M1065" s="819"/>
      <c r="N1065" s="819"/>
      <c r="O1065" s="342"/>
      <c r="P1065" s="342"/>
      <c r="Q1065" s="778"/>
      <c r="R1065" s="778"/>
      <c r="S1065" s="778"/>
      <c r="T1065" s="778"/>
      <c r="U1065" s="778"/>
      <c r="V1065" s="778"/>
      <c r="W1065" s="778"/>
      <c r="X1065" s="778"/>
      <c r="Y1065" s="778"/>
      <c r="Z1065" s="778"/>
      <c r="AA1065" s="778"/>
      <c r="AB1065" s="778"/>
      <c r="AC1065" s="778"/>
      <c r="AD1065" s="778"/>
      <c r="AE1065" s="778"/>
      <c r="AF1065" s="778"/>
      <c r="AG1065" s="778"/>
      <c r="AH1065" s="778"/>
      <c r="AI1065" s="778"/>
      <c r="AJ1065" s="778"/>
      <c r="AK1065" s="778"/>
      <c r="AL1065" s="778"/>
      <c r="AM1065" s="778"/>
      <c r="AN1065" s="778"/>
      <c r="AO1065" s="779"/>
      <c r="AP1065" s="779"/>
      <c r="AQ1065" s="780"/>
      <c r="AR1065" s="780"/>
      <c r="AS1065" s="780"/>
      <c r="AT1065" s="780"/>
      <c r="AU1065" s="780"/>
      <c r="AV1065" s="780"/>
      <c r="AW1065" s="780"/>
      <c r="AX1065" s="780"/>
      <c r="AY1065" s="780"/>
      <c r="AZ1065" s="780"/>
      <c r="BA1065" s="780"/>
      <c r="BB1065" s="780"/>
      <c r="BC1065" s="780"/>
      <c r="BD1065" s="780"/>
      <c r="BE1065" s="780"/>
    </row>
    <row r="1066" customFormat="false" ht="14.15" hidden="true" customHeight="true" outlineLevel="1" collapsed="false">
      <c r="A1066" s="666"/>
      <c r="B1066" s="666"/>
      <c r="C1066" s="666"/>
      <c r="D1066" s="788"/>
      <c r="E1066" s="788"/>
      <c r="F1066" s="788"/>
      <c r="G1066" s="819"/>
      <c r="H1066" s="819"/>
      <c r="I1066" s="819"/>
      <c r="J1066" s="819"/>
      <c r="K1066" s="819"/>
      <c r="L1066" s="819"/>
      <c r="M1066" s="819"/>
      <c r="N1066" s="819"/>
      <c r="O1066" s="342"/>
      <c r="P1066" s="342"/>
      <c r="Q1066" s="778"/>
      <c r="R1066" s="778"/>
      <c r="S1066" s="778"/>
      <c r="T1066" s="778"/>
      <c r="U1066" s="778"/>
      <c r="V1066" s="778"/>
      <c r="W1066" s="778"/>
      <c r="X1066" s="778"/>
      <c r="Y1066" s="778"/>
      <c r="Z1066" s="778"/>
      <c r="AA1066" s="778"/>
      <c r="AB1066" s="778"/>
      <c r="AC1066" s="778"/>
      <c r="AD1066" s="778"/>
      <c r="AE1066" s="778"/>
      <c r="AF1066" s="778"/>
      <c r="AG1066" s="778"/>
      <c r="AH1066" s="778"/>
      <c r="AI1066" s="778"/>
      <c r="AJ1066" s="778"/>
      <c r="AK1066" s="778"/>
      <c r="AL1066" s="778"/>
      <c r="AM1066" s="778"/>
      <c r="AN1066" s="778"/>
      <c r="AO1066" s="779"/>
      <c r="AP1066" s="779"/>
      <c r="AQ1066" s="780"/>
      <c r="AR1066" s="780"/>
      <c r="AS1066" s="780"/>
      <c r="AT1066" s="780"/>
      <c r="AU1066" s="780"/>
      <c r="AV1066" s="780"/>
      <c r="AW1066" s="780"/>
      <c r="AX1066" s="780"/>
      <c r="AY1066" s="780"/>
      <c r="AZ1066" s="780"/>
      <c r="BA1066" s="780"/>
      <c r="BB1066" s="780"/>
      <c r="BC1066" s="780"/>
      <c r="BD1066" s="780"/>
      <c r="BE1066" s="780"/>
    </row>
    <row r="1067" customFormat="false" ht="14.15" hidden="false" customHeight="true" outlineLevel="0" collapsed="false">
      <c r="A1067" s="777" t="s">
        <v>2396</v>
      </c>
      <c r="B1067" s="777"/>
      <c r="C1067" s="777"/>
      <c r="D1067" s="777"/>
      <c r="E1067" s="777"/>
      <c r="F1067" s="777"/>
      <c r="G1067" s="777"/>
      <c r="H1067" s="625"/>
      <c r="I1067" s="625"/>
      <c r="J1067" s="625"/>
      <c r="K1067" s="625"/>
      <c r="L1067" s="625"/>
      <c r="M1067" s="600"/>
      <c r="N1067" s="600"/>
      <c r="O1067" s="600"/>
      <c r="P1067" s="342"/>
      <c r="Q1067" s="358"/>
      <c r="R1067" s="342"/>
      <c r="S1067" s="778"/>
      <c r="T1067" s="342"/>
      <c r="U1067" s="342"/>
      <c r="V1067" s="342"/>
      <c r="W1067" s="342"/>
      <c r="X1067" s="342"/>
      <c r="Y1067" s="342"/>
      <c r="Z1067" s="342"/>
      <c r="AA1067" s="355"/>
      <c r="AB1067" s="355"/>
      <c r="AC1067" s="342"/>
      <c r="AD1067" s="342"/>
      <c r="AE1067" s="342"/>
      <c r="AF1067" s="342"/>
      <c r="AG1067" s="342"/>
      <c r="AH1067" s="342"/>
      <c r="AI1067" s="342"/>
      <c r="AJ1067" s="342"/>
      <c r="AK1067" s="342"/>
      <c r="AL1067" s="342"/>
      <c r="AM1067" s="342"/>
      <c r="AN1067" s="342"/>
      <c r="AO1067" s="779"/>
      <c r="AP1067" s="779"/>
      <c r="AQ1067" s="780"/>
      <c r="AR1067" s="780"/>
      <c r="AS1067" s="780"/>
      <c r="AT1067" s="780"/>
      <c r="AU1067" s="780"/>
      <c r="AV1067" s="388" t="n">
        <f aca="false">M1067</f>
        <v>0</v>
      </c>
      <c r="AW1067" s="780"/>
      <c r="AX1067" s="780"/>
      <c r="AY1067" s="780"/>
      <c r="AZ1067" s="780"/>
      <c r="BA1067" s="780"/>
      <c r="BB1067" s="780"/>
      <c r="BC1067" s="780"/>
      <c r="BD1067" s="780"/>
      <c r="BE1067" s="780"/>
    </row>
    <row r="1068" customFormat="false" ht="14.15" hidden="false" customHeight="true" outlineLevel="0" collapsed="false">
      <c r="A1068" s="778"/>
      <c r="B1068" s="830"/>
      <c r="C1068" s="778"/>
      <c r="D1068" s="778"/>
      <c r="E1068" s="778"/>
      <c r="F1068" s="778"/>
      <c r="G1068" s="831"/>
      <c r="H1068" s="782"/>
      <c r="I1068" s="778"/>
      <c r="J1068" s="778"/>
      <c r="K1068" s="778"/>
      <c r="L1068" s="778"/>
      <c r="M1068" s="778"/>
      <c r="N1068" s="778"/>
      <c r="O1068" s="778"/>
      <c r="P1068" s="778"/>
      <c r="Q1068" s="778"/>
      <c r="R1068" s="778"/>
      <c r="S1068" s="778"/>
      <c r="T1068" s="778"/>
      <c r="U1068" s="778"/>
      <c r="V1068" s="778"/>
      <c r="W1068" s="778"/>
      <c r="X1068" s="778"/>
      <c r="Y1068" s="778"/>
      <c r="Z1068" s="778"/>
      <c r="AA1068" s="778"/>
      <c r="AB1068" s="778"/>
      <c r="AC1068" s="778"/>
      <c r="AD1068" s="778"/>
      <c r="AE1068" s="778"/>
      <c r="AF1068" s="778"/>
      <c r="AG1068" s="778"/>
      <c r="AH1068" s="778"/>
      <c r="AI1068" s="778"/>
      <c r="AJ1068" s="778"/>
      <c r="AK1068" s="778"/>
      <c r="AL1068" s="778"/>
      <c r="AM1068" s="778"/>
      <c r="AN1068" s="778"/>
      <c r="AO1068" s="779"/>
      <c r="AP1068" s="779"/>
      <c r="AQ1068" s="780"/>
      <c r="AR1068" s="780"/>
      <c r="AS1068" s="780"/>
      <c r="AT1068" s="780"/>
      <c r="AU1068" s="780"/>
      <c r="AV1068" s="780"/>
      <c r="AW1068" s="780"/>
      <c r="AX1068" s="780"/>
      <c r="AY1068" s="780"/>
      <c r="AZ1068" s="780"/>
      <c r="BA1068" s="780"/>
      <c r="BB1068" s="780"/>
      <c r="BC1068" s="780"/>
      <c r="BD1068" s="780"/>
      <c r="BE1068" s="780"/>
    </row>
    <row r="1069" customFormat="false" ht="14.15" hidden="true" customHeight="true" outlineLevel="1" collapsed="false">
      <c r="A1069" s="783" t="s">
        <v>2397</v>
      </c>
      <c r="B1069" s="783"/>
      <c r="C1069" s="783"/>
      <c r="D1069" s="783"/>
      <c r="E1069" s="783"/>
      <c r="F1069" s="783"/>
      <c r="G1069" s="783"/>
      <c r="H1069" s="784"/>
      <c r="I1069" s="784"/>
      <c r="J1069" s="784"/>
      <c r="K1069" s="784"/>
      <c r="L1069" s="784"/>
      <c r="M1069" s="784"/>
      <c r="N1069" s="784"/>
      <c r="O1069" s="784"/>
      <c r="P1069" s="784"/>
      <c r="Q1069" s="784"/>
      <c r="R1069" s="784"/>
      <c r="S1069" s="784"/>
      <c r="T1069" s="784"/>
      <c r="U1069" s="784"/>
      <c r="V1069" s="784"/>
      <c r="W1069" s="784"/>
      <c r="X1069" s="784"/>
      <c r="Y1069" s="784"/>
      <c r="Z1069" s="784"/>
      <c r="AA1069" s="784"/>
      <c r="AB1069" s="784"/>
      <c r="AC1069" s="784"/>
      <c r="AD1069" s="784"/>
      <c r="AE1069" s="784"/>
      <c r="AF1069" s="784"/>
      <c r="AG1069" s="784"/>
      <c r="AH1069" s="784"/>
      <c r="AI1069" s="784"/>
      <c r="AJ1069" s="784"/>
      <c r="AK1069" s="784"/>
      <c r="AL1069" s="784"/>
      <c r="AM1069" s="784"/>
      <c r="AN1069" s="784"/>
      <c r="AO1069" s="784"/>
      <c r="AP1069" s="784"/>
      <c r="AQ1069" s="832"/>
      <c r="AR1069" s="833"/>
      <c r="AS1069" s="833"/>
      <c r="AT1069" s="833"/>
      <c r="AU1069" s="833"/>
      <c r="AV1069" s="833"/>
      <c r="AW1069" s="833"/>
      <c r="AX1069" s="833"/>
      <c r="AY1069" s="833"/>
      <c r="AZ1069" s="833"/>
      <c r="BA1069" s="833"/>
      <c r="BB1069" s="833"/>
      <c r="BC1069" s="833"/>
      <c r="BD1069" s="833"/>
      <c r="BE1069" s="833"/>
    </row>
    <row r="1070" customFormat="false" ht="14.15" hidden="true" customHeight="true" outlineLevel="1" collapsed="false">
      <c r="A1070" s="783"/>
      <c r="B1070" s="783"/>
      <c r="C1070" s="783"/>
      <c r="D1070" s="783"/>
      <c r="E1070" s="783"/>
      <c r="F1070" s="783"/>
      <c r="G1070" s="783"/>
      <c r="H1070" s="784"/>
      <c r="I1070" s="784"/>
      <c r="J1070" s="784"/>
      <c r="K1070" s="784"/>
      <c r="L1070" s="784"/>
      <c r="M1070" s="784"/>
      <c r="N1070" s="784"/>
      <c r="O1070" s="784"/>
      <c r="P1070" s="784"/>
      <c r="Q1070" s="784"/>
      <c r="R1070" s="784"/>
      <c r="S1070" s="784"/>
      <c r="T1070" s="784"/>
      <c r="U1070" s="784"/>
      <c r="V1070" s="784"/>
      <c r="W1070" s="784"/>
      <c r="X1070" s="784"/>
      <c r="Y1070" s="784"/>
      <c r="Z1070" s="784"/>
      <c r="AA1070" s="784"/>
      <c r="AB1070" s="784"/>
      <c r="AC1070" s="784"/>
      <c r="AD1070" s="784"/>
      <c r="AE1070" s="784"/>
      <c r="AF1070" s="784"/>
      <c r="AG1070" s="784"/>
      <c r="AH1070" s="784"/>
      <c r="AI1070" s="784"/>
      <c r="AJ1070" s="784"/>
      <c r="AK1070" s="784"/>
      <c r="AL1070" s="784"/>
      <c r="AM1070" s="784"/>
      <c r="AN1070" s="784"/>
      <c r="AO1070" s="784"/>
      <c r="AP1070" s="784"/>
      <c r="AQ1070" s="832"/>
      <c r="AR1070" s="833"/>
      <c r="AS1070" s="833"/>
      <c r="AT1070" s="833"/>
      <c r="AU1070" s="833"/>
      <c r="AV1070" s="833"/>
      <c r="AW1070" s="833"/>
      <c r="AX1070" s="833"/>
      <c r="AY1070" s="833"/>
      <c r="AZ1070" s="833"/>
      <c r="BA1070" s="833"/>
      <c r="BB1070" s="833"/>
      <c r="BC1070" s="833"/>
      <c r="BD1070" s="833"/>
      <c r="BE1070" s="833"/>
    </row>
    <row r="1071" customFormat="false" ht="14.15" hidden="true" customHeight="true" outlineLevel="1" collapsed="false">
      <c r="A1071" s="415" t="s">
        <v>1806</v>
      </c>
      <c r="B1071" s="416"/>
      <c r="C1071" s="417"/>
      <c r="D1071" s="595" t="n">
        <v>1.1</v>
      </c>
      <c r="G1071" s="676"/>
      <c r="H1071" s="676"/>
      <c r="I1071" s="676"/>
      <c r="J1071" s="676"/>
      <c r="K1071" s="676"/>
      <c r="L1071" s="676"/>
      <c r="M1071" s="676"/>
      <c r="N1071" s="676"/>
      <c r="O1071" s="676"/>
      <c r="P1071" s="676"/>
      <c r="Q1071" s="676"/>
      <c r="R1071" s="676"/>
      <c r="S1071" s="676"/>
      <c r="T1071" s="676"/>
      <c r="U1071" s="676"/>
      <c r="V1071" s="676"/>
      <c r="W1071" s="676"/>
      <c r="X1071" s="676"/>
      <c r="Y1071" s="676"/>
      <c r="Z1071" s="676"/>
      <c r="AA1071" s="676"/>
      <c r="AB1071" s="676"/>
      <c r="AC1071" s="676"/>
      <c r="AD1071" s="676"/>
      <c r="AE1071" s="676"/>
      <c r="AF1071" s="479"/>
      <c r="AG1071" s="479"/>
      <c r="AH1071" s="479"/>
      <c r="AI1071" s="834"/>
      <c r="AJ1071" s="479"/>
      <c r="AK1071" s="479"/>
      <c r="AL1071" s="479"/>
      <c r="AM1071" s="479"/>
      <c r="AN1071" s="479"/>
      <c r="AO1071" s="468"/>
      <c r="AP1071" s="468"/>
      <c r="AQ1071" s="834"/>
      <c r="AR1071" s="833"/>
      <c r="AS1071" s="833"/>
      <c r="AT1071" s="833"/>
      <c r="AU1071" s="833"/>
      <c r="AV1071" s="833"/>
      <c r="AW1071" s="833"/>
      <c r="AX1071" s="833"/>
      <c r="AY1071" s="833"/>
      <c r="AZ1071" s="833"/>
      <c r="BA1071" s="833"/>
      <c r="BB1071" s="833"/>
      <c r="BC1071" s="833"/>
      <c r="BD1071" s="833"/>
      <c r="BE1071" s="833"/>
    </row>
    <row r="1072" customFormat="false" ht="14.15" hidden="true" customHeight="true" outlineLevel="1" collapsed="false">
      <c r="A1072" s="415" t="s">
        <v>1808</v>
      </c>
      <c r="B1072" s="416"/>
      <c r="C1072" s="417"/>
      <c r="D1072" s="595" t="n">
        <v>1</v>
      </c>
      <c r="G1072" s="676"/>
      <c r="H1072" s="676"/>
      <c r="I1072" s="676"/>
      <c r="J1072" s="676"/>
      <c r="K1072" s="676"/>
      <c r="L1072" s="676"/>
      <c r="M1072" s="676"/>
      <c r="N1072" s="676"/>
      <c r="O1072" s="676"/>
      <c r="P1072" s="676"/>
      <c r="Q1072" s="676"/>
      <c r="R1072" s="676"/>
      <c r="S1072" s="676"/>
      <c r="T1072" s="676"/>
      <c r="U1072" s="676"/>
      <c r="V1072" s="676"/>
      <c r="W1072" s="676"/>
      <c r="X1072" s="676"/>
      <c r="Y1072" s="676"/>
      <c r="Z1072" s="676"/>
      <c r="AA1072" s="676"/>
      <c r="AB1072" s="676"/>
      <c r="AC1072" s="676"/>
      <c r="AD1072" s="676"/>
      <c r="AE1072" s="676"/>
      <c r="AF1072" s="479"/>
      <c r="AG1072" s="479"/>
      <c r="AH1072" s="479"/>
      <c r="AI1072" s="479"/>
      <c r="AJ1072" s="479"/>
      <c r="AK1072" s="479"/>
      <c r="AL1072" s="479"/>
      <c r="AM1072" s="479"/>
      <c r="AN1072" s="479"/>
      <c r="AO1072" s="468"/>
      <c r="AP1072" s="468"/>
      <c r="AQ1072" s="834"/>
      <c r="AR1072" s="833"/>
      <c r="AS1072" s="833"/>
      <c r="AT1072" s="833"/>
      <c r="AU1072" s="833"/>
      <c r="AV1072" s="833"/>
      <c r="AW1072" s="833"/>
      <c r="AX1072" s="833"/>
      <c r="AY1072" s="833"/>
      <c r="AZ1072" s="833"/>
      <c r="BA1072" s="833"/>
      <c r="BB1072" s="833"/>
      <c r="BC1072" s="833"/>
      <c r="BD1072" s="833"/>
      <c r="BE1072" s="833"/>
    </row>
    <row r="1073" customFormat="false" ht="14.15" hidden="true" customHeight="true" outlineLevel="1" collapsed="false">
      <c r="B1073" s="598"/>
      <c r="C1073" s="676"/>
      <c r="D1073" s="676"/>
      <c r="E1073" s="676"/>
      <c r="F1073" s="676"/>
      <c r="G1073" s="676"/>
      <c r="H1073" s="676"/>
      <c r="I1073" s="676"/>
      <c r="J1073" s="676"/>
      <c r="K1073" s="676"/>
      <c r="L1073" s="676"/>
      <c r="M1073" s="676"/>
      <c r="N1073" s="676"/>
      <c r="O1073" s="676"/>
      <c r="P1073" s="676"/>
      <c r="Q1073" s="676"/>
      <c r="R1073" s="676"/>
      <c r="S1073" s="676"/>
      <c r="T1073" s="676"/>
      <c r="U1073" s="676"/>
      <c r="V1073" s="676"/>
      <c r="W1073" s="676"/>
      <c r="X1073" s="676"/>
      <c r="Y1073" s="598"/>
      <c r="Z1073" s="598"/>
      <c r="AA1073" s="597"/>
      <c r="AB1073" s="598"/>
      <c r="AC1073" s="598"/>
      <c r="AD1073" s="598"/>
      <c r="AE1073" s="598"/>
      <c r="AF1073" s="479"/>
      <c r="AG1073" s="479"/>
      <c r="AH1073" s="479"/>
      <c r="AI1073" s="479"/>
      <c r="AJ1073" s="479"/>
      <c r="AK1073" s="479"/>
      <c r="AL1073" s="479"/>
      <c r="AM1073" s="479"/>
      <c r="AN1073" s="479"/>
      <c r="AO1073" s="468"/>
      <c r="AP1073" s="468"/>
      <c r="AQ1073" s="834"/>
      <c r="AR1073" s="833"/>
      <c r="AS1073" s="833"/>
      <c r="AT1073" s="833"/>
      <c r="AU1073" s="833"/>
      <c r="AV1073" s="833"/>
      <c r="AW1073" s="833"/>
      <c r="AX1073" s="833"/>
      <c r="AY1073" s="833"/>
      <c r="AZ1073" s="833"/>
      <c r="BA1073" s="833"/>
      <c r="BB1073" s="833"/>
      <c r="BC1073" s="833"/>
      <c r="BD1073" s="833"/>
      <c r="BE1073" s="833"/>
    </row>
    <row r="1074" customFormat="false" ht="14.15" hidden="true" customHeight="true" outlineLevel="1" collapsed="false">
      <c r="A1074" s="358" t="s">
        <v>2398</v>
      </c>
      <c r="B1074" s="371"/>
      <c r="C1074" s="358"/>
      <c r="G1074" s="676"/>
      <c r="H1074" s="676"/>
      <c r="I1074" s="676"/>
      <c r="J1074" s="676"/>
      <c r="K1074" s="676"/>
      <c r="L1074" s="676"/>
      <c r="M1074" s="676"/>
      <c r="N1074" s="676"/>
      <c r="O1074" s="676"/>
      <c r="P1074" s="676"/>
      <c r="Q1074" s="676"/>
      <c r="R1074" s="676"/>
      <c r="S1074" s="676"/>
      <c r="T1074" s="676"/>
      <c r="U1074" s="676"/>
      <c r="V1074" s="676"/>
      <c r="W1074" s="676"/>
      <c r="X1074" s="676"/>
      <c r="Y1074" s="598"/>
      <c r="Z1074" s="598"/>
      <c r="AA1074" s="597"/>
      <c r="AB1074" s="598"/>
      <c r="AC1074" s="598"/>
      <c r="AD1074" s="598"/>
      <c r="AE1074" s="598"/>
      <c r="AF1074" s="479"/>
      <c r="AG1074" s="479"/>
      <c r="AH1074" s="479"/>
      <c r="AI1074" s="479"/>
      <c r="AJ1074" s="479"/>
      <c r="AK1074" s="479"/>
      <c r="AL1074" s="479"/>
      <c r="AM1074" s="479"/>
      <c r="AN1074" s="479"/>
      <c r="AO1074" s="468"/>
      <c r="AP1074" s="468"/>
      <c r="AQ1074" s="834"/>
      <c r="AR1074" s="833"/>
      <c r="AS1074" s="833"/>
      <c r="AT1074" s="833"/>
      <c r="AU1074" s="833"/>
      <c r="AV1074" s="833"/>
      <c r="AW1074" s="833"/>
      <c r="AX1074" s="833"/>
      <c r="AY1074" s="833"/>
      <c r="AZ1074" s="833"/>
      <c r="BA1074" s="833"/>
      <c r="BB1074" s="833"/>
      <c r="BC1074" s="833"/>
      <c r="BD1074" s="833"/>
      <c r="BE1074" s="833"/>
    </row>
    <row r="1075" customFormat="false" ht="14.15" hidden="true" customHeight="true" outlineLevel="1" collapsed="false">
      <c r="A1075" s="835" t="s">
        <v>2399</v>
      </c>
      <c r="B1075" s="477"/>
      <c r="C1075" s="836"/>
      <c r="G1075" s="676"/>
      <c r="H1075" s="676"/>
      <c r="I1075" s="676"/>
      <c r="J1075" s="676"/>
      <c r="K1075" s="676"/>
      <c r="L1075" s="676"/>
      <c r="M1075" s="676"/>
      <c r="N1075" s="676"/>
      <c r="O1075" s="676"/>
      <c r="P1075" s="676"/>
      <c r="Q1075" s="676"/>
      <c r="R1075" s="676"/>
      <c r="S1075" s="676"/>
      <c r="T1075" s="676"/>
      <c r="U1075" s="676"/>
      <c r="V1075" s="676"/>
      <c r="W1075" s="676"/>
      <c r="X1075" s="676"/>
      <c r="Y1075" s="598"/>
      <c r="Z1075" s="598"/>
      <c r="AA1075" s="597"/>
      <c r="AB1075" s="598"/>
      <c r="AC1075" s="598"/>
      <c r="AD1075" s="598"/>
      <c r="AE1075" s="598"/>
      <c r="AF1075" s="479"/>
      <c r="AG1075" s="479"/>
      <c r="AH1075" s="479"/>
      <c r="AI1075" s="479"/>
      <c r="AJ1075" s="479"/>
      <c r="AK1075" s="479"/>
      <c r="AL1075" s="479"/>
      <c r="AM1075" s="479"/>
      <c r="AN1075" s="479"/>
      <c r="AO1075" s="468"/>
      <c r="AP1075" s="468"/>
      <c r="AQ1075" s="834"/>
      <c r="AR1075" s="833"/>
      <c r="AS1075" s="833"/>
      <c r="AT1075" s="833"/>
      <c r="AU1075" s="833"/>
      <c r="AV1075" s="833"/>
      <c r="AW1075" s="833"/>
      <c r="AX1075" s="833"/>
      <c r="AY1075" s="833"/>
      <c r="AZ1075" s="833"/>
      <c r="BA1075" s="833"/>
      <c r="BB1075" s="833"/>
      <c r="BC1075" s="833"/>
      <c r="BD1075" s="833"/>
      <c r="BE1075" s="833"/>
    </row>
    <row r="1076" customFormat="false" ht="14.15" hidden="true" customHeight="true" outlineLevel="1" collapsed="false">
      <c r="A1076" s="501" t="s">
        <v>2400</v>
      </c>
      <c r="B1076" s="477"/>
      <c r="C1076" s="836"/>
      <c r="G1076" s="676"/>
      <c r="H1076" s="676"/>
      <c r="I1076" s="676"/>
      <c r="J1076" s="676"/>
      <c r="K1076" s="676"/>
      <c r="L1076" s="676"/>
      <c r="M1076" s="676"/>
      <c r="N1076" s="676"/>
      <c r="O1076" s="676"/>
      <c r="P1076" s="676"/>
      <c r="Q1076" s="676"/>
      <c r="R1076" s="676"/>
      <c r="S1076" s="676"/>
      <c r="T1076" s="676"/>
      <c r="U1076" s="676"/>
      <c r="V1076" s="676"/>
      <c r="W1076" s="676"/>
      <c r="X1076" s="676"/>
      <c r="Y1076" s="598"/>
      <c r="Z1076" s="598"/>
      <c r="AA1076" s="597"/>
      <c r="AB1076" s="598"/>
      <c r="AC1076" s="598"/>
      <c r="AD1076" s="598"/>
      <c r="AE1076" s="598"/>
      <c r="AF1076" s="479"/>
      <c r="AG1076" s="479"/>
      <c r="AH1076" s="479"/>
      <c r="AI1076" s="479"/>
      <c r="AJ1076" s="479"/>
      <c r="AK1076" s="479"/>
      <c r="AL1076" s="479"/>
      <c r="AM1076" s="479"/>
      <c r="AN1076" s="479"/>
      <c r="AO1076" s="468"/>
      <c r="AP1076" s="468"/>
      <c r="AQ1076" s="834"/>
      <c r="AR1076" s="833"/>
      <c r="AS1076" s="833"/>
      <c r="AT1076" s="833"/>
      <c r="AU1076" s="833"/>
      <c r="AV1076" s="833"/>
      <c r="AW1076" s="833"/>
      <c r="AX1076" s="833"/>
      <c r="AY1076" s="833"/>
      <c r="AZ1076" s="833"/>
      <c r="BA1076" s="833"/>
      <c r="BB1076" s="833"/>
      <c r="BC1076" s="833"/>
      <c r="BD1076" s="833"/>
      <c r="BE1076" s="833"/>
    </row>
    <row r="1077" customFormat="false" ht="14.15" hidden="true" customHeight="true" outlineLevel="1" collapsed="false">
      <c r="A1077" s="837" t="s">
        <v>2401</v>
      </c>
      <c r="B1077" s="477"/>
      <c r="C1077" s="479"/>
      <c r="G1077" s="676"/>
      <c r="H1077" s="676"/>
      <c r="I1077" s="676"/>
      <c r="J1077" s="676"/>
      <c r="K1077" s="676"/>
      <c r="L1077" s="676"/>
      <c r="M1077" s="676"/>
      <c r="N1077" s="676"/>
      <c r="O1077" s="676"/>
      <c r="P1077" s="676"/>
      <c r="Q1077" s="676"/>
      <c r="R1077" s="676"/>
      <c r="S1077" s="676"/>
      <c r="T1077" s="676"/>
      <c r="U1077" s="676"/>
      <c r="V1077" s="676"/>
      <c r="W1077" s="676"/>
      <c r="X1077" s="676"/>
      <c r="Y1077" s="598"/>
      <c r="Z1077" s="598"/>
      <c r="AA1077" s="597"/>
      <c r="AB1077" s="598"/>
      <c r="AC1077" s="598"/>
      <c r="AD1077" s="598"/>
      <c r="AE1077" s="598"/>
      <c r="AF1077" s="479"/>
      <c r="AG1077" s="479"/>
      <c r="AH1077" s="479"/>
      <c r="AI1077" s="479"/>
      <c r="AJ1077" s="479"/>
      <c r="AK1077" s="479"/>
      <c r="AL1077" s="479"/>
      <c r="AM1077" s="479"/>
      <c r="AN1077" s="479"/>
      <c r="AO1077" s="468"/>
      <c r="AP1077" s="468"/>
      <c r="AQ1077" s="834"/>
      <c r="AR1077" s="833"/>
      <c r="AS1077" s="833"/>
      <c r="AT1077" s="833"/>
      <c r="AU1077" s="833"/>
      <c r="AV1077" s="833"/>
      <c r="AW1077" s="833"/>
      <c r="AX1077" s="833"/>
      <c r="AY1077" s="833"/>
      <c r="AZ1077" s="833"/>
      <c r="BA1077" s="833"/>
      <c r="BB1077" s="833"/>
      <c r="BC1077" s="833"/>
      <c r="BD1077" s="833"/>
      <c r="BE1077" s="833"/>
    </row>
    <row r="1078" customFormat="false" ht="14.15" hidden="true" customHeight="true" outlineLevel="1" collapsed="false">
      <c r="A1078" s="501" t="s">
        <v>2402</v>
      </c>
      <c r="B1078" s="477"/>
      <c r="C1078" s="479"/>
      <c r="G1078" s="676"/>
      <c r="H1078" s="676"/>
      <c r="I1078" s="676"/>
      <c r="J1078" s="676"/>
      <c r="K1078" s="676"/>
      <c r="L1078" s="676"/>
      <c r="M1078" s="676"/>
      <c r="N1078" s="676"/>
      <c r="O1078" s="676"/>
      <c r="P1078" s="676"/>
      <c r="Q1078" s="676"/>
      <c r="R1078" s="676"/>
      <c r="S1078" s="676"/>
      <c r="T1078" s="676"/>
      <c r="U1078" s="676"/>
      <c r="V1078" s="676"/>
      <c r="W1078" s="676"/>
      <c r="X1078" s="676"/>
      <c r="Y1078" s="598"/>
      <c r="Z1078" s="598"/>
      <c r="AA1078" s="597"/>
      <c r="AB1078" s="598"/>
      <c r="AC1078" s="598"/>
      <c r="AD1078" s="598"/>
      <c r="AE1078" s="598"/>
      <c r="AF1078" s="479"/>
      <c r="AG1078" s="479"/>
      <c r="AH1078" s="479"/>
      <c r="AI1078" s="479"/>
      <c r="AJ1078" s="479"/>
      <c r="AK1078" s="479"/>
      <c r="AL1078" s="479"/>
      <c r="AM1078" s="479"/>
      <c r="AN1078" s="479"/>
      <c r="AO1078" s="468"/>
      <c r="AP1078" s="468"/>
      <c r="AQ1078" s="834"/>
      <c r="AR1078" s="833"/>
      <c r="AS1078" s="833"/>
      <c r="AT1078" s="833"/>
      <c r="AU1078" s="833"/>
      <c r="AV1078" s="833"/>
      <c r="AW1078" s="833"/>
      <c r="AX1078" s="833"/>
      <c r="AY1078" s="833"/>
      <c r="AZ1078" s="833"/>
      <c r="BA1078" s="833"/>
      <c r="BB1078" s="833"/>
      <c r="BC1078" s="833"/>
      <c r="BD1078" s="833"/>
      <c r="BE1078" s="833"/>
    </row>
    <row r="1079" customFormat="false" ht="14.15" hidden="true" customHeight="true" outlineLevel="1" collapsed="false">
      <c r="A1079" s="838" t="s">
        <v>43</v>
      </c>
      <c r="B1079" s="477"/>
      <c r="C1079" s="479"/>
      <c r="G1079" s="676"/>
      <c r="H1079" s="676"/>
      <c r="I1079" s="676"/>
      <c r="J1079" s="676"/>
      <c r="K1079" s="676"/>
      <c r="L1079" s="676"/>
      <c r="M1079" s="676"/>
      <c r="N1079" s="676"/>
      <c r="O1079" s="676"/>
      <c r="P1079" s="676"/>
      <c r="Q1079" s="676"/>
      <c r="R1079" s="676"/>
      <c r="S1079" s="676"/>
      <c r="T1079" s="676"/>
      <c r="U1079" s="676"/>
      <c r="V1079" s="676"/>
      <c r="W1079" s="676"/>
      <c r="X1079" s="676"/>
      <c r="Y1079" s="598"/>
      <c r="Z1079" s="598"/>
      <c r="AA1079" s="597"/>
      <c r="AB1079" s="598"/>
      <c r="AC1079" s="598"/>
      <c r="AD1079" s="598"/>
      <c r="AE1079" s="598"/>
      <c r="AF1079" s="479"/>
      <c r="AG1079" s="479"/>
      <c r="AH1079" s="479"/>
      <c r="AI1079" s="479"/>
      <c r="AJ1079" s="479"/>
      <c r="AK1079" s="479"/>
      <c r="AL1079" s="479"/>
      <c r="AM1079" s="479"/>
      <c r="AN1079" s="479"/>
      <c r="AO1079" s="468"/>
      <c r="AP1079" s="468"/>
      <c r="AQ1079" s="834"/>
      <c r="AR1079" s="833"/>
      <c r="AS1079" s="833"/>
      <c r="AT1079" s="833"/>
      <c r="AU1079" s="833"/>
      <c r="AV1079" s="833"/>
      <c r="AW1079" s="833"/>
      <c r="AX1079" s="833"/>
      <c r="AY1079" s="833"/>
      <c r="AZ1079" s="833"/>
      <c r="BA1079" s="833"/>
      <c r="BB1079" s="833"/>
      <c r="BC1079" s="833"/>
      <c r="BD1079" s="833"/>
      <c r="BE1079" s="833"/>
    </row>
    <row r="1080" customFormat="false" ht="14.15" hidden="true" customHeight="true" outlineLevel="1" collapsed="false">
      <c r="A1080" s="501"/>
      <c r="B1080" s="477"/>
      <c r="C1080" s="479"/>
      <c r="G1080" s="676"/>
      <c r="H1080" s="676"/>
      <c r="I1080" s="676"/>
      <c r="J1080" s="676"/>
      <c r="K1080" s="676"/>
      <c r="L1080" s="676"/>
      <c r="M1080" s="676"/>
      <c r="N1080" s="676"/>
      <c r="O1080" s="676"/>
      <c r="P1080" s="676"/>
      <c r="Q1080" s="676"/>
      <c r="R1080" s="676"/>
      <c r="S1080" s="676"/>
      <c r="T1080" s="676"/>
      <c r="U1080" s="676"/>
      <c r="V1080" s="676"/>
      <c r="W1080" s="676"/>
      <c r="X1080" s="676"/>
      <c r="Y1080" s="598"/>
      <c r="Z1080" s="598"/>
      <c r="AA1080" s="597"/>
      <c r="AB1080" s="598"/>
      <c r="AC1080" s="598"/>
      <c r="AD1080" s="598"/>
      <c r="AE1080" s="598"/>
      <c r="AF1080" s="479"/>
      <c r="AG1080" s="479"/>
      <c r="AH1080" s="479"/>
      <c r="AI1080" s="479"/>
      <c r="AJ1080" s="479"/>
      <c r="AK1080" s="479"/>
      <c r="AL1080" s="479"/>
      <c r="AM1080" s="479"/>
      <c r="AN1080" s="479"/>
      <c r="AO1080" s="468"/>
      <c r="AP1080" s="468"/>
      <c r="AQ1080" s="834"/>
      <c r="AR1080" s="833"/>
      <c r="AS1080" s="833"/>
      <c r="AT1080" s="833"/>
      <c r="AU1080" s="833"/>
      <c r="AV1080" s="833"/>
      <c r="AW1080" s="833"/>
      <c r="AX1080" s="833"/>
      <c r="AY1080" s="833"/>
      <c r="AZ1080" s="833"/>
      <c r="BA1080" s="833"/>
      <c r="BB1080" s="833"/>
      <c r="BC1080" s="833"/>
      <c r="BD1080" s="833"/>
      <c r="BE1080" s="833"/>
    </row>
    <row r="1081" customFormat="false" ht="14.15" hidden="true" customHeight="true" outlineLevel="1" collapsed="false">
      <c r="A1081" s="358" t="s">
        <v>2403</v>
      </c>
      <c r="B1081" s="477"/>
      <c r="C1081" s="479"/>
      <c r="G1081" s="676"/>
      <c r="H1081" s="676"/>
      <c r="I1081" s="676"/>
      <c r="J1081" s="676"/>
      <c r="K1081" s="676"/>
      <c r="L1081" s="676"/>
      <c r="M1081" s="676"/>
      <c r="N1081" s="676"/>
      <c r="O1081" s="676"/>
      <c r="P1081" s="676"/>
      <c r="Q1081" s="676"/>
      <c r="R1081" s="676"/>
      <c r="S1081" s="676"/>
      <c r="T1081" s="676"/>
      <c r="U1081" s="676"/>
      <c r="V1081" s="676"/>
      <c r="W1081" s="676"/>
      <c r="X1081" s="676"/>
      <c r="Y1081" s="598"/>
      <c r="Z1081" s="598"/>
      <c r="AA1081" s="597"/>
      <c r="AB1081" s="598"/>
      <c r="AC1081" s="598"/>
      <c r="AD1081" s="598"/>
      <c r="AE1081" s="598"/>
      <c r="AF1081" s="479"/>
      <c r="AG1081" s="479"/>
      <c r="AH1081" s="479"/>
      <c r="AI1081" s="479"/>
      <c r="AJ1081" s="479"/>
      <c r="AK1081" s="479"/>
      <c r="AL1081" s="479"/>
      <c r="AM1081" s="479"/>
      <c r="AN1081" s="479"/>
      <c r="AO1081" s="468"/>
      <c r="AP1081" s="468"/>
      <c r="AQ1081" s="834"/>
      <c r="AR1081" s="833"/>
      <c r="AS1081" s="833"/>
      <c r="AT1081" s="833"/>
      <c r="AU1081" s="833"/>
      <c r="AV1081" s="833"/>
      <c r="AW1081" s="833"/>
      <c r="AX1081" s="833"/>
      <c r="AY1081" s="833"/>
      <c r="AZ1081" s="833"/>
      <c r="BA1081" s="833"/>
      <c r="BB1081" s="833"/>
      <c r="BC1081" s="833"/>
      <c r="BD1081" s="833"/>
      <c r="BE1081" s="833"/>
    </row>
    <row r="1082" customFormat="false" ht="14.15" hidden="true" customHeight="true" outlineLevel="1" collapsed="false">
      <c r="A1082" s="837" t="s">
        <v>2404</v>
      </c>
      <c r="B1082" s="477"/>
      <c r="C1082" s="479"/>
      <c r="G1082" s="676"/>
      <c r="H1082" s="676"/>
      <c r="I1082" s="676"/>
      <c r="J1082" s="676"/>
      <c r="K1082" s="676"/>
      <c r="L1082" s="676"/>
      <c r="M1082" s="676"/>
      <c r="N1082" s="676"/>
      <c r="O1082" s="676"/>
      <c r="P1082" s="676"/>
      <c r="Q1082" s="676"/>
      <c r="R1082" s="676"/>
      <c r="S1082" s="676"/>
      <c r="T1082" s="676"/>
      <c r="U1082" s="676"/>
      <c r="V1082" s="676"/>
      <c r="W1082" s="676"/>
      <c r="X1082" s="676"/>
      <c r="Y1082" s="598"/>
      <c r="Z1082" s="598"/>
      <c r="AA1082" s="597"/>
      <c r="AB1082" s="598"/>
      <c r="AC1082" s="598"/>
      <c r="AD1082" s="598"/>
      <c r="AE1082" s="598"/>
      <c r="AF1082" s="479"/>
      <c r="AG1082" s="479"/>
      <c r="AH1082" s="479"/>
      <c r="AI1082" s="479"/>
      <c r="AJ1082" s="479"/>
      <c r="AK1082" s="479"/>
      <c r="AL1082" s="479"/>
      <c r="AM1082" s="479"/>
      <c r="AN1082" s="479"/>
      <c r="AO1082" s="468"/>
      <c r="AP1082" s="468"/>
      <c r="AQ1082" s="834"/>
      <c r="AR1082" s="833"/>
      <c r="AS1082" s="833"/>
      <c r="AT1082" s="833"/>
      <c r="AU1082" s="833"/>
      <c r="AV1082" s="833"/>
      <c r="AW1082" s="833"/>
      <c r="AX1082" s="833"/>
      <c r="AY1082" s="833"/>
      <c r="AZ1082" s="833"/>
      <c r="BA1082" s="833"/>
      <c r="BB1082" s="833"/>
      <c r="BC1082" s="833"/>
      <c r="BD1082" s="833"/>
      <c r="BE1082" s="833"/>
    </row>
    <row r="1083" customFormat="false" ht="14.15" hidden="true" customHeight="true" outlineLevel="1" collapsed="false">
      <c r="A1083" s="501" t="s">
        <v>2405</v>
      </c>
      <c r="B1083" s="477"/>
      <c r="C1083" s="479"/>
      <c r="G1083" s="676"/>
      <c r="H1083" s="676"/>
      <c r="I1083" s="676"/>
      <c r="J1083" s="676"/>
      <c r="K1083" s="676"/>
      <c r="L1083" s="676"/>
      <c r="M1083" s="676"/>
      <c r="N1083" s="676"/>
      <c r="O1083" s="676"/>
      <c r="P1083" s="676"/>
      <c r="Q1083" s="676"/>
      <c r="R1083" s="676"/>
      <c r="S1083" s="676"/>
      <c r="T1083" s="676"/>
      <c r="U1083" s="676"/>
      <c r="V1083" s="676"/>
      <c r="W1083" s="676"/>
      <c r="X1083" s="676"/>
      <c r="Y1083" s="598"/>
      <c r="Z1083" s="598"/>
      <c r="AA1083" s="597"/>
      <c r="AB1083" s="598"/>
      <c r="AC1083" s="598"/>
      <c r="AD1083" s="598"/>
      <c r="AE1083" s="598"/>
      <c r="AF1083" s="479"/>
      <c r="AG1083" s="479"/>
      <c r="AH1083" s="479"/>
      <c r="AI1083" s="479"/>
      <c r="AJ1083" s="479"/>
      <c r="AK1083" s="479"/>
      <c r="AL1083" s="479"/>
      <c r="AM1083" s="479"/>
      <c r="AN1083" s="479"/>
      <c r="AO1083" s="468"/>
      <c r="AP1083" s="468"/>
      <c r="AQ1083" s="834"/>
      <c r="AR1083" s="833"/>
      <c r="AS1083" s="833"/>
      <c r="AT1083" s="833"/>
      <c r="AU1083" s="833"/>
      <c r="AV1083" s="833"/>
      <c r="AW1083" s="833"/>
      <c r="AX1083" s="833"/>
      <c r="AY1083" s="833"/>
      <c r="AZ1083" s="833"/>
      <c r="BA1083" s="833"/>
      <c r="BB1083" s="833"/>
      <c r="BC1083" s="833"/>
      <c r="BD1083" s="833"/>
      <c r="BE1083" s="833"/>
    </row>
    <row r="1084" customFormat="false" ht="14.15" hidden="true" customHeight="true" outlineLevel="1" collapsed="false">
      <c r="A1084" s="837" t="s">
        <v>2404</v>
      </c>
      <c r="B1084" s="477"/>
      <c r="C1084" s="479"/>
      <c r="G1084" s="676"/>
      <c r="H1084" s="676"/>
      <c r="I1084" s="676"/>
      <c r="J1084" s="676"/>
      <c r="K1084" s="676"/>
      <c r="L1084" s="676"/>
      <c r="M1084" s="676"/>
      <c r="N1084" s="676"/>
      <c r="O1084" s="676"/>
      <c r="P1084" s="676"/>
      <c r="Q1084" s="676"/>
      <c r="R1084" s="676"/>
      <c r="S1084" s="676"/>
      <c r="T1084" s="676"/>
      <c r="U1084" s="676"/>
      <c r="V1084" s="676"/>
      <c r="W1084" s="676"/>
      <c r="X1084" s="676"/>
      <c r="Y1084" s="598"/>
      <c r="Z1084" s="598"/>
      <c r="AA1084" s="597"/>
      <c r="AB1084" s="598"/>
      <c r="AC1084" s="598"/>
      <c r="AD1084" s="598"/>
      <c r="AE1084" s="598"/>
      <c r="AF1084" s="479"/>
      <c r="AG1084" s="479"/>
      <c r="AH1084" s="479"/>
      <c r="AI1084" s="479"/>
      <c r="AJ1084" s="479"/>
      <c r="AK1084" s="479"/>
      <c r="AL1084" s="479"/>
      <c r="AM1084" s="479"/>
      <c r="AN1084" s="479"/>
      <c r="AO1084" s="468"/>
      <c r="AP1084" s="468"/>
      <c r="AQ1084" s="834"/>
      <c r="AR1084" s="833"/>
      <c r="AS1084" s="833"/>
      <c r="AT1084" s="833"/>
      <c r="AU1084" s="833"/>
      <c r="AV1084" s="833"/>
      <c r="AW1084" s="833"/>
      <c r="AX1084" s="833"/>
      <c r="AY1084" s="833"/>
      <c r="AZ1084" s="833"/>
      <c r="BA1084" s="833"/>
      <c r="BB1084" s="833"/>
      <c r="BC1084" s="833"/>
      <c r="BD1084" s="833"/>
      <c r="BE1084" s="833"/>
    </row>
    <row r="1085" customFormat="false" ht="14.15" hidden="true" customHeight="true" outlineLevel="1" collapsed="false">
      <c r="A1085" s="501" t="s">
        <v>2406</v>
      </c>
      <c r="B1085" s="477"/>
      <c r="C1085" s="479"/>
      <c r="G1085" s="676"/>
      <c r="H1085" s="676"/>
      <c r="I1085" s="676"/>
      <c r="J1085" s="676"/>
      <c r="K1085" s="676"/>
      <c r="L1085" s="676"/>
      <c r="M1085" s="676"/>
      <c r="N1085" s="676"/>
      <c r="O1085" s="676"/>
      <c r="P1085" s="676"/>
      <c r="Q1085" s="676"/>
      <c r="R1085" s="676"/>
      <c r="S1085" s="676"/>
      <c r="T1085" s="676"/>
      <c r="U1085" s="676"/>
      <c r="V1085" s="676"/>
      <c r="W1085" s="676"/>
      <c r="X1085" s="676"/>
      <c r="Y1085" s="598"/>
      <c r="Z1085" s="598"/>
      <c r="AA1085" s="597"/>
      <c r="AB1085" s="598"/>
      <c r="AC1085" s="598"/>
      <c r="AD1085" s="598"/>
      <c r="AE1085" s="598"/>
      <c r="AF1085" s="479"/>
      <c r="AG1085" s="479"/>
      <c r="AH1085" s="479"/>
      <c r="AI1085" s="479"/>
      <c r="AJ1085" s="479"/>
      <c r="AK1085" s="479"/>
      <c r="AL1085" s="479"/>
      <c r="AM1085" s="479"/>
      <c r="AN1085" s="479"/>
      <c r="AO1085" s="468"/>
      <c r="AP1085" s="468"/>
      <c r="AQ1085" s="834"/>
      <c r="AR1085" s="833"/>
      <c r="AS1085" s="833"/>
      <c r="AT1085" s="833"/>
      <c r="AU1085" s="833"/>
      <c r="AV1085" s="833"/>
      <c r="AW1085" s="833"/>
      <c r="AX1085" s="833"/>
      <c r="AY1085" s="833"/>
      <c r="AZ1085" s="833"/>
      <c r="BA1085" s="833"/>
      <c r="BB1085" s="833"/>
      <c r="BC1085" s="833"/>
      <c r="BD1085" s="833"/>
      <c r="BE1085" s="833"/>
    </row>
    <row r="1086" customFormat="false" ht="14.15" hidden="true" customHeight="true" outlineLevel="1" collapsed="false">
      <c r="A1086" s="838" t="s">
        <v>2407</v>
      </c>
      <c r="B1086" s="477"/>
      <c r="C1086" s="479"/>
      <c r="G1086" s="676"/>
      <c r="H1086" s="676"/>
      <c r="I1086" s="676"/>
      <c r="J1086" s="676"/>
      <c r="K1086" s="676"/>
      <c r="L1086" s="676"/>
      <c r="M1086" s="676"/>
      <c r="N1086" s="676"/>
      <c r="O1086" s="676"/>
      <c r="P1086" s="676"/>
      <c r="Q1086" s="676"/>
      <c r="R1086" s="676"/>
      <c r="S1086" s="676"/>
      <c r="T1086" s="676"/>
      <c r="U1086" s="676"/>
      <c r="V1086" s="676"/>
      <c r="W1086" s="676"/>
      <c r="X1086" s="676"/>
      <c r="Y1086" s="598"/>
      <c r="Z1086" s="598"/>
      <c r="AA1086" s="597"/>
      <c r="AB1086" s="598"/>
      <c r="AC1086" s="598"/>
      <c r="AD1086" s="598"/>
      <c r="AE1086" s="598"/>
      <c r="AF1086" s="479"/>
      <c r="AG1086" s="479"/>
      <c r="AH1086" s="479"/>
      <c r="AI1086" s="479"/>
      <c r="AJ1086" s="479"/>
      <c r="AK1086" s="479"/>
      <c r="AL1086" s="479"/>
      <c r="AM1086" s="479"/>
      <c r="AN1086" s="479"/>
      <c r="AO1086" s="468"/>
      <c r="AP1086" s="468"/>
      <c r="AQ1086" s="834"/>
      <c r="AR1086" s="833"/>
      <c r="AS1086" s="833"/>
      <c r="AT1086" s="833"/>
      <c r="AU1086" s="833"/>
      <c r="AV1086" s="833"/>
      <c r="AW1086" s="833"/>
      <c r="AX1086" s="833"/>
      <c r="AY1086" s="833"/>
      <c r="AZ1086" s="833"/>
      <c r="BA1086" s="833"/>
      <c r="BB1086" s="833"/>
      <c r="BC1086" s="833"/>
      <c r="BD1086" s="833"/>
      <c r="BE1086" s="833"/>
    </row>
    <row r="1087" customFormat="false" ht="14.15" hidden="true" customHeight="true" outlineLevel="1" collapsed="false">
      <c r="A1087" s="839"/>
      <c r="B1087" s="477"/>
      <c r="C1087" s="479"/>
      <c r="G1087" s="676"/>
      <c r="H1087" s="676"/>
      <c r="I1087" s="676"/>
      <c r="J1087" s="676"/>
      <c r="K1087" s="676"/>
      <c r="L1087" s="676"/>
      <c r="M1087" s="676"/>
      <c r="N1087" s="676"/>
      <c r="O1087" s="676"/>
      <c r="P1087" s="676"/>
      <c r="Q1087" s="676"/>
      <c r="R1087" s="676"/>
      <c r="S1087" s="676"/>
      <c r="T1087" s="676"/>
      <c r="U1087" s="676"/>
      <c r="V1087" s="676"/>
      <c r="W1087" s="676"/>
      <c r="X1087" s="676"/>
      <c r="Y1087" s="598"/>
      <c r="Z1087" s="598"/>
      <c r="AA1087" s="597"/>
      <c r="AB1087" s="598"/>
      <c r="AC1087" s="598"/>
      <c r="AD1087" s="598"/>
      <c r="AE1087" s="598"/>
      <c r="AF1087" s="479"/>
      <c r="AG1087" s="479"/>
      <c r="AH1087" s="479"/>
      <c r="AI1087" s="479"/>
      <c r="AJ1087" s="479"/>
      <c r="AK1087" s="479"/>
      <c r="AL1087" s="479"/>
      <c r="AM1087" s="479"/>
      <c r="AN1087" s="479"/>
      <c r="AO1087" s="468"/>
      <c r="AP1087" s="468"/>
      <c r="AQ1087" s="834"/>
      <c r="AR1087" s="833"/>
      <c r="AS1087" s="833"/>
      <c r="AT1087" s="833"/>
      <c r="AU1087" s="833"/>
      <c r="AV1087" s="833"/>
      <c r="AW1087" s="833"/>
      <c r="AX1087" s="833"/>
      <c r="AY1087" s="833"/>
      <c r="AZ1087" s="833"/>
      <c r="BA1087" s="833"/>
      <c r="BB1087" s="833"/>
      <c r="BC1087" s="833"/>
      <c r="BD1087" s="833"/>
      <c r="BE1087" s="833"/>
    </row>
    <row r="1088" customFormat="false" ht="14.15" hidden="true" customHeight="true" outlineLevel="1" collapsed="false">
      <c r="A1088" s="501" t="s">
        <v>2408</v>
      </c>
      <c r="B1088" s="263" t="s">
        <v>2409</v>
      </c>
      <c r="C1088" s="263"/>
      <c r="G1088" s="676"/>
      <c r="H1088" s="676"/>
      <c r="I1088" s="676"/>
      <c r="J1088" s="676"/>
      <c r="K1088" s="676"/>
      <c r="L1088" s="676"/>
      <c r="M1088" s="676"/>
      <c r="N1088" s="676"/>
      <c r="O1088" s="676"/>
      <c r="P1088" s="676"/>
      <c r="Q1088" s="676"/>
      <c r="R1088" s="676"/>
      <c r="S1088" s="676"/>
      <c r="T1088" s="676"/>
      <c r="U1088" s="676"/>
      <c r="V1088" s="676"/>
      <c r="W1088" s="676"/>
      <c r="X1088" s="676"/>
      <c r="Y1088" s="598"/>
      <c r="Z1088" s="598"/>
      <c r="AA1088" s="597"/>
      <c r="AB1088" s="598"/>
      <c r="AC1088" s="598"/>
      <c r="AD1088" s="598"/>
      <c r="AE1088" s="598"/>
      <c r="AF1088" s="479"/>
      <c r="AG1088" s="479"/>
      <c r="AH1088" s="479"/>
      <c r="AI1088" s="479"/>
      <c r="AJ1088" s="479"/>
      <c r="AK1088" s="479"/>
      <c r="AL1088" s="479"/>
      <c r="AM1088" s="479"/>
      <c r="AN1088" s="479"/>
      <c r="AO1088" s="468"/>
      <c r="AP1088" s="468"/>
      <c r="AQ1088" s="834"/>
      <c r="AR1088" s="833"/>
      <c r="AS1088" s="833"/>
      <c r="AT1088" s="833"/>
      <c r="AU1088" s="833"/>
      <c r="AV1088" s="833"/>
      <c r="AW1088" s="833"/>
      <c r="AX1088" s="833"/>
      <c r="AY1088" s="833"/>
      <c r="AZ1088" s="833"/>
      <c r="BA1088" s="833"/>
      <c r="BB1088" s="833"/>
      <c r="BC1088" s="833"/>
      <c r="BD1088" s="833"/>
      <c r="BE1088" s="833"/>
    </row>
    <row r="1089" customFormat="false" ht="14.15" hidden="true" customHeight="true" outlineLevel="1" collapsed="false">
      <c r="A1089" s="840" t="s">
        <v>963</v>
      </c>
      <c r="B1089" s="263" t="s">
        <v>156</v>
      </c>
      <c r="C1089" s="265" t="n">
        <v>0.4</v>
      </c>
      <c r="G1089" s="676"/>
      <c r="H1089" s="676"/>
      <c r="I1089" s="676"/>
      <c r="J1089" s="676"/>
      <c r="K1089" s="676"/>
      <c r="L1089" s="676"/>
      <c r="M1089" s="676"/>
      <c r="N1089" s="676"/>
      <c r="O1089" s="676"/>
      <c r="P1089" s="676"/>
      <c r="Q1089" s="676"/>
      <c r="R1089" s="676"/>
      <c r="S1089" s="676"/>
      <c r="T1089" s="676"/>
      <c r="U1089" s="676"/>
      <c r="V1089" s="676"/>
      <c r="W1089" s="676"/>
      <c r="X1089" s="676"/>
      <c r="Y1089" s="598"/>
      <c r="Z1089" s="598"/>
      <c r="AA1089" s="597"/>
      <c r="AB1089" s="598"/>
      <c r="AC1089" s="598"/>
      <c r="AD1089" s="598"/>
      <c r="AE1089" s="598"/>
      <c r="AF1089" s="479"/>
      <c r="AG1089" s="479"/>
      <c r="AH1089" s="479"/>
      <c r="AI1089" s="479"/>
      <c r="AJ1089" s="479"/>
      <c r="AK1089" s="479"/>
      <c r="AL1089" s="479"/>
      <c r="AM1089" s="479"/>
      <c r="AN1089" s="479"/>
      <c r="AO1089" s="468"/>
      <c r="AP1089" s="468"/>
      <c r="AQ1089" s="834"/>
      <c r="AR1089" s="833"/>
      <c r="AS1089" s="833"/>
      <c r="AT1089" s="833"/>
      <c r="AU1089" s="833"/>
      <c r="AV1089" s="833"/>
      <c r="AW1089" s="833"/>
      <c r="AX1089" s="833"/>
      <c r="AY1089" s="833"/>
      <c r="AZ1089" s="833"/>
      <c r="BA1089" s="833"/>
      <c r="BB1089" s="833"/>
      <c r="BC1089" s="833"/>
      <c r="BD1089" s="833"/>
      <c r="BE1089" s="833"/>
    </row>
    <row r="1090" customFormat="false" ht="14.15" hidden="true" customHeight="true" outlineLevel="1" collapsed="false">
      <c r="A1090" s="501" t="s">
        <v>2410</v>
      </c>
      <c r="B1090" s="477"/>
      <c r="C1090" s="479"/>
      <c r="G1090" s="676"/>
      <c r="H1090" s="676"/>
      <c r="I1090" s="676"/>
      <c r="J1090" s="676"/>
      <c r="K1090" s="676"/>
      <c r="L1090" s="676"/>
      <c r="M1090" s="676"/>
      <c r="N1090" s="676"/>
      <c r="O1090" s="676"/>
      <c r="P1090" s="676"/>
      <c r="Q1090" s="676"/>
      <c r="R1090" s="676"/>
      <c r="S1090" s="676"/>
      <c r="T1090" s="676"/>
      <c r="U1090" s="676"/>
      <c r="V1090" s="676"/>
      <c r="W1090" s="676"/>
      <c r="X1090" s="676"/>
      <c r="Y1090" s="598"/>
      <c r="Z1090" s="598"/>
      <c r="AA1090" s="597"/>
      <c r="AB1090" s="598"/>
      <c r="AC1090" s="598"/>
      <c r="AD1090" s="598"/>
      <c r="AE1090" s="598"/>
      <c r="AF1090" s="479"/>
      <c r="AG1090" s="479"/>
      <c r="AH1090" s="479"/>
      <c r="AI1090" s="479"/>
      <c r="AJ1090" s="479"/>
      <c r="AK1090" s="479"/>
      <c r="AL1090" s="479"/>
      <c r="AM1090" s="479"/>
      <c r="AN1090" s="479"/>
      <c r="AO1090" s="468"/>
      <c r="AP1090" s="468"/>
      <c r="AQ1090" s="834"/>
      <c r="AR1090" s="833"/>
      <c r="AS1090" s="833"/>
      <c r="AT1090" s="833"/>
      <c r="AU1090" s="833"/>
      <c r="AV1090" s="833"/>
      <c r="AW1090" s="833"/>
      <c r="AX1090" s="833"/>
      <c r="AY1090" s="833"/>
      <c r="AZ1090" s="833"/>
      <c r="BA1090" s="833"/>
      <c r="BB1090" s="833"/>
      <c r="BC1090" s="833"/>
      <c r="BD1090" s="833"/>
      <c r="BE1090" s="833"/>
    </row>
    <row r="1091" customFormat="false" ht="14.15" hidden="true" customHeight="true" outlineLevel="1" collapsed="false">
      <c r="A1091" s="840" t="s">
        <v>963</v>
      </c>
      <c r="B1091" s="263" t="s">
        <v>156</v>
      </c>
      <c r="C1091" s="265" t="n">
        <v>0.3</v>
      </c>
      <c r="G1091" s="676"/>
      <c r="H1091" s="676"/>
      <c r="I1091" s="676"/>
      <c r="J1091" s="676"/>
      <c r="K1091" s="676"/>
      <c r="L1091" s="676"/>
      <c r="M1091" s="676"/>
      <c r="N1091" s="676"/>
      <c r="O1091" s="676"/>
      <c r="P1091" s="676"/>
      <c r="Q1091" s="676"/>
      <c r="R1091" s="676"/>
      <c r="S1091" s="676"/>
      <c r="T1091" s="676"/>
      <c r="U1091" s="676"/>
      <c r="V1091" s="676"/>
      <c r="W1091" s="676"/>
      <c r="X1091" s="676"/>
      <c r="Y1091" s="598"/>
      <c r="Z1091" s="598"/>
      <c r="AA1091" s="597"/>
      <c r="AB1091" s="598"/>
      <c r="AC1091" s="598"/>
      <c r="AD1091" s="598"/>
      <c r="AE1091" s="598"/>
      <c r="AF1091" s="479"/>
      <c r="AG1091" s="479"/>
      <c r="AH1091" s="479"/>
      <c r="AI1091" s="479"/>
      <c r="AJ1091" s="479"/>
      <c r="AK1091" s="479"/>
      <c r="AL1091" s="479"/>
      <c r="AM1091" s="479"/>
      <c r="AN1091" s="479"/>
      <c r="AO1091" s="468"/>
      <c r="AP1091" s="468"/>
      <c r="AQ1091" s="834"/>
      <c r="AR1091" s="833"/>
      <c r="AS1091" s="833"/>
      <c r="AT1091" s="833"/>
      <c r="AU1091" s="833"/>
      <c r="AV1091" s="833"/>
      <c r="AW1091" s="833"/>
      <c r="AX1091" s="833"/>
      <c r="AY1091" s="833"/>
      <c r="AZ1091" s="833"/>
      <c r="BA1091" s="833"/>
      <c r="BB1091" s="833"/>
      <c r="BC1091" s="833"/>
      <c r="BD1091" s="833"/>
      <c r="BE1091" s="833"/>
    </row>
    <row r="1092" customFormat="false" ht="14.15" hidden="true" customHeight="true" outlineLevel="1" collapsed="false">
      <c r="A1092" s="501" t="s">
        <v>2411</v>
      </c>
      <c r="B1092" s="477"/>
      <c r="C1092" s="479"/>
      <c r="G1092" s="676"/>
      <c r="H1092" s="676"/>
      <c r="I1092" s="676"/>
      <c r="J1092" s="676"/>
      <c r="K1092" s="676"/>
      <c r="L1092" s="676"/>
      <c r="M1092" s="676"/>
      <c r="N1092" s="676"/>
      <c r="O1092" s="676"/>
      <c r="P1092" s="676"/>
      <c r="Q1092" s="676"/>
      <c r="R1092" s="676"/>
      <c r="S1092" s="676"/>
      <c r="T1092" s="676"/>
      <c r="U1092" s="676"/>
      <c r="V1092" s="676"/>
      <c r="W1092" s="676"/>
      <c r="X1092" s="676"/>
      <c r="Y1092" s="598"/>
      <c r="Z1092" s="598"/>
      <c r="AA1092" s="597"/>
      <c r="AB1092" s="598"/>
      <c r="AC1092" s="598"/>
      <c r="AD1092" s="598"/>
      <c r="AE1092" s="598"/>
      <c r="AF1092" s="479"/>
      <c r="AG1092" s="479"/>
      <c r="AH1092" s="479"/>
      <c r="AI1092" s="479"/>
      <c r="AJ1092" s="479"/>
      <c r="AK1092" s="479"/>
      <c r="AL1092" s="479"/>
      <c r="AM1092" s="479"/>
      <c r="AN1092" s="479"/>
      <c r="AO1092" s="468"/>
      <c r="AP1092" s="468"/>
      <c r="AQ1092" s="834"/>
      <c r="AR1092" s="833"/>
      <c r="AS1092" s="833"/>
      <c r="AT1092" s="833"/>
      <c r="AU1092" s="833"/>
      <c r="AV1092" s="833"/>
      <c r="AW1092" s="833"/>
      <c r="AX1092" s="833"/>
      <c r="AY1092" s="833"/>
      <c r="AZ1092" s="833"/>
      <c r="BA1092" s="833"/>
      <c r="BB1092" s="833"/>
      <c r="BC1092" s="833"/>
      <c r="BD1092" s="833"/>
      <c r="BE1092" s="833"/>
    </row>
    <row r="1093" customFormat="false" ht="14.15" hidden="true" customHeight="true" outlineLevel="1" collapsed="false">
      <c r="A1093" s="840" t="s">
        <v>963</v>
      </c>
      <c r="B1093" s="263" t="s">
        <v>156</v>
      </c>
      <c r="C1093" s="265" t="n">
        <v>0.2</v>
      </c>
      <c r="G1093" s="676"/>
      <c r="H1093" s="676"/>
      <c r="I1093" s="676"/>
      <c r="J1093" s="676"/>
      <c r="K1093" s="676"/>
      <c r="L1093" s="676"/>
      <c r="M1093" s="676"/>
      <c r="N1093" s="676"/>
      <c r="O1093" s="676"/>
      <c r="P1093" s="676"/>
      <c r="Q1093" s="676"/>
      <c r="R1093" s="676"/>
      <c r="S1093" s="676"/>
      <c r="T1093" s="676"/>
      <c r="U1093" s="676"/>
      <c r="V1093" s="676"/>
      <c r="W1093" s="676"/>
      <c r="X1093" s="676"/>
      <c r="Y1093" s="598"/>
      <c r="Z1093" s="598"/>
      <c r="AA1093" s="597"/>
      <c r="AB1093" s="598"/>
      <c r="AC1093" s="598"/>
      <c r="AD1093" s="598"/>
      <c r="AE1093" s="598"/>
      <c r="AF1093" s="479"/>
      <c r="AG1093" s="479"/>
      <c r="AH1093" s="479"/>
      <c r="AI1093" s="479"/>
      <c r="AJ1093" s="479"/>
      <c r="AK1093" s="479"/>
      <c r="AL1093" s="479"/>
      <c r="AM1093" s="479"/>
      <c r="AN1093" s="479"/>
      <c r="AO1093" s="468"/>
      <c r="AP1093" s="468"/>
      <c r="AQ1093" s="834"/>
      <c r="AR1093" s="833"/>
      <c r="AS1093" s="833"/>
      <c r="AT1093" s="833"/>
      <c r="AU1093" s="833"/>
      <c r="AV1093" s="833"/>
      <c r="AW1093" s="833"/>
      <c r="AX1093" s="833"/>
      <c r="AY1093" s="833"/>
      <c r="AZ1093" s="833"/>
      <c r="BA1093" s="833"/>
      <c r="BB1093" s="833"/>
      <c r="BC1093" s="833"/>
      <c r="BD1093" s="833"/>
      <c r="BE1093" s="833"/>
    </row>
    <row r="1094" customFormat="false" ht="14.15" hidden="true" customHeight="true" outlineLevel="1" collapsed="false">
      <c r="A1094" s="839"/>
      <c r="B1094" s="477"/>
      <c r="C1094" s="479"/>
      <c r="G1094" s="676"/>
      <c r="H1094" s="676"/>
      <c r="I1094" s="676"/>
      <c r="J1094" s="676"/>
      <c r="K1094" s="676"/>
      <c r="L1094" s="676"/>
      <c r="M1094" s="676"/>
      <c r="N1094" s="676"/>
      <c r="O1094" s="676"/>
      <c r="P1094" s="676"/>
      <c r="Q1094" s="676"/>
      <c r="R1094" s="676"/>
      <c r="S1094" s="676"/>
      <c r="T1094" s="676"/>
      <c r="U1094" s="676"/>
      <c r="V1094" s="676"/>
      <c r="W1094" s="676"/>
      <c r="X1094" s="676"/>
      <c r="Y1094" s="598"/>
      <c r="Z1094" s="598"/>
      <c r="AA1094" s="597"/>
      <c r="AB1094" s="598"/>
      <c r="AC1094" s="598"/>
      <c r="AD1094" s="598"/>
      <c r="AE1094" s="598"/>
      <c r="AF1094" s="479"/>
      <c r="AG1094" s="479"/>
      <c r="AH1094" s="479"/>
      <c r="AI1094" s="479"/>
      <c r="AJ1094" s="479"/>
      <c r="AK1094" s="479"/>
      <c r="AL1094" s="479"/>
      <c r="AM1094" s="479"/>
      <c r="AN1094" s="479"/>
      <c r="AO1094" s="468"/>
      <c r="AP1094" s="468"/>
      <c r="AQ1094" s="834"/>
      <c r="AR1094" s="833"/>
      <c r="AS1094" s="833"/>
      <c r="AT1094" s="833"/>
      <c r="AU1094" s="833"/>
      <c r="AV1094" s="833"/>
      <c r="AW1094" s="833"/>
      <c r="AX1094" s="833"/>
      <c r="AY1094" s="833"/>
      <c r="AZ1094" s="833"/>
      <c r="BA1094" s="833"/>
      <c r="BB1094" s="833"/>
      <c r="BC1094" s="833"/>
      <c r="BD1094" s="833"/>
      <c r="BE1094" s="833"/>
    </row>
    <row r="1095" customFormat="false" ht="14.15" hidden="true" customHeight="true" outlineLevel="1" collapsed="false">
      <c r="A1095" s="501" t="s">
        <v>2412</v>
      </c>
      <c r="B1095" s="477"/>
      <c r="C1095" s="522"/>
      <c r="G1095" s="676"/>
      <c r="H1095" s="676"/>
      <c r="I1095" s="676"/>
      <c r="J1095" s="676"/>
      <c r="K1095" s="676"/>
      <c r="L1095" s="676"/>
      <c r="M1095" s="676"/>
      <c r="N1095" s="676"/>
      <c r="O1095" s="676"/>
      <c r="P1095" s="676"/>
      <c r="Q1095" s="676"/>
      <c r="R1095" s="676"/>
      <c r="S1095" s="676"/>
      <c r="T1095" s="676"/>
      <c r="U1095" s="676"/>
      <c r="V1095" s="676"/>
      <c r="W1095" s="676"/>
      <c r="X1095" s="676"/>
      <c r="Y1095" s="598"/>
      <c r="Z1095" s="598"/>
      <c r="AA1095" s="597"/>
      <c r="AB1095" s="598"/>
      <c r="AC1095" s="598"/>
      <c r="AD1095" s="598"/>
      <c r="AE1095" s="598"/>
      <c r="AF1095" s="479"/>
      <c r="AG1095" s="479"/>
      <c r="AH1095" s="479"/>
      <c r="AI1095" s="479"/>
      <c r="AJ1095" s="479"/>
      <c r="AK1095" s="479"/>
      <c r="AL1095" s="479"/>
      <c r="AM1095" s="479"/>
      <c r="AN1095" s="479"/>
      <c r="AO1095" s="468"/>
      <c r="AP1095" s="468"/>
      <c r="AQ1095" s="834"/>
      <c r="AR1095" s="833"/>
      <c r="AS1095" s="833"/>
      <c r="AT1095" s="833"/>
      <c r="AU1095" s="833"/>
      <c r="AV1095" s="833"/>
      <c r="AW1095" s="833"/>
      <c r="AX1095" s="833"/>
      <c r="AY1095" s="833"/>
      <c r="AZ1095" s="833"/>
      <c r="BA1095" s="833"/>
      <c r="BB1095" s="833"/>
      <c r="BC1095" s="833"/>
      <c r="BD1095" s="833"/>
      <c r="BE1095" s="833"/>
    </row>
    <row r="1096" customFormat="false" ht="14.15" hidden="true" customHeight="true" outlineLevel="1" collapsed="false">
      <c r="A1096" s="841" t="s">
        <v>125</v>
      </c>
      <c r="B1096" s="477"/>
      <c r="C1096" s="522"/>
      <c r="G1096" s="676"/>
      <c r="H1096" s="676"/>
      <c r="I1096" s="676"/>
      <c r="J1096" s="676"/>
      <c r="K1096" s="676"/>
      <c r="L1096" s="676"/>
      <c r="M1096" s="676"/>
      <c r="N1096" s="676"/>
      <c r="O1096" s="676"/>
      <c r="P1096" s="676"/>
      <c r="Q1096" s="676"/>
      <c r="R1096" s="676"/>
      <c r="S1096" s="676"/>
      <c r="T1096" s="676"/>
      <c r="U1096" s="676"/>
      <c r="V1096" s="676"/>
      <c r="W1096" s="676"/>
      <c r="X1096" s="676"/>
      <c r="Y1096" s="598"/>
      <c r="Z1096" s="598"/>
      <c r="AA1096" s="597"/>
      <c r="AB1096" s="598"/>
      <c r="AC1096" s="598"/>
      <c r="AD1096" s="598"/>
      <c r="AE1096" s="598"/>
      <c r="AF1096" s="479"/>
      <c r="AG1096" s="479"/>
      <c r="AH1096" s="479"/>
      <c r="AI1096" s="479"/>
      <c r="AJ1096" s="479"/>
      <c r="AK1096" s="479"/>
      <c r="AL1096" s="479"/>
      <c r="AM1096" s="479"/>
      <c r="AN1096" s="479"/>
      <c r="AO1096" s="468"/>
      <c r="AP1096" s="468"/>
      <c r="AQ1096" s="834"/>
      <c r="AR1096" s="833"/>
      <c r="AS1096" s="833"/>
      <c r="AT1096" s="833"/>
      <c r="AU1096" s="833"/>
      <c r="AV1096" s="833"/>
      <c r="AW1096" s="833"/>
      <c r="AX1096" s="833"/>
      <c r="AY1096" s="833"/>
      <c r="AZ1096" s="833"/>
      <c r="BA1096" s="833"/>
      <c r="BB1096" s="833"/>
      <c r="BC1096" s="833"/>
      <c r="BD1096" s="833"/>
      <c r="BE1096" s="833"/>
    </row>
    <row r="1097" customFormat="false" ht="14.15" hidden="true" customHeight="true" outlineLevel="1" collapsed="false">
      <c r="A1097" s="501" t="s">
        <v>2413</v>
      </c>
      <c r="B1097" s="477"/>
      <c r="C1097" s="522"/>
      <c r="G1097" s="676"/>
      <c r="H1097" s="676"/>
      <c r="I1097" s="676"/>
      <c r="J1097" s="676"/>
      <c r="K1097" s="676"/>
      <c r="L1097" s="676"/>
      <c r="M1097" s="676"/>
      <c r="N1097" s="676"/>
      <c r="O1097" s="676"/>
      <c r="P1097" s="676"/>
      <c r="Q1097" s="676"/>
      <c r="R1097" s="676"/>
      <c r="S1097" s="676"/>
      <c r="T1097" s="676"/>
      <c r="U1097" s="676"/>
      <c r="V1097" s="676"/>
      <c r="W1097" s="676"/>
      <c r="X1097" s="676"/>
      <c r="Y1097" s="598"/>
      <c r="Z1097" s="598"/>
      <c r="AA1097" s="597"/>
      <c r="AB1097" s="598"/>
      <c r="AC1097" s="598"/>
      <c r="AD1097" s="598"/>
      <c r="AE1097" s="598"/>
      <c r="AF1097" s="479"/>
      <c r="AG1097" s="479"/>
      <c r="AH1097" s="479"/>
      <c r="AI1097" s="479"/>
      <c r="AJ1097" s="479"/>
      <c r="AK1097" s="479"/>
      <c r="AL1097" s="479"/>
      <c r="AM1097" s="479"/>
      <c r="AN1097" s="479"/>
      <c r="AO1097" s="468"/>
      <c r="AP1097" s="468"/>
      <c r="AQ1097" s="834"/>
      <c r="AR1097" s="833"/>
      <c r="AS1097" s="833"/>
      <c r="AT1097" s="833"/>
      <c r="AU1097" s="833"/>
      <c r="AV1097" s="833"/>
      <c r="AW1097" s="833"/>
      <c r="AX1097" s="833"/>
      <c r="AY1097" s="833"/>
      <c r="AZ1097" s="833"/>
      <c r="BA1097" s="833"/>
      <c r="BB1097" s="833"/>
      <c r="BC1097" s="833"/>
      <c r="BD1097" s="833"/>
      <c r="BE1097" s="833"/>
    </row>
    <row r="1098" customFormat="false" ht="14.15" hidden="true" customHeight="true" outlineLevel="1" collapsed="false">
      <c r="A1098" s="841" t="s">
        <v>2414</v>
      </c>
      <c r="B1098" s="477"/>
      <c r="C1098" s="522"/>
      <c r="G1098" s="676"/>
      <c r="H1098" s="676"/>
      <c r="I1098" s="676"/>
      <c r="J1098" s="676"/>
      <c r="K1098" s="676"/>
      <c r="L1098" s="676"/>
      <c r="M1098" s="676"/>
      <c r="N1098" s="676"/>
      <c r="O1098" s="676"/>
      <c r="P1098" s="676"/>
      <c r="Q1098" s="676"/>
      <c r="R1098" s="676"/>
      <c r="S1098" s="676"/>
      <c r="T1098" s="676"/>
      <c r="U1098" s="676"/>
      <c r="V1098" s="676"/>
      <c r="W1098" s="676"/>
      <c r="X1098" s="676"/>
      <c r="Y1098" s="598"/>
      <c r="Z1098" s="598"/>
      <c r="AA1098" s="597"/>
      <c r="AB1098" s="598"/>
      <c r="AC1098" s="598"/>
      <c r="AD1098" s="598"/>
      <c r="AE1098" s="598"/>
      <c r="AF1098" s="479"/>
      <c r="AG1098" s="479"/>
      <c r="AH1098" s="479"/>
      <c r="AI1098" s="479"/>
      <c r="AJ1098" s="479"/>
      <c r="AK1098" s="479"/>
      <c r="AL1098" s="479"/>
      <c r="AM1098" s="479"/>
      <c r="AN1098" s="479"/>
      <c r="AO1098" s="468"/>
      <c r="AP1098" s="468"/>
      <c r="AQ1098" s="834"/>
      <c r="AR1098" s="833"/>
      <c r="AS1098" s="833"/>
      <c r="AT1098" s="833"/>
      <c r="AU1098" s="833"/>
      <c r="AV1098" s="833"/>
      <c r="AW1098" s="833"/>
      <c r="AX1098" s="833"/>
      <c r="AY1098" s="833"/>
      <c r="AZ1098" s="833"/>
      <c r="BA1098" s="833"/>
      <c r="BB1098" s="833"/>
      <c r="BC1098" s="833"/>
      <c r="BD1098" s="833"/>
      <c r="BE1098" s="833"/>
    </row>
    <row r="1099" customFormat="false" ht="14.15" hidden="true" customHeight="true" outlineLevel="1" collapsed="false">
      <c r="A1099" s="501" t="s">
        <v>2415</v>
      </c>
      <c r="B1099" s="477"/>
      <c r="C1099" s="522"/>
      <c r="G1099" s="676"/>
      <c r="H1099" s="676"/>
      <c r="I1099" s="676"/>
      <c r="J1099" s="676"/>
      <c r="K1099" s="676"/>
      <c r="L1099" s="676"/>
      <c r="M1099" s="676"/>
      <c r="N1099" s="676"/>
      <c r="O1099" s="676"/>
      <c r="P1099" s="676"/>
      <c r="Q1099" s="676"/>
      <c r="R1099" s="676"/>
      <c r="S1099" s="676"/>
      <c r="T1099" s="676"/>
      <c r="U1099" s="676"/>
      <c r="V1099" s="676"/>
      <c r="W1099" s="676"/>
      <c r="X1099" s="676"/>
      <c r="Y1099" s="598"/>
      <c r="Z1099" s="598"/>
      <c r="AA1099" s="597"/>
      <c r="AB1099" s="598"/>
      <c r="AC1099" s="598"/>
      <c r="AD1099" s="598"/>
      <c r="AE1099" s="598"/>
      <c r="AF1099" s="479"/>
      <c r="AG1099" s="479"/>
      <c r="AH1099" s="479"/>
      <c r="AI1099" s="479"/>
      <c r="AJ1099" s="479"/>
      <c r="AK1099" s="479"/>
      <c r="AL1099" s="479"/>
      <c r="AM1099" s="479"/>
      <c r="AN1099" s="479"/>
      <c r="AO1099" s="468"/>
      <c r="AP1099" s="468"/>
      <c r="AQ1099" s="834"/>
      <c r="AR1099" s="833"/>
      <c r="AS1099" s="833"/>
      <c r="AT1099" s="833"/>
      <c r="AU1099" s="833"/>
      <c r="AV1099" s="833"/>
      <c r="AW1099" s="833"/>
      <c r="AX1099" s="833"/>
      <c r="AY1099" s="833"/>
      <c r="AZ1099" s="833"/>
      <c r="BA1099" s="833"/>
      <c r="BB1099" s="833"/>
      <c r="BC1099" s="833"/>
      <c r="BD1099" s="833"/>
      <c r="BE1099" s="833"/>
    </row>
    <row r="1100" customFormat="false" ht="14.15" hidden="true" customHeight="true" outlineLevel="1" collapsed="false">
      <c r="A1100" s="841" t="s">
        <v>2414</v>
      </c>
      <c r="B1100" s="477"/>
      <c r="C1100" s="522"/>
      <c r="G1100" s="676"/>
      <c r="H1100" s="676"/>
      <c r="I1100" s="676"/>
      <c r="J1100" s="676"/>
      <c r="K1100" s="676"/>
      <c r="L1100" s="676"/>
      <c r="M1100" s="676"/>
      <c r="N1100" s="676"/>
      <c r="O1100" s="676"/>
      <c r="P1100" s="676"/>
      <c r="Q1100" s="676"/>
      <c r="R1100" s="676"/>
      <c r="S1100" s="676"/>
      <c r="T1100" s="676"/>
      <c r="U1100" s="676"/>
      <c r="V1100" s="676"/>
      <c r="W1100" s="676"/>
      <c r="X1100" s="676"/>
      <c r="Y1100" s="598"/>
      <c r="Z1100" s="598"/>
      <c r="AA1100" s="597"/>
      <c r="AB1100" s="598"/>
      <c r="AC1100" s="598"/>
      <c r="AD1100" s="598"/>
      <c r="AE1100" s="598"/>
      <c r="AF1100" s="479"/>
      <c r="AG1100" s="479"/>
      <c r="AH1100" s="479"/>
      <c r="AI1100" s="479"/>
      <c r="AJ1100" s="479"/>
      <c r="AK1100" s="479"/>
      <c r="AL1100" s="479"/>
      <c r="AM1100" s="479"/>
      <c r="AN1100" s="479"/>
      <c r="AO1100" s="468"/>
      <c r="AP1100" s="468"/>
      <c r="AQ1100" s="834"/>
      <c r="AR1100" s="833"/>
      <c r="AS1100" s="833"/>
      <c r="AT1100" s="833"/>
      <c r="AU1100" s="833"/>
      <c r="AV1100" s="833"/>
      <c r="AW1100" s="833"/>
      <c r="AX1100" s="833"/>
      <c r="AY1100" s="833"/>
      <c r="AZ1100" s="833"/>
      <c r="BA1100" s="833"/>
      <c r="BB1100" s="833"/>
      <c r="BC1100" s="833"/>
      <c r="BD1100" s="833"/>
      <c r="BE1100" s="833"/>
    </row>
    <row r="1101" customFormat="false" ht="14.15" hidden="true" customHeight="true" outlineLevel="1" collapsed="false">
      <c r="A1101" s="501" t="s">
        <v>1498</v>
      </c>
      <c r="B1101" s="477"/>
      <c r="C1101" s="522"/>
      <c r="G1101" s="676"/>
      <c r="H1101" s="676"/>
      <c r="I1101" s="676"/>
      <c r="J1101" s="676"/>
      <c r="K1101" s="676"/>
      <c r="L1101" s="676"/>
      <c r="M1101" s="676"/>
      <c r="N1101" s="676"/>
      <c r="O1101" s="676"/>
      <c r="P1101" s="676"/>
      <c r="Q1101" s="676"/>
      <c r="R1101" s="676"/>
      <c r="S1101" s="676"/>
      <c r="T1101" s="676"/>
      <c r="U1101" s="676"/>
      <c r="V1101" s="676"/>
      <c r="W1101" s="676"/>
      <c r="X1101" s="676"/>
      <c r="Y1101" s="598"/>
      <c r="Z1101" s="598"/>
      <c r="AA1101" s="597"/>
      <c r="AB1101" s="598"/>
      <c r="AC1101" s="598"/>
      <c r="AD1101" s="598"/>
      <c r="AE1101" s="598"/>
      <c r="AF1101" s="479"/>
      <c r="AG1101" s="479"/>
      <c r="AH1101" s="479"/>
      <c r="AI1101" s="479"/>
      <c r="AJ1101" s="479"/>
      <c r="AK1101" s="479"/>
      <c r="AL1101" s="479"/>
      <c r="AM1101" s="479"/>
      <c r="AN1101" s="479"/>
      <c r="AO1101" s="468"/>
      <c r="AP1101" s="468"/>
      <c r="AQ1101" s="834"/>
      <c r="AR1101" s="833"/>
      <c r="AS1101" s="833"/>
      <c r="AT1101" s="833"/>
      <c r="AU1101" s="833"/>
      <c r="AV1101" s="833"/>
      <c r="AW1101" s="833"/>
      <c r="AX1101" s="833"/>
      <c r="AY1101" s="833"/>
      <c r="AZ1101" s="833"/>
      <c r="BA1101" s="833"/>
      <c r="BB1101" s="833"/>
      <c r="BC1101" s="833"/>
      <c r="BD1101" s="833"/>
      <c r="BE1101" s="833"/>
    </row>
    <row r="1102" customFormat="false" ht="14.15" hidden="true" customHeight="true" outlineLevel="1" collapsed="false">
      <c r="A1102" s="841" t="s">
        <v>2416</v>
      </c>
      <c r="B1102" s="477"/>
      <c r="C1102" s="522"/>
      <c r="G1102" s="676"/>
      <c r="H1102" s="676"/>
      <c r="I1102" s="676"/>
      <c r="J1102" s="676"/>
      <c r="K1102" s="676"/>
      <c r="L1102" s="676"/>
      <c r="M1102" s="676"/>
      <c r="N1102" s="676"/>
      <c r="O1102" s="676"/>
      <c r="P1102" s="676"/>
      <c r="Q1102" s="676"/>
      <c r="R1102" s="676"/>
      <c r="S1102" s="676"/>
      <c r="T1102" s="676"/>
      <c r="U1102" s="676"/>
      <c r="V1102" s="676"/>
      <c r="W1102" s="676"/>
      <c r="X1102" s="676"/>
      <c r="Y1102" s="598"/>
      <c r="Z1102" s="598"/>
      <c r="AA1102" s="597"/>
      <c r="AB1102" s="598"/>
      <c r="AC1102" s="598"/>
      <c r="AD1102" s="598"/>
      <c r="AE1102" s="598"/>
      <c r="AF1102" s="479"/>
      <c r="AG1102" s="479"/>
      <c r="AH1102" s="479"/>
      <c r="AI1102" s="479"/>
      <c r="AJ1102" s="479"/>
      <c r="AK1102" s="479"/>
      <c r="AL1102" s="479"/>
      <c r="AM1102" s="479"/>
      <c r="AN1102" s="479"/>
      <c r="AO1102" s="468"/>
      <c r="AP1102" s="468"/>
      <c r="AQ1102" s="834"/>
      <c r="AR1102" s="833"/>
      <c r="AS1102" s="833"/>
      <c r="AT1102" s="833"/>
      <c r="AU1102" s="833"/>
      <c r="AV1102" s="833"/>
      <c r="AW1102" s="833"/>
      <c r="AX1102" s="833"/>
      <c r="AY1102" s="833"/>
      <c r="AZ1102" s="833"/>
      <c r="BA1102" s="833"/>
      <c r="BB1102" s="833"/>
      <c r="BC1102" s="833"/>
      <c r="BD1102" s="833"/>
      <c r="BE1102" s="833"/>
    </row>
    <row r="1103" customFormat="false" ht="14.15" hidden="true" customHeight="true" outlineLevel="1" collapsed="false">
      <c r="A1103" s="501" t="s">
        <v>2417</v>
      </c>
      <c r="B1103" s="477"/>
      <c r="C1103" s="522"/>
      <c r="G1103" s="676"/>
      <c r="H1103" s="676"/>
      <c r="I1103" s="676"/>
      <c r="J1103" s="676"/>
      <c r="K1103" s="676"/>
      <c r="L1103" s="676"/>
      <c r="M1103" s="676"/>
      <c r="N1103" s="676"/>
      <c r="O1103" s="676"/>
      <c r="P1103" s="676"/>
      <c r="Q1103" s="676"/>
      <c r="R1103" s="676"/>
      <c r="S1103" s="676"/>
      <c r="T1103" s="676"/>
      <c r="U1103" s="676"/>
      <c r="V1103" s="676"/>
      <c r="W1103" s="676"/>
      <c r="X1103" s="676"/>
      <c r="Y1103" s="598"/>
      <c r="Z1103" s="598"/>
      <c r="AA1103" s="597"/>
      <c r="AB1103" s="598"/>
      <c r="AC1103" s="598"/>
      <c r="AD1103" s="598"/>
      <c r="AE1103" s="598"/>
      <c r="AF1103" s="479"/>
      <c r="AG1103" s="479"/>
      <c r="AH1103" s="479"/>
      <c r="AI1103" s="479"/>
      <c r="AJ1103" s="479"/>
      <c r="AK1103" s="479"/>
      <c r="AL1103" s="479"/>
      <c r="AM1103" s="479"/>
      <c r="AN1103" s="479"/>
      <c r="AO1103" s="468"/>
      <c r="AP1103" s="468"/>
      <c r="AQ1103" s="834"/>
      <c r="AR1103" s="833"/>
      <c r="AS1103" s="833"/>
      <c r="AT1103" s="833"/>
      <c r="AU1103" s="833"/>
      <c r="AV1103" s="833"/>
      <c r="AW1103" s="833"/>
      <c r="AX1103" s="833"/>
      <c r="AY1103" s="833"/>
      <c r="AZ1103" s="833"/>
      <c r="BA1103" s="833"/>
      <c r="BB1103" s="833"/>
      <c r="BC1103" s="833"/>
      <c r="BD1103" s="833"/>
      <c r="BE1103" s="833"/>
    </row>
    <row r="1104" customFormat="false" ht="14.15" hidden="true" customHeight="true" outlineLevel="1" collapsed="false">
      <c r="A1104" s="841" t="s">
        <v>2418</v>
      </c>
      <c r="B1104" s="477"/>
      <c r="C1104" s="522"/>
      <c r="G1104" s="676"/>
      <c r="H1104" s="676"/>
      <c r="I1104" s="676"/>
      <c r="J1104" s="676"/>
      <c r="K1104" s="676"/>
      <c r="L1104" s="676"/>
      <c r="M1104" s="676"/>
      <c r="N1104" s="676"/>
      <c r="O1104" s="676"/>
      <c r="P1104" s="676"/>
      <c r="Q1104" s="676"/>
      <c r="R1104" s="676"/>
      <c r="S1104" s="676"/>
      <c r="T1104" s="676"/>
      <c r="U1104" s="676"/>
      <c r="V1104" s="676"/>
      <c r="W1104" s="676"/>
      <c r="X1104" s="676"/>
      <c r="Y1104" s="598"/>
      <c r="Z1104" s="598"/>
      <c r="AA1104" s="597"/>
      <c r="AB1104" s="598"/>
      <c r="AC1104" s="598"/>
      <c r="AD1104" s="598"/>
      <c r="AE1104" s="598"/>
      <c r="AF1104" s="479"/>
      <c r="AG1104" s="479"/>
      <c r="AH1104" s="479"/>
      <c r="AI1104" s="479"/>
      <c r="AJ1104" s="479"/>
      <c r="AK1104" s="479"/>
      <c r="AL1104" s="479"/>
      <c r="AM1104" s="479"/>
      <c r="AN1104" s="479"/>
      <c r="AO1104" s="468"/>
      <c r="AP1104" s="468"/>
      <c r="AQ1104" s="834"/>
      <c r="AR1104" s="833"/>
      <c r="AS1104" s="833"/>
      <c r="AT1104" s="833"/>
      <c r="AU1104" s="833"/>
      <c r="AV1104" s="833"/>
      <c r="AW1104" s="833"/>
      <c r="AX1104" s="833"/>
      <c r="AY1104" s="833"/>
      <c r="AZ1104" s="833"/>
      <c r="BA1104" s="833"/>
      <c r="BB1104" s="833"/>
      <c r="BC1104" s="833"/>
      <c r="BD1104" s="833"/>
      <c r="BE1104" s="833"/>
    </row>
    <row r="1105" customFormat="false" ht="14.15" hidden="true" customHeight="true" outlineLevel="1" collapsed="false">
      <c r="A1105" s="479" t="s">
        <v>2234</v>
      </c>
      <c r="B1105" s="477"/>
      <c r="C1105" s="522"/>
      <c r="G1105" s="676"/>
      <c r="H1105" s="676"/>
      <c r="I1105" s="676"/>
      <c r="J1105" s="676"/>
      <c r="K1105" s="676"/>
      <c r="L1105" s="676"/>
      <c r="M1105" s="676"/>
      <c r="N1105" s="676"/>
      <c r="O1105" s="676"/>
      <c r="P1105" s="676"/>
      <c r="Q1105" s="676"/>
      <c r="R1105" s="676"/>
      <c r="S1105" s="676"/>
      <c r="T1105" s="676"/>
      <c r="U1105" s="676"/>
      <c r="V1105" s="676"/>
      <c r="W1105" s="676"/>
      <c r="X1105" s="676"/>
      <c r="Y1105" s="598"/>
      <c r="Z1105" s="598"/>
      <c r="AA1105" s="597"/>
      <c r="AB1105" s="598"/>
      <c r="AC1105" s="598"/>
      <c r="AD1105" s="598"/>
      <c r="AE1105" s="598"/>
      <c r="AF1105" s="479"/>
      <c r="AG1105" s="479"/>
      <c r="AH1105" s="479"/>
      <c r="AI1105" s="479"/>
      <c r="AJ1105" s="479"/>
      <c r="AK1105" s="479"/>
      <c r="AL1105" s="479"/>
      <c r="AM1105" s="479"/>
      <c r="AN1105" s="479"/>
      <c r="AO1105" s="468"/>
      <c r="AP1105" s="468"/>
      <c r="AQ1105" s="834"/>
      <c r="AR1105" s="833"/>
      <c r="AS1105" s="833"/>
      <c r="AT1105" s="833"/>
      <c r="AU1105" s="833"/>
      <c r="AV1105" s="833"/>
      <c r="AW1105" s="833"/>
      <c r="AX1105" s="833"/>
      <c r="AY1105" s="833"/>
      <c r="AZ1105" s="833"/>
      <c r="BA1105" s="833"/>
      <c r="BB1105" s="833"/>
      <c r="BC1105" s="833"/>
      <c r="BD1105" s="833"/>
      <c r="BE1105" s="833"/>
    </row>
    <row r="1106" customFormat="false" ht="14.15" hidden="true" customHeight="true" outlineLevel="1" collapsed="false">
      <c r="A1106" s="842" t="s">
        <v>294</v>
      </c>
      <c r="B1106" s="477"/>
      <c r="C1106" s="479"/>
      <c r="G1106" s="676"/>
      <c r="H1106" s="676"/>
      <c r="I1106" s="676"/>
      <c r="J1106" s="676"/>
      <c r="K1106" s="676"/>
      <c r="L1106" s="676"/>
      <c r="M1106" s="676"/>
      <c r="N1106" s="676"/>
      <c r="O1106" s="676"/>
      <c r="P1106" s="676"/>
      <c r="Q1106" s="676"/>
      <c r="R1106" s="676"/>
      <c r="S1106" s="676"/>
      <c r="T1106" s="676"/>
      <c r="U1106" s="676"/>
      <c r="V1106" s="676"/>
      <c r="W1106" s="676"/>
      <c r="X1106" s="676"/>
      <c r="Y1106" s="598"/>
      <c r="Z1106" s="598"/>
      <c r="AA1106" s="597"/>
      <c r="AB1106" s="598"/>
      <c r="AC1106" s="598"/>
      <c r="AD1106" s="598"/>
      <c r="AE1106" s="598"/>
      <c r="AF1106" s="479"/>
      <c r="AG1106" s="479"/>
      <c r="AH1106" s="479"/>
      <c r="AI1106" s="479"/>
      <c r="AJ1106" s="479"/>
      <c r="AK1106" s="479"/>
      <c r="AL1106" s="479"/>
      <c r="AM1106" s="479"/>
      <c r="AN1106" s="479"/>
      <c r="AO1106" s="468"/>
      <c r="AP1106" s="468"/>
      <c r="AQ1106" s="834"/>
      <c r="AR1106" s="833"/>
      <c r="AS1106" s="833"/>
      <c r="AT1106" s="833"/>
      <c r="AU1106" s="833"/>
      <c r="AV1106" s="833"/>
      <c r="AW1106" s="833"/>
      <c r="AX1106" s="833"/>
      <c r="AY1106" s="833"/>
      <c r="AZ1106" s="833"/>
      <c r="BA1106" s="833"/>
      <c r="BB1106" s="833"/>
      <c r="BC1106" s="833"/>
      <c r="BD1106" s="833"/>
      <c r="BE1106" s="833"/>
    </row>
    <row r="1107" s="355" customFormat="true" ht="14.15" hidden="true" customHeight="true" outlineLevel="1" collapsed="false">
      <c r="A1107" s="468" t="s">
        <v>2419</v>
      </c>
      <c r="B1107" s="477"/>
      <c r="C1107" s="479"/>
      <c r="G1107" s="676"/>
      <c r="H1107" s="676"/>
      <c r="I1107" s="676"/>
      <c r="J1107" s="676"/>
      <c r="K1107" s="676"/>
      <c r="L1107" s="676"/>
      <c r="M1107" s="676"/>
      <c r="N1107" s="676"/>
      <c r="O1107" s="676"/>
      <c r="P1107" s="676"/>
      <c r="Q1107" s="676"/>
      <c r="R1107" s="676"/>
      <c r="S1107" s="676"/>
      <c r="T1107" s="676"/>
      <c r="U1107" s="676"/>
      <c r="V1107" s="676"/>
      <c r="W1107" s="676"/>
      <c r="X1107" s="676"/>
      <c r="Y1107" s="598"/>
      <c r="Z1107" s="598"/>
      <c r="AA1107" s="597"/>
      <c r="AB1107" s="598"/>
      <c r="AC1107" s="598"/>
      <c r="AD1107" s="598"/>
      <c r="AE1107" s="598"/>
      <c r="AF1107" s="479"/>
      <c r="AG1107" s="479"/>
      <c r="AH1107" s="479"/>
      <c r="AI1107" s="479"/>
      <c r="AJ1107" s="479"/>
      <c r="AK1107" s="479"/>
      <c r="AL1107" s="479"/>
      <c r="AM1107" s="479"/>
      <c r="AN1107" s="479"/>
      <c r="AO1107" s="468"/>
      <c r="AP1107" s="468"/>
      <c r="AQ1107" s="834"/>
      <c r="AR1107" s="834"/>
      <c r="AS1107" s="834"/>
      <c r="AT1107" s="834"/>
      <c r="AU1107" s="834"/>
      <c r="AV1107" s="834"/>
      <c r="AW1107" s="834"/>
      <c r="AX1107" s="834"/>
      <c r="AY1107" s="834"/>
      <c r="AZ1107" s="834"/>
      <c r="BA1107" s="834"/>
      <c r="BB1107" s="834"/>
      <c r="BC1107" s="834"/>
      <c r="BD1107" s="834"/>
      <c r="BE1107" s="834"/>
      <c r="BF1107" s="360"/>
    </row>
    <row r="1108" customFormat="false" ht="14.15" hidden="true" customHeight="true" outlineLevel="1" collapsed="false">
      <c r="A1108" s="843" t="s">
        <v>753</v>
      </c>
      <c r="B1108" s="477"/>
      <c r="C1108" s="522"/>
      <c r="G1108" s="676"/>
      <c r="H1108" s="676"/>
      <c r="I1108" s="676"/>
      <c r="J1108" s="676"/>
      <c r="K1108" s="676"/>
      <c r="L1108" s="676"/>
      <c r="M1108" s="676"/>
      <c r="N1108" s="676"/>
      <c r="O1108" s="676"/>
      <c r="P1108" s="676"/>
      <c r="Q1108" s="676"/>
      <c r="R1108" s="676"/>
      <c r="S1108" s="676"/>
      <c r="T1108" s="676"/>
      <c r="U1108" s="676"/>
      <c r="V1108" s="676"/>
      <c r="W1108" s="676"/>
      <c r="X1108" s="676"/>
      <c r="Y1108" s="598"/>
      <c r="Z1108" s="598"/>
      <c r="AA1108" s="597"/>
      <c r="AB1108" s="598"/>
      <c r="AC1108" s="598"/>
      <c r="AD1108" s="598"/>
      <c r="AE1108" s="598"/>
      <c r="AF1108" s="479"/>
      <c r="AG1108" s="479"/>
      <c r="AH1108" s="479"/>
      <c r="AI1108" s="479"/>
      <c r="AJ1108" s="479"/>
      <c r="AK1108" s="479"/>
      <c r="AL1108" s="479"/>
      <c r="AM1108" s="479"/>
      <c r="AN1108" s="479"/>
      <c r="AO1108" s="468"/>
      <c r="AP1108" s="468"/>
      <c r="AQ1108" s="834"/>
      <c r="AR1108" s="833"/>
      <c r="AS1108" s="833"/>
      <c r="AT1108" s="833"/>
      <c r="AU1108" s="833"/>
      <c r="AV1108" s="833"/>
      <c r="AW1108" s="833"/>
      <c r="AX1108" s="833"/>
      <c r="AY1108" s="833"/>
      <c r="AZ1108" s="833"/>
      <c r="BA1108" s="833"/>
      <c r="BB1108" s="833"/>
      <c r="BC1108" s="833"/>
      <c r="BD1108" s="833"/>
      <c r="BE1108" s="833"/>
    </row>
    <row r="1109" customFormat="false" ht="14.15" hidden="true" customHeight="true" outlineLevel="1" collapsed="false">
      <c r="A1109" s="324" t="s">
        <v>151</v>
      </c>
      <c r="G1109" s="676"/>
      <c r="H1109" s="676"/>
      <c r="I1109" s="676"/>
      <c r="J1109" s="676"/>
      <c r="K1109" s="676"/>
      <c r="L1109" s="676"/>
      <c r="M1109" s="676"/>
      <c r="N1109" s="676"/>
      <c r="O1109" s="676"/>
      <c r="P1109" s="676"/>
      <c r="Q1109" s="676"/>
      <c r="R1109" s="676"/>
      <c r="S1109" s="676"/>
      <c r="T1109" s="676"/>
      <c r="U1109" s="676"/>
      <c r="V1109" s="676"/>
      <c r="W1109" s="676"/>
      <c r="X1109" s="676"/>
      <c r="Y1109" s="598"/>
      <c r="Z1109" s="598"/>
      <c r="AA1109" s="597"/>
      <c r="AB1109" s="598"/>
      <c r="AC1109" s="598"/>
      <c r="AD1109" s="598"/>
      <c r="AE1109" s="598"/>
      <c r="AF1109" s="479"/>
      <c r="AG1109" s="479"/>
      <c r="AH1109" s="479"/>
      <c r="AI1109" s="479"/>
      <c r="AJ1109" s="479"/>
      <c r="AK1109" s="479"/>
      <c r="AL1109" s="479"/>
      <c r="AM1109" s="479"/>
      <c r="AN1109" s="479"/>
      <c r="AO1109" s="468"/>
      <c r="AP1109" s="468"/>
      <c r="AQ1109" s="834"/>
      <c r="AR1109" s="833"/>
      <c r="AS1109" s="833"/>
      <c r="AT1109" s="833"/>
      <c r="AU1109" s="833"/>
      <c r="AV1109" s="833"/>
      <c r="AW1109" s="833"/>
      <c r="AX1109" s="833"/>
      <c r="AY1109" s="833"/>
      <c r="AZ1109" s="833"/>
      <c r="BA1109" s="833"/>
      <c r="BB1109" s="833"/>
      <c r="BC1109" s="833"/>
      <c r="BD1109" s="833"/>
      <c r="BE1109" s="833"/>
    </row>
    <row r="1110" customFormat="false" ht="14.15" hidden="true" customHeight="true" outlineLevel="1" collapsed="false">
      <c r="A1110" s="403" t="s">
        <v>152</v>
      </c>
      <c r="B1110" s="844" t="s">
        <v>154</v>
      </c>
      <c r="C1110" s="265" t="n">
        <v>0</v>
      </c>
      <c r="H1110" s="676"/>
      <c r="I1110" s="676"/>
      <c r="J1110" s="676"/>
      <c r="K1110" s="676"/>
      <c r="L1110" s="676"/>
      <c r="M1110" s="676"/>
      <c r="N1110" s="676"/>
      <c r="O1110" s="676"/>
      <c r="P1110" s="676"/>
      <c r="Q1110" s="676"/>
      <c r="R1110" s="676"/>
      <c r="S1110" s="676"/>
      <c r="T1110" s="676"/>
      <c r="U1110" s="676"/>
      <c r="V1110" s="676"/>
      <c r="W1110" s="676"/>
      <c r="X1110" s="676"/>
      <c r="Y1110" s="598"/>
      <c r="Z1110" s="598"/>
      <c r="AA1110" s="597"/>
      <c r="AB1110" s="598"/>
      <c r="AC1110" s="598"/>
      <c r="AD1110" s="598"/>
      <c r="AE1110" s="598"/>
      <c r="AF1110" s="479"/>
      <c r="AG1110" s="479"/>
      <c r="AH1110" s="479"/>
      <c r="AI1110" s="479"/>
      <c r="AJ1110" s="479"/>
      <c r="AK1110" s="479"/>
      <c r="AL1110" s="479"/>
      <c r="AM1110" s="479"/>
      <c r="AN1110" s="479"/>
      <c r="AO1110" s="468"/>
      <c r="AP1110" s="468"/>
      <c r="AQ1110" s="834"/>
      <c r="AR1110" s="833"/>
      <c r="AS1110" s="833"/>
      <c r="AT1110" s="833"/>
      <c r="AU1110" s="833"/>
      <c r="AV1110" s="833"/>
      <c r="AW1110" s="833"/>
      <c r="AX1110" s="833"/>
      <c r="AY1110" s="833"/>
      <c r="AZ1110" s="833"/>
      <c r="BA1110" s="833"/>
      <c r="BB1110" s="833"/>
      <c r="BC1110" s="833"/>
      <c r="BD1110" s="833"/>
      <c r="BE1110" s="833"/>
    </row>
    <row r="1111" customFormat="false" ht="14.15" hidden="true" customHeight="true" outlineLevel="1" collapsed="false">
      <c r="A1111" s="401" t="s">
        <v>152</v>
      </c>
      <c r="B1111" s="844" t="s">
        <v>154</v>
      </c>
      <c r="C1111" s="595" t="n">
        <v>0</v>
      </c>
      <c r="D1111" s="676"/>
      <c r="H1111" s="676"/>
      <c r="I1111" s="676"/>
      <c r="J1111" s="676"/>
      <c r="K1111" s="676"/>
      <c r="L1111" s="676"/>
      <c r="M1111" s="676"/>
      <c r="N1111" s="676"/>
      <c r="O1111" s="676"/>
      <c r="P1111" s="676"/>
      <c r="Q1111" s="676"/>
      <c r="R1111" s="676"/>
      <c r="S1111" s="676"/>
      <c r="T1111" s="676"/>
      <c r="U1111" s="676"/>
      <c r="V1111" s="676"/>
      <c r="W1111" s="676"/>
      <c r="X1111" s="676"/>
      <c r="Y1111" s="598"/>
      <c r="Z1111" s="598"/>
      <c r="AA1111" s="597"/>
      <c r="AB1111" s="598"/>
      <c r="AC1111" s="598"/>
      <c r="AD1111" s="598"/>
      <c r="AE1111" s="598"/>
      <c r="AF1111" s="479"/>
      <c r="AG1111" s="479"/>
      <c r="AH1111" s="479"/>
      <c r="AI1111" s="479"/>
      <c r="AJ1111" s="479"/>
      <c r="AK1111" s="479"/>
      <c r="AL1111" s="479"/>
      <c r="AM1111" s="479"/>
      <c r="AN1111" s="479"/>
      <c r="AO1111" s="468"/>
      <c r="AP1111" s="468"/>
      <c r="AQ1111" s="834"/>
      <c r="AR1111" s="833"/>
      <c r="AS1111" s="833"/>
      <c r="AT1111" s="833"/>
      <c r="AU1111" s="833"/>
      <c r="AV1111" s="833"/>
      <c r="AW1111" s="833"/>
      <c r="AX1111" s="833"/>
      <c r="AY1111" s="833"/>
      <c r="AZ1111" s="833"/>
      <c r="BA1111" s="833"/>
      <c r="BB1111" s="833"/>
      <c r="BC1111" s="833"/>
      <c r="BD1111" s="833"/>
      <c r="BE1111" s="833"/>
    </row>
    <row r="1112" customFormat="false" ht="14.15" hidden="true" customHeight="true" outlineLevel="1" collapsed="false">
      <c r="A1112" s="403" t="s">
        <v>152</v>
      </c>
      <c r="B1112" s="404" t="s">
        <v>159</v>
      </c>
      <c r="C1112" s="265" t="n">
        <v>0</v>
      </c>
      <c r="D1112" s="676"/>
      <c r="H1112" s="676"/>
      <c r="I1112" s="676"/>
      <c r="J1112" s="676"/>
      <c r="K1112" s="676"/>
      <c r="L1112" s="676"/>
      <c r="M1112" s="676"/>
      <c r="N1112" s="676"/>
      <c r="O1112" s="676"/>
      <c r="P1112" s="676"/>
      <c r="Q1112" s="676"/>
      <c r="R1112" s="676"/>
      <c r="S1112" s="676"/>
      <c r="T1112" s="676"/>
      <c r="U1112" s="676"/>
      <c r="V1112" s="676"/>
      <c r="W1112" s="676"/>
      <c r="X1112" s="676"/>
      <c r="Y1112" s="598"/>
      <c r="Z1112" s="598"/>
      <c r="AA1112" s="597"/>
      <c r="AB1112" s="598"/>
      <c r="AC1112" s="598"/>
      <c r="AD1112" s="598"/>
      <c r="AE1112" s="598"/>
      <c r="AF1112" s="479"/>
      <c r="AG1112" s="479"/>
      <c r="AH1112" s="479"/>
      <c r="AI1112" s="479"/>
      <c r="AJ1112" s="479"/>
      <c r="AK1112" s="479"/>
      <c r="AL1112" s="479"/>
      <c r="AM1112" s="479"/>
      <c r="AN1112" s="479"/>
      <c r="AO1112" s="468"/>
      <c r="AP1112" s="468"/>
      <c r="AQ1112" s="834"/>
      <c r="AR1112" s="833"/>
      <c r="AS1112" s="833"/>
      <c r="AT1112" s="833"/>
      <c r="AU1112" s="833"/>
      <c r="AV1112" s="833"/>
      <c r="AW1112" s="833"/>
      <c r="AX1112" s="833"/>
      <c r="AY1112" s="833"/>
      <c r="AZ1112" s="833"/>
      <c r="BA1112" s="833"/>
      <c r="BB1112" s="833"/>
      <c r="BC1112" s="833"/>
      <c r="BD1112" s="833"/>
      <c r="BE1112" s="833"/>
    </row>
    <row r="1113" customFormat="false" ht="14.15" hidden="true" customHeight="true" outlineLevel="1" collapsed="false">
      <c r="D1113" s="479"/>
      <c r="E1113" s="355"/>
      <c r="F1113" s="355"/>
      <c r="G1113" s="355"/>
      <c r="H1113" s="845"/>
      <c r="I1113" s="846"/>
      <c r="J1113" s="468"/>
      <c r="K1113" s="468"/>
      <c r="L1113" s="479"/>
      <c r="M1113" s="479"/>
      <c r="N1113" s="479"/>
      <c r="O1113" s="790"/>
      <c r="P1113" s="790"/>
      <c r="Q1113" s="790"/>
      <c r="R1113" s="790"/>
      <c r="S1113" s="790"/>
      <c r="T1113" s="790"/>
      <c r="U1113" s="790"/>
      <c r="V1113" s="790"/>
      <c r="W1113" s="790"/>
      <c r="X1113" s="790"/>
      <c r="Y1113" s="790"/>
      <c r="Z1113" s="790"/>
      <c r="AA1113" s="790"/>
      <c r="AB1113" s="790"/>
      <c r="AC1113" s="790"/>
      <c r="AD1113" s="790"/>
      <c r="AE1113" s="790"/>
      <c r="AF1113" s="790"/>
      <c r="AG1113" s="790"/>
      <c r="AH1113" s="790"/>
      <c r="AI1113" s="790"/>
      <c r="AJ1113" s="790"/>
      <c r="AK1113" s="790"/>
      <c r="AL1113" s="790"/>
      <c r="AM1113" s="790"/>
      <c r="AN1113" s="790"/>
      <c r="AO1113" s="847"/>
      <c r="AP1113" s="847"/>
      <c r="AQ1113" s="833"/>
      <c r="AR1113" s="833"/>
      <c r="AS1113" s="833"/>
      <c r="AT1113" s="833"/>
      <c r="AU1113" s="833"/>
      <c r="AV1113" s="833"/>
      <c r="AW1113" s="833"/>
      <c r="AX1113" s="833"/>
      <c r="AY1113" s="833"/>
      <c r="AZ1113" s="833"/>
      <c r="BA1113" s="833"/>
      <c r="BB1113" s="833"/>
      <c r="BC1113" s="833"/>
      <c r="BD1113" s="833"/>
      <c r="BE1113" s="833"/>
    </row>
    <row r="1114" customFormat="false" ht="14.15" hidden="true" customHeight="true" outlineLevel="1" collapsed="false">
      <c r="A1114" s="265" t="s">
        <v>2420</v>
      </c>
      <c r="B1114" s="404" t="s">
        <v>1796</v>
      </c>
      <c r="C1114" s="488" t="n">
        <v>15000</v>
      </c>
      <c r="D1114" s="479"/>
      <c r="E1114" s="355"/>
      <c r="F1114" s="355"/>
      <c r="G1114" s="355"/>
      <c r="H1114" s="845"/>
      <c r="I1114" s="846"/>
      <c r="J1114" s="468"/>
      <c r="K1114" s="468"/>
      <c r="L1114" s="479"/>
      <c r="M1114" s="479"/>
      <c r="N1114" s="479"/>
      <c r="O1114" s="790"/>
      <c r="P1114" s="790"/>
      <c r="Q1114" s="790"/>
      <c r="R1114" s="790"/>
      <c r="S1114" s="790"/>
      <c r="T1114" s="790"/>
      <c r="U1114" s="790"/>
      <c r="V1114" s="790"/>
      <c r="W1114" s="790"/>
      <c r="X1114" s="790"/>
      <c r="Y1114" s="790"/>
      <c r="Z1114" s="790"/>
      <c r="AA1114" s="790"/>
      <c r="AB1114" s="790"/>
      <c r="AC1114" s="790"/>
      <c r="AD1114" s="790"/>
      <c r="AE1114" s="790"/>
      <c r="AF1114" s="790"/>
      <c r="AG1114" s="790"/>
      <c r="AH1114" s="790"/>
      <c r="AI1114" s="790"/>
      <c r="AJ1114" s="790"/>
      <c r="AK1114" s="790"/>
      <c r="AL1114" s="790"/>
      <c r="AM1114" s="790"/>
      <c r="AN1114" s="790"/>
      <c r="AO1114" s="847"/>
      <c r="AP1114" s="847"/>
      <c r="AQ1114" s="833"/>
      <c r="AR1114" s="833"/>
      <c r="AS1114" s="833"/>
      <c r="AT1114" s="833"/>
      <c r="AU1114" s="833"/>
      <c r="AV1114" s="833"/>
      <c r="AW1114" s="833"/>
      <c r="AX1114" s="833"/>
      <c r="AY1114" s="833"/>
      <c r="AZ1114" s="833"/>
      <c r="BA1114" s="833"/>
      <c r="BB1114" s="833"/>
      <c r="BC1114" s="833"/>
      <c r="BD1114" s="833"/>
      <c r="BE1114" s="833"/>
    </row>
    <row r="1115" customFormat="false" ht="14.15" hidden="true" customHeight="true" outlineLevel="1" collapsed="false">
      <c r="D1115" s="479"/>
      <c r="E1115" s="355"/>
      <c r="F1115" s="355"/>
      <c r="G1115" s="355"/>
      <c r="H1115" s="845"/>
      <c r="I1115" s="846"/>
      <c r="J1115" s="468"/>
      <c r="K1115" s="468"/>
      <c r="L1115" s="479"/>
      <c r="M1115" s="479"/>
      <c r="N1115" s="479"/>
      <c r="O1115" s="790"/>
      <c r="P1115" s="790"/>
      <c r="Q1115" s="790"/>
      <c r="R1115" s="790"/>
      <c r="S1115" s="790"/>
      <c r="T1115" s="790"/>
      <c r="U1115" s="790"/>
      <c r="V1115" s="790"/>
      <c r="W1115" s="790"/>
      <c r="X1115" s="790"/>
      <c r="Y1115" s="790"/>
      <c r="Z1115" s="790"/>
      <c r="AA1115" s="790"/>
      <c r="AB1115" s="790"/>
      <c r="AC1115" s="790"/>
      <c r="AD1115" s="790"/>
      <c r="AE1115" s="790"/>
      <c r="AF1115" s="790"/>
      <c r="AG1115" s="790"/>
      <c r="AH1115" s="790"/>
      <c r="AI1115" s="790"/>
      <c r="AJ1115" s="790"/>
      <c r="AK1115" s="790"/>
      <c r="AL1115" s="790"/>
      <c r="AM1115" s="790"/>
      <c r="AN1115" s="790"/>
      <c r="AO1115" s="847"/>
      <c r="AP1115" s="847"/>
      <c r="AQ1115" s="833"/>
      <c r="AR1115" s="833"/>
      <c r="AS1115" s="833"/>
      <c r="AT1115" s="833"/>
      <c r="AU1115" s="833"/>
      <c r="AV1115" s="833"/>
      <c r="AW1115" s="833"/>
      <c r="AX1115" s="833"/>
      <c r="AY1115" s="833"/>
      <c r="AZ1115" s="833"/>
      <c r="BA1115" s="833"/>
      <c r="BB1115" s="833"/>
      <c r="BC1115" s="833"/>
      <c r="BD1115" s="833"/>
      <c r="BE1115" s="833"/>
    </row>
    <row r="1116" customFormat="false" ht="14.15" hidden="true" customHeight="true" outlineLevel="1" collapsed="false">
      <c r="A1116" s="370" t="s">
        <v>2359</v>
      </c>
      <c r="B1116" s="402" t="s">
        <v>208</v>
      </c>
      <c r="C1116" s="631" t="s">
        <v>1798</v>
      </c>
      <c r="D1116" s="479"/>
      <c r="E1116" s="355"/>
      <c r="F1116" s="355"/>
      <c r="G1116" s="355"/>
      <c r="H1116" s="845"/>
      <c r="I1116" s="846"/>
      <c r="J1116" s="468"/>
      <c r="K1116" s="468"/>
      <c r="L1116" s="479"/>
      <c r="M1116" s="479"/>
      <c r="N1116" s="479"/>
      <c r="O1116" s="790"/>
      <c r="P1116" s="790"/>
      <c r="Q1116" s="790"/>
      <c r="R1116" s="790"/>
      <c r="S1116" s="790"/>
      <c r="T1116" s="790"/>
      <c r="U1116" s="790"/>
      <c r="V1116" s="790"/>
      <c r="W1116" s="790"/>
      <c r="X1116" s="790"/>
      <c r="Y1116" s="790"/>
      <c r="Z1116" s="790"/>
      <c r="AA1116" s="790"/>
      <c r="AB1116" s="790"/>
      <c r="AC1116" s="790"/>
      <c r="AD1116" s="790"/>
      <c r="AE1116" s="790"/>
      <c r="AF1116" s="790"/>
      <c r="AG1116" s="790"/>
      <c r="AH1116" s="790"/>
      <c r="AI1116" s="790"/>
      <c r="AJ1116" s="790"/>
      <c r="AK1116" s="790"/>
      <c r="AL1116" s="790"/>
      <c r="AM1116" s="790"/>
      <c r="AN1116" s="790"/>
      <c r="AO1116" s="847"/>
      <c r="AP1116" s="847"/>
      <c r="AQ1116" s="833"/>
      <c r="AR1116" s="833"/>
      <c r="AS1116" s="833"/>
      <c r="AT1116" s="833"/>
      <c r="AU1116" s="833"/>
      <c r="AV1116" s="833"/>
      <c r="AW1116" s="833"/>
      <c r="AX1116" s="833"/>
      <c r="AY1116" s="833"/>
      <c r="AZ1116" s="833"/>
      <c r="BA1116" s="833"/>
      <c r="BB1116" s="833"/>
      <c r="BC1116" s="833"/>
      <c r="BD1116" s="833"/>
      <c r="BE1116" s="833"/>
    </row>
    <row r="1117" customFormat="false" ht="14.15" hidden="true" customHeight="true" outlineLevel="1" collapsed="false">
      <c r="A1117" s="474" t="s">
        <v>2360</v>
      </c>
      <c r="B1117" s="402" t="s">
        <v>1793</v>
      </c>
      <c r="C1117" s="370" t="n">
        <v>3</v>
      </c>
      <c r="D1117" s="479"/>
      <c r="E1117" s="355"/>
      <c r="F1117" s="355"/>
      <c r="G1117" s="355"/>
      <c r="H1117" s="845"/>
      <c r="I1117" s="846"/>
      <c r="J1117" s="468"/>
      <c r="K1117" s="468"/>
      <c r="L1117" s="479"/>
      <c r="M1117" s="479"/>
      <c r="N1117" s="479"/>
      <c r="O1117" s="790"/>
      <c r="P1117" s="790"/>
      <c r="Q1117" s="790"/>
      <c r="R1117" s="790"/>
      <c r="S1117" s="790"/>
      <c r="T1117" s="790"/>
      <c r="U1117" s="790"/>
      <c r="V1117" s="790"/>
      <c r="W1117" s="790"/>
      <c r="X1117" s="790"/>
      <c r="Y1117" s="790"/>
      <c r="Z1117" s="790"/>
      <c r="AA1117" s="790"/>
      <c r="AB1117" s="790"/>
      <c r="AC1117" s="790"/>
      <c r="AD1117" s="790"/>
      <c r="AE1117" s="790"/>
      <c r="AF1117" s="790"/>
      <c r="AG1117" s="790"/>
      <c r="AH1117" s="790"/>
      <c r="AI1117" s="790"/>
      <c r="AJ1117" s="790"/>
      <c r="AK1117" s="790"/>
      <c r="AL1117" s="790"/>
      <c r="AM1117" s="790"/>
      <c r="AN1117" s="790"/>
      <c r="AO1117" s="847"/>
      <c r="AP1117" s="847"/>
      <c r="AQ1117" s="833"/>
      <c r="AR1117" s="833"/>
      <c r="AS1117" s="833"/>
      <c r="AT1117" s="833"/>
      <c r="AU1117" s="833"/>
      <c r="AV1117" s="833"/>
      <c r="AW1117" s="833"/>
      <c r="AX1117" s="833"/>
      <c r="AY1117" s="833"/>
      <c r="AZ1117" s="833"/>
      <c r="BA1117" s="833"/>
      <c r="BB1117" s="833"/>
      <c r="BC1117" s="833"/>
      <c r="BD1117" s="833"/>
      <c r="BE1117" s="833"/>
    </row>
    <row r="1118" customFormat="false" ht="14.15" hidden="true" customHeight="true" outlineLevel="1" collapsed="false">
      <c r="A1118" s="370" t="s">
        <v>2361</v>
      </c>
      <c r="B1118" s="425" t="s">
        <v>1793</v>
      </c>
      <c r="C1118" s="474" t="n">
        <v>12</v>
      </c>
      <c r="D1118" s="479"/>
      <c r="E1118" s="355"/>
      <c r="F1118" s="355"/>
      <c r="G1118" s="355"/>
      <c r="H1118" s="845"/>
      <c r="I1118" s="846"/>
      <c r="J1118" s="468"/>
      <c r="K1118" s="468"/>
      <c r="L1118" s="479"/>
      <c r="M1118" s="479"/>
      <c r="N1118" s="479"/>
      <c r="O1118" s="790"/>
      <c r="P1118" s="790"/>
      <c r="Q1118" s="790"/>
      <c r="R1118" s="790"/>
      <c r="S1118" s="790"/>
      <c r="T1118" s="790"/>
      <c r="U1118" s="790"/>
      <c r="V1118" s="790"/>
      <c r="W1118" s="790"/>
      <c r="X1118" s="790"/>
      <c r="Y1118" s="790"/>
      <c r="Z1118" s="790"/>
      <c r="AA1118" s="790"/>
      <c r="AB1118" s="790"/>
      <c r="AC1118" s="790"/>
      <c r="AD1118" s="790"/>
      <c r="AE1118" s="790"/>
      <c r="AF1118" s="790"/>
      <c r="AG1118" s="790"/>
      <c r="AH1118" s="790"/>
      <c r="AI1118" s="790"/>
      <c r="AJ1118" s="790"/>
      <c r="AK1118" s="790"/>
      <c r="AL1118" s="790"/>
      <c r="AM1118" s="790"/>
      <c r="AN1118" s="790"/>
      <c r="AO1118" s="847"/>
      <c r="AP1118" s="847"/>
      <c r="AQ1118" s="833"/>
      <c r="AR1118" s="833"/>
      <c r="AS1118" s="833"/>
      <c r="AT1118" s="833"/>
      <c r="AU1118" s="833"/>
      <c r="AV1118" s="833"/>
      <c r="AW1118" s="833"/>
      <c r="AX1118" s="833"/>
      <c r="AY1118" s="833"/>
      <c r="AZ1118" s="833"/>
      <c r="BA1118" s="833"/>
      <c r="BB1118" s="833"/>
      <c r="BC1118" s="833"/>
      <c r="BD1118" s="833"/>
      <c r="BE1118" s="833"/>
    </row>
    <row r="1119" customFormat="false" ht="14.15" hidden="true" customHeight="true" outlineLevel="1" collapsed="false">
      <c r="A1119" s="370" t="s">
        <v>2362</v>
      </c>
      <c r="B1119" s="402" t="s">
        <v>1796</v>
      </c>
      <c r="C1119" s="370" t="n">
        <v>800</v>
      </c>
      <c r="D1119" s="479"/>
      <c r="E1119" s="355"/>
      <c r="F1119" s="355"/>
      <c r="G1119" s="355"/>
      <c r="H1119" s="845"/>
      <c r="I1119" s="846"/>
      <c r="J1119" s="468"/>
      <c r="K1119" s="468"/>
      <c r="L1119" s="479"/>
      <c r="M1119" s="479"/>
      <c r="N1119" s="479"/>
      <c r="O1119" s="790"/>
      <c r="P1119" s="790"/>
      <c r="Q1119" s="790"/>
      <c r="R1119" s="790"/>
      <c r="S1119" s="790"/>
      <c r="T1119" s="790"/>
      <c r="U1119" s="790"/>
      <c r="V1119" s="790"/>
      <c r="W1119" s="790"/>
      <c r="X1119" s="790"/>
      <c r="Y1119" s="790"/>
      <c r="Z1119" s="790"/>
      <c r="AA1119" s="790"/>
      <c r="AB1119" s="790"/>
      <c r="AC1119" s="790"/>
      <c r="AD1119" s="790"/>
      <c r="AE1119" s="790"/>
      <c r="AF1119" s="790"/>
      <c r="AG1119" s="790"/>
      <c r="AH1119" s="790"/>
      <c r="AI1119" s="790"/>
      <c r="AJ1119" s="790"/>
      <c r="AK1119" s="790"/>
      <c r="AL1119" s="790"/>
      <c r="AM1119" s="790"/>
      <c r="AN1119" s="790"/>
      <c r="AO1119" s="847"/>
      <c r="AP1119" s="847"/>
      <c r="AQ1119" s="833"/>
      <c r="AR1119" s="833"/>
      <c r="AS1119" s="833"/>
      <c r="AT1119" s="833"/>
      <c r="AU1119" s="833"/>
      <c r="AV1119" s="833"/>
      <c r="AW1119" s="833"/>
      <c r="AX1119" s="833"/>
      <c r="AY1119" s="833"/>
      <c r="AZ1119" s="833"/>
      <c r="BA1119" s="833"/>
      <c r="BB1119" s="833"/>
      <c r="BC1119" s="833"/>
      <c r="BD1119" s="833"/>
      <c r="BE1119" s="833"/>
    </row>
    <row r="1120" customFormat="false" ht="14.15" hidden="true" customHeight="true" outlineLevel="1" collapsed="false">
      <c r="D1120" s="479"/>
      <c r="E1120" s="355"/>
      <c r="F1120" s="355"/>
      <c r="G1120" s="355"/>
      <c r="H1120" s="845"/>
      <c r="I1120" s="846"/>
      <c r="J1120" s="468"/>
      <c r="K1120" s="468"/>
      <c r="L1120" s="479"/>
      <c r="M1120" s="479"/>
      <c r="N1120" s="479"/>
      <c r="O1120" s="790"/>
      <c r="P1120" s="790"/>
      <c r="Q1120" s="790"/>
      <c r="R1120" s="790"/>
      <c r="S1120" s="790"/>
      <c r="T1120" s="790"/>
      <c r="U1120" s="790"/>
      <c r="V1120" s="790"/>
      <c r="W1120" s="790"/>
      <c r="X1120" s="790"/>
      <c r="Y1120" s="790"/>
      <c r="Z1120" s="790"/>
      <c r="AA1120" s="790"/>
      <c r="AB1120" s="790"/>
      <c r="AC1120" s="790"/>
      <c r="AD1120" s="790"/>
      <c r="AE1120" s="790"/>
      <c r="AF1120" s="790"/>
      <c r="AG1120" s="790"/>
      <c r="AH1120" s="790"/>
      <c r="AI1120" s="790"/>
      <c r="AJ1120" s="790"/>
      <c r="AK1120" s="790"/>
      <c r="AL1120" s="790"/>
      <c r="AM1120" s="790"/>
      <c r="AN1120" s="790"/>
      <c r="AO1120" s="847"/>
      <c r="AP1120" s="847"/>
      <c r="AQ1120" s="833"/>
      <c r="AR1120" s="833"/>
      <c r="AS1120" s="833"/>
      <c r="AT1120" s="833"/>
      <c r="AU1120" s="833"/>
      <c r="AV1120" s="833"/>
      <c r="AW1120" s="833"/>
      <c r="AX1120" s="833"/>
      <c r="AY1120" s="833"/>
      <c r="AZ1120" s="833"/>
      <c r="BA1120" s="833"/>
      <c r="BB1120" s="833"/>
      <c r="BC1120" s="833"/>
      <c r="BD1120" s="833"/>
      <c r="BE1120" s="833"/>
    </row>
    <row r="1121" customFormat="false" ht="14.15" hidden="false" customHeight="true" outlineLevel="0" collapsed="false">
      <c r="A1121" s="777" t="s">
        <v>2421</v>
      </c>
      <c r="B1121" s="777"/>
      <c r="C1121" s="777"/>
      <c r="D1121" s="777"/>
      <c r="E1121" s="777"/>
      <c r="F1121" s="777"/>
      <c r="G1121" s="777"/>
      <c r="H1121" s="625"/>
      <c r="I1121" s="625"/>
      <c r="J1121" s="625"/>
      <c r="K1121" s="625"/>
      <c r="L1121" s="625"/>
      <c r="M1121" s="600"/>
      <c r="N1121" s="600"/>
      <c r="O1121" s="600"/>
      <c r="P1121" s="342"/>
      <c r="Q1121" s="358"/>
      <c r="R1121" s="342"/>
      <c r="S1121" s="342"/>
      <c r="T1121" s="342"/>
      <c r="U1121" s="342"/>
      <c r="V1121" s="342"/>
      <c r="W1121" s="342"/>
      <c r="X1121" s="342"/>
      <c r="Y1121" s="342"/>
      <c r="Z1121" s="342"/>
      <c r="AA1121" s="342"/>
      <c r="AB1121" s="342"/>
      <c r="AC1121" s="342"/>
      <c r="AD1121" s="342"/>
      <c r="AE1121" s="342"/>
      <c r="AF1121" s="342"/>
      <c r="AG1121" s="342"/>
      <c r="AH1121" s="342"/>
      <c r="AI1121" s="342"/>
      <c r="AJ1121" s="342"/>
      <c r="AK1121" s="342"/>
      <c r="AL1121" s="342"/>
      <c r="AM1121" s="342"/>
      <c r="AN1121" s="342"/>
      <c r="AO1121" s="662"/>
      <c r="AP1121" s="662"/>
      <c r="AQ1121" s="772"/>
      <c r="AR1121" s="772"/>
      <c r="AS1121" s="772"/>
      <c r="AT1121" s="772"/>
      <c r="AU1121" s="772"/>
      <c r="AV1121" s="388" t="n">
        <f aca="false">M1121</f>
        <v>0</v>
      </c>
      <c r="AW1121" s="772"/>
      <c r="AX1121" s="772"/>
      <c r="AY1121" s="772"/>
      <c r="AZ1121" s="772"/>
      <c r="BA1121" s="772"/>
      <c r="BB1121" s="772"/>
      <c r="BC1121" s="772"/>
      <c r="BD1121" s="772"/>
      <c r="BE1121" s="772"/>
    </row>
    <row r="1122" customFormat="false" ht="14.15" hidden="false" customHeight="true" outlineLevel="0" collapsed="false">
      <c r="A1122" s="666"/>
      <c r="B1122" s="477"/>
      <c r="C1122" s="479"/>
      <c r="D1122" s="848"/>
      <c r="E1122" s="848"/>
      <c r="F1122" s="848"/>
      <c r="G1122" s="848"/>
      <c r="H1122" s="479"/>
      <c r="I1122" s="479"/>
      <c r="J1122" s="479"/>
      <c r="K1122" s="479"/>
      <c r="L1122" s="479"/>
      <c r="M1122" s="479"/>
      <c r="N1122" s="479"/>
      <c r="O1122" s="342"/>
      <c r="P1122" s="342"/>
      <c r="Q1122" s="342"/>
      <c r="R1122" s="342"/>
      <c r="S1122" s="342"/>
      <c r="T1122" s="342"/>
      <c r="U1122" s="342"/>
      <c r="V1122" s="342"/>
      <c r="W1122" s="342"/>
      <c r="X1122" s="342"/>
      <c r="Y1122" s="342"/>
      <c r="Z1122" s="342"/>
      <c r="AA1122" s="342"/>
      <c r="AB1122" s="342"/>
      <c r="AC1122" s="342"/>
      <c r="AD1122" s="342"/>
      <c r="AE1122" s="342"/>
      <c r="AF1122" s="342"/>
      <c r="AG1122" s="342"/>
      <c r="AH1122" s="342"/>
      <c r="AI1122" s="342"/>
      <c r="AJ1122" s="342"/>
      <c r="AK1122" s="342"/>
      <c r="AL1122" s="342"/>
      <c r="AM1122" s="342"/>
      <c r="AN1122" s="342"/>
      <c r="AO1122" s="662"/>
      <c r="AP1122" s="662"/>
      <c r="AQ1122" s="772"/>
      <c r="AR1122" s="772"/>
      <c r="AS1122" s="772"/>
      <c r="AT1122" s="772"/>
      <c r="AU1122" s="772"/>
      <c r="AV1122" s="772"/>
      <c r="AW1122" s="772"/>
      <c r="AX1122" s="772"/>
      <c r="AY1122" s="772"/>
      <c r="AZ1122" s="772"/>
      <c r="BA1122" s="772"/>
      <c r="BB1122" s="772"/>
      <c r="BC1122" s="772"/>
      <c r="BD1122" s="772"/>
      <c r="BE1122" s="772"/>
    </row>
    <row r="1123" customFormat="false" ht="14.15" hidden="true" customHeight="true" outlineLevel="1" collapsed="false">
      <c r="A1123" s="849" t="s">
        <v>2422</v>
      </c>
      <c r="B1123" s="849"/>
      <c r="C1123" s="849"/>
      <c r="D1123" s="849"/>
      <c r="E1123" s="849"/>
      <c r="F1123" s="849"/>
      <c r="G1123" s="849"/>
      <c r="H1123" s="332"/>
      <c r="I1123" s="332"/>
      <c r="J1123" s="332"/>
      <c r="K1123" s="332"/>
      <c r="L1123" s="332"/>
      <c r="M1123" s="332"/>
      <c r="N1123" s="332"/>
      <c r="O1123" s="332"/>
      <c r="P1123" s="332"/>
      <c r="Q1123" s="332"/>
      <c r="R1123" s="332"/>
      <c r="S1123" s="332"/>
      <c r="T1123" s="332"/>
      <c r="U1123" s="332"/>
      <c r="V1123" s="332"/>
      <c r="W1123" s="332"/>
      <c r="X1123" s="332"/>
      <c r="Y1123" s="332"/>
      <c r="Z1123" s="332"/>
      <c r="AA1123" s="332"/>
      <c r="AB1123" s="332"/>
      <c r="AC1123" s="332"/>
      <c r="AD1123" s="332"/>
      <c r="AE1123" s="332"/>
      <c r="AF1123" s="332"/>
      <c r="AG1123" s="332"/>
      <c r="AH1123" s="332"/>
      <c r="AI1123" s="332"/>
      <c r="AJ1123" s="778"/>
      <c r="AK1123" s="778"/>
      <c r="AL1123" s="778"/>
      <c r="AM1123" s="778"/>
      <c r="AN1123" s="778"/>
      <c r="AO1123" s="779"/>
      <c r="AP1123" s="779"/>
      <c r="AQ1123" s="780"/>
      <c r="AR1123" s="780"/>
      <c r="AS1123" s="780"/>
      <c r="AT1123" s="780"/>
      <c r="AU1123" s="780"/>
      <c r="AV1123" s="780"/>
      <c r="AW1123" s="780"/>
      <c r="AX1123" s="780"/>
      <c r="AY1123" s="780"/>
      <c r="AZ1123" s="780"/>
      <c r="BA1123" s="780"/>
      <c r="BB1123" s="780"/>
      <c r="BC1123" s="780"/>
      <c r="BD1123" s="780"/>
      <c r="BE1123" s="780"/>
    </row>
    <row r="1124" customFormat="false" ht="14.15" hidden="true" customHeight="true" outlineLevel="1" collapsed="false">
      <c r="A1124" s="849"/>
      <c r="B1124" s="849"/>
      <c r="C1124" s="849"/>
      <c r="D1124" s="849"/>
      <c r="E1124" s="849"/>
      <c r="F1124" s="849"/>
      <c r="G1124" s="849"/>
      <c r="H1124" s="332"/>
      <c r="I1124" s="332"/>
      <c r="J1124" s="332"/>
      <c r="K1124" s="332"/>
      <c r="L1124" s="332"/>
      <c r="M1124" s="332"/>
      <c r="N1124" s="332"/>
      <c r="O1124" s="332"/>
      <c r="P1124" s="332"/>
      <c r="Q1124" s="332"/>
      <c r="R1124" s="332"/>
      <c r="S1124" s="332"/>
      <c r="T1124" s="332"/>
      <c r="U1124" s="332"/>
      <c r="V1124" s="332"/>
      <c r="W1124" s="332"/>
      <c r="X1124" s="332"/>
      <c r="Y1124" s="332"/>
      <c r="Z1124" s="332"/>
      <c r="AA1124" s="332"/>
      <c r="AB1124" s="332"/>
      <c r="AC1124" s="332"/>
      <c r="AD1124" s="332"/>
      <c r="AE1124" s="332"/>
      <c r="AF1124" s="332"/>
      <c r="AG1124" s="332"/>
      <c r="AH1124" s="332"/>
      <c r="AI1124" s="332"/>
      <c r="AJ1124" s="778"/>
      <c r="AK1124" s="778"/>
      <c r="AL1124" s="778"/>
      <c r="AM1124" s="778"/>
      <c r="AN1124" s="778"/>
      <c r="AO1124" s="779"/>
      <c r="AP1124" s="779"/>
      <c r="AQ1124" s="780"/>
      <c r="AR1124" s="780"/>
      <c r="AS1124" s="780"/>
      <c r="AT1124" s="780"/>
      <c r="AU1124" s="780"/>
      <c r="AV1124" s="780"/>
      <c r="AW1124" s="780"/>
      <c r="AX1124" s="780"/>
      <c r="AY1124" s="780"/>
      <c r="AZ1124" s="780"/>
      <c r="BA1124" s="780"/>
      <c r="BB1124" s="780"/>
      <c r="BC1124" s="780"/>
      <c r="BD1124" s="780"/>
      <c r="BE1124" s="780"/>
    </row>
    <row r="1125" customFormat="false" ht="14.15" hidden="true" customHeight="true" outlineLevel="1" collapsed="false">
      <c r="G1125" s="676"/>
      <c r="H1125" s="676"/>
      <c r="I1125" s="676"/>
      <c r="J1125" s="676"/>
      <c r="K1125" s="676"/>
      <c r="L1125" s="676"/>
      <c r="M1125" s="676"/>
      <c r="N1125" s="676"/>
      <c r="O1125" s="676"/>
      <c r="P1125" s="676"/>
      <c r="Q1125" s="676"/>
      <c r="R1125" s="676"/>
      <c r="S1125" s="676"/>
      <c r="T1125" s="676"/>
      <c r="U1125" s="676"/>
      <c r="V1125" s="676"/>
      <c r="W1125" s="676"/>
      <c r="X1125" s="676"/>
      <c r="Y1125" s="676"/>
      <c r="Z1125" s="676"/>
      <c r="AA1125" s="676"/>
      <c r="AB1125" s="676"/>
      <c r="AC1125" s="676"/>
      <c r="AD1125" s="676"/>
      <c r="AE1125" s="676"/>
      <c r="AF1125" s="342"/>
      <c r="AG1125" s="342"/>
      <c r="AH1125" s="342"/>
      <c r="AI1125" s="772"/>
      <c r="AJ1125" s="778"/>
      <c r="AK1125" s="778"/>
      <c r="AL1125" s="778"/>
      <c r="AM1125" s="778"/>
      <c r="AN1125" s="778"/>
      <c r="AO1125" s="779"/>
      <c r="AP1125" s="779"/>
      <c r="AQ1125" s="780"/>
      <c r="AR1125" s="780"/>
      <c r="AS1125" s="780"/>
      <c r="AT1125" s="780"/>
      <c r="AU1125" s="780"/>
      <c r="AV1125" s="780"/>
      <c r="AW1125" s="780"/>
      <c r="AX1125" s="780"/>
      <c r="AY1125" s="780"/>
      <c r="AZ1125" s="780"/>
      <c r="BA1125" s="780"/>
      <c r="BB1125" s="780"/>
      <c r="BC1125" s="780"/>
      <c r="BD1125" s="780"/>
      <c r="BE1125" s="780"/>
    </row>
    <row r="1126" customFormat="false" ht="14.15" hidden="true" customHeight="true" outlineLevel="1" collapsed="false">
      <c r="A1126" s="402" t="s">
        <v>2423</v>
      </c>
      <c r="B1126" s="402"/>
      <c r="C1126" s="402"/>
      <c r="D1126" s="402"/>
      <c r="E1126" s="402"/>
      <c r="F1126" s="401" t="s">
        <v>1798</v>
      </c>
      <c r="G1126" s="676"/>
      <c r="H1126" s="676"/>
      <c r="I1126" s="676"/>
      <c r="J1126" s="676"/>
      <c r="K1126" s="676"/>
      <c r="L1126" s="676"/>
      <c r="M1126" s="676"/>
      <c r="N1126" s="676"/>
      <c r="O1126" s="676"/>
      <c r="P1126" s="676"/>
      <c r="Q1126" s="676"/>
      <c r="R1126" s="676"/>
      <c r="S1126" s="676"/>
      <c r="T1126" s="676"/>
      <c r="U1126" s="676"/>
      <c r="V1126" s="676"/>
      <c r="W1126" s="676"/>
      <c r="X1126" s="676"/>
      <c r="Y1126" s="676"/>
      <c r="Z1126" s="676"/>
      <c r="AA1126" s="676"/>
      <c r="AB1126" s="676"/>
      <c r="AC1126" s="676"/>
      <c r="AD1126" s="676"/>
      <c r="AE1126" s="676"/>
      <c r="AF1126" s="342"/>
      <c r="AG1126" s="342"/>
      <c r="AH1126" s="342"/>
      <c r="AI1126" s="342"/>
      <c r="AJ1126" s="778"/>
      <c r="AK1126" s="778"/>
      <c r="AL1126" s="778"/>
      <c r="AM1126" s="778"/>
      <c r="AN1126" s="778"/>
      <c r="AO1126" s="779"/>
      <c r="AP1126" s="779"/>
      <c r="AQ1126" s="780"/>
      <c r="AR1126" s="780"/>
      <c r="AS1126" s="780"/>
      <c r="AT1126" s="780"/>
      <c r="AU1126" s="780"/>
      <c r="AV1126" s="780"/>
      <c r="AW1126" s="780"/>
      <c r="AX1126" s="780"/>
      <c r="AY1126" s="780"/>
      <c r="AZ1126" s="780"/>
      <c r="BA1126" s="780"/>
      <c r="BB1126" s="780"/>
      <c r="BC1126" s="780"/>
      <c r="BD1126" s="780"/>
      <c r="BE1126" s="780"/>
    </row>
    <row r="1127" customFormat="false" ht="14.15" hidden="true" customHeight="true" outlineLevel="1" collapsed="false">
      <c r="B1127" s="598"/>
      <c r="C1127" s="676"/>
      <c r="D1127" s="676"/>
      <c r="E1127" s="676"/>
      <c r="F1127" s="676"/>
      <c r="G1127" s="676"/>
      <c r="H1127" s="676"/>
      <c r="I1127" s="676"/>
      <c r="J1127" s="676"/>
      <c r="K1127" s="676"/>
      <c r="L1127" s="676"/>
      <c r="M1127" s="676"/>
      <c r="N1127" s="676"/>
      <c r="O1127" s="676"/>
      <c r="P1127" s="676"/>
      <c r="Q1127" s="676"/>
      <c r="R1127" s="676"/>
      <c r="S1127" s="676"/>
      <c r="T1127" s="676"/>
      <c r="U1127" s="676"/>
      <c r="V1127" s="676"/>
      <c r="W1127" s="676"/>
      <c r="X1127" s="676"/>
      <c r="Y1127" s="598"/>
      <c r="Z1127" s="598"/>
      <c r="AA1127" s="598"/>
      <c r="AB1127" s="597"/>
      <c r="AC1127" s="598"/>
      <c r="AD1127" s="598"/>
      <c r="AE1127" s="598"/>
      <c r="AF1127" s="342"/>
      <c r="AG1127" s="342"/>
      <c r="AH1127" s="342"/>
      <c r="AI1127" s="342"/>
      <c r="AJ1127" s="778"/>
      <c r="AK1127" s="778"/>
      <c r="AL1127" s="778"/>
      <c r="AM1127" s="778"/>
      <c r="AN1127" s="778"/>
      <c r="AO1127" s="779"/>
      <c r="AP1127" s="779"/>
      <c r="AQ1127" s="780"/>
      <c r="AR1127" s="780"/>
      <c r="AS1127" s="780"/>
      <c r="AT1127" s="780"/>
      <c r="AU1127" s="780"/>
      <c r="AV1127" s="780"/>
      <c r="AW1127" s="780"/>
      <c r="AX1127" s="780"/>
      <c r="AY1127" s="780"/>
      <c r="AZ1127" s="780"/>
      <c r="BA1127" s="780"/>
      <c r="BB1127" s="780"/>
      <c r="BC1127" s="780"/>
      <c r="BD1127" s="780"/>
      <c r="BE1127" s="780"/>
    </row>
    <row r="1128" customFormat="false" ht="14.15" hidden="true" customHeight="true" outlineLevel="1" collapsed="false">
      <c r="A1128" s="370" t="s">
        <v>2130</v>
      </c>
      <c r="B1128" s="464" t="n">
        <v>10</v>
      </c>
      <c r="C1128" s="464" t="s">
        <v>799</v>
      </c>
      <c r="E1128" s="676"/>
      <c r="F1128" s="676"/>
      <c r="G1128" s="676"/>
      <c r="H1128" s="676"/>
      <c r="I1128" s="676"/>
      <c r="J1128" s="676"/>
      <c r="K1128" s="676"/>
      <c r="L1128" s="676"/>
      <c r="M1128" s="676"/>
      <c r="N1128" s="676"/>
      <c r="O1128" s="676"/>
      <c r="P1128" s="676"/>
      <c r="Q1128" s="676"/>
      <c r="R1128" s="676"/>
      <c r="S1128" s="676"/>
      <c r="T1128" s="676"/>
      <c r="U1128" s="676"/>
      <c r="V1128" s="676"/>
      <c r="W1128" s="676"/>
      <c r="X1128" s="676"/>
      <c r="Y1128" s="598"/>
      <c r="Z1128" s="598"/>
      <c r="AA1128" s="598"/>
      <c r="AB1128" s="597"/>
      <c r="AC1128" s="598"/>
      <c r="AD1128" s="598"/>
      <c r="AE1128" s="598"/>
      <c r="AF1128" s="342"/>
      <c r="AG1128" s="342"/>
      <c r="AH1128" s="342"/>
      <c r="AI1128" s="342"/>
      <c r="AJ1128" s="778"/>
      <c r="AK1128" s="778"/>
      <c r="AL1128" s="778"/>
      <c r="AM1128" s="778"/>
      <c r="AN1128" s="778"/>
      <c r="AO1128" s="779"/>
      <c r="AP1128" s="779"/>
      <c r="AQ1128" s="780"/>
      <c r="AR1128" s="780"/>
      <c r="AS1128" s="780"/>
      <c r="AT1128" s="780"/>
      <c r="AU1128" s="780"/>
      <c r="AV1128" s="780"/>
      <c r="AW1128" s="780"/>
      <c r="AX1128" s="780"/>
      <c r="AY1128" s="780"/>
      <c r="AZ1128" s="780"/>
      <c r="BA1128" s="780"/>
      <c r="BB1128" s="780"/>
      <c r="BC1128" s="780"/>
      <c r="BD1128" s="780"/>
      <c r="BE1128" s="780"/>
    </row>
    <row r="1129" customFormat="false" ht="14.15" hidden="true" customHeight="true" outlineLevel="1" collapsed="false">
      <c r="A1129" s="370" t="s">
        <v>2424</v>
      </c>
      <c r="B1129" s="464" t="n">
        <v>2000</v>
      </c>
      <c r="C1129" s="464" t="s">
        <v>2425</v>
      </c>
      <c r="E1129" s="676"/>
      <c r="F1129" s="676"/>
      <c r="G1129" s="676"/>
      <c r="H1129" s="676"/>
      <c r="I1129" s="676"/>
      <c r="J1129" s="676"/>
      <c r="K1129" s="676"/>
      <c r="L1129" s="676"/>
      <c r="M1129" s="676"/>
      <c r="N1129" s="676"/>
      <c r="O1129" s="676"/>
      <c r="P1129" s="676"/>
      <c r="Q1129" s="676"/>
      <c r="R1129" s="676"/>
      <c r="S1129" s="676"/>
      <c r="T1129" s="676"/>
      <c r="U1129" s="676"/>
      <c r="V1129" s="676"/>
      <c r="W1129" s="676"/>
      <c r="X1129" s="676"/>
      <c r="Y1129" s="598"/>
      <c r="Z1129" s="598"/>
      <c r="AA1129" s="598"/>
      <c r="AB1129" s="597"/>
      <c r="AC1129" s="598"/>
      <c r="AD1129" s="598"/>
      <c r="AE1129" s="598"/>
      <c r="AF1129" s="342"/>
      <c r="AG1129" s="342"/>
      <c r="AH1129" s="342"/>
      <c r="AI1129" s="342"/>
      <c r="AJ1129" s="778"/>
      <c r="AK1129" s="778"/>
      <c r="AL1129" s="778"/>
      <c r="AM1129" s="778"/>
      <c r="AN1129" s="778"/>
      <c r="AO1129" s="779"/>
      <c r="AP1129" s="779"/>
      <c r="AQ1129" s="780"/>
      <c r="AR1129" s="780"/>
      <c r="AS1129" s="780"/>
      <c r="AT1129" s="780"/>
      <c r="AU1129" s="780"/>
      <c r="AV1129" s="780"/>
      <c r="AW1129" s="780"/>
      <c r="AX1129" s="780"/>
      <c r="AY1129" s="780"/>
      <c r="AZ1129" s="780"/>
      <c r="BA1129" s="780"/>
      <c r="BB1129" s="780"/>
      <c r="BC1129" s="780"/>
      <c r="BD1129" s="780"/>
      <c r="BE1129" s="780"/>
    </row>
    <row r="1130" customFormat="false" ht="14.15" hidden="true" customHeight="true" outlineLevel="1" collapsed="false">
      <c r="A1130" s="370" t="s">
        <v>2426</v>
      </c>
      <c r="B1130" s="464" t="n">
        <v>3000</v>
      </c>
      <c r="C1130" s="464" t="s">
        <v>2425</v>
      </c>
      <c r="E1130" s="676"/>
      <c r="F1130" s="676"/>
      <c r="G1130" s="676"/>
      <c r="H1130" s="676"/>
      <c r="I1130" s="676"/>
      <c r="J1130" s="676"/>
      <c r="K1130" s="676"/>
      <c r="L1130" s="676"/>
      <c r="M1130" s="676"/>
      <c r="N1130" s="676"/>
      <c r="O1130" s="676"/>
      <c r="P1130" s="676"/>
      <c r="Q1130" s="676"/>
      <c r="R1130" s="676"/>
      <c r="S1130" s="676"/>
      <c r="T1130" s="676"/>
      <c r="U1130" s="676"/>
      <c r="V1130" s="676"/>
      <c r="W1130" s="676"/>
      <c r="X1130" s="676"/>
      <c r="Y1130" s="598"/>
      <c r="Z1130" s="598"/>
      <c r="AA1130" s="598"/>
      <c r="AB1130" s="597"/>
      <c r="AC1130" s="598"/>
      <c r="AD1130" s="598"/>
      <c r="AE1130" s="598"/>
      <c r="AF1130" s="342"/>
      <c r="AG1130" s="342"/>
      <c r="AH1130" s="342"/>
      <c r="AI1130" s="342"/>
      <c r="AJ1130" s="778"/>
      <c r="AK1130" s="778"/>
      <c r="AL1130" s="778"/>
      <c r="AM1130" s="778"/>
      <c r="AN1130" s="778"/>
      <c r="AO1130" s="779"/>
      <c r="AP1130" s="779"/>
      <c r="AQ1130" s="780"/>
      <c r="AR1130" s="780"/>
      <c r="AS1130" s="780"/>
      <c r="AT1130" s="780"/>
      <c r="AU1130" s="780"/>
      <c r="AV1130" s="780"/>
      <c r="AW1130" s="780"/>
      <c r="AX1130" s="780"/>
      <c r="AY1130" s="780"/>
      <c r="AZ1130" s="780"/>
      <c r="BA1130" s="780"/>
      <c r="BB1130" s="780"/>
      <c r="BC1130" s="780"/>
      <c r="BD1130" s="780"/>
      <c r="BE1130" s="780"/>
    </row>
    <row r="1131" customFormat="false" ht="14.15" hidden="true" customHeight="true" outlineLevel="1" collapsed="false">
      <c r="A1131" s="370" t="s">
        <v>2427</v>
      </c>
      <c r="B1131" s="464" t="n">
        <v>800</v>
      </c>
      <c r="C1131" s="464" t="s">
        <v>2425</v>
      </c>
      <c r="E1131" s="676"/>
      <c r="F1131" s="676"/>
      <c r="G1131" s="676"/>
      <c r="H1131" s="676"/>
      <c r="I1131" s="676"/>
      <c r="J1131" s="676"/>
      <c r="K1131" s="676"/>
      <c r="L1131" s="676"/>
      <c r="M1131" s="676"/>
      <c r="N1131" s="676"/>
      <c r="O1131" s="676"/>
      <c r="P1131" s="676"/>
      <c r="Q1131" s="676"/>
      <c r="R1131" s="676"/>
      <c r="S1131" s="676"/>
      <c r="T1131" s="676"/>
      <c r="U1131" s="676"/>
      <c r="V1131" s="676"/>
      <c r="W1131" s="676"/>
      <c r="X1131" s="676"/>
      <c r="Y1131" s="598"/>
      <c r="Z1131" s="598"/>
      <c r="AA1131" s="598"/>
      <c r="AB1131" s="597"/>
      <c r="AC1131" s="598"/>
      <c r="AD1131" s="598"/>
      <c r="AE1131" s="598"/>
      <c r="AF1131" s="342"/>
      <c r="AG1131" s="342"/>
      <c r="AH1131" s="342"/>
      <c r="AI1131" s="342"/>
      <c r="AJ1131" s="778"/>
      <c r="AK1131" s="778"/>
      <c r="AL1131" s="778"/>
      <c r="AM1131" s="778"/>
      <c r="AN1131" s="778"/>
      <c r="AO1131" s="779"/>
      <c r="AP1131" s="779"/>
      <c r="AQ1131" s="780"/>
      <c r="AR1131" s="780"/>
      <c r="AS1131" s="780"/>
      <c r="AT1131" s="780"/>
      <c r="AU1131" s="780"/>
      <c r="AV1131" s="780"/>
      <c r="AW1131" s="780"/>
      <c r="AX1131" s="780"/>
      <c r="AY1131" s="780"/>
      <c r="AZ1131" s="780"/>
      <c r="BA1131" s="780"/>
      <c r="BB1131" s="780"/>
      <c r="BC1131" s="780"/>
      <c r="BD1131" s="780"/>
      <c r="BE1131" s="780"/>
    </row>
    <row r="1132" customFormat="false" ht="14.15" hidden="true" customHeight="true" outlineLevel="1" collapsed="false">
      <c r="A1132" s="370" t="s">
        <v>2428</v>
      </c>
      <c r="B1132" s="464" t="n">
        <v>500</v>
      </c>
      <c r="C1132" s="464" t="s">
        <v>2425</v>
      </c>
      <c r="E1132" s="676"/>
      <c r="F1132" s="676"/>
      <c r="G1132" s="676"/>
      <c r="H1132" s="676"/>
      <c r="I1132" s="676"/>
      <c r="J1132" s="676"/>
      <c r="K1132" s="676"/>
      <c r="L1132" s="676"/>
      <c r="M1132" s="676"/>
      <c r="N1132" s="676"/>
      <c r="O1132" s="676"/>
      <c r="P1132" s="676"/>
      <c r="Q1132" s="676"/>
      <c r="R1132" s="676"/>
      <c r="S1132" s="676"/>
      <c r="T1132" s="676"/>
      <c r="U1132" s="676"/>
      <c r="V1132" s="676"/>
      <c r="W1132" s="676"/>
      <c r="X1132" s="676"/>
      <c r="Y1132" s="598"/>
      <c r="Z1132" s="598"/>
      <c r="AA1132" s="598"/>
      <c r="AB1132" s="597"/>
      <c r="AC1132" s="598"/>
      <c r="AD1132" s="598"/>
      <c r="AE1132" s="598"/>
      <c r="AF1132" s="342"/>
      <c r="AG1132" s="342"/>
      <c r="AH1132" s="342"/>
      <c r="AI1132" s="342"/>
      <c r="AJ1132" s="778"/>
      <c r="AK1132" s="778"/>
      <c r="AL1132" s="778"/>
      <c r="AM1132" s="778"/>
      <c r="AN1132" s="778"/>
      <c r="AO1132" s="779"/>
      <c r="AP1132" s="779"/>
      <c r="AQ1132" s="780"/>
      <c r="AR1132" s="780"/>
      <c r="AS1132" s="780"/>
      <c r="AT1132" s="780"/>
      <c r="AU1132" s="780"/>
      <c r="AV1132" s="780"/>
      <c r="AW1132" s="780"/>
      <c r="AX1132" s="780"/>
      <c r="AY1132" s="780"/>
      <c r="AZ1132" s="780"/>
      <c r="BA1132" s="780"/>
      <c r="BB1132" s="780"/>
      <c r="BC1132" s="780"/>
      <c r="BD1132" s="780"/>
      <c r="BE1132" s="780"/>
    </row>
    <row r="1133" customFormat="false" ht="14.15" hidden="true" customHeight="true" outlineLevel="1" collapsed="false">
      <c r="A1133" s="370" t="s">
        <v>2429</v>
      </c>
      <c r="B1133" s="464" t="n">
        <v>100</v>
      </c>
      <c r="C1133" s="464" t="s">
        <v>2425</v>
      </c>
      <c r="D1133" s="676"/>
      <c r="E1133" s="676"/>
      <c r="F1133" s="676"/>
      <c r="G1133" s="676"/>
      <c r="H1133" s="676"/>
      <c r="I1133" s="676"/>
      <c r="J1133" s="676"/>
      <c r="K1133" s="676"/>
      <c r="L1133" s="676"/>
      <c r="M1133" s="676"/>
      <c r="N1133" s="676"/>
      <c r="O1133" s="676"/>
      <c r="P1133" s="676"/>
      <c r="Q1133" s="676"/>
      <c r="R1133" s="676"/>
      <c r="S1133" s="676"/>
      <c r="T1133" s="676"/>
      <c r="U1133" s="676"/>
      <c r="V1133" s="676"/>
      <c r="W1133" s="676"/>
      <c r="X1133" s="676"/>
      <c r="Y1133" s="598"/>
      <c r="Z1133" s="598"/>
      <c r="AA1133" s="598"/>
      <c r="AB1133" s="597"/>
      <c r="AC1133" s="598"/>
      <c r="AD1133" s="598"/>
      <c r="AE1133" s="598"/>
      <c r="AF1133" s="342"/>
      <c r="AG1133" s="342"/>
      <c r="AH1133" s="342"/>
      <c r="AI1133" s="342"/>
      <c r="AJ1133" s="778"/>
      <c r="AK1133" s="778"/>
      <c r="AL1133" s="778"/>
      <c r="AM1133" s="778"/>
      <c r="AN1133" s="778"/>
      <c r="AO1133" s="779"/>
      <c r="AP1133" s="779"/>
      <c r="AQ1133" s="780"/>
      <c r="AR1133" s="780"/>
      <c r="AS1133" s="780"/>
      <c r="AT1133" s="780"/>
      <c r="AU1133" s="780"/>
      <c r="AV1133" s="780"/>
      <c r="AW1133" s="780"/>
      <c r="AX1133" s="780"/>
      <c r="AY1133" s="780"/>
      <c r="AZ1133" s="780"/>
      <c r="BA1133" s="780"/>
      <c r="BB1133" s="780"/>
      <c r="BC1133" s="780"/>
      <c r="BD1133" s="780"/>
      <c r="BE1133" s="780"/>
    </row>
    <row r="1134" customFormat="false" ht="14.15" hidden="true" customHeight="true" outlineLevel="1" collapsed="false">
      <c r="A1134" s="370" t="s">
        <v>2430</v>
      </c>
      <c r="B1134" s="464" t="n">
        <v>50</v>
      </c>
      <c r="C1134" s="464" t="s">
        <v>2425</v>
      </c>
      <c r="D1134" s="676"/>
      <c r="E1134" s="676"/>
      <c r="F1134" s="676"/>
      <c r="G1134" s="676"/>
      <c r="H1134" s="676"/>
      <c r="I1134" s="676"/>
      <c r="J1134" s="676"/>
      <c r="K1134" s="676"/>
      <c r="L1134" s="676"/>
      <c r="M1134" s="676"/>
      <c r="N1134" s="676"/>
      <c r="O1134" s="676"/>
      <c r="P1134" s="676"/>
      <c r="Q1134" s="676"/>
      <c r="R1134" s="676"/>
      <c r="S1134" s="676"/>
      <c r="T1134" s="676"/>
      <c r="U1134" s="676"/>
      <c r="V1134" s="676"/>
      <c r="W1134" s="676"/>
      <c r="X1134" s="676"/>
      <c r="Y1134" s="598"/>
      <c r="Z1134" s="598"/>
      <c r="AA1134" s="598"/>
      <c r="AB1134" s="598"/>
      <c r="AC1134" s="598"/>
      <c r="AD1134" s="598"/>
      <c r="AE1134" s="598"/>
      <c r="AF1134" s="342"/>
      <c r="AG1134" s="342"/>
      <c r="AH1134" s="342"/>
      <c r="AI1134" s="342"/>
      <c r="AJ1134" s="778"/>
      <c r="AK1134" s="778"/>
      <c r="AL1134" s="778"/>
      <c r="AM1134" s="778"/>
      <c r="AN1134" s="778"/>
      <c r="AO1134" s="779"/>
      <c r="AP1134" s="779"/>
      <c r="AQ1134" s="780"/>
      <c r="AR1134" s="780"/>
      <c r="AS1134" s="780"/>
      <c r="AT1134" s="780"/>
      <c r="AU1134" s="780"/>
      <c r="AV1134" s="780"/>
      <c r="AW1134" s="780"/>
      <c r="AX1134" s="780"/>
      <c r="AY1134" s="780"/>
      <c r="AZ1134" s="780"/>
      <c r="BA1134" s="780"/>
      <c r="BB1134" s="780"/>
      <c r="BC1134" s="780"/>
      <c r="BD1134" s="780"/>
      <c r="BE1134" s="780"/>
    </row>
    <row r="1135" customFormat="false" ht="14.15" hidden="true" customHeight="true" outlineLevel="1" collapsed="false">
      <c r="A1135" s="475" t="s">
        <v>2431</v>
      </c>
      <c r="B1135" s="464" t="n">
        <v>2000</v>
      </c>
      <c r="C1135" s="464" t="s">
        <v>2432</v>
      </c>
      <c r="D1135" s="342"/>
      <c r="H1135" s="342"/>
      <c r="I1135" s="342"/>
      <c r="J1135" s="342"/>
      <c r="K1135" s="850"/>
      <c r="L1135" s="342"/>
      <c r="M1135" s="342"/>
      <c r="N1135" s="342"/>
      <c r="O1135" s="342"/>
      <c r="P1135" s="342"/>
      <c r="Q1135" s="342"/>
      <c r="R1135" s="342"/>
      <c r="S1135" s="342"/>
      <c r="T1135" s="342"/>
      <c r="U1135" s="342"/>
      <c r="V1135" s="342"/>
      <c r="W1135" s="342"/>
      <c r="X1135" s="342"/>
      <c r="Y1135" s="342"/>
      <c r="Z1135" s="342"/>
      <c r="AA1135" s="342"/>
      <c r="AB1135" s="342"/>
      <c r="AC1135" s="342"/>
      <c r="AD1135" s="342"/>
      <c r="AE1135" s="778"/>
      <c r="AF1135" s="778"/>
      <c r="AG1135" s="778"/>
      <c r="AH1135" s="778"/>
      <c r="AI1135" s="778"/>
      <c r="AJ1135" s="778"/>
      <c r="AK1135" s="778"/>
      <c r="AL1135" s="778"/>
      <c r="AM1135" s="778"/>
      <c r="AN1135" s="778"/>
      <c r="AO1135" s="779"/>
      <c r="AP1135" s="779"/>
      <c r="AQ1135" s="780"/>
      <c r="AR1135" s="780"/>
      <c r="AS1135" s="780"/>
      <c r="AT1135" s="780"/>
      <c r="AU1135" s="780"/>
      <c r="AV1135" s="780"/>
      <c r="AW1135" s="780"/>
      <c r="AX1135" s="780"/>
      <c r="AY1135" s="780"/>
      <c r="AZ1135" s="780"/>
      <c r="BA1135" s="780"/>
      <c r="BB1135" s="780"/>
      <c r="BC1135" s="780"/>
      <c r="BD1135" s="780"/>
      <c r="BE1135" s="780"/>
    </row>
    <row r="1136" customFormat="false" ht="14.15" hidden="true" customHeight="true" outlineLevel="1" collapsed="false">
      <c r="A1136" s="370" t="s">
        <v>2433</v>
      </c>
      <c r="B1136" s="464" t="n">
        <v>10</v>
      </c>
      <c r="C1136" s="464" t="s">
        <v>799</v>
      </c>
      <c r="D1136" s="342"/>
      <c r="H1136" s="342"/>
      <c r="I1136" s="342"/>
      <c r="J1136" s="342"/>
      <c r="K1136" s="850"/>
      <c r="L1136" s="342"/>
      <c r="M1136" s="342"/>
      <c r="N1136" s="342"/>
      <c r="O1136" s="342"/>
      <c r="P1136" s="342"/>
      <c r="Q1136" s="342"/>
      <c r="R1136" s="342"/>
      <c r="S1136" s="342"/>
      <c r="T1136" s="342"/>
      <c r="U1136" s="342"/>
      <c r="V1136" s="342"/>
      <c r="W1136" s="342"/>
      <c r="X1136" s="342"/>
      <c r="Y1136" s="342"/>
      <c r="Z1136" s="342"/>
      <c r="AA1136" s="342"/>
      <c r="AB1136" s="342"/>
      <c r="AC1136" s="342"/>
      <c r="AD1136" s="342"/>
      <c r="AE1136" s="778"/>
      <c r="AF1136" s="778"/>
      <c r="AG1136" s="778"/>
      <c r="AH1136" s="778"/>
      <c r="AI1136" s="778"/>
      <c r="AJ1136" s="778"/>
      <c r="AK1136" s="778"/>
      <c r="AL1136" s="778"/>
      <c r="AM1136" s="778"/>
      <c r="AN1136" s="778"/>
      <c r="AO1136" s="779"/>
      <c r="AP1136" s="779"/>
      <c r="AQ1136" s="780"/>
      <c r="AR1136" s="780"/>
      <c r="AS1136" s="780"/>
      <c r="AT1136" s="780"/>
      <c r="AU1136" s="780"/>
      <c r="AV1136" s="780"/>
      <c r="AW1136" s="780"/>
      <c r="AX1136" s="780"/>
      <c r="AY1136" s="780"/>
      <c r="AZ1136" s="780"/>
      <c r="BA1136" s="780"/>
      <c r="BB1136" s="780"/>
      <c r="BC1136" s="780"/>
      <c r="BD1136" s="780"/>
      <c r="BE1136" s="780"/>
    </row>
    <row r="1137" customFormat="false" ht="14.15" hidden="true" customHeight="true" outlineLevel="1" collapsed="false">
      <c r="A1137" s="851" t="s">
        <v>176</v>
      </c>
      <c r="D1137" s="342"/>
      <c r="H1137" s="342"/>
      <c r="I1137" s="342"/>
      <c r="J1137" s="342"/>
      <c r="K1137" s="342"/>
      <c r="L1137" s="342"/>
      <c r="M1137" s="342"/>
      <c r="N1137" s="342"/>
      <c r="O1137" s="342"/>
      <c r="P1137" s="342"/>
      <c r="Q1137" s="342"/>
      <c r="R1137" s="342"/>
      <c r="S1137" s="342"/>
      <c r="T1137" s="342"/>
      <c r="U1137" s="342"/>
      <c r="V1137" s="342"/>
      <c r="W1137" s="342"/>
      <c r="X1137" s="342"/>
      <c r="Y1137" s="342"/>
      <c r="Z1137" s="342"/>
      <c r="AA1137" s="342"/>
      <c r="AB1137" s="342"/>
      <c r="AC1137" s="342"/>
      <c r="AD1137" s="342"/>
      <c r="AE1137" s="778"/>
      <c r="AF1137" s="778"/>
      <c r="AG1137" s="778"/>
      <c r="AH1137" s="778"/>
      <c r="AI1137" s="778"/>
      <c r="AJ1137" s="778"/>
      <c r="AK1137" s="778"/>
      <c r="AL1137" s="778"/>
      <c r="AM1137" s="778"/>
      <c r="AN1137" s="778"/>
      <c r="AO1137" s="779"/>
      <c r="AP1137" s="779"/>
      <c r="AQ1137" s="780"/>
      <c r="AR1137" s="780"/>
      <c r="AS1137" s="780"/>
      <c r="AT1137" s="780"/>
      <c r="AU1137" s="780"/>
      <c r="AV1137" s="780"/>
      <c r="AW1137" s="780"/>
      <c r="AX1137" s="780"/>
      <c r="AY1137" s="780"/>
      <c r="AZ1137" s="780"/>
      <c r="BA1137" s="780"/>
      <c r="BB1137" s="780"/>
      <c r="BC1137" s="780"/>
      <c r="BD1137" s="780"/>
      <c r="BE1137" s="780"/>
    </row>
    <row r="1138" customFormat="false" ht="14.15" hidden="true" customHeight="true" outlineLevel="1" collapsed="false">
      <c r="A1138" s="370" t="s">
        <v>2434</v>
      </c>
      <c r="B1138" s="464" t="n">
        <v>3</v>
      </c>
      <c r="C1138" s="464" t="s">
        <v>799</v>
      </c>
      <c r="D1138" s="342"/>
      <c r="H1138" s="342"/>
      <c r="I1138" s="342"/>
      <c r="J1138" s="342"/>
      <c r="K1138" s="342"/>
      <c r="L1138" s="342"/>
      <c r="M1138" s="342"/>
      <c r="N1138" s="342"/>
      <c r="O1138" s="342"/>
      <c r="P1138" s="342"/>
      <c r="Q1138" s="342"/>
      <c r="R1138" s="342"/>
      <c r="S1138" s="342"/>
      <c r="T1138" s="342"/>
      <c r="U1138" s="342"/>
      <c r="V1138" s="342"/>
      <c r="W1138" s="342"/>
      <c r="X1138" s="342"/>
      <c r="Y1138" s="342"/>
      <c r="Z1138" s="342"/>
      <c r="AA1138" s="342"/>
      <c r="AB1138" s="342"/>
      <c r="AC1138" s="342"/>
      <c r="AD1138" s="342"/>
      <c r="AE1138" s="778"/>
      <c r="AF1138" s="778"/>
      <c r="AG1138" s="778"/>
      <c r="AH1138" s="778"/>
      <c r="AI1138" s="778"/>
      <c r="AJ1138" s="778"/>
      <c r="AK1138" s="778"/>
      <c r="AL1138" s="778"/>
      <c r="AM1138" s="778"/>
      <c r="AN1138" s="778"/>
      <c r="AO1138" s="779"/>
      <c r="AP1138" s="779"/>
      <c r="AQ1138" s="780"/>
      <c r="AR1138" s="780"/>
      <c r="AS1138" s="780"/>
      <c r="AT1138" s="780"/>
      <c r="AU1138" s="780"/>
      <c r="AV1138" s="780"/>
      <c r="AW1138" s="780"/>
      <c r="AX1138" s="780"/>
      <c r="AY1138" s="780"/>
      <c r="AZ1138" s="780"/>
      <c r="BA1138" s="780"/>
      <c r="BB1138" s="780"/>
      <c r="BC1138" s="780"/>
      <c r="BD1138" s="780"/>
      <c r="BE1138" s="780"/>
    </row>
    <row r="1139" customFormat="false" ht="14.15" hidden="true" customHeight="true" outlineLevel="1" collapsed="false">
      <c r="A1139" s="401" t="s">
        <v>979</v>
      </c>
      <c r="D1139" s="342"/>
      <c r="H1139" s="342"/>
      <c r="I1139" s="342"/>
      <c r="J1139" s="342"/>
      <c r="K1139" s="342"/>
      <c r="L1139" s="342"/>
      <c r="M1139" s="342"/>
      <c r="N1139" s="342"/>
      <c r="O1139" s="342"/>
      <c r="P1139" s="342"/>
      <c r="Q1139" s="342"/>
      <c r="R1139" s="342"/>
      <c r="S1139" s="342"/>
      <c r="T1139" s="342"/>
      <c r="U1139" s="342"/>
      <c r="V1139" s="342"/>
      <c r="W1139" s="342"/>
      <c r="X1139" s="342"/>
      <c r="Y1139" s="342"/>
      <c r="Z1139" s="342"/>
      <c r="AA1139" s="342"/>
      <c r="AB1139" s="342"/>
      <c r="AC1139" s="342"/>
      <c r="AD1139" s="342"/>
      <c r="AE1139" s="778"/>
      <c r="AF1139" s="778"/>
      <c r="AG1139" s="778"/>
      <c r="AH1139" s="778"/>
      <c r="AI1139" s="778"/>
      <c r="AJ1139" s="778"/>
      <c r="AK1139" s="778"/>
      <c r="AL1139" s="778"/>
      <c r="AM1139" s="778"/>
      <c r="AN1139" s="778"/>
      <c r="AO1139" s="779"/>
      <c r="AP1139" s="779"/>
      <c r="AQ1139" s="780"/>
      <c r="AR1139" s="780"/>
      <c r="AS1139" s="780"/>
      <c r="AT1139" s="780"/>
      <c r="AU1139" s="780"/>
      <c r="AV1139" s="780"/>
      <c r="AW1139" s="780"/>
      <c r="AX1139" s="780"/>
      <c r="AY1139" s="780"/>
      <c r="AZ1139" s="780"/>
      <c r="BA1139" s="780"/>
      <c r="BB1139" s="780"/>
      <c r="BC1139" s="780"/>
      <c r="BD1139" s="780"/>
      <c r="BE1139" s="780"/>
    </row>
    <row r="1140" customFormat="false" ht="14.15" hidden="true" customHeight="true" outlineLevel="1" collapsed="false">
      <c r="A1140" s="401" t="s">
        <v>202</v>
      </c>
      <c r="D1140" s="342"/>
      <c r="H1140" s="342"/>
      <c r="I1140" s="342"/>
      <c r="J1140" s="342"/>
      <c r="K1140" s="342"/>
      <c r="L1140" s="342"/>
      <c r="M1140" s="342"/>
      <c r="N1140" s="342"/>
      <c r="O1140" s="342"/>
      <c r="P1140" s="342"/>
      <c r="Q1140" s="342"/>
      <c r="R1140" s="342"/>
      <c r="S1140" s="342"/>
      <c r="T1140" s="342"/>
      <c r="U1140" s="342"/>
      <c r="V1140" s="342"/>
      <c r="W1140" s="342"/>
      <c r="X1140" s="342"/>
      <c r="Y1140" s="342"/>
      <c r="Z1140" s="342"/>
      <c r="AA1140" s="342"/>
      <c r="AB1140" s="342"/>
      <c r="AC1140" s="342"/>
      <c r="AD1140" s="342"/>
      <c r="AE1140" s="778"/>
      <c r="AF1140" s="778"/>
      <c r="AG1140" s="778"/>
      <c r="AH1140" s="778"/>
      <c r="AI1140" s="778"/>
      <c r="AJ1140" s="778"/>
      <c r="AK1140" s="778"/>
      <c r="AL1140" s="778"/>
      <c r="AM1140" s="778"/>
      <c r="AN1140" s="778"/>
      <c r="AO1140" s="779"/>
      <c r="AP1140" s="779"/>
      <c r="AQ1140" s="780"/>
      <c r="AR1140" s="780"/>
      <c r="AS1140" s="780"/>
      <c r="AT1140" s="780"/>
      <c r="AU1140" s="780"/>
      <c r="AV1140" s="780"/>
      <c r="AW1140" s="780"/>
      <c r="AX1140" s="780"/>
      <c r="AY1140" s="780"/>
      <c r="AZ1140" s="780"/>
      <c r="BA1140" s="780"/>
      <c r="BB1140" s="780"/>
      <c r="BC1140" s="780"/>
      <c r="BD1140" s="780"/>
      <c r="BE1140" s="780"/>
    </row>
    <row r="1141" customFormat="false" ht="14.15" hidden="true" customHeight="true" outlineLevel="1" collapsed="false">
      <c r="A1141" s="401" t="s">
        <v>834</v>
      </c>
      <c r="D1141" s="342"/>
      <c r="H1141" s="342"/>
      <c r="I1141" s="342"/>
      <c r="J1141" s="342"/>
      <c r="K1141" s="342"/>
      <c r="L1141" s="342"/>
      <c r="M1141" s="342"/>
      <c r="N1141" s="342"/>
      <c r="O1141" s="342"/>
      <c r="P1141" s="342"/>
      <c r="Q1141" s="342"/>
      <c r="R1141" s="342"/>
      <c r="S1141" s="342"/>
      <c r="T1141" s="342"/>
      <c r="U1141" s="342"/>
      <c r="V1141" s="342"/>
      <c r="W1141" s="342"/>
      <c r="X1141" s="342"/>
      <c r="Y1141" s="342"/>
      <c r="Z1141" s="342"/>
      <c r="AA1141" s="342"/>
      <c r="AB1141" s="342"/>
      <c r="AC1141" s="342"/>
      <c r="AD1141" s="342"/>
      <c r="AE1141" s="778"/>
      <c r="AF1141" s="778"/>
      <c r="AG1141" s="778"/>
      <c r="AH1141" s="778"/>
      <c r="AI1141" s="778"/>
      <c r="AJ1141" s="778"/>
      <c r="AK1141" s="778"/>
      <c r="AL1141" s="778"/>
      <c r="AM1141" s="778"/>
      <c r="AN1141" s="778"/>
      <c r="AO1141" s="779"/>
      <c r="AP1141" s="779"/>
      <c r="AQ1141" s="780"/>
      <c r="AR1141" s="780"/>
      <c r="AS1141" s="780"/>
      <c r="AT1141" s="780"/>
      <c r="AU1141" s="780"/>
      <c r="AV1141" s="780"/>
      <c r="AW1141" s="780"/>
      <c r="AX1141" s="780"/>
      <c r="AY1141" s="780"/>
      <c r="AZ1141" s="780"/>
      <c r="BA1141" s="780"/>
      <c r="BB1141" s="780"/>
      <c r="BC1141" s="780"/>
      <c r="BD1141" s="780"/>
      <c r="BE1141" s="780"/>
    </row>
    <row r="1142" customFormat="false" ht="14.15" hidden="true" customHeight="true" outlineLevel="1" collapsed="false">
      <c r="A1142" s="401" t="s">
        <v>152</v>
      </c>
      <c r="B1142" s="402" t="s">
        <v>154</v>
      </c>
      <c r="C1142" s="370" t="n">
        <v>0</v>
      </c>
      <c r="D1142" s="342"/>
      <c r="H1142" s="342"/>
      <c r="I1142" s="342"/>
      <c r="J1142" s="342"/>
      <c r="K1142" s="342"/>
      <c r="L1142" s="342"/>
      <c r="M1142" s="342"/>
      <c r="N1142" s="342"/>
      <c r="O1142" s="342"/>
      <c r="P1142" s="342"/>
      <c r="Q1142" s="342"/>
      <c r="R1142" s="342"/>
      <c r="S1142" s="342"/>
      <c r="T1142" s="342"/>
      <c r="U1142" s="342"/>
      <c r="V1142" s="342"/>
      <c r="W1142" s="342"/>
      <c r="X1142" s="342"/>
      <c r="Y1142" s="342"/>
      <c r="Z1142" s="342"/>
      <c r="AA1142" s="342"/>
      <c r="AB1142" s="342"/>
      <c r="AC1142" s="342"/>
      <c r="AD1142" s="342"/>
      <c r="AE1142" s="778"/>
      <c r="AF1142" s="778"/>
      <c r="AG1142" s="778"/>
      <c r="AH1142" s="778"/>
      <c r="AI1142" s="778"/>
      <c r="AJ1142" s="778"/>
      <c r="AK1142" s="778"/>
      <c r="AL1142" s="778"/>
      <c r="AM1142" s="778"/>
      <c r="AN1142" s="778"/>
      <c r="AO1142" s="779"/>
      <c r="AP1142" s="779"/>
      <c r="AQ1142" s="780"/>
      <c r="AR1142" s="780"/>
      <c r="AS1142" s="780"/>
      <c r="AT1142" s="780"/>
      <c r="AU1142" s="780"/>
      <c r="AV1142" s="780"/>
      <c r="AW1142" s="780"/>
      <c r="AX1142" s="780"/>
      <c r="AY1142" s="780"/>
      <c r="AZ1142" s="780"/>
      <c r="BA1142" s="780"/>
      <c r="BB1142" s="780"/>
      <c r="BC1142" s="780"/>
      <c r="BD1142" s="780"/>
      <c r="BE1142" s="780"/>
    </row>
    <row r="1143" customFormat="false" ht="14.15" hidden="true" customHeight="true" outlineLevel="1" collapsed="false">
      <c r="A1143" s="401" t="s">
        <v>152</v>
      </c>
      <c r="B1143" s="402" t="s">
        <v>799</v>
      </c>
      <c r="C1143" s="370" t="n">
        <v>3</v>
      </c>
      <c r="D1143" s="342"/>
      <c r="H1143" s="342"/>
      <c r="I1143" s="342"/>
      <c r="J1143" s="342"/>
      <c r="K1143" s="342"/>
      <c r="L1143" s="342"/>
      <c r="M1143" s="342"/>
      <c r="N1143" s="342"/>
      <c r="O1143" s="342"/>
      <c r="P1143" s="342"/>
      <c r="Q1143" s="342"/>
      <c r="R1143" s="342"/>
      <c r="S1143" s="342"/>
      <c r="T1143" s="342"/>
      <c r="U1143" s="342"/>
      <c r="V1143" s="342"/>
      <c r="W1143" s="342"/>
      <c r="X1143" s="342"/>
      <c r="Y1143" s="342"/>
      <c r="Z1143" s="342"/>
      <c r="AA1143" s="342"/>
      <c r="AB1143" s="342"/>
      <c r="AC1143" s="342"/>
      <c r="AD1143" s="342"/>
      <c r="AE1143" s="778"/>
      <c r="AF1143" s="778"/>
      <c r="AG1143" s="778"/>
      <c r="AH1143" s="778"/>
      <c r="AI1143" s="778"/>
      <c r="AJ1143" s="778"/>
      <c r="AK1143" s="778"/>
      <c r="AL1143" s="778"/>
      <c r="AM1143" s="778"/>
      <c r="AN1143" s="778"/>
      <c r="AO1143" s="779"/>
      <c r="AP1143" s="779"/>
      <c r="AQ1143" s="780"/>
      <c r="AR1143" s="780"/>
      <c r="AS1143" s="780"/>
      <c r="AT1143" s="780"/>
      <c r="AU1143" s="780"/>
      <c r="AV1143" s="780"/>
      <c r="AW1143" s="780"/>
      <c r="AX1143" s="780"/>
      <c r="AY1143" s="780"/>
      <c r="AZ1143" s="780"/>
      <c r="BA1143" s="780"/>
      <c r="BB1143" s="780"/>
      <c r="BC1143" s="780"/>
      <c r="BD1143" s="780"/>
      <c r="BE1143" s="780"/>
    </row>
    <row r="1144" customFormat="false" ht="14.15" hidden="true" customHeight="true" outlineLevel="1" collapsed="false">
      <c r="D1144" s="342"/>
      <c r="H1144" s="342"/>
      <c r="I1144" s="819"/>
      <c r="J1144" s="819"/>
      <c r="K1144" s="819"/>
      <c r="L1144" s="819"/>
      <c r="M1144" s="819"/>
      <c r="N1144" s="819"/>
      <c r="O1144" s="819"/>
      <c r="P1144" s="819"/>
      <c r="Q1144" s="342"/>
      <c r="R1144" s="342"/>
      <c r="S1144" s="342"/>
      <c r="T1144" s="342"/>
      <c r="U1144" s="342"/>
      <c r="V1144" s="342"/>
      <c r="W1144" s="342"/>
      <c r="X1144" s="342"/>
      <c r="Y1144" s="342"/>
      <c r="Z1144" s="342"/>
      <c r="AA1144" s="342"/>
      <c r="AB1144" s="342"/>
      <c r="AC1144" s="342"/>
      <c r="AD1144" s="342"/>
      <c r="AE1144" s="778"/>
      <c r="AF1144" s="778"/>
      <c r="AG1144" s="778"/>
      <c r="AH1144" s="778"/>
      <c r="AI1144" s="778"/>
      <c r="AJ1144" s="778"/>
      <c r="AK1144" s="778"/>
      <c r="AL1144" s="778"/>
      <c r="AM1144" s="778"/>
      <c r="AN1144" s="778"/>
      <c r="AO1144" s="779"/>
      <c r="AP1144" s="779"/>
      <c r="AQ1144" s="780"/>
      <c r="AR1144" s="780"/>
      <c r="AS1144" s="780"/>
      <c r="AT1144" s="780"/>
      <c r="AU1144" s="780"/>
      <c r="AV1144" s="780"/>
      <c r="AW1144" s="780"/>
      <c r="AX1144" s="780"/>
      <c r="AY1144" s="780"/>
      <c r="AZ1144" s="780"/>
      <c r="BA1144" s="780"/>
      <c r="BB1144" s="780"/>
      <c r="BC1144" s="780"/>
      <c r="BD1144" s="780"/>
      <c r="BE1144" s="780"/>
    </row>
    <row r="1145" customFormat="false" ht="14.15" hidden="true" customHeight="true" outlineLevel="1" collapsed="false">
      <c r="H1145" s="342"/>
      <c r="I1145" s="819"/>
      <c r="J1145" s="819"/>
      <c r="K1145" s="819"/>
      <c r="L1145" s="819"/>
      <c r="M1145" s="819"/>
      <c r="N1145" s="819"/>
      <c r="O1145" s="819"/>
      <c r="P1145" s="819"/>
      <c r="Q1145" s="342"/>
      <c r="R1145" s="342"/>
      <c r="S1145" s="342"/>
      <c r="T1145" s="342"/>
      <c r="U1145" s="342"/>
      <c r="V1145" s="342"/>
      <c r="W1145" s="342"/>
      <c r="X1145" s="342"/>
      <c r="Y1145" s="342"/>
      <c r="Z1145" s="342"/>
      <c r="AA1145" s="342"/>
      <c r="AB1145" s="342"/>
      <c r="AC1145" s="342"/>
      <c r="AD1145" s="342"/>
      <c r="AE1145" s="778"/>
      <c r="AF1145" s="778"/>
      <c r="AG1145" s="778"/>
      <c r="AH1145" s="778"/>
      <c r="AI1145" s="778"/>
      <c r="AJ1145" s="778"/>
      <c r="AK1145" s="778"/>
      <c r="AL1145" s="778"/>
      <c r="AM1145" s="778"/>
      <c r="AN1145" s="778"/>
      <c r="AO1145" s="779"/>
      <c r="AP1145" s="779"/>
      <c r="AQ1145" s="780"/>
      <c r="AR1145" s="780"/>
      <c r="AS1145" s="780"/>
      <c r="AT1145" s="780"/>
      <c r="AU1145" s="780"/>
      <c r="AV1145" s="780"/>
      <c r="AW1145" s="780"/>
      <c r="AX1145" s="780"/>
      <c r="AY1145" s="780"/>
      <c r="AZ1145" s="780"/>
      <c r="BA1145" s="780"/>
      <c r="BB1145" s="780"/>
      <c r="BC1145" s="780"/>
      <c r="BD1145" s="780"/>
      <c r="BE1145" s="780"/>
    </row>
    <row r="1146" customFormat="false" ht="14.15" hidden="true" customHeight="true" outlineLevel="1" collapsed="false">
      <c r="A1146" s="402" t="s">
        <v>2435</v>
      </c>
      <c r="B1146" s="402"/>
      <c r="C1146" s="402"/>
      <c r="D1146" s="402"/>
      <c r="E1146" s="402"/>
      <c r="F1146" s="480" t="s">
        <v>1798</v>
      </c>
      <c r="H1146" s="342"/>
      <c r="I1146" s="819"/>
      <c r="J1146" s="819"/>
      <c r="K1146" s="819"/>
      <c r="L1146" s="819"/>
      <c r="M1146" s="819"/>
      <c r="N1146" s="819"/>
      <c r="O1146" s="819"/>
      <c r="P1146" s="819"/>
      <c r="Q1146" s="342"/>
      <c r="R1146" s="342"/>
      <c r="S1146" s="342"/>
      <c r="T1146" s="342"/>
      <c r="U1146" s="342"/>
      <c r="V1146" s="342"/>
      <c r="W1146" s="342"/>
      <c r="X1146" s="342"/>
      <c r="Y1146" s="342"/>
      <c r="Z1146" s="342"/>
      <c r="AA1146" s="342"/>
      <c r="AB1146" s="342"/>
      <c r="AC1146" s="342"/>
      <c r="AD1146" s="342"/>
      <c r="AE1146" s="778"/>
      <c r="AF1146" s="778"/>
      <c r="AG1146" s="778"/>
      <c r="AH1146" s="778"/>
      <c r="AI1146" s="778"/>
      <c r="AJ1146" s="778"/>
      <c r="AK1146" s="778"/>
      <c r="AL1146" s="778"/>
      <c r="AM1146" s="778"/>
      <c r="AN1146" s="778"/>
      <c r="AO1146" s="779"/>
      <c r="AP1146" s="779"/>
      <c r="AQ1146" s="780"/>
      <c r="AR1146" s="780"/>
      <c r="AS1146" s="780"/>
      <c r="AT1146" s="780"/>
      <c r="AU1146" s="780"/>
      <c r="AV1146" s="780"/>
      <c r="AW1146" s="780"/>
      <c r="AX1146" s="780"/>
      <c r="AY1146" s="780"/>
      <c r="AZ1146" s="780"/>
      <c r="BA1146" s="780"/>
      <c r="BB1146" s="780"/>
      <c r="BC1146" s="780"/>
      <c r="BD1146" s="780"/>
      <c r="BE1146" s="780"/>
    </row>
    <row r="1147" customFormat="false" ht="14.15" hidden="true" customHeight="true" outlineLevel="1" collapsed="false">
      <c r="A1147" s="401" t="s">
        <v>84</v>
      </c>
      <c r="B1147" s="464" t="n">
        <v>1</v>
      </c>
      <c r="C1147" s="852" t="s">
        <v>2436</v>
      </c>
      <c r="D1147" s="528"/>
      <c r="H1147" s="342"/>
      <c r="I1147" s="819"/>
      <c r="J1147" s="819"/>
      <c r="K1147" s="819"/>
      <c r="L1147" s="819"/>
      <c r="M1147" s="819"/>
      <c r="N1147" s="819"/>
      <c r="O1147" s="819"/>
      <c r="P1147" s="819"/>
      <c r="Q1147" s="342"/>
      <c r="R1147" s="342"/>
      <c r="S1147" s="342"/>
      <c r="T1147" s="342"/>
      <c r="U1147" s="342"/>
      <c r="V1147" s="342"/>
      <c r="W1147" s="342"/>
      <c r="X1147" s="342"/>
      <c r="Y1147" s="342"/>
      <c r="Z1147" s="342"/>
      <c r="AA1147" s="342"/>
      <c r="AB1147" s="342"/>
      <c r="AC1147" s="342"/>
      <c r="AD1147" s="342"/>
      <c r="AE1147" s="778"/>
      <c r="AF1147" s="778"/>
      <c r="AG1147" s="778"/>
      <c r="AH1147" s="778"/>
      <c r="AI1147" s="778"/>
      <c r="AJ1147" s="778"/>
      <c r="AK1147" s="778"/>
      <c r="AL1147" s="778"/>
      <c r="AM1147" s="778"/>
      <c r="AN1147" s="778"/>
      <c r="AO1147" s="779"/>
      <c r="AP1147" s="779"/>
      <c r="AQ1147" s="780"/>
      <c r="AR1147" s="780"/>
      <c r="AS1147" s="780"/>
      <c r="AT1147" s="780"/>
      <c r="AU1147" s="780"/>
      <c r="AV1147" s="780"/>
      <c r="AW1147" s="780"/>
      <c r="AX1147" s="780"/>
      <c r="AY1147" s="780"/>
      <c r="AZ1147" s="780"/>
      <c r="BA1147" s="780"/>
      <c r="BB1147" s="780"/>
      <c r="BC1147" s="780"/>
      <c r="BD1147" s="780"/>
      <c r="BE1147" s="780"/>
    </row>
    <row r="1148" customFormat="false" ht="14.15" hidden="true" customHeight="true" outlineLevel="1" collapsed="false">
      <c r="A1148" s="480" t="s">
        <v>82</v>
      </c>
      <c r="B1148" s="464" t="n">
        <v>2</v>
      </c>
      <c r="C1148" s="168" t="s">
        <v>2437</v>
      </c>
      <c r="D1148" s="168"/>
      <c r="H1148" s="342"/>
      <c r="I1148" s="819"/>
      <c r="J1148" s="819"/>
      <c r="K1148" s="819"/>
      <c r="L1148" s="819"/>
      <c r="M1148" s="819"/>
      <c r="N1148" s="819"/>
      <c r="O1148" s="819"/>
      <c r="P1148" s="819"/>
      <c r="Q1148" s="342"/>
      <c r="R1148" s="342"/>
      <c r="S1148" s="342"/>
      <c r="T1148" s="342"/>
      <c r="U1148" s="342"/>
      <c r="V1148" s="342"/>
      <c r="W1148" s="342"/>
      <c r="X1148" s="342"/>
      <c r="Y1148" s="342"/>
      <c r="Z1148" s="342"/>
      <c r="AA1148" s="342"/>
      <c r="AB1148" s="342"/>
      <c r="AC1148" s="342"/>
      <c r="AD1148" s="342"/>
      <c r="AE1148" s="778"/>
      <c r="AF1148" s="778"/>
      <c r="AG1148" s="778"/>
      <c r="AH1148" s="778"/>
      <c r="AI1148" s="778"/>
      <c r="AJ1148" s="778"/>
      <c r="AK1148" s="778"/>
      <c r="AL1148" s="778"/>
      <c r="AM1148" s="778"/>
      <c r="AN1148" s="778"/>
      <c r="AO1148" s="779"/>
      <c r="AP1148" s="779"/>
      <c r="AQ1148" s="780"/>
      <c r="AR1148" s="780"/>
      <c r="AS1148" s="780"/>
      <c r="AT1148" s="780"/>
      <c r="AU1148" s="780"/>
      <c r="AV1148" s="780"/>
      <c r="AW1148" s="780"/>
      <c r="AX1148" s="780"/>
      <c r="AY1148" s="780"/>
      <c r="AZ1148" s="780"/>
      <c r="BA1148" s="780"/>
      <c r="BB1148" s="780"/>
      <c r="BC1148" s="780"/>
      <c r="BD1148" s="780"/>
      <c r="BE1148" s="780"/>
    </row>
    <row r="1149" customFormat="false" ht="14.15" hidden="true" customHeight="true" outlineLevel="1" collapsed="false">
      <c r="A1149" s="475" t="s">
        <v>2431</v>
      </c>
      <c r="B1149" s="853" t="s">
        <v>2432</v>
      </c>
      <c r="C1149" s="854" t="n">
        <v>2000</v>
      </c>
      <c r="D1149" s="342"/>
      <c r="E1149" s="355"/>
      <c r="H1149" s="342"/>
      <c r="I1149" s="819"/>
      <c r="J1149" s="819"/>
      <c r="K1149" s="819"/>
      <c r="L1149" s="819"/>
      <c r="M1149" s="819"/>
      <c r="N1149" s="819"/>
      <c r="O1149" s="819"/>
      <c r="P1149" s="819"/>
      <c r="Q1149" s="342"/>
      <c r="R1149" s="342"/>
      <c r="S1149" s="342"/>
      <c r="T1149" s="342"/>
      <c r="U1149" s="342"/>
      <c r="V1149" s="342"/>
      <c r="W1149" s="342"/>
      <c r="X1149" s="342"/>
      <c r="Y1149" s="342"/>
      <c r="Z1149" s="342"/>
      <c r="AA1149" s="342"/>
      <c r="AB1149" s="342"/>
      <c r="AC1149" s="342"/>
      <c r="AD1149" s="342"/>
      <c r="AE1149" s="778"/>
      <c r="AF1149" s="778"/>
      <c r="AG1149" s="778"/>
      <c r="AH1149" s="778"/>
      <c r="AI1149" s="778"/>
      <c r="AJ1149" s="778"/>
      <c r="AK1149" s="778"/>
      <c r="AL1149" s="778"/>
      <c r="AM1149" s="778"/>
      <c r="AN1149" s="778"/>
      <c r="AO1149" s="779"/>
      <c r="AP1149" s="779"/>
      <c r="AQ1149" s="780"/>
      <c r="AR1149" s="780"/>
      <c r="AS1149" s="780"/>
      <c r="AT1149" s="780"/>
      <c r="AU1149" s="780"/>
      <c r="AV1149" s="780"/>
      <c r="AW1149" s="780"/>
      <c r="AX1149" s="780"/>
      <c r="AY1149" s="780"/>
      <c r="AZ1149" s="780"/>
      <c r="BA1149" s="780"/>
      <c r="BB1149" s="780"/>
      <c r="BC1149" s="780"/>
      <c r="BD1149" s="780"/>
      <c r="BE1149" s="780"/>
    </row>
    <row r="1150" customFormat="false" ht="14.15" hidden="true" customHeight="true" outlineLevel="1" collapsed="false">
      <c r="A1150" s="403" t="s">
        <v>152</v>
      </c>
      <c r="B1150" s="404" t="s">
        <v>154</v>
      </c>
      <c r="C1150" s="264" t="n">
        <v>0</v>
      </c>
      <c r="D1150" s="355"/>
      <c r="E1150" s="355"/>
      <c r="H1150" s="625"/>
      <c r="I1150" s="625"/>
      <c r="J1150" s="625"/>
      <c r="K1150" s="625"/>
      <c r="L1150" s="625"/>
      <c r="M1150" s="600"/>
      <c r="N1150" s="600"/>
      <c r="O1150" s="600"/>
      <c r="P1150" s="342"/>
      <c r="Q1150" s="358"/>
      <c r="R1150" s="342"/>
      <c r="S1150" s="342"/>
      <c r="T1150" s="342"/>
      <c r="U1150" s="342"/>
      <c r="V1150" s="342"/>
      <c r="W1150" s="342"/>
      <c r="X1150" s="342"/>
      <c r="Y1150" s="342"/>
      <c r="Z1150" s="342"/>
      <c r="AA1150" s="342"/>
      <c r="AB1150" s="342"/>
      <c r="AC1150" s="342"/>
      <c r="AD1150" s="342"/>
      <c r="AE1150" s="778"/>
      <c r="AF1150" s="778"/>
      <c r="AG1150" s="778"/>
      <c r="AH1150" s="778"/>
      <c r="AI1150" s="778"/>
      <c r="AJ1150" s="778"/>
      <c r="AK1150" s="778"/>
      <c r="AL1150" s="778"/>
      <c r="AM1150" s="778"/>
      <c r="AN1150" s="778"/>
      <c r="AO1150" s="779"/>
      <c r="AP1150" s="779"/>
      <c r="AQ1150" s="780"/>
      <c r="AR1150" s="780"/>
      <c r="AS1150" s="780"/>
      <c r="AT1150" s="780"/>
      <c r="AU1150" s="780"/>
      <c r="AV1150" s="388" t="n">
        <f aca="false">M1150</f>
        <v>0</v>
      </c>
      <c r="AW1150" s="780"/>
      <c r="AX1150" s="780"/>
      <c r="AY1150" s="780"/>
      <c r="AZ1150" s="780"/>
      <c r="BA1150" s="780"/>
      <c r="BB1150" s="780"/>
      <c r="BC1150" s="780"/>
      <c r="BD1150" s="780"/>
      <c r="BE1150" s="780"/>
    </row>
    <row r="1151" customFormat="false" ht="14.15" hidden="true" customHeight="true" outlineLevel="1" collapsed="false">
      <c r="A1151" s="525" t="s">
        <v>152</v>
      </c>
      <c r="B1151" s="402" t="s">
        <v>799</v>
      </c>
      <c r="C1151" s="378" t="n">
        <v>3</v>
      </c>
      <c r="D1151" s="778"/>
      <c r="E1151" s="778"/>
      <c r="F1151" s="778"/>
      <c r="G1151" s="778"/>
      <c r="H1151" s="782"/>
      <c r="I1151" s="778"/>
      <c r="J1151" s="778"/>
      <c r="K1151" s="778"/>
      <c r="L1151" s="778"/>
      <c r="M1151" s="778"/>
      <c r="N1151" s="778"/>
      <c r="O1151" s="778"/>
      <c r="P1151" s="778"/>
      <c r="Q1151" s="778"/>
      <c r="R1151" s="778"/>
      <c r="S1151" s="778"/>
      <c r="T1151" s="778"/>
      <c r="U1151" s="778"/>
      <c r="V1151" s="778"/>
      <c r="W1151" s="778"/>
      <c r="X1151" s="778"/>
      <c r="Y1151" s="778"/>
      <c r="Z1151" s="778"/>
      <c r="AA1151" s="778"/>
      <c r="AB1151" s="778"/>
      <c r="AC1151" s="778"/>
      <c r="AD1151" s="778"/>
      <c r="AE1151" s="778"/>
      <c r="AF1151" s="778"/>
      <c r="AG1151" s="778"/>
      <c r="AH1151" s="778"/>
      <c r="AI1151" s="778"/>
      <c r="AJ1151" s="778"/>
      <c r="AK1151" s="778"/>
      <c r="AL1151" s="778"/>
      <c r="AM1151" s="778"/>
      <c r="AN1151" s="778"/>
      <c r="AO1151" s="779"/>
      <c r="AP1151" s="779"/>
      <c r="AQ1151" s="780"/>
      <c r="AR1151" s="780"/>
      <c r="AS1151" s="780"/>
      <c r="AT1151" s="780"/>
      <c r="AU1151" s="780"/>
      <c r="AV1151" s="780"/>
      <c r="AW1151" s="780"/>
      <c r="AX1151" s="780"/>
      <c r="AY1151" s="780"/>
      <c r="AZ1151" s="780"/>
      <c r="BA1151" s="780"/>
      <c r="BB1151" s="780"/>
      <c r="BC1151" s="780"/>
      <c r="BD1151" s="780"/>
      <c r="BE1151" s="780"/>
    </row>
    <row r="1152" customFormat="false" ht="14.15" hidden="true" customHeight="true" outlineLevel="1" collapsed="false">
      <c r="A1152" s="401" t="s">
        <v>1651</v>
      </c>
      <c r="B1152" s="402" t="s">
        <v>799</v>
      </c>
      <c r="C1152" s="370" t="n">
        <v>1</v>
      </c>
      <c r="H1152" s="784"/>
      <c r="I1152" s="784"/>
      <c r="J1152" s="784"/>
      <c r="K1152" s="784"/>
      <c r="L1152" s="784"/>
      <c r="M1152" s="784"/>
      <c r="N1152" s="784"/>
      <c r="O1152" s="784"/>
      <c r="P1152" s="784"/>
      <c r="Q1152" s="784"/>
      <c r="R1152" s="784"/>
      <c r="S1152" s="784"/>
      <c r="T1152" s="784"/>
      <c r="U1152" s="784"/>
      <c r="V1152" s="784"/>
      <c r="W1152" s="784"/>
      <c r="X1152" s="784"/>
      <c r="Y1152" s="784"/>
      <c r="Z1152" s="784"/>
      <c r="AA1152" s="784"/>
      <c r="AB1152" s="784"/>
      <c r="AC1152" s="784"/>
      <c r="AD1152" s="784"/>
      <c r="AE1152" s="784"/>
      <c r="AF1152" s="784"/>
      <c r="AG1152" s="784"/>
      <c r="AH1152" s="784"/>
      <c r="AI1152" s="784"/>
      <c r="AJ1152" s="778"/>
      <c r="AK1152" s="778"/>
      <c r="AL1152" s="778"/>
      <c r="AM1152" s="778"/>
      <c r="AN1152" s="778"/>
      <c r="AO1152" s="779"/>
      <c r="AP1152" s="779"/>
      <c r="AQ1152" s="780"/>
      <c r="AR1152" s="780"/>
      <c r="AS1152" s="780"/>
      <c r="AT1152" s="780"/>
      <c r="AU1152" s="780"/>
      <c r="AV1152" s="780"/>
      <c r="AW1152" s="780"/>
      <c r="AX1152" s="780"/>
      <c r="AY1152" s="780"/>
      <c r="AZ1152" s="780"/>
      <c r="BA1152" s="780"/>
      <c r="BB1152" s="780"/>
      <c r="BC1152" s="780"/>
      <c r="BD1152" s="780"/>
      <c r="BE1152" s="780"/>
    </row>
    <row r="1153" customFormat="false" ht="14.15" hidden="true" customHeight="true" outlineLevel="1" collapsed="false">
      <c r="H1153" s="784"/>
      <c r="I1153" s="784"/>
      <c r="J1153" s="784"/>
      <c r="K1153" s="784"/>
      <c r="L1153" s="784"/>
      <c r="M1153" s="784"/>
      <c r="N1153" s="784"/>
      <c r="O1153" s="784"/>
      <c r="P1153" s="784"/>
      <c r="Q1153" s="784"/>
      <c r="R1153" s="784"/>
      <c r="S1153" s="784"/>
      <c r="T1153" s="784"/>
      <c r="U1153" s="784"/>
      <c r="V1153" s="784"/>
      <c r="W1153" s="784"/>
      <c r="X1153" s="784"/>
      <c r="Y1153" s="784"/>
      <c r="Z1153" s="784"/>
      <c r="AA1153" s="784"/>
      <c r="AB1153" s="784"/>
      <c r="AC1153" s="784"/>
      <c r="AD1153" s="784"/>
      <c r="AE1153" s="784"/>
      <c r="AF1153" s="784"/>
      <c r="AG1153" s="784"/>
      <c r="AH1153" s="784"/>
      <c r="AI1153" s="784"/>
      <c r="AJ1153" s="778"/>
      <c r="AK1153" s="778"/>
      <c r="AL1153" s="778"/>
      <c r="AM1153" s="778"/>
      <c r="AN1153" s="778"/>
      <c r="AO1153" s="779"/>
      <c r="AP1153" s="779"/>
      <c r="AQ1153" s="780"/>
      <c r="AR1153" s="780"/>
      <c r="AS1153" s="780"/>
      <c r="AT1153" s="780"/>
      <c r="AU1153" s="780"/>
      <c r="AV1153" s="780"/>
      <c r="AW1153" s="780"/>
      <c r="AX1153" s="780"/>
      <c r="AY1153" s="780"/>
      <c r="AZ1153" s="780"/>
      <c r="BA1153" s="780"/>
      <c r="BB1153" s="780"/>
      <c r="BC1153" s="780"/>
      <c r="BD1153" s="780"/>
      <c r="BE1153" s="780"/>
    </row>
    <row r="1154" s="355" customFormat="true" ht="14.15" hidden="true" customHeight="true" outlineLevel="1" collapsed="false">
      <c r="A1154" s="584" t="s">
        <v>2438</v>
      </c>
      <c r="B1154" s="584"/>
      <c r="C1154" s="584"/>
      <c r="D1154" s="584"/>
      <c r="E1154" s="584"/>
      <c r="F1154" s="631" t="s">
        <v>1798</v>
      </c>
      <c r="G1154" s="855"/>
      <c r="H1154" s="784"/>
      <c r="I1154" s="784"/>
      <c r="J1154" s="784"/>
      <c r="K1154" s="784"/>
      <c r="L1154" s="784"/>
      <c r="M1154" s="784"/>
      <c r="N1154" s="784"/>
      <c r="O1154" s="784"/>
      <c r="P1154" s="784"/>
      <c r="Q1154" s="784"/>
      <c r="R1154" s="784"/>
      <c r="S1154" s="784"/>
      <c r="T1154" s="784"/>
      <c r="U1154" s="784"/>
      <c r="V1154" s="784"/>
      <c r="W1154" s="784"/>
      <c r="X1154" s="784"/>
      <c r="Y1154" s="784"/>
      <c r="Z1154" s="784"/>
      <c r="AA1154" s="784"/>
      <c r="AB1154" s="784"/>
      <c r="AC1154" s="784"/>
      <c r="AD1154" s="784"/>
      <c r="AE1154" s="784"/>
      <c r="AF1154" s="784"/>
      <c r="AG1154" s="784"/>
      <c r="AH1154" s="784"/>
      <c r="AI1154" s="784"/>
      <c r="AJ1154" s="342"/>
      <c r="AK1154" s="342"/>
      <c r="AL1154" s="342"/>
      <c r="AM1154" s="342"/>
      <c r="AN1154" s="342"/>
      <c r="AO1154" s="662"/>
      <c r="AP1154" s="662"/>
      <c r="AQ1154" s="772"/>
      <c r="AR1154" s="772"/>
      <c r="AS1154" s="772"/>
      <c r="AT1154" s="772"/>
      <c r="AU1154" s="772"/>
      <c r="AV1154" s="772"/>
      <c r="AW1154" s="772"/>
      <c r="AX1154" s="772"/>
      <c r="AY1154" s="772"/>
      <c r="AZ1154" s="772"/>
      <c r="BA1154" s="772"/>
      <c r="BB1154" s="772"/>
      <c r="BC1154" s="772"/>
      <c r="BD1154" s="772"/>
      <c r="BE1154" s="772"/>
      <c r="BF1154" s="360"/>
    </row>
    <row r="1155" s="355" customFormat="true" ht="14.15" hidden="true" customHeight="true" outlineLevel="1" collapsed="false">
      <c r="A1155" s="513" t="s">
        <v>1236</v>
      </c>
      <c r="B1155" s="425" t="s">
        <v>120</v>
      </c>
      <c r="C1155" s="513" t="s">
        <v>1753</v>
      </c>
      <c r="E1155" s="855"/>
      <c r="F1155" s="855"/>
      <c r="G1155" s="855"/>
      <c r="H1155" s="784"/>
      <c r="I1155" s="784"/>
      <c r="J1155" s="784"/>
      <c r="K1155" s="784"/>
      <c r="L1155" s="784"/>
      <c r="M1155" s="784"/>
      <c r="N1155" s="784"/>
      <c r="O1155" s="784"/>
      <c r="P1155" s="784"/>
      <c r="Q1155" s="784"/>
      <c r="R1155" s="784"/>
      <c r="S1155" s="784"/>
      <c r="T1155" s="784"/>
      <c r="U1155" s="784"/>
      <c r="V1155" s="784"/>
      <c r="W1155" s="784"/>
      <c r="X1155" s="784"/>
      <c r="Y1155" s="784"/>
      <c r="Z1155" s="784"/>
      <c r="AA1155" s="784"/>
      <c r="AB1155" s="784"/>
      <c r="AC1155" s="784"/>
      <c r="AD1155" s="784"/>
      <c r="AE1155" s="784"/>
      <c r="AF1155" s="784"/>
      <c r="AG1155" s="784"/>
      <c r="AH1155" s="784"/>
      <c r="AI1155" s="784"/>
      <c r="AJ1155" s="342"/>
      <c r="AK1155" s="342"/>
      <c r="AL1155" s="342"/>
      <c r="AM1155" s="342"/>
      <c r="AN1155" s="342"/>
      <c r="AO1155" s="662"/>
      <c r="AP1155" s="662"/>
      <c r="AQ1155" s="772"/>
      <c r="AR1155" s="772"/>
      <c r="AS1155" s="772"/>
      <c r="AT1155" s="772"/>
      <c r="AU1155" s="772"/>
      <c r="AV1155" s="772"/>
      <c r="AW1155" s="772"/>
      <c r="AX1155" s="772"/>
      <c r="AY1155" s="772"/>
      <c r="AZ1155" s="772"/>
      <c r="BA1155" s="772"/>
      <c r="BB1155" s="772"/>
      <c r="BC1155" s="772"/>
      <c r="BD1155" s="772"/>
      <c r="BE1155" s="772"/>
      <c r="BF1155" s="360"/>
    </row>
    <row r="1156" customFormat="false" ht="14.15" hidden="true" customHeight="true" outlineLevel="1" collapsed="false">
      <c r="A1156" s="265" t="s">
        <v>2439</v>
      </c>
      <c r="B1156" s="404" t="s">
        <v>159</v>
      </c>
      <c r="C1156" s="264" t="n">
        <v>18</v>
      </c>
      <c r="D1156" s="479"/>
      <c r="H1156" s="666"/>
      <c r="I1156" s="666"/>
      <c r="J1156" s="666"/>
      <c r="K1156" s="666"/>
      <c r="L1156" s="666"/>
      <c r="M1156" s="666"/>
      <c r="N1156" s="666"/>
      <c r="O1156" s="666"/>
      <c r="P1156" s="342"/>
      <c r="Q1156" s="342"/>
      <c r="R1156" s="342"/>
      <c r="S1156" s="342"/>
      <c r="T1156" s="342"/>
      <c r="U1156" s="342"/>
      <c r="V1156" s="342"/>
      <c r="W1156" s="342"/>
      <c r="X1156" s="342"/>
      <c r="Y1156" s="342"/>
      <c r="Z1156" s="342"/>
      <c r="AA1156" s="342"/>
      <c r="AB1156" s="342"/>
      <c r="AC1156" s="342"/>
      <c r="AD1156" s="342"/>
      <c r="AE1156" s="342"/>
      <c r="AF1156" s="342"/>
      <c r="AG1156" s="342"/>
      <c r="AH1156" s="342"/>
      <c r="AI1156" s="342"/>
      <c r="AJ1156" s="778"/>
      <c r="AK1156" s="778"/>
      <c r="AL1156" s="778"/>
      <c r="AM1156" s="778"/>
      <c r="AN1156" s="778"/>
      <c r="AO1156" s="779"/>
      <c r="AP1156" s="779"/>
      <c r="AQ1156" s="780"/>
      <c r="AR1156" s="780"/>
      <c r="AS1156" s="780"/>
      <c r="AT1156" s="780"/>
      <c r="AU1156" s="780"/>
      <c r="AV1156" s="780"/>
      <c r="AW1156" s="780"/>
      <c r="AX1156" s="780"/>
      <c r="AY1156" s="780"/>
      <c r="AZ1156" s="780"/>
      <c r="BA1156" s="780"/>
      <c r="BB1156" s="780"/>
      <c r="BC1156" s="780"/>
      <c r="BD1156" s="780"/>
      <c r="BE1156" s="780"/>
    </row>
    <row r="1157" customFormat="false" ht="14.15" hidden="true" customHeight="true" outlineLevel="1" collapsed="false">
      <c r="A1157" s="342" t="s">
        <v>151</v>
      </c>
      <c r="B1157" s="429"/>
      <c r="C1157" s="342"/>
      <c r="D1157" s="479"/>
      <c r="H1157" s="666"/>
      <c r="I1157" s="666"/>
      <c r="J1157" s="666"/>
      <c r="K1157" s="666"/>
      <c r="L1157" s="666"/>
      <c r="M1157" s="666"/>
      <c r="N1157" s="666"/>
      <c r="O1157" s="666"/>
      <c r="P1157" s="342"/>
      <c r="Q1157" s="342"/>
      <c r="R1157" s="342"/>
      <c r="S1157" s="342"/>
      <c r="T1157" s="342"/>
      <c r="U1157" s="342"/>
      <c r="V1157" s="342"/>
      <c r="W1157" s="342"/>
      <c r="X1157" s="342"/>
      <c r="Y1157" s="342"/>
      <c r="Z1157" s="342"/>
      <c r="AA1157" s="342"/>
      <c r="AB1157" s="342"/>
      <c r="AC1157" s="342"/>
      <c r="AD1157" s="342"/>
      <c r="AE1157" s="342"/>
      <c r="AF1157" s="342"/>
      <c r="AG1157" s="342"/>
      <c r="AH1157" s="342"/>
      <c r="AI1157" s="342"/>
      <c r="AJ1157" s="778"/>
      <c r="AK1157" s="778"/>
      <c r="AL1157" s="778"/>
      <c r="AM1157" s="778"/>
      <c r="AN1157" s="778"/>
      <c r="AO1157" s="779"/>
      <c r="AP1157" s="779"/>
      <c r="AQ1157" s="780"/>
      <c r="AR1157" s="780"/>
      <c r="AS1157" s="780"/>
      <c r="AT1157" s="780"/>
      <c r="AU1157" s="780"/>
      <c r="AV1157" s="780"/>
      <c r="AW1157" s="780"/>
      <c r="AX1157" s="780"/>
      <c r="AY1157" s="780"/>
      <c r="AZ1157" s="780"/>
      <c r="BA1157" s="780"/>
      <c r="BB1157" s="780"/>
      <c r="BC1157" s="780"/>
      <c r="BD1157" s="780"/>
      <c r="BE1157" s="780"/>
    </row>
    <row r="1158" customFormat="false" ht="14.15" hidden="true" customHeight="true" outlineLevel="1" collapsed="false">
      <c r="A1158" s="401" t="s">
        <v>152</v>
      </c>
      <c r="B1158" s="844" t="s">
        <v>154</v>
      </c>
      <c r="C1158" s="595" t="n">
        <v>0</v>
      </c>
      <c r="D1158" s="479"/>
      <c r="H1158" s="666"/>
      <c r="I1158" s="666"/>
      <c r="J1158" s="666"/>
      <c r="K1158" s="666"/>
      <c r="L1158" s="666"/>
      <c r="M1158" s="666"/>
      <c r="N1158" s="666"/>
      <c r="O1158" s="666"/>
      <c r="P1158" s="342"/>
      <c r="Q1158" s="342"/>
      <c r="R1158" s="342"/>
      <c r="S1158" s="342"/>
      <c r="T1158" s="342"/>
      <c r="U1158" s="342"/>
      <c r="V1158" s="342"/>
      <c r="W1158" s="342"/>
      <c r="X1158" s="342"/>
      <c r="Y1158" s="342"/>
      <c r="Z1158" s="342"/>
      <c r="AA1158" s="342"/>
      <c r="AB1158" s="342"/>
      <c r="AC1158" s="342"/>
      <c r="AD1158" s="342"/>
      <c r="AE1158" s="342"/>
      <c r="AF1158" s="342"/>
      <c r="AG1158" s="342"/>
      <c r="AH1158" s="342"/>
      <c r="AI1158" s="342"/>
      <c r="AJ1158" s="778"/>
      <c r="AK1158" s="778"/>
      <c r="AL1158" s="778"/>
      <c r="AM1158" s="778"/>
      <c r="AN1158" s="778"/>
      <c r="AO1158" s="779"/>
      <c r="AP1158" s="779"/>
      <c r="AQ1158" s="780"/>
      <c r="AR1158" s="780"/>
      <c r="AS1158" s="780"/>
      <c r="AT1158" s="780"/>
      <c r="AU1158" s="780"/>
      <c r="AV1158" s="780"/>
      <c r="AW1158" s="780"/>
      <c r="AX1158" s="780"/>
      <c r="AY1158" s="780"/>
      <c r="AZ1158" s="780"/>
      <c r="BA1158" s="780"/>
      <c r="BB1158" s="780"/>
      <c r="BC1158" s="780"/>
      <c r="BD1158" s="780"/>
      <c r="BE1158" s="780"/>
    </row>
    <row r="1159" customFormat="false" ht="14.15" hidden="true" customHeight="true" outlineLevel="1" collapsed="false">
      <c r="A1159" s="403" t="s">
        <v>152</v>
      </c>
      <c r="B1159" s="404" t="s">
        <v>159</v>
      </c>
      <c r="C1159" s="265" t="n">
        <v>3</v>
      </c>
      <c r="D1159" s="479"/>
      <c r="H1159" s="666"/>
      <c r="I1159" s="666"/>
      <c r="J1159" s="666"/>
      <c r="K1159" s="666"/>
      <c r="L1159" s="666"/>
      <c r="M1159" s="666"/>
      <c r="N1159" s="666"/>
      <c r="O1159" s="666"/>
      <c r="P1159" s="342"/>
      <c r="Q1159" s="342"/>
      <c r="R1159" s="342"/>
      <c r="S1159" s="342"/>
      <c r="T1159" s="342"/>
      <c r="U1159" s="342"/>
      <c r="V1159" s="342"/>
      <c r="W1159" s="342"/>
      <c r="X1159" s="342"/>
      <c r="Y1159" s="342"/>
      <c r="Z1159" s="342"/>
      <c r="AA1159" s="342"/>
      <c r="AB1159" s="342"/>
      <c r="AC1159" s="342"/>
      <c r="AD1159" s="342"/>
      <c r="AE1159" s="342"/>
      <c r="AF1159" s="342"/>
      <c r="AG1159" s="342"/>
      <c r="AH1159" s="342"/>
      <c r="AI1159" s="342"/>
      <c r="AJ1159" s="778"/>
      <c r="AK1159" s="778"/>
      <c r="AL1159" s="778"/>
      <c r="AM1159" s="778"/>
      <c r="AN1159" s="778"/>
      <c r="AO1159" s="779"/>
      <c r="AP1159" s="779"/>
      <c r="AQ1159" s="780"/>
      <c r="AR1159" s="780"/>
      <c r="AS1159" s="780"/>
      <c r="AT1159" s="780"/>
      <c r="AU1159" s="780"/>
      <c r="AV1159" s="780"/>
      <c r="AW1159" s="780"/>
      <c r="AX1159" s="780"/>
      <c r="AY1159" s="780"/>
      <c r="AZ1159" s="780"/>
      <c r="BA1159" s="780"/>
      <c r="BB1159" s="780"/>
      <c r="BC1159" s="780"/>
      <c r="BD1159" s="780"/>
      <c r="BE1159" s="780"/>
    </row>
    <row r="1160" customFormat="false" ht="14.15" hidden="true" customHeight="true" outlineLevel="1" collapsed="false">
      <c r="D1160" s="479"/>
      <c r="H1160" s="666"/>
      <c r="I1160" s="666"/>
      <c r="J1160" s="666"/>
      <c r="K1160" s="666"/>
      <c r="L1160" s="666"/>
      <c r="M1160" s="666"/>
      <c r="N1160" s="666"/>
      <c r="O1160" s="666"/>
      <c r="P1160" s="342"/>
      <c r="Q1160" s="342"/>
      <c r="R1160" s="342"/>
      <c r="S1160" s="342"/>
      <c r="T1160" s="342"/>
      <c r="U1160" s="342"/>
      <c r="V1160" s="342"/>
      <c r="W1160" s="342"/>
      <c r="X1160" s="342"/>
      <c r="Y1160" s="342"/>
      <c r="Z1160" s="342"/>
      <c r="AA1160" s="342"/>
      <c r="AB1160" s="342"/>
      <c r="AC1160" s="342"/>
      <c r="AD1160" s="342"/>
      <c r="AE1160" s="342"/>
      <c r="AF1160" s="342"/>
      <c r="AG1160" s="342"/>
      <c r="AH1160" s="342"/>
      <c r="AI1160" s="342"/>
      <c r="AJ1160" s="778"/>
      <c r="AK1160" s="778"/>
      <c r="AL1160" s="778"/>
      <c r="AM1160" s="778"/>
      <c r="AN1160" s="778"/>
      <c r="AO1160" s="779"/>
      <c r="AP1160" s="779"/>
      <c r="AQ1160" s="780"/>
      <c r="AR1160" s="780"/>
      <c r="AS1160" s="780"/>
      <c r="AT1160" s="780"/>
      <c r="AU1160" s="780"/>
      <c r="AV1160" s="780"/>
      <c r="AW1160" s="780"/>
      <c r="AX1160" s="780"/>
      <c r="AY1160" s="780"/>
      <c r="AZ1160" s="780"/>
      <c r="BA1160" s="780"/>
      <c r="BB1160" s="780"/>
      <c r="BC1160" s="780"/>
      <c r="BD1160" s="780"/>
      <c r="BE1160" s="780"/>
    </row>
    <row r="1161" customFormat="false" ht="13.5" hidden="true" customHeight="true" outlineLevel="1" collapsed="false">
      <c r="A1161" s="265" t="s">
        <v>2440</v>
      </c>
      <c r="B1161" s="404" t="s">
        <v>1796</v>
      </c>
      <c r="C1161" s="488" t="n">
        <v>5000</v>
      </c>
      <c r="D1161" s="479"/>
      <c r="H1161" s="666"/>
      <c r="I1161" s="666"/>
      <c r="J1161" s="666"/>
      <c r="K1161" s="666"/>
      <c r="L1161" s="666"/>
      <c r="M1161" s="666"/>
      <c r="N1161" s="666"/>
      <c r="O1161" s="666"/>
      <c r="P1161" s="342"/>
      <c r="Q1161" s="342"/>
      <c r="R1161" s="342"/>
      <c r="S1161" s="342"/>
      <c r="T1161" s="342"/>
      <c r="U1161" s="342"/>
      <c r="V1161" s="342"/>
      <c r="W1161" s="342"/>
      <c r="X1161" s="342"/>
      <c r="Y1161" s="342"/>
      <c r="Z1161" s="342"/>
      <c r="AA1161" s="342"/>
      <c r="AB1161" s="342"/>
      <c r="AC1161" s="342"/>
      <c r="AD1161" s="342"/>
      <c r="AE1161" s="342"/>
      <c r="AF1161" s="342"/>
      <c r="AG1161" s="342"/>
      <c r="AH1161" s="342"/>
      <c r="AI1161" s="342"/>
      <c r="AJ1161" s="778"/>
      <c r="AK1161" s="778"/>
      <c r="AL1161" s="778"/>
      <c r="AM1161" s="778"/>
      <c r="AN1161" s="778"/>
      <c r="AO1161" s="779"/>
      <c r="AP1161" s="779"/>
      <c r="AQ1161" s="780"/>
      <c r="AR1161" s="780"/>
      <c r="AS1161" s="780"/>
      <c r="AT1161" s="780"/>
      <c r="AU1161" s="780"/>
      <c r="AV1161" s="780"/>
      <c r="AW1161" s="780"/>
      <c r="AX1161" s="780"/>
      <c r="AY1161" s="780"/>
      <c r="AZ1161" s="780"/>
      <c r="BA1161" s="780"/>
      <c r="BB1161" s="780"/>
      <c r="BC1161" s="780"/>
      <c r="BD1161" s="780"/>
      <c r="BE1161" s="780"/>
    </row>
    <row r="1162" customFormat="false" ht="13.5" hidden="true" customHeight="true" outlineLevel="1" collapsed="false">
      <c r="A1162" s="479"/>
      <c r="B1162" s="477"/>
      <c r="C1162" s="666"/>
      <c r="D1162" s="479"/>
      <c r="H1162" s="819"/>
      <c r="I1162" s="819"/>
      <c r="J1162" s="819"/>
      <c r="K1162" s="819"/>
      <c r="L1162" s="819"/>
      <c r="M1162" s="819"/>
      <c r="N1162" s="819"/>
      <c r="O1162" s="819"/>
      <c r="P1162" s="342"/>
      <c r="Q1162" s="342"/>
      <c r="R1162" s="342"/>
      <c r="S1162" s="342"/>
      <c r="T1162" s="342"/>
      <c r="U1162" s="342"/>
      <c r="V1162" s="342"/>
      <c r="W1162" s="342"/>
      <c r="X1162" s="342"/>
      <c r="Y1162" s="342"/>
      <c r="Z1162" s="342"/>
      <c r="AA1162" s="342"/>
      <c r="AB1162" s="342"/>
      <c r="AC1162" s="342"/>
      <c r="AD1162" s="342"/>
      <c r="AE1162" s="342"/>
      <c r="AF1162" s="342"/>
      <c r="AG1162" s="342"/>
      <c r="AH1162" s="342"/>
      <c r="AI1162" s="342"/>
      <c r="AJ1162" s="778"/>
      <c r="AK1162" s="778"/>
      <c r="AL1162" s="778"/>
      <c r="AM1162" s="778"/>
      <c r="AN1162" s="778"/>
      <c r="AO1162" s="779"/>
      <c r="AP1162" s="779"/>
      <c r="AQ1162" s="780"/>
      <c r="AR1162" s="780"/>
      <c r="AS1162" s="780"/>
      <c r="AT1162" s="780"/>
      <c r="AU1162" s="780"/>
      <c r="AV1162" s="780"/>
      <c r="AW1162" s="780"/>
      <c r="AX1162" s="780"/>
      <c r="AY1162" s="780"/>
      <c r="AZ1162" s="780"/>
      <c r="BA1162" s="780"/>
      <c r="BB1162" s="780"/>
      <c r="BC1162" s="780"/>
      <c r="BD1162" s="780"/>
      <c r="BE1162" s="780"/>
    </row>
    <row r="1163" customFormat="false" ht="14.15" hidden="false" customHeight="true" outlineLevel="0" collapsed="false">
      <c r="A1163" s="856" t="s">
        <v>2441</v>
      </c>
      <c r="B1163" s="856"/>
      <c r="C1163" s="856"/>
      <c r="D1163" s="856"/>
      <c r="E1163" s="856"/>
      <c r="H1163" s="625"/>
      <c r="I1163" s="625"/>
      <c r="J1163" s="625"/>
      <c r="K1163" s="625"/>
      <c r="L1163" s="625"/>
      <c r="M1163" s="600"/>
      <c r="N1163" s="600"/>
      <c r="O1163" s="600"/>
      <c r="P1163" s="342"/>
      <c r="Q1163" s="358"/>
      <c r="R1163" s="342"/>
      <c r="S1163" s="342"/>
      <c r="T1163" s="342"/>
      <c r="U1163" s="342"/>
      <c r="V1163" s="342"/>
      <c r="W1163" s="342"/>
      <c r="X1163" s="342"/>
      <c r="Y1163" s="342"/>
      <c r="Z1163" s="342"/>
      <c r="AA1163" s="342"/>
      <c r="AB1163" s="342"/>
      <c r="AC1163" s="342"/>
      <c r="AD1163" s="342"/>
      <c r="AE1163" s="342"/>
      <c r="AF1163" s="342"/>
      <c r="AG1163" s="342"/>
      <c r="AH1163" s="342"/>
      <c r="AI1163" s="342"/>
      <c r="AJ1163" s="778"/>
      <c r="AK1163" s="778"/>
      <c r="AL1163" s="778"/>
      <c r="AM1163" s="778"/>
      <c r="AN1163" s="778"/>
      <c r="AO1163" s="779"/>
      <c r="AP1163" s="779"/>
      <c r="AQ1163" s="780"/>
      <c r="AR1163" s="780"/>
      <c r="AS1163" s="780"/>
      <c r="AT1163" s="780"/>
      <c r="AU1163" s="780"/>
      <c r="AV1163" s="388" t="n">
        <f aca="false">M1163</f>
        <v>0</v>
      </c>
      <c r="AW1163" s="780"/>
      <c r="AX1163" s="780"/>
      <c r="AY1163" s="780"/>
      <c r="AZ1163" s="780"/>
      <c r="BA1163" s="780"/>
      <c r="BB1163" s="780"/>
      <c r="BC1163" s="780"/>
      <c r="BD1163" s="780"/>
      <c r="BE1163" s="780"/>
    </row>
    <row r="1164" customFormat="false" ht="14.15" hidden="false" customHeight="true" outlineLevel="0" collapsed="false">
      <c r="A1164" s="778"/>
      <c r="B1164" s="830"/>
      <c r="C1164" s="778"/>
      <c r="D1164" s="778"/>
      <c r="E1164" s="778"/>
      <c r="F1164" s="778"/>
      <c r="G1164" s="831"/>
      <c r="H1164" s="782"/>
      <c r="I1164" s="778"/>
      <c r="J1164" s="778"/>
      <c r="K1164" s="778"/>
      <c r="L1164" s="778"/>
      <c r="M1164" s="778"/>
      <c r="N1164" s="778"/>
      <c r="O1164" s="778"/>
      <c r="P1164" s="778"/>
      <c r="Q1164" s="778"/>
      <c r="R1164" s="778"/>
      <c r="S1164" s="778"/>
      <c r="T1164" s="778"/>
      <c r="U1164" s="778"/>
      <c r="V1164" s="778"/>
      <c r="W1164" s="778"/>
      <c r="X1164" s="778"/>
      <c r="Y1164" s="778"/>
      <c r="Z1164" s="778"/>
      <c r="AA1164" s="778"/>
      <c r="AB1164" s="342"/>
      <c r="AC1164" s="778"/>
      <c r="AD1164" s="778"/>
      <c r="AE1164" s="778"/>
      <c r="AF1164" s="778"/>
      <c r="AG1164" s="778"/>
      <c r="AH1164" s="778"/>
      <c r="AI1164" s="778"/>
      <c r="AJ1164" s="778"/>
      <c r="AK1164" s="778"/>
      <c r="AL1164" s="778"/>
      <c r="AM1164" s="778"/>
      <c r="AN1164" s="778"/>
      <c r="AO1164" s="779"/>
      <c r="AP1164" s="779"/>
      <c r="AQ1164" s="780"/>
      <c r="AR1164" s="780"/>
      <c r="AS1164" s="780"/>
      <c r="AT1164" s="780"/>
      <c r="AU1164" s="780"/>
      <c r="AV1164" s="780"/>
      <c r="AW1164" s="780"/>
      <c r="AX1164" s="780"/>
      <c r="AY1164" s="780"/>
      <c r="AZ1164" s="780"/>
      <c r="BA1164" s="780"/>
      <c r="BB1164" s="780"/>
      <c r="BC1164" s="780"/>
      <c r="BD1164" s="780"/>
      <c r="BE1164" s="780"/>
    </row>
    <row r="1165" customFormat="false" ht="14.15" hidden="true" customHeight="true" outlineLevel="1" collapsed="false">
      <c r="A1165" s="857" t="s">
        <v>1247</v>
      </c>
      <c r="B1165" s="857"/>
      <c r="C1165" s="857"/>
      <c r="D1165" s="857"/>
      <c r="E1165" s="857"/>
      <c r="F1165" s="857"/>
      <c r="G1165" s="857"/>
      <c r="H1165" s="648"/>
      <c r="I1165" s="648"/>
      <c r="J1165" s="648"/>
      <c r="K1165" s="648"/>
      <c r="L1165" s="648"/>
      <c r="M1165" s="648"/>
      <c r="N1165" s="648"/>
      <c r="O1165" s="648"/>
      <c r="P1165" s="648"/>
      <c r="Q1165" s="648"/>
      <c r="R1165" s="648"/>
      <c r="S1165" s="648"/>
      <c r="T1165" s="648"/>
      <c r="U1165" s="648"/>
      <c r="V1165" s="648"/>
      <c r="W1165" s="648"/>
      <c r="X1165" s="648"/>
      <c r="Y1165" s="648"/>
      <c r="Z1165" s="648"/>
      <c r="AA1165" s="648"/>
      <c r="AB1165" s="648"/>
      <c r="AC1165" s="648"/>
      <c r="AD1165" s="648"/>
      <c r="AE1165" s="648"/>
      <c r="AF1165" s="648"/>
      <c r="AG1165" s="648"/>
      <c r="AH1165" s="648"/>
      <c r="AI1165" s="648"/>
      <c r="AJ1165" s="778"/>
      <c r="AK1165" s="778"/>
      <c r="AL1165" s="778"/>
      <c r="AM1165" s="778"/>
      <c r="AN1165" s="778"/>
      <c r="AO1165" s="779"/>
      <c r="AP1165" s="779"/>
      <c r="AQ1165" s="780"/>
      <c r="AR1165" s="780"/>
      <c r="AS1165" s="780"/>
      <c r="AT1165" s="780"/>
      <c r="AU1165" s="780"/>
      <c r="AV1165" s="780"/>
      <c r="AW1165" s="780"/>
      <c r="AX1165" s="780"/>
      <c r="AY1165" s="780"/>
      <c r="AZ1165" s="780"/>
      <c r="BA1165" s="780"/>
      <c r="BB1165" s="780"/>
      <c r="BC1165" s="780"/>
      <c r="BD1165" s="780"/>
      <c r="BE1165" s="780"/>
    </row>
    <row r="1166" customFormat="false" ht="14.15" hidden="true" customHeight="true" outlineLevel="1" collapsed="false">
      <c r="A1166" s="857"/>
      <c r="B1166" s="857"/>
      <c r="C1166" s="857"/>
      <c r="D1166" s="857"/>
      <c r="E1166" s="857"/>
      <c r="F1166" s="857"/>
      <c r="G1166" s="857"/>
      <c r="H1166" s="648"/>
      <c r="I1166" s="648"/>
      <c r="J1166" s="648"/>
      <c r="K1166" s="648"/>
      <c r="L1166" s="648"/>
      <c r="M1166" s="648"/>
      <c r="N1166" s="648"/>
      <c r="O1166" s="648"/>
      <c r="P1166" s="648"/>
      <c r="Q1166" s="648"/>
      <c r="R1166" s="648"/>
      <c r="S1166" s="648"/>
      <c r="T1166" s="648"/>
      <c r="U1166" s="648"/>
      <c r="V1166" s="648"/>
      <c r="W1166" s="648"/>
      <c r="X1166" s="648"/>
      <c r="Y1166" s="648"/>
      <c r="Z1166" s="648"/>
      <c r="AA1166" s="648"/>
      <c r="AB1166" s="648"/>
      <c r="AC1166" s="648"/>
      <c r="AD1166" s="648"/>
      <c r="AE1166" s="648"/>
      <c r="AF1166" s="648"/>
      <c r="AG1166" s="648"/>
      <c r="AH1166" s="648"/>
      <c r="AI1166" s="648"/>
      <c r="AJ1166" s="778"/>
      <c r="AK1166" s="778"/>
      <c r="AL1166" s="778"/>
      <c r="AM1166" s="778"/>
      <c r="AN1166" s="778"/>
      <c r="AO1166" s="779"/>
      <c r="AP1166" s="779"/>
      <c r="AQ1166" s="780"/>
      <c r="AR1166" s="780"/>
      <c r="AS1166" s="780"/>
      <c r="AT1166" s="780"/>
      <c r="AU1166" s="780"/>
      <c r="AV1166" s="780"/>
      <c r="AW1166" s="780"/>
      <c r="AX1166" s="780"/>
      <c r="AY1166" s="780"/>
      <c r="AZ1166" s="780"/>
      <c r="BA1166" s="780"/>
      <c r="BB1166" s="780"/>
      <c r="BC1166" s="780"/>
      <c r="BD1166" s="780"/>
      <c r="BE1166" s="780"/>
    </row>
    <row r="1167" customFormat="false" ht="14.15" hidden="true" customHeight="true" outlineLevel="1" collapsed="false">
      <c r="A1167" s="415" t="s">
        <v>1806</v>
      </c>
      <c r="B1167" s="416"/>
      <c r="C1167" s="417"/>
      <c r="D1167" s="595" t="n">
        <v>1</v>
      </c>
      <c r="G1167" s="676"/>
      <c r="H1167" s="676"/>
      <c r="I1167" s="676"/>
      <c r="J1167" s="676"/>
      <c r="K1167" s="676"/>
      <c r="L1167" s="676"/>
      <c r="M1167" s="676"/>
      <c r="N1167" s="676"/>
      <c r="O1167" s="676"/>
      <c r="P1167" s="676"/>
      <c r="Q1167" s="676"/>
      <c r="R1167" s="676"/>
      <c r="S1167" s="676"/>
      <c r="T1167" s="676"/>
      <c r="U1167" s="676"/>
      <c r="V1167" s="676"/>
      <c r="W1167" s="676"/>
      <c r="X1167" s="676"/>
      <c r="Y1167" s="676"/>
      <c r="Z1167" s="676"/>
      <c r="AA1167" s="676"/>
      <c r="AB1167" s="676"/>
      <c r="AC1167" s="676"/>
      <c r="AD1167" s="676"/>
      <c r="AE1167" s="676"/>
      <c r="AF1167" s="342"/>
      <c r="AG1167" s="342"/>
      <c r="AH1167" s="342"/>
      <c r="AI1167" s="772"/>
      <c r="AJ1167" s="778"/>
      <c r="AK1167" s="778"/>
      <c r="AL1167" s="778"/>
      <c r="AM1167" s="778"/>
      <c r="AN1167" s="778"/>
      <c r="AO1167" s="779"/>
      <c r="AP1167" s="779"/>
      <c r="AQ1167" s="780"/>
      <c r="AR1167" s="780"/>
      <c r="AS1167" s="780"/>
      <c r="AT1167" s="780"/>
      <c r="AU1167" s="780"/>
      <c r="AV1167" s="780"/>
      <c r="AW1167" s="780"/>
      <c r="AX1167" s="780"/>
      <c r="AY1167" s="780"/>
      <c r="AZ1167" s="780"/>
      <c r="BA1167" s="780"/>
      <c r="BB1167" s="780"/>
      <c r="BC1167" s="780"/>
      <c r="BD1167" s="780"/>
      <c r="BE1167" s="780"/>
    </row>
    <row r="1168" customFormat="false" ht="14.15" hidden="true" customHeight="true" outlineLevel="1" collapsed="false">
      <c r="A1168" s="415" t="s">
        <v>1808</v>
      </c>
      <c r="B1168" s="416"/>
      <c r="C1168" s="417"/>
      <c r="D1168" s="595" t="n">
        <v>1</v>
      </c>
      <c r="G1168" s="676"/>
      <c r="H1168" s="676"/>
      <c r="I1168" s="676"/>
      <c r="J1168" s="676"/>
      <c r="K1168" s="676"/>
      <c r="L1168" s="676"/>
      <c r="M1168" s="676"/>
      <c r="N1168" s="676"/>
      <c r="O1168" s="676"/>
      <c r="P1168" s="676"/>
      <c r="Q1168" s="676"/>
      <c r="R1168" s="676"/>
      <c r="S1168" s="676"/>
      <c r="T1168" s="676"/>
      <c r="U1168" s="676"/>
      <c r="V1168" s="676"/>
      <c r="W1168" s="676"/>
      <c r="X1168" s="676"/>
      <c r="Y1168" s="676"/>
      <c r="Z1168" s="676"/>
      <c r="AA1168" s="676"/>
      <c r="AB1168" s="676"/>
      <c r="AC1168" s="676"/>
      <c r="AD1168" s="676"/>
      <c r="AE1168" s="676"/>
      <c r="AF1168" s="342"/>
      <c r="AG1168" s="342"/>
      <c r="AH1168" s="342"/>
      <c r="AI1168" s="342"/>
      <c r="AJ1168" s="778"/>
      <c r="AK1168" s="778"/>
      <c r="AL1168" s="778"/>
      <c r="AM1168" s="778"/>
      <c r="AN1168" s="778"/>
      <c r="AO1168" s="779"/>
      <c r="AP1168" s="779"/>
      <c r="AQ1168" s="780"/>
      <c r="AR1168" s="780"/>
      <c r="AS1168" s="780"/>
      <c r="AT1168" s="780"/>
      <c r="AU1168" s="780"/>
      <c r="AV1168" s="780"/>
      <c r="AW1168" s="780"/>
      <c r="AX1168" s="780"/>
      <c r="AY1168" s="780"/>
      <c r="AZ1168" s="780"/>
      <c r="BA1168" s="780"/>
      <c r="BB1168" s="780"/>
      <c r="BC1168" s="780"/>
      <c r="BD1168" s="780"/>
      <c r="BE1168" s="780"/>
    </row>
    <row r="1169" customFormat="false" ht="14.15" hidden="true" customHeight="true" outlineLevel="1" collapsed="false">
      <c r="B1169" s="598"/>
      <c r="C1169" s="676"/>
      <c r="D1169" s="676"/>
      <c r="E1169" s="676"/>
      <c r="F1169" s="676"/>
      <c r="G1169" s="676"/>
      <c r="H1169" s="676"/>
      <c r="I1169" s="676"/>
      <c r="J1169" s="676"/>
      <c r="K1169" s="676"/>
      <c r="L1169" s="676"/>
      <c r="M1169" s="676"/>
      <c r="N1169" s="676"/>
      <c r="O1169" s="676"/>
      <c r="P1169" s="676"/>
      <c r="Q1169" s="676"/>
      <c r="R1169" s="676"/>
      <c r="S1169" s="676"/>
      <c r="T1169" s="676"/>
      <c r="U1169" s="676"/>
      <c r="V1169" s="676"/>
      <c r="W1169" s="676"/>
      <c r="X1169" s="676"/>
      <c r="Y1169" s="598"/>
      <c r="Z1169" s="598"/>
      <c r="AA1169" s="598"/>
      <c r="AB1169" s="597"/>
      <c r="AC1169" s="598"/>
      <c r="AD1169" s="598"/>
      <c r="AE1169" s="598"/>
      <c r="AF1169" s="342"/>
      <c r="AG1169" s="342"/>
      <c r="AH1169" s="342"/>
      <c r="AI1169" s="342"/>
      <c r="AJ1169" s="778"/>
      <c r="AK1169" s="778"/>
      <c r="AL1169" s="778"/>
      <c r="AM1169" s="778"/>
      <c r="AN1169" s="778"/>
      <c r="AO1169" s="779"/>
      <c r="AP1169" s="779"/>
      <c r="AQ1169" s="780"/>
      <c r="AR1169" s="780"/>
      <c r="AS1169" s="780"/>
      <c r="AT1169" s="780"/>
      <c r="AU1169" s="780"/>
      <c r="AV1169" s="780"/>
      <c r="AW1169" s="780"/>
      <c r="AX1169" s="780"/>
      <c r="AY1169" s="780"/>
      <c r="AZ1169" s="780"/>
      <c r="BA1169" s="780"/>
      <c r="BB1169" s="780"/>
      <c r="BC1169" s="780"/>
      <c r="BD1169" s="780"/>
      <c r="BE1169" s="780"/>
    </row>
    <row r="1170" customFormat="false" ht="14.15" hidden="true" customHeight="true" outlineLevel="1" collapsed="false">
      <c r="A1170" s="342" t="s">
        <v>2442</v>
      </c>
      <c r="B1170" s="371"/>
      <c r="C1170" s="358"/>
      <c r="D1170" s="676"/>
      <c r="E1170" s="676"/>
      <c r="F1170" s="676"/>
      <c r="G1170" s="676"/>
      <c r="H1170" s="676"/>
      <c r="I1170" s="676"/>
      <c r="J1170" s="676"/>
      <c r="K1170" s="676"/>
      <c r="L1170" s="676"/>
      <c r="M1170" s="676"/>
      <c r="N1170" s="676"/>
      <c r="O1170" s="676"/>
      <c r="P1170" s="676"/>
      <c r="Q1170" s="676"/>
      <c r="R1170" s="676"/>
      <c r="S1170" s="676"/>
      <c r="T1170" s="676"/>
      <c r="U1170" s="676"/>
      <c r="V1170" s="676"/>
      <c r="W1170" s="676"/>
      <c r="X1170" s="676"/>
      <c r="Y1170" s="598"/>
      <c r="Z1170" s="598"/>
      <c r="AA1170" s="598"/>
      <c r="AB1170" s="598"/>
      <c r="AC1170" s="598"/>
      <c r="AD1170" s="598"/>
      <c r="AE1170" s="598"/>
      <c r="AF1170" s="342"/>
      <c r="AG1170" s="342"/>
      <c r="AH1170" s="342"/>
      <c r="AI1170" s="342"/>
      <c r="AJ1170" s="778"/>
      <c r="AK1170" s="778"/>
      <c r="AL1170" s="778"/>
      <c r="AM1170" s="778"/>
      <c r="AN1170" s="778"/>
      <c r="AO1170" s="779"/>
      <c r="AP1170" s="779"/>
      <c r="AQ1170" s="780"/>
      <c r="AR1170" s="780"/>
      <c r="AS1170" s="780"/>
      <c r="AT1170" s="780"/>
      <c r="AU1170" s="780"/>
      <c r="AV1170" s="780"/>
      <c r="AW1170" s="780"/>
      <c r="AX1170" s="780"/>
      <c r="AY1170" s="780"/>
      <c r="AZ1170" s="780"/>
      <c r="BA1170" s="780"/>
      <c r="BB1170" s="780"/>
      <c r="BC1170" s="780"/>
      <c r="BD1170" s="780"/>
      <c r="BE1170" s="780"/>
    </row>
    <row r="1171" customFormat="false" ht="14.15" hidden="true" customHeight="true" outlineLevel="1" collapsed="false">
      <c r="A1171" s="614" t="s">
        <v>2443</v>
      </c>
      <c r="B1171" s="429"/>
      <c r="C1171" s="342"/>
      <c r="D1171" s="342"/>
      <c r="G1171" s="429"/>
      <c r="H1171" s="429"/>
      <c r="I1171" s="348"/>
      <c r="J1171" s="348"/>
      <c r="K1171" s="348"/>
      <c r="L1171" s="348"/>
      <c r="M1171" s="446"/>
      <c r="N1171" s="446"/>
      <c r="O1171" s="342"/>
      <c r="P1171" s="778"/>
      <c r="Q1171" s="778"/>
      <c r="R1171" s="778"/>
      <c r="S1171" s="778"/>
      <c r="T1171" s="778"/>
      <c r="U1171" s="778"/>
      <c r="V1171" s="778"/>
      <c r="W1171" s="778"/>
      <c r="X1171" s="778"/>
      <c r="Y1171" s="778"/>
      <c r="Z1171" s="778"/>
      <c r="AA1171" s="778"/>
      <c r="AB1171" s="778"/>
      <c r="AC1171" s="778"/>
      <c r="AD1171" s="778"/>
      <c r="AE1171" s="778"/>
      <c r="AF1171" s="778"/>
      <c r="AG1171" s="778"/>
      <c r="AH1171" s="778"/>
      <c r="AI1171" s="778"/>
      <c r="AJ1171" s="778"/>
      <c r="AK1171" s="778"/>
      <c r="AL1171" s="778"/>
      <c r="AM1171" s="778"/>
      <c r="AN1171" s="778"/>
      <c r="AO1171" s="779"/>
      <c r="AP1171" s="779"/>
      <c r="AQ1171" s="780"/>
      <c r="AR1171" s="780"/>
      <c r="AS1171" s="780"/>
      <c r="AT1171" s="780"/>
      <c r="AU1171" s="780"/>
      <c r="AV1171" s="780"/>
      <c r="AW1171" s="780"/>
      <c r="AX1171" s="780"/>
      <c r="AY1171" s="780"/>
      <c r="AZ1171" s="780"/>
      <c r="BA1171" s="780"/>
      <c r="BB1171" s="780"/>
      <c r="BC1171" s="780"/>
      <c r="BD1171" s="780"/>
      <c r="BE1171" s="780"/>
    </row>
    <row r="1172" customFormat="false" ht="14.15" hidden="true" customHeight="true" outlineLevel="1" collapsed="false">
      <c r="A1172" s="858" t="s">
        <v>2444</v>
      </c>
      <c r="B1172" s="640"/>
      <c r="C1172" s="640"/>
      <c r="D1172" s="342"/>
      <c r="G1172" s="429"/>
      <c r="H1172" s="429"/>
      <c r="I1172" s="348"/>
      <c r="J1172" s="348"/>
      <c r="K1172" s="348"/>
      <c r="L1172" s="348"/>
      <c r="M1172" s="446"/>
      <c r="N1172" s="446"/>
      <c r="O1172" s="342"/>
      <c r="P1172" s="778"/>
      <c r="Q1172" s="778"/>
      <c r="R1172" s="778"/>
      <c r="S1172" s="778"/>
      <c r="T1172" s="778"/>
      <c r="U1172" s="778"/>
      <c r="V1172" s="778"/>
      <c r="W1172" s="778"/>
      <c r="X1172" s="778"/>
      <c r="Y1172" s="778"/>
      <c r="Z1172" s="778"/>
      <c r="AA1172" s="778"/>
      <c r="AB1172" s="778"/>
      <c r="AC1172" s="778"/>
      <c r="AD1172" s="778"/>
      <c r="AE1172" s="778"/>
      <c r="AF1172" s="778"/>
      <c r="AG1172" s="778"/>
      <c r="AH1172" s="778"/>
      <c r="AI1172" s="778"/>
      <c r="AJ1172" s="778"/>
      <c r="AK1172" s="778"/>
      <c r="AL1172" s="778"/>
      <c r="AM1172" s="778"/>
      <c r="AN1172" s="778"/>
      <c r="AO1172" s="779"/>
      <c r="AP1172" s="779"/>
      <c r="AQ1172" s="780"/>
      <c r="AR1172" s="780"/>
      <c r="AS1172" s="780"/>
      <c r="AT1172" s="780"/>
      <c r="AU1172" s="780"/>
      <c r="AV1172" s="780"/>
      <c r="AW1172" s="780"/>
      <c r="AX1172" s="780"/>
      <c r="AY1172" s="780"/>
      <c r="AZ1172" s="780"/>
      <c r="BA1172" s="780"/>
      <c r="BB1172" s="780"/>
      <c r="BC1172" s="780"/>
      <c r="BD1172" s="780"/>
      <c r="BE1172" s="780"/>
    </row>
    <row r="1173" customFormat="false" ht="14.15" hidden="true" customHeight="true" outlineLevel="1" collapsed="false">
      <c r="A1173" s="859" t="s">
        <v>924</v>
      </c>
      <c r="B1173" s="640"/>
      <c r="C1173" s="640"/>
      <c r="D1173" s="342"/>
      <c r="G1173" s="429"/>
      <c r="H1173" s="429"/>
      <c r="I1173" s="348"/>
      <c r="J1173" s="348"/>
      <c r="K1173" s="348"/>
      <c r="L1173" s="348"/>
      <c r="M1173" s="446"/>
      <c r="N1173" s="446"/>
      <c r="O1173" s="342"/>
      <c r="P1173" s="778"/>
      <c r="Q1173" s="778"/>
      <c r="R1173" s="778"/>
      <c r="S1173" s="778"/>
      <c r="T1173" s="778"/>
      <c r="U1173" s="778"/>
      <c r="V1173" s="778"/>
      <c r="W1173" s="778"/>
      <c r="X1173" s="778"/>
      <c r="Y1173" s="778"/>
      <c r="Z1173" s="778"/>
      <c r="AA1173" s="778"/>
      <c r="AB1173" s="778"/>
      <c r="AC1173" s="778"/>
      <c r="AD1173" s="778"/>
      <c r="AE1173" s="778"/>
      <c r="AF1173" s="778"/>
      <c r="AG1173" s="778"/>
      <c r="AH1173" s="778"/>
      <c r="AI1173" s="778"/>
      <c r="AJ1173" s="778"/>
      <c r="AK1173" s="778"/>
      <c r="AL1173" s="778"/>
      <c r="AM1173" s="778"/>
      <c r="AN1173" s="778"/>
      <c r="AO1173" s="779"/>
      <c r="AP1173" s="779"/>
      <c r="AQ1173" s="780"/>
      <c r="AR1173" s="780"/>
      <c r="AS1173" s="780"/>
      <c r="AT1173" s="780"/>
      <c r="AU1173" s="780"/>
      <c r="AV1173" s="780"/>
      <c r="AW1173" s="780"/>
      <c r="AX1173" s="780"/>
      <c r="AY1173" s="780"/>
      <c r="AZ1173" s="780"/>
      <c r="BA1173" s="780"/>
      <c r="BB1173" s="780"/>
      <c r="BC1173" s="780"/>
      <c r="BD1173" s="780"/>
      <c r="BE1173" s="780"/>
    </row>
    <row r="1174" customFormat="false" ht="14.15" hidden="true" customHeight="true" outlineLevel="1" collapsed="false">
      <c r="A1174" s="860" t="s">
        <v>2445</v>
      </c>
      <c r="B1174" s="860"/>
      <c r="C1174" s="860"/>
      <c r="D1174" s="368" t="n">
        <v>3.2</v>
      </c>
      <c r="G1174" s="429"/>
      <c r="H1174" s="429"/>
      <c r="I1174" s="348"/>
      <c r="J1174" s="348"/>
      <c r="K1174" s="348"/>
      <c r="L1174" s="348"/>
      <c r="M1174" s="446"/>
      <c r="N1174" s="446"/>
      <c r="O1174" s="342"/>
      <c r="P1174" s="778"/>
      <c r="Q1174" s="778"/>
      <c r="R1174" s="778"/>
      <c r="S1174" s="778"/>
      <c r="T1174" s="778"/>
      <c r="U1174" s="778"/>
      <c r="V1174" s="778"/>
      <c r="W1174" s="778"/>
      <c r="X1174" s="778"/>
      <c r="Y1174" s="778"/>
      <c r="Z1174" s="778"/>
      <c r="AA1174" s="778"/>
      <c r="AB1174" s="778"/>
      <c r="AC1174" s="778"/>
      <c r="AD1174" s="778"/>
      <c r="AE1174" s="778"/>
      <c r="AF1174" s="778"/>
      <c r="AG1174" s="778"/>
      <c r="AH1174" s="778"/>
      <c r="AI1174" s="778"/>
      <c r="AJ1174" s="778"/>
      <c r="AK1174" s="778"/>
      <c r="AL1174" s="778"/>
      <c r="AM1174" s="778"/>
      <c r="AN1174" s="778"/>
      <c r="AO1174" s="779"/>
      <c r="AP1174" s="779"/>
      <c r="AQ1174" s="780"/>
      <c r="AR1174" s="780"/>
      <c r="AS1174" s="780"/>
      <c r="AT1174" s="780"/>
      <c r="AU1174" s="780"/>
      <c r="AV1174" s="780"/>
      <c r="AW1174" s="780"/>
      <c r="AX1174" s="780"/>
      <c r="AY1174" s="780"/>
      <c r="AZ1174" s="780"/>
      <c r="BA1174" s="780"/>
      <c r="BB1174" s="780"/>
      <c r="BC1174" s="780"/>
      <c r="BD1174" s="780"/>
      <c r="BE1174" s="780"/>
    </row>
    <row r="1175" customFormat="false" ht="14.15" hidden="true" customHeight="true" outlineLevel="1" collapsed="false">
      <c r="A1175" s="479" t="s">
        <v>2234</v>
      </c>
      <c r="B1175" s="429"/>
      <c r="C1175" s="342"/>
      <c r="D1175" s="342"/>
      <c r="G1175" s="429"/>
      <c r="H1175" s="429"/>
      <c r="I1175" s="348"/>
      <c r="J1175" s="348"/>
      <c r="K1175" s="348"/>
      <c r="L1175" s="348"/>
      <c r="M1175" s="446"/>
      <c r="N1175" s="446"/>
      <c r="O1175" s="342"/>
      <c r="P1175" s="778"/>
      <c r="Q1175" s="778"/>
      <c r="R1175" s="778"/>
      <c r="S1175" s="778"/>
      <c r="T1175" s="778"/>
      <c r="U1175" s="778"/>
      <c r="V1175" s="778"/>
      <c r="W1175" s="778"/>
      <c r="X1175" s="778"/>
      <c r="Y1175" s="778"/>
      <c r="Z1175" s="778"/>
      <c r="AA1175" s="778"/>
      <c r="AB1175" s="778"/>
      <c r="AC1175" s="778"/>
      <c r="AD1175" s="778"/>
      <c r="AE1175" s="778"/>
      <c r="AF1175" s="778"/>
      <c r="AG1175" s="778"/>
      <c r="AH1175" s="778"/>
      <c r="AI1175" s="778"/>
      <c r="AJ1175" s="778"/>
      <c r="AK1175" s="778"/>
      <c r="AL1175" s="778"/>
      <c r="AM1175" s="778"/>
      <c r="AN1175" s="778"/>
      <c r="AO1175" s="779"/>
      <c r="AP1175" s="779"/>
      <c r="AQ1175" s="780"/>
      <c r="AR1175" s="780"/>
      <c r="AS1175" s="780"/>
      <c r="AT1175" s="780"/>
      <c r="AU1175" s="780"/>
      <c r="AV1175" s="780"/>
      <c r="AW1175" s="780"/>
      <c r="AX1175" s="780"/>
      <c r="AY1175" s="780"/>
      <c r="AZ1175" s="780"/>
      <c r="BA1175" s="780"/>
      <c r="BB1175" s="780"/>
      <c r="BC1175" s="780"/>
      <c r="BD1175" s="780"/>
      <c r="BE1175" s="780"/>
    </row>
    <row r="1176" customFormat="false" ht="14.15" hidden="true" customHeight="true" outlineLevel="1" collapsed="false">
      <c r="A1176" s="842" t="s">
        <v>706</v>
      </c>
      <c r="B1176" s="429"/>
      <c r="C1176" s="342"/>
      <c r="D1176" s="342"/>
      <c r="G1176" s="429"/>
      <c r="H1176" s="429"/>
      <c r="I1176" s="348"/>
      <c r="J1176" s="348"/>
      <c r="K1176" s="348"/>
      <c r="L1176" s="348"/>
      <c r="M1176" s="446"/>
      <c r="N1176" s="446"/>
      <c r="O1176" s="342"/>
      <c r="P1176" s="778"/>
      <c r="Q1176" s="778"/>
      <c r="R1176" s="778"/>
      <c r="S1176" s="778"/>
      <c r="T1176" s="778"/>
      <c r="U1176" s="778"/>
      <c r="V1176" s="778"/>
      <c r="W1176" s="778"/>
      <c r="X1176" s="778"/>
      <c r="Y1176" s="778"/>
      <c r="Z1176" s="778"/>
      <c r="AA1176" s="778"/>
      <c r="AB1176" s="778"/>
      <c r="AC1176" s="778"/>
      <c r="AD1176" s="778"/>
      <c r="AE1176" s="778"/>
      <c r="AF1176" s="778"/>
      <c r="AG1176" s="778"/>
      <c r="AH1176" s="778"/>
      <c r="AI1176" s="778"/>
      <c r="AJ1176" s="778"/>
      <c r="AK1176" s="778"/>
      <c r="AL1176" s="778"/>
      <c r="AM1176" s="778"/>
      <c r="AN1176" s="778"/>
      <c r="AO1176" s="779"/>
      <c r="AP1176" s="779"/>
      <c r="AQ1176" s="780"/>
      <c r="AR1176" s="780"/>
      <c r="AS1176" s="780"/>
      <c r="AT1176" s="780"/>
      <c r="AU1176" s="780"/>
      <c r="AV1176" s="780"/>
      <c r="AW1176" s="780"/>
      <c r="AX1176" s="780"/>
      <c r="AY1176" s="780"/>
      <c r="AZ1176" s="780"/>
      <c r="BA1176" s="780"/>
      <c r="BB1176" s="780"/>
      <c r="BC1176" s="780"/>
      <c r="BD1176" s="780"/>
      <c r="BE1176" s="780"/>
    </row>
    <row r="1177" s="355" customFormat="true" ht="14.15" hidden="true" customHeight="true" outlineLevel="1" collapsed="false">
      <c r="A1177" s="342" t="s">
        <v>2446</v>
      </c>
      <c r="B1177" s="429"/>
      <c r="C1177" s="342"/>
      <c r="D1177" s="342"/>
      <c r="G1177" s="429"/>
      <c r="H1177" s="429"/>
      <c r="I1177" s="348"/>
      <c r="J1177" s="348"/>
      <c r="K1177" s="348"/>
      <c r="L1177" s="348"/>
      <c r="M1177" s="446"/>
      <c r="N1177" s="446"/>
      <c r="O1177" s="342"/>
      <c r="P1177" s="342"/>
      <c r="Q1177" s="342"/>
      <c r="R1177" s="342"/>
      <c r="S1177" s="342"/>
      <c r="T1177" s="342"/>
      <c r="U1177" s="342"/>
      <c r="V1177" s="342"/>
      <c r="W1177" s="342"/>
      <c r="X1177" s="342"/>
      <c r="Y1177" s="342"/>
      <c r="Z1177" s="342"/>
      <c r="AA1177" s="342"/>
      <c r="AB1177" s="342"/>
      <c r="AC1177" s="342"/>
      <c r="AD1177" s="342"/>
      <c r="AE1177" s="342"/>
      <c r="AF1177" s="342"/>
      <c r="AG1177" s="342"/>
      <c r="AH1177" s="342"/>
      <c r="AI1177" s="342"/>
      <c r="AJ1177" s="342"/>
      <c r="AK1177" s="342"/>
      <c r="AL1177" s="342"/>
      <c r="AM1177" s="342"/>
      <c r="AN1177" s="342"/>
      <c r="AO1177" s="662"/>
      <c r="AP1177" s="662"/>
      <c r="AQ1177" s="772"/>
      <c r="AR1177" s="772"/>
      <c r="AS1177" s="772"/>
      <c r="AT1177" s="772"/>
      <c r="AU1177" s="772"/>
      <c r="AV1177" s="772"/>
      <c r="AW1177" s="772"/>
      <c r="AX1177" s="772"/>
      <c r="AY1177" s="772"/>
      <c r="AZ1177" s="772"/>
      <c r="BA1177" s="772"/>
      <c r="BB1177" s="772"/>
      <c r="BC1177" s="772"/>
      <c r="BD1177" s="772"/>
      <c r="BE1177" s="772"/>
      <c r="BF1177" s="360"/>
    </row>
    <row r="1178" customFormat="false" ht="14.15" hidden="true" customHeight="true" outlineLevel="1" collapsed="false">
      <c r="A1178" s="525" t="s">
        <v>1333</v>
      </c>
      <c r="B1178" s="429"/>
      <c r="C1178" s="342"/>
      <c r="D1178" s="342"/>
      <c r="G1178" s="850"/>
      <c r="H1178" s="342"/>
      <c r="I1178" s="469"/>
      <c r="J1178" s="469"/>
      <c r="K1178" s="469"/>
      <c r="L1178" s="469"/>
      <c r="M1178" s="469"/>
      <c r="N1178" s="469"/>
      <c r="O1178" s="469"/>
      <c r="P1178" s="469"/>
      <c r="Q1178" s="778"/>
      <c r="R1178" s="778"/>
      <c r="S1178" s="778"/>
      <c r="T1178" s="778"/>
      <c r="U1178" s="778"/>
      <c r="V1178" s="778"/>
      <c r="W1178" s="778"/>
      <c r="X1178" s="778"/>
      <c r="Y1178" s="778"/>
      <c r="Z1178" s="778"/>
      <c r="AA1178" s="778"/>
      <c r="AB1178" s="778"/>
      <c r="AC1178" s="778"/>
      <c r="AD1178" s="778"/>
      <c r="AE1178" s="778"/>
      <c r="AF1178" s="778"/>
      <c r="AG1178" s="778"/>
      <c r="AH1178" s="778"/>
      <c r="AI1178" s="778"/>
      <c r="AJ1178" s="778"/>
      <c r="AK1178" s="778"/>
      <c r="AL1178" s="778"/>
      <c r="AM1178" s="778"/>
      <c r="AN1178" s="778"/>
      <c r="AO1178" s="779"/>
      <c r="AP1178" s="779"/>
      <c r="AQ1178" s="780"/>
      <c r="AR1178" s="780"/>
      <c r="AS1178" s="780"/>
      <c r="AT1178" s="780"/>
      <c r="AU1178" s="780"/>
      <c r="AV1178" s="780"/>
      <c r="AW1178" s="780"/>
      <c r="AX1178" s="780"/>
      <c r="AY1178" s="780"/>
      <c r="AZ1178" s="780"/>
      <c r="BA1178" s="780"/>
      <c r="BB1178" s="780"/>
      <c r="BC1178" s="780"/>
      <c r="BD1178" s="780"/>
      <c r="BE1178" s="780"/>
    </row>
    <row r="1179" customFormat="false" ht="14.15" hidden="true" customHeight="true" outlineLevel="1" collapsed="false">
      <c r="A1179" s="421" t="s">
        <v>2447</v>
      </c>
      <c r="B1179" s="429"/>
      <c r="C1179" s="769"/>
      <c r="D1179" s="342"/>
      <c r="G1179" s="850"/>
      <c r="H1179" s="342"/>
      <c r="I1179" s="469"/>
      <c r="J1179" s="469"/>
      <c r="K1179" s="469"/>
      <c r="L1179" s="469"/>
      <c r="M1179" s="469"/>
      <c r="N1179" s="469"/>
      <c r="O1179" s="469"/>
      <c r="P1179" s="469"/>
      <c r="Q1179" s="778"/>
      <c r="R1179" s="778"/>
      <c r="S1179" s="778"/>
      <c r="T1179" s="778"/>
      <c r="U1179" s="778"/>
      <c r="V1179" s="778"/>
      <c r="W1179" s="778"/>
      <c r="X1179" s="778"/>
      <c r="Y1179" s="778"/>
      <c r="Z1179" s="778"/>
      <c r="AA1179" s="778"/>
      <c r="AB1179" s="778"/>
      <c r="AC1179" s="778"/>
      <c r="AD1179" s="778"/>
      <c r="AE1179" s="778"/>
      <c r="AF1179" s="778"/>
      <c r="AG1179" s="778"/>
      <c r="AH1179" s="778"/>
      <c r="AI1179" s="778"/>
      <c r="AJ1179" s="778"/>
      <c r="AK1179" s="778"/>
      <c r="AL1179" s="778"/>
      <c r="AM1179" s="778"/>
      <c r="AN1179" s="778"/>
      <c r="AO1179" s="779"/>
      <c r="AP1179" s="779"/>
      <c r="AQ1179" s="780"/>
      <c r="AR1179" s="780"/>
      <c r="AS1179" s="780"/>
      <c r="AT1179" s="780"/>
      <c r="AU1179" s="780"/>
      <c r="AV1179" s="780"/>
      <c r="AW1179" s="780"/>
      <c r="AX1179" s="780"/>
      <c r="AY1179" s="780"/>
      <c r="AZ1179" s="780"/>
      <c r="BA1179" s="780"/>
      <c r="BB1179" s="780"/>
      <c r="BC1179" s="780"/>
      <c r="BD1179" s="780"/>
      <c r="BE1179" s="780"/>
    </row>
    <row r="1180" customFormat="false" ht="14.15" hidden="true" customHeight="true" outlineLevel="1" collapsed="false">
      <c r="A1180" s="613" t="s">
        <v>1343</v>
      </c>
      <c r="B1180" s="429"/>
      <c r="C1180" s="769"/>
      <c r="D1180" s="342"/>
      <c r="G1180" s="850"/>
      <c r="H1180" s="342"/>
      <c r="I1180" s="469"/>
      <c r="J1180" s="469"/>
      <c r="K1180" s="469"/>
      <c r="L1180" s="469"/>
      <c r="M1180" s="469"/>
      <c r="N1180" s="469"/>
      <c r="O1180" s="469"/>
      <c r="P1180" s="469"/>
      <c r="Q1180" s="778"/>
      <c r="R1180" s="778"/>
      <c r="S1180" s="778"/>
      <c r="T1180" s="778"/>
      <c r="U1180" s="778"/>
      <c r="V1180" s="778"/>
      <c r="W1180" s="778"/>
      <c r="X1180" s="778"/>
      <c r="Y1180" s="778"/>
      <c r="Z1180" s="778"/>
      <c r="AA1180" s="778"/>
      <c r="AB1180" s="778"/>
      <c r="AC1180" s="778"/>
      <c r="AD1180" s="778"/>
      <c r="AE1180" s="778"/>
      <c r="AF1180" s="778"/>
      <c r="AG1180" s="778"/>
      <c r="AH1180" s="778"/>
      <c r="AI1180" s="778"/>
      <c r="AJ1180" s="778"/>
      <c r="AK1180" s="778"/>
      <c r="AL1180" s="778"/>
      <c r="AM1180" s="778"/>
      <c r="AN1180" s="778"/>
      <c r="AO1180" s="779"/>
      <c r="AP1180" s="779"/>
      <c r="AQ1180" s="780"/>
      <c r="AR1180" s="780"/>
      <c r="AS1180" s="780"/>
      <c r="AT1180" s="780"/>
      <c r="AU1180" s="780"/>
      <c r="AV1180" s="780"/>
      <c r="AW1180" s="780"/>
      <c r="AX1180" s="780"/>
      <c r="AY1180" s="780"/>
      <c r="AZ1180" s="780"/>
      <c r="BA1180" s="780"/>
      <c r="BB1180" s="780"/>
      <c r="BC1180" s="780"/>
      <c r="BD1180" s="780"/>
      <c r="BE1180" s="780"/>
    </row>
    <row r="1181" s="355" customFormat="true" ht="14.15" hidden="true" customHeight="true" outlineLevel="1" collapsed="false">
      <c r="A1181" s="342" t="s">
        <v>2448</v>
      </c>
      <c r="B1181" s="429"/>
      <c r="C1181" s="342"/>
      <c r="D1181" s="342"/>
      <c r="G1181" s="850"/>
      <c r="H1181" s="342"/>
      <c r="I1181" s="469"/>
      <c r="J1181" s="469"/>
      <c r="K1181" s="469"/>
      <c r="L1181" s="469"/>
      <c r="M1181" s="469"/>
      <c r="N1181" s="469"/>
      <c r="O1181" s="469"/>
      <c r="P1181" s="469"/>
      <c r="Q1181" s="342"/>
      <c r="R1181" s="342"/>
      <c r="S1181" s="342"/>
      <c r="T1181" s="342"/>
      <c r="U1181" s="342"/>
      <c r="V1181" s="342"/>
      <c r="W1181" s="342"/>
      <c r="X1181" s="342"/>
      <c r="Y1181" s="342"/>
      <c r="Z1181" s="342"/>
      <c r="AA1181" s="342"/>
      <c r="AB1181" s="342"/>
      <c r="AC1181" s="342"/>
      <c r="AD1181" s="342"/>
      <c r="AE1181" s="342"/>
      <c r="AF1181" s="342"/>
      <c r="AG1181" s="342"/>
      <c r="AH1181" s="342"/>
      <c r="AI1181" s="342"/>
      <c r="AJ1181" s="342"/>
      <c r="AK1181" s="342"/>
      <c r="AL1181" s="342"/>
      <c r="AM1181" s="342"/>
      <c r="AN1181" s="342"/>
      <c r="AO1181" s="662"/>
      <c r="AP1181" s="662"/>
      <c r="AQ1181" s="772"/>
      <c r="AR1181" s="772"/>
      <c r="AS1181" s="772"/>
      <c r="AT1181" s="772"/>
      <c r="AU1181" s="772"/>
      <c r="AV1181" s="772"/>
      <c r="AW1181" s="772"/>
      <c r="AX1181" s="772"/>
      <c r="AY1181" s="772"/>
      <c r="AZ1181" s="772"/>
      <c r="BA1181" s="772"/>
      <c r="BB1181" s="772"/>
      <c r="BC1181" s="772"/>
      <c r="BD1181" s="772"/>
      <c r="BE1181" s="772"/>
      <c r="BF1181" s="360"/>
    </row>
    <row r="1182" customFormat="false" ht="14.15" hidden="true" customHeight="true" outlineLevel="1" collapsed="false">
      <c r="A1182" s="525" t="s">
        <v>2449</v>
      </c>
      <c r="B1182" s="364" t="s">
        <v>156</v>
      </c>
      <c r="C1182" s="32" t="n">
        <v>0.2</v>
      </c>
      <c r="D1182" s="342"/>
      <c r="G1182" s="850"/>
      <c r="H1182" s="342"/>
      <c r="I1182" s="469"/>
      <c r="J1182" s="469"/>
      <c r="K1182" s="469"/>
      <c r="L1182" s="469"/>
      <c r="M1182" s="469"/>
      <c r="N1182" s="469"/>
      <c r="O1182" s="469"/>
      <c r="P1182" s="469"/>
      <c r="Q1182" s="778"/>
      <c r="R1182" s="778"/>
      <c r="S1182" s="778"/>
      <c r="T1182" s="778"/>
      <c r="U1182" s="778"/>
      <c r="V1182" s="778"/>
      <c r="W1182" s="778"/>
      <c r="X1182" s="778"/>
      <c r="Y1182" s="778"/>
      <c r="Z1182" s="778"/>
      <c r="AA1182" s="778"/>
      <c r="AB1182" s="778"/>
      <c r="AC1182" s="778"/>
      <c r="AD1182" s="778"/>
      <c r="AE1182" s="778"/>
      <c r="AF1182" s="778"/>
      <c r="AG1182" s="778"/>
      <c r="AH1182" s="778"/>
      <c r="AI1182" s="778"/>
      <c r="AJ1182" s="778"/>
      <c r="AK1182" s="778"/>
      <c r="AL1182" s="778"/>
      <c r="AM1182" s="778"/>
      <c r="AN1182" s="778"/>
      <c r="AO1182" s="779"/>
      <c r="AP1182" s="779"/>
      <c r="AQ1182" s="780"/>
      <c r="AR1182" s="780"/>
      <c r="AS1182" s="780"/>
      <c r="AT1182" s="780"/>
      <c r="AU1182" s="780"/>
      <c r="AV1182" s="780"/>
      <c r="AW1182" s="780"/>
      <c r="AX1182" s="780"/>
      <c r="AY1182" s="780"/>
      <c r="AZ1182" s="780"/>
      <c r="BA1182" s="780"/>
      <c r="BB1182" s="780"/>
      <c r="BC1182" s="780"/>
      <c r="BD1182" s="780"/>
      <c r="BE1182" s="780"/>
    </row>
    <row r="1183" customFormat="false" ht="14.15" hidden="true" customHeight="true" outlineLevel="1" collapsed="false">
      <c r="A1183" s="342" t="s">
        <v>2450</v>
      </c>
      <c r="B1183" s="429"/>
      <c r="C1183" s="769"/>
      <c r="D1183" s="342"/>
      <c r="G1183" s="850"/>
      <c r="H1183" s="342"/>
      <c r="I1183" s="469"/>
      <c r="J1183" s="469"/>
      <c r="K1183" s="469"/>
      <c r="L1183" s="469"/>
      <c r="M1183" s="469"/>
      <c r="N1183" s="469"/>
      <c r="O1183" s="469"/>
      <c r="P1183" s="469"/>
      <c r="Q1183" s="778"/>
      <c r="R1183" s="778"/>
      <c r="S1183" s="778"/>
      <c r="T1183" s="778"/>
      <c r="U1183" s="778"/>
      <c r="V1183" s="778"/>
      <c r="W1183" s="778"/>
      <c r="X1183" s="778"/>
      <c r="Y1183" s="778"/>
      <c r="Z1183" s="778"/>
      <c r="AA1183" s="778"/>
      <c r="AB1183" s="778"/>
      <c r="AC1183" s="778"/>
      <c r="AD1183" s="778"/>
      <c r="AE1183" s="778"/>
      <c r="AF1183" s="778"/>
      <c r="AG1183" s="778"/>
      <c r="AH1183" s="778"/>
      <c r="AI1183" s="778"/>
      <c r="AJ1183" s="778"/>
      <c r="AK1183" s="778"/>
      <c r="AL1183" s="778"/>
      <c r="AM1183" s="778"/>
      <c r="AN1183" s="778"/>
      <c r="AO1183" s="779"/>
      <c r="AP1183" s="779"/>
      <c r="AQ1183" s="780"/>
      <c r="AR1183" s="780"/>
      <c r="AS1183" s="780"/>
      <c r="AT1183" s="780"/>
      <c r="AU1183" s="780"/>
      <c r="AV1183" s="780"/>
      <c r="AW1183" s="780"/>
      <c r="AX1183" s="780"/>
      <c r="AY1183" s="780"/>
      <c r="AZ1183" s="780"/>
      <c r="BA1183" s="780"/>
      <c r="BB1183" s="780"/>
      <c r="BC1183" s="780"/>
      <c r="BD1183" s="780"/>
      <c r="BE1183" s="780"/>
    </row>
    <row r="1184" customFormat="false" ht="14.15" hidden="true" customHeight="true" outlineLevel="1" collapsed="false">
      <c r="A1184" s="525" t="s">
        <v>1355</v>
      </c>
      <c r="B1184" s="429"/>
      <c r="C1184" s="769"/>
      <c r="D1184" s="342"/>
      <c r="G1184" s="850"/>
      <c r="H1184" s="342"/>
      <c r="I1184" s="469"/>
      <c r="J1184" s="469"/>
      <c r="K1184" s="469"/>
      <c r="L1184" s="469"/>
      <c r="M1184" s="469"/>
      <c r="N1184" s="469"/>
      <c r="O1184" s="469"/>
      <c r="P1184" s="469"/>
      <c r="Q1184" s="778"/>
      <c r="R1184" s="778"/>
      <c r="S1184" s="778"/>
      <c r="T1184" s="778"/>
      <c r="U1184" s="778"/>
      <c r="V1184" s="778"/>
      <c r="W1184" s="778"/>
      <c r="X1184" s="778"/>
      <c r="Y1184" s="778"/>
      <c r="Z1184" s="778"/>
      <c r="AA1184" s="778"/>
      <c r="AB1184" s="778"/>
      <c r="AC1184" s="778"/>
      <c r="AD1184" s="778"/>
      <c r="AE1184" s="778"/>
      <c r="AF1184" s="778"/>
      <c r="AG1184" s="778"/>
      <c r="AH1184" s="778"/>
      <c r="AI1184" s="778"/>
      <c r="AJ1184" s="778"/>
      <c r="AK1184" s="778"/>
      <c r="AL1184" s="778"/>
      <c r="AM1184" s="778"/>
      <c r="AN1184" s="778"/>
      <c r="AO1184" s="779"/>
      <c r="AP1184" s="779"/>
      <c r="AQ1184" s="780"/>
      <c r="AR1184" s="780"/>
      <c r="AS1184" s="780"/>
      <c r="AT1184" s="780"/>
      <c r="AU1184" s="780"/>
      <c r="AV1184" s="780"/>
      <c r="AW1184" s="780"/>
      <c r="AX1184" s="780"/>
      <c r="AY1184" s="780"/>
      <c r="AZ1184" s="780"/>
      <c r="BA1184" s="780"/>
      <c r="BB1184" s="780"/>
      <c r="BC1184" s="780"/>
      <c r="BD1184" s="780"/>
      <c r="BE1184" s="780"/>
    </row>
    <row r="1185" s="355" customFormat="true" ht="14.15" hidden="true" customHeight="true" outlineLevel="1" collapsed="false">
      <c r="A1185" s="342" t="s">
        <v>2451</v>
      </c>
      <c r="B1185" s="429"/>
      <c r="C1185" s="769"/>
      <c r="D1185" s="342"/>
      <c r="G1185" s="850"/>
      <c r="H1185" s="342"/>
      <c r="I1185" s="469"/>
      <c r="J1185" s="469"/>
      <c r="K1185" s="469"/>
      <c r="L1185" s="469"/>
      <c r="M1185" s="469"/>
      <c r="N1185" s="469"/>
      <c r="O1185" s="469"/>
      <c r="P1185" s="469"/>
      <c r="Q1185" s="342"/>
      <c r="R1185" s="342"/>
      <c r="S1185" s="342"/>
      <c r="T1185" s="342"/>
      <c r="U1185" s="342"/>
      <c r="V1185" s="342"/>
      <c r="W1185" s="342"/>
      <c r="X1185" s="342"/>
      <c r="Y1185" s="342"/>
      <c r="Z1185" s="342"/>
      <c r="AA1185" s="342"/>
      <c r="AB1185" s="342"/>
      <c r="AC1185" s="342"/>
      <c r="AD1185" s="342"/>
      <c r="AE1185" s="342"/>
      <c r="AF1185" s="342"/>
      <c r="AG1185" s="342"/>
      <c r="AH1185" s="342"/>
      <c r="AI1185" s="342"/>
      <c r="AJ1185" s="342"/>
      <c r="AK1185" s="342"/>
      <c r="AL1185" s="342"/>
      <c r="AM1185" s="342"/>
      <c r="AN1185" s="342"/>
      <c r="AO1185" s="662"/>
      <c r="AP1185" s="662"/>
      <c r="AQ1185" s="772"/>
      <c r="AR1185" s="772"/>
      <c r="AS1185" s="772"/>
      <c r="AT1185" s="772"/>
      <c r="AU1185" s="772"/>
      <c r="AV1185" s="772"/>
      <c r="AW1185" s="772"/>
      <c r="AX1185" s="772"/>
      <c r="AY1185" s="772"/>
      <c r="AZ1185" s="772"/>
      <c r="BA1185" s="772"/>
      <c r="BB1185" s="772"/>
      <c r="BC1185" s="772"/>
      <c r="BD1185" s="772"/>
      <c r="BE1185" s="772"/>
      <c r="BF1185" s="360"/>
    </row>
    <row r="1186" s="355" customFormat="true" ht="14.15" hidden="true" customHeight="true" outlineLevel="1" collapsed="false">
      <c r="A1186" s="525" t="s">
        <v>1361</v>
      </c>
      <c r="B1186" s="364" t="s">
        <v>2452</v>
      </c>
      <c r="C1186" s="32" t="n">
        <v>1</v>
      </c>
      <c r="D1186" s="342"/>
      <c r="G1186" s="850"/>
      <c r="H1186" s="342"/>
      <c r="I1186" s="469"/>
      <c r="J1186" s="469"/>
      <c r="K1186" s="469"/>
      <c r="L1186" s="469"/>
      <c r="M1186" s="469"/>
      <c r="N1186" s="469"/>
      <c r="O1186" s="469"/>
      <c r="P1186" s="469"/>
      <c r="Q1186" s="342"/>
      <c r="R1186" s="342"/>
      <c r="S1186" s="342"/>
      <c r="T1186" s="342"/>
      <c r="U1186" s="342"/>
      <c r="V1186" s="342"/>
      <c r="W1186" s="342"/>
      <c r="X1186" s="342"/>
      <c r="Y1186" s="342"/>
      <c r="Z1186" s="342"/>
      <c r="AA1186" s="342"/>
      <c r="AB1186" s="342"/>
      <c r="AC1186" s="342"/>
      <c r="AD1186" s="342"/>
      <c r="AE1186" s="342"/>
      <c r="AF1186" s="342"/>
      <c r="AG1186" s="342"/>
      <c r="AH1186" s="342"/>
      <c r="AI1186" s="342"/>
      <c r="AJ1186" s="342"/>
      <c r="AK1186" s="342"/>
      <c r="AL1186" s="342"/>
      <c r="AM1186" s="342"/>
      <c r="AN1186" s="342"/>
      <c r="AO1186" s="662"/>
      <c r="AP1186" s="662"/>
      <c r="AQ1186" s="772"/>
      <c r="AR1186" s="772"/>
      <c r="AS1186" s="772"/>
      <c r="AT1186" s="772"/>
      <c r="AU1186" s="772"/>
      <c r="AV1186" s="772"/>
      <c r="AW1186" s="772"/>
      <c r="AX1186" s="772"/>
      <c r="AY1186" s="772"/>
      <c r="AZ1186" s="772"/>
      <c r="BA1186" s="772"/>
      <c r="BB1186" s="772"/>
      <c r="BC1186" s="772"/>
      <c r="BD1186" s="772"/>
      <c r="BE1186" s="772"/>
      <c r="BF1186" s="360"/>
    </row>
    <row r="1187" customFormat="false" ht="14.15" hidden="true" customHeight="true" outlineLevel="1" collapsed="false">
      <c r="A1187" s="669" t="s">
        <v>2453</v>
      </c>
      <c r="D1187" s="342"/>
      <c r="G1187" s="850"/>
      <c r="H1187" s="342"/>
      <c r="I1187" s="469"/>
      <c r="J1187" s="469"/>
      <c r="K1187" s="469"/>
      <c r="L1187" s="469"/>
      <c r="M1187" s="469"/>
      <c r="N1187" s="469"/>
      <c r="O1187" s="469"/>
      <c r="P1187" s="469"/>
      <c r="Q1187" s="778"/>
      <c r="R1187" s="778"/>
      <c r="S1187" s="778"/>
      <c r="T1187" s="778"/>
      <c r="U1187" s="778"/>
      <c r="V1187" s="778"/>
      <c r="W1187" s="778"/>
      <c r="X1187" s="778"/>
      <c r="Y1187" s="778"/>
      <c r="Z1187" s="778"/>
      <c r="AA1187" s="778"/>
      <c r="AB1187" s="778"/>
      <c r="AC1187" s="778"/>
      <c r="AD1187" s="778"/>
      <c r="AE1187" s="778"/>
      <c r="AF1187" s="778"/>
      <c r="AG1187" s="778"/>
      <c r="AH1187" s="778"/>
      <c r="AI1187" s="778"/>
      <c r="AJ1187" s="778"/>
      <c r="AK1187" s="778"/>
      <c r="AL1187" s="778"/>
      <c r="AM1187" s="778"/>
      <c r="AN1187" s="778"/>
      <c r="AO1187" s="779"/>
      <c r="AP1187" s="779"/>
      <c r="AQ1187" s="780"/>
      <c r="AR1187" s="780"/>
      <c r="AS1187" s="780"/>
      <c r="AT1187" s="780"/>
      <c r="AU1187" s="780"/>
      <c r="AV1187" s="780"/>
      <c r="AW1187" s="780"/>
      <c r="AX1187" s="780"/>
      <c r="AY1187" s="780"/>
      <c r="AZ1187" s="780"/>
      <c r="BA1187" s="780"/>
      <c r="BB1187" s="780"/>
      <c r="BC1187" s="780"/>
      <c r="BD1187" s="780"/>
      <c r="BE1187" s="780"/>
    </row>
    <row r="1188" customFormat="false" ht="14.15" hidden="true" customHeight="true" outlineLevel="1" collapsed="false">
      <c r="A1188" s="525" t="s">
        <v>1364</v>
      </c>
      <c r="B1188" s="364" t="s">
        <v>2452</v>
      </c>
      <c r="C1188" s="32" t="n">
        <v>3</v>
      </c>
      <c r="D1188" s="342"/>
      <c r="G1188" s="850"/>
      <c r="H1188" s="342"/>
      <c r="I1188" s="469"/>
      <c r="J1188" s="469"/>
      <c r="K1188" s="469"/>
      <c r="L1188" s="469"/>
      <c r="M1188" s="469"/>
      <c r="N1188" s="469"/>
      <c r="O1188" s="469"/>
      <c r="P1188" s="469"/>
      <c r="Q1188" s="778"/>
      <c r="R1188" s="778"/>
      <c r="S1188" s="778"/>
      <c r="T1188" s="778"/>
      <c r="U1188" s="778"/>
      <c r="V1188" s="778"/>
      <c r="W1188" s="778"/>
      <c r="X1188" s="778"/>
      <c r="Y1188" s="778"/>
      <c r="Z1188" s="778"/>
      <c r="AA1188" s="778"/>
      <c r="AB1188" s="778"/>
      <c r="AC1188" s="778"/>
      <c r="AD1188" s="778"/>
      <c r="AE1188" s="778"/>
      <c r="AF1188" s="778"/>
      <c r="AG1188" s="778"/>
      <c r="AH1188" s="778"/>
      <c r="AI1188" s="778"/>
      <c r="AJ1188" s="778"/>
      <c r="AK1188" s="778"/>
      <c r="AL1188" s="778"/>
      <c r="AM1188" s="778"/>
      <c r="AN1188" s="778"/>
      <c r="AO1188" s="779"/>
      <c r="AP1188" s="779"/>
      <c r="AQ1188" s="780"/>
      <c r="AR1188" s="780"/>
      <c r="AS1188" s="780"/>
      <c r="AT1188" s="780"/>
      <c r="AU1188" s="780"/>
      <c r="AV1188" s="780"/>
      <c r="AW1188" s="780"/>
      <c r="AX1188" s="780"/>
      <c r="AY1188" s="780"/>
      <c r="AZ1188" s="780"/>
      <c r="BA1188" s="780"/>
      <c r="BB1188" s="780"/>
      <c r="BC1188" s="780"/>
      <c r="BD1188" s="780"/>
      <c r="BE1188" s="780"/>
    </row>
    <row r="1189" customFormat="false" ht="14.15" hidden="true" customHeight="true" outlineLevel="1" collapsed="false">
      <c r="A1189" s="421" t="s">
        <v>2454</v>
      </c>
      <c r="B1189" s="429"/>
      <c r="C1189" s="769"/>
      <c r="D1189" s="342"/>
      <c r="G1189" s="850"/>
      <c r="H1189" s="342"/>
      <c r="I1189" s="469"/>
      <c r="J1189" s="469"/>
      <c r="K1189" s="469"/>
      <c r="L1189" s="469"/>
      <c r="M1189" s="469"/>
      <c r="N1189" s="469"/>
      <c r="O1189" s="469"/>
      <c r="P1189" s="469"/>
      <c r="Q1189" s="778"/>
      <c r="R1189" s="778"/>
      <c r="S1189" s="778"/>
      <c r="T1189" s="778"/>
      <c r="U1189" s="778"/>
      <c r="V1189" s="778"/>
      <c r="W1189" s="778"/>
      <c r="X1189" s="778"/>
      <c r="Y1189" s="778"/>
      <c r="Z1189" s="778"/>
      <c r="AA1189" s="778"/>
      <c r="AB1189" s="778"/>
      <c r="AC1189" s="778"/>
      <c r="AD1189" s="778"/>
      <c r="AE1189" s="778"/>
      <c r="AF1189" s="778"/>
      <c r="AG1189" s="778"/>
      <c r="AH1189" s="778"/>
      <c r="AI1189" s="778"/>
      <c r="AJ1189" s="778"/>
      <c r="AK1189" s="778"/>
      <c r="AL1189" s="778"/>
      <c r="AM1189" s="778"/>
      <c r="AN1189" s="778"/>
      <c r="AO1189" s="779"/>
      <c r="AP1189" s="779"/>
      <c r="AQ1189" s="780"/>
      <c r="AR1189" s="780"/>
      <c r="AS1189" s="780"/>
      <c r="AT1189" s="780"/>
      <c r="AU1189" s="780"/>
      <c r="AV1189" s="780"/>
      <c r="AW1189" s="780"/>
      <c r="AX1189" s="780"/>
      <c r="AY1189" s="780"/>
      <c r="AZ1189" s="780"/>
      <c r="BA1189" s="780"/>
      <c r="BB1189" s="780"/>
      <c r="BC1189" s="780"/>
      <c r="BD1189" s="780"/>
      <c r="BE1189" s="780"/>
    </row>
    <row r="1190" customFormat="false" ht="14.15" hidden="true" customHeight="true" outlineLevel="1" collapsed="false">
      <c r="A1190" s="525" t="s">
        <v>1392</v>
      </c>
      <c r="B1190" s="364" t="s">
        <v>2452</v>
      </c>
      <c r="C1190" s="32" t="n">
        <v>3</v>
      </c>
      <c r="D1190" s="342"/>
      <c r="G1190" s="850"/>
      <c r="H1190" s="342"/>
      <c r="I1190" s="469"/>
      <c r="J1190" s="469"/>
      <c r="K1190" s="469"/>
      <c r="L1190" s="469"/>
      <c r="M1190" s="469"/>
      <c r="N1190" s="469"/>
      <c r="O1190" s="469"/>
      <c r="P1190" s="469"/>
      <c r="Q1190" s="778"/>
      <c r="R1190" s="778"/>
      <c r="S1190" s="778"/>
      <c r="T1190" s="778"/>
      <c r="U1190" s="778"/>
      <c r="V1190" s="778"/>
      <c r="W1190" s="778"/>
      <c r="X1190" s="778"/>
      <c r="Y1190" s="778"/>
      <c r="Z1190" s="778"/>
      <c r="AA1190" s="778"/>
      <c r="AB1190" s="778"/>
      <c r="AC1190" s="778"/>
      <c r="AD1190" s="778"/>
      <c r="AE1190" s="778"/>
      <c r="AF1190" s="778"/>
      <c r="AG1190" s="778"/>
      <c r="AH1190" s="778"/>
      <c r="AI1190" s="778"/>
      <c r="AJ1190" s="778"/>
      <c r="AK1190" s="778"/>
      <c r="AL1190" s="778"/>
      <c r="AM1190" s="778"/>
      <c r="AN1190" s="778"/>
      <c r="AO1190" s="779"/>
      <c r="AP1190" s="779"/>
      <c r="AQ1190" s="780"/>
      <c r="AR1190" s="780"/>
      <c r="AS1190" s="780"/>
      <c r="AT1190" s="780"/>
      <c r="AU1190" s="780"/>
      <c r="AV1190" s="780"/>
      <c r="AW1190" s="780"/>
      <c r="AX1190" s="780"/>
      <c r="AY1190" s="780"/>
      <c r="AZ1190" s="780"/>
      <c r="BA1190" s="780"/>
      <c r="BB1190" s="780"/>
      <c r="BC1190" s="780"/>
      <c r="BD1190" s="780"/>
      <c r="BE1190" s="780"/>
    </row>
    <row r="1191" customFormat="false" ht="14.15" hidden="true" customHeight="true" outlineLevel="1" collapsed="false">
      <c r="A1191" s="368" t="s">
        <v>2455</v>
      </c>
      <c r="B1191" s="364" t="s">
        <v>133</v>
      </c>
      <c r="C1191" s="631" t="s">
        <v>1821</v>
      </c>
      <c r="D1191" s="342"/>
      <c r="G1191" s="850"/>
      <c r="H1191" s="342"/>
      <c r="I1191" s="469"/>
      <c r="J1191" s="469"/>
      <c r="K1191" s="469"/>
      <c r="L1191" s="469"/>
      <c r="M1191" s="469"/>
      <c r="N1191" s="469"/>
      <c r="O1191" s="469"/>
      <c r="P1191" s="469"/>
      <c r="Q1191" s="778"/>
      <c r="R1191" s="778"/>
      <c r="S1191" s="778"/>
      <c r="T1191" s="778"/>
      <c r="U1191" s="778"/>
      <c r="V1191" s="778"/>
      <c r="W1191" s="778"/>
      <c r="X1191" s="778"/>
      <c r="Y1191" s="778"/>
      <c r="Z1191" s="778"/>
      <c r="AA1191" s="778"/>
      <c r="AB1191" s="778"/>
      <c r="AC1191" s="778"/>
      <c r="AD1191" s="778"/>
      <c r="AE1191" s="778"/>
      <c r="AF1191" s="778"/>
      <c r="AG1191" s="778"/>
      <c r="AH1191" s="778"/>
      <c r="AI1191" s="778"/>
      <c r="AJ1191" s="778"/>
      <c r="AK1191" s="778"/>
      <c r="AL1191" s="778"/>
      <c r="AM1191" s="778"/>
      <c r="AN1191" s="778"/>
      <c r="AO1191" s="779"/>
      <c r="AP1191" s="779"/>
      <c r="AQ1191" s="780"/>
      <c r="AR1191" s="780"/>
      <c r="AS1191" s="780"/>
      <c r="AT1191" s="780"/>
      <c r="AU1191" s="780"/>
      <c r="AV1191" s="780"/>
      <c r="AW1191" s="780"/>
      <c r="AX1191" s="780"/>
      <c r="AY1191" s="780"/>
      <c r="AZ1191" s="780"/>
      <c r="BA1191" s="780"/>
      <c r="BB1191" s="780"/>
      <c r="BC1191" s="780"/>
      <c r="BD1191" s="780"/>
      <c r="BE1191" s="780"/>
    </row>
    <row r="1192" s="355" customFormat="true" ht="14.15" hidden="true" customHeight="true" outlineLevel="1" collapsed="false">
      <c r="A1192" s="342"/>
      <c r="B1192" s="429"/>
      <c r="C1192" s="668"/>
      <c r="D1192" s="342"/>
      <c r="G1192" s="850"/>
      <c r="H1192" s="342"/>
      <c r="I1192" s="469"/>
      <c r="J1192" s="469"/>
      <c r="K1192" s="469"/>
      <c r="L1192" s="469"/>
      <c r="M1192" s="469"/>
      <c r="N1192" s="469"/>
      <c r="O1192" s="469"/>
      <c r="P1192" s="469"/>
      <c r="Q1192" s="342"/>
      <c r="R1192" s="342"/>
      <c r="S1192" s="342"/>
      <c r="T1192" s="342"/>
      <c r="U1192" s="342"/>
      <c r="V1192" s="342"/>
      <c r="W1192" s="342"/>
      <c r="X1192" s="342"/>
      <c r="Y1192" s="342"/>
      <c r="Z1192" s="342"/>
      <c r="AA1192" s="342"/>
      <c r="AB1192" s="342"/>
      <c r="AC1192" s="342"/>
      <c r="AD1192" s="342"/>
      <c r="AE1192" s="342"/>
      <c r="AF1192" s="342"/>
      <c r="AG1192" s="342"/>
      <c r="AH1192" s="342"/>
      <c r="AI1192" s="342"/>
      <c r="AJ1192" s="342"/>
      <c r="AK1192" s="342"/>
      <c r="AL1192" s="342"/>
      <c r="AM1192" s="342"/>
      <c r="AN1192" s="342"/>
      <c r="AO1192" s="662"/>
      <c r="AP1192" s="662"/>
      <c r="AQ1192" s="772"/>
      <c r="AR1192" s="772"/>
      <c r="AS1192" s="772"/>
      <c r="AT1192" s="772"/>
      <c r="AU1192" s="772"/>
      <c r="AV1192" s="772"/>
      <c r="AW1192" s="772"/>
      <c r="AX1192" s="772"/>
      <c r="AY1192" s="772"/>
      <c r="AZ1192" s="772"/>
      <c r="BA1192" s="772"/>
      <c r="BB1192" s="772"/>
      <c r="BC1192" s="772"/>
      <c r="BD1192" s="772"/>
      <c r="BE1192" s="772"/>
      <c r="BF1192" s="360"/>
    </row>
    <row r="1193" customFormat="false" ht="14.15" hidden="true" customHeight="true" outlineLevel="1" collapsed="false">
      <c r="A1193" s="622" t="s">
        <v>2456</v>
      </c>
      <c r="B1193" s="364" t="s">
        <v>133</v>
      </c>
      <c r="C1193" s="631" t="s">
        <v>1821</v>
      </c>
      <c r="D1193" s="342"/>
      <c r="G1193" s="850"/>
      <c r="H1193" s="342"/>
      <c r="I1193" s="446"/>
      <c r="J1193" s="446"/>
      <c r="K1193" s="446"/>
      <c r="L1193" s="446"/>
      <c r="M1193" s="446"/>
      <c r="N1193" s="446"/>
      <c r="O1193" s="342"/>
      <c r="P1193" s="778"/>
      <c r="Q1193" s="778"/>
      <c r="R1193" s="778"/>
      <c r="S1193" s="778"/>
      <c r="T1193" s="778"/>
      <c r="U1193" s="778"/>
      <c r="V1193" s="778"/>
      <c r="W1193" s="778"/>
      <c r="X1193" s="778"/>
      <c r="Y1193" s="778"/>
      <c r="Z1193" s="778"/>
      <c r="AA1193" s="778"/>
      <c r="AB1193" s="778"/>
      <c r="AC1193" s="778"/>
      <c r="AD1193" s="778"/>
      <c r="AE1193" s="778"/>
      <c r="AF1193" s="778"/>
      <c r="AG1193" s="778"/>
      <c r="AH1193" s="778"/>
      <c r="AI1193" s="778"/>
      <c r="AJ1193" s="778"/>
      <c r="AK1193" s="778"/>
      <c r="AL1193" s="778"/>
      <c r="AM1193" s="778"/>
      <c r="AN1193" s="778"/>
      <c r="AO1193" s="779"/>
      <c r="AP1193" s="779"/>
      <c r="AQ1193" s="780"/>
      <c r="AR1193" s="780"/>
      <c r="AS1193" s="780"/>
      <c r="AT1193" s="780"/>
      <c r="AU1193" s="780"/>
      <c r="AV1193" s="780"/>
      <c r="AW1193" s="780"/>
      <c r="AX1193" s="780"/>
      <c r="AY1193" s="780"/>
      <c r="AZ1193" s="780"/>
      <c r="BA1193" s="780"/>
      <c r="BB1193" s="780"/>
      <c r="BC1193" s="780"/>
      <c r="BD1193" s="780"/>
      <c r="BE1193" s="780"/>
    </row>
    <row r="1194" s="355" customFormat="true" ht="14.15" hidden="true" customHeight="true" outlineLevel="1" collapsed="false">
      <c r="A1194" s="342" t="s">
        <v>2457</v>
      </c>
      <c r="B1194" s="429"/>
      <c r="C1194" s="769"/>
      <c r="D1194" s="342"/>
      <c r="G1194" s="850"/>
      <c r="H1194" s="342"/>
      <c r="I1194" s="446"/>
      <c r="J1194" s="446"/>
      <c r="K1194" s="446"/>
      <c r="L1194" s="446"/>
      <c r="M1194" s="446"/>
      <c r="N1194" s="446"/>
      <c r="O1194" s="342"/>
      <c r="P1194" s="342"/>
      <c r="Q1194" s="342"/>
      <c r="R1194" s="342"/>
      <c r="S1194" s="342"/>
      <c r="T1194" s="342"/>
      <c r="U1194" s="342"/>
      <c r="V1194" s="342"/>
      <c r="W1194" s="342"/>
      <c r="X1194" s="342"/>
      <c r="Y1194" s="342"/>
      <c r="Z1194" s="342"/>
      <c r="AA1194" s="342"/>
      <c r="AB1194" s="342"/>
      <c r="AC1194" s="342"/>
      <c r="AD1194" s="342"/>
      <c r="AE1194" s="342"/>
      <c r="AF1194" s="342"/>
      <c r="AG1194" s="342"/>
      <c r="AH1194" s="342"/>
      <c r="AI1194" s="342"/>
      <c r="AJ1194" s="342"/>
      <c r="AK1194" s="342"/>
      <c r="AL1194" s="342"/>
      <c r="AM1194" s="342"/>
      <c r="AN1194" s="342"/>
      <c r="AO1194" s="662"/>
      <c r="AP1194" s="662"/>
      <c r="AQ1194" s="772"/>
      <c r="AR1194" s="772"/>
      <c r="AS1194" s="772"/>
      <c r="AT1194" s="772"/>
      <c r="AU1194" s="772"/>
      <c r="AV1194" s="772"/>
      <c r="AW1194" s="772"/>
      <c r="AX1194" s="772"/>
      <c r="AY1194" s="772"/>
      <c r="AZ1194" s="772"/>
      <c r="BA1194" s="772"/>
      <c r="BB1194" s="772"/>
      <c r="BC1194" s="772"/>
      <c r="BD1194" s="772"/>
      <c r="BE1194" s="772"/>
      <c r="BF1194" s="360"/>
    </row>
    <row r="1195" customFormat="false" ht="14.15" hidden="true" customHeight="true" outlineLevel="1" collapsed="false">
      <c r="A1195" s="615" t="s">
        <v>1261</v>
      </c>
      <c r="B1195" s="429"/>
      <c r="C1195" s="769"/>
      <c r="D1195" s="342"/>
      <c r="G1195" s="850"/>
      <c r="H1195" s="342"/>
      <c r="I1195" s="446"/>
      <c r="J1195" s="446"/>
      <c r="K1195" s="446"/>
      <c r="L1195" s="446"/>
      <c r="M1195" s="446"/>
      <c r="N1195" s="446"/>
      <c r="O1195" s="342"/>
      <c r="P1195" s="778"/>
      <c r="Q1195" s="778"/>
      <c r="R1195" s="778"/>
      <c r="S1195" s="778"/>
      <c r="T1195" s="778"/>
      <c r="U1195" s="778"/>
      <c r="V1195" s="778"/>
      <c r="W1195" s="778"/>
      <c r="X1195" s="778"/>
      <c r="Y1195" s="778"/>
      <c r="Z1195" s="778"/>
      <c r="AA1195" s="778"/>
      <c r="AB1195" s="778"/>
      <c r="AC1195" s="778"/>
      <c r="AD1195" s="778"/>
      <c r="AE1195" s="778"/>
      <c r="AF1195" s="778"/>
      <c r="AG1195" s="778"/>
      <c r="AH1195" s="778"/>
      <c r="AI1195" s="778"/>
      <c r="AJ1195" s="778"/>
      <c r="AK1195" s="778"/>
      <c r="AL1195" s="778"/>
      <c r="AM1195" s="778"/>
      <c r="AN1195" s="778"/>
      <c r="AO1195" s="779"/>
      <c r="AP1195" s="779"/>
      <c r="AQ1195" s="780"/>
      <c r="AR1195" s="780"/>
      <c r="AS1195" s="780"/>
      <c r="AT1195" s="780"/>
      <c r="AU1195" s="780"/>
      <c r="AV1195" s="780"/>
      <c r="AW1195" s="780"/>
      <c r="AX1195" s="780"/>
      <c r="AY1195" s="780"/>
      <c r="AZ1195" s="780"/>
      <c r="BA1195" s="780"/>
      <c r="BB1195" s="780"/>
      <c r="BC1195" s="780"/>
      <c r="BD1195" s="780"/>
      <c r="BE1195" s="780"/>
    </row>
    <row r="1196" s="355" customFormat="true" ht="14.15" hidden="true" customHeight="true" outlineLevel="1" collapsed="false">
      <c r="A1196" s="342" t="s">
        <v>2458</v>
      </c>
      <c r="B1196" s="429"/>
      <c r="C1196" s="769"/>
      <c r="D1196" s="342"/>
      <c r="G1196" s="850"/>
      <c r="H1196" s="342"/>
      <c r="I1196" s="446"/>
      <c r="J1196" s="446"/>
      <c r="K1196" s="446"/>
      <c r="L1196" s="446"/>
      <c r="M1196" s="446"/>
      <c r="N1196" s="446"/>
      <c r="O1196" s="342"/>
      <c r="P1196" s="342"/>
      <c r="Q1196" s="342"/>
      <c r="R1196" s="342"/>
      <c r="S1196" s="342"/>
      <c r="T1196" s="342"/>
      <c r="U1196" s="342"/>
      <c r="V1196" s="342"/>
      <c r="W1196" s="342"/>
      <c r="X1196" s="342"/>
      <c r="Y1196" s="342"/>
      <c r="Z1196" s="342"/>
      <c r="AA1196" s="342"/>
      <c r="AB1196" s="342"/>
      <c r="AC1196" s="342"/>
      <c r="AD1196" s="342"/>
      <c r="AE1196" s="342"/>
      <c r="AF1196" s="342"/>
      <c r="AG1196" s="342"/>
      <c r="AH1196" s="342"/>
      <c r="AI1196" s="342"/>
      <c r="AJ1196" s="342"/>
      <c r="AK1196" s="342"/>
      <c r="AL1196" s="342"/>
      <c r="AM1196" s="342"/>
      <c r="AN1196" s="342"/>
      <c r="AO1196" s="662"/>
      <c r="AP1196" s="662"/>
      <c r="AQ1196" s="772"/>
      <c r="AR1196" s="772"/>
      <c r="AS1196" s="772"/>
      <c r="AT1196" s="772"/>
      <c r="AU1196" s="772"/>
      <c r="AV1196" s="772"/>
      <c r="AW1196" s="772"/>
      <c r="AX1196" s="772"/>
      <c r="AY1196" s="772"/>
      <c r="AZ1196" s="772"/>
      <c r="BA1196" s="772"/>
      <c r="BB1196" s="772"/>
      <c r="BC1196" s="772"/>
      <c r="BD1196" s="772"/>
      <c r="BE1196" s="772"/>
      <c r="BF1196" s="360"/>
    </row>
    <row r="1197" customFormat="false" ht="14.15" hidden="true" customHeight="true" outlineLevel="1" collapsed="false">
      <c r="A1197" s="525" t="s">
        <v>493</v>
      </c>
      <c r="B1197" s="429"/>
      <c r="C1197" s="769"/>
      <c r="D1197" s="342"/>
      <c r="G1197" s="850"/>
      <c r="H1197" s="342"/>
      <c r="I1197" s="446"/>
      <c r="J1197" s="446"/>
      <c r="K1197" s="446"/>
      <c r="L1197" s="446"/>
      <c r="M1197" s="446"/>
      <c r="N1197" s="446"/>
      <c r="O1197" s="342"/>
      <c r="P1197" s="778"/>
      <c r="Q1197" s="778"/>
      <c r="R1197" s="778"/>
      <c r="S1197" s="778"/>
      <c r="T1197" s="778"/>
      <c r="U1197" s="778"/>
      <c r="V1197" s="778"/>
      <c r="W1197" s="778"/>
      <c r="X1197" s="778"/>
      <c r="Y1197" s="778"/>
      <c r="Z1197" s="778"/>
      <c r="AA1197" s="778"/>
      <c r="AB1197" s="778"/>
      <c r="AC1197" s="778"/>
      <c r="AD1197" s="778"/>
      <c r="AE1197" s="778"/>
      <c r="AF1197" s="778"/>
      <c r="AG1197" s="778"/>
      <c r="AH1197" s="778"/>
      <c r="AI1197" s="778"/>
      <c r="AJ1197" s="778"/>
      <c r="AK1197" s="778"/>
      <c r="AL1197" s="778"/>
      <c r="AM1197" s="778"/>
      <c r="AN1197" s="778"/>
      <c r="AO1197" s="779"/>
      <c r="AP1197" s="779"/>
      <c r="AQ1197" s="780"/>
      <c r="AR1197" s="780"/>
      <c r="AS1197" s="780"/>
      <c r="AT1197" s="780"/>
      <c r="AU1197" s="780"/>
      <c r="AV1197" s="780"/>
      <c r="AW1197" s="780"/>
      <c r="AX1197" s="780"/>
      <c r="AY1197" s="780"/>
      <c r="AZ1197" s="780"/>
      <c r="BA1197" s="780"/>
      <c r="BB1197" s="780"/>
      <c r="BC1197" s="780"/>
      <c r="BD1197" s="780"/>
      <c r="BE1197" s="780"/>
    </row>
    <row r="1198" customFormat="false" ht="14.15" hidden="true" customHeight="true" outlineLevel="1" collapsed="false">
      <c r="A1198" s="421" t="s">
        <v>2447</v>
      </c>
      <c r="B1198" s="429"/>
      <c r="C1198" s="668"/>
      <c r="D1198" s="342"/>
      <c r="G1198" s="850"/>
      <c r="H1198" s="342"/>
      <c r="I1198" s="446"/>
      <c r="J1198" s="446"/>
      <c r="K1198" s="446"/>
      <c r="L1198" s="446"/>
      <c r="M1198" s="446"/>
      <c r="N1198" s="446"/>
      <c r="O1198" s="342"/>
      <c r="P1198" s="778"/>
      <c r="Q1198" s="778"/>
      <c r="R1198" s="778"/>
      <c r="S1198" s="778"/>
      <c r="T1198" s="778"/>
      <c r="U1198" s="778"/>
      <c r="V1198" s="778"/>
      <c r="W1198" s="778"/>
      <c r="X1198" s="778"/>
      <c r="Y1198" s="778"/>
      <c r="Z1198" s="778"/>
      <c r="AA1198" s="778"/>
      <c r="AB1198" s="778"/>
      <c r="AC1198" s="778"/>
      <c r="AD1198" s="778"/>
      <c r="AE1198" s="778"/>
      <c r="AF1198" s="778"/>
      <c r="AG1198" s="778"/>
      <c r="AH1198" s="778"/>
      <c r="AI1198" s="778"/>
      <c r="AJ1198" s="778"/>
      <c r="AK1198" s="778"/>
      <c r="AL1198" s="778"/>
      <c r="AM1198" s="778"/>
      <c r="AN1198" s="778"/>
      <c r="AO1198" s="779"/>
      <c r="AP1198" s="779"/>
      <c r="AQ1198" s="780"/>
      <c r="AR1198" s="780"/>
      <c r="AS1198" s="780"/>
      <c r="AT1198" s="780"/>
      <c r="AU1198" s="780"/>
      <c r="AV1198" s="780"/>
      <c r="AW1198" s="780"/>
      <c r="AX1198" s="780"/>
      <c r="AY1198" s="780"/>
      <c r="AZ1198" s="780"/>
      <c r="BA1198" s="780"/>
      <c r="BB1198" s="780"/>
      <c r="BC1198" s="780"/>
      <c r="BD1198" s="780"/>
      <c r="BE1198" s="780"/>
    </row>
    <row r="1199" customFormat="false" ht="14.15" hidden="true" customHeight="true" outlineLevel="1" collapsed="false">
      <c r="A1199" s="613" t="s">
        <v>1345</v>
      </c>
      <c r="B1199" s="429"/>
      <c r="C1199" s="668"/>
      <c r="D1199" s="342"/>
      <c r="G1199" s="850"/>
      <c r="H1199" s="342"/>
      <c r="I1199" s="446"/>
      <c r="J1199" s="446"/>
      <c r="K1199" s="446"/>
      <c r="L1199" s="446"/>
      <c r="M1199" s="446"/>
      <c r="N1199" s="446"/>
      <c r="O1199" s="342"/>
      <c r="P1199" s="778"/>
      <c r="Q1199" s="778"/>
      <c r="R1199" s="778"/>
      <c r="S1199" s="778"/>
      <c r="T1199" s="778"/>
      <c r="U1199" s="778"/>
      <c r="V1199" s="778"/>
      <c r="W1199" s="778"/>
      <c r="X1199" s="778"/>
      <c r="Y1199" s="778"/>
      <c r="Z1199" s="778"/>
      <c r="AA1199" s="778"/>
      <c r="AB1199" s="778"/>
      <c r="AC1199" s="778"/>
      <c r="AD1199" s="778"/>
      <c r="AE1199" s="778"/>
      <c r="AF1199" s="778"/>
      <c r="AG1199" s="778"/>
      <c r="AH1199" s="778"/>
      <c r="AI1199" s="778"/>
      <c r="AJ1199" s="778"/>
      <c r="AK1199" s="778"/>
      <c r="AL1199" s="778"/>
      <c r="AM1199" s="778"/>
      <c r="AN1199" s="778"/>
      <c r="AO1199" s="779"/>
      <c r="AP1199" s="779"/>
      <c r="AQ1199" s="780"/>
      <c r="AR1199" s="780"/>
      <c r="AS1199" s="780"/>
      <c r="AT1199" s="780"/>
      <c r="AU1199" s="780"/>
      <c r="AV1199" s="780"/>
      <c r="AW1199" s="780"/>
      <c r="AX1199" s="780"/>
      <c r="AY1199" s="780"/>
      <c r="AZ1199" s="780"/>
      <c r="BA1199" s="780"/>
      <c r="BB1199" s="780"/>
      <c r="BC1199" s="780"/>
      <c r="BD1199" s="780"/>
      <c r="BE1199" s="780"/>
    </row>
    <row r="1200" customFormat="false" ht="14.15" hidden="true" customHeight="true" outlineLevel="1" collapsed="false">
      <c r="A1200" s="342" t="s">
        <v>2450</v>
      </c>
      <c r="B1200" s="429"/>
      <c r="C1200" s="668"/>
      <c r="D1200" s="342"/>
      <c r="G1200" s="850"/>
      <c r="H1200" s="342"/>
      <c r="I1200" s="446"/>
      <c r="J1200" s="446"/>
      <c r="K1200" s="446"/>
      <c r="L1200" s="446"/>
      <c r="M1200" s="446"/>
      <c r="N1200" s="446"/>
      <c r="O1200" s="342"/>
      <c r="P1200" s="778"/>
      <c r="Q1200" s="778"/>
      <c r="R1200" s="778"/>
      <c r="S1200" s="778"/>
      <c r="T1200" s="778"/>
      <c r="U1200" s="778"/>
      <c r="V1200" s="778"/>
      <c r="W1200" s="778"/>
      <c r="X1200" s="778"/>
      <c r="Y1200" s="778"/>
      <c r="Z1200" s="778"/>
      <c r="AA1200" s="778"/>
      <c r="AB1200" s="778"/>
      <c r="AC1200" s="778"/>
      <c r="AD1200" s="778"/>
      <c r="AE1200" s="778"/>
      <c r="AF1200" s="778"/>
      <c r="AG1200" s="778"/>
      <c r="AH1200" s="778"/>
      <c r="AI1200" s="778"/>
      <c r="AJ1200" s="778"/>
      <c r="AK1200" s="778"/>
      <c r="AL1200" s="778"/>
      <c r="AM1200" s="778"/>
      <c r="AN1200" s="778"/>
      <c r="AO1200" s="779"/>
      <c r="AP1200" s="779"/>
      <c r="AQ1200" s="780"/>
      <c r="AR1200" s="780"/>
      <c r="AS1200" s="780"/>
      <c r="AT1200" s="780"/>
      <c r="AU1200" s="780"/>
      <c r="AV1200" s="780"/>
      <c r="AW1200" s="780"/>
      <c r="AX1200" s="780"/>
      <c r="AY1200" s="780"/>
      <c r="AZ1200" s="780"/>
      <c r="BA1200" s="780"/>
      <c r="BB1200" s="780"/>
      <c r="BC1200" s="780"/>
      <c r="BD1200" s="780"/>
      <c r="BE1200" s="780"/>
    </row>
    <row r="1201" customFormat="false" ht="14.15" hidden="true" customHeight="true" outlineLevel="1" collapsed="false">
      <c r="A1201" s="525" t="s">
        <v>1355</v>
      </c>
      <c r="B1201" s="429"/>
      <c r="C1201" s="668"/>
      <c r="D1201" s="342"/>
      <c r="G1201" s="850"/>
      <c r="H1201" s="342"/>
      <c r="I1201" s="446"/>
      <c r="J1201" s="446"/>
      <c r="K1201" s="446"/>
      <c r="L1201" s="446"/>
      <c r="M1201" s="446"/>
      <c r="N1201" s="446"/>
      <c r="O1201" s="342"/>
      <c r="P1201" s="778"/>
      <c r="Q1201" s="778"/>
      <c r="R1201" s="778"/>
      <c r="S1201" s="778"/>
      <c r="T1201" s="778"/>
      <c r="U1201" s="778"/>
      <c r="V1201" s="778"/>
      <c r="W1201" s="778"/>
      <c r="X1201" s="778"/>
      <c r="Y1201" s="778"/>
      <c r="Z1201" s="778"/>
      <c r="AA1201" s="778"/>
      <c r="AB1201" s="778"/>
      <c r="AC1201" s="778"/>
      <c r="AD1201" s="778"/>
      <c r="AE1201" s="778"/>
      <c r="AF1201" s="778"/>
      <c r="AG1201" s="778"/>
      <c r="AH1201" s="778"/>
      <c r="AI1201" s="778"/>
      <c r="AJ1201" s="778"/>
      <c r="AK1201" s="778"/>
      <c r="AL1201" s="778"/>
      <c r="AM1201" s="778"/>
      <c r="AN1201" s="778"/>
      <c r="AO1201" s="779"/>
      <c r="AP1201" s="779"/>
      <c r="AQ1201" s="780"/>
      <c r="AR1201" s="780"/>
      <c r="AS1201" s="780"/>
      <c r="AT1201" s="780"/>
      <c r="AU1201" s="780"/>
      <c r="AV1201" s="780"/>
      <c r="AW1201" s="780"/>
      <c r="AX1201" s="780"/>
      <c r="AY1201" s="780"/>
      <c r="AZ1201" s="780"/>
      <c r="BA1201" s="780"/>
      <c r="BB1201" s="780"/>
      <c r="BC1201" s="780"/>
      <c r="BD1201" s="780"/>
      <c r="BE1201" s="780"/>
    </row>
    <row r="1202" customFormat="false" ht="14.15" hidden="true" customHeight="true" outlineLevel="1" collapsed="false">
      <c r="A1202" s="368" t="s">
        <v>2459</v>
      </c>
      <c r="B1202" s="364" t="s">
        <v>156</v>
      </c>
      <c r="C1202" s="32" t="n">
        <v>0.4</v>
      </c>
      <c r="D1202" s="342"/>
      <c r="G1202" s="850"/>
      <c r="H1202" s="342"/>
      <c r="I1202" s="446"/>
      <c r="J1202" s="446"/>
      <c r="K1202" s="446"/>
      <c r="L1202" s="446"/>
      <c r="M1202" s="446"/>
      <c r="N1202" s="446"/>
      <c r="O1202" s="342"/>
      <c r="P1202" s="778"/>
      <c r="Q1202" s="778"/>
      <c r="R1202" s="778"/>
      <c r="S1202" s="778"/>
      <c r="T1202" s="778"/>
      <c r="U1202" s="778"/>
      <c r="V1202" s="778"/>
      <c r="W1202" s="778"/>
      <c r="X1202" s="778"/>
      <c r="Y1202" s="778"/>
      <c r="Z1202" s="778"/>
      <c r="AA1202" s="778"/>
      <c r="AB1202" s="778"/>
      <c r="AC1202" s="778"/>
      <c r="AD1202" s="778"/>
      <c r="AE1202" s="778"/>
      <c r="AF1202" s="778"/>
      <c r="AG1202" s="778"/>
      <c r="AH1202" s="778"/>
      <c r="AI1202" s="778"/>
      <c r="AJ1202" s="778"/>
      <c r="AK1202" s="778"/>
      <c r="AL1202" s="778"/>
      <c r="AM1202" s="778"/>
      <c r="AN1202" s="778"/>
      <c r="AO1202" s="779"/>
      <c r="AP1202" s="779"/>
      <c r="AQ1202" s="780"/>
      <c r="AR1202" s="780"/>
      <c r="AS1202" s="780"/>
      <c r="AT1202" s="780"/>
      <c r="AU1202" s="780"/>
      <c r="AV1202" s="780"/>
      <c r="AW1202" s="780"/>
      <c r="AX1202" s="780"/>
      <c r="AY1202" s="780"/>
      <c r="AZ1202" s="780"/>
      <c r="BA1202" s="780"/>
      <c r="BB1202" s="780"/>
      <c r="BC1202" s="780"/>
      <c r="BD1202" s="780"/>
      <c r="BE1202" s="780"/>
    </row>
    <row r="1203" customFormat="false" ht="14.15" hidden="true" customHeight="true" outlineLevel="1" collapsed="false">
      <c r="A1203" s="368" t="s">
        <v>1260</v>
      </c>
      <c r="B1203" s="364" t="s">
        <v>156</v>
      </c>
      <c r="C1203" s="631" t="s">
        <v>1821</v>
      </c>
      <c r="D1203" s="342"/>
      <c r="G1203" s="850"/>
      <c r="H1203" s="342"/>
      <c r="I1203" s="446"/>
      <c r="J1203" s="446"/>
      <c r="K1203" s="446"/>
      <c r="L1203" s="446"/>
      <c r="M1203" s="446"/>
      <c r="N1203" s="446"/>
      <c r="O1203" s="342"/>
      <c r="P1203" s="778"/>
      <c r="Q1203" s="778"/>
      <c r="R1203" s="778"/>
      <c r="S1203" s="778"/>
      <c r="T1203" s="778"/>
      <c r="U1203" s="778"/>
      <c r="V1203" s="778"/>
      <c r="W1203" s="778"/>
      <c r="X1203" s="778"/>
      <c r="Y1203" s="778"/>
      <c r="Z1203" s="778"/>
      <c r="AA1203" s="778"/>
      <c r="AB1203" s="778"/>
      <c r="AC1203" s="778"/>
      <c r="AD1203" s="778"/>
      <c r="AE1203" s="778"/>
      <c r="AF1203" s="778"/>
      <c r="AG1203" s="778"/>
      <c r="AH1203" s="778"/>
      <c r="AI1203" s="778"/>
      <c r="AJ1203" s="778"/>
      <c r="AK1203" s="778"/>
      <c r="AL1203" s="778"/>
      <c r="AM1203" s="778"/>
      <c r="AN1203" s="778"/>
      <c r="AO1203" s="779"/>
      <c r="AP1203" s="779"/>
      <c r="AQ1203" s="780"/>
      <c r="AR1203" s="780"/>
      <c r="AS1203" s="780"/>
      <c r="AT1203" s="780"/>
      <c r="AU1203" s="780"/>
      <c r="AV1203" s="780"/>
      <c r="AW1203" s="780"/>
      <c r="AX1203" s="780"/>
      <c r="AY1203" s="780"/>
      <c r="AZ1203" s="780"/>
      <c r="BA1203" s="780"/>
      <c r="BB1203" s="780"/>
      <c r="BC1203" s="780"/>
      <c r="BD1203" s="780"/>
      <c r="BE1203" s="780"/>
    </row>
    <row r="1204" customFormat="false" ht="14.15" hidden="true" customHeight="true" outlineLevel="1" collapsed="false">
      <c r="B1204" s="363"/>
      <c r="C1204" s="360"/>
      <c r="D1204" s="342"/>
      <c r="G1204" s="850"/>
      <c r="H1204" s="342"/>
      <c r="I1204" s="469"/>
      <c r="J1204" s="469"/>
      <c r="K1204" s="469"/>
      <c r="L1204" s="469"/>
      <c r="M1204" s="469"/>
      <c r="N1204" s="469"/>
      <c r="O1204" s="469"/>
      <c r="P1204" s="469"/>
      <c r="Q1204" s="778"/>
      <c r="R1204" s="778"/>
      <c r="S1204" s="778"/>
      <c r="T1204" s="778"/>
      <c r="U1204" s="778"/>
      <c r="V1204" s="778"/>
      <c r="W1204" s="778"/>
      <c r="X1204" s="778"/>
      <c r="Y1204" s="778"/>
      <c r="Z1204" s="778"/>
      <c r="AA1204" s="778"/>
      <c r="AB1204" s="778"/>
      <c r="AC1204" s="778"/>
      <c r="AD1204" s="778"/>
      <c r="AE1204" s="778"/>
      <c r="AF1204" s="778"/>
      <c r="AG1204" s="778"/>
      <c r="AH1204" s="778"/>
      <c r="AI1204" s="778"/>
      <c r="AJ1204" s="778"/>
      <c r="AK1204" s="778"/>
      <c r="AL1204" s="778"/>
      <c r="AM1204" s="778"/>
      <c r="AN1204" s="778"/>
      <c r="AO1204" s="779"/>
      <c r="AP1204" s="779"/>
      <c r="AQ1204" s="780"/>
      <c r="AR1204" s="780"/>
      <c r="AS1204" s="780"/>
      <c r="AT1204" s="780"/>
      <c r="AU1204" s="780"/>
      <c r="AV1204" s="780"/>
      <c r="AW1204" s="780"/>
      <c r="AX1204" s="780"/>
      <c r="AY1204" s="780"/>
      <c r="AZ1204" s="780"/>
      <c r="BA1204" s="780"/>
      <c r="BB1204" s="780"/>
      <c r="BC1204" s="780"/>
      <c r="BD1204" s="780"/>
      <c r="BE1204" s="780"/>
    </row>
    <row r="1205" customFormat="false" ht="14.15" hidden="true" customHeight="true" outlineLevel="1" collapsed="false">
      <c r="A1205" s="622" t="s">
        <v>2460</v>
      </c>
      <c r="B1205" s="364" t="s">
        <v>133</v>
      </c>
      <c r="C1205" s="631" t="s">
        <v>1821</v>
      </c>
      <c r="D1205" s="342"/>
      <c r="G1205" s="850"/>
      <c r="H1205" s="342"/>
      <c r="I1205" s="469"/>
      <c r="J1205" s="446"/>
      <c r="K1205" s="446"/>
      <c r="L1205" s="446"/>
      <c r="M1205" s="446"/>
      <c r="N1205" s="446"/>
      <c r="O1205" s="342"/>
      <c r="P1205" s="778"/>
      <c r="Q1205" s="778"/>
      <c r="R1205" s="778"/>
      <c r="S1205" s="778"/>
      <c r="T1205" s="778"/>
      <c r="U1205" s="778"/>
      <c r="V1205" s="778"/>
      <c r="W1205" s="778"/>
      <c r="X1205" s="778"/>
      <c r="Y1205" s="778"/>
      <c r="Z1205" s="778"/>
      <c r="AA1205" s="778"/>
      <c r="AB1205" s="778"/>
      <c r="AC1205" s="778"/>
      <c r="AD1205" s="778"/>
      <c r="AE1205" s="778"/>
      <c r="AF1205" s="778"/>
      <c r="AG1205" s="778"/>
      <c r="AH1205" s="778"/>
      <c r="AI1205" s="778"/>
      <c r="AJ1205" s="778"/>
      <c r="AK1205" s="778"/>
      <c r="AL1205" s="778"/>
      <c r="AM1205" s="778"/>
      <c r="AN1205" s="778"/>
      <c r="AO1205" s="779"/>
      <c r="AP1205" s="779"/>
      <c r="AQ1205" s="780"/>
      <c r="AR1205" s="780"/>
      <c r="AS1205" s="780"/>
      <c r="AT1205" s="780"/>
      <c r="AU1205" s="780"/>
      <c r="AV1205" s="780"/>
      <c r="AW1205" s="780"/>
      <c r="AX1205" s="780"/>
      <c r="AY1205" s="780"/>
      <c r="AZ1205" s="780"/>
      <c r="BA1205" s="780"/>
      <c r="BB1205" s="780"/>
      <c r="BC1205" s="780"/>
      <c r="BD1205" s="780"/>
      <c r="BE1205" s="780"/>
    </row>
    <row r="1206" s="355" customFormat="true" ht="14.15" hidden="true" customHeight="true" outlineLevel="1" collapsed="false">
      <c r="A1206" s="342" t="s">
        <v>2461</v>
      </c>
      <c r="B1206" s="429"/>
      <c r="C1206" s="668"/>
      <c r="D1206" s="342"/>
      <c r="G1206" s="850"/>
      <c r="H1206" s="342"/>
      <c r="I1206" s="469"/>
      <c r="J1206" s="446"/>
      <c r="K1206" s="446"/>
      <c r="L1206" s="446"/>
      <c r="M1206" s="446"/>
      <c r="N1206" s="446"/>
      <c r="O1206" s="342"/>
      <c r="P1206" s="342"/>
      <c r="Q1206" s="342"/>
      <c r="R1206" s="342"/>
      <c r="S1206" s="342"/>
      <c r="T1206" s="342"/>
      <c r="U1206" s="342"/>
      <c r="V1206" s="342"/>
      <c r="W1206" s="342"/>
      <c r="X1206" s="342"/>
      <c r="Y1206" s="342"/>
      <c r="Z1206" s="342"/>
      <c r="AA1206" s="342"/>
      <c r="AB1206" s="342"/>
      <c r="AC1206" s="342"/>
      <c r="AD1206" s="342"/>
      <c r="AE1206" s="342"/>
      <c r="AF1206" s="342"/>
      <c r="AG1206" s="342"/>
      <c r="AH1206" s="342"/>
      <c r="AI1206" s="342"/>
      <c r="AJ1206" s="342"/>
      <c r="AK1206" s="342"/>
      <c r="AL1206" s="342"/>
      <c r="AM1206" s="342"/>
      <c r="AN1206" s="342"/>
      <c r="AO1206" s="662"/>
      <c r="AP1206" s="662"/>
      <c r="AQ1206" s="772"/>
      <c r="AR1206" s="772"/>
      <c r="AS1206" s="772"/>
      <c r="AT1206" s="772"/>
      <c r="AU1206" s="772"/>
      <c r="AV1206" s="772"/>
      <c r="AW1206" s="772"/>
      <c r="AX1206" s="772"/>
      <c r="AY1206" s="772"/>
      <c r="AZ1206" s="772"/>
      <c r="BA1206" s="772"/>
      <c r="BB1206" s="772"/>
      <c r="BC1206" s="772"/>
      <c r="BD1206" s="772"/>
      <c r="BE1206" s="772"/>
      <c r="BF1206" s="360"/>
    </row>
    <row r="1207" customFormat="false" ht="14.15" hidden="true" customHeight="true" outlineLevel="1" collapsed="false">
      <c r="A1207" s="615" t="s">
        <v>2462</v>
      </c>
      <c r="B1207" s="429"/>
      <c r="C1207" s="769"/>
      <c r="D1207" s="342"/>
      <c r="G1207" s="850"/>
      <c r="H1207" s="342"/>
      <c r="I1207" s="469"/>
      <c r="J1207" s="446"/>
      <c r="K1207" s="446"/>
      <c r="L1207" s="446"/>
      <c r="M1207" s="446"/>
      <c r="N1207" s="446"/>
      <c r="O1207" s="342"/>
      <c r="P1207" s="778"/>
      <c r="Q1207" s="778"/>
      <c r="R1207" s="778"/>
      <c r="S1207" s="778"/>
      <c r="T1207" s="778"/>
      <c r="U1207" s="778"/>
      <c r="V1207" s="778"/>
      <c r="W1207" s="778"/>
      <c r="X1207" s="778"/>
      <c r="Y1207" s="778"/>
      <c r="Z1207" s="778"/>
      <c r="AA1207" s="778"/>
      <c r="AB1207" s="778"/>
      <c r="AC1207" s="778"/>
      <c r="AD1207" s="778"/>
      <c r="AE1207" s="778"/>
      <c r="AF1207" s="778"/>
      <c r="AG1207" s="778"/>
      <c r="AH1207" s="778"/>
      <c r="AI1207" s="778"/>
      <c r="AJ1207" s="778"/>
      <c r="AK1207" s="778"/>
      <c r="AL1207" s="778"/>
      <c r="AM1207" s="778"/>
      <c r="AN1207" s="778"/>
      <c r="AO1207" s="779"/>
      <c r="AP1207" s="779"/>
      <c r="AQ1207" s="780"/>
      <c r="AR1207" s="780"/>
      <c r="AS1207" s="780"/>
      <c r="AT1207" s="780"/>
      <c r="AU1207" s="780"/>
      <c r="AV1207" s="780"/>
      <c r="AW1207" s="780"/>
      <c r="AX1207" s="780"/>
      <c r="AY1207" s="780"/>
      <c r="AZ1207" s="780"/>
      <c r="BA1207" s="780"/>
      <c r="BB1207" s="780"/>
      <c r="BC1207" s="780"/>
      <c r="BD1207" s="780"/>
      <c r="BE1207" s="780"/>
    </row>
    <row r="1208" customFormat="false" ht="14.15" hidden="true" customHeight="true" outlineLevel="1" collapsed="false">
      <c r="A1208" s="324" t="s">
        <v>2463</v>
      </c>
      <c r="B1208" s="429"/>
      <c r="C1208" s="769"/>
      <c r="D1208" s="342"/>
      <c r="G1208" s="850"/>
      <c r="H1208" s="342"/>
      <c r="I1208" s="469"/>
      <c r="J1208" s="446"/>
      <c r="K1208" s="446"/>
      <c r="L1208" s="446"/>
      <c r="M1208" s="446"/>
      <c r="N1208" s="446"/>
      <c r="O1208" s="342"/>
      <c r="P1208" s="778"/>
      <c r="Q1208" s="778"/>
      <c r="R1208" s="778"/>
      <c r="S1208" s="778"/>
      <c r="T1208" s="778"/>
      <c r="U1208" s="778"/>
      <c r="V1208" s="778"/>
      <c r="W1208" s="778"/>
      <c r="X1208" s="778"/>
      <c r="Y1208" s="778"/>
      <c r="Z1208" s="778"/>
      <c r="AA1208" s="778"/>
      <c r="AB1208" s="778"/>
      <c r="AC1208" s="778"/>
      <c r="AD1208" s="778"/>
      <c r="AE1208" s="778"/>
      <c r="AF1208" s="778"/>
      <c r="AG1208" s="778"/>
      <c r="AH1208" s="778"/>
      <c r="AI1208" s="778"/>
      <c r="AJ1208" s="778"/>
      <c r="AK1208" s="778"/>
      <c r="AL1208" s="778"/>
      <c r="AM1208" s="778"/>
      <c r="AN1208" s="778"/>
      <c r="AO1208" s="779"/>
      <c r="AP1208" s="779"/>
      <c r="AQ1208" s="780"/>
      <c r="AR1208" s="780"/>
      <c r="AS1208" s="780"/>
      <c r="AT1208" s="780"/>
      <c r="AU1208" s="780"/>
      <c r="AV1208" s="780"/>
      <c r="AW1208" s="780"/>
      <c r="AX1208" s="780"/>
      <c r="AY1208" s="780"/>
      <c r="AZ1208" s="780"/>
      <c r="BA1208" s="780"/>
      <c r="BB1208" s="780"/>
      <c r="BC1208" s="780"/>
      <c r="BD1208" s="780"/>
      <c r="BE1208" s="780"/>
    </row>
    <row r="1209" customFormat="false" ht="14.15" hidden="true" customHeight="true" outlineLevel="1" collapsed="false">
      <c r="A1209" s="478" t="s">
        <v>277</v>
      </c>
      <c r="B1209" s="429"/>
      <c r="C1209" s="769"/>
      <c r="D1209" s="342"/>
      <c r="G1209" s="850"/>
      <c r="H1209" s="342"/>
      <c r="I1209" s="469"/>
      <c r="J1209" s="446"/>
      <c r="K1209" s="446"/>
      <c r="L1209" s="446"/>
      <c r="M1209" s="446"/>
      <c r="N1209" s="446"/>
      <c r="O1209" s="342"/>
      <c r="P1209" s="778"/>
      <c r="Q1209" s="778"/>
      <c r="R1209" s="778"/>
      <c r="S1209" s="778"/>
      <c r="T1209" s="778"/>
      <c r="U1209" s="778"/>
      <c r="V1209" s="778"/>
      <c r="W1209" s="778"/>
      <c r="X1209" s="778"/>
      <c r="Y1209" s="778"/>
      <c r="Z1209" s="778"/>
      <c r="AA1209" s="778"/>
      <c r="AB1209" s="778"/>
      <c r="AC1209" s="778"/>
      <c r="AD1209" s="778"/>
      <c r="AE1209" s="778"/>
      <c r="AF1209" s="778"/>
      <c r="AG1209" s="778"/>
      <c r="AH1209" s="778"/>
      <c r="AI1209" s="778"/>
      <c r="AJ1209" s="778"/>
      <c r="AK1209" s="778"/>
      <c r="AL1209" s="778"/>
      <c r="AM1209" s="778"/>
      <c r="AN1209" s="778"/>
      <c r="AO1209" s="779"/>
      <c r="AP1209" s="779"/>
      <c r="AQ1209" s="780"/>
      <c r="AR1209" s="780"/>
      <c r="AS1209" s="780"/>
      <c r="AT1209" s="780"/>
      <c r="AU1209" s="780"/>
      <c r="AV1209" s="780"/>
      <c r="AW1209" s="780"/>
      <c r="AX1209" s="780"/>
      <c r="AY1209" s="780"/>
      <c r="AZ1209" s="780"/>
      <c r="BA1209" s="780"/>
      <c r="BB1209" s="780"/>
      <c r="BC1209" s="780"/>
      <c r="BD1209" s="780"/>
      <c r="BE1209" s="780"/>
    </row>
    <row r="1210" customFormat="false" ht="14.15" hidden="true" customHeight="true" outlineLevel="1" collapsed="false">
      <c r="A1210" s="479" t="s">
        <v>151</v>
      </c>
      <c r="B1210" s="477"/>
      <c r="C1210" s="668"/>
      <c r="D1210" s="342"/>
      <c r="G1210" s="342"/>
      <c r="H1210" s="342"/>
      <c r="I1210" s="446"/>
      <c r="J1210" s="446"/>
      <c r="K1210" s="446"/>
      <c r="L1210" s="446"/>
      <c r="M1210" s="446"/>
      <c r="N1210" s="446"/>
      <c r="O1210" s="342"/>
      <c r="P1210" s="778"/>
      <c r="Q1210" s="778"/>
      <c r="R1210" s="778"/>
      <c r="S1210" s="778"/>
      <c r="T1210" s="778"/>
      <c r="U1210" s="778"/>
      <c r="V1210" s="778"/>
      <c r="W1210" s="778"/>
      <c r="X1210" s="778"/>
      <c r="Y1210" s="778"/>
      <c r="Z1210" s="778"/>
      <c r="AA1210" s="778"/>
      <c r="AB1210" s="778"/>
      <c r="AC1210" s="778"/>
      <c r="AD1210" s="778"/>
      <c r="AE1210" s="778"/>
      <c r="AF1210" s="778"/>
      <c r="AG1210" s="778"/>
      <c r="AH1210" s="778"/>
      <c r="AI1210" s="778"/>
      <c r="AJ1210" s="778"/>
      <c r="AK1210" s="778"/>
      <c r="AL1210" s="778"/>
      <c r="AM1210" s="778"/>
      <c r="AN1210" s="778"/>
      <c r="AO1210" s="779"/>
      <c r="AP1210" s="779"/>
      <c r="AQ1210" s="780"/>
      <c r="AR1210" s="780"/>
      <c r="AS1210" s="780"/>
      <c r="AT1210" s="780"/>
      <c r="AU1210" s="780"/>
      <c r="AV1210" s="780"/>
      <c r="AW1210" s="780"/>
      <c r="AX1210" s="780"/>
      <c r="AY1210" s="780"/>
      <c r="AZ1210" s="780"/>
      <c r="BA1210" s="780"/>
      <c r="BB1210" s="780"/>
      <c r="BC1210" s="780"/>
      <c r="BD1210" s="780"/>
      <c r="BE1210" s="780"/>
    </row>
    <row r="1211" customFormat="false" ht="14.15" hidden="true" customHeight="true" outlineLevel="1" collapsed="false">
      <c r="A1211" s="401" t="s">
        <v>152</v>
      </c>
      <c r="B1211" s="844" t="s">
        <v>154</v>
      </c>
      <c r="C1211" s="595" t="n">
        <v>0</v>
      </c>
      <c r="D1211" s="342"/>
      <c r="G1211" s="850"/>
      <c r="H1211" s="342"/>
      <c r="I1211" s="446"/>
      <c r="J1211" s="446"/>
      <c r="K1211" s="446"/>
      <c r="L1211" s="446"/>
      <c r="M1211" s="446"/>
      <c r="N1211" s="446"/>
      <c r="O1211" s="342"/>
      <c r="P1211" s="778"/>
      <c r="Q1211" s="778"/>
      <c r="R1211" s="778"/>
      <c r="S1211" s="778"/>
      <c r="T1211" s="778"/>
      <c r="U1211" s="778"/>
      <c r="V1211" s="778"/>
      <c r="W1211" s="778"/>
      <c r="X1211" s="778"/>
      <c r="Y1211" s="778"/>
      <c r="Z1211" s="778"/>
      <c r="AA1211" s="778"/>
      <c r="AB1211" s="778"/>
      <c r="AC1211" s="778"/>
      <c r="AD1211" s="778"/>
      <c r="AE1211" s="778"/>
      <c r="AF1211" s="778"/>
      <c r="AG1211" s="778"/>
      <c r="AH1211" s="778"/>
      <c r="AI1211" s="778"/>
      <c r="AJ1211" s="778"/>
      <c r="AK1211" s="778"/>
      <c r="AL1211" s="778"/>
      <c r="AM1211" s="778"/>
      <c r="AN1211" s="778"/>
      <c r="AO1211" s="779"/>
      <c r="AP1211" s="779"/>
      <c r="AQ1211" s="780"/>
      <c r="AR1211" s="780"/>
      <c r="AS1211" s="780"/>
      <c r="AT1211" s="780"/>
      <c r="AU1211" s="780"/>
      <c r="AV1211" s="780"/>
      <c r="AW1211" s="780"/>
      <c r="AX1211" s="780"/>
      <c r="AY1211" s="780"/>
      <c r="AZ1211" s="780"/>
      <c r="BA1211" s="780"/>
      <c r="BB1211" s="780"/>
      <c r="BC1211" s="780"/>
      <c r="BD1211" s="780"/>
      <c r="BE1211" s="780"/>
    </row>
    <row r="1212" customFormat="false" ht="14.15" hidden="true" customHeight="true" outlineLevel="1" collapsed="false">
      <c r="A1212" s="403" t="s">
        <v>152</v>
      </c>
      <c r="B1212" s="404" t="s">
        <v>159</v>
      </c>
      <c r="C1212" s="265" t="n">
        <v>0</v>
      </c>
      <c r="D1212" s="342"/>
      <c r="G1212" s="850"/>
      <c r="H1212" s="342"/>
      <c r="I1212" s="446"/>
      <c r="J1212" s="446"/>
      <c r="K1212" s="446"/>
      <c r="L1212" s="446"/>
      <c r="M1212" s="446"/>
      <c r="N1212" s="446"/>
      <c r="O1212" s="342"/>
      <c r="P1212" s="778"/>
      <c r="Q1212" s="778"/>
      <c r="R1212" s="778"/>
      <c r="S1212" s="778"/>
      <c r="T1212" s="778"/>
      <c r="U1212" s="778"/>
      <c r="V1212" s="778"/>
      <c r="W1212" s="778"/>
      <c r="X1212" s="778"/>
      <c r="Y1212" s="778"/>
      <c r="Z1212" s="778"/>
      <c r="AA1212" s="778"/>
      <c r="AB1212" s="778"/>
      <c r="AC1212" s="778"/>
      <c r="AD1212" s="778"/>
      <c r="AE1212" s="778"/>
      <c r="AF1212" s="778"/>
      <c r="AG1212" s="778"/>
      <c r="AH1212" s="778"/>
      <c r="AI1212" s="778"/>
      <c r="AJ1212" s="778"/>
      <c r="AK1212" s="778"/>
      <c r="AL1212" s="778"/>
      <c r="AM1212" s="778"/>
      <c r="AN1212" s="778"/>
      <c r="AO1212" s="779"/>
      <c r="AP1212" s="779"/>
      <c r="AQ1212" s="780"/>
      <c r="AR1212" s="780"/>
      <c r="AS1212" s="780"/>
      <c r="AT1212" s="780"/>
      <c r="AU1212" s="780"/>
      <c r="AV1212" s="780"/>
      <c r="AW1212" s="780"/>
      <c r="AX1212" s="780"/>
      <c r="AY1212" s="780"/>
      <c r="AZ1212" s="780"/>
      <c r="BA1212" s="780"/>
      <c r="BB1212" s="780"/>
      <c r="BC1212" s="780"/>
      <c r="BD1212" s="780"/>
      <c r="BE1212" s="780"/>
    </row>
    <row r="1213" customFormat="false" ht="14.15" hidden="true" customHeight="true" outlineLevel="1" collapsed="false">
      <c r="D1213" s="479"/>
      <c r="G1213" s="342"/>
      <c r="H1213" s="600"/>
      <c r="I1213" s="600"/>
      <c r="J1213" s="600"/>
      <c r="K1213" s="600"/>
      <c r="L1213" s="600"/>
      <c r="M1213" s="600"/>
      <c r="N1213" s="600"/>
      <c r="O1213" s="600"/>
      <c r="P1213" s="342"/>
      <c r="Q1213" s="342"/>
      <c r="R1213" s="778"/>
      <c r="S1213" s="778"/>
      <c r="T1213" s="778"/>
      <c r="U1213" s="778"/>
      <c r="V1213" s="778"/>
      <c r="W1213" s="778"/>
      <c r="X1213" s="778"/>
      <c r="Y1213" s="778"/>
      <c r="Z1213" s="778"/>
      <c r="AA1213" s="778"/>
      <c r="AB1213" s="778"/>
      <c r="AC1213" s="778"/>
      <c r="AD1213" s="778"/>
      <c r="AE1213" s="778"/>
      <c r="AF1213" s="778"/>
      <c r="AG1213" s="778"/>
      <c r="AH1213" s="778"/>
      <c r="AI1213" s="778"/>
      <c r="AJ1213" s="778"/>
      <c r="AK1213" s="778"/>
      <c r="AL1213" s="778"/>
      <c r="AM1213" s="778"/>
      <c r="AN1213" s="778"/>
      <c r="AO1213" s="779"/>
      <c r="AP1213" s="779"/>
      <c r="AQ1213" s="780"/>
      <c r="AR1213" s="780"/>
      <c r="AS1213" s="780"/>
      <c r="AT1213" s="780"/>
      <c r="AU1213" s="780"/>
      <c r="AV1213" s="780"/>
      <c r="AW1213" s="780"/>
      <c r="AX1213" s="780"/>
      <c r="AY1213" s="780"/>
      <c r="AZ1213" s="780"/>
      <c r="BA1213" s="780"/>
      <c r="BB1213" s="780"/>
      <c r="BC1213" s="780"/>
      <c r="BD1213" s="780"/>
      <c r="BE1213" s="780"/>
    </row>
    <row r="1214" customFormat="false" ht="14.15" hidden="true" customHeight="true" outlineLevel="1" collapsed="false">
      <c r="A1214" s="265" t="s">
        <v>2464</v>
      </c>
      <c r="B1214" s="404" t="s">
        <v>1796</v>
      </c>
      <c r="C1214" s="488" t="n">
        <v>3000</v>
      </c>
      <c r="D1214" s="479"/>
      <c r="G1214" s="342"/>
      <c r="H1214" s="600"/>
      <c r="I1214" s="600"/>
      <c r="J1214" s="600"/>
      <c r="K1214" s="600"/>
      <c r="L1214" s="600"/>
      <c r="M1214" s="600"/>
      <c r="N1214" s="600"/>
      <c r="O1214" s="600"/>
      <c r="P1214" s="342"/>
      <c r="Q1214" s="342"/>
      <c r="R1214" s="778"/>
      <c r="S1214" s="778"/>
      <c r="T1214" s="778"/>
      <c r="U1214" s="778"/>
      <c r="V1214" s="778"/>
      <c r="W1214" s="778"/>
      <c r="X1214" s="778"/>
      <c r="Y1214" s="778"/>
      <c r="Z1214" s="778"/>
      <c r="AA1214" s="778"/>
      <c r="AB1214" s="778"/>
      <c r="AC1214" s="778"/>
      <c r="AD1214" s="778"/>
      <c r="AE1214" s="778"/>
      <c r="AF1214" s="778"/>
      <c r="AG1214" s="778"/>
      <c r="AH1214" s="778"/>
      <c r="AI1214" s="778"/>
      <c r="AJ1214" s="778"/>
      <c r="AK1214" s="778"/>
      <c r="AL1214" s="778"/>
      <c r="AM1214" s="778"/>
      <c r="AN1214" s="778"/>
      <c r="AO1214" s="779"/>
      <c r="AP1214" s="779"/>
      <c r="AQ1214" s="780"/>
      <c r="AR1214" s="780"/>
      <c r="AS1214" s="780"/>
      <c r="AT1214" s="780"/>
      <c r="AU1214" s="780"/>
      <c r="AV1214" s="780"/>
      <c r="AW1214" s="780"/>
      <c r="AX1214" s="780"/>
      <c r="AY1214" s="780"/>
      <c r="AZ1214" s="780"/>
      <c r="BA1214" s="780"/>
      <c r="BB1214" s="780"/>
      <c r="BC1214" s="780"/>
      <c r="BD1214" s="780"/>
      <c r="BE1214" s="780"/>
    </row>
    <row r="1215" customFormat="false" ht="14.15" hidden="true" customHeight="true" outlineLevel="1" collapsed="false">
      <c r="C1215" s="479"/>
      <c r="D1215" s="479"/>
      <c r="G1215" s="342"/>
      <c r="H1215" s="600"/>
      <c r="I1215" s="600"/>
      <c r="J1215" s="600"/>
      <c r="K1215" s="600"/>
      <c r="L1215" s="600"/>
      <c r="M1215" s="600"/>
      <c r="N1215" s="600"/>
      <c r="O1215" s="600"/>
      <c r="P1215" s="342"/>
      <c r="Q1215" s="342"/>
      <c r="R1215" s="778"/>
      <c r="S1215" s="778"/>
      <c r="T1215" s="778"/>
      <c r="U1215" s="778"/>
      <c r="V1215" s="778"/>
      <c r="W1215" s="778"/>
      <c r="X1215" s="778"/>
      <c r="Y1215" s="778"/>
      <c r="Z1215" s="778"/>
      <c r="AA1215" s="778"/>
      <c r="AB1215" s="778"/>
      <c r="AC1215" s="778"/>
      <c r="AD1215" s="778"/>
      <c r="AE1215" s="778"/>
      <c r="AF1215" s="778"/>
      <c r="AG1215" s="778"/>
      <c r="AH1215" s="778"/>
      <c r="AI1215" s="778"/>
      <c r="AJ1215" s="778"/>
      <c r="AK1215" s="778"/>
      <c r="AL1215" s="778"/>
      <c r="AM1215" s="778"/>
      <c r="AN1215" s="778"/>
      <c r="AO1215" s="779"/>
      <c r="AP1215" s="779"/>
      <c r="AQ1215" s="780"/>
      <c r="AR1215" s="780"/>
      <c r="AS1215" s="780"/>
      <c r="AT1215" s="780"/>
      <c r="AU1215" s="780"/>
      <c r="AV1215" s="780"/>
      <c r="AW1215" s="780"/>
      <c r="AX1215" s="780"/>
      <c r="AY1215" s="780"/>
      <c r="AZ1215" s="780"/>
      <c r="BA1215" s="780"/>
      <c r="BB1215" s="780"/>
      <c r="BC1215" s="780"/>
      <c r="BD1215" s="780"/>
      <c r="BE1215" s="780"/>
    </row>
    <row r="1216" customFormat="false" ht="14.15" hidden="false" customHeight="true" outlineLevel="0" collapsed="false">
      <c r="A1216" s="856" t="s">
        <v>2465</v>
      </c>
      <c r="B1216" s="856"/>
      <c r="C1216" s="856"/>
      <c r="D1216" s="856"/>
      <c r="E1216" s="856"/>
      <c r="F1216" s="631" t="s">
        <v>1798</v>
      </c>
      <c r="H1216" s="625"/>
      <c r="I1216" s="625"/>
      <c r="J1216" s="625"/>
      <c r="K1216" s="625"/>
      <c r="L1216" s="625"/>
      <c r="M1216" s="600"/>
      <c r="N1216" s="600"/>
      <c r="O1216" s="600"/>
      <c r="P1216" s="778"/>
      <c r="Q1216" s="358"/>
      <c r="R1216" s="778"/>
      <c r="S1216" s="778"/>
      <c r="T1216" s="778"/>
      <c r="U1216" s="778"/>
      <c r="V1216" s="778"/>
      <c r="W1216" s="778"/>
      <c r="X1216" s="778"/>
      <c r="Y1216" s="778"/>
      <c r="Z1216" s="778"/>
      <c r="AA1216" s="778"/>
      <c r="AB1216" s="778"/>
      <c r="AC1216" s="778"/>
      <c r="AD1216" s="778"/>
      <c r="AE1216" s="778"/>
      <c r="AF1216" s="778"/>
      <c r="AG1216" s="778"/>
      <c r="AH1216" s="778"/>
      <c r="AI1216" s="778"/>
      <c r="AJ1216" s="778"/>
      <c r="AK1216" s="778"/>
      <c r="AL1216" s="778"/>
      <c r="AM1216" s="778"/>
      <c r="AN1216" s="778"/>
      <c r="AO1216" s="779"/>
      <c r="AP1216" s="779"/>
      <c r="AQ1216" s="780"/>
      <c r="AR1216" s="780"/>
      <c r="AS1216" s="780"/>
      <c r="AT1216" s="780"/>
      <c r="AU1216" s="780"/>
      <c r="AV1216" s="388" t="n">
        <f aca="false">M1216</f>
        <v>0</v>
      </c>
      <c r="AW1216" s="780"/>
      <c r="AX1216" s="780"/>
      <c r="AY1216" s="780"/>
      <c r="AZ1216" s="780"/>
      <c r="BA1216" s="780"/>
      <c r="BB1216" s="780"/>
      <c r="BC1216" s="780"/>
      <c r="BD1216" s="780"/>
      <c r="BE1216" s="780"/>
    </row>
    <row r="1217" customFormat="false" ht="14.15" hidden="false" customHeight="true" outlineLevel="0" collapsed="false">
      <c r="A1217" s="778"/>
      <c r="B1217" s="830"/>
      <c r="C1217" s="778"/>
      <c r="D1217" s="778"/>
      <c r="E1217" s="778"/>
      <c r="F1217" s="778"/>
      <c r="G1217" s="778"/>
      <c r="H1217" s="782"/>
      <c r="I1217" s="778"/>
      <c r="J1217" s="778"/>
      <c r="K1217" s="778"/>
      <c r="L1217" s="778"/>
      <c r="M1217" s="778"/>
      <c r="N1217" s="778"/>
      <c r="O1217" s="778"/>
      <c r="P1217" s="778"/>
      <c r="Q1217" s="778"/>
      <c r="R1217" s="778"/>
      <c r="S1217" s="778"/>
      <c r="T1217" s="778"/>
      <c r="U1217" s="778"/>
      <c r="V1217" s="778"/>
      <c r="W1217" s="778"/>
      <c r="X1217" s="778"/>
      <c r="Y1217" s="778"/>
      <c r="Z1217" s="778"/>
      <c r="AA1217" s="778"/>
      <c r="AB1217" s="778"/>
      <c r="AC1217" s="778"/>
      <c r="AD1217" s="778"/>
      <c r="AE1217" s="778"/>
      <c r="AF1217" s="778"/>
      <c r="AG1217" s="778"/>
      <c r="AH1217" s="778"/>
      <c r="AI1217" s="778"/>
      <c r="AJ1217" s="778"/>
      <c r="AK1217" s="778"/>
      <c r="AL1217" s="778"/>
      <c r="AM1217" s="778"/>
      <c r="AN1217" s="778"/>
      <c r="AO1217" s="779"/>
      <c r="AP1217" s="779"/>
      <c r="AQ1217" s="780"/>
      <c r="AR1217" s="780"/>
      <c r="AS1217" s="780"/>
      <c r="AT1217" s="780"/>
      <c r="AU1217" s="780"/>
      <c r="AV1217" s="780"/>
      <c r="AW1217" s="780"/>
      <c r="AX1217" s="780"/>
      <c r="AY1217" s="780"/>
      <c r="AZ1217" s="780"/>
      <c r="BA1217" s="780"/>
      <c r="BB1217" s="780"/>
      <c r="BC1217" s="780"/>
      <c r="BD1217" s="780"/>
      <c r="BE1217" s="780"/>
    </row>
    <row r="1218" customFormat="false" ht="14.15" hidden="true" customHeight="true" outlineLevel="1" collapsed="false">
      <c r="A1218" s="849" t="s">
        <v>2466</v>
      </c>
      <c r="B1218" s="849"/>
      <c r="C1218" s="849"/>
      <c r="D1218" s="849"/>
      <c r="E1218" s="849"/>
      <c r="F1218" s="849"/>
      <c r="G1218" s="849"/>
      <c r="H1218" s="784"/>
      <c r="I1218" s="784"/>
      <c r="J1218" s="784"/>
      <c r="K1218" s="784"/>
      <c r="L1218" s="784"/>
      <c r="M1218" s="784"/>
      <c r="N1218" s="784"/>
      <c r="O1218" s="784"/>
      <c r="P1218" s="784"/>
      <c r="Q1218" s="784"/>
      <c r="R1218" s="784"/>
      <c r="S1218" s="784"/>
      <c r="T1218" s="784"/>
      <c r="U1218" s="784"/>
      <c r="V1218" s="784"/>
      <c r="W1218" s="784"/>
      <c r="X1218" s="784"/>
      <c r="Y1218" s="784"/>
      <c r="Z1218" s="784"/>
      <c r="AA1218" s="784"/>
      <c r="AB1218" s="784"/>
      <c r="AC1218" s="784"/>
      <c r="AD1218" s="784"/>
      <c r="AE1218" s="784"/>
      <c r="AF1218" s="784"/>
      <c r="AG1218" s="784"/>
      <c r="AH1218" s="784"/>
      <c r="AI1218" s="784"/>
      <c r="AJ1218" s="778"/>
      <c r="AK1218" s="778"/>
      <c r="AL1218" s="778"/>
      <c r="AM1218" s="778"/>
      <c r="AN1218" s="778"/>
      <c r="AO1218" s="779"/>
      <c r="AP1218" s="779"/>
      <c r="AQ1218" s="780"/>
      <c r="AR1218" s="780"/>
      <c r="AS1218" s="780"/>
      <c r="AT1218" s="780"/>
      <c r="AU1218" s="780"/>
      <c r="AV1218" s="780"/>
      <c r="AW1218" s="780"/>
      <c r="AX1218" s="780"/>
      <c r="AY1218" s="780"/>
      <c r="AZ1218" s="780"/>
      <c r="BA1218" s="780"/>
      <c r="BB1218" s="780"/>
      <c r="BC1218" s="780"/>
      <c r="BD1218" s="780"/>
      <c r="BE1218" s="780"/>
    </row>
    <row r="1219" customFormat="false" ht="14.15" hidden="true" customHeight="true" outlineLevel="1" collapsed="false">
      <c r="A1219" s="849"/>
      <c r="B1219" s="849"/>
      <c r="C1219" s="849"/>
      <c r="D1219" s="849"/>
      <c r="E1219" s="849"/>
      <c r="F1219" s="849"/>
      <c r="G1219" s="849"/>
      <c r="H1219" s="784"/>
      <c r="I1219" s="784"/>
      <c r="J1219" s="784"/>
      <c r="K1219" s="784"/>
      <c r="L1219" s="784"/>
      <c r="M1219" s="784"/>
      <c r="N1219" s="784"/>
      <c r="O1219" s="784"/>
      <c r="P1219" s="784"/>
      <c r="Q1219" s="784"/>
      <c r="R1219" s="784"/>
      <c r="S1219" s="784"/>
      <c r="T1219" s="784"/>
      <c r="U1219" s="784"/>
      <c r="V1219" s="784"/>
      <c r="W1219" s="784"/>
      <c r="X1219" s="784"/>
      <c r="Y1219" s="784"/>
      <c r="Z1219" s="784"/>
      <c r="AA1219" s="784"/>
      <c r="AB1219" s="784"/>
      <c r="AC1219" s="784"/>
      <c r="AD1219" s="784"/>
      <c r="AE1219" s="784"/>
      <c r="AF1219" s="784"/>
      <c r="AG1219" s="784"/>
      <c r="AH1219" s="784"/>
      <c r="AI1219" s="784"/>
      <c r="AJ1219" s="778"/>
      <c r="AK1219" s="778"/>
      <c r="AL1219" s="778"/>
      <c r="AM1219" s="778"/>
      <c r="AN1219" s="778"/>
      <c r="AO1219" s="779"/>
      <c r="AP1219" s="779"/>
      <c r="AQ1219" s="780"/>
      <c r="AR1219" s="780"/>
      <c r="AS1219" s="780"/>
      <c r="AT1219" s="780"/>
      <c r="AU1219" s="780"/>
      <c r="AV1219" s="780"/>
      <c r="AW1219" s="780"/>
      <c r="AX1219" s="780"/>
      <c r="AY1219" s="780"/>
      <c r="AZ1219" s="780"/>
      <c r="BA1219" s="780"/>
      <c r="BB1219" s="780"/>
      <c r="BC1219" s="780"/>
      <c r="BD1219" s="780"/>
      <c r="BE1219" s="780"/>
    </row>
    <row r="1220" customFormat="false" ht="14.15" hidden="true" customHeight="true" outlineLevel="1" collapsed="false">
      <c r="A1220" s="415" t="s">
        <v>1806</v>
      </c>
      <c r="B1220" s="416"/>
      <c r="C1220" s="417"/>
      <c r="D1220" s="595" t="n">
        <v>1</v>
      </c>
      <c r="G1220" s="676"/>
      <c r="H1220" s="676"/>
      <c r="I1220" s="676"/>
      <c r="J1220" s="676"/>
      <c r="K1220" s="676"/>
      <c r="L1220" s="676"/>
      <c r="M1220" s="676"/>
      <c r="N1220" s="676"/>
      <c r="O1220" s="676"/>
      <c r="P1220" s="676"/>
      <c r="Q1220" s="676"/>
      <c r="R1220" s="676"/>
      <c r="S1220" s="676"/>
      <c r="T1220" s="676"/>
      <c r="U1220" s="676"/>
      <c r="V1220" s="676"/>
      <c r="W1220" s="676"/>
      <c r="X1220" s="676"/>
      <c r="Y1220" s="676"/>
      <c r="Z1220" s="676"/>
      <c r="AA1220" s="676"/>
      <c r="AB1220" s="676"/>
      <c r="AC1220" s="676"/>
      <c r="AD1220" s="676"/>
      <c r="AE1220" s="676"/>
      <c r="AF1220" s="342"/>
      <c r="AG1220" s="342"/>
      <c r="AH1220" s="342"/>
      <c r="AI1220" s="772"/>
      <c r="AJ1220" s="778"/>
      <c r="AK1220" s="778"/>
      <c r="AL1220" s="778"/>
      <c r="AM1220" s="778"/>
      <c r="AN1220" s="778"/>
      <c r="AO1220" s="779"/>
      <c r="AP1220" s="779"/>
      <c r="AQ1220" s="780"/>
      <c r="AR1220" s="780"/>
      <c r="AS1220" s="780"/>
      <c r="AT1220" s="780"/>
      <c r="AU1220" s="780"/>
      <c r="AV1220" s="780"/>
      <c r="AW1220" s="780"/>
      <c r="AX1220" s="780"/>
      <c r="AY1220" s="780"/>
      <c r="AZ1220" s="780"/>
      <c r="BA1220" s="780"/>
      <c r="BB1220" s="780"/>
      <c r="BC1220" s="780"/>
      <c r="BD1220" s="780"/>
      <c r="BE1220" s="780"/>
    </row>
    <row r="1221" customFormat="false" ht="14.15" hidden="true" customHeight="true" outlineLevel="1" collapsed="false">
      <c r="A1221" s="415" t="s">
        <v>1808</v>
      </c>
      <c r="B1221" s="416"/>
      <c r="C1221" s="417"/>
      <c r="D1221" s="595" t="n">
        <v>1</v>
      </c>
      <c r="G1221" s="676"/>
      <c r="H1221" s="676"/>
      <c r="I1221" s="676"/>
      <c r="J1221" s="676"/>
      <c r="K1221" s="676"/>
      <c r="L1221" s="676"/>
      <c r="M1221" s="676"/>
      <c r="N1221" s="676"/>
      <c r="O1221" s="676"/>
      <c r="P1221" s="676"/>
      <c r="Q1221" s="676"/>
      <c r="R1221" s="676"/>
      <c r="S1221" s="676"/>
      <c r="T1221" s="676"/>
      <c r="U1221" s="676"/>
      <c r="V1221" s="676"/>
      <c r="W1221" s="676"/>
      <c r="X1221" s="676"/>
      <c r="Y1221" s="676"/>
      <c r="Z1221" s="676"/>
      <c r="AA1221" s="676"/>
      <c r="AB1221" s="676"/>
      <c r="AC1221" s="676"/>
      <c r="AD1221" s="676"/>
      <c r="AE1221" s="676"/>
      <c r="AF1221" s="342"/>
      <c r="AG1221" s="342"/>
      <c r="AH1221" s="342"/>
      <c r="AI1221" s="342"/>
      <c r="AJ1221" s="778"/>
      <c r="AK1221" s="778"/>
      <c r="AL1221" s="778"/>
      <c r="AM1221" s="778"/>
      <c r="AN1221" s="778"/>
      <c r="AO1221" s="779"/>
      <c r="AP1221" s="779"/>
      <c r="AQ1221" s="780"/>
      <c r="AR1221" s="780"/>
      <c r="AS1221" s="780"/>
      <c r="AT1221" s="780"/>
      <c r="AU1221" s="780"/>
      <c r="AV1221" s="780"/>
      <c r="AW1221" s="780"/>
      <c r="AX1221" s="780"/>
      <c r="AY1221" s="780"/>
      <c r="AZ1221" s="780"/>
      <c r="BA1221" s="780"/>
      <c r="BB1221" s="780"/>
      <c r="BC1221" s="780"/>
      <c r="BD1221" s="780"/>
      <c r="BE1221" s="780"/>
    </row>
    <row r="1222" customFormat="false" ht="14.15" hidden="true" customHeight="true" outlineLevel="1" collapsed="false">
      <c r="B1222" s="598"/>
      <c r="C1222" s="676"/>
      <c r="D1222" s="676"/>
      <c r="E1222" s="676"/>
      <c r="F1222" s="676"/>
      <c r="G1222" s="676"/>
      <c r="H1222" s="676"/>
      <c r="I1222" s="676"/>
      <c r="J1222" s="676"/>
      <c r="K1222" s="676"/>
      <c r="L1222" s="676"/>
      <c r="M1222" s="676"/>
      <c r="N1222" s="676"/>
      <c r="O1222" s="676"/>
      <c r="P1222" s="676"/>
      <c r="Q1222" s="676"/>
      <c r="R1222" s="676"/>
      <c r="S1222" s="676"/>
      <c r="T1222" s="676"/>
      <c r="U1222" s="676"/>
      <c r="V1222" s="676"/>
      <c r="W1222" s="676"/>
      <c r="X1222" s="676"/>
      <c r="Y1222" s="598"/>
      <c r="Z1222" s="598"/>
      <c r="AA1222" s="597"/>
      <c r="AB1222" s="598"/>
      <c r="AC1222" s="598"/>
      <c r="AD1222" s="598"/>
      <c r="AE1222" s="598"/>
      <c r="AF1222" s="342"/>
      <c r="AG1222" s="342"/>
      <c r="AH1222" s="342"/>
      <c r="AI1222" s="342"/>
      <c r="AJ1222" s="778"/>
      <c r="AK1222" s="778"/>
      <c r="AL1222" s="778"/>
      <c r="AM1222" s="778"/>
      <c r="AN1222" s="778"/>
      <c r="AO1222" s="779"/>
      <c r="AP1222" s="779"/>
      <c r="AQ1222" s="780"/>
      <c r="AR1222" s="780"/>
      <c r="AS1222" s="780"/>
      <c r="AT1222" s="780"/>
      <c r="AU1222" s="780"/>
      <c r="AV1222" s="780"/>
      <c r="AW1222" s="780"/>
      <c r="AX1222" s="780"/>
      <c r="AY1222" s="780"/>
      <c r="AZ1222" s="780"/>
      <c r="BA1222" s="780"/>
      <c r="BB1222" s="780"/>
      <c r="BC1222" s="780"/>
      <c r="BD1222" s="780"/>
      <c r="BE1222" s="780"/>
    </row>
    <row r="1223" customFormat="false" ht="14.15" hidden="true" customHeight="true" outlineLevel="1" collapsed="false">
      <c r="A1223" s="622" t="s">
        <v>2467</v>
      </c>
      <c r="B1223" s="425" t="s">
        <v>120</v>
      </c>
      <c r="C1223" s="513" t="s">
        <v>1753</v>
      </c>
      <c r="D1223" s="676"/>
      <c r="E1223" s="676"/>
      <c r="F1223" s="676"/>
      <c r="G1223" s="676"/>
      <c r="H1223" s="676"/>
      <c r="I1223" s="676"/>
      <c r="J1223" s="676"/>
      <c r="K1223" s="676"/>
      <c r="L1223" s="676"/>
      <c r="M1223" s="676"/>
      <c r="N1223" s="676"/>
      <c r="O1223" s="676"/>
      <c r="P1223" s="676"/>
      <c r="Q1223" s="676"/>
      <c r="R1223" s="676"/>
      <c r="S1223" s="676"/>
      <c r="T1223" s="676"/>
      <c r="U1223" s="676"/>
      <c r="V1223" s="676"/>
      <c r="W1223" s="676"/>
      <c r="X1223" s="676"/>
      <c r="Y1223" s="598"/>
      <c r="Z1223" s="598"/>
      <c r="AA1223" s="598"/>
      <c r="AB1223" s="598"/>
      <c r="AC1223" s="598"/>
      <c r="AD1223" s="598"/>
      <c r="AE1223" s="598"/>
      <c r="AF1223" s="342"/>
      <c r="AG1223" s="342"/>
      <c r="AH1223" s="342"/>
      <c r="AI1223" s="342"/>
      <c r="AJ1223" s="778"/>
      <c r="AK1223" s="778"/>
      <c r="AL1223" s="778"/>
      <c r="AM1223" s="778"/>
      <c r="AN1223" s="778"/>
      <c r="AO1223" s="779"/>
      <c r="AP1223" s="779"/>
      <c r="AQ1223" s="780"/>
      <c r="AR1223" s="780"/>
      <c r="AS1223" s="780"/>
      <c r="AT1223" s="780"/>
      <c r="AU1223" s="780"/>
      <c r="AV1223" s="780"/>
      <c r="AW1223" s="780"/>
      <c r="AX1223" s="780"/>
      <c r="AY1223" s="780"/>
      <c r="AZ1223" s="780"/>
      <c r="BA1223" s="780"/>
      <c r="BB1223" s="780"/>
      <c r="BC1223" s="780"/>
      <c r="BD1223" s="780"/>
      <c r="BE1223" s="780"/>
    </row>
    <row r="1224" customFormat="false" ht="14.15" hidden="true" customHeight="true" outlineLevel="1" collapsed="false">
      <c r="A1224" s="861" t="s">
        <v>1552</v>
      </c>
      <c r="B1224" s="861" t="s">
        <v>2164</v>
      </c>
      <c r="C1224" s="862" t="s">
        <v>1798</v>
      </c>
      <c r="D1224" s="491"/>
      <c r="H1224" s="845"/>
      <c r="I1224" s="477"/>
      <c r="J1224" s="477"/>
      <c r="K1224" s="863"/>
      <c r="L1224" s="855"/>
      <c r="M1224" s="855"/>
      <c r="N1224" s="855"/>
      <c r="O1224" s="855"/>
      <c r="P1224" s="342"/>
      <c r="Q1224" s="342"/>
      <c r="R1224" s="778"/>
      <c r="S1224" s="778"/>
      <c r="T1224" s="778"/>
      <c r="U1224" s="778"/>
      <c r="V1224" s="778"/>
      <c r="W1224" s="778"/>
      <c r="X1224" s="778"/>
      <c r="Y1224" s="778"/>
      <c r="Z1224" s="778"/>
      <c r="AA1224" s="778"/>
      <c r="AB1224" s="778"/>
      <c r="AC1224" s="778"/>
      <c r="AD1224" s="778"/>
      <c r="AE1224" s="778"/>
      <c r="AF1224" s="778"/>
      <c r="AG1224" s="778"/>
      <c r="AH1224" s="778"/>
      <c r="AI1224" s="778"/>
      <c r="AJ1224" s="778"/>
      <c r="AK1224" s="778"/>
      <c r="AL1224" s="778"/>
      <c r="AM1224" s="778"/>
      <c r="AN1224" s="778"/>
      <c r="AO1224" s="779"/>
      <c r="AP1224" s="779"/>
      <c r="AQ1224" s="780"/>
      <c r="AR1224" s="780"/>
      <c r="AS1224" s="780"/>
      <c r="AT1224" s="780"/>
      <c r="AU1224" s="780"/>
      <c r="AV1224" s="780"/>
      <c r="AW1224" s="780"/>
      <c r="AX1224" s="780"/>
      <c r="AY1224" s="780"/>
      <c r="AZ1224" s="780"/>
      <c r="BA1224" s="780"/>
      <c r="BB1224" s="780"/>
      <c r="BC1224" s="780"/>
      <c r="BD1224" s="780"/>
      <c r="BE1224" s="780"/>
    </row>
    <row r="1225" customFormat="false" ht="14.15" hidden="true" customHeight="true" outlineLevel="1" collapsed="false">
      <c r="A1225" s="864" t="s">
        <v>2468</v>
      </c>
      <c r="B1225" s="861" t="s">
        <v>2164</v>
      </c>
      <c r="C1225" s="623" t="s">
        <v>1798</v>
      </c>
      <c r="D1225" s="491"/>
      <c r="H1225" s="845"/>
      <c r="I1225" s="479"/>
      <c r="J1225" s="479"/>
      <c r="K1225" s="479"/>
      <c r="L1225" s="479"/>
      <c r="M1225" s="479"/>
      <c r="N1225" s="479"/>
      <c r="O1225" s="479"/>
      <c r="P1225" s="479"/>
      <c r="Q1225" s="342"/>
      <c r="R1225" s="778"/>
      <c r="S1225" s="778"/>
      <c r="T1225" s="778"/>
      <c r="U1225" s="778"/>
      <c r="V1225" s="778"/>
      <c r="W1225" s="778"/>
      <c r="X1225" s="778"/>
      <c r="Y1225" s="778"/>
      <c r="Z1225" s="778"/>
      <c r="AA1225" s="778"/>
      <c r="AB1225" s="778"/>
      <c r="AC1225" s="778"/>
      <c r="AD1225" s="778"/>
      <c r="AE1225" s="778"/>
      <c r="AF1225" s="778"/>
      <c r="AG1225" s="778"/>
      <c r="AH1225" s="778"/>
      <c r="AI1225" s="778"/>
      <c r="AJ1225" s="778"/>
      <c r="AK1225" s="778"/>
      <c r="AL1225" s="778"/>
      <c r="AM1225" s="778"/>
      <c r="AN1225" s="778"/>
      <c r="AO1225" s="779"/>
      <c r="AP1225" s="779"/>
      <c r="AQ1225" s="780"/>
      <c r="AR1225" s="780"/>
      <c r="AS1225" s="780"/>
      <c r="AT1225" s="780"/>
      <c r="AU1225" s="780"/>
      <c r="AV1225" s="780"/>
      <c r="AW1225" s="780"/>
      <c r="AX1225" s="780"/>
      <c r="AY1225" s="780"/>
      <c r="AZ1225" s="780"/>
      <c r="BA1225" s="780"/>
      <c r="BB1225" s="780"/>
      <c r="BC1225" s="780"/>
      <c r="BD1225" s="780"/>
      <c r="BE1225" s="780"/>
    </row>
    <row r="1226" customFormat="false" ht="14.15" hidden="true" customHeight="true" outlineLevel="1" collapsed="false">
      <c r="A1226" s="865" t="s">
        <v>2469</v>
      </c>
      <c r="B1226" s="861" t="s">
        <v>2164</v>
      </c>
      <c r="C1226" s="866"/>
      <c r="D1226" s="491"/>
      <c r="H1226" s="845"/>
      <c r="I1226" s="479"/>
      <c r="J1226" s="479"/>
      <c r="K1226" s="479"/>
      <c r="L1226" s="479"/>
      <c r="M1226" s="479"/>
      <c r="N1226" s="479"/>
      <c r="O1226" s="479"/>
      <c r="P1226" s="479"/>
      <c r="Q1226" s="342"/>
      <c r="R1226" s="778"/>
      <c r="S1226" s="778"/>
      <c r="T1226" s="778"/>
      <c r="U1226" s="778"/>
      <c r="V1226" s="778"/>
      <c r="W1226" s="778"/>
      <c r="X1226" s="778"/>
      <c r="Y1226" s="778"/>
      <c r="Z1226" s="778"/>
      <c r="AA1226" s="778"/>
      <c r="AB1226" s="778"/>
      <c r="AC1226" s="778"/>
      <c r="AD1226" s="778"/>
      <c r="AE1226" s="778"/>
      <c r="AF1226" s="778"/>
      <c r="AG1226" s="778"/>
      <c r="AH1226" s="778"/>
      <c r="AI1226" s="778"/>
      <c r="AJ1226" s="778"/>
      <c r="AK1226" s="778"/>
      <c r="AL1226" s="778"/>
      <c r="AM1226" s="778"/>
      <c r="AN1226" s="778"/>
      <c r="AO1226" s="779"/>
      <c r="AP1226" s="779"/>
      <c r="AQ1226" s="780"/>
      <c r="AR1226" s="780"/>
      <c r="AS1226" s="780"/>
      <c r="AT1226" s="780"/>
      <c r="AU1226" s="780"/>
      <c r="AV1226" s="780"/>
      <c r="AW1226" s="780"/>
      <c r="AX1226" s="780"/>
      <c r="AY1226" s="780"/>
      <c r="AZ1226" s="780"/>
      <c r="BA1226" s="780"/>
      <c r="BB1226" s="780"/>
      <c r="BC1226" s="780"/>
      <c r="BD1226" s="780"/>
      <c r="BE1226" s="780"/>
    </row>
    <row r="1227" customFormat="false" ht="14.15" hidden="true" customHeight="true" outlineLevel="1" collapsed="false">
      <c r="A1227" s="864" t="s">
        <v>2470</v>
      </c>
      <c r="B1227" s="861" t="s">
        <v>2164</v>
      </c>
      <c r="C1227" s="623" t="s">
        <v>1798</v>
      </c>
      <c r="D1227" s="491"/>
      <c r="H1227" s="845"/>
      <c r="I1227" s="479"/>
      <c r="J1227" s="479"/>
      <c r="K1227" s="479"/>
      <c r="L1227" s="479"/>
      <c r="M1227" s="479"/>
      <c r="N1227" s="479"/>
      <c r="O1227" s="479"/>
      <c r="P1227" s="479"/>
      <c r="Q1227" s="342"/>
      <c r="R1227" s="778"/>
      <c r="S1227" s="778"/>
      <c r="T1227" s="778"/>
      <c r="U1227" s="778"/>
      <c r="V1227" s="778"/>
      <c r="W1227" s="778"/>
      <c r="X1227" s="778"/>
      <c r="Y1227" s="778"/>
      <c r="Z1227" s="778"/>
      <c r="AA1227" s="778"/>
      <c r="AB1227" s="778"/>
      <c r="AC1227" s="778"/>
      <c r="AD1227" s="778"/>
      <c r="AE1227" s="778"/>
      <c r="AF1227" s="778"/>
      <c r="AG1227" s="778"/>
      <c r="AH1227" s="778"/>
      <c r="AI1227" s="778"/>
      <c r="AJ1227" s="778"/>
      <c r="AK1227" s="778"/>
      <c r="AL1227" s="778"/>
      <c r="AM1227" s="778"/>
      <c r="AN1227" s="778"/>
      <c r="AO1227" s="779"/>
      <c r="AP1227" s="779"/>
      <c r="AQ1227" s="780"/>
      <c r="AR1227" s="780"/>
      <c r="AS1227" s="780"/>
      <c r="AT1227" s="780"/>
      <c r="AU1227" s="780"/>
      <c r="AV1227" s="780"/>
      <c r="AW1227" s="780"/>
      <c r="AX1227" s="780"/>
      <c r="AY1227" s="780"/>
      <c r="AZ1227" s="780"/>
      <c r="BA1227" s="780"/>
      <c r="BB1227" s="780"/>
      <c r="BC1227" s="780"/>
      <c r="BD1227" s="780"/>
      <c r="BE1227" s="780"/>
    </row>
    <row r="1228" customFormat="false" ht="14.15" hidden="true" customHeight="true" outlineLevel="1" collapsed="false">
      <c r="A1228" s="864" t="s">
        <v>1278</v>
      </c>
      <c r="B1228" s="861" t="s">
        <v>2164</v>
      </c>
      <c r="C1228" s="623" t="s">
        <v>1798</v>
      </c>
      <c r="D1228" s="491"/>
      <c r="H1228" s="845"/>
      <c r="I1228" s="479"/>
      <c r="J1228" s="479"/>
      <c r="K1228" s="479"/>
      <c r="L1228" s="479"/>
      <c r="M1228" s="479"/>
      <c r="N1228" s="479"/>
      <c r="O1228" s="479"/>
      <c r="P1228" s="479"/>
      <c r="Q1228" s="342"/>
      <c r="R1228" s="778"/>
      <c r="S1228" s="778"/>
      <c r="T1228" s="778"/>
      <c r="U1228" s="778"/>
      <c r="V1228" s="778"/>
      <c r="W1228" s="778"/>
      <c r="X1228" s="778"/>
      <c r="Y1228" s="778"/>
      <c r="Z1228" s="778"/>
      <c r="AA1228" s="778"/>
      <c r="AB1228" s="778"/>
      <c r="AC1228" s="778"/>
      <c r="AD1228" s="778"/>
      <c r="AE1228" s="778"/>
      <c r="AF1228" s="778"/>
      <c r="AG1228" s="778"/>
      <c r="AH1228" s="778"/>
      <c r="AI1228" s="778"/>
      <c r="AJ1228" s="778"/>
      <c r="AK1228" s="778"/>
      <c r="AL1228" s="778"/>
      <c r="AM1228" s="778"/>
      <c r="AN1228" s="778"/>
      <c r="AO1228" s="779"/>
      <c r="AP1228" s="779"/>
      <c r="AQ1228" s="780"/>
      <c r="AR1228" s="780"/>
      <c r="AS1228" s="780"/>
      <c r="AT1228" s="780"/>
      <c r="AU1228" s="780"/>
      <c r="AV1228" s="780"/>
      <c r="AW1228" s="780"/>
      <c r="AX1228" s="780"/>
      <c r="AY1228" s="780"/>
      <c r="AZ1228" s="780"/>
      <c r="BA1228" s="780"/>
      <c r="BB1228" s="780"/>
      <c r="BC1228" s="780"/>
      <c r="BD1228" s="780"/>
      <c r="BE1228" s="780"/>
    </row>
    <row r="1229" customFormat="false" ht="14.15" hidden="true" customHeight="true" outlineLevel="1" collapsed="false">
      <c r="A1229" s="864" t="s">
        <v>2471</v>
      </c>
      <c r="B1229" s="861" t="s">
        <v>2164</v>
      </c>
      <c r="C1229" s="623" t="s">
        <v>1798</v>
      </c>
      <c r="D1229" s="491"/>
      <c r="H1229" s="845"/>
      <c r="I1229" s="479"/>
      <c r="J1229" s="479"/>
      <c r="K1229" s="479"/>
      <c r="L1229" s="479"/>
      <c r="M1229" s="479"/>
      <c r="N1229" s="479"/>
      <c r="O1229" s="479"/>
      <c r="P1229" s="479"/>
      <c r="Q1229" s="342"/>
      <c r="R1229" s="778"/>
      <c r="S1229" s="778"/>
      <c r="T1229" s="778"/>
      <c r="U1229" s="778"/>
      <c r="V1229" s="778"/>
      <c r="W1229" s="778"/>
      <c r="X1229" s="778"/>
      <c r="Y1229" s="778"/>
      <c r="Z1229" s="778"/>
      <c r="AA1229" s="778"/>
      <c r="AB1229" s="778"/>
      <c r="AC1229" s="778"/>
      <c r="AD1229" s="778"/>
      <c r="AE1229" s="778"/>
      <c r="AF1229" s="778"/>
      <c r="AG1229" s="778"/>
      <c r="AH1229" s="778"/>
      <c r="AI1229" s="778"/>
      <c r="AJ1229" s="778"/>
      <c r="AK1229" s="778"/>
      <c r="AL1229" s="778"/>
      <c r="AM1229" s="778"/>
      <c r="AN1229" s="778"/>
      <c r="AO1229" s="779"/>
      <c r="AP1229" s="779"/>
      <c r="AQ1229" s="780"/>
      <c r="AR1229" s="780"/>
      <c r="AS1229" s="780"/>
      <c r="AT1229" s="780"/>
      <c r="AU1229" s="780"/>
      <c r="AV1229" s="780"/>
      <c r="AW1229" s="780"/>
      <c r="AX1229" s="780"/>
      <c r="AY1229" s="780"/>
      <c r="AZ1229" s="780"/>
      <c r="BA1229" s="780"/>
      <c r="BB1229" s="780"/>
      <c r="BC1229" s="780"/>
      <c r="BD1229" s="780"/>
      <c r="BE1229" s="780"/>
    </row>
    <row r="1230" customFormat="false" ht="14.15" hidden="true" customHeight="true" outlineLevel="1" collapsed="false">
      <c r="A1230" s="865" t="s">
        <v>2472</v>
      </c>
      <c r="B1230" s="861" t="s">
        <v>2164</v>
      </c>
      <c r="C1230" s="866"/>
      <c r="D1230" s="491"/>
      <c r="H1230" s="845"/>
      <c r="I1230" s="479"/>
      <c r="J1230" s="479"/>
      <c r="K1230" s="479"/>
      <c r="L1230" s="479"/>
      <c r="M1230" s="479"/>
      <c r="N1230" s="479"/>
      <c r="O1230" s="479"/>
      <c r="P1230" s="479"/>
      <c r="Q1230" s="342"/>
      <c r="R1230" s="778"/>
      <c r="S1230" s="778"/>
      <c r="T1230" s="778"/>
      <c r="U1230" s="778"/>
      <c r="V1230" s="778"/>
      <c r="W1230" s="778"/>
      <c r="X1230" s="778"/>
      <c r="Y1230" s="778"/>
      <c r="Z1230" s="778"/>
      <c r="AA1230" s="778"/>
      <c r="AB1230" s="778"/>
      <c r="AC1230" s="778"/>
      <c r="AD1230" s="778"/>
      <c r="AE1230" s="778"/>
      <c r="AF1230" s="778"/>
      <c r="AG1230" s="778"/>
      <c r="AH1230" s="778"/>
      <c r="AI1230" s="778"/>
      <c r="AJ1230" s="778"/>
      <c r="AK1230" s="778"/>
      <c r="AL1230" s="778"/>
      <c r="AM1230" s="778"/>
      <c r="AN1230" s="778"/>
      <c r="AO1230" s="779"/>
      <c r="AP1230" s="779"/>
      <c r="AQ1230" s="780"/>
      <c r="AR1230" s="780"/>
      <c r="AS1230" s="780"/>
      <c r="AT1230" s="780"/>
      <c r="AU1230" s="780"/>
      <c r="AV1230" s="780"/>
      <c r="AW1230" s="780"/>
      <c r="AX1230" s="780"/>
      <c r="AY1230" s="780"/>
      <c r="AZ1230" s="780"/>
      <c r="BA1230" s="780"/>
      <c r="BB1230" s="780"/>
      <c r="BC1230" s="780"/>
      <c r="BD1230" s="780"/>
      <c r="BE1230" s="780"/>
    </row>
    <row r="1231" customFormat="false" ht="14.15" hidden="true" customHeight="true" outlineLevel="1" collapsed="false">
      <c r="A1231" s="861" t="s">
        <v>1582</v>
      </c>
      <c r="B1231" s="861" t="s">
        <v>2164</v>
      </c>
      <c r="C1231" s="862" t="s">
        <v>1798</v>
      </c>
      <c r="D1231" s="491"/>
      <c r="H1231" s="491"/>
      <c r="I1231" s="477"/>
      <c r="J1231" s="477"/>
      <c r="K1231" s="863"/>
      <c r="L1231" s="855"/>
      <c r="M1231" s="855"/>
      <c r="N1231" s="855"/>
      <c r="O1231" s="855"/>
      <c r="P1231" s="342"/>
      <c r="Q1231" s="342"/>
      <c r="R1231" s="778"/>
      <c r="S1231" s="778"/>
      <c r="T1231" s="778"/>
      <c r="U1231" s="778"/>
      <c r="V1231" s="778"/>
      <c r="W1231" s="778"/>
      <c r="X1231" s="778"/>
      <c r="Y1231" s="778"/>
      <c r="Z1231" s="778"/>
      <c r="AA1231" s="778"/>
      <c r="AB1231" s="778"/>
      <c r="AC1231" s="778"/>
      <c r="AD1231" s="778"/>
      <c r="AE1231" s="778"/>
      <c r="AF1231" s="778"/>
      <c r="AG1231" s="778"/>
      <c r="AH1231" s="778"/>
      <c r="AI1231" s="778"/>
      <c r="AJ1231" s="778"/>
      <c r="AK1231" s="778"/>
      <c r="AL1231" s="778"/>
      <c r="AM1231" s="778"/>
      <c r="AN1231" s="778"/>
      <c r="AO1231" s="779"/>
      <c r="AP1231" s="779"/>
      <c r="AQ1231" s="780"/>
      <c r="AR1231" s="780"/>
      <c r="AS1231" s="780"/>
      <c r="AT1231" s="780"/>
      <c r="AU1231" s="780"/>
      <c r="AV1231" s="780"/>
      <c r="AW1231" s="780"/>
      <c r="AX1231" s="780"/>
      <c r="AY1231" s="780"/>
      <c r="AZ1231" s="780"/>
      <c r="BA1231" s="780"/>
      <c r="BB1231" s="780"/>
      <c r="BC1231" s="780"/>
      <c r="BD1231" s="780"/>
      <c r="BE1231" s="780"/>
    </row>
    <row r="1232" customFormat="false" ht="14.15" hidden="true" customHeight="true" outlineLevel="1" collapsed="false">
      <c r="A1232" s="864" t="s">
        <v>2473</v>
      </c>
      <c r="B1232" s="861" t="s">
        <v>2164</v>
      </c>
      <c r="C1232" s="623" t="s">
        <v>1798</v>
      </c>
      <c r="D1232" s="491"/>
      <c r="H1232" s="845"/>
      <c r="I1232" s="479"/>
      <c r="J1232" s="479"/>
      <c r="K1232" s="479"/>
      <c r="L1232" s="479"/>
      <c r="M1232" s="479"/>
      <c r="N1232" s="479"/>
      <c r="O1232" s="479"/>
      <c r="P1232" s="479"/>
      <c r="Q1232" s="342"/>
      <c r="R1232" s="778"/>
      <c r="S1232" s="778"/>
      <c r="T1232" s="778"/>
      <c r="U1232" s="778"/>
      <c r="V1232" s="778"/>
      <c r="W1232" s="778"/>
      <c r="X1232" s="778"/>
      <c r="Y1232" s="778"/>
      <c r="Z1232" s="778"/>
      <c r="AA1232" s="778"/>
      <c r="AB1232" s="778"/>
      <c r="AC1232" s="778"/>
      <c r="AD1232" s="778"/>
      <c r="AE1232" s="778"/>
      <c r="AF1232" s="778"/>
      <c r="AG1232" s="778"/>
      <c r="AH1232" s="778"/>
      <c r="AI1232" s="778"/>
      <c r="AJ1232" s="778"/>
      <c r="AK1232" s="778"/>
      <c r="AL1232" s="778"/>
      <c r="AM1232" s="778"/>
      <c r="AN1232" s="778"/>
      <c r="AO1232" s="779"/>
      <c r="AP1232" s="779"/>
      <c r="AQ1232" s="780"/>
      <c r="AR1232" s="780"/>
      <c r="AS1232" s="780"/>
      <c r="AT1232" s="780"/>
      <c r="AU1232" s="780"/>
      <c r="AV1232" s="780"/>
      <c r="AW1232" s="780"/>
      <c r="AX1232" s="780"/>
      <c r="AY1232" s="780"/>
      <c r="AZ1232" s="780"/>
      <c r="BA1232" s="780"/>
      <c r="BB1232" s="780"/>
      <c r="BC1232" s="780"/>
      <c r="BD1232" s="780"/>
      <c r="BE1232" s="780"/>
    </row>
    <row r="1233" customFormat="false" ht="14.15" hidden="true" customHeight="true" outlineLevel="1" collapsed="false">
      <c r="A1233" s="865" t="s">
        <v>2469</v>
      </c>
      <c r="B1233" s="867" t="s">
        <v>2164</v>
      </c>
      <c r="C1233" s="866"/>
      <c r="D1233" s="491"/>
      <c r="H1233" s="845"/>
      <c r="I1233" s="479"/>
      <c r="J1233" s="479"/>
      <c r="K1233" s="479"/>
      <c r="L1233" s="479"/>
      <c r="M1233" s="479"/>
      <c r="N1233" s="479"/>
      <c r="O1233" s="479"/>
      <c r="P1233" s="479"/>
      <c r="Q1233" s="342"/>
      <c r="R1233" s="778"/>
      <c r="S1233" s="778"/>
      <c r="T1233" s="778"/>
      <c r="U1233" s="778"/>
      <c r="V1233" s="778"/>
      <c r="W1233" s="778"/>
      <c r="X1233" s="778"/>
      <c r="Y1233" s="778"/>
      <c r="Z1233" s="778"/>
      <c r="AA1233" s="778"/>
      <c r="AB1233" s="778"/>
      <c r="AC1233" s="778"/>
      <c r="AD1233" s="778"/>
      <c r="AE1233" s="778"/>
      <c r="AF1233" s="778"/>
      <c r="AG1233" s="778"/>
      <c r="AH1233" s="778"/>
      <c r="AI1233" s="778"/>
      <c r="AJ1233" s="778"/>
      <c r="AK1233" s="778"/>
      <c r="AL1233" s="778"/>
      <c r="AM1233" s="778"/>
      <c r="AN1233" s="778"/>
      <c r="AO1233" s="779"/>
      <c r="AP1233" s="779"/>
      <c r="AQ1233" s="780"/>
      <c r="AR1233" s="780"/>
      <c r="AS1233" s="780"/>
      <c r="AT1233" s="780"/>
      <c r="AU1233" s="780"/>
      <c r="AV1233" s="780"/>
      <c r="AW1233" s="780"/>
      <c r="AX1233" s="780"/>
      <c r="AY1233" s="780"/>
      <c r="AZ1233" s="780"/>
      <c r="BA1233" s="780"/>
      <c r="BB1233" s="780"/>
      <c r="BC1233" s="780"/>
      <c r="BD1233" s="780"/>
      <c r="BE1233" s="780"/>
    </row>
    <row r="1234" customFormat="false" ht="14.15" hidden="true" customHeight="true" outlineLevel="1" collapsed="false">
      <c r="A1234" s="864" t="s">
        <v>2470</v>
      </c>
      <c r="B1234" s="861" t="s">
        <v>2164</v>
      </c>
      <c r="C1234" s="623" t="s">
        <v>1798</v>
      </c>
      <c r="D1234" s="491"/>
      <c r="H1234" s="845"/>
      <c r="I1234" s="479"/>
      <c r="J1234" s="479"/>
      <c r="K1234" s="479"/>
      <c r="L1234" s="479"/>
      <c r="M1234" s="479"/>
      <c r="N1234" s="479"/>
      <c r="O1234" s="479"/>
      <c r="P1234" s="479"/>
      <c r="Q1234" s="342"/>
      <c r="R1234" s="778"/>
      <c r="S1234" s="778"/>
      <c r="T1234" s="778"/>
      <c r="U1234" s="778"/>
      <c r="V1234" s="778"/>
      <c r="W1234" s="778"/>
      <c r="X1234" s="778"/>
      <c r="Y1234" s="778"/>
      <c r="Z1234" s="778"/>
      <c r="AA1234" s="778"/>
      <c r="AB1234" s="778"/>
      <c r="AC1234" s="778"/>
      <c r="AD1234" s="778"/>
      <c r="AE1234" s="778"/>
      <c r="AF1234" s="778"/>
      <c r="AG1234" s="778"/>
      <c r="AH1234" s="778"/>
      <c r="AI1234" s="778"/>
      <c r="AJ1234" s="778"/>
      <c r="AK1234" s="778"/>
      <c r="AL1234" s="778"/>
      <c r="AM1234" s="778"/>
      <c r="AN1234" s="778"/>
      <c r="AO1234" s="779"/>
      <c r="AP1234" s="779"/>
      <c r="AQ1234" s="780"/>
      <c r="AR1234" s="780"/>
      <c r="AS1234" s="780"/>
      <c r="AT1234" s="780"/>
      <c r="AU1234" s="780"/>
      <c r="AV1234" s="780"/>
      <c r="AW1234" s="780"/>
      <c r="AX1234" s="780"/>
      <c r="AY1234" s="780"/>
      <c r="AZ1234" s="780"/>
      <c r="BA1234" s="780"/>
      <c r="BB1234" s="780"/>
      <c r="BC1234" s="780"/>
      <c r="BD1234" s="780"/>
      <c r="BE1234" s="780"/>
    </row>
    <row r="1235" customFormat="false" ht="14.15" hidden="true" customHeight="true" outlineLevel="1" collapsed="false">
      <c r="A1235" s="864" t="s">
        <v>2471</v>
      </c>
      <c r="B1235" s="861" t="s">
        <v>2164</v>
      </c>
      <c r="C1235" s="623" t="s">
        <v>1798</v>
      </c>
      <c r="D1235" s="491"/>
      <c r="H1235" s="845"/>
      <c r="I1235" s="479"/>
      <c r="J1235" s="479"/>
      <c r="K1235" s="479"/>
      <c r="L1235" s="479"/>
      <c r="M1235" s="479"/>
      <c r="N1235" s="479"/>
      <c r="O1235" s="479"/>
      <c r="P1235" s="479"/>
      <c r="Q1235" s="342"/>
      <c r="R1235" s="778"/>
      <c r="S1235" s="778"/>
      <c r="T1235" s="778"/>
      <c r="U1235" s="778"/>
      <c r="V1235" s="778"/>
      <c r="W1235" s="778"/>
      <c r="X1235" s="778"/>
      <c r="Y1235" s="778"/>
      <c r="Z1235" s="778"/>
      <c r="AA1235" s="778"/>
      <c r="AB1235" s="778"/>
      <c r="AC1235" s="778"/>
      <c r="AD1235" s="778"/>
      <c r="AE1235" s="778"/>
      <c r="AF1235" s="778"/>
      <c r="AG1235" s="778"/>
      <c r="AH1235" s="778"/>
      <c r="AI1235" s="778"/>
      <c r="AJ1235" s="778"/>
      <c r="AK1235" s="778"/>
      <c r="AL1235" s="778"/>
      <c r="AM1235" s="778"/>
      <c r="AN1235" s="778"/>
      <c r="AO1235" s="779"/>
      <c r="AP1235" s="779"/>
      <c r="AQ1235" s="780"/>
      <c r="AR1235" s="780"/>
      <c r="AS1235" s="780"/>
      <c r="AT1235" s="780"/>
      <c r="AU1235" s="780"/>
      <c r="AV1235" s="780"/>
      <c r="AW1235" s="780"/>
      <c r="AX1235" s="780"/>
      <c r="AY1235" s="780"/>
      <c r="AZ1235" s="780"/>
      <c r="BA1235" s="780"/>
      <c r="BB1235" s="780"/>
      <c r="BC1235" s="780"/>
      <c r="BD1235" s="780"/>
      <c r="BE1235" s="780"/>
    </row>
    <row r="1236" customFormat="false" ht="14.15" hidden="true" customHeight="true" outlineLevel="1" collapsed="false">
      <c r="A1236" s="864" t="s">
        <v>2474</v>
      </c>
      <c r="B1236" s="861" t="s">
        <v>2164</v>
      </c>
      <c r="C1236" s="623" t="s">
        <v>1798</v>
      </c>
      <c r="D1236" s="491"/>
      <c r="H1236" s="845"/>
      <c r="I1236" s="479"/>
      <c r="J1236" s="479"/>
      <c r="K1236" s="479"/>
      <c r="L1236" s="479"/>
      <c r="M1236" s="479"/>
      <c r="N1236" s="479"/>
      <c r="O1236" s="479"/>
      <c r="P1236" s="479"/>
      <c r="Q1236" s="342"/>
      <c r="R1236" s="778"/>
      <c r="S1236" s="778"/>
      <c r="T1236" s="778"/>
      <c r="U1236" s="778"/>
      <c r="V1236" s="778"/>
      <c r="W1236" s="778"/>
      <c r="X1236" s="778"/>
      <c r="Y1236" s="778"/>
      <c r="Z1236" s="778"/>
      <c r="AA1236" s="778"/>
      <c r="AB1236" s="778"/>
      <c r="AC1236" s="778"/>
      <c r="AD1236" s="778"/>
      <c r="AE1236" s="778"/>
      <c r="AF1236" s="778"/>
      <c r="AG1236" s="778"/>
      <c r="AH1236" s="778"/>
      <c r="AI1236" s="778"/>
      <c r="AJ1236" s="778"/>
      <c r="AK1236" s="778"/>
      <c r="AL1236" s="778"/>
      <c r="AM1236" s="778"/>
      <c r="AN1236" s="778"/>
      <c r="AO1236" s="779"/>
      <c r="AP1236" s="779"/>
      <c r="AQ1236" s="780"/>
      <c r="AR1236" s="780"/>
      <c r="AS1236" s="780"/>
      <c r="AT1236" s="780"/>
      <c r="AU1236" s="780"/>
      <c r="AV1236" s="780"/>
      <c r="AW1236" s="780"/>
      <c r="AX1236" s="780"/>
      <c r="AY1236" s="780"/>
      <c r="AZ1236" s="780"/>
      <c r="BA1236" s="780"/>
      <c r="BB1236" s="780"/>
      <c r="BC1236" s="780"/>
      <c r="BD1236" s="780"/>
      <c r="BE1236" s="780"/>
    </row>
    <row r="1237" customFormat="false" ht="14.15" hidden="true" customHeight="true" outlineLevel="1" collapsed="false">
      <c r="A1237" s="865" t="s">
        <v>1282</v>
      </c>
      <c r="B1237" s="861" t="s">
        <v>2164</v>
      </c>
      <c r="C1237" s="866"/>
      <c r="D1237" s="491"/>
      <c r="H1237" s="845"/>
      <c r="I1237" s="479"/>
      <c r="J1237" s="479"/>
      <c r="K1237" s="479"/>
      <c r="L1237" s="479"/>
      <c r="M1237" s="479"/>
      <c r="N1237" s="479"/>
      <c r="O1237" s="479"/>
      <c r="P1237" s="479"/>
      <c r="Q1237" s="342"/>
      <c r="R1237" s="778"/>
      <c r="S1237" s="778"/>
      <c r="T1237" s="778"/>
      <c r="U1237" s="778"/>
      <c r="V1237" s="778"/>
      <c r="W1237" s="778"/>
      <c r="X1237" s="778"/>
      <c r="Y1237" s="778"/>
      <c r="Z1237" s="778"/>
      <c r="AA1237" s="778"/>
      <c r="AB1237" s="778"/>
      <c r="AC1237" s="778"/>
      <c r="AD1237" s="778"/>
      <c r="AE1237" s="778"/>
      <c r="AF1237" s="778"/>
      <c r="AG1237" s="778"/>
      <c r="AH1237" s="778"/>
      <c r="AI1237" s="778"/>
      <c r="AJ1237" s="778"/>
      <c r="AK1237" s="778"/>
      <c r="AL1237" s="778"/>
      <c r="AM1237" s="778"/>
      <c r="AN1237" s="778"/>
      <c r="AO1237" s="779"/>
      <c r="AP1237" s="779"/>
      <c r="AQ1237" s="780"/>
      <c r="AR1237" s="780"/>
      <c r="AS1237" s="780"/>
      <c r="AT1237" s="780"/>
      <c r="AU1237" s="780"/>
      <c r="AV1237" s="780"/>
      <c r="AW1237" s="780"/>
      <c r="AX1237" s="780"/>
      <c r="AY1237" s="780"/>
      <c r="AZ1237" s="780"/>
      <c r="BA1237" s="780"/>
      <c r="BB1237" s="780"/>
      <c r="BC1237" s="780"/>
      <c r="BD1237" s="780"/>
      <c r="BE1237" s="780"/>
    </row>
    <row r="1238" customFormat="false" ht="14.15" hidden="true" customHeight="true" outlineLevel="1" collapsed="false">
      <c r="A1238" s="861" t="s">
        <v>1590</v>
      </c>
      <c r="B1238" s="861" t="s">
        <v>2164</v>
      </c>
      <c r="C1238" s="862" t="s">
        <v>1821</v>
      </c>
      <c r="D1238" s="491"/>
      <c r="H1238" s="491"/>
      <c r="I1238" s="477"/>
      <c r="J1238" s="477"/>
      <c r="K1238" s="863"/>
      <c r="L1238" s="855"/>
      <c r="M1238" s="855"/>
      <c r="N1238" s="855"/>
      <c r="O1238" s="855"/>
      <c r="P1238" s="342"/>
      <c r="Q1238" s="342"/>
      <c r="R1238" s="778"/>
      <c r="S1238" s="778"/>
      <c r="T1238" s="778"/>
      <c r="U1238" s="778"/>
      <c r="V1238" s="778"/>
      <c r="W1238" s="778"/>
      <c r="X1238" s="778"/>
      <c r="Y1238" s="778"/>
      <c r="Z1238" s="778"/>
      <c r="AA1238" s="778"/>
      <c r="AB1238" s="778"/>
      <c r="AC1238" s="778"/>
      <c r="AD1238" s="778"/>
      <c r="AE1238" s="778"/>
      <c r="AF1238" s="778"/>
      <c r="AG1238" s="778"/>
      <c r="AH1238" s="778"/>
      <c r="AI1238" s="778"/>
      <c r="AJ1238" s="778"/>
      <c r="AK1238" s="778"/>
      <c r="AL1238" s="778"/>
      <c r="AM1238" s="778"/>
      <c r="AN1238" s="778"/>
      <c r="AO1238" s="779"/>
      <c r="AP1238" s="779"/>
      <c r="AQ1238" s="780"/>
      <c r="AR1238" s="780"/>
      <c r="AS1238" s="780"/>
      <c r="AT1238" s="780"/>
      <c r="AU1238" s="780"/>
      <c r="AV1238" s="780"/>
      <c r="AW1238" s="780"/>
      <c r="AX1238" s="780"/>
      <c r="AY1238" s="780"/>
      <c r="AZ1238" s="780"/>
      <c r="BA1238" s="780"/>
      <c r="BB1238" s="780"/>
      <c r="BC1238" s="780"/>
      <c r="BD1238" s="780"/>
      <c r="BE1238" s="780"/>
    </row>
    <row r="1239" customFormat="false" ht="14.15" hidden="true" customHeight="true" outlineLevel="1" collapsed="false">
      <c r="A1239" s="865" t="s">
        <v>2475</v>
      </c>
      <c r="B1239" s="861" t="s">
        <v>2164</v>
      </c>
      <c r="C1239" s="866"/>
      <c r="D1239" s="491"/>
      <c r="H1239" s="845"/>
      <c r="I1239" s="479"/>
      <c r="J1239" s="479"/>
      <c r="K1239" s="479"/>
      <c r="L1239" s="479"/>
      <c r="M1239" s="479"/>
      <c r="N1239" s="479"/>
      <c r="O1239" s="479"/>
      <c r="P1239" s="479"/>
      <c r="Q1239" s="342"/>
      <c r="R1239" s="778"/>
      <c r="S1239" s="778"/>
      <c r="T1239" s="778"/>
      <c r="U1239" s="778"/>
      <c r="V1239" s="778"/>
      <c r="W1239" s="778"/>
      <c r="X1239" s="778"/>
      <c r="Y1239" s="778"/>
      <c r="Z1239" s="778"/>
      <c r="AA1239" s="778"/>
      <c r="AB1239" s="778"/>
      <c r="AC1239" s="778"/>
      <c r="AD1239" s="778"/>
      <c r="AE1239" s="778"/>
      <c r="AF1239" s="778"/>
      <c r="AG1239" s="778"/>
      <c r="AH1239" s="778"/>
      <c r="AI1239" s="778"/>
      <c r="AJ1239" s="778"/>
      <c r="AK1239" s="778"/>
      <c r="AL1239" s="778"/>
      <c r="AM1239" s="778"/>
      <c r="AN1239" s="778"/>
      <c r="AO1239" s="779"/>
      <c r="AP1239" s="779"/>
      <c r="AQ1239" s="780"/>
      <c r="AR1239" s="780"/>
      <c r="AS1239" s="780"/>
      <c r="AT1239" s="780"/>
      <c r="AU1239" s="780"/>
      <c r="AV1239" s="780"/>
      <c r="AW1239" s="780"/>
      <c r="AX1239" s="780"/>
      <c r="AY1239" s="780"/>
      <c r="AZ1239" s="780"/>
      <c r="BA1239" s="780"/>
      <c r="BB1239" s="780"/>
      <c r="BC1239" s="780"/>
      <c r="BD1239" s="780"/>
      <c r="BE1239" s="780"/>
    </row>
    <row r="1240" customFormat="false" ht="14.15" hidden="true" customHeight="true" outlineLevel="1" collapsed="false">
      <c r="A1240" s="864" t="s">
        <v>2476</v>
      </c>
      <c r="B1240" s="861" t="s">
        <v>133</v>
      </c>
      <c r="C1240" s="775" t="n">
        <v>0</v>
      </c>
      <c r="D1240" s="491"/>
      <c r="H1240" s="845"/>
      <c r="I1240" s="479"/>
      <c r="J1240" s="479"/>
      <c r="K1240" s="479"/>
      <c r="L1240" s="479"/>
      <c r="M1240" s="479"/>
      <c r="N1240" s="479"/>
      <c r="O1240" s="479"/>
      <c r="P1240" s="479"/>
      <c r="Q1240" s="342"/>
      <c r="R1240" s="778"/>
      <c r="S1240" s="778"/>
      <c r="T1240" s="778"/>
      <c r="U1240" s="778"/>
      <c r="V1240" s="778"/>
      <c r="W1240" s="778"/>
      <c r="X1240" s="778"/>
      <c r="Y1240" s="778"/>
      <c r="Z1240" s="778"/>
      <c r="AA1240" s="778"/>
      <c r="AB1240" s="778"/>
      <c r="AC1240" s="778"/>
      <c r="AD1240" s="778"/>
      <c r="AE1240" s="778"/>
      <c r="AF1240" s="778"/>
      <c r="AG1240" s="778"/>
      <c r="AH1240" s="778"/>
      <c r="AI1240" s="778"/>
      <c r="AJ1240" s="778"/>
      <c r="AK1240" s="778"/>
      <c r="AL1240" s="778"/>
      <c r="AM1240" s="778"/>
      <c r="AN1240" s="778"/>
      <c r="AO1240" s="779"/>
      <c r="AP1240" s="779"/>
      <c r="AQ1240" s="780"/>
      <c r="AR1240" s="780"/>
      <c r="AS1240" s="780"/>
      <c r="AT1240" s="780"/>
      <c r="AU1240" s="780"/>
      <c r="AV1240" s="780"/>
      <c r="AW1240" s="780"/>
      <c r="AX1240" s="780"/>
      <c r="AY1240" s="780"/>
      <c r="AZ1240" s="780"/>
      <c r="BA1240" s="780"/>
      <c r="BB1240" s="780"/>
      <c r="BC1240" s="780"/>
      <c r="BD1240" s="780"/>
      <c r="BE1240" s="780"/>
    </row>
    <row r="1241" customFormat="false" ht="14.15" hidden="true" customHeight="true" outlineLevel="1" collapsed="false">
      <c r="A1241" s="864" t="s">
        <v>2477</v>
      </c>
      <c r="B1241" s="861" t="s">
        <v>2164</v>
      </c>
      <c r="C1241" s="623" t="s">
        <v>1798</v>
      </c>
      <c r="D1241" s="491"/>
      <c r="H1241" s="845"/>
      <c r="I1241" s="479"/>
      <c r="J1241" s="479"/>
      <c r="K1241" s="479"/>
      <c r="L1241" s="479"/>
      <c r="M1241" s="479"/>
      <c r="N1241" s="479"/>
      <c r="O1241" s="479"/>
      <c r="P1241" s="479"/>
      <c r="Q1241" s="342"/>
      <c r="R1241" s="778"/>
      <c r="S1241" s="778"/>
      <c r="T1241" s="778"/>
      <c r="U1241" s="778"/>
      <c r="V1241" s="778"/>
      <c r="W1241" s="778"/>
      <c r="X1241" s="778"/>
      <c r="Y1241" s="778"/>
      <c r="Z1241" s="778"/>
      <c r="AA1241" s="778"/>
      <c r="AB1241" s="778"/>
      <c r="AC1241" s="778"/>
      <c r="AD1241" s="778"/>
      <c r="AE1241" s="778"/>
      <c r="AF1241" s="778"/>
      <c r="AG1241" s="778"/>
      <c r="AH1241" s="778"/>
      <c r="AI1241" s="778"/>
      <c r="AJ1241" s="778"/>
      <c r="AK1241" s="778"/>
      <c r="AL1241" s="778"/>
      <c r="AM1241" s="778"/>
      <c r="AN1241" s="778"/>
      <c r="AO1241" s="779"/>
      <c r="AP1241" s="779"/>
      <c r="AQ1241" s="780"/>
      <c r="AR1241" s="780"/>
      <c r="AS1241" s="780"/>
      <c r="AT1241" s="780"/>
      <c r="AU1241" s="780"/>
      <c r="AV1241" s="780"/>
      <c r="AW1241" s="780"/>
      <c r="AX1241" s="780"/>
      <c r="AY1241" s="780"/>
      <c r="AZ1241" s="780"/>
      <c r="BA1241" s="780"/>
      <c r="BB1241" s="780"/>
      <c r="BC1241" s="780"/>
      <c r="BD1241" s="780"/>
      <c r="BE1241" s="780"/>
    </row>
    <row r="1242" customFormat="false" ht="14.15" hidden="true" customHeight="true" outlineLevel="1" collapsed="false">
      <c r="A1242" s="861" t="s">
        <v>1305</v>
      </c>
      <c r="B1242" s="861" t="s">
        <v>2164</v>
      </c>
      <c r="C1242" s="862" t="s">
        <v>1798</v>
      </c>
      <c r="D1242" s="491"/>
      <c r="H1242" s="491"/>
      <c r="I1242" s="477"/>
      <c r="J1242" s="477"/>
      <c r="K1242" s="863"/>
      <c r="L1242" s="855"/>
      <c r="M1242" s="855"/>
      <c r="N1242" s="855"/>
      <c r="O1242" s="855"/>
      <c r="P1242" s="342"/>
      <c r="Q1242" s="342"/>
      <c r="R1242" s="778"/>
      <c r="S1242" s="778"/>
      <c r="T1242" s="778"/>
      <c r="U1242" s="778"/>
      <c r="V1242" s="778"/>
      <c r="W1242" s="778"/>
      <c r="X1242" s="778"/>
      <c r="Y1242" s="778"/>
      <c r="Z1242" s="778"/>
      <c r="AA1242" s="778"/>
      <c r="AB1242" s="778"/>
      <c r="AC1242" s="778"/>
      <c r="AD1242" s="778"/>
      <c r="AE1242" s="778"/>
      <c r="AF1242" s="778"/>
      <c r="AG1242" s="778"/>
      <c r="AH1242" s="778"/>
      <c r="AI1242" s="778"/>
      <c r="AJ1242" s="778"/>
      <c r="AK1242" s="778"/>
      <c r="AL1242" s="778"/>
      <c r="AM1242" s="778"/>
      <c r="AN1242" s="778"/>
      <c r="AO1242" s="779"/>
      <c r="AP1242" s="779"/>
      <c r="AQ1242" s="780"/>
      <c r="AR1242" s="780"/>
      <c r="AS1242" s="780"/>
      <c r="AT1242" s="780"/>
      <c r="AU1242" s="780"/>
      <c r="AV1242" s="780"/>
      <c r="AW1242" s="780"/>
      <c r="AX1242" s="780"/>
      <c r="AY1242" s="780"/>
      <c r="AZ1242" s="780"/>
      <c r="BA1242" s="780"/>
      <c r="BB1242" s="780"/>
      <c r="BC1242" s="780"/>
      <c r="BD1242" s="780"/>
      <c r="BE1242" s="780"/>
    </row>
    <row r="1243" customFormat="false" ht="14.15" hidden="true" customHeight="true" outlineLevel="1" collapsed="false">
      <c r="A1243" s="864" t="s">
        <v>2478</v>
      </c>
      <c r="B1243" s="861" t="s">
        <v>133</v>
      </c>
      <c r="C1243" s="775" t="n">
        <v>6</v>
      </c>
      <c r="D1243" s="491"/>
      <c r="H1243" s="491"/>
      <c r="I1243" s="479"/>
      <c r="J1243" s="479"/>
      <c r="K1243" s="479"/>
      <c r="L1243" s="479"/>
      <c r="M1243" s="479"/>
      <c r="N1243" s="855"/>
      <c r="O1243" s="855"/>
      <c r="P1243" s="342"/>
      <c r="Q1243" s="342"/>
      <c r="R1243" s="778"/>
      <c r="S1243" s="778"/>
      <c r="T1243" s="778"/>
      <c r="U1243" s="778"/>
      <c r="V1243" s="778"/>
      <c r="W1243" s="778"/>
      <c r="X1243" s="778"/>
      <c r="Y1243" s="778"/>
      <c r="Z1243" s="778"/>
      <c r="AA1243" s="778"/>
      <c r="AB1243" s="778"/>
      <c r="AC1243" s="778"/>
      <c r="AD1243" s="778"/>
      <c r="AE1243" s="778"/>
      <c r="AF1243" s="778"/>
      <c r="AG1243" s="778"/>
      <c r="AH1243" s="778"/>
      <c r="AI1243" s="778"/>
      <c r="AJ1243" s="778"/>
      <c r="AK1243" s="778"/>
      <c r="AL1243" s="778"/>
      <c r="AM1243" s="778"/>
      <c r="AN1243" s="778"/>
      <c r="AO1243" s="779"/>
      <c r="AP1243" s="779"/>
      <c r="AQ1243" s="780"/>
      <c r="AR1243" s="780"/>
      <c r="AS1243" s="780"/>
      <c r="AT1243" s="780"/>
      <c r="AU1243" s="780"/>
      <c r="AV1243" s="780"/>
      <c r="AW1243" s="780"/>
      <c r="AX1243" s="780"/>
      <c r="AY1243" s="780"/>
      <c r="AZ1243" s="780"/>
      <c r="BA1243" s="780"/>
      <c r="BB1243" s="780"/>
      <c r="BC1243" s="780"/>
      <c r="BD1243" s="780"/>
      <c r="BE1243" s="780"/>
    </row>
    <row r="1244" customFormat="false" ht="14.15" hidden="true" customHeight="true" outlineLevel="1" collapsed="false">
      <c r="A1244" s="864" t="s">
        <v>2479</v>
      </c>
      <c r="B1244" s="861" t="s">
        <v>133</v>
      </c>
      <c r="C1244" s="775" t="n">
        <v>6</v>
      </c>
      <c r="D1244" s="491"/>
      <c r="H1244" s="491"/>
      <c r="I1244" s="479"/>
      <c r="J1244" s="479"/>
      <c r="K1244" s="479"/>
      <c r="L1244" s="479"/>
      <c r="M1244" s="479"/>
      <c r="N1244" s="855"/>
      <c r="O1244" s="855"/>
      <c r="P1244" s="342"/>
      <c r="Q1244" s="342"/>
      <c r="R1244" s="778"/>
      <c r="S1244" s="778"/>
      <c r="T1244" s="778"/>
      <c r="U1244" s="778"/>
      <c r="V1244" s="778"/>
      <c r="W1244" s="778"/>
      <c r="X1244" s="778"/>
      <c r="Y1244" s="778"/>
      <c r="Z1244" s="778"/>
      <c r="AA1244" s="778"/>
      <c r="AB1244" s="778"/>
      <c r="AC1244" s="778"/>
      <c r="AD1244" s="778"/>
      <c r="AE1244" s="778"/>
      <c r="AF1244" s="778"/>
      <c r="AG1244" s="778"/>
      <c r="AH1244" s="778"/>
      <c r="AI1244" s="778"/>
      <c r="AJ1244" s="778"/>
      <c r="AK1244" s="778"/>
      <c r="AL1244" s="778"/>
      <c r="AM1244" s="778"/>
      <c r="AN1244" s="778"/>
      <c r="AO1244" s="779"/>
      <c r="AP1244" s="779"/>
      <c r="AQ1244" s="780"/>
      <c r="AR1244" s="780"/>
      <c r="AS1244" s="780"/>
      <c r="AT1244" s="780"/>
      <c r="AU1244" s="780"/>
      <c r="AV1244" s="780"/>
      <c r="AW1244" s="780"/>
      <c r="AX1244" s="780"/>
      <c r="AY1244" s="780"/>
      <c r="AZ1244" s="780"/>
      <c r="BA1244" s="780"/>
      <c r="BB1244" s="780"/>
      <c r="BC1244" s="780"/>
      <c r="BD1244" s="780"/>
      <c r="BE1244" s="780"/>
    </row>
    <row r="1245" customFormat="false" ht="14.15" hidden="true" customHeight="true" outlineLevel="1" collapsed="false">
      <c r="A1245" s="864" t="s">
        <v>2480</v>
      </c>
      <c r="B1245" s="861" t="s">
        <v>133</v>
      </c>
      <c r="C1245" s="775" t="n">
        <v>6</v>
      </c>
      <c r="D1245" s="491"/>
      <c r="H1245" s="491"/>
      <c r="I1245" s="479"/>
      <c r="J1245" s="479"/>
      <c r="K1245" s="479"/>
      <c r="L1245" s="479"/>
      <c r="M1245" s="479"/>
      <c r="N1245" s="855"/>
      <c r="O1245" s="855"/>
      <c r="P1245" s="342"/>
      <c r="Q1245" s="342"/>
      <c r="R1245" s="778"/>
      <c r="S1245" s="778"/>
      <c r="T1245" s="778"/>
      <c r="U1245" s="778"/>
      <c r="V1245" s="778"/>
      <c r="W1245" s="778"/>
      <c r="X1245" s="778"/>
      <c r="Y1245" s="778"/>
      <c r="Z1245" s="778"/>
      <c r="AA1245" s="778"/>
      <c r="AB1245" s="778"/>
      <c r="AC1245" s="778"/>
      <c r="AD1245" s="778"/>
      <c r="AE1245" s="778"/>
      <c r="AF1245" s="778"/>
      <c r="AG1245" s="778"/>
      <c r="AH1245" s="778"/>
      <c r="AI1245" s="778"/>
      <c r="AJ1245" s="778"/>
      <c r="AK1245" s="778"/>
      <c r="AL1245" s="778"/>
      <c r="AM1245" s="778"/>
      <c r="AN1245" s="778"/>
      <c r="AO1245" s="779"/>
      <c r="AP1245" s="779"/>
      <c r="AQ1245" s="780"/>
      <c r="AR1245" s="780"/>
      <c r="AS1245" s="780"/>
      <c r="AT1245" s="780"/>
      <c r="AU1245" s="780"/>
      <c r="AV1245" s="780"/>
      <c r="AW1245" s="780"/>
      <c r="AX1245" s="780"/>
      <c r="AY1245" s="780"/>
      <c r="AZ1245" s="780"/>
      <c r="BA1245" s="780"/>
      <c r="BB1245" s="780"/>
      <c r="BC1245" s="780"/>
      <c r="BD1245" s="780"/>
      <c r="BE1245" s="780"/>
    </row>
    <row r="1246" customFormat="false" ht="14.15" hidden="true" customHeight="true" outlineLevel="1" collapsed="false">
      <c r="A1246" s="864" t="s">
        <v>2481</v>
      </c>
      <c r="B1246" s="861" t="s">
        <v>2164</v>
      </c>
      <c r="C1246" s="866"/>
      <c r="D1246" s="491"/>
      <c r="H1246" s="845"/>
      <c r="I1246" s="479"/>
      <c r="J1246" s="479"/>
      <c r="K1246" s="479"/>
      <c r="L1246" s="479"/>
      <c r="M1246" s="479"/>
      <c r="N1246" s="479"/>
      <c r="O1246" s="479"/>
      <c r="P1246" s="479"/>
      <c r="Q1246" s="342"/>
      <c r="R1246" s="778"/>
      <c r="S1246" s="778"/>
      <c r="T1246" s="778"/>
      <c r="U1246" s="778"/>
      <c r="V1246" s="778"/>
      <c r="W1246" s="778"/>
      <c r="X1246" s="778"/>
      <c r="Y1246" s="778"/>
      <c r="Z1246" s="778"/>
      <c r="AA1246" s="778"/>
      <c r="AB1246" s="778"/>
      <c r="AC1246" s="778"/>
      <c r="AD1246" s="778"/>
      <c r="AE1246" s="778"/>
      <c r="AF1246" s="778"/>
      <c r="AG1246" s="778"/>
      <c r="AH1246" s="778"/>
      <c r="AI1246" s="778"/>
      <c r="AJ1246" s="778"/>
      <c r="AK1246" s="778"/>
      <c r="AL1246" s="778"/>
      <c r="AM1246" s="778"/>
      <c r="AN1246" s="778"/>
      <c r="AO1246" s="779"/>
      <c r="AP1246" s="779"/>
      <c r="AQ1246" s="780"/>
      <c r="AR1246" s="780"/>
      <c r="AS1246" s="780"/>
      <c r="AT1246" s="780"/>
      <c r="AU1246" s="780"/>
      <c r="AV1246" s="780"/>
      <c r="AW1246" s="780"/>
      <c r="AX1246" s="780"/>
      <c r="AY1246" s="780"/>
      <c r="AZ1246" s="780"/>
      <c r="BA1246" s="780"/>
      <c r="BB1246" s="780"/>
      <c r="BC1246" s="780"/>
      <c r="BD1246" s="780"/>
      <c r="BE1246" s="780"/>
    </row>
    <row r="1247" customFormat="false" ht="14.15" hidden="true" customHeight="true" outlineLevel="1" collapsed="false">
      <c r="A1247" s="864" t="s">
        <v>2482</v>
      </c>
      <c r="B1247" s="861" t="s">
        <v>2164</v>
      </c>
      <c r="C1247" s="866"/>
      <c r="D1247" s="491"/>
      <c r="H1247" s="845"/>
      <c r="I1247" s="479"/>
      <c r="J1247" s="479"/>
      <c r="K1247" s="479"/>
      <c r="L1247" s="479"/>
      <c r="M1247" s="479"/>
      <c r="N1247" s="479"/>
      <c r="O1247" s="479"/>
      <c r="P1247" s="479"/>
      <c r="Q1247" s="342"/>
      <c r="R1247" s="778"/>
      <c r="S1247" s="778"/>
      <c r="T1247" s="778"/>
      <c r="U1247" s="778"/>
      <c r="V1247" s="778"/>
      <c r="W1247" s="778"/>
      <c r="X1247" s="778"/>
      <c r="Y1247" s="778"/>
      <c r="Z1247" s="778"/>
      <c r="AA1247" s="778"/>
      <c r="AB1247" s="778"/>
      <c r="AC1247" s="778"/>
      <c r="AD1247" s="778"/>
      <c r="AE1247" s="778"/>
      <c r="AF1247" s="778"/>
      <c r="AG1247" s="778"/>
      <c r="AH1247" s="778"/>
      <c r="AI1247" s="778"/>
      <c r="AJ1247" s="778"/>
      <c r="AK1247" s="778"/>
      <c r="AL1247" s="778"/>
      <c r="AM1247" s="778"/>
      <c r="AN1247" s="778"/>
      <c r="AO1247" s="779"/>
      <c r="AP1247" s="779"/>
      <c r="AQ1247" s="780"/>
      <c r="AR1247" s="780"/>
      <c r="AS1247" s="780"/>
      <c r="AT1247" s="780"/>
      <c r="AU1247" s="780"/>
      <c r="AV1247" s="780"/>
      <c r="AW1247" s="780"/>
      <c r="AX1247" s="780"/>
      <c r="AY1247" s="780"/>
      <c r="AZ1247" s="780"/>
      <c r="BA1247" s="780"/>
      <c r="BB1247" s="780"/>
      <c r="BC1247" s="780"/>
      <c r="BD1247" s="780"/>
      <c r="BE1247" s="780"/>
    </row>
    <row r="1248" customFormat="false" ht="14.15" hidden="true" customHeight="true" outlineLevel="1" collapsed="false">
      <c r="A1248" s="864" t="s">
        <v>2483</v>
      </c>
      <c r="B1248" s="861" t="s">
        <v>2164</v>
      </c>
      <c r="C1248" s="866"/>
      <c r="D1248" s="491"/>
      <c r="H1248" s="845"/>
      <c r="I1248" s="479"/>
      <c r="J1248" s="479"/>
      <c r="K1248" s="479"/>
      <c r="L1248" s="479"/>
      <c r="M1248" s="479"/>
      <c r="N1248" s="479"/>
      <c r="O1248" s="479"/>
      <c r="P1248" s="479"/>
      <c r="Q1248" s="342"/>
      <c r="R1248" s="778"/>
      <c r="S1248" s="778"/>
      <c r="T1248" s="778"/>
      <c r="U1248" s="778"/>
      <c r="V1248" s="778"/>
      <c r="W1248" s="778"/>
      <c r="X1248" s="778"/>
      <c r="Y1248" s="778"/>
      <c r="Z1248" s="778"/>
      <c r="AA1248" s="778"/>
      <c r="AB1248" s="778"/>
      <c r="AC1248" s="778"/>
      <c r="AD1248" s="778"/>
      <c r="AE1248" s="778"/>
      <c r="AF1248" s="778"/>
      <c r="AG1248" s="778"/>
      <c r="AH1248" s="778"/>
      <c r="AI1248" s="778"/>
      <c r="AJ1248" s="778"/>
      <c r="AK1248" s="778"/>
      <c r="AL1248" s="778"/>
      <c r="AM1248" s="778"/>
      <c r="AN1248" s="778"/>
      <c r="AO1248" s="779"/>
      <c r="AP1248" s="779"/>
      <c r="AQ1248" s="780"/>
      <c r="AR1248" s="780"/>
      <c r="AS1248" s="780"/>
      <c r="AT1248" s="780"/>
      <c r="AU1248" s="780"/>
      <c r="AV1248" s="780"/>
      <c r="AW1248" s="780"/>
      <c r="AX1248" s="780"/>
      <c r="AY1248" s="780"/>
      <c r="AZ1248" s="780"/>
      <c r="BA1248" s="780"/>
      <c r="BB1248" s="780"/>
      <c r="BC1248" s="780"/>
      <c r="BD1248" s="780"/>
      <c r="BE1248" s="780"/>
    </row>
    <row r="1249" customFormat="false" ht="14.15" hidden="true" customHeight="true" outlineLevel="1" collapsed="false">
      <c r="A1249" s="861" t="s">
        <v>2484</v>
      </c>
      <c r="B1249" s="861" t="s">
        <v>2164</v>
      </c>
      <c r="C1249" s="623" t="s">
        <v>1798</v>
      </c>
      <c r="D1249" s="491"/>
      <c r="H1249" s="845"/>
      <c r="I1249" s="479"/>
      <c r="J1249" s="479"/>
      <c r="K1249" s="479"/>
      <c r="L1249" s="479"/>
      <c r="M1249" s="479"/>
      <c r="N1249" s="479"/>
      <c r="O1249" s="479"/>
      <c r="P1249" s="479"/>
      <c r="Q1249" s="342"/>
      <c r="R1249" s="778"/>
      <c r="S1249" s="778"/>
      <c r="T1249" s="778"/>
      <c r="U1249" s="778"/>
      <c r="V1249" s="778"/>
      <c r="W1249" s="778"/>
      <c r="X1249" s="778"/>
      <c r="Y1249" s="778"/>
      <c r="Z1249" s="778"/>
      <c r="AA1249" s="778"/>
      <c r="AB1249" s="778"/>
      <c r="AC1249" s="778"/>
      <c r="AD1249" s="778"/>
      <c r="AE1249" s="778"/>
      <c r="AF1249" s="778"/>
      <c r="AG1249" s="778"/>
      <c r="AH1249" s="778"/>
      <c r="AI1249" s="778"/>
      <c r="AJ1249" s="778"/>
      <c r="AK1249" s="778"/>
      <c r="AL1249" s="778"/>
      <c r="AM1249" s="778"/>
      <c r="AN1249" s="778"/>
      <c r="AO1249" s="779"/>
      <c r="AP1249" s="779"/>
      <c r="AQ1249" s="780"/>
      <c r="AR1249" s="780"/>
      <c r="AS1249" s="780"/>
      <c r="AT1249" s="780"/>
      <c r="AU1249" s="780"/>
      <c r="AV1249" s="780"/>
      <c r="AW1249" s="780"/>
      <c r="AX1249" s="780"/>
      <c r="AY1249" s="780"/>
      <c r="AZ1249" s="780"/>
      <c r="BA1249" s="780"/>
      <c r="BB1249" s="780"/>
      <c r="BC1249" s="780"/>
      <c r="BD1249" s="780"/>
      <c r="BE1249" s="780"/>
    </row>
    <row r="1250" customFormat="false" ht="14.15" hidden="true" customHeight="true" outlineLevel="1" collapsed="false">
      <c r="A1250" s="868" t="s">
        <v>2211</v>
      </c>
      <c r="B1250" s="861" t="s">
        <v>2164</v>
      </c>
      <c r="C1250" s="623" t="s">
        <v>1821</v>
      </c>
      <c r="D1250" s="491"/>
      <c r="H1250" s="845"/>
      <c r="I1250" s="479"/>
      <c r="J1250" s="479"/>
      <c r="K1250" s="479"/>
      <c r="L1250" s="479"/>
      <c r="M1250" s="479"/>
      <c r="N1250" s="479"/>
      <c r="O1250" s="479"/>
      <c r="P1250" s="479"/>
      <c r="Q1250" s="342"/>
      <c r="R1250" s="778"/>
      <c r="S1250" s="778"/>
      <c r="T1250" s="778"/>
      <c r="U1250" s="778"/>
      <c r="V1250" s="778"/>
      <c r="W1250" s="778"/>
      <c r="X1250" s="778"/>
      <c r="Y1250" s="778"/>
      <c r="Z1250" s="778"/>
      <c r="AA1250" s="778"/>
      <c r="AB1250" s="778"/>
      <c r="AC1250" s="778"/>
      <c r="AD1250" s="778"/>
      <c r="AE1250" s="778"/>
      <c r="AF1250" s="778"/>
      <c r="AG1250" s="778"/>
      <c r="AH1250" s="778"/>
      <c r="AI1250" s="778"/>
      <c r="AJ1250" s="778"/>
      <c r="AK1250" s="778"/>
      <c r="AL1250" s="778"/>
      <c r="AM1250" s="778"/>
      <c r="AN1250" s="778"/>
      <c r="AO1250" s="779"/>
      <c r="AP1250" s="779"/>
      <c r="AQ1250" s="780"/>
      <c r="AR1250" s="780"/>
      <c r="AS1250" s="780"/>
      <c r="AT1250" s="780"/>
      <c r="AU1250" s="780"/>
      <c r="AV1250" s="780"/>
      <c r="AW1250" s="780"/>
      <c r="AX1250" s="780"/>
      <c r="AY1250" s="780"/>
      <c r="AZ1250" s="780"/>
      <c r="BA1250" s="780"/>
      <c r="BB1250" s="780"/>
      <c r="BC1250" s="780"/>
      <c r="BD1250" s="780"/>
      <c r="BE1250" s="780"/>
    </row>
    <row r="1251" customFormat="false" ht="14.15" hidden="true" customHeight="true" outlineLevel="1" collapsed="false">
      <c r="A1251" s="864" t="s">
        <v>2485</v>
      </c>
      <c r="B1251" s="861" t="s">
        <v>2164</v>
      </c>
      <c r="C1251" s="623" t="s">
        <v>1821</v>
      </c>
      <c r="D1251" s="491"/>
      <c r="H1251" s="845"/>
      <c r="I1251" s="479"/>
      <c r="J1251" s="479"/>
      <c r="K1251" s="479"/>
      <c r="L1251" s="479"/>
      <c r="M1251" s="479"/>
      <c r="N1251" s="479"/>
      <c r="O1251" s="479"/>
      <c r="P1251" s="479"/>
      <c r="Q1251" s="342"/>
      <c r="R1251" s="778"/>
      <c r="S1251" s="778"/>
      <c r="T1251" s="778"/>
      <c r="U1251" s="778"/>
      <c r="V1251" s="778"/>
      <c r="W1251" s="778"/>
      <c r="X1251" s="778"/>
      <c r="Y1251" s="778"/>
      <c r="Z1251" s="778"/>
      <c r="AA1251" s="778"/>
      <c r="AB1251" s="778"/>
      <c r="AC1251" s="778"/>
      <c r="AD1251" s="778"/>
      <c r="AE1251" s="778"/>
      <c r="AF1251" s="778"/>
      <c r="AG1251" s="778"/>
      <c r="AH1251" s="778"/>
      <c r="AI1251" s="778"/>
      <c r="AJ1251" s="778"/>
      <c r="AK1251" s="778"/>
      <c r="AL1251" s="778"/>
      <c r="AM1251" s="778"/>
      <c r="AN1251" s="778"/>
      <c r="AO1251" s="779"/>
      <c r="AP1251" s="779"/>
      <c r="AQ1251" s="780"/>
      <c r="AR1251" s="780"/>
      <c r="AS1251" s="780"/>
      <c r="AT1251" s="780"/>
      <c r="AU1251" s="780"/>
      <c r="AV1251" s="780"/>
      <c r="AW1251" s="780"/>
      <c r="AX1251" s="780"/>
      <c r="AY1251" s="780"/>
      <c r="AZ1251" s="780"/>
      <c r="BA1251" s="780"/>
      <c r="BB1251" s="780"/>
      <c r="BC1251" s="780"/>
      <c r="BD1251" s="780"/>
      <c r="BE1251" s="780"/>
    </row>
    <row r="1252" customFormat="false" ht="14.15" hidden="true" customHeight="true" outlineLevel="1" collapsed="false">
      <c r="A1252" s="864" t="s">
        <v>2486</v>
      </c>
      <c r="B1252" s="861" t="s">
        <v>2164</v>
      </c>
      <c r="C1252" s="623" t="s">
        <v>1821</v>
      </c>
      <c r="D1252" s="491"/>
      <c r="H1252" s="845"/>
      <c r="I1252" s="479"/>
      <c r="J1252" s="479"/>
      <c r="K1252" s="479"/>
      <c r="L1252" s="479"/>
      <c r="M1252" s="479"/>
      <c r="N1252" s="479"/>
      <c r="O1252" s="479"/>
      <c r="P1252" s="479"/>
      <c r="Q1252" s="342"/>
      <c r="R1252" s="778"/>
      <c r="S1252" s="778"/>
      <c r="T1252" s="778"/>
      <c r="U1252" s="778"/>
      <c r="V1252" s="778"/>
      <c r="W1252" s="778"/>
      <c r="X1252" s="778"/>
      <c r="Y1252" s="778"/>
      <c r="Z1252" s="778"/>
      <c r="AA1252" s="778"/>
      <c r="AB1252" s="778"/>
      <c r="AC1252" s="778"/>
      <c r="AD1252" s="778"/>
      <c r="AE1252" s="778"/>
      <c r="AF1252" s="778"/>
      <c r="AG1252" s="778"/>
      <c r="AH1252" s="778"/>
      <c r="AI1252" s="778"/>
      <c r="AJ1252" s="778"/>
      <c r="AK1252" s="778"/>
      <c r="AL1252" s="778"/>
      <c r="AM1252" s="778"/>
      <c r="AN1252" s="778"/>
      <c r="AO1252" s="779"/>
      <c r="AP1252" s="779"/>
      <c r="AQ1252" s="780"/>
      <c r="AR1252" s="780"/>
      <c r="AS1252" s="780"/>
      <c r="AT1252" s="780"/>
      <c r="AU1252" s="780"/>
      <c r="AV1252" s="780"/>
      <c r="AW1252" s="780"/>
      <c r="AX1252" s="780"/>
      <c r="AY1252" s="780"/>
      <c r="AZ1252" s="780"/>
      <c r="BA1252" s="780"/>
      <c r="BB1252" s="780"/>
      <c r="BC1252" s="780"/>
      <c r="BD1252" s="780"/>
      <c r="BE1252" s="780"/>
    </row>
    <row r="1253" customFormat="false" ht="14.15" hidden="true" customHeight="true" outlineLevel="1" collapsed="false">
      <c r="A1253" s="864" t="s">
        <v>2487</v>
      </c>
      <c r="B1253" s="861" t="s">
        <v>2164</v>
      </c>
      <c r="C1253" s="623" t="s">
        <v>1821</v>
      </c>
      <c r="D1253" s="491"/>
      <c r="H1253" s="845"/>
      <c r="I1253" s="479"/>
      <c r="J1253" s="479"/>
      <c r="K1253" s="479"/>
      <c r="L1253" s="479"/>
      <c r="M1253" s="479"/>
      <c r="N1253" s="479"/>
      <c r="O1253" s="479"/>
      <c r="P1253" s="479"/>
      <c r="Q1253" s="342"/>
      <c r="R1253" s="778"/>
      <c r="S1253" s="778"/>
      <c r="T1253" s="778"/>
      <c r="U1253" s="778"/>
      <c r="V1253" s="778"/>
      <c r="W1253" s="778"/>
      <c r="X1253" s="778"/>
      <c r="Y1253" s="778"/>
      <c r="Z1253" s="778"/>
      <c r="AA1253" s="778"/>
      <c r="AB1253" s="778"/>
      <c r="AC1253" s="778"/>
      <c r="AD1253" s="778"/>
      <c r="AE1253" s="778"/>
      <c r="AF1253" s="778"/>
      <c r="AG1253" s="778"/>
      <c r="AH1253" s="778"/>
      <c r="AI1253" s="778"/>
      <c r="AJ1253" s="778"/>
      <c r="AK1253" s="778"/>
      <c r="AL1253" s="778"/>
      <c r="AM1253" s="778"/>
      <c r="AN1253" s="778"/>
      <c r="AO1253" s="779"/>
      <c r="AP1253" s="779"/>
      <c r="AQ1253" s="780"/>
      <c r="AR1253" s="780"/>
      <c r="AS1253" s="780"/>
      <c r="AT1253" s="780"/>
      <c r="AU1253" s="780"/>
      <c r="AV1253" s="780"/>
      <c r="AW1253" s="780"/>
      <c r="AX1253" s="780"/>
      <c r="AY1253" s="780"/>
      <c r="AZ1253" s="780"/>
      <c r="BA1253" s="780"/>
      <c r="BB1253" s="780"/>
      <c r="BC1253" s="780"/>
      <c r="BD1253" s="780"/>
      <c r="BE1253" s="780"/>
    </row>
    <row r="1254" customFormat="false" ht="14.15" hidden="true" customHeight="true" outlineLevel="1" collapsed="false">
      <c r="A1254" s="864" t="s">
        <v>2488</v>
      </c>
      <c r="B1254" s="861" t="s">
        <v>2164</v>
      </c>
      <c r="C1254" s="623" t="s">
        <v>1821</v>
      </c>
      <c r="D1254" s="491"/>
      <c r="H1254" s="845"/>
      <c r="I1254" s="479"/>
      <c r="J1254" s="479"/>
      <c r="K1254" s="479"/>
      <c r="L1254" s="479"/>
      <c r="M1254" s="479"/>
      <c r="N1254" s="479"/>
      <c r="O1254" s="479"/>
      <c r="P1254" s="479"/>
      <c r="Q1254" s="342"/>
      <c r="R1254" s="778"/>
      <c r="S1254" s="778"/>
      <c r="T1254" s="778"/>
      <c r="U1254" s="778"/>
      <c r="V1254" s="778"/>
      <c r="W1254" s="778"/>
      <c r="X1254" s="778"/>
      <c r="Y1254" s="778"/>
      <c r="Z1254" s="778"/>
      <c r="AA1254" s="778"/>
      <c r="AB1254" s="778"/>
      <c r="AC1254" s="778"/>
      <c r="AD1254" s="778"/>
      <c r="AE1254" s="778"/>
      <c r="AF1254" s="778"/>
      <c r="AG1254" s="778"/>
      <c r="AH1254" s="778"/>
      <c r="AI1254" s="778"/>
      <c r="AJ1254" s="778"/>
      <c r="AK1254" s="778"/>
      <c r="AL1254" s="778"/>
      <c r="AM1254" s="778"/>
      <c r="AN1254" s="778"/>
      <c r="AO1254" s="779"/>
      <c r="AP1254" s="779"/>
      <c r="AQ1254" s="780"/>
      <c r="AR1254" s="780"/>
      <c r="AS1254" s="780"/>
      <c r="AT1254" s="780"/>
      <c r="AU1254" s="780"/>
      <c r="AV1254" s="780"/>
      <c r="AW1254" s="780"/>
      <c r="AX1254" s="780"/>
      <c r="AY1254" s="780"/>
      <c r="AZ1254" s="780"/>
      <c r="BA1254" s="780"/>
      <c r="BB1254" s="780"/>
      <c r="BC1254" s="780"/>
      <c r="BD1254" s="780"/>
      <c r="BE1254" s="780"/>
    </row>
    <row r="1255" customFormat="false" ht="14.15" hidden="true" customHeight="true" outlineLevel="1" collapsed="false">
      <c r="A1255" s="491"/>
      <c r="B1255" s="845"/>
      <c r="C1255" s="866"/>
      <c r="D1255" s="491"/>
      <c r="H1255" s="600"/>
      <c r="I1255" s="600"/>
      <c r="J1255" s="600"/>
      <c r="K1255" s="600"/>
      <c r="L1255" s="600"/>
      <c r="M1255" s="600"/>
      <c r="N1255" s="600"/>
      <c r="O1255" s="600"/>
      <c r="P1255" s="342"/>
      <c r="Q1255" s="342"/>
      <c r="R1255" s="778"/>
      <c r="S1255" s="778"/>
      <c r="T1255" s="778"/>
      <c r="U1255" s="778"/>
      <c r="V1255" s="778"/>
      <c r="W1255" s="778"/>
      <c r="X1255" s="778"/>
      <c r="Y1255" s="778"/>
      <c r="Z1255" s="778"/>
      <c r="AA1255" s="778"/>
      <c r="AB1255" s="778"/>
      <c r="AC1255" s="778"/>
      <c r="AD1255" s="778"/>
      <c r="AE1255" s="778"/>
      <c r="AF1255" s="778"/>
      <c r="AG1255" s="778"/>
      <c r="AH1255" s="778"/>
      <c r="AI1255" s="778"/>
      <c r="AJ1255" s="778"/>
      <c r="AK1255" s="778"/>
      <c r="AL1255" s="778"/>
      <c r="AM1255" s="778"/>
      <c r="AN1255" s="778"/>
      <c r="AO1255" s="779"/>
      <c r="AP1255" s="779"/>
      <c r="AQ1255" s="780"/>
      <c r="AR1255" s="780"/>
      <c r="AS1255" s="780"/>
      <c r="AT1255" s="780"/>
      <c r="AU1255" s="780"/>
      <c r="AV1255" s="780"/>
      <c r="AW1255" s="780"/>
      <c r="AX1255" s="780"/>
      <c r="AY1255" s="780"/>
      <c r="AZ1255" s="780"/>
      <c r="BA1255" s="780"/>
      <c r="BB1255" s="780"/>
      <c r="BC1255" s="780"/>
      <c r="BD1255" s="780"/>
      <c r="BE1255" s="780"/>
    </row>
    <row r="1256" customFormat="false" ht="14.15" hidden="true" customHeight="true" outlineLevel="1" collapsed="false">
      <c r="A1256" s="479" t="s">
        <v>151</v>
      </c>
      <c r="B1256" s="477"/>
      <c r="C1256" s="668"/>
      <c r="D1256" s="491"/>
      <c r="H1256" s="600"/>
      <c r="I1256" s="600"/>
      <c r="J1256" s="600"/>
      <c r="K1256" s="600"/>
      <c r="L1256" s="600"/>
      <c r="M1256" s="600"/>
      <c r="N1256" s="600"/>
      <c r="O1256" s="600"/>
      <c r="P1256" s="342"/>
      <c r="Q1256" s="342"/>
      <c r="R1256" s="778"/>
      <c r="S1256" s="778"/>
      <c r="T1256" s="778"/>
      <c r="U1256" s="778"/>
      <c r="V1256" s="778"/>
      <c r="W1256" s="778"/>
      <c r="X1256" s="778"/>
      <c r="Y1256" s="778"/>
      <c r="Z1256" s="778"/>
      <c r="AA1256" s="778"/>
      <c r="AB1256" s="778"/>
      <c r="AC1256" s="778"/>
      <c r="AD1256" s="778"/>
      <c r="AE1256" s="778"/>
      <c r="AF1256" s="778"/>
      <c r="AG1256" s="778"/>
      <c r="AH1256" s="778"/>
      <c r="AI1256" s="778"/>
      <c r="AJ1256" s="778"/>
      <c r="AK1256" s="778"/>
      <c r="AL1256" s="778"/>
      <c r="AM1256" s="778"/>
      <c r="AN1256" s="778"/>
      <c r="AO1256" s="779"/>
      <c r="AP1256" s="779"/>
      <c r="AQ1256" s="780"/>
      <c r="AR1256" s="780"/>
      <c r="AS1256" s="780"/>
      <c r="AT1256" s="780"/>
      <c r="AU1256" s="780"/>
      <c r="AV1256" s="780"/>
      <c r="AW1256" s="780"/>
      <c r="AX1256" s="780"/>
      <c r="AY1256" s="780"/>
      <c r="AZ1256" s="780"/>
      <c r="BA1256" s="780"/>
      <c r="BB1256" s="780"/>
      <c r="BC1256" s="780"/>
      <c r="BD1256" s="780"/>
      <c r="BE1256" s="780"/>
    </row>
    <row r="1257" customFormat="false" ht="14.15" hidden="true" customHeight="true" outlineLevel="1" collapsed="false">
      <c r="A1257" s="401" t="s">
        <v>152</v>
      </c>
      <c r="B1257" s="844" t="s">
        <v>154</v>
      </c>
      <c r="C1257" s="595" t="n">
        <v>0</v>
      </c>
      <c r="D1257" s="491"/>
      <c r="H1257" s="600"/>
      <c r="I1257" s="600"/>
      <c r="J1257" s="600"/>
      <c r="K1257" s="600"/>
      <c r="L1257" s="600"/>
      <c r="M1257" s="600"/>
      <c r="N1257" s="600"/>
      <c r="O1257" s="600"/>
      <c r="P1257" s="342"/>
      <c r="Q1257" s="342"/>
      <c r="R1257" s="778"/>
      <c r="S1257" s="778"/>
      <c r="T1257" s="778"/>
      <c r="U1257" s="778"/>
      <c r="V1257" s="778"/>
      <c r="W1257" s="778"/>
      <c r="X1257" s="778"/>
      <c r="Y1257" s="778"/>
      <c r="Z1257" s="778"/>
      <c r="AA1257" s="778"/>
      <c r="AB1257" s="778"/>
      <c r="AC1257" s="778"/>
      <c r="AD1257" s="778"/>
      <c r="AE1257" s="778"/>
      <c r="AF1257" s="778"/>
      <c r="AG1257" s="778"/>
      <c r="AH1257" s="778"/>
      <c r="AI1257" s="778"/>
      <c r="AJ1257" s="778"/>
      <c r="AK1257" s="778"/>
      <c r="AL1257" s="778"/>
      <c r="AM1257" s="778"/>
      <c r="AN1257" s="778"/>
      <c r="AO1257" s="779"/>
      <c r="AP1257" s="779"/>
      <c r="AQ1257" s="780"/>
      <c r="AR1257" s="780"/>
      <c r="AS1257" s="780"/>
      <c r="AT1257" s="780"/>
      <c r="AU1257" s="780"/>
      <c r="AV1257" s="780"/>
      <c r="AW1257" s="780"/>
      <c r="AX1257" s="780"/>
      <c r="AY1257" s="780"/>
      <c r="AZ1257" s="780"/>
      <c r="BA1257" s="780"/>
      <c r="BB1257" s="780"/>
      <c r="BC1257" s="780"/>
      <c r="BD1257" s="780"/>
      <c r="BE1257" s="780"/>
    </row>
    <row r="1258" customFormat="false" ht="14.15" hidden="true" customHeight="true" outlineLevel="1" collapsed="false">
      <c r="A1258" s="403" t="s">
        <v>152</v>
      </c>
      <c r="B1258" s="404" t="s">
        <v>159</v>
      </c>
      <c r="C1258" s="265" t="n">
        <v>0</v>
      </c>
      <c r="D1258" s="491"/>
      <c r="H1258" s="600"/>
      <c r="I1258" s="600"/>
      <c r="J1258" s="600"/>
      <c r="K1258" s="600"/>
      <c r="L1258" s="600"/>
      <c r="M1258" s="600"/>
      <c r="N1258" s="600"/>
      <c r="O1258" s="600"/>
      <c r="P1258" s="342"/>
      <c r="Q1258" s="342"/>
      <c r="R1258" s="778"/>
      <c r="S1258" s="778"/>
      <c r="T1258" s="778"/>
      <c r="U1258" s="778"/>
      <c r="V1258" s="778"/>
      <c r="W1258" s="778"/>
      <c r="X1258" s="778"/>
      <c r="Y1258" s="778"/>
      <c r="Z1258" s="778"/>
      <c r="AA1258" s="778"/>
      <c r="AB1258" s="778"/>
      <c r="AC1258" s="778"/>
      <c r="AD1258" s="778"/>
      <c r="AE1258" s="778"/>
      <c r="AF1258" s="778"/>
      <c r="AG1258" s="778"/>
      <c r="AH1258" s="778"/>
      <c r="AI1258" s="778"/>
      <c r="AJ1258" s="778"/>
      <c r="AK1258" s="778"/>
      <c r="AL1258" s="778"/>
      <c r="AM1258" s="778"/>
      <c r="AN1258" s="778"/>
      <c r="AO1258" s="779"/>
      <c r="AP1258" s="779"/>
      <c r="AQ1258" s="780"/>
      <c r="AR1258" s="780"/>
      <c r="AS1258" s="780"/>
      <c r="AT1258" s="780"/>
      <c r="AU1258" s="780"/>
      <c r="AV1258" s="780"/>
      <c r="AW1258" s="780"/>
      <c r="AX1258" s="780"/>
      <c r="AY1258" s="780"/>
      <c r="AZ1258" s="780"/>
      <c r="BA1258" s="780"/>
      <c r="BB1258" s="780"/>
      <c r="BC1258" s="780"/>
      <c r="BD1258" s="780"/>
      <c r="BE1258" s="780"/>
    </row>
    <row r="1259" customFormat="false" ht="14.15" hidden="true" customHeight="true" outlineLevel="1" collapsed="false">
      <c r="D1259" s="491"/>
      <c r="H1259" s="600"/>
      <c r="I1259" s="600"/>
      <c r="J1259" s="600"/>
      <c r="K1259" s="600"/>
      <c r="L1259" s="600"/>
      <c r="M1259" s="600"/>
      <c r="N1259" s="600"/>
      <c r="O1259" s="600"/>
      <c r="P1259" s="342"/>
      <c r="Q1259" s="342"/>
      <c r="R1259" s="778"/>
      <c r="S1259" s="778"/>
      <c r="T1259" s="778"/>
      <c r="U1259" s="778"/>
      <c r="V1259" s="778"/>
      <c r="W1259" s="778"/>
      <c r="X1259" s="778"/>
      <c r="Y1259" s="778"/>
      <c r="Z1259" s="778"/>
      <c r="AA1259" s="778"/>
      <c r="AB1259" s="778"/>
      <c r="AC1259" s="778"/>
      <c r="AD1259" s="778"/>
      <c r="AE1259" s="778"/>
      <c r="AF1259" s="778"/>
      <c r="AG1259" s="778"/>
      <c r="AH1259" s="778"/>
      <c r="AI1259" s="778"/>
      <c r="AJ1259" s="778"/>
      <c r="AK1259" s="778"/>
      <c r="AL1259" s="778"/>
      <c r="AM1259" s="778"/>
      <c r="AN1259" s="778"/>
      <c r="AO1259" s="779"/>
      <c r="AP1259" s="779"/>
      <c r="AQ1259" s="780"/>
      <c r="AR1259" s="780"/>
      <c r="AS1259" s="780"/>
      <c r="AT1259" s="780"/>
      <c r="AU1259" s="780"/>
      <c r="AV1259" s="780"/>
      <c r="AW1259" s="780"/>
      <c r="AX1259" s="780"/>
      <c r="AY1259" s="780"/>
      <c r="AZ1259" s="780"/>
      <c r="BA1259" s="780"/>
      <c r="BB1259" s="780"/>
      <c r="BC1259" s="780"/>
      <c r="BD1259" s="780"/>
      <c r="BE1259" s="780"/>
    </row>
    <row r="1260" customFormat="false" ht="14.15" hidden="true" customHeight="true" outlineLevel="1" collapsed="false">
      <c r="A1260" s="265" t="s">
        <v>2489</v>
      </c>
      <c r="B1260" s="404" t="s">
        <v>1796</v>
      </c>
      <c r="C1260" s="488" t="n">
        <v>5000</v>
      </c>
      <c r="D1260" s="491"/>
      <c r="H1260" s="600"/>
      <c r="I1260" s="600"/>
      <c r="J1260" s="600"/>
      <c r="K1260" s="600"/>
      <c r="L1260" s="600"/>
      <c r="M1260" s="600"/>
      <c r="N1260" s="600"/>
      <c r="O1260" s="600"/>
      <c r="P1260" s="342"/>
      <c r="Q1260" s="342"/>
      <c r="R1260" s="778"/>
      <c r="S1260" s="778"/>
      <c r="T1260" s="778"/>
      <c r="U1260" s="778"/>
      <c r="V1260" s="778"/>
      <c r="W1260" s="778"/>
      <c r="X1260" s="778"/>
      <c r="Y1260" s="778"/>
      <c r="Z1260" s="778"/>
      <c r="AA1260" s="778"/>
      <c r="AB1260" s="778"/>
      <c r="AC1260" s="778"/>
      <c r="AD1260" s="778"/>
      <c r="AE1260" s="778"/>
      <c r="AF1260" s="778"/>
      <c r="AG1260" s="778"/>
      <c r="AH1260" s="778"/>
      <c r="AI1260" s="778"/>
      <c r="AJ1260" s="778"/>
      <c r="AK1260" s="778"/>
      <c r="AL1260" s="778"/>
      <c r="AM1260" s="778"/>
      <c r="AN1260" s="778"/>
      <c r="AO1260" s="779"/>
      <c r="AP1260" s="779"/>
      <c r="AQ1260" s="780"/>
      <c r="AR1260" s="780"/>
      <c r="AS1260" s="780"/>
      <c r="AT1260" s="780"/>
      <c r="AU1260" s="780"/>
      <c r="AV1260" s="780"/>
      <c r="AW1260" s="780"/>
      <c r="AX1260" s="780"/>
      <c r="AY1260" s="780"/>
      <c r="AZ1260" s="780"/>
      <c r="BA1260" s="780"/>
      <c r="BB1260" s="780"/>
      <c r="BC1260" s="780"/>
      <c r="BD1260" s="780"/>
      <c r="BE1260" s="780"/>
    </row>
    <row r="1261" customFormat="false" ht="14.15" hidden="true" customHeight="true" outlineLevel="1" collapsed="false">
      <c r="A1261" s="491"/>
      <c r="B1261" s="845"/>
      <c r="C1261" s="600"/>
      <c r="D1261" s="491"/>
      <c r="H1261" s="600"/>
      <c r="I1261" s="600"/>
      <c r="J1261" s="600"/>
      <c r="K1261" s="600"/>
      <c r="L1261" s="600"/>
      <c r="M1261" s="600"/>
      <c r="N1261" s="600"/>
      <c r="O1261" s="600"/>
      <c r="P1261" s="342"/>
      <c r="Q1261" s="342"/>
      <c r="R1261" s="778"/>
      <c r="S1261" s="778"/>
      <c r="T1261" s="778"/>
      <c r="U1261" s="778"/>
      <c r="V1261" s="778"/>
      <c r="W1261" s="778"/>
      <c r="X1261" s="778"/>
      <c r="Y1261" s="778"/>
      <c r="Z1261" s="778"/>
      <c r="AA1261" s="778"/>
      <c r="AB1261" s="778"/>
      <c r="AC1261" s="778"/>
      <c r="AD1261" s="778"/>
      <c r="AE1261" s="778"/>
      <c r="AF1261" s="778"/>
      <c r="AG1261" s="778"/>
      <c r="AH1261" s="778"/>
      <c r="AI1261" s="778"/>
      <c r="AJ1261" s="778"/>
      <c r="AK1261" s="778"/>
      <c r="AL1261" s="778"/>
      <c r="AM1261" s="778"/>
      <c r="AN1261" s="778"/>
      <c r="AO1261" s="779"/>
      <c r="AP1261" s="779"/>
      <c r="AQ1261" s="780"/>
      <c r="AR1261" s="780"/>
      <c r="AS1261" s="780"/>
      <c r="AT1261" s="780"/>
      <c r="AU1261" s="780"/>
      <c r="AV1261" s="780"/>
      <c r="AW1261" s="780"/>
      <c r="AX1261" s="780"/>
      <c r="AY1261" s="780"/>
      <c r="AZ1261" s="780"/>
      <c r="BA1261" s="780"/>
      <c r="BB1261" s="780"/>
      <c r="BC1261" s="780"/>
      <c r="BD1261" s="780"/>
      <c r="BE1261" s="780"/>
    </row>
    <row r="1262" customFormat="false" ht="14.15" hidden="false" customHeight="true" outlineLevel="0" collapsed="false">
      <c r="A1262" s="856" t="s">
        <v>2490</v>
      </c>
      <c r="B1262" s="856"/>
      <c r="C1262" s="856"/>
      <c r="D1262" s="856"/>
      <c r="E1262" s="856"/>
      <c r="F1262" s="631" t="s">
        <v>1798</v>
      </c>
      <c r="H1262" s="625"/>
      <c r="I1262" s="625"/>
      <c r="J1262" s="625"/>
      <c r="K1262" s="625"/>
      <c r="L1262" s="625"/>
      <c r="M1262" s="600"/>
      <c r="N1262" s="600"/>
      <c r="O1262" s="600"/>
      <c r="P1262" s="342"/>
      <c r="Q1262" s="358"/>
      <c r="R1262" s="342"/>
      <c r="S1262" s="778"/>
      <c r="T1262" s="342"/>
      <c r="U1262" s="342"/>
      <c r="V1262" s="778"/>
      <c r="W1262" s="778"/>
      <c r="X1262" s="778"/>
      <c r="Y1262" s="778"/>
      <c r="Z1262" s="778"/>
      <c r="AA1262" s="778"/>
      <c r="AB1262" s="778"/>
      <c r="AC1262" s="778"/>
      <c r="AD1262" s="778"/>
      <c r="AE1262" s="778"/>
      <c r="AF1262" s="778"/>
      <c r="AG1262" s="778"/>
      <c r="AH1262" s="778"/>
      <c r="AI1262" s="778"/>
      <c r="AJ1262" s="778"/>
      <c r="AK1262" s="778"/>
      <c r="AL1262" s="778"/>
      <c r="AM1262" s="778"/>
      <c r="AN1262" s="778"/>
      <c r="AO1262" s="779"/>
      <c r="AP1262" s="779"/>
      <c r="AQ1262" s="780"/>
      <c r="AR1262" s="780"/>
      <c r="AS1262" s="780"/>
      <c r="AT1262" s="780"/>
      <c r="AU1262" s="780"/>
      <c r="AV1262" s="388" t="n">
        <f aca="false">M1262</f>
        <v>0</v>
      </c>
      <c r="AW1262" s="780"/>
      <c r="AX1262" s="780"/>
      <c r="AY1262" s="780"/>
      <c r="AZ1262" s="780"/>
      <c r="BA1262" s="780"/>
      <c r="BB1262" s="780"/>
      <c r="BC1262" s="780"/>
      <c r="BD1262" s="780"/>
      <c r="BE1262" s="780"/>
    </row>
    <row r="1263" customFormat="false" ht="14.15" hidden="false" customHeight="true" outlineLevel="0" collapsed="false">
      <c r="A1263" s="869"/>
      <c r="B1263" s="869"/>
      <c r="C1263" s="869"/>
      <c r="D1263" s="869"/>
      <c r="E1263" s="869"/>
      <c r="F1263" s="869"/>
      <c r="G1263" s="869"/>
      <c r="H1263" s="778"/>
      <c r="I1263" s="778"/>
      <c r="J1263" s="778"/>
      <c r="K1263" s="778"/>
      <c r="L1263" s="778"/>
      <c r="M1263" s="778"/>
      <c r="N1263" s="778"/>
      <c r="O1263" s="778"/>
      <c r="P1263" s="778"/>
      <c r="Q1263" s="778"/>
      <c r="R1263" s="778"/>
      <c r="S1263" s="778"/>
      <c r="T1263" s="778"/>
      <c r="U1263" s="778"/>
      <c r="V1263" s="778"/>
      <c r="W1263" s="778"/>
      <c r="X1263" s="778"/>
      <c r="Y1263" s="778"/>
      <c r="Z1263" s="778"/>
      <c r="AA1263" s="778"/>
      <c r="AB1263" s="778"/>
      <c r="AC1263" s="778"/>
      <c r="AD1263" s="778"/>
      <c r="AE1263" s="778"/>
      <c r="AF1263" s="778"/>
      <c r="AG1263" s="778"/>
      <c r="AH1263" s="778"/>
      <c r="AI1263" s="778"/>
      <c r="AJ1263" s="778"/>
      <c r="AK1263" s="778"/>
      <c r="AL1263" s="778"/>
      <c r="AM1263" s="778"/>
      <c r="AN1263" s="778"/>
      <c r="AO1263" s="779"/>
      <c r="AP1263" s="779"/>
      <c r="AQ1263" s="780"/>
      <c r="AR1263" s="780"/>
      <c r="AS1263" s="780"/>
      <c r="AT1263" s="780"/>
      <c r="AU1263" s="780"/>
      <c r="AV1263" s="780"/>
      <c r="AW1263" s="780"/>
      <c r="AX1263" s="780"/>
      <c r="AY1263" s="780"/>
      <c r="AZ1263" s="780"/>
      <c r="BA1263" s="780"/>
      <c r="BB1263" s="780"/>
      <c r="BC1263" s="780"/>
      <c r="BD1263" s="780"/>
      <c r="BE1263" s="780"/>
    </row>
    <row r="1264" customFormat="false" ht="14.15" hidden="true" customHeight="true" outlineLevel="1" collapsed="false">
      <c r="A1264" s="870" t="s">
        <v>1112</v>
      </c>
      <c r="B1264" s="870"/>
      <c r="C1264" s="870"/>
      <c r="D1264" s="870"/>
      <c r="E1264" s="870"/>
      <c r="F1264" s="870"/>
      <c r="G1264" s="870"/>
      <c r="H1264" s="784"/>
      <c r="I1264" s="784"/>
      <c r="J1264" s="784"/>
      <c r="K1264" s="784"/>
      <c r="L1264" s="784"/>
      <c r="M1264" s="784"/>
      <c r="N1264" s="784"/>
      <c r="O1264" s="784"/>
      <c r="P1264" s="784"/>
      <c r="Q1264" s="784"/>
      <c r="R1264" s="784"/>
      <c r="S1264" s="784"/>
      <c r="T1264" s="784"/>
      <c r="U1264" s="784"/>
      <c r="V1264" s="784"/>
      <c r="W1264" s="784"/>
      <c r="X1264" s="784"/>
      <c r="Y1264" s="784"/>
      <c r="Z1264" s="784"/>
      <c r="AA1264" s="784"/>
      <c r="AB1264" s="784"/>
      <c r="AC1264" s="784"/>
      <c r="AD1264" s="784"/>
      <c r="AE1264" s="784"/>
      <c r="AF1264" s="784"/>
      <c r="AG1264" s="784"/>
      <c r="AH1264" s="784"/>
      <c r="AI1264" s="784"/>
      <c r="AJ1264" s="342"/>
      <c r="AK1264" s="342"/>
      <c r="AL1264" s="342"/>
      <c r="AM1264" s="342"/>
      <c r="AN1264" s="778"/>
      <c r="AO1264" s="779"/>
      <c r="AP1264" s="779"/>
      <c r="AQ1264" s="780"/>
      <c r="AR1264" s="780"/>
      <c r="AS1264" s="780"/>
      <c r="AT1264" s="780"/>
      <c r="AU1264" s="780"/>
      <c r="AV1264" s="780"/>
      <c r="AW1264" s="780"/>
      <c r="AX1264" s="780"/>
      <c r="AY1264" s="780"/>
      <c r="AZ1264" s="780"/>
      <c r="BA1264" s="780"/>
      <c r="BB1264" s="780"/>
      <c r="BC1264" s="780"/>
      <c r="BD1264" s="780"/>
      <c r="BE1264" s="780"/>
    </row>
    <row r="1265" customFormat="false" ht="14.15" hidden="true" customHeight="true" outlineLevel="1" collapsed="false">
      <c r="A1265" s="870"/>
      <c r="B1265" s="870"/>
      <c r="C1265" s="870"/>
      <c r="D1265" s="870"/>
      <c r="E1265" s="870"/>
      <c r="F1265" s="870"/>
      <c r="G1265" s="870"/>
      <c r="H1265" s="784"/>
      <c r="I1265" s="784"/>
      <c r="J1265" s="784"/>
      <c r="K1265" s="784"/>
      <c r="L1265" s="784"/>
      <c r="M1265" s="784"/>
      <c r="N1265" s="784"/>
      <c r="O1265" s="784"/>
      <c r="P1265" s="784"/>
      <c r="Q1265" s="784"/>
      <c r="R1265" s="784"/>
      <c r="S1265" s="784"/>
      <c r="T1265" s="784"/>
      <c r="U1265" s="784"/>
      <c r="V1265" s="784"/>
      <c r="W1265" s="784"/>
      <c r="X1265" s="784"/>
      <c r="Y1265" s="784"/>
      <c r="Z1265" s="784"/>
      <c r="AA1265" s="784"/>
      <c r="AB1265" s="784"/>
      <c r="AC1265" s="784"/>
      <c r="AD1265" s="784"/>
      <c r="AE1265" s="784"/>
      <c r="AF1265" s="784"/>
      <c r="AG1265" s="784"/>
      <c r="AH1265" s="784"/>
      <c r="AI1265" s="784"/>
      <c r="AJ1265" s="342"/>
      <c r="AK1265" s="342"/>
      <c r="AL1265" s="342"/>
      <c r="AM1265" s="342"/>
      <c r="AN1265" s="778"/>
      <c r="AO1265" s="779"/>
      <c r="AP1265" s="779"/>
      <c r="AQ1265" s="780"/>
      <c r="AR1265" s="780"/>
      <c r="AS1265" s="780"/>
      <c r="AT1265" s="780"/>
      <c r="AU1265" s="780"/>
      <c r="AV1265" s="780"/>
      <c r="AW1265" s="780"/>
      <c r="AX1265" s="780"/>
      <c r="AY1265" s="780"/>
      <c r="AZ1265" s="780"/>
      <c r="BA1265" s="780"/>
      <c r="BB1265" s="780"/>
      <c r="BC1265" s="780"/>
      <c r="BD1265" s="780"/>
      <c r="BE1265" s="780"/>
    </row>
    <row r="1266" customFormat="false" ht="14.15" hidden="true" customHeight="true" outlineLevel="1" collapsed="false">
      <c r="A1266" s="415" t="s">
        <v>1806</v>
      </c>
      <c r="B1266" s="416"/>
      <c r="C1266" s="417"/>
      <c r="D1266" s="595" t="n">
        <v>1</v>
      </c>
      <c r="G1266" s="676"/>
      <c r="H1266" s="676"/>
      <c r="I1266" s="676"/>
      <c r="J1266" s="676"/>
      <c r="K1266" s="676"/>
      <c r="L1266" s="676"/>
      <c r="M1266" s="676"/>
      <c r="N1266" s="676"/>
      <c r="O1266" s="676"/>
      <c r="P1266" s="676"/>
      <c r="Q1266" s="676"/>
      <c r="R1266" s="676"/>
      <c r="S1266" s="676"/>
      <c r="T1266" s="676"/>
      <c r="U1266" s="676"/>
      <c r="V1266" s="676"/>
      <c r="W1266" s="676"/>
      <c r="X1266" s="676"/>
      <c r="Y1266" s="676"/>
      <c r="Z1266" s="676"/>
      <c r="AA1266" s="676"/>
      <c r="AB1266" s="676"/>
      <c r="AC1266" s="676"/>
      <c r="AD1266" s="676"/>
      <c r="AE1266" s="676"/>
      <c r="AF1266" s="342"/>
      <c r="AG1266" s="342"/>
      <c r="AH1266" s="342"/>
      <c r="AI1266" s="772"/>
      <c r="AJ1266" s="342"/>
      <c r="AK1266" s="342"/>
      <c r="AL1266" s="342"/>
      <c r="AM1266" s="342"/>
      <c r="AN1266" s="778"/>
      <c r="AO1266" s="779"/>
      <c r="AP1266" s="779"/>
      <c r="AQ1266" s="780"/>
      <c r="AR1266" s="780"/>
      <c r="AS1266" s="780"/>
      <c r="AT1266" s="780"/>
      <c r="AU1266" s="780"/>
      <c r="AV1266" s="780"/>
      <c r="AW1266" s="780"/>
      <c r="AX1266" s="780"/>
      <c r="AY1266" s="780"/>
      <c r="AZ1266" s="780"/>
      <c r="BA1266" s="780"/>
      <c r="BB1266" s="780"/>
      <c r="BC1266" s="780"/>
      <c r="BD1266" s="780"/>
      <c r="BE1266" s="780"/>
    </row>
    <row r="1267" customFormat="false" ht="14.15" hidden="true" customHeight="true" outlineLevel="1" collapsed="false">
      <c r="A1267" s="415" t="s">
        <v>1808</v>
      </c>
      <c r="B1267" s="416"/>
      <c r="C1267" s="417"/>
      <c r="D1267" s="595" t="n">
        <v>1</v>
      </c>
      <c r="G1267" s="676"/>
      <c r="H1267" s="676"/>
      <c r="I1267" s="676"/>
      <c r="J1267" s="676"/>
      <c r="K1267" s="676"/>
      <c r="L1267" s="676"/>
      <c r="M1267" s="676"/>
      <c r="N1267" s="676"/>
      <c r="O1267" s="676"/>
      <c r="P1267" s="676"/>
      <c r="Q1267" s="676"/>
      <c r="R1267" s="676"/>
      <c r="S1267" s="676"/>
      <c r="T1267" s="676"/>
      <c r="U1267" s="676"/>
      <c r="V1267" s="676"/>
      <c r="W1267" s="676"/>
      <c r="X1267" s="676"/>
      <c r="Y1267" s="676"/>
      <c r="Z1267" s="676"/>
      <c r="AA1267" s="676"/>
      <c r="AB1267" s="676"/>
      <c r="AC1267" s="676"/>
      <c r="AD1267" s="676"/>
      <c r="AE1267" s="676"/>
      <c r="AF1267" s="342"/>
      <c r="AG1267" s="342"/>
      <c r="AH1267" s="342"/>
      <c r="AI1267" s="342"/>
      <c r="AJ1267" s="342"/>
      <c r="AK1267" s="342"/>
      <c r="AL1267" s="342"/>
      <c r="AM1267" s="342"/>
      <c r="AN1267" s="778"/>
      <c r="AO1267" s="779"/>
      <c r="AP1267" s="779"/>
      <c r="AQ1267" s="780"/>
      <c r="AR1267" s="780"/>
      <c r="AS1267" s="780"/>
      <c r="AT1267" s="780"/>
      <c r="AU1267" s="780"/>
      <c r="AV1267" s="780"/>
      <c r="AW1267" s="780"/>
      <c r="AX1267" s="780"/>
      <c r="AY1267" s="780"/>
      <c r="AZ1267" s="780"/>
      <c r="BA1267" s="780"/>
      <c r="BB1267" s="780"/>
      <c r="BC1267" s="780"/>
      <c r="BD1267" s="780"/>
      <c r="BE1267" s="780"/>
    </row>
    <row r="1268" customFormat="false" ht="14.15" hidden="true" customHeight="true" outlineLevel="1" collapsed="false">
      <c r="B1268" s="598"/>
      <c r="C1268" s="676"/>
      <c r="D1268" s="676"/>
      <c r="E1268" s="244"/>
      <c r="F1268" s="244"/>
      <c r="G1268" s="676"/>
      <c r="H1268" s="676"/>
      <c r="I1268" s="676"/>
      <c r="J1268" s="676"/>
      <c r="K1268" s="676"/>
      <c r="L1268" s="676"/>
      <c r="M1268" s="676"/>
      <c r="N1268" s="676"/>
      <c r="O1268" s="676"/>
      <c r="P1268" s="676"/>
      <c r="Q1268" s="676"/>
      <c r="R1268" s="676"/>
      <c r="S1268" s="676"/>
      <c r="T1268" s="676"/>
      <c r="U1268" s="676"/>
      <c r="V1268" s="676"/>
      <c r="W1268" s="676"/>
      <c r="X1268" s="676"/>
      <c r="Y1268" s="598"/>
      <c r="Z1268" s="598"/>
      <c r="AA1268" s="597"/>
      <c r="AB1268" s="598"/>
      <c r="AC1268" s="598"/>
      <c r="AD1268" s="598"/>
      <c r="AE1268" s="598"/>
      <c r="AF1268" s="342"/>
      <c r="AG1268" s="342"/>
      <c r="AH1268" s="342"/>
      <c r="AI1268" s="342"/>
      <c r="AJ1268" s="342"/>
      <c r="AK1268" s="342"/>
      <c r="AL1268" s="342"/>
      <c r="AM1268" s="342"/>
      <c r="AN1268" s="778"/>
      <c r="AO1268" s="779"/>
      <c r="AP1268" s="779"/>
      <c r="AQ1268" s="780"/>
      <c r="AR1268" s="780"/>
      <c r="AS1268" s="780"/>
      <c r="AT1268" s="780"/>
      <c r="AU1268" s="780"/>
      <c r="AV1268" s="780"/>
      <c r="AW1268" s="780"/>
      <c r="AX1268" s="780"/>
      <c r="AY1268" s="780"/>
      <c r="AZ1268" s="780"/>
      <c r="BA1268" s="780"/>
      <c r="BB1268" s="780"/>
      <c r="BC1268" s="780"/>
      <c r="BD1268" s="780"/>
      <c r="BE1268" s="780"/>
    </row>
    <row r="1269" customFormat="false" ht="14.15" hidden="true" customHeight="true" outlineLevel="1" collapsed="false">
      <c r="A1269" s="324" t="s">
        <v>2491</v>
      </c>
      <c r="B1269" s="598"/>
      <c r="C1269" s="676"/>
      <c r="D1269" s="676"/>
      <c r="E1269" s="244"/>
      <c r="F1269" s="244"/>
      <c r="G1269" s="676"/>
      <c r="H1269" s="676"/>
      <c r="I1269" s="676"/>
      <c r="J1269" s="676"/>
      <c r="K1269" s="676"/>
      <c r="L1269" s="676"/>
      <c r="M1269" s="676"/>
      <c r="N1269" s="676"/>
      <c r="O1269" s="676"/>
      <c r="P1269" s="676"/>
      <c r="Q1269" s="676"/>
      <c r="R1269" s="676"/>
      <c r="S1269" s="676"/>
      <c r="T1269" s="676"/>
      <c r="U1269" s="676"/>
      <c r="V1269" s="676"/>
      <c r="W1269" s="676"/>
      <c r="X1269" s="676"/>
      <c r="Y1269" s="598"/>
      <c r="Z1269" s="598"/>
      <c r="AA1269" s="597"/>
      <c r="AB1269" s="598"/>
      <c r="AC1269" s="598"/>
      <c r="AD1269" s="598"/>
      <c r="AE1269" s="598"/>
      <c r="AF1269" s="342"/>
      <c r="AG1269" s="342"/>
      <c r="AH1269" s="342"/>
      <c r="AI1269" s="342"/>
      <c r="AJ1269" s="342"/>
      <c r="AK1269" s="342"/>
      <c r="AL1269" s="342"/>
      <c r="AM1269" s="342"/>
      <c r="AN1269" s="778"/>
      <c r="AO1269" s="779"/>
      <c r="AP1269" s="779"/>
      <c r="AQ1269" s="780"/>
      <c r="AR1269" s="780"/>
      <c r="AS1269" s="780"/>
      <c r="AT1269" s="780"/>
      <c r="AU1269" s="780"/>
      <c r="AV1269" s="780"/>
      <c r="AW1269" s="780"/>
      <c r="AX1269" s="780"/>
      <c r="AY1269" s="780"/>
      <c r="AZ1269" s="780"/>
      <c r="BA1269" s="780"/>
      <c r="BB1269" s="780"/>
      <c r="BC1269" s="780"/>
      <c r="BD1269" s="780"/>
      <c r="BE1269" s="780"/>
    </row>
    <row r="1270" customFormat="false" ht="14.15" hidden="true" customHeight="true" outlineLevel="1" collapsed="false">
      <c r="A1270" s="480" t="s">
        <v>2492</v>
      </c>
      <c r="B1270" s="598"/>
      <c r="C1270" s="676"/>
      <c r="D1270" s="676"/>
      <c r="E1270" s="244"/>
      <c r="F1270" s="244"/>
      <c r="G1270" s="676"/>
      <c r="H1270" s="676"/>
      <c r="I1270" s="676"/>
      <c r="J1270" s="676"/>
      <c r="K1270" s="676"/>
      <c r="L1270" s="676"/>
      <c r="M1270" s="676"/>
      <c r="N1270" s="676"/>
      <c r="O1270" s="676"/>
      <c r="P1270" s="676"/>
      <c r="Q1270" s="676"/>
      <c r="R1270" s="676"/>
      <c r="S1270" s="676"/>
      <c r="T1270" s="676"/>
      <c r="U1270" s="676"/>
      <c r="V1270" s="676"/>
      <c r="W1270" s="676"/>
      <c r="X1270" s="676"/>
      <c r="Y1270" s="598"/>
      <c r="Z1270" s="598"/>
      <c r="AA1270" s="597"/>
      <c r="AB1270" s="598"/>
      <c r="AC1270" s="598"/>
      <c r="AD1270" s="598"/>
      <c r="AE1270" s="598"/>
      <c r="AF1270" s="342"/>
      <c r="AG1270" s="342"/>
      <c r="AH1270" s="342"/>
      <c r="AI1270" s="342"/>
      <c r="AJ1270" s="342"/>
      <c r="AK1270" s="342"/>
      <c r="AL1270" s="342"/>
      <c r="AM1270" s="342"/>
      <c r="AN1270" s="778"/>
      <c r="AO1270" s="779"/>
      <c r="AP1270" s="779"/>
      <c r="AQ1270" s="780"/>
      <c r="AR1270" s="780"/>
      <c r="AS1270" s="780"/>
      <c r="AT1270" s="780"/>
      <c r="AU1270" s="780"/>
      <c r="AV1270" s="780"/>
      <c r="AW1270" s="780"/>
      <c r="AX1270" s="780"/>
      <c r="AY1270" s="780"/>
      <c r="AZ1270" s="780"/>
      <c r="BA1270" s="780"/>
      <c r="BB1270" s="780"/>
      <c r="BC1270" s="780"/>
      <c r="BD1270" s="780"/>
      <c r="BE1270" s="780"/>
    </row>
    <row r="1271" customFormat="false" ht="14.15" hidden="true" customHeight="true" outlineLevel="1" collapsed="false">
      <c r="A1271" s="326" t="s">
        <v>2493</v>
      </c>
      <c r="B1271" s="598"/>
      <c r="C1271" s="676"/>
      <c r="D1271" s="676"/>
      <c r="E1271" s="244"/>
      <c r="F1271" s="244"/>
      <c r="G1271" s="676"/>
      <c r="H1271" s="676"/>
      <c r="I1271" s="676"/>
      <c r="J1271" s="676"/>
      <c r="K1271" s="676"/>
      <c r="L1271" s="676"/>
      <c r="M1271" s="676"/>
      <c r="N1271" s="676"/>
      <c r="O1271" s="676"/>
      <c r="P1271" s="676"/>
      <c r="Q1271" s="676"/>
      <c r="R1271" s="676"/>
      <c r="S1271" s="676"/>
      <c r="T1271" s="676"/>
      <c r="U1271" s="676"/>
      <c r="V1271" s="676"/>
      <c r="W1271" s="676"/>
      <c r="X1271" s="676"/>
      <c r="Y1271" s="598"/>
      <c r="Z1271" s="598"/>
      <c r="AA1271" s="597"/>
      <c r="AB1271" s="598"/>
      <c r="AC1271" s="598"/>
      <c r="AD1271" s="598"/>
      <c r="AE1271" s="598"/>
      <c r="AF1271" s="342"/>
      <c r="AG1271" s="342"/>
      <c r="AH1271" s="342"/>
      <c r="AI1271" s="342"/>
      <c r="AJ1271" s="342"/>
      <c r="AK1271" s="342"/>
      <c r="AL1271" s="342"/>
      <c r="AM1271" s="342"/>
      <c r="AN1271" s="778"/>
      <c r="AO1271" s="779"/>
      <c r="AP1271" s="779"/>
      <c r="AQ1271" s="780"/>
      <c r="AR1271" s="780"/>
      <c r="AS1271" s="780"/>
      <c r="AT1271" s="780"/>
      <c r="AU1271" s="780"/>
      <c r="AV1271" s="780"/>
      <c r="AW1271" s="780"/>
      <c r="AX1271" s="780"/>
      <c r="AY1271" s="780"/>
      <c r="AZ1271" s="780"/>
      <c r="BA1271" s="780"/>
      <c r="BB1271" s="780"/>
      <c r="BC1271" s="780"/>
      <c r="BD1271" s="780"/>
      <c r="BE1271" s="780"/>
    </row>
    <row r="1272" customFormat="false" ht="14.15" hidden="true" customHeight="true" outlineLevel="1" collapsed="false">
      <c r="A1272" s="480" t="s">
        <v>1117</v>
      </c>
      <c r="B1272" s="598"/>
      <c r="C1272" s="676"/>
      <c r="D1272" s="676"/>
      <c r="E1272" s="244"/>
      <c r="F1272" s="244"/>
      <c r="G1272" s="676"/>
      <c r="H1272" s="676"/>
      <c r="I1272" s="676"/>
      <c r="J1272" s="676"/>
      <c r="K1272" s="676"/>
      <c r="L1272" s="676"/>
      <c r="M1272" s="676"/>
      <c r="N1272" s="676"/>
      <c r="O1272" s="676"/>
      <c r="P1272" s="676"/>
      <c r="Q1272" s="676"/>
      <c r="R1272" s="676"/>
      <c r="S1272" s="676"/>
      <c r="T1272" s="676"/>
      <c r="U1272" s="676"/>
      <c r="V1272" s="676"/>
      <c r="W1272" s="676"/>
      <c r="X1272" s="676"/>
      <c r="Y1272" s="598"/>
      <c r="Z1272" s="598"/>
      <c r="AA1272" s="597"/>
      <c r="AB1272" s="598"/>
      <c r="AC1272" s="598"/>
      <c r="AD1272" s="598"/>
      <c r="AE1272" s="598"/>
      <c r="AF1272" s="342"/>
      <c r="AG1272" s="342"/>
      <c r="AH1272" s="342"/>
      <c r="AI1272" s="342"/>
      <c r="AJ1272" s="342"/>
      <c r="AK1272" s="342"/>
      <c r="AL1272" s="342"/>
      <c r="AM1272" s="342"/>
      <c r="AN1272" s="778"/>
      <c r="AO1272" s="779"/>
      <c r="AP1272" s="779"/>
      <c r="AQ1272" s="780"/>
      <c r="AR1272" s="780"/>
      <c r="AS1272" s="780"/>
      <c r="AT1272" s="780"/>
      <c r="AU1272" s="780"/>
      <c r="AV1272" s="780"/>
      <c r="AW1272" s="780"/>
      <c r="AX1272" s="780"/>
      <c r="AY1272" s="780"/>
      <c r="AZ1272" s="780"/>
      <c r="BA1272" s="780"/>
      <c r="BB1272" s="780"/>
      <c r="BC1272" s="780"/>
      <c r="BD1272" s="780"/>
      <c r="BE1272" s="780"/>
    </row>
    <row r="1273" customFormat="false" ht="14.15" hidden="true" customHeight="true" outlineLevel="1" collapsed="false">
      <c r="A1273" s="326" t="s">
        <v>2494</v>
      </c>
      <c r="B1273" s="598"/>
      <c r="C1273" s="676"/>
      <c r="D1273" s="676"/>
      <c r="E1273" s="244"/>
      <c r="F1273" s="244"/>
      <c r="G1273" s="676"/>
      <c r="H1273" s="676"/>
      <c r="I1273" s="676"/>
      <c r="J1273" s="676"/>
      <c r="K1273" s="676"/>
      <c r="L1273" s="676"/>
      <c r="M1273" s="676"/>
      <c r="N1273" s="676"/>
      <c r="O1273" s="676"/>
      <c r="P1273" s="676"/>
      <c r="Q1273" s="676"/>
      <c r="R1273" s="676"/>
      <c r="S1273" s="676"/>
      <c r="T1273" s="676"/>
      <c r="U1273" s="676"/>
      <c r="V1273" s="676"/>
      <c r="W1273" s="676"/>
      <c r="X1273" s="676"/>
      <c r="Y1273" s="598"/>
      <c r="Z1273" s="598"/>
      <c r="AA1273" s="597"/>
      <c r="AB1273" s="598"/>
      <c r="AC1273" s="598"/>
      <c r="AD1273" s="598"/>
      <c r="AE1273" s="598"/>
      <c r="AF1273" s="342"/>
      <c r="AG1273" s="342"/>
      <c r="AH1273" s="342"/>
      <c r="AI1273" s="342"/>
      <c r="AJ1273" s="342"/>
      <c r="AK1273" s="342"/>
      <c r="AL1273" s="342"/>
      <c r="AM1273" s="342"/>
      <c r="AN1273" s="778"/>
      <c r="AO1273" s="779"/>
      <c r="AP1273" s="779"/>
      <c r="AQ1273" s="780"/>
      <c r="AR1273" s="780"/>
      <c r="AS1273" s="780"/>
      <c r="AT1273" s="780"/>
      <c r="AU1273" s="780"/>
      <c r="AV1273" s="780"/>
      <c r="AW1273" s="780"/>
      <c r="AX1273" s="780"/>
      <c r="AY1273" s="780"/>
      <c r="AZ1273" s="780"/>
      <c r="BA1273" s="780"/>
      <c r="BB1273" s="780"/>
      <c r="BC1273" s="780"/>
      <c r="BD1273" s="780"/>
      <c r="BE1273" s="780"/>
    </row>
    <row r="1274" customFormat="false" ht="14.15" hidden="true" customHeight="true" outlineLevel="1" collapsed="false">
      <c r="A1274" s="480" t="s">
        <v>1121</v>
      </c>
      <c r="B1274" s="598"/>
      <c r="C1274" s="676"/>
      <c r="D1274" s="676"/>
      <c r="E1274" s="244"/>
      <c r="F1274" s="244"/>
      <c r="G1274" s="676"/>
      <c r="H1274" s="676"/>
      <c r="I1274" s="676"/>
      <c r="J1274" s="676"/>
      <c r="K1274" s="676"/>
      <c r="L1274" s="676"/>
      <c r="M1274" s="676"/>
      <c r="N1274" s="676"/>
      <c r="O1274" s="676"/>
      <c r="P1274" s="676"/>
      <c r="Q1274" s="676"/>
      <c r="R1274" s="676"/>
      <c r="S1274" s="676"/>
      <c r="T1274" s="676"/>
      <c r="U1274" s="676"/>
      <c r="V1274" s="676"/>
      <c r="W1274" s="676"/>
      <c r="X1274" s="676"/>
      <c r="Y1274" s="598"/>
      <c r="Z1274" s="598"/>
      <c r="AA1274" s="597"/>
      <c r="AB1274" s="598"/>
      <c r="AC1274" s="598"/>
      <c r="AD1274" s="598"/>
      <c r="AE1274" s="598"/>
      <c r="AF1274" s="342"/>
      <c r="AG1274" s="342"/>
      <c r="AH1274" s="342"/>
      <c r="AI1274" s="342"/>
      <c r="AJ1274" s="342"/>
      <c r="AK1274" s="342"/>
      <c r="AL1274" s="342"/>
      <c r="AM1274" s="342"/>
      <c r="AN1274" s="778"/>
      <c r="AO1274" s="779"/>
      <c r="AP1274" s="779"/>
      <c r="AQ1274" s="780"/>
      <c r="AR1274" s="780"/>
      <c r="AS1274" s="780"/>
      <c r="AT1274" s="780"/>
      <c r="AU1274" s="780"/>
      <c r="AV1274" s="780"/>
      <c r="AW1274" s="780"/>
      <c r="AX1274" s="780"/>
      <c r="AY1274" s="780"/>
      <c r="AZ1274" s="780"/>
      <c r="BA1274" s="780"/>
      <c r="BB1274" s="780"/>
      <c r="BC1274" s="780"/>
      <c r="BD1274" s="780"/>
      <c r="BE1274" s="780"/>
    </row>
    <row r="1275" customFormat="false" ht="14.15" hidden="true" customHeight="true" outlineLevel="1" collapsed="false">
      <c r="A1275" s="326" t="s">
        <v>2495</v>
      </c>
      <c r="B1275" s="598"/>
      <c r="C1275" s="676"/>
      <c r="D1275" s="676"/>
      <c r="E1275" s="244"/>
      <c r="F1275" s="244"/>
      <c r="G1275" s="676"/>
      <c r="H1275" s="676"/>
      <c r="I1275" s="676"/>
      <c r="J1275" s="676"/>
      <c r="K1275" s="676"/>
      <c r="L1275" s="676"/>
      <c r="M1275" s="676"/>
      <c r="N1275" s="676"/>
      <c r="O1275" s="676"/>
      <c r="P1275" s="676"/>
      <c r="Q1275" s="676"/>
      <c r="R1275" s="676"/>
      <c r="S1275" s="676"/>
      <c r="T1275" s="676"/>
      <c r="U1275" s="676"/>
      <c r="V1275" s="676"/>
      <c r="W1275" s="676"/>
      <c r="X1275" s="676"/>
      <c r="Y1275" s="598"/>
      <c r="Z1275" s="598"/>
      <c r="AA1275" s="597"/>
      <c r="AB1275" s="598"/>
      <c r="AC1275" s="598"/>
      <c r="AD1275" s="598"/>
      <c r="AE1275" s="598"/>
      <c r="AF1275" s="342"/>
      <c r="AG1275" s="342"/>
      <c r="AH1275" s="342"/>
      <c r="AI1275" s="342"/>
      <c r="AJ1275" s="342"/>
      <c r="AK1275" s="342"/>
      <c r="AL1275" s="342"/>
      <c r="AM1275" s="342"/>
      <c r="AN1275" s="778"/>
      <c r="AO1275" s="779"/>
      <c r="AP1275" s="779"/>
      <c r="AQ1275" s="780"/>
      <c r="AR1275" s="780"/>
      <c r="AS1275" s="780"/>
      <c r="AT1275" s="780"/>
      <c r="AU1275" s="780"/>
      <c r="AV1275" s="780"/>
      <c r="AW1275" s="780"/>
      <c r="AX1275" s="780"/>
      <c r="AY1275" s="780"/>
      <c r="AZ1275" s="780"/>
      <c r="BA1275" s="780"/>
      <c r="BB1275" s="780"/>
      <c r="BC1275" s="780"/>
      <c r="BD1275" s="780"/>
      <c r="BE1275" s="780"/>
    </row>
    <row r="1276" customFormat="false" ht="14.15" hidden="true" customHeight="true" outlineLevel="1" collapsed="false">
      <c r="A1276" s="480" t="s">
        <v>1116</v>
      </c>
      <c r="B1276" s="598"/>
      <c r="C1276" s="676"/>
      <c r="D1276" s="676"/>
      <c r="E1276" s="244"/>
      <c r="F1276" s="244"/>
      <c r="G1276" s="676"/>
      <c r="H1276" s="676"/>
      <c r="I1276" s="676"/>
      <c r="J1276" s="676"/>
      <c r="K1276" s="676"/>
      <c r="L1276" s="676"/>
      <c r="M1276" s="676"/>
      <c r="N1276" s="676"/>
      <c r="O1276" s="676"/>
      <c r="P1276" s="676"/>
      <c r="Q1276" s="676"/>
      <c r="R1276" s="676"/>
      <c r="S1276" s="676"/>
      <c r="T1276" s="676"/>
      <c r="U1276" s="676"/>
      <c r="V1276" s="676"/>
      <c r="W1276" s="676"/>
      <c r="X1276" s="676"/>
      <c r="Y1276" s="598"/>
      <c r="Z1276" s="598"/>
      <c r="AA1276" s="597"/>
      <c r="AB1276" s="598"/>
      <c r="AC1276" s="598"/>
      <c r="AD1276" s="598"/>
      <c r="AE1276" s="598"/>
      <c r="AF1276" s="342"/>
      <c r="AG1276" s="342"/>
      <c r="AH1276" s="342"/>
      <c r="AI1276" s="342"/>
      <c r="AJ1276" s="342"/>
      <c r="AK1276" s="342"/>
      <c r="AL1276" s="342"/>
      <c r="AM1276" s="342"/>
      <c r="AN1276" s="778"/>
      <c r="AO1276" s="779"/>
      <c r="AP1276" s="779"/>
      <c r="AQ1276" s="780"/>
      <c r="AR1276" s="780"/>
      <c r="AS1276" s="780"/>
      <c r="AT1276" s="780"/>
      <c r="AU1276" s="780"/>
      <c r="AV1276" s="780"/>
      <c r="AW1276" s="780"/>
      <c r="AX1276" s="780"/>
      <c r="AY1276" s="780"/>
      <c r="AZ1276" s="780"/>
      <c r="BA1276" s="780"/>
      <c r="BB1276" s="780"/>
      <c r="BC1276" s="780"/>
      <c r="BD1276" s="780"/>
      <c r="BE1276" s="780"/>
    </row>
    <row r="1277" customFormat="false" ht="14.15" hidden="true" customHeight="true" outlineLevel="1" collapsed="false">
      <c r="A1277" s="326" t="s">
        <v>2496</v>
      </c>
      <c r="B1277" s="598"/>
      <c r="C1277" s="676"/>
      <c r="D1277" s="676"/>
      <c r="E1277" s="244"/>
      <c r="F1277" s="244"/>
      <c r="G1277" s="676"/>
      <c r="H1277" s="676"/>
      <c r="I1277" s="676"/>
      <c r="J1277" s="676"/>
      <c r="K1277" s="676"/>
      <c r="L1277" s="676"/>
      <c r="M1277" s="676"/>
      <c r="N1277" s="676"/>
      <c r="O1277" s="676"/>
      <c r="P1277" s="676"/>
      <c r="Q1277" s="676"/>
      <c r="R1277" s="676"/>
      <c r="S1277" s="676"/>
      <c r="T1277" s="676"/>
      <c r="U1277" s="676"/>
      <c r="V1277" s="676"/>
      <c r="W1277" s="676"/>
      <c r="X1277" s="676"/>
      <c r="Y1277" s="598"/>
      <c r="Z1277" s="598"/>
      <c r="AA1277" s="597"/>
      <c r="AB1277" s="598"/>
      <c r="AC1277" s="598"/>
      <c r="AD1277" s="598"/>
      <c r="AE1277" s="598"/>
      <c r="AF1277" s="342"/>
      <c r="AG1277" s="342"/>
      <c r="AH1277" s="342"/>
      <c r="AI1277" s="342"/>
      <c r="AJ1277" s="342"/>
      <c r="AK1277" s="342"/>
      <c r="AL1277" s="342"/>
      <c r="AM1277" s="342"/>
      <c r="AN1277" s="778"/>
      <c r="AO1277" s="779"/>
      <c r="AP1277" s="779"/>
      <c r="AQ1277" s="780"/>
      <c r="AR1277" s="780"/>
      <c r="AS1277" s="780"/>
      <c r="AT1277" s="780"/>
      <c r="AU1277" s="780"/>
      <c r="AV1277" s="780"/>
      <c r="AW1277" s="780"/>
      <c r="AX1277" s="780"/>
      <c r="AY1277" s="780"/>
      <c r="AZ1277" s="780"/>
      <c r="BA1277" s="780"/>
      <c r="BB1277" s="780"/>
      <c r="BC1277" s="780"/>
      <c r="BD1277" s="780"/>
      <c r="BE1277" s="780"/>
    </row>
    <row r="1278" customFormat="false" ht="14.15" hidden="true" customHeight="true" outlineLevel="1" collapsed="false">
      <c r="A1278" s="480" t="s">
        <v>1122</v>
      </c>
      <c r="B1278" s="598"/>
      <c r="C1278" s="676"/>
      <c r="D1278" s="676"/>
      <c r="E1278" s="244"/>
      <c r="F1278" s="244"/>
      <c r="G1278" s="676"/>
      <c r="H1278" s="676"/>
      <c r="I1278" s="676"/>
      <c r="J1278" s="676"/>
      <c r="K1278" s="676"/>
      <c r="L1278" s="676"/>
      <c r="M1278" s="676"/>
      <c r="N1278" s="676"/>
      <c r="O1278" s="676"/>
      <c r="P1278" s="676"/>
      <c r="Q1278" s="676"/>
      <c r="R1278" s="676"/>
      <c r="S1278" s="676"/>
      <c r="T1278" s="676"/>
      <c r="U1278" s="676"/>
      <c r="V1278" s="676"/>
      <c r="W1278" s="676"/>
      <c r="X1278" s="676"/>
      <c r="Y1278" s="598"/>
      <c r="Z1278" s="598"/>
      <c r="AA1278" s="597"/>
      <c r="AB1278" s="598"/>
      <c r="AC1278" s="598"/>
      <c r="AD1278" s="598"/>
      <c r="AE1278" s="598"/>
      <c r="AF1278" s="342"/>
      <c r="AG1278" s="342"/>
      <c r="AH1278" s="342"/>
      <c r="AI1278" s="342"/>
      <c r="AJ1278" s="342"/>
      <c r="AK1278" s="342"/>
      <c r="AL1278" s="342"/>
      <c r="AM1278" s="342"/>
      <c r="AN1278" s="778"/>
      <c r="AO1278" s="779"/>
      <c r="AP1278" s="779"/>
      <c r="AQ1278" s="780"/>
      <c r="AR1278" s="780"/>
      <c r="AS1278" s="780"/>
      <c r="AT1278" s="780"/>
      <c r="AU1278" s="780"/>
      <c r="AV1278" s="780"/>
      <c r="AW1278" s="780"/>
      <c r="AX1278" s="780"/>
      <c r="AY1278" s="780"/>
      <c r="AZ1278" s="780"/>
      <c r="BA1278" s="780"/>
      <c r="BB1278" s="780"/>
      <c r="BC1278" s="780"/>
      <c r="BD1278" s="780"/>
      <c r="BE1278" s="780"/>
    </row>
    <row r="1279" customFormat="false" ht="14.15" hidden="true" customHeight="true" outlineLevel="1" collapsed="false">
      <c r="A1279" s="326" t="s">
        <v>2497</v>
      </c>
      <c r="B1279" s="598"/>
      <c r="C1279" s="676"/>
      <c r="D1279" s="676"/>
      <c r="E1279" s="244"/>
      <c r="F1279" s="244"/>
      <c r="G1279" s="676"/>
      <c r="H1279" s="676"/>
      <c r="I1279" s="676"/>
      <c r="J1279" s="676"/>
      <c r="K1279" s="676"/>
      <c r="L1279" s="676"/>
      <c r="M1279" s="676"/>
      <c r="N1279" s="676"/>
      <c r="O1279" s="676"/>
      <c r="P1279" s="676"/>
      <c r="Q1279" s="676"/>
      <c r="R1279" s="676"/>
      <c r="S1279" s="676"/>
      <c r="T1279" s="676"/>
      <c r="U1279" s="676"/>
      <c r="V1279" s="676"/>
      <c r="W1279" s="676"/>
      <c r="X1279" s="676"/>
      <c r="Y1279" s="598"/>
      <c r="Z1279" s="598"/>
      <c r="AA1279" s="597"/>
      <c r="AB1279" s="598"/>
      <c r="AC1279" s="598"/>
      <c r="AD1279" s="598"/>
      <c r="AE1279" s="598"/>
      <c r="AF1279" s="342"/>
      <c r="AG1279" s="342"/>
      <c r="AH1279" s="342"/>
      <c r="AI1279" s="342"/>
      <c r="AJ1279" s="342"/>
      <c r="AK1279" s="342"/>
      <c r="AL1279" s="342"/>
      <c r="AM1279" s="342"/>
      <c r="AN1279" s="778"/>
      <c r="AO1279" s="779"/>
      <c r="AP1279" s="779"/>
      <c r="AQ1279" s="780"/>
      <c r="AR1279" s="780"/>
      <c r="AS1279" s="780"/>
      <c r="AT1279" s="780"/>
      <c r="AU1279" s="780"/>
      <c r="AV1279" s="780"/>
      <c r="AW1279" s="780"/>
      <c r="AX1279" s="780"/>
      <c r="AY1279" s="780"/>
      <c r="AZ1279" s="780"/>
      <c r="BA1279" s="780"/>
      <c r="BB1279" s="780"/>
      <c r="BC1279" s="780"/>
      <c r="BD1279" s="780"/>
      <c r="BE1279" s="780"/>
    </row>
    <row r="1280" customFormat="false" ht="14.15" hidden="true" customHeight="true" outlineLevel="1" collapsed="false">
      <c r="A1280" s="480" t="s">
        <v>1118</v>
      </c>
      <c r="B1280" s="598"/>
      <c r="C1280" s="676"/>
      <c r="D1280" s="676"/>
      <c r="E1280" s="244"/>
      <c r="F1280" s="244"/>
      <c r="G1280" s="676"/>
      <c r="H1280" s="676"/>
      <c r="I1280" s="676"/>
      <c r="J1280" s="676"/>
      <c r="K1280" s="676"/>
      <c r="L1280" s="676"/>
      <c r="M1280" s="676"/>
      <c r="N1280" s="676"/>
      <c r="O1280" s="676"/>
      <c r="P1280" s="676"/>
      <c r="Q1280" s="676"/>
      <c r="R1280" s="676"/>
      <c r="S1280" s="676"/>
      <c r="T1280" s="676"/>
      <c r="U1280" s="676"/>
      <c r="V1280" s="676"/>
      <c r="W1280" s="676"/>
      <c r="X1280" s="676"/>
      <c r="Y1280" s="598"/>
      <c r="Z1280" s="598"/>
      <c r="AA1280" s="597"/>
      <c r="AB1280" s="598"/>
      <c r="AC1280" s="598"/>
      <c r="AD1280" s="598"/>
      <c r="AE1280" s="598"/>
      <c r="AF1280" s="342"/>
      <c r="AG1280" s="342"/>
      <c r="AH1280" s="342"/>
      <c r="AI1280" s="342"/>
      <c r="AJ1280" s="342"/>
      <c r="AK1280" s="342"/>
      <c r="AL1280" s="342"/>
      <c r="AM1280" s="342"/>
      <c r="AN1280" s="778"/>
      <c r="AO1280" s="779"/>
      <c r="AP1280" s="779"/>
      <c r="AQ1280" s="780"/>
      <c r="AR1280" s="780"/>
      <c r="AS1280" s="780"/>
      <c r="AT1280" s="780"/>
      <c r="AU1280" s="780"/>
      <c r="AV1280" s="780"/>
      <c r="AW1280" s="780"/>
      <c r="AX1280" s="780"/>
      <c r="AY1280" s="780"/>
      <c r="AZ1280" s="780"/>
      <c r="BA1280" s="780"/>
      <c r="BB1280" s="780"/>
      <c r="BC1280" s="780"/>
      <c r="BD1280" s="780"/>
      <c r="BE1280" s="780"/>
    </row>
    <row r="1281" customFormat="false" ht="14.15" hidden="true" customHeight="true" outlineLevel="1" collapsed="false">
      <c r="A1281" s="326" t="s">
        <v>2498</v>
      </c>
      <c r="B1281" s="598"/>
      <c r="C1281" s="676"/>
      <c r="D1281" s="676"/>
      <c r="E1281" s="244"/>
      <c r="F1281" s="244"/>
      <c r="G1281" s="676"/>
      <c r="H1281" s="676"/>
      <c r="I1281" s="676"/>
      <c r="J1281" s="676"/>
      <c r="K1281" s="676"/>
      <c r="L1281" s="676"/>
      <c r="M1281" s="676"/>
      <c r="N1281" s="676"/>
      <c r="O1281" s="676"/>
      <c r="P1281" s="676"/>
      <c r="Q1281" s="676"/>
      <c r="R1281" s="676"/>
      <c r="S1281" s="676"/>
      <c r="T1281" s="676"/>
      <c r="U1281" s="676"/>
      <c r="V1281" s="676"/>
      <c r="W1281" s="676"/>
      <c r="X1281" s="676"/>
      <c r="Y1281" s="598"/>
      <c r="Z1281" s="598"/>
      <c r="AA1281" s="597"/>
      <c r="AB1281" s="598"/>
      <c r="AC1281" s="598"/>
      <c r="AD1281" s="598"/>
      <c r="AE1281" s="598"/>
      <c r="AF1281" s="342"/>
      <c r="AG1281" s="342"/>
      <c r="AH1281" s="342"/>
      <c r="AI1281" s="342"/>
      <c r="AJ1281" s="342"/>
      <c r="AK1281" s="342"/>
      <c r="AL1281" s="342"/>
      <c r="AM1281" s="342"/>
      <c r="AN1281" s="778"/>
      <c r="AO1281" s="779"/>
      <c r="AP1281" s="779"/>
      <c r="AQ1281" s="780"/>
      <c r="AR1281" s="780"/>
      <c r="AS1281" s="780"/>
      <c r="AT1281" s="780"/>
      <c r="AU1281" s="780"/>
      <c r="AV1281" s="780"/>
      <c r="AW1281" s="780"/>
      <c r="AX1281" s="780"/>
      <c r="AY1281" s="780"/>
      <c r="AZ1281" s="780"/>
      <c r="BA1281" s="780"/>
      <c r="BB1281" s="780"/>
      <c r="BC1281" s="780"/>
      <c r="BD1281" s="780"/>
      <c r="BE1281" s="780"/>
    </row>
    <row r="1282" customFormat="false" ht="14.15" hidden="true" customHeight="true" outlineLevel="1" collapsed="false">
      <c r="A1282" s="480" t="s">
        <v>1123</v>
      </c>
      <c r="B1282" s="598"/>
      <c r="C1282" s="676"/>
      <c r="D1282" s="676"/>
      <c r="E1282" s="244"/>
      <c r="F1282" s="244"/>
      <c r="G1282" s="676"/>
      <c r="H1282" s="676"/>
      <c r="I1282" s="676"/>
      <c r="J1282" s="676"/>
      <c r="K1282" s="676"/>
      <c r="L1282" s="676"/>
      <c r="M1282" s="676"/>
      <c r="N1282" s="676"/>
      <c r="O1282" s="676"/>
      <c r="P1282" s="676"/>
      <c r="Q1282" s="676"/>
      <c r="R1282" s="676"/>
      <c r="S1282" s="676"/>
      <c r="T1282" s="676"/>
      <c r="U1282" s="676"/>
      <c r="V1282" s="676"/>
      <c r="W1282" s="676"/>
      <c r="X1282" s="676"/>
      <c r="Y1282" s="598"/>
      <c r="Z1282" s="598"/>
      <c r="AA1282" s="597"/>
      <c r="AB1282" s="598"/>
      <c r="AC1282" s="598"/>
      <c r="AD1282" s="598"/>
      <c r="AE1282" s="598"/>
      <c r="AF1282" s="342"/>
      <c r="AG1282" s="342"/>
      <c r="AH1282" s="342"/>
      <c r="AI1282" s="342"/>
      <c r="AJ1282" s="342"/>
      <c r="AK1282" s="342"/>
      <c r="AL1282" s="342"/>
      <c r="AM1282" s="342"/>
      <c r="AN1282" s="778"/>
      <c r="AO1282" s="779"/>
      <c r="AP1282" s="779"/>
      <c r="AQ1282" s="780"/>
      <c r="AR1282" s="780"/>
      <c r="AS1282" s="780"/>
      <c r="AT1282" s="780"/>
      <c r="AU1282" s="780"/>
      <c r="AV1282" s="780"/>
      <c r="AW1282" s="780"/>
      <c r="AX1282" s="780"/>
      <c r="AY1282" s="780"/>
      <c r="AZ1282" s="780"/>
      <c r="BA1282" s="780"/>
      <c r="BB1282" s="780"/>
      <c r="BC1282" s="780"/>
      <c r="BD1282" s="780"/>
      <c r="BE1282" s="780"/>
    </row>
    <row r="1283" customFormat="false" ht="14.15" hidden="true" customHeight="true" outlineLevel="1" collapsed="false">
      <c r="A1283" s="368" t="s">
        <v>2499</v>
      </c>
      <c r="B1283" s="404" t="s">
        <v>1802</v>
      </c>
      <c r="C1283" s="368" t="n">
        <v>1</v>
      </c>
      <c r="D1283" s="676"/>
      <c r="E1283" s="676"/>
      <c r="F1283" s="676"/>
      <c r="G1283" s="676"/>
      <c r="H1283" s="676"/>
      <c r="I1283" s="676"/>
      <c r="J1283" s="676"/>
      <c r="K1283" s="676"/>
      <c r="L1283" s="676"/>
      <c r="M1283" s="676"/>
      <c r="N1283" s="676"/>
      <c r="O1283" s="676"/>
      <c r="P1283" s="676"/>
      <c r="Q1283" s="676"/>
      <c r="R1283" s="676"/>
      <c r="S1283" s="676"/>
      <c r="T1283" s="676"/>
      <c r="U1283" s="676"/>
      <c r="V1283" s="676"/>
      <c r="W1283" s="676"/>
      <c r="X1283" s="676"/>
      <c r="Y1283" s="598"/>
      <c r="Z1283" s="598"/>
      <c r="AA1283" s="598"/>
      <c r="AB1283" s="598"/>
      <c r="AC1283" s="598"/>
      <c r="AD1283" s="598"/>
      <c r="AE1283" s="598"/>
      <c r="AF1283" s="342"/>
      <c r="AG1283" s="342"/>
      <c r="AH1283" s="342"/>
      <c r="AI1283" s="342"/>
      <c r="AJ1283" s="342"/>
      <c r="AK1283" s="342"/>
      <c r="AL1283" s="342"/>
      <c r="AM1283" s="342"/>
      <c r="AN1283" s="778"/>
      <c r="AO1283" s="779"/>
      <c r="AP1283" s="779"/>
      <c r="AQ1283" s="780"/>
      <c r="AR1283" s="780"/>
      <c r="AS1283" s="780"/>
      <c r="AT1283" s="780"/>
      <c r="AU1283" s="780"/>
      <c r="AV1283" s="780"/>
      <c r="AW1283" s="780"/>
      <c r="AX1283" s="780"/>
      <c r="AY1283" s="780"/>
      <c r="AZ1283" s="780"/>
      <c r="BA1283" s="780"/>
      <c r="BB1283" s="780"/>
      <c r="BC1283" s="780"/>
      <c r="BD1283" s="780"/>
      <c r="BE1283" s="780"/>
    </row>
    <row r="1284" s="355" customFormat="true" ht="14.15" hidden="true" customHeight="true" outlineLevel="1" collapsed="false">
      <c r="A1284" s="342" t="s">
        <v>2500</v>
      </c>
      <c r="B1284" s="477"/>
      <c r="C1284" s="342"/>
      <c r="D1284" s="676"/>
      <c r="E1284" s="676"/>
      <c r="F1284" s="676"/>
      <c r="G1284" s="676"/>
      <c r="H1284" s="676"/>
      <c r="I1284" s="676"/>
      <c r="J1284" s="676"/>
      <c r="K1284" s="676"/>
      <c r="L1284" s="676"/>
      <c r="M1284" s="676"/>
      <c r="N1284" s="676"/>
      <c r="O1284" s="676"/>
      <c r="P1284" s="676"/>
      <c r="Q1284" s="676"/>
      <c r="R1284" s="676"/>
      <c r="S1284" s="676"/>
      <c r="T1284" s="676"/>
      <c r="U1284" s="676"/>
      <c r="V1284" s="676"/>
      <c r="W1284" s="676"/>
      <c r="X1284" s="676"/>
      <c r="Y1284" s="598"/>
      <c r="Z1284" s="598"/>
      <c r="AA1284" s="598"/>
      <c r="AB1284" s="598"/>
      <c r="AC1284" s="598"/>
      <c r="AD1284" s="598"/>
      <c r="AE1284" s="598"/>
      <c r="AF1284" s="342"/>
      <c r="AG1284" s="342"/>
      <c r="AH1284" s="342"/>
      <c r="AI1284" s="342"/>
      <c r="AJ1284" s="342"/>
      <c r="AK1284" s="342"/>
      <c r="AL1284" s="342"/>
      <c r="AM1284" s="342"/>
      <c r="AN1284" s="342"/>
      <c r="AO1284" s="662"/>
      <c r="AP1284" s="662"/>
      <c r="AQ1284" s="772"/>
      <c r="AR1284" s="772"/>
      <c r="AS1284" s="772"/>
      <c r="AT1284" s="772"/>
      <c r="AU1284" s="772"/>
      <c r="AV1284" s="772"/>
      <c r="AW1284" s="772"/>
      <c r="AX1284" s="772"/>
      <c r="AY1284" s="772"/>
      <c r="AZ1284" s="772"/>
      <c r="BA1284" s="772"/>
      <c r="BB1284" s="772"/>
      <c r="BC1284" s="772"/>
      <c r="BD1284" s="772"/>
      <c r="BE1284" s="772"/>
      <c r="BF1284" s="360"/>
    </row>
    <row r="1285" customFormat="false" ht="14.15" hidden="true" customHeight="true" outlineLevel="1" collapsed="false">
      <c r="A1285" s="525" t="s">
        <v>1152</v>
      </c>
      <c r="B1285" s="404" t="s">
        <v>1802</v>
      </c>
      <c r="C1285" s="368" t="n">
        <v>20</v>
      </c>
      <c r="D1285" s="342"/>
      <c r="E1285" s="342"/>
      <c r="F1285" s="342"/>
      <c r="G1285" s="342"/>
      <c r="H1285" s="355"/>
      <c r="I1285" s="342"/>
      <c r="J1285" s="342"/>
      <c r="K1285" s="342"/>
      <c r="L1285" s="342"/>
      <c r="M1285" s="342"/>
      <c r="N1285" s="342"/>
      <c r="O1285" s="342"/>
      <c r="P1285" s="342"/>
      <c r="Q1285" s="342"/>
      <c r="R1285" s="342"/>
      <c r="S1285" s="342"/>
      <c r="T1285" s="342"/>
      <c r="U1285" s="342"/>
      <c r="V1285" s="342"/>
      <c r="W1285" s="342"/>
      <c r="X1285" s="342"/>
      <c r="Y1285" s="342"/>
      <c r="Z1285" s="342"/>
      <c r="AA1285" s="342"/>
      <c r="AB1285" s="342"/>
      <c r="AC1285" s="342"/>
      <c r="AD1285" s="342"/>
      <c r="AE1285" s="342"/>
      <c r="AF1285" s="342"/>
      <c r="AG1285" s="342"/>
      <c r="AH1285" s="342"/>
      <c r="AI1285" s="342"/>
      <c r="AJ1285" s="342"/>
      <c r="AK1285" s="342"/>
      <c r="AL1285" s="342"/>
      <c r="AM1285" s="342"/>
      <c r="AN1285" s="778"/>
      <c r="AO1285" s="779"/>
      <c r="AP1285" s="779"/>
      <c r="AQ1285" s="780"/>
      <c r="AR1285" s="780"/>
      <c r="AS1285" s="780"/>
      <c r="AT1285" s="780"/>
      <c r="AU1285" s="780"/>
      <c r="AV1285" s="780"/>
      <c r="AW1285" s="780"/>
      <c r="AX1285" s="780"/>
      <c r="AY1285" s="780"/>
      <c r="AZ1285" s="780"/>
      <c r="BA1285" s="780"/>
      <c r="BB1285" s="780"/>
      <c r="BC1285" s="780"/>
      <c r="BD1285" s="780"/>
      <c r="BE1285" s="780"/>
    </row>
    <row r="1286" s="355" customFormat="true" ht="14.15" hidden="true" customHeight="true" outlineLevel="1" collapsed="false">
      <c r="A1286" s="342" t="s">
        <v>2501</v>
      </c>
      <c r="B1286" s="477"/>
      <c r="C1286" s="342"/>
      <c r="D1286" s="342"/>
      <c r="E1286" s="342"/>
      <c r="F1286" s="342"/>
      <c r="G1286" s="342"/>
      <c r="I1286" s="342"/>
      <c r="J1286" s="342"/>
      <c r="K1286" s="342"/>
      <c r="L1286" s="342"/>
      <c r="M1286" s="342"/>
      <c r="N1286" s="342"/>
      <c r="O1286" s="342"/>
      <c r="P1286" s="342"/>
      <c r="Q1286" s="342"/>
      <c r="R1286" s="342"/>
      <c r="S1286" s="342"/>
      <c r="T1286" s="342"/>
      <c r="U1286" s="342"/>
      <c r="V1286" s="342"/>
      <c r="W1286" s="342"/>
      <c r="X1286" s="342"/>
      <c r="Y1286" s="342"/>
      <c r="Z1286" s="342"/>
      <c r="AA1286" s="342"/>
      <c r="AB1286" s="342"/>
      <c r="AC1286" s="342"/>
      <c r="AD1286" s="342"/>
      <c r="AE1286" s="342"/>
      <c r="AF1286" s="342"/>
      <c r="AG1286" s="342"/>
      <c r="AH1286" s="342"/>
      <c r="AI1286" s="342"/>
      <c r="AJ1286" s="342"/>
      <c r="AK1286" s="342"/>
      <c r="AL1286" s="342"/>
      <c r="AM1286" s="342"/>
      <c r="AN1286" s="342"/>
      <c r="AO1286" s="662"/>
      <c r="AP1286" s="662"/>
      <c r="AQ1286" s="772"/>
      <c r="AR1286" s="772"/>
      <c r="AS1286" s="772"/>
      <c r="AT1286" s="772"/>
      <c r="AU1286" s="772"/>
      <c r="AV1286" s="772"/>
      <c r="AW1286" s="772"/>
      <c r="AX1286" s="772"/>
      <c r="AY1286" s="772"/>
      <c r="AZ1286" s="772"/>
      <c r="BA1286" s="772"/>
      <c r="BB1286" s="772"/>
      <c r="BC1286" s="772"/>
      <c r="BD1286" s="772"/>
      <c r="BE1286" s="772"/>
      <c r="BF1286" s="360"/>
    </row>
    <row r="1287" customFormat="false" ht="14.15" hidden="true" customHeight="true" outlineLevel="1" collapsed="false">
      <c r="A1287" s="525" t="s">
        <v>1158</v>
      </c>
      <c r="B1287" s="404" t="s">
        <v>1802</v>
      </c>
      <c r="C1287" s="368" t="n">
        <v>40</v>
      </c>
      <c r="D1287" s="342"/>
      <c r="E1287" s="342"/>
      <c r="F1287" s="342"/>
      <c r="G1287" s="342"/>
      <c r="H1287" s="355"/>
      <c r="I1287" s="342"/>
      <c r="J1287" s="342"/>
      <c r="K1287" s="342"/>
      <c r="L1287" s="342"/>
      <c r="M1287" s="342"/>
      <c r="N1287" s="342"/>
      <c r="O1287" s="342"/>
      <c r="P1287" s="342"/>
      <c r="Q1287" s="342"/>
      <c r="R1287" s="342"/>
      <c r="S1287" s="342"/>
      <c r="T1287" s="342"/>
      <c r="U1287" s="342"/>
      <c r="V1287" s="342"/>
      <c r="W1287" s="342"/>
      <c r="X1287" s="342"/>
      <c r="Y1287" s="342"/>
      <c r="Z1287" s="342"/>
      <c r="AA1287" s="342"/>
      <c r="AB1287" s="342"/>
      <c r="AC1287" s="342"/>
      <c r="AD1287" s="342"/>
      <c r="AE1287" s="342"/>
      <c r="AF1287" s="342"/>
      <c r="AG1287" s="342"/>
      <c r="AH1287" s="342"/>
      <c r="AI1287" s="342"/>
      <c r="AJ1287" s="342"/>
      <c r="AK1287" s="342"/>
      <c r="AL1287" s="342"/>
      <c r="AM1287" s="342"/>
      <c r="AN1287" s="778"/>
      <c r="AO1287" s="779"/>
      <c r="AP1287" s="779"/>
      <c r="AQ1287" s="780"/>
      <c r="AR1287" s="780"/>
      <c r="AS1287" s="780"/>
      <c r="AT1287" s="780"/>
      <c r="AU1287" s="780"/>
      <c r="AV1287" s="780"/>
      <c r="AW1287" s="780"/>
      <c r="AX1287" s="780"/>
      <c r="AY1287" s="780"/>
      <c r="AZ1287" s="780"/>
      <c r="BA1287" s="780"/>
      <c r="BB1287" s="780"/>
      <c r="BC1287" s="780"/>
      <c r="BD1287" s="780"/>
      <c r="BE1287" s="780"/>
    </row>
    <row r="1288" s="355" customFormat="true" ht="14.15" hidden="true" customHeight="true" outlineLevel="1" collapsed="false">
      <c r="A1288" s="342"/>
      <c r="B1288" s="477"/>
      <c r="C1288" s="342"/>
      <c r="D1288" s="342"/>
      <c r="E1288" s="342"/>
      <c r="F1288" s="342"/>
      <c r="G1288" s="342"/>
      <c r="I1288" s="342"/>
      <c r="J1288" s="342"/>
      <c r="K1288" s="342"/>
      <c r="L1288" s="342"/>
      <c r="M1288" s="342"/>
      <c r="N1288" s="342"/>
      <c r="O1288" s="342"/>
      <c r="P1288" s="342"/>
      <c r="Q1288" s="342"/>
      <c r="R1288" s="342"/>
      <c r="S1288" s="342"/>
      <c r="T1288" s="342"/>
      <c r="U1288" s="342"/>
      <c r="V1288" s="342"/>
      <c r="W1288" s="342"/>
      <c r="X1288" s="342"/>
      <c r="Y1288" s="342"/>
      <c r="Z1288" s="342"/>
      <c r="AA1288" s="342"/>
      <c r="AB1288" s="342"/>
      <c r="AC1288" s="342"/>
      <c r="AD1288" s="342"/>
      <c r="AE1288" s="342"/>
      <c r="AF1288" s="342"/>
      <c r="AG1288" s="342"/>
      <c r="AH1288" s="342"/>
      <c r="AI1288" s="342"/>
      <c r="AJ1288" s="342"/>
      <c r="AK1288" s="342"/>
      <c r="AL1288" s="342"/>
      <c r="AM1288" s="342"/>
      <c r="AN1288" s="342"/>
      <c r="AO1288" s="662"/>
      <c r="AP1288" s="662"/>
      <c r="AQ1288" s="772"/>
      <c r="AR1288" s="772"/>
      <c r="AS1288" s="772"/>
      <c r="AT1288" s="772"/>
      <c r="AU1288" s="772"/>
      <c r="AV1288" s="772"/>
      <c r="AW1288" s="772"/>
      <c r="AX1288" s="772"/>
      <c r="AY1288" s="772"/>
      <c r="AZ1288" s="772"/>
      <c r="BA1288" s="772"/>
      <c r="BB1288" s="772"/>
      <c r="BC1288" s="772"/>
      <c r="BD1288" s="772"/>
      <c r="BE1288" s="772"/>
      <c r="BF1288" s="360"/>
    </row>
    <row r="1289" customFormat="false" ht="14.15" hidden="true" customHeight="true" outlineLevel="1" collapsed="false">
      <c r="A1289" s="324" t="s">
        <v>151</v>
      </c>
      <c r="D1289" s="342"/>
      <c r="E1289" s="342"/>
      <c r="F1289" s="342"/>
      <c r="G1289" s="342"/>
      <c r="H1289" s="355"/>
      <c r="I1289" s="819"/>
      <c r="J1289" s="819"/>
      <c r="K1289" s="819"/>
      <c r="L1289" s="819"/>
      <c r="M1289" s="819"/>
      <c r="N1289" s="819"/>
      <c r="O1289" s="819"/>
      <c r="P1289" s="819"/>
      <c r="Q1289" s="819"/>
      <c r="R1289" s="819"/>
      <c r="S1289" s="342"/>
      <c r="T1289" s="342"/>
      <c r="U1289" s="342"/>
      <c r="V1289" s="342"/>
      <c r="W1289" s="342"/>
      <c r="X1289" s="342"/>
      <c r="Y1289" s="342"/>
      <c r="Z1289" s="342"/>
      <c r="AA1289" s="342"/>
      <c r="AB1289" s="342"/>
      <c r="AC1289" s="342"/>
      <c r="AD1289" s="342"/>
      <c r="AE1289" s="342"/>
      <c r="AF1289" s="342"/>
      <c r="AG1289" s="342"/>
      <c r="AH1289" s="342"/>
      <c r="AI1289" s="342"/>
      <c r="AJ1289" s="342"/>
      <c r="AK1289" s="342"/>
      <c r="AL1289" s="342"/>
      <c r="AM1289" s="342"/>
      <c r="AN1289" s="778"/>
      <c r="AO1289" s="779"/>
      <c r="AP1289" s="779"/>
      <c r="AQ1289" s="780"/>
      <c r="AR1289" s="780"/>
      <c r="AS1289" s="780"/>
      <c r="AT1289" s="780"/>
      <c r="AU1289" s="780"/>
      <c r="AV1289" s="780"/>
      <c r="AW1289" s="780"/>
      <c r="AX1289" s="780"/>
      <c r="AY1289" s="780"/>
      <c r="AZ1289" s="780"/>
      <c r="BA1289" s="780"/>
      <c r="BB1289" s="780"/>
      <c r="BC1289" s="780"/>
      <c r="BD1289" s="780"/>
      <c r="BE1289" s="780"/>
    </row>
    <row r="1290" customFormat="false" ht="14.15" hidden="true" customHeight="true" outlineLevel="1" collapsed="false">
      <c r="A1290" s="403" t="s">
        <v>152</v>
      </c>
      <c r="B1290" s="844" t="s">
        <v>154</v>
      </c>
      <c r="C1290" s="265" t="n">
        <v>4</v>
      </c>
      <c r="D1290" s="342"/>
      <c r="E1290" s="342"/>
      <c r="F1290" s="342"/>
      <c r="G1290" s="342"/>
      <c r="H1290" s="355"/>
      <c r="I1290" s="819"/>
      <c r="J1290" s="819"/>
      <c r="K1290" s="819"/>
      <c r="L1290" s="819"/>
      <c r="M1290" s="819"/>
      <c r="N1290" s="819"/>
      <c r="O1290" s="819"/>
      <c r="P1290" s="819"/>
      <c r="Q1290" s="342"/>
      <c r="R1290" s="342"/>
      <c r="S1290" s="342"/>
      <c r="T1290" s="342"/>
      <c r="U1290" s="342"/>
      <c r="V1290" s="342"/>
      <c r="W1290" s="342"/>
      <c r="X1290" s="342"/>
      <c r="Y1290" s="342"/>
      <c r="Z1290" s="342"/>
      <c r="AA1290" s="342"/>
      <c r="AB1290" s="342"/>
      <c r="AC1290" s="342"/>
      <c r="AD1290" s="342"/>
      <c r="AE1290" s="342"/>
      <c r="AF1290" s="342"/>
      <c r="AG1290" s="342"/>
      <c r="AH1290" s="342"/>
      <c r="AI1290" s="342"/>
      <c r="AJ1290" s="342"/>
      <c r="AK1290" s="342"/>
      <c r="AL1290" s="342"/>
      <c r="AM1290" s="342"/>
      <c r="AN1290" s="778"/>
      <c r="AO1290" s="779"/>
      <c r="AP1290" s="779"/>
      <c r="AQ1290" s="780"/>
      <c r="AR1290" s="780"/>
      <c r="AS1290" s="780"/>
      <c r="AT1290" s="780"/>
      <c r="AU1290" s="780"/>
      <c r="AV1290" s="780"/>
      <c r="AW1290" s="780"/>
      <c r="AX1290" s="780"/>
      <c r="AY1290" s="780"/>
      <c r="AZ1290" s="780"/>
      <c r="BA1290" s="780"/>
      <c r="BB1290" s="780"/>
      <c r="BC1290" s="780"/>
      <c r="BD1290" s="780"/>
      <c r="BE1290" s="780"/>
    </row>
    <row r="1291" customFormat="false" ht="14.15" hidden="true" customHeight="true" outlineLevel="1" collapsed="false">
      <c r="A1291" s="401" t="s">
        <v>152</v>
      </c>
      <c r="B1291" s="844" t="s">
        <v>154</v>
      </c>
      <c r="C1291" s="595" t="n">
        <v>0</v>
      </c>
      <c r="D1291" s="342"/>
      <c r="E1291" s="342"/>
      <c r="F1291" s="342"/>
      <c r="G1291" s="342"/>
      <c r="H1291" s="355"/>
      <c r="I1291" s="819"/>
      <c r="J1291" s="819"/>
      <c r="K1291" s="819"/>
      <c r="L1291" s="819"/>
      <c r="M1291" s="819"/>
      <c r="N1291" s="819"/>
      <c r="O1291" s="819"/>
      <c r="P1291" s="819"/>
      <c r="Q1291" s="342"/>
      <c r="R1291" s="342"/>
      <c r="S1291" s="342"/>
      <c r="T1291" s="342"/>
      <c r="U1291" s="342"/>
      <c r="V1291" s="342"/>
      <c r="W1291" s="342"/>
      <c r="X1291" s="342"/>
      <c r="Y1291" s="342"/>
      <c r="Z1291" s="342"/>
      <c r="AA1291" s="342"/>
      <c r="AB1291" s="342"/>
      <c r="AC1291" s="342"/>
      <c r="AD1291" s="342"/>
      <c r="AE1291" s="342"/>
      <c r="AF1291" s="342"/>
      <c r="AG1291" s="342"/>
      <c r="AH1291" s="342"/>
      <c r="AI1291" s="342"/>
      <c r="AJ1291" s="342"/>
      <c r="AK1291" s="342"/>
      <c r="AL1291" s="342"/>
      <c r="AM1291" s="342"/>
      <c r="AN1291" s="778"/>
      <c r="AO1291" s="779"/>
      <c r="AP1291" s="779"/>
      <c r="AQ1291" s="780"/>
      <c r="AR1291" s="780"/>
      <c r="AS1291" s="780"/>
      <c r="AT1291" s="780"/>
      <c r="AU1291" s="780"/>
      <c r="AV1291" s="780"/>
      <c r="AW1291" s="780"/>
      <c r="AX1291" s="780"/>
      <c r="AY1291" s="780"/>
      <c r="AZ1291" s="780"/>
      <c r="BA1291" s="780"/>
      <c r="BB1291" s="780"/>
      <c r="BC1291" s="780"/>
      <c r="BD1291" s="780"/>
      <c r="BE1291" s="780"/>
    </row>
    <row r="1292" customFormat="false" ht="14.15" hidden="true" customHeight="true" outlineLevel="1" collapsed="false">
      <c r="A1292" s="484" t="s">
        <v>2502</v>
      </c>
      <c r="B1292" s="483" t="s">
        <v>1796</v>
      </c>
      <c r="C1292" s="871" t="n">
        <v>5000</v>
      </c>
      <c r="D1292" s="342"/>
      <c r="E1292" s="342"/>
      <c r="F1292" s="342"/>
      <c r="G1292" s="342"/>
      <c r="H1292" s="355"/>
      <c r="I1292" s="819"/>
      <c r="J1292" s="819"/>
      <c r="K1292" s="819"/>
      <c r="L1292" s="819"/>
      <c r="M1292" s="819"/>
      <c r="N1292" s="819"/>
      <c r="O1292" s="819"/>
      <c r="P1292" s="819"/>
      <c r="Q1292" s="342"/>
      <c r="R1292" s="342"/>
      <c r="S1292" s="342"/>
      <c r="T1292" s="342"/>
      <c r="U1292" s="342"/>
      <c r="V1292" s="342"/>
      <c r="W1292" s="342"/>
      <c r="X1292" s="342"/>
      <c r="Y1292" s="342"/>
      <c r="Z1292" s="342"/>
      <c r="AA1292" s="342"/>
      <c r="AB1292" s="342"/>
      <c r="AC1292" s="342"/>
      <c r="AD1292" s="342"/>
      <c r="AE1292" s="342"/>
      <c r="AF1292" s="342"/>
      <c r="AG1292" s="342"/>
      <c r="AH1292" s="342"/>
      <c r="AI1292" s="342"/>
      <c r="AJ1292" s="342"/>
      <c r="AK1292" s="342"/>
      <c r="AL1292" s="342"/>
      <c r="AM1292" s="342"/>
      <c r="AN1292" s="778"/>
      <c r="AO1292" s="779"/>
      <c r="AP1292" s="779"/>
      <c r="AQ1292" s="780"/>
      <c r="AR1292" s="780"/>
      <c r="AS1292" s="780"/>
      <c r="AT1292" s="780"/>
      <c r="AU1292" s="780"/>
      <c r="AV1292" s="780"/>
      <c r="AW1292" s="780"/>
      <c r="AX1292" s="780"/>
      <c r="AY1292" s="780"/>
      <c r="AZ1292" s="780"/>
      <c r="BA1292" s="780"/>
      <c r="BB1292" s="780"/>
      <c r="BC1292" s="780"/>
      <c r="BD1292" s="780"/>
      <c r="BE1292" s="780"/>
    </row>
    <row r="1293" s="355" customFormat="true" ht="14.15" hidden="true" customHeight="true" outlineLevel="1" collapsed="false">
      <c r="A1293" s="342"/>
      <c r="B1293" s="429"/>
      <c r="C1293" s="342"/>
      <c r="D1293" s="342"/>
      <c r="E1293" s="342"/>
      <c r="F1293" s="342"/>
      <c r="G1293" s="342"/>
      <c r="I1293" s="819"/>
      <c r="J1293" s="819"/>
      <c r="K1293" s="819"/>
      <c r="L1293" s="819"/>
      <c r="M1293" s="819"/>
      <c r="N1293" s="819"/>
      <c r="O1293" s="819"/>
      <c r="P1293" s="819"/>
      <c r="Q1293" s="342"/>
      <c r="R1293" s="342"/>
      <c r="S1293" s="342"/>
      <c r="T1293" s="342"/>
      <c r="U1293" s="342"/>
      <c r="V1293" s="342"/>
      <c r="W1293" s="342"/>
      <c r="X1293" s="342"/>
      <c r="Y1293" s="342"/>
      <c r="Z1293" s="342"/>
      <c r="AA1293" s="342"/>
      <c r="AB1293" s="342"/>
      <c r="AC1293" s="342"/>
      <c r="AD1293" s="342"/>
      <c r="AE1293" s="342"/>
      <c r="AF1293" s="342"/>
      <c r="AG1293" s="342"/>
      <c r="AH1293" s="342"/>
      <c r="AI1293" s="342"/>
      <c r="AJ1293" s="342"/>
      <c r="AK1293" s="342"/>
      <c r="AL1293" s="342"/>
      <c r="AM1293" s="342"/>
      <c r="AN1293" s="342"/>
      <c r="AO1293" s="662"/>
      <c r="AP1293" s="662"/>
      <c r="AQ1293" s="772"/>
      <c r="AR1293" s="772"/>
      <c r="AS1293" s="772"/>
      <c r="AT1293" s="772"/>
      <c r="AU1293" s="772"/>
      <c r="AV1293" s="772"/>
      <c r="AW1293" s="772"/>
      <c r="AX1293" s="772"/>
      <c r="AY1293" s="772"/>
      <c r="AZ1293" s="772"/>
      <c r="BA1293" s="772"/>
      <c r="BB1293" s="772"/>
      <c r="BC1293" s="772"/>
      <c r="BD1293" s="772"/>
      <c r="BE1293" s="772"/>
      <c r="BF1293" s="360"/>
    </row>
    <row r="1294" customFormat="false" ht="14.15" hidden="false" customHeight="true" outlineLevel="0" collapsed="false">
      <c r="A1294" s="872" t="s">
        <v>2503</v>
      </c>
      <c r="B1294" s="872"/>
      <c r="C1294" s="872"/>
      <c r="D1294" s="872"/>
      <c r="E1294" s="872"/>
      <c r="F1294" s="631" t="s">
        <v>1798</v>
      </c>
      <c r="H1294" s="625"/>
      <c r="I1294" s="625"/>
      <c r="J1294" s="625"/>
      <c r="K1294" s="625"/>
      <c r="L1294" s="625"/>
      <c r="M1294" s="600"/>
      <c r="N1294" s="600"/>
      <c r="O1294" s="600"/>
      <c r="P1294" s="342"/>
      <c r="Q1294" s="358"/>
      <c r="R1294" s="342"/>
      <c r="S1294" s="342"/>
      <c r="T1294" s="342"/>
      <c r="U1294" s="342"/>
      <c r="V1294" s="342"/>
      <c r="W1294" s="342"/>
      <c r="X1294" s="342"/>
      <c r="Y1294" s="342"/>
      <c r="Z1294" s="342"/>
      <c r="AA1294" s="342"/>
      <c r="AB1294" s="342"/>
      <c r="AC1294" s="342"/>
      <c r="AD1294" s="342"/>
      <c r="AE1294" s="342"/>
      <c r="AF1294" s="342"/>
      <c r="AG1294" s="342"/>
      <c r="AH1294" s="342"/>
      <c r="AI1294" s="342"/>
      <c r="AJ1294" s="342"/>
      <c r="AK1294" s="342"/>
      <c r="AL1294" s="342"/>
      <c r="AM1294" s="342"/>
      <c r="AN1294" s="778"/>
      <c r="AO1294" s="779"/>
      <c r="AP1294" s="779"/>
      <c r="AQ1294" s="780"/>
      <c r="AR1294" s="780"/>
      <c r="AS1294" s="780"/>
      <c r="AT1294" s="780"/>
      <c r="AU1294" s="780"/>
      <c r="AV1294" s="388" t="n">
        <f aca="false">M1294</f>
        <v>0</v>
      </c>
      <c r="AW1294" s="780"/>
      <c r="AX1294" s="780"/>
      <c r="AY1294" s="780"/>
      <c r="AZ1294" s="780"/>
      <c r="BA1294" s="780"/>
      <c r="BB1294" s="780"/>
      <c r="BC1294" s="780"/>
      <c r="BD1294" s="780"/>
      <c r="BE1294" s="780"/>
    </row>
    <row r="1295" customFormat="false" ht="14.15" hidden="false" customHeight="true" outlineLevel="0" collapsed="false">
      <c r="A1295" s="479"/>
      <c r="B1295" s="477"/>
      <c r="C1295" s="479"/>
      <c r="D1295" s="479"/>
      <c r="E1295" s="479"/>
      <c r="F1295" s="479"/>
      <c r="G1295" s="479"/>
      <c r="H1295" s="479"/>
      <c r="I1295" s="479"/>
      <c r="J1295" s="479"/>
      <c r="K1295" s="479"/>
      <c r="L1295" s="479"/>
      <c r="M1295" s="342"/>
      <c r="N1295" s="342"/>
      <c r="O1295" s="342"/>
      <c r="P1295" s="342"/>
      <c r="Q1295" s="342"/>
      <c r="R1295" s="342"/>
      <c r="S1295" s="342"/>
      <c r="T1295" s="342"/>
      <c r="U1295" s="342"/>
      <c r="V1295" s="342"/>
      <c r="W1295" s="342"/>
      <c r="X1295" s="342"/>
      <c r="Y1295" s="342"/>
      <c r="Z1295" s="342"/>
      <c r="AA1295" s="342"/>
      <c r="AB1295" s="342"/>
      <c r="AC1295" s="342"/>
      <c r="AD1295" s="342"/>
      <c r="AE1295" s="342"/>
      <c r="AF1295" s="342"/>
      <c r="AG1295" s="342"/>
      <c r="AH1295" s="342"/>
      <c r="AI1295" s="342"/>
      <c r="AJ1295" s="342"/>
      <c r="AK1295" s="342"/>
      <c r="AL1295" s="342"/>
      <c r="AM1295" s="342"/>
      <c r="AN1295" s="778"/>
      <c r="AO1295" s="779"/>
      <c r="AP1295" s="779"/>
      <c r="AQ1295" s="780"/>
      <c r="AR1295" s="780"/>
      <c r="AS1295" s="780"/>
      <c r="AT1295" s="780"/>
      <c r="AU1295" s="780"/>
      <c r="AV1295" s="780"/>
      <c r="AW1295" s="780"/>
      <c r="AX1295" s="780"/>
      <c r="AY1295" s="780"/>
      <c r="AZ1295" s="780"/>
      <c r="BA1295" s="780"/>
      <c r="BB1295" s="780"/>
      <c r="BC1295" s="780"/>
      <c r="BD1295" s="780"/>
      <c r="BE1295" s="780"/>
    </row>
    <row r="1296" customFormat="false" ht="14.15" hidden="true" customHeight="true" outlineLevel="1" collapsed="false">
      <c r="A1296" s="870" t="s">
        <v>2504</v>
      </c>
      <c r="B1296" s="870"/>
      <c r="C1296" s="870"/>
      <c r="D1296" s="870"/>
      <c r="E1296" s="870"/>
      <c r="F1296" s="870"/>
      <c r="G1296" s="870"/>
      <c r="H1296" s="784"/>
      <c r="I1296" s="784"/>
      <c r="J1296" s="784"/>
      <c r="K1296" s="784"/>
      <c r="L1296" s="784"/>
      <c r="M1296" s="784"/>
      <c r="N1296" s="784"/>
      <c r="O1296" s="784"/>
      <c r="P1296" s="784"/>
      <c r="Q1296" s="784"/>
      <c r="R1296" s="784"/>
      <c r="S1296" s="784"/>
      <c r="T1296" s="784"/>
      <c r="U1296" s="784"/>
      <c r="V1296" s="784"/>
      <c r="W1296" s="784"/>
      <c r="X1296" s="784"/>
      <c r="Y1296" s="784"/>
      <c r="Z1296" s="784"/>
      <c r="AA1296" s="784"/>
      <c r="AB1296" s="784"/>
      <c r="AC1296" s="784"/>
      <c r="AD1296" s="784"/>
      <c r="AE1296" s="784"/>
      <c r="AF1296" s="784"/>
      <c r="AG1296" s="784"/>
      <c r="AH1296" s="784"/>
      <c r="AI1296" s="784"/>
      <c r="AJ1296" s="342"/>
      <c r="AK1296" s="342"/>
      <c r="AL1296" s="342"/>
      <c r="AM1296" s="342"/>
      <c r="AN1296" s="778"/>
      <c r="AO1296" s="779"/>
      <c r="AP1296" s="779"/>
      <c r="AQ1296" s="780"/>
      <c r="AR1296" s="780"/>
      <c r="AS1296" s="780"/>
      <c r="AT1296" s="780"/>
      <c r="AU1296" s="780"/>
      <c r="AV1296" s="780"/>
      <c r="AW1296" s="780"/>
      <c r="AX1296" s="780"/>
      <c r="AY1296" s="780"/>
      <c r="AZ1296" s="780"/>
      <c r="BA1296" s="780"/>
      <c r="BB1296" s="780"/>
      <c r="BC1296" s="780"/>
      <c r="BD1296" s="780"/>
      <c r="BE1296" s="780"/>
    </row>
    <row r="1297" customFormat="false" ht="14.15" hidden="true" customHeight="true" outlineLevel="1" collapsed="false">
      <c r="A1297" s="870"/>
      <c r="B1297" s="870"/>
      <c r="C1297" s="870"/>
      <c r="D1297" s="870"/>
      <c r="E1297" s="870"/>
      <c r="F1297" s="870"/>
      <c r="G1297" s="870"/>
      <c r="H1297" s="784"/>
      <c r="I1297" s="784"/>
      <c r="J1297" s="784"/>
      <c r="K1297" s="784"/>
      <c r="L1297" s="784"/>
      <c r="M1297" s="784"/>
      <c r="N1297" s="784"/>
      <c r="O1297" s="784"/>
      <c r="P1297" s="784"/>
      <c r="Q1297" s="784"/>
      <c r="R1297" s="784"/>
      <c r="S1297" s="784"/>
      <c r="T1297" s="784"/>
      <c r="U1297" s="784"/>
      <c r="V1297" s="784"/>
      <c r="W1297" s="784"/>
      <c r="X1297" s="784"/>
      <c r="Y1297" s="784"/>
      <c r="Z1297" s="784"/>
      <c r="AA1297" s="784"/>
      <c r="AB1297" s="784"/>
      <c r="AC1297" s="784"/>
      <c r="AD1297" s="784"/>
      <c r="AE1297" s="784"/>
      <c r="AF1297" s="784"/>
      <c r="AG1297" s="784"/>
      <c r="AH1297" s="784"/>
      <c r="AI1297" s="784"/>
      <c r="AJ1297" s="342"/>
      <c r="AK1297" s="342"/>
      <c r="AL1297" s="342"/>
      <c r="AM1297" s="342"/>
      <c r="AN1297" s="778"/>
      <c r="AO1297" s="779"/>
      <c r="AP1297" s="779"/>
      <c r="AQ1297" s="780"/>
      <c r="AR1297" s="780"/>
      <c r="AS1297" s="780"/>
      <c r="AT1297" s="780"/>
      <c r="AU1297" s="780"/>
      <c r="AV1297" s="780"/>
      <c r="AW1297" s="780"/>
      <c r="AX1297" s="780"/>
      <c r="AY1297" s="780"/>
      <c r="AZ1297" s="780"/>
      <c r="BA1297" s="780"/>
      <c r="BB1297" s="780"/>
      <c r="BC1297" s="780"/>
      <c r="BD1297" s="780"/>
      <c r="BE1297" s="780"/>
    </row>
    <row r="1298" customFormat="false" ht="14.15" hidden="true" customHeight="true" outlineLevel="1" collapsed="false">
      <c r="A1298" s="415" t="s">
        <v>1806</v>
      </c>
      <c r="B1298" s="416"/>
      <c r="C1298" s="417"/>
      <c r="D1298" s="595" t="n">
        <v>1</v>
      </c>
      <c r="G1298" s="676"/>
      <c r="H1298" s="676"/>
      <c r="I1298" s="676"/>
      <c r="J1298" s="676"/>
      <c r="K1298" s="676"/>
      <c r="L1298" s="676"/>
      <c r="M1298" s="676"/>
      <c r="N1298" s="676"/>
      <c r="O1298" s="676"/>
      <c r="P1298" s="676"/>
      <c r="Q1298" s="676"/>
      <c r="R1298" s="676"/>
      <c r="S1298" s="676"/>
      <c r="T1298" s="676"/>
      <c r="U1298" s="676"/>
      <c r="V1298" s="676"/>
      <c r="W1298" s="676"/>
      <c r="X1298" s="676"/>
      <c r="Y1298" s="676"/>
      <c r="Z1298" s="676"/>
      <c r="AA1298" s="676"/>
      <c r="AB1298" s="676"/>
      <c r="AC1298" s="676"/>
      <c r="AD1298" s="676"/>
      <c r="AE1298" s="676"/>
      <c r="AF1298" s="342"/>
      <c r="AG1298" s="342"/>
      <c r="AH1298" s="342"/>
      <c r="AI1298" s="772"/>
      <c r="AJ1298" s="342"/>
      <c r="AK1298" s="342"/>
      <c r="AL1298" s="342"/>
      <c r="AM1298" s="342"/>
      <c r="AN1298" s="778"/>
      <c r="AO1298" s="779"/>
      <c r="AP1298" s="779"/>
      <c r="AQ1298" s="780"/>
      <c r="AR1298" s="780"/>
      <c r="AS1298" s="780"/>
      <c r="AT1298" s="780"/>
      <c r="AU1298" s="780"/>
      <c r="AV1298" s="780"/>
      <c r="AW1298" s="780"/>
      <c r="AX1298" s="780"/>
      <c r="AY1298" s="780"/>
      <c r="AZ1298" s="780"/>
      <c r="BA1298" s="780"/>
      <c r="BB1298" s="780"/>
      <c r="BC1298" s="780"/>
      <c r="BD1298" s="780"/>
      <c r="BE1298" s="780"/>
    </row>
    <row r="1299" customFormat="false" ht="14.15" hidden="true" customHeight="true" outlineLevel="1" collapsed="false">
      <c r="A1299" s="415" t="s">
        <v>1808</v>
      </c>
      <c r="B1299" s="416"/>
      <c r="C1299" s="417"/>
      <c r="D1299" s="595" t="n">
        <v>1</v>
      </c>
      <c r="G1299" s="676"/>
      <c r="H1299" s="676"/>
      <c r="I1299" s="676"/>
      <c r="J1299" s="676"/>
      <c r="K1299" s="676"/>
      <c r="L1299" s="676"/>
      <c r="M1299" s="676"/>
      <c r="N1299" s="676"/>
      <c r="O1299" s="676"/>
      <c r="P1299" s="676"/>
      <c r="Q1299" s="676"/>
      <c r="R1299" s="676"/>
      <c r="S1299" s="676"/>
      <c r="T1299" s="676"/>
      <c r="U1299" s="676"/>
      <c r="V1299" s="676"/>
      <c r="W1299" s="676"/>
      <c r="X1299" s="676"/>
      <c r="Y1299" s="676"/>
      <c r="Z1299" s="676"/>
      <c r="AA1299" s="676"/>
      <c r="AB1299" s="676"/>
      <c r="AC1299" s="676"/>
      <c r="AD1299" s="676"/>
      <c r="AE1299" s="676"/>
      <c r="AF1299" s="342"/>
      <c r="AG1299" s="342"/>
      <c r="AH1299" s="342"/>
      <c r="AI1299" s="342"/>
      <c r="AJ1299" s="342"/>
      <c r="AK1299" s="342"/>
      <c r="AL1299" s="342"/>
      <c r="AM1299" s="342"/>
      <c r="AN1299" s="778"/>
      <c r="AO1299" s="779"/>
      <c r="AP1299" s="779"/>
      <c r="AQ1299" s="780"/>
      <c r="AR1299" s="780"/>
      <c r="AS1299" s="780"/>
      <c r="AT1299" s="780"/>
      <c r="AU1299" s="780"/>
      <c r="AV1299" s="780"/>
      <c r="AW1299" s="780"/>
      <c r="AX1299" s="780"/>
      <c r="AY1299" s="780"/>
      <c r="AZ1299" s="780"/>
      <c r="BA1299" s="780"/>
      <c r="BB1299" s="780"/>
      <c r="BC1299" s="780"/>
      <c r="BD1299" s="780"/>
      <c r="BE1299" s="780"/>
    </row>
    <row r="1300" customFormat="false" ht="14.15" hidden="true" customHeight="true" outlineLevel="1" collapsed="false">
      <c r="B1300" s="598"/>
      <c r="C1300" s="676"/>
      <c r="D1300" s="676"/>
      <c r="E1300" s="676"/>
      <c r="F1300" s="676"/>
      <c r="G1300" s="676"/>
      <c r="H1300" s="676"/>
      <c r="I1300" s="676"/>
      <c r="J1300" s="676"/>
      <c r="K1300" s="676"/>
      <c r="L1300" s="676"/>
      <c r="M1300" s="676"/>
      <c r="N1300" s="676"/>
      <c r="O1300" s="676"/>
      <c r="P1300" s="676"/>
      <c r="Q1300" s="676"/>
      <c r="R1300" s="676"/>
      <c r="S1300" s="676"/>
      <c r="T1300" s="676"/>
      <c r="U1300" s="676"/>
      <c r="V1300" s="676"/>
      <c r="W1300" s="676"/>
      <c r="X1300" s="676"/>
      <c r="Y1300" s="598"/>
      <c r="Z1300" s="598"/>
      <c r="AA1300" s="597"/>
      <c r="AB1300" s="598"/>
      <c r="AC1300" s="598"/>
      <c r="AD1300" s="598"/>
      <c r="AE1300" s="598"/>
      <c r="AF1300" s="342"/>
      <c r="AG1300" s="342"/>
      <c r="AH1300" s="342"/>
      <c r="AI1300" s="342"/>
      <c r="AJ1300" s="342"/>
      <c r="AK1300" s="342"/>
      <c r="AL1300" s="342"/>
      <c r="AM1300" s="342"/>
      <c r="AN1300" s="778"/>
      <c r="AO1300" s="779"/>
      <c r="AP1300" s="779"/>
      <c r="AQ1300" s="780"/>
      <c r="AR1300" s="780"/>
      <c r="AS1300" s="780"/>
      <c r="AT1300" s="780"/>
      <c r="AU1300" s="780"/>
      <c r="AV1300" s="780"/>
      <c r="AW1300" s="780"/>
      <c r="AX1300" s="780"/>
      <c r="AY1300" s="780"/>
      <c r="AZ1300" s="780"/>
      <c r="BA1300" s="780"/>
      <c r="BB1300" s="780"/>
      <c r="BC1300" s="780"/>
      <c r="BD1300" s="780"/>
      <c r="BE1300" s="780"/>
    </row>
    <row r="1301" customFormat="false" ht="14.15" hidden="true" customHeight="true" outlineLevel="1" collapsed="false">
      <c r="A1301" s="324" t="s">
        <v>2505</v>
      </c>
      <c r="D1301" s="676"/>
      <c r="E1301" s="676"/>
      <c r="F1301" s="676"/>
      <c r="G1301" s="676"/>
      <c r="H1301" s="676"/>
      <c r="I1301" s="676"/>
      <c r="J1301" s="676"/>
      <c r="K1301" s="676"/>
      <c r="L1301" s="676"/>
      <c r="M1301" s="676"/>
      <c r="N1301" s="676"/>
      <c r="O1301" s="676"/>
      <c r="P1301" s="676"/>
      <c r="Q1301" s="676"/>
      <c r="R1301" s="676"/>
      <c r="S1301" s="676"/>
      <c r="T1301" s="676"/>
      <c r="U1301" s="676"/>
      <c r="V1301" s="676"/>
      <c r="W1301" s="676"/>
      <c r="X1301" s="676"/>
      <c r="Y1301" s="598"/>
      <c r="Z1301" s="598"/>
      <c r="AA1301" s="598"/>
      <c r="AB1301" s="598"/>
      <c r="AC1301" s="598"/>
      <c r="AD1301" s="598"/>
      <c r="AE1301" s="598"/>
      <c r="AF1301" s="342"/>
      <c r="AG1301" s="342"/>
      <c r="AH1301" s="342"/>
      <c r="AI1301" s="342"/>
      <c r="AJ1301" s="342"/>
      <c r="AK1301" s="342"/>
      <c r="AL1301" s="342"/>
      <c r="AM1301" s="342"/>
      <c r="AN1301" s="778"/>
      <c r="AO1301" s="779"/>
      <c r="AP1301" s="779"/>
      <c r="AQ1301" s="780"/>
      <c r="AR1301" s="780"/>
      <c r="AS1301" s="780"/>
      <c r="AT1301" s="780"/>
      <c r="AU1301" s="780"/>
      <c r="AV1301" s="780"/>
      <c r="AW1301" s="780"/>
      <c r="AX1301" s="780"/>
      <c r="AY1301" s="780"/>
      <c r="AZ1301" s="780"/>
      <c r="BA1301" s="780"/>
      <c r="BB1301" s="780"/>
      <c r="BC1301" s="780"/>
      <c r="BD1301" s="780"/>
      <c r="BE1301" s="780"/>
    </row>
    <row r="1302" customFormat="false" ht="14.15" hidden="true" customHeight="true" outlineLevel="1" collapsed="false">
      <c r="A1302" s="842" t="s">
        <v>2506</v>
      </c>
      <c r="B1302" s="477"/>
      <c r="C1302" s="479"/>
      <c r="D1302" s="479"/>
      <c r="E1302" s="479"/>
      <c r="F1302" s="479"/>
      <c r="G1302" s="479"/>
      <c r="H1302" s="522"/>
      <c r="I1302" s="479"/>
      <c r="J1302" s="479"/>
      <c r="K1302" s="479"/>
      <c r="L1302" s="479"/>
      <c r="M1302" s="479"/>
      <c r="N1302" s="479"/>
      <c r="O1302" s="477"/>
      <c r="P1302" s="477"/>
      <c r="Q1302" s="477"/>
      <c r="R1302" s="342"/>
      <c r="S1302" s="342"/>
      <c r="T1302" s="342"/>
      <c r="U1302" s="342"/>
      <c r="V1302" s="342"/>
      <c r="W1302" s="342"/>
      <c r="X1302" s="342"/>
      <c r="Y1302" s="342"/>
      <c r="Z1302" s="342"/>
      <c r="AA1302" s="342"/>
      <c r="AB1302" s="342"/>
      <c r="AC1302" s="342"/>
      <c r="AD1302" s="342"/>
      <c r="AE1302" s="342"/>
      <c r="AF1302" s="342"/>
      <c r="AG1302" s="342"/>
      <c r="AH1302" s="342"/>
      <c r="AI1302" s="342"/>
      <c r="AJ1302" s="342"/>
      <c r="AK1302" s="342"/>
      <c r="AL1302" s="342"/>
      <c r="AM1302" s="342"/>
      <c r="AN1302" s="778"/>
      <c r="AO1302" s="779"/>
      <c r="AP1302" s="779"/>
      <c r="AQ1302" s="780"/>
      <c r="AR1302" s="780"/>
      <c r="AS1302" s="780"/>
      <c r="AT1302" s="780"/>
      <c r="AU1302" s="780"/>
      <c r="AV1302" s="780"/>
      <c r="AW1302" s="780"/>
      <c r="AX1302" s="780"/>
      <c r="AY1302" s="780"/>
      <c r="AZ1302" s="780"/>
      <c r="BA1302" s="780"/>
      <c r="BB1302" s="780"/>
      <c r="BC1302" s="780"/>
      <c r="BD1302" s="780"/>
      <c r="BE1302" s="780"/>
    </row>
    <row r="1303" customFormat="false" ht="14.15" hidden="true" customHeight="true" outlineLevel="1" collapsed="false">
      <c r="A1303" s="370" t="s">
        <v>2507</v>
      </c>
      <c r="B1303" s="464" t="s">
        <v>159</v>
      </c>
      <c r="C1303" s="370" t="n">
        <v>5</v>
      </c>
      <c r="D1303" s="479"/>
      <c r="E1303" s="479"/>
      <c r="F1303" s="479"/>
      <c r="G1303" s="479"/>
      <c r="H1303" s="522"/>
      <c r="I1303" s="479"/>
      <c r="J1303" s="479"/>
      <c r="K1303" s="479"/>
      <c r="L1303" s="479"/>
      <c r="M1303" s="479"/>
      <c r="N1303" s="479"/>
      <c r="O1303" s="477"/>
      <c r="P1303" s="477"/>
      <c r="Q1303" s="477"/>
      <c r="R1303" s="342"/>
      <c r="S1303" s="342"/>
      <c r="T1303" s="342"/>
      <c r="U1303" s="342"/>
      <c r="V1303" s="342"/>
      <c r="W1303" s="342"/>
      <c r="X1303" s="342"/>
      <c r="Y1303" s="342"/>
      <c r="Z1303" s="342"/>
      <c r="AA1303" s="342"/>
      <c r="AB1303" s="342"/>
      <c r="AC1303" s="342"/>
      <c r="AD1303" s="342"/>
      <c r="AE1303" s="342"/>
      <c r="AF1303" s="342"/>
      <c r="AG1303" s="342"/>
      <c r="AH1303" s="342"/>
      <c r="AI1303" s="342"/>
      <c r="AJ1303" s="342"/>
      <c r="AK1303" s="342"/>
      <c r="AL1303" s="342"/>
      <c r="AM1303" s="342"/>
      <c r="AN1303" s="778"/>
      <c r="AO1303" s="779"/>
      <c r="AP1303" s="779"/>
      <c r="AQ1303" s="780"/>
      <c r="AR1303" s="780"/>
      <c r="AS1303" s="780"/>
      <c r="AT1303" s="780"/>
      <c r="AU1303" s="780"/>
      <c r="AV1303" s="780"/>
      <c r="AW1303" s="780"/>
      <c r="AX1303" s="780"/>
      <c r="AY1303" s="780"/>
      <c r="AZ1303" s="780"/>
      <c r="BA1303" s="780"/>
      <c r="BB1303" s="780"/>
      <c r="BC1303" s="780"/>
      <c r="BD1303" s="780"/>
      <c r="BE1303" s="780"/>
    </row>
    <row r="1304" customFormat="false" ht="14.15" hidden="true" customHeight="true" outlineLevel="1" collapsed="false">
      <c r="D1304" s="479"/>
      <c r="E1304" s="479"/>
      <c r="F1304" s="479"/>
      <c r="G1304" s="479"/>
      <c r="H1304" s="522"/>
      <c r="I1304" s="479"/>
      <c r="J1304" s="479"/>
      <c r="K1304" s="479"/>
      <c r="L1304" s="479"/>
      <c r="M1304" s="479"/>
      <c r="N1304" s="479"/>
      <c r="O1304" s="477"/>
      <c r="P1304" s="477"/>
      <c r="Q1304" s="477"/>
      <c r="R1304" s="342"/>
      <c r="S1304" s="342"/>
      <c r="T1304" s="342"/>
      <c r="U1304" s="342"/>
      <c r="V1304" s="342"/>
      <c r="W1304" s="342"/>
      <c r="X1304" s="342"/>
      <c r="Y1304" s="342"/>
      <c r="Z1304" s="342"/>
      <c r="AA1304" s="342"/>
      <c r="AB1304" s="342"/>
      <c r="AC1304" s="342"/>
      <c r="AD1304" s="342"/>
      <c r="AE1304" s="342"/>
      <c r="AF1304" s="342"/>
      <c r="AG1304" s="342"/>
      <c r="AH1304" s="342"/>
      <c r="AI1304" s="342"/>
      <c r="AJ1304" s="342"/>
      <c r="AK1304" s="342"/>
      <c r="AL1304" s="342"/>
      <c r="AM1304" s="342"/>
      <c r="AN1304" s="778"/>
      <c r="AO1304" s="779"/>
      <c r="AP1304" s="779"/>
      <c r="AQ1304" s="780"/>
      <c r="AR1304" s="780"/>
      <c r="AS1304" s="780"/>
      <c r="AT1304" s="780"/>
      <c r="AU1304" s="780"/>
      <c r="AV1304" s="780"/>
      <c r="AW1304" s="780"/>
      <c r="AX1304" s="780"/>
      <c r="AY1304" s="780"/>
      <c r="AZ1304" s="780"/>
      <c r="BA1304" s="780"/>
      <c r="BB1304" s="780"/>
      <c r="BC1304" s="780"/>
      <c r="BD1304" s="780"/>
      <c r="BE1304" s="780"/>
    </row>
    <row r="1305" customFormat="false" ht="14.15" hidden="true" customHeight="true" outlineLevel="1" collapsed="false">
      <c r="A1305" s="324" t="s">
        <v>151</v>
      </c>
      <c r="D1305" s="479"/>
      <c r="E1305" s="479"/>
      <c r="F1305" s="479"/>
      <c r="G1305" s="479"/>
      <c r="H1305" s="522"/>
      <c r="I1305" s="479"/>
      <c r="J1305" s="479"/>
      <c r="K1305" s="479"/>
      <c r="L1305" s="479"/>
      <c r="M1305" s="479"/>
      <c r="N1305" s="479"/>
      <c r="O1305" s="477"/>
      <c r="P1305" s="477"/>
      <c r="Q1305" s="477"/>
      <c r="R1305" s="342"/>
      <c r="S1305" s="342"/>
      <c r="T1305" s="342"/>
      <c r="U1305" s="342"/>
      <c r="V1305" s="342"/>
      <c r="W1305" s="342"/>
      <c r="X1305" s="342"/>
      <c r="Y1305" s="342"/>
      <c r="Z1305" s="342"/>
      <c r="AA1305" s="342"/>
      <c r="AB1305" s="342"/>
      <c r="AC1305" s="342"/>
      <c r="AD1305" s="342"/>
      <c r="AE1305" s="342"/>
      <c r="AF1305" s="342"/>
      <c r="AG1305" s="342"/>
      <c r="AH1305" s="342"/>
      <c r="AI1305" s="342"/>
      <c r="AJ1305" s="342"/>
      <c r="AK1305" s="342"/>
      <c r="AL1305" s="342"/>
      <c r="AM1305" s="342"/>
      <c r="AN1305" s="778"/>
      <c r="AO1305" s="779"/>
      <c r="AP1305" s="779"/>
      <c r="AQ1305" s="780"/>
      <c r="AR1305" s="780"/>
      <c r="AS1305" s="780"/>
      <c r="AT1305" s="780"/>
      <c r="AU1305" s="780"/>
      <c r="AV1305" s="780"/>
      <c r="AW1305" s="780"/>
      <c r="AX1305" s="780"/>
      <c r="AY1305" s="780"/>
      <c r="AZ1305" s="780"/>
      <c r="BA1305" s="780"/>
      <c r="BB1305" s="780"/>
      <c r="BC1305" s="780"/>
      <c r="BD1305" s="780"/>
      <c r="BE1305" s="780"/>
    </row>
    <row r="1306" customFormat="false" ht="14.15" hidden="true" customHeight="true" outlineLevel="1" collapsed="false">
      <c r="A1306" s="403" t="s">
        <v>152</v>
      </c>
      <c r="B1306" s="844" t="s">
        <v>154</v>
      </c>
      <c r="C1306" s="265" t="n">
        <v>0</v>
      </c>
      <c r="D1306" s="479"/>
      <c r="E1306" s="479"/>
      <c r="F1306" s="479"/>
      <c r="G1306" s="479"/>
      <c r="H1306" s="522"/>
      <c r="I1306" s="479"/>
      <c r="J1306" s="479"/>
      <c r="K1306" s="479"/>
      <c r="L1306" s="479"/>
      <c r="M1306" s="479"/>
      <c r="N1306" s="479"/>
      <c r="O1306" s="477"/>
      <c r="P1306" s="477"/>
      <c r="Q1306" s="477"/>
      <c r="R1306" s="342"/>
      <c r="S1306" s="342"/>
      <c r="T1306" s="342"/>
      <c r="U1306" s="342"/>
      <c r="V1306" s="342"/>
      <c r="W1306" s="342"/>
      <c r="X1306" s="342"/>
      <c r="Y1306" s="342"/>
      <c r="Z1306" s="342"/>
      <c r="AA1306" s="342"/>
      <c r="AB1306" s="342"/>
      <c r="AC1306" s="342"/>
      <c r="AD1306" s="342"/>
      <c r="AE1306" s="342"/>
      <c r="AF1306" s="342"/>
      <c r="AG1306" s="342"/>
      <c r="AH1306" s="342"/>
      <c r="AI1306" s="342"/>
      <c r="AJ1306" s="342"/>
      <c r="AK1306" s="342"/>
      <c r="AL1306" s="342"/>
      <c r="AM1306" s="342"/>
      <c r="AN1306" s="778"/>
      <c r="AO1306" s="779"/>
      <c r="AP1306" s="779"/>
      <c r="AQ1306" s="780"/>
      <c r="AR1306" s="780"/>
      <c r="AS1306" s="780"/>
      <c r="AT1306" s="780"/>
      <c r="AU1306" s="780"/>
      <c r="AV1306" s="780"/>
      <c r="AW1306" s="780"/>
      <c r="AX1306" s="780"/>
      <c r="AY1306" s="780"/>
      <c r="AZ1306" s="780"/>
      <c r="BA1306" s="780"/>
      <c r="BB1306" s="780"/>
      <c r="BC1306" s="780"/>
      <c r="BD1306" s="780"/>
      <c r="BE1306" s="780"/>
    </row>
    <row r="1307" customFormat="false" ht="14.15" hidden="true" customHeight="true" outlineLevel="1" collapsed="false">
      <c r="A1307" s="401" t="s">
        <v>152</v>
      </c>
      <c r="B1307" s="844" t="s">
        <v>154</v>
      </c>
      <c r="C1307" s="595" t="n">
        <v>0</v>
      </c>
      <c r="D1307" s="479"/>
      <c r="E1307" s="479"/>
      <c r="F1307" s="479"/>
      <c r="G1307" s="479"/>
      <c r="H1307" s="522"/>
      <c r="I1307" s="479"/>
      <c r="J1307" s="479"/>
      <c r="K1307" s="479"/>
      <c r="L1307" s="479"/>
      <c r="M1307" s="479"/>
      <c r="N1307" s="479"/>
      <c r="O1307" s="479"/>
      <c r="P1307" s="479"/>
      <c r="Q1307" s="479"/>
      <c r="R1307" s="342"/>
      <c r="S1307" s="342"/>
      <c r="T1307" s="342"/>
      <c r="U1307" s="342"/>
      <c r="V1307" s="342"/>
      <c r="W1307" s="342"/>
      <c r="X1307" s="342"/>
      <c r="Y1307" s="342"/>
      <c r="Z1307" s="342"/>
      <c r="AA1307" s="342"/>
      <c r="AB1307" s="342"/>
      <c r="AC1307" s="342"/>
      <c r="AD1307" s="342"/>
      <c r="AE1307" s="342"/>
      <c r="AF1307" s="342"/>
      <c r="AG1307" s="342"/>
      <c r="AH1307" s="342"/>
      <c r="AI1307" s="342"/>
      <c r="AJ1307" s="342"/>
      <c r="AK1307" s="342"/>
      <c r="AL1307" s="342"/>
      <c r="AM1307" s="342"/>
      <c r="AN1307" s="778"/>
      <c r="AO1307" s="779"/>
      <c r="AP1307" s="779"/>
      <c r="AQ1307" s="780"/>
      <c r="AR1307" s="780"/>
      <c r="AS1307" s="780"/>
      <c r="AT1307" s="780"/>
      <c r="AU1307" s="780"/>
      <c r="AV1307" s="780"/>
      <c r="AW1307" s="780"/>
      <c r="AX1307" s="780"/>
      <c r="AY1307" s="780"/>
      <c r="AZ1307" s="780"/>
      <c r="BA1307" s="780"/>
      <c r="BB1307" s="780"/>
      <c r="BC1307" s="780"/>
      <c r="BD1307" s="780"/>
      <c r="BE1307" s="780"/>
    </row>
    <row r="1308" customFormat="false" ht="14.15" hidden="true" customHeight="true" outlineLevel="1" collapsed="false">
      <c r="A1308" s="484" t="s">
        <v>2508</v>
      </c>
      <c r="B1308" s="483" t="s">
        <v>1796</v>
      </c>
      <c r="C1308" s="871" t="n">
        <v>5000</v>
      </c>
      <c r="D1308" s="479"/>
      <c r="E1308" s="479"/>
      <c r="F1308" s="479"/>
      <c r="G1308" s="479"/>
      <c r="H1308" s="522"/>
      <c r="I1308" s="819"/>
      <c r="J1308" s="819"/>
      <c r="K1308" s="819"/>
      <c r="L1308" s="819"/>
      <c r="M1308" s="819"/>
      <c r="N1308" s="819"/>
      <c r="O1308" s="819"/>
      <c r="P1308" s="819"/>
      <c r="Q1308" s="819"/>
      <c r="R1308" s="819"/>
      <c r="S1308" s="342"/>
      <c r="T1308" s="342"/>
      <c r="U1308" s="342"/>
      <c r="V1308" s="342"/>
      <c r="W1308" s="342"/>
      <c r="X1308" s="342"/>
      <c r="Y1308" s="342"/>
      <c r="Z1308" s="342"/>
      <c r="AA1308" s="342"/>
      <c r="AB1308" s="342"/>
      <c r="AC1308" s="342"/>
      <c r="AD1308" s="342"/>
      <c r="AE1308" s="342"/>
      <c r="AF1308" s="342"/>
      <c r="AG1308" s="342"/>
      <c r="AH1308" s="342"/>
      <c r="AI1308" s="342"/>
      <c r="AJ1308" s="342"/>
      <c r="AK1308" s="342"/>
      <c r="AL1308" s="342"/>
      <c r="AM1308" s="342"/>
      <c r="AN1308" s="778"/>
      <c r="AO1308" s="779"/>
      <c r="AP1308" s="779"/>
      <c r="AQ1308" s="780"/>
      <c r="AR1308" s="780"/>
      <c r="AS1308" s="780"/>
      <c r="AT1308" s="780"/>
      <c r="AU1308" s="780"/>
      <c r="AV1308" s="780"/>
      <c r="AW1308" s="780"/>
      <c r="AX1308" s="780"/>
      <c r="AY1308" s="780"/>
      <c r="AZ1308" s="780"/>
      <c r="BA1308" s="780"/>
      <c r="BB1308" s="780"/>
      <c r="BC1308" s="780"/>
      <c r="BD1308" s="780"/>
      <c r="BE1308" s="780"/>
    </row>
    <row r="1309" customFormat="false" ht="14.15" hidden="true" customHeight="true" outlineLevel="1" collapsed="false">
      <c r="A1309" s="479"/>
      <c r="B1309" s="477"/>
      <c r="C1309" s="479"/>
      <c r="D1309" s="479"/>
      <c r="E1309" s="479"/>
      <c r="F1309" s="479"/>
      <c r="G1309" s="479"/>
      <c r="H1309" s="522"/>
      <c r="I1309" s="819"/>
      <c r="J1309" s="819"/>
      <c r="K1309" s="819"/>
      <c r="L1309" s="819"/>
      <c r="M1309" s="819"/>
      <c r="N1309" s="819"/>
      <c r="O1309" s="819"/>
      <c r="P1309" s="819"/>
      <c r="Q1309" s="342"/>
      <c r="R1309" s="342"/>
      <c r="S1309" s="342"/>
      <c r="T1309" s="342"/>
      <c r="U1309" s="342"/>
      <c r="V1309" s="342"/>
      <c r="W1309" s="342"/>
      <c r="X1309" s="342"/>
      <c r="Y1309" s="342"/>
      <c r="Z1309" s="342"/>
      <c r="AA1309" s="342"/>
      <c r="AB1309" s="342"/>
      <c r="AC1309" s="342"/>
      <c r="AD1309" s="342"/>
      <c r="AE1309" s="342"/>
      <c r="AF1309" s="342"/>
      <c r="AG1309" s="342"/>
      <c r="AH1309" s="342"/>
      <c r="AI1309" s="342"/>
      <c r="AJ1309" s="342"/>
      <c r="AK1309" s="342"/>
      <c r="AL1309" s="342"/>
      <c r="AM1309" s="342"/>
      <c r="AN1309" s="778"/>
      <c r="AO1309" s="779"/>
      <c r="AP1309" s="779"/>
      <c r="AQ1309" s="780"/>
      <c r="AR1309" s="780"/>
      <c r="AS1309" s="780"/>
      <c r="AT1309" s="780"/>
      <c r="AU1309" s="780"/>
      <c r="AV1309" s="780"/>
      <c r="AW1309" s="780"/>
      <c r="AX1309" s="780"/>
      <c r="AY1309" s="780"/>
      <c r="AZ1309" s="780"/>
      <c r="BA1309" s="780"/>
      <c r="BB1309" s="780"/>
      <c r="BC1309" s="780"/>
      <c r="BD1309" s="780"/>
      <c r="BE1309" s="780"/>
    </row>
    <row r="1310" customFormat="false" ht="14.15" hidden="false" customHeight="true" outlineLevel="0" collapsed="false">
      <c r="A1310" s="872" t="s">
        <v>2509</v>
      </c>
      <c r="B1310" s="872"/>
      <c r="C1310" s="872"/>
      <c r="D1310" s="872"/>
      <c r="E1310" s="872"/>
      <c r="F1310" s="631" t="s">
        <v>1798</v>
      </c>
      <c r="H1310" s="625"/>
      <c r="I1310" s="625"/>
      <c r="J1310" s="625"/>
      <c r="K1310" s="625"/>
      <c r="L1310" s="625"/>
      <c r="M1310" s="600"/>
      <c r="N1310" s="600"/>
      <c r="O1310" s="600"/>
      <c r="P1310" s="342"/>
      <c r="Q1310" s="358"/>
      <c r="R1310" s="342"/>
      <c r="S1310" s="342"/>
      <c r="T1310" s="342"/>
      <c r="U1310" s="342"/>
      <c r="V1310" s="342"/>
      <c r="W1310" s="342"/>
      <c r="X1310" s="342"/>
      <c r="Y1310" s="342"/>
      <c r="Z1310" s="342"/>
      <c r="AA1310" s="342"/>
      <c r="AB1310" s="342"/>
      <c r="AC1310" s="342"/>
      <c r="AD1310" s="342"/>
      <c r="AE1310" s="342"/>
      <c r="AF1310" s="342"/>
      <c r="AG1310" s="342"/>
      <c r="AH1310" s="342"/>
      <c r="AI1310" s="342"/>
      <c r="AJ1310" s="342"/>
      <c r="AK1310" s="342"/>
      <c r="AL1310" s="342"/>
      <c r="AM1310" s="342"/>
      <c r="AN1310" s="778"/>
      <c r="AO1310" s="779"/>
      <c r="AP1310" s="779"/>
      <c r="AQ1310" s="780"/>
      <c r="AR1310" s="780"/>
      <c r="AS1310" s="780"/>
      <c r="AT1310" s="780"/>
      <c r="AU1310" s="780"/>
      <c r="AV1310" s="388" t="n">
        <f aca="false">M1310</f>
        <v>0</v>
      </c>
      <c r="AW1310" s="780"/>
      <c r="AX1310" s="780"/>
      <c r="AY1310" s="780"/>
      <c r="AZ1310" s="780"/>
      <c r="BA1310" s="780"/>
      <c r="BB1310" s="780"/>
      <c r="BC1310" s="780"/>
      <c r="BD1310" s="780"/>
      <c r="BE1310" s="780"/>
    </row>
    <row r="1311" customFormat="false" ht="14.15" hidden="false" customHeight="true" outlineLevel="0" collapsed="false">
      <c r="A1311" s="479"/>
      <c r="B1311" s="477"/>
      <c r="C1311" s="479"/>
      <c r="D1311" s="479"/>
      <c r="E1311" s="479"/>
      <c r="F1311" s="479"/>
      <c r="G1311" s="479"/>
      <c r="H1311" s="479"/>
      <c r="I1311" s="479"/>
      <c r="J1311" s="479"/>
      <c r="K1311" s="479"/>
      <c r="L1311" s="479"/>
      <c r="M1311" s="342"/>
      <c r="N1311" s="342"/>
      <c r="O1311" s="342"/>
      <c r="P1311" s="342"/>
      <c r="Q1311" s="342"/>
      <c r="R1311" s="342"/>
      <c r="S1311" s="342"/>
      <c r="T1311" s="342"/>
      <c r="U1311" s="342"/>
      <c r="V1311" s="342"/>
      <c r="W1311" s="342"/>
      <c r="X1311" s="342"/>
      <c r="Y1311" s="342"/>
      <c r="Z1311" s="342"/>
      <c r="AA1311" s="342"/>
      <c r="AB1311" s="342"/>
      <c r="AC1311" s="342"/>
      <c r="AD1311" s="342"/>
      <c r="AE1311" s="342"/>
      <c r="AF1311" s="342"/>
      <c r="AG1311" s="342"/>
      <c r="AH1311" s="342"/>
      <c r="AI1311" s="342"/>
      <c r="AJ1311" s="342"/>
      <c r="AK1311" s="342"/>
      <c r="AL1311" s="342"/>
      <c r="AM1311" s="342"/>
      <c r="AN1311" s="778"/>
      <c r="AO1311" s="779"/>
      <c r="AP1311" s="779"/>
      <c r="AQ1311" s="780"/>
      <c r="AR1311" s="780"/>
      <c r="AS1311" s="780"/>
      <c r="AT1311" s="780"/>
      <c r="AU1311" s="780"/>
      <c r="AV1311" s="780"/>
      <c r="AW1311" s="780"/>
      <c r="AX1311" s="780"/>
      <c r="AY1311" s="780"/>
      <c r="AZ1311" s="780"/>
      <c r="BA1311" s="780"/>
      <c r="BB1311" s="780"/>
      <c r="BC1311" s="780"/>
      <c r="BD1311" s="780"/>
      <c r="BE1311" s="780"/>
    </row>
    <row r="1312" customFormat="false" ht="14.15" hidden="true" customHeight="true" outlineLevel="1" collapsed="false">
      <c r="A1312" s="870" t="s">
        <v>1171</v>
      </c>
      <c r="B1312" s="870"/>
      <c r="C1312" s="870"/>
      <c r="D1312" s="870"/>
      <c r="E1312" s="870"/>
      <c r="F1312" s="870"/>
      <c r="G1312" s="870"/>
      <c r="H1312" s="784"/>
      <c r="I1312" s="784"/>
      <c r="J1312" s="784"/>
      <c r="K1312" s="784"/>
      <c r="L1312" s="784"/>
      <c r="M1312" s="784"/>
      <c r="N1312" s="784"/>
      <c r="O1312" s="784"/>
      <c r="P1312" s="784"/>
      <c r="Q1312" s="784"/>
      <c r="R1312" s="784"/>
      <c r="S1312" s="784"/>
      <c r="T1312" s="784"/>
      <c r="U1312" s="784"/>
      <c r="V1312" s="784"/>
      <c r="W1312" s="784"/>
      <c r="X1312" s="784"/>
      <c r="Y1312" s="784"/>
      <c r="Z1312" s="784"/>
      <c r="AA1312" s="784"/>
      <c r="AB1312" s="784"/>
      <c r="AC1312" s="784"/>
      <c r="AD1312" s="784"/>
      <c r="AE1312" s="784"/>
      <c r="AF1312" s="784"/>
      <c r="AG1312" s="784"/>
      <c r="AH1312" s="784"/>
      <c r="AI1312" s="784"/>
      <c r="AJ1312" s="342"/>
      <c r="AK1312" s="342"/>
      <c r="AL1312" s="342"/>
      <c r="AM1312" s="342"/>
      <c r="AN1312" s="778"/>
      <c r="AO1312" s="779"/>
      <c r="AP1312" s="779"/>
      <c r="AQ1312" s="780"/>
      <c r="AR1312" s="780"/>
      <c r="AS1312" s="780"/>
      <c r="AT1312" s="780"/>
      <c r="AU1312" s="780"/>
      <c r="AV1312" s="780"/>
      <c r="AW1312" s="780"/>
      <c r="AX1312" s="780"/>
      <c r="AY1312" s="780"/>
      <c r="AZ1312" s="780"/>
      <c r="BA1312" s="780"/>
      <c r="BB1312" s="780"/>
      <c r="BC1312" s="780"/>
      <c r="BD1312" s="780"/>
      <c r="BE1312" s="780"/>
    </row>
    <row r="1313" customFormat="false" ht="14.15" hidden="true" customHeight="true" outlineLevel="1" collapsed="false">
      <c r="A1313" s="870"/>
      <c r="B1313" s="870"/>
      <c r="C1313" s="870"/>
      <c r="D1313" s="870"/>
      <c r="E1313" s="870"/>
      <c r="F1313" s="870"/>
      <c r="G1313" s="870"/>
      <c r="H1313" s="784"/>
      <c r="I1313" s="784"/>
      <c r="J1313" s="784"/>
      <c r="K1313" s="784"/>
      <c r="L1313" s="784"/>
      <c r="M1313" s="784"/>
      <c r="N1313" s="784"/>
      <c r="O1313" s="784"/>
      <c r="P1313" s="784"/>
      <c r="Q1313" s="784"/>
      <c r="R1313" s="784"/>
      <c r="S1313" s="784"/>
      <c r="T1313" s="784"/>
      <c r="U1313" s="784"/>
      <c r="V1313" s="784"/>
      <c r="W1313" s="784"/>
      <c r="X1313" s="784"/>
      <c r="Y1313" s="784"/>
      <c r="Z1313" s="784"/>
      <c r="AA1313" s="784"/>
      <c r="AB1313" s="784"/>
      <c r="AC1313" s="784"/>
      <c r="AD1313" s="784"/>
      <c r="AE1313" s="784"/>
      <c r="AF1313" s="784"/>
      <c r="AG1313" s="784"/>
      <c r="AH1313" s="784"/>
      <c r="AI1313" s="784"/>
      <c r="AJ1313" s="342"/>
      <c r="AK1313" s="342"/>
      <c r="AL1313" s="342"/>
      <c r="AM1313" s="342"/>
      <c r="AN1313" s="778"/>
      <c r="AO1313" s="779"/>
      <c r="AP1313" s="779"/>
      <c r="AQ1313" s="780"/>
      <c r="AR1313" s="780"/>
      <c r="AS1313" s="780"/>
      <c r="AT1313" s="780"/>
      <c r="AU1313" s="780"/>
      <c r="AV1313" s="780"/>
      <c r="AW1313" s="780"/>
      <c r="AX1313" s="780"/>
      <c r="AY1313" s="780"/>
      <c r="AZ1313" s="780"/>
      <c r="BA1313" s="780"/>
      <c r="BB1313" s="780"/>
      <c r="BC1313" s="780"/>
      <c r="BD1313" s="780"/>
      <c r="BE1313" s="780"/>
    </row>
    <row r="1314" customFormat="false" ht="14.15" hidden="true" customHeight="true" outlineLevel="1" collapsed="false">
      <c r="A1314" s="855"/>
      <c r="B1314" s="855"/>
      <c r="C1314" s="855"/>
      <c r="D1314" s="855"/>
      <c r="E1314" s="855"/>
      <c r="F1314" s="855"/>
      <c r="G1314" s="855"/>
      <c r="H1314" s="784"/>
      <c r="I1314" s="784"/>
      <c r="J1314" s="784"/>
      <c r="K1314" s="784"/>
      <c r="L1314" s="784"/>
      <c r="M1314" s="784"/>
      <c r="N1314" s="784"/>
      <c r="O1314" s="784"/>
      <c r="P1314" s="784"/>
      <c r="Q1314" s="784"/>
      <c r="R1314" s="784"/>
      <c r="S1314" s="784"/>
      <c r="T1314" s="784"/>
      <c r="U1314" s="784"/>
      <c r="V1314" s="784"/>
      <c r="W1314" s="784"/>
      <c r="X1314" s="784"/>
      <c r="Y1314" s="784"/>
      <c r="Z1314" s="784"/>
      <c r="AA1314" s="784"/>
      <c r="AB1314" s="784"/>
      <c r="AC1314" s="784"/>
      <c r="AD1314" s="784"/>
      <c r="AE1314" s="784"/>
      <c r="AF1314" s="784"/>
      <c r="AG1314" s="784"/>
      <c r="AH1314" s="784"/>
      <c r="AI1314" s="784"/>
      <c r="AJ1314" s="342"/>
      <c r="AK1314" s="342"/>
      <c r="AL1314" s="342"/>
      <c r="AM1314" s="342"/>
      <c r="AN1314" s="778"/>
      <c r="AO1314" s="779"/>
      <c r="AP1314" s="779"/>
      <c r="AQ1314" s="780"/>
      <c r="AR1314" s="780"/>
      <c r="AS1314" s="780"/>
      <c r="AT1314" s="780"/>
      <c r="AU1314" s="780"/>
      <c r="AV1314" s="780"/>
      <c r="AW1314" s="780"/>
      <c r="AX1314" s="780"/>
      <c r="AY1314" s="780"/>
      <c r="AZ1314" s="780"/>
      <c r="BA1314" s="780"/>
      <c r="BB1314" s="780"/>
      <c r="BC1314" s="780"/>
      <c r="BD1314" s="780"/>
      <c r="BE1314" s="780"/>
    </row>
    <row r="1315" customFormat="false" ht="14.15" hidden="true" customHeight="true" outlineLevel="1" collapsed="false">
      <c r="A1315" s="513" t="s">
        <v>1236</v>
      </c>
      <c r="B1315" s="425" t="s">
        <v>120</v>
      </c>
      <c r="C1315" s="513" t="s">
        <v>1753</v>
      </c>
      <c r="D1315" s="855"/>
      <c r="E1315" s="855"/>
      <c r="F1315" s="855"/>
      <c r="G1315" s="855"/>
      <c r="H1315" s="784"/>
      <c r="I1315" s="784"/>
      <c r="J1315" s="784"/>
      <c r="K1315" s="784"/>
      <c r="L1315" s="784"/>
      <c r="M1315" s="784"/>
      <c r="N1315" s="784"/>
      <c r="O1315" s="784"/>
      <c r="P1315" s="784"/>
      <c r="Q1315" s="784"/>
      <c r="R1315" s="784"/>
      <c r="S1315" s="784"/>
      <c r="T1315" s="784"/>
      <c r="U1315" s="784"/>
      <c r="V1315" s="784"/>
      <c r="W1315" s="784"/>
      <c r="X1315" s="784"/>
      <c r="Y1315" s="784"/>
      <c r="Z1315" s="784"/>
      <c r="AA1315" s="784"/>
      <c r="AB1315" s="784"/>
      <c r="AC1315" s="784"/>
      <c r="AD1315" s="784"/>
      <c r="AE1315" s="784"/>
      <c r="AF1315" s="784"/>
      <c r="AG1315" s="784"/>
      <c r="AH1315" s="784"/>
      <c r="AI1315" s="784"/>
      <c r="AJ1315" s="342"/>
      <c r="AK1315" s="342"/>
      <c r="AL1315" s="342"/>
      <c r="AM1315" s="342"/>
      <c r="AN1315" s="778"/>
      <c r="AO1315" s="779"/>
      <c r="AP1315" s="779"/>
      <c r="AQ1315" s="780"/>
      <c r="AR1315" s="780"/>
      <c r="AS1315" s="780"/>
      <c r="AT1315" s="780"/>
      <c r="AU1315" s="780"/>
      <c r="AV1315" s="780"/>
      <c r="AW1315" s="780"/>
      <c r="AX1315" s="780"/>
      <c r="AY1315" s="780"/>
      <c r="AZ1315" s="780"/>
      <c r="BA1315" s="780"/>
      <c r="BB1315" s="780"/>
      <c r="BC1315" s="780"/>
      <c r="BD1315" s="780"/>
      <c r="BE1315" s="780"/>
    </row>
    <row r="1316" customFormat="false" ht="14.15" hidden="true" customHeight="true" outlineLevel="1" collapsed="false">
      <c r="A1316" s="265" t="s">
        <v>1172</v>
      </c>
      <c r="B1316" s="404" t="s">
        <v>154</v>
      </c>
      <c r="C1316" s="264" t="n">
        <v>5</v>
      </c>
      <c r="D1316" s="479"/>
      <c r="E1316" s="479"/>
      <c r="F1316" s="479"/>
      <c r="H1316" s="479"/>
      <c r="I1316" s="873"/>
      <c r="J1316" s="479"/>
      <c r="K1316" s="479"/>
      <c r="L1316" s="479"/>
      <c r="M1316" s="479"/>
      <c r="N1316" s="479"/>
      <c r="O1316" s="479"/>
      <c r="P1316" s="479"/>
      <c r="Q1316" s="342"/>
      <c r="R1316" s="342"/>
      <c r="S1316" s="342"/>
      <c r="T1316" s="342"/>
      <c r="U1316" s="342"/>
      <c r="V1316" s="342"/>
      <c r="W1316" s="342"/>
      <c r="X1316" s="342"/>
      <c r="Y1316" s="342"/>
      <c r="Z1316" s="342"/>
      <c r="AA1316" s="342"/>
      <c r="AB1316" s="342"/>
      <c r="AC1316" s="342"/>
      <c r="AD1316" s="342"/>
      <c r="AE1316" s="342"/>
      <c r="AF1316" s="342"/>
      <c r="AG1316" s="342"/>
      <c r="AH1316" s="342"/>
      <c r="AI1316" s="342"/>
      <c r="AJ1316" s="342"/>
      <c r="AK1316" s="342"/>
      <c r="AL1316" s="342"/>
      <c r="AM1316" s="342"/>
      <c r="AN1316" s="778"/>
      <c r="AO1316" s="779"/>
      <c r="AP1316" s="779"/>
      <c r="AQ1316" s="780"/>
      <c r="AR1316" s="780"/>
      <c r="AS1316" s="780"/>
      <c r="AT1316" s="780"/>
      <c r="AU1316" s="780"/>
      <c r="AV1316" s="780"/>
      <c r="AW1316" s="780"/>
      <c r="AX1316" s="780"/>
      <c r="AY1316" s="780"/>
      <c r="AZ1316" s="780"/>
      <c r="BA1316" s="780"/>
      <c r="BB1316" s="780"/>
      <c r="BC1316" s="780"/>
      <c r="BD1316" s="780"/>
      <c r="BE1316" s="780"/>
    </row>
    <row r="1317" customFormat="false" ht="14.15" hidden="true" customHeight="true" outlineLevel="1" collapsed="false">
      <c r="A1317" s="265" t="s">
        <v>2510</v>
      </c>
      <c r="B1317" s="404" t="s">
        <v>159</v>
      </c>
      <c r="C1317" s="874" t="s">
        <v>1821</v>
      </c>
      <c r="D1317" s="479"/>
      <c r="E1317" s="479"/>
      <c r="F1317" s="479"/>
      <c r="H1317" s="479"/>
      <c r="I1317" s="479"/>
      <c r="J1317" s="479"/>
      <c r="K1317" s="479"/>
      <c r="L1317" s="479"/>
      <c r="M1317" s="479"/>
      <c r="N1317" s="479"/>
      <c r="O1317" s="479"/>
      <c r="P1317" s="479"/>
      <c r="Q1317" s="342"/>
      <c r="R1317" s="342"/>
      <c r="S1317" s="342"/>
      <c r="T1317" s="342"/>
      <c r="U1317" s="342"/>
      <c r="V1317" s="342"/>
      <c r="W1317" s="342"/>
      <c r="X1317" s="342"/>
      <c r="Y1317" s="342"/>
      <c r="Z1317" s="342"/>
      <c r="AA1317" s="342"/>
      <c r="AB1317" s="342"/>
      <c r="AC1317" s="342"/>
      <c r="AD1317" s="342"/>
      <c r="AE1317" s="342"/>
      <c r="AF1317" s="342"/>
      <c r="AG1317" s="342"/>
      <c r="AH1317" s="342"/>
      <c r="AI1317" s="342"/>
      <c r="AJ1317" s="342"/>
      <c r="AK1317" s="342"/>
      <c r="AL1317" s="342"/>
      <c r="AM1317" s="342"/>
      <c r="AN1317" s="778"/>
      <c r="AO1317" s="779"/>
      <c r="AP1317" s="779"/>
      <c r="AQ1317" s="780"/>
      <c r="AR1317" s="780"/>
      <c r="AS1317" s="780"/>
      <c r="AT1317" s="780"/>
      <c r="AU1317" s="780"/>
      <c r="AV1317" s="780"/>
      <c r="AW1317" s="780"/>
      <c r="AX1317" s="780"/>
      <c r="AY1317" s="780"/>
      <c r="AZ1317" s="780"/>
      <c r="BA1317" s="780"/>
      <c r="BB1317" s="780"/>
      <c r="BC1317" s="780"/>
      <c r="BD1317" s="780"/>
      <c r="BE1317" s="780"/>
    </row>
    <row r="1318" customFormat="false" ht="14.15" hidden="true" customHeight="true" outlineLevel="1" collapsed="false">
      <c r="A1318" s="265" t="s">
        <v>2511</v>
      </c>
      <c r="B1318" s="404" t="s">
        <v>159</v>
      </c>
      <c r="C1318" s="874" t="s">
        <v>1821</v>
      </c>
      <c r="D1318" s="479"/>
      <c r="E1318" s="479"/>
      <c r="F1318" s="479"/>
      <c r="H1318" s="479"/>
      <c r="I1318" s="479"/>
      <c r="J1318" s="479"/>
      <c r="K1318" s="479"/>
      <c r="L1318" s="479"/>
      <c r="M1318" s="479"/>
      <c r="N1318" s="479"/>
      <c r="O1318" s="479"/>
      <c r="P1318" s="479"/>
      <c r="Q1318" s="342"/>
      <c r="R1318" s="342"/>
      <c r="S1318" s="342"/>
      <c r="T1318" s="342"/>
      <c r="U1318" s="342"/>
      <c r="V1318" s="342"/>
      <c r="W1318" s="342"/>
      <c r="X1318" s="342"/>
      <c r="Y1318" s="342"/>
      <c r="Z1318" s="342"/>
      <c r="AA1318" s="342"/>
      <c r="AB1318" s="342"/>
      <c r="AC1318" s="342"/>
      <c r="AD1318" s="342"/>
      <c r="AE1318" s="342"/>
      <c r="AF1318" s="342"/>
      <c r="AG1318" s="342"/>
      <c r="AH1318" s="342"/>
      <c r="AI1318" s="342"/>
      <c r="AJ1318" s="342"/>
      <c r="AK1318" s="342"/>
      <c r="AL1318" s="342"/>
      <c r="AM1318" s="342"/>
      <c r="AN1318" s="778"/>
      <c r="AO1318" s="779"/>
      <c r="AP1318" s="779"/>
      <c r="AQ1318" s="780"/>
      <c r="AR1318" s="780"/>
      <c r="AS1318" s="780"/>
      <c r="AT1318" s="780"/>
      <c r="AU1318" s="780"/>
      <c r="AV1318" s="780"/>
      <c r="AW1318" s="780"/>
      <c r="AX1318" s="780"/>
      <c r="AY1318" s="780"/>
      <c r="AZ1318" s="780"/>
      <c r="BA1318" s="780"/>
      <c r="BB1318" s="780"/>
      <c r="BC1318" s="780"/>
      <c r="BD1318" s="780"/>
      <c r="BE1318" s="780"/>
    </row>
    <row r="1319" customFormat="false" ht="14.15" hidden="true" customHeight="true" outlineLevel="1" collapsed="false">
      <c r="A1319" s="265" t="s">
        <v>2512</v>
      </c>
      <c r="B1319" s="404" t="s">
        <v>156</v>
      </c>
      <c r="C1319" s="264" t="n">
        <v>60</v>
      </c>
      <c r="D1319" s="479"/>
      <c r="E1319" s="479"/>
      <c r="F1319" s="479"/>
      <c r="H1319" s="479"/>
      <c r="I1319" s="479"/>
      <c r="J1319" s="479"/>
      <c r="K1319" s="479"/>
      <c r="L1319" s="479"/>
      <c r="M1319" s="479"/>
      <c r="N1319" s="479"/>
      <c r="O1319" s="479"/>
      <c r="P1319" s="479"/>
      <c r="Q1319" s="342"/>
      <c r="R1319" s="342"/>
      <c r="S1319" s="342"/>
      <c r="T1319" s="342"/>
      <c r="U1319" s="342"/>
      <c r="V1319" s="342"/>
      <c r="W1319" s="342"/>
      <c r="X1319" s="342"/>
      <c r="Y1319" s="342"/>
      <c r="Z1319" s="342"/>
      <c r="AA1319" s="342"/>
      <c r="AB1319" s="342"/>
      <c r="AC1319" s="342"/>
      <c r="AD1319" s="342"/>
      <c r="AE1319" s="342"/>
      <c r="AF1319" s="342"/>
      <c r="AG1319" s="342"/>
      <c r="AH1319" s="342"/>
      <c r="AI1319" s="342"/>
      <c r="AJ1319" s="342"/>
      <c r="AK1319" s="342"/>
      <c r="AL1319" s="342"/>
      <c r="AM1319" s="342"/>
      <c r="AN1319" s="778"/>
      <c r="AO1319" s="779"/>
      <c r="AP1319" s="779"/>
      <c r="AQ1319" s="780"/>
      <c r="AR1319" s="780"/>
      <c r="AS1319" s="780"/>
      <c r="AT1319" s="780"/>
      <c r="AU1319" s="780"/>
      <c r="AV1319" s="780"/>
      <c r="AW1319" s="780"/>
      <c r="AX1319" s="780"/>
      <c r="AY1319" s="780"/>
      <c r="AZ1319" s="780"/>
      <c r="BA1319" s="780"/>
      <c r="BB1319" s="780"/>
      <c r="BC1319" s="780"/>
      <c r="BD1319" s="780"/>
      <c r="BE1319" s="780"/>
    </row>
    <row r="1320" customFormat="false" ht="14.15" hidden="true" customHeight="true" outlineLevel="1" collapsed="false">
      <c r="A1320" s="324" t="s">
        <v>151</v>
      </c>
      <c r="D1320" s="479"/>
      <c r="E1320" s="479"/>
      <c r="F1320" s="479"/>
      <c r="H1320" s="479"/>
      <c r="I1320" s="600"/>
      <c r="J1320" s="600"/>
      <c r="K1320" s="600"/>
      <c r="L1320" s="600"/>
      <c r="M1320" s="600"/>
      <c r="N1320" s="600"/>
      <c r="O1320" s="600"/>
      <c r="P1320" s="600"/>
      <c r="Q1320" s="600"/>
      <c r="R1320" s="600"/>
      <c r="S1320" s="342"/>
      <c r="T1320" s="342"/>
      <c r="U1320" s="342"/>
      <c r="V1320" s="342"/>
      <c r="W1320" s="342"/>
      <c r="X1320" s="342"/>
      <c r="Y1320" s="342"/>
      <c r="Z1320" s="342"/>
      <c r="AA1320" s="342"/>
      <c r="AB1320" s="342"/>
      <c r="AC1320" s="342"/>
      <c r="AD1320" s="342"/>
      <c r="AE1320" s="342"/>
      <c r="AF1320" s="342"/>
      <c r="AG1320" s="342"/>
      <c r="AH1320" s="342"/>
      <c r="AI1320" s="342"/>
      <c r="AJ1320" s="342"/>
      <c r="AK1320" s="342"/>
      <c r="AL1320" s="342"/>
      <c r="AM1320" s="342"/>
      <c r="AN1320" s="778"/>
      <c r="AO1320" s="779"/>
      <c r="AP1320" s="779"/>
      <c r="AQ1320" s="780"/>
      <c r="AR1320" s="780"/>
      <c r="AS1320" s="780"/>
      <c r="AT1320" s="780"/>
      <c r="AU1320" s="780"/>
      <c r="AV1320" s="780"/>
      <c r="AW1320" s="780"/>
      <c r="AX1320" s="780"/>
      <c r="AY1320" s="780"/>
      <c r="AZ1320" s="780"/>
      <c r="BA1320" s="780"/>
      <c r="BB1320" s="780"/>
      <c r="BC1320" s="780"/>
      <c r="BD1320" s="780"/>
      <c r="BE1320" s="780"/>
    </row>
    <row r="1321" customFormat="false" ht="14.15" hidden="true" customHeight="true" outlineLevel="1" collapsed="false">
      <c r="A1321" s="403" t="s">
        <v>152</v>
      </c>
      <c r="B1321" s="844" t="s">
        <v>154</v>
      </c>
      <c r="C1321" s="265" t="n">
        <v>4</v>
      </c>
      <c r="D1321" s="479"/>
      <c r="E1321" s="479"/>
      <c r="F1321" s="479"/>
      <c r="H1321" s="479"/>
      <c r="I1321" s="600"/>
      <c r="J1321" s="600"/>
      <c r="K1321" s="600"/>
      <c r="L1321" s="600"/>
      <c r="M1321" s="600"/>
      <c r="N1321" s="600"/>
      <c r="O1321" s="600"/>
      <c r="P1321" s="600"/>
      <c r="Q1321" s="600"/>
      <c r="R1321" s="600"/>
      <c r="S1321" s="342"/>
      <c r="T1321" s="342"/>
      <c r="U1321" s="342"/>
      <c r="V1321" s="342"/>
      <c r="W1321" s="342"/>
      <c r="X1321" s="342"/>
      <c r="Y1321" s="342"/>
      <c r="Z1321" s="342"/>
      <c r="AA1321" s="342"/>
      <c r="AB1321" s="342"/>
      <c r="AC1321" s="342"/>
      <c r="AD1321" s="342"/>
      <c r="AE1321" s="342"/>
      <c r="AF1321" s="342"/>
      <c r="AG1321" s="342"/>
      <c r="AH1321" s="342"/>
      <c r="AI1321" s="342"/>
      <c r="AJ1321" s="342"/>
      <c r="AK1321" s="342"/>
      <c r="AL1321" s="342"/>
      <c r="AM1321" s="342"/>
      <c r="AN1321" s="778"/>
      <c r="AO1321" s="779"/>
      <c r="AP1321" s="779"/>
      <c r="AQ1321" s="780"/>
      <c r="AR1321" s="780"/>
      <c r="AS1321" s="780"/>
      <c r="AT1321" s="780"/>
      <c r="AU1321" s="780"/>
      <c r="AV1321" s="780"/>
      <c r="AW1321" s="780"/>
      <c r="AX1321" s="780"/>
      <c r="AY1321" s="780"/>
      <c r="AZ1321" s="780"/>
      <c r="BA1321" s="780"/>
      <c r="BB1321" s="780"/>
      <c r="BC1321" s="780"/>
      <c r="BD1321" s="780"/>
      <c r="BE1321" s="780"/>
    </row>
    <row r="1322" customFormat="false" ht="14.15" hidden="true" customHeight="true" outlineLevel="1" collapsed="false">
      <c r="A1322" s="401" t="s">
        <v>152</v>
      </c>
      <c r="B1322" s="844" t="s">
        <v>154</v>
      </c>
      <c r="C1322" s="595" t="n">
        <v>0</v>
      </c>
      <c r="D1322" s="479"/>
      <c r="E1322" s="479"/>
      <c r="F1322" s="479"/>
      <c r="H1322" s="479"/>
      <c r="I1322" s="600"/>
      <c r="J1322" s="600"/>
      <c r="K1322" s="600"/>
      <c r="L1322" s="600"/>
      <c r="M1322" s="600"/>
      <c r="N1322" s="600"/>
      <c r="O1322" s="600"/>
      <c r="P1322" s="600"/>
      <c r="Q1322" s="600"/>
      <c r="R1322" s="600"/>
      <c r="S1322" s="342"/>
      <c r="T1322" s="342"/>
      <c r="U1322" s="342"/>
      <c r="V1322" s="342"/>
      <c r="W1322" s="342"/>
      <c r="X1322" s="342"/>
      <c r="Y1322" s="342"/>
      <c r="Z1322" s="342"/>
      <c r="AA1322" s="342"/>
      <c r="AB1322" s="342"/>
      <c r="AC1322" s="342"/>
      <c r="AD1322" s="342"/>
      <c r="AE1322" s="342"/>
      <c r="AF1322" s="342"/>
      <c r="AG1322" s="342"/>
      <c r="AH1322" s="342"/>
      <c r="AI1322" s="342"/>
      <c r="AJ1322" s="342"/>
      <c r="AK1322" s="342"/>
      <c r="AL1322" s="342"/>
      <c r="AM1322" s="342"/>
      <c r="AN1322" s="778"/>
      <c r="AO1322" s="779"/>
      <c r="AP1322" s="779"/>
      <c r="AQ1322" s="780"/>
      <c r="AR1322" s="780"/>
      <c r="AS1322" s="780"/>
      <c r="AT1322" s="780"/>
      <c r="AU1322" s="780"/>
      <c r="AV1322" s="780"/>
      <c r="AW1322" s="780"/>
      <c r="AX1322" s="780"/>
      <c r="AY1322" s="780"/>
      <c r="AZ1322" s="780"/>
      <c r="BA1322" s="780"/>
      <c r="BB1322" s="780"/>
      <c r="BC1322" s="780"/>
      <c r="BD1322" s="780"/>
      <c r="BE1322" s="780"/>
    </row>
    <row r="1323" customFormat="false" ht="14.15" hidden="true" customHeight="true" outlineLevel="1" collapsed="false">
      <c r="A1323" s="484" t="s">
        <v>2513</v>
      </c>
      <c r="B1323" s="483" t="s">
        <v>1796</v>
      </c>
      <c r="C1323" s="871" t="n">
        <v>5000</v>
      </c>
      <c r="D1323" s="479"/>
      <c r="E1323" s="479"/>
      <c r="F1323" s="479"/>
      <c r="H1323" s="479"/>
      <c r="I1323" s="600"/>
      <c r="J1323" s="600"/>
      <c r="K1323" s="600"/>
      <c r="L1323" s="600"/>
      <c r="M1323" s="600"/>
      <c r="N1323" s="600"/>
      <c r="O1323" s="600"/>
      <c r="P1323" s="600"/>
      <c r="Q1323" s="342"/>
      <c r="R1323" s="342"/>
      <c r="S1323" s="342"/>
      <c r="T1323" s="342"/>
      <c r="U1323" s="342"/>
      <c r="V1323" s="342"/>
      <c r="W1323" s="342"/>
      <c r="X1323" s="342"/>
      <c r="Y1323" s="342"/>
      <c r="Z1323" s="342"/>
      <c r="AA1323" s="342"/>
      <c r="AB1323" s="342"/>
      <c r="AC1323" s="342"/>
      <c r="AD1323" s="342"/>
      <c r="AE1323" s="342"/>
      <c r="AF1323" s="342"/>
      <c r="AG1323" s="342"/>
      <c r="AH1323" s="342"/>
      <c r="AI1323" s="342"/>
      <c r="AJ1323" s="342"/>
      <c r="AK1323" s="342"/>
      <c r="AL1323" s="342"/>
      <c r="AM1323" s="342"/>
      <c r="AN1323" s="778"/>
      <c r="AO1323" s="779"/>
      <c r="AP1323" s="779"/>
      <c r="AQ1323" s="780"/>
      <c r="AR1323" s="780"/>
      <c r="AS1323" s="780"/>
      <c r="AT1323" s="780"/>
      <c r="AU1323" s="780"/>
      <c r="AV1323" s="780"/>
      <c r="AW1323" s="780"/>
      <c r="AX1323" s="780"/>
      <c r="AY1323" s="780"/>
      <c r="AZ1323" s="780"/>
      <c r="BA1323" s="780"/>
      <c r="BB1323" s="780"/>
      <c r="BC1323" s="780"/>
      <c r="BD1323" s="780"/>
      <c r="BE1323" s="780"/>
    </row>
    <row r="1324" customFormat="false" ht="14.15" hidden="true" customHeight="true" outlineLevel="1" collapsed="false">
      <c r="A1324" s="479"/>
      <c r="B1324" s="477"/>
      <c r="C1324" s="479"/>
      <c r="D1324" s="479"/>
      <c r="E1324" s="479"/>
      <c r="F1324" s="479"/>
      <c r="H1324" s="479"/>
      <c r="I1324" s="600"/>
      <c r="J1324" s="600"/>
      <c r="K1324" s="600"/>
      <c r="L1324" s="600"/>
      <c r="M1324" s="600"/>
      <c r="N1324" s="600"/>
      <c r="O1324" s="600"/>
      <c r="P1324" s="600"/>
      <c r="Q1324" s="342"/>
      <c r="R1324" s="342"/>
      <c r="S1324" s="342"/>
      <c r="T1324" s="342"/>
      <c r="U1324" s="342"/>
      <c r="V1324" s="342"/>
      <c r="W1324" s="342"/>
      <c r="X1324" s="342"/>
      <c r="Y1324" s="342"/>
      <c r="Z1324" s="342"/>
      <c r="AA1324" s="342"/>
      <c r="AB1324" s="342"/>
      <c r="AC1324" s="342"/>
      <c r="AD1324" s="342"/>
      <c r="AE1324" s="342"/>
      <c r="AF1324" s="342"/>
      <c r="AG1324" s="342"/>
      <c r="AH1324" s="342"/>
      <c r="AI1324" s="342"/>
      <c r="AJ1324" s="342"/>
      <c r="AK1324" s="342"/>
      <c r="AL1324" s="342"/>
      <c r="AM1324" s="342"/>
      <c r="AN1324" s="778"/>
      <c r="AO1324" s="779"/>
      <c r="AP1324" s="779"/>
      <c r="AQ1324" s="780"/>
      <c r="AR1324" s="780"/>
      <c r="AS1324" s="780"/>
      <c r="AT1324" s="780"/>
      <c r="AU1324" s="780"/>
      <c r="AV1324" s="780"/>
      <c r="AW1324" s="780"/>
      <c r="AX1324" s="780"/>
      <c r="AY1324" s="780"/>
      <c r="AZ1324" s="780"/>
      <c r="BA1324" s="780"/>
      <c r="BB1324" s="780"/>
      <c r="BC1324" s="780"/>
      <c r="BD1324" s="780"/>
      <c r="BE1324" s="780"/>
    </row>
    <row r="1325" customFormat="false" ht="14.15" hidden="false" customHeight="true" outlineLevel="0" collapsed="false">
      <c r="A1325" s="872" t="s">
        <v>2514</v>
      </c>
      <c r="B1325" s="872"/>
      <c r="C1325" s="872"/>
      <c r="D1325" s="872"/>
      <c r="E1325" s="872"/>
      <c r="F1325" s="631" t="s">
        <v>1798</v>
      </c>
      <c r="H1325" s="625"/>
      <c r="I1325" s="625"/>
      <c r="J1325" s="625"/>
      <c r="K1325" s="625"/>
      <c r="L1325" s="625"/>
      <c r="M1325" s="600"/>
      <c r="N1325" s="600"/>
      <c r="O1325" s="600"/>
      <c r="P1325" s="342"/>
      <c r="Q1325" s="358"/>
      <c r="R1325" s="342"/>
      <c r="S1325" s="342"/>
      <c r="T1325" s="342"/>
      <c r="U1325" s="342"/>
      <c r="V1325" s="342"/>
      <c r="W1325" s="342"/>
      <c r="X1325" s="342"/>
      <c r="Y1325" s="342"/>
      <c r="Z1325" s="342"/>
      <c r="AA1325" s="342"/>
      <c r="AB1325" s="342"/>
      <c r="AC1325" s="342"/>
      <c r="AD1325" s="342"/>
      <c r="AE1325" s="342"/>
      <c r="AF1325" s="342"/>
      <c r="AG1325" s="342"/>
      <c r="AH1325" s="342"/>
      <c r="AI1325" s="342"/>
      <c r="AJ1325" s="342"/>
      <c r="AK1325" s="342"/>
      <c r="AL1325" s="342"/>
      <c r="AM1325" s="342"/>
      <c r="AN1325" s="778"/>
      <c r="AO1325" s="779"/>
      <c r="AP1325" s="779"/>
      <c r="AQ1325" s="780"/>
      <c r="AR1325" s="780"/>
      <c r="AS1325" s="780"/>
      <c r="AT1325" s="780"/>
      <c r="AU1325" s="780"/>
      <c r="AV1325" s="388" t="n">
        <f aca="false">M1325</f>
        <v>0</v>
      </c>
      <c r="AW1325" s="780"/>
      <c r="AX1325" s="780"/>
      <c r="AY1325" s="780"/>
      <c r="AZ1325" s="780"/>
      <c r="BA1325" s="780"/>
      <c r="BB1325" s="780"/>
      <c r="BC1325" s="780"/>
      <c r="BD1325" s="780"/>
      <c r="BE1325" s="780"/>
    </row>
    <row r="1326" customFormat="false" ht="14.15" hidden="false" customHeight="true" outlineLevel="0" collapsed="false">
      <c r="A1326" s="479"/>
      <c r="B1326" s="477"/>
      <c r="C1326" s="479"/>
      <c r="D1326" s="479"/>
      <c r="E1326" s="479"/>
      <c r="F1326" s="479"/>
      <c r="G1326" s="479"/>
      <c r="H1326" s="479"/>
      <c r="I1326" s="479"/>
      <c r="J1326" s="479"/>
      <c r="K1326" s="479"/>
      <c r="L1326" s="479"/>
      <c r="M1326" s="600"/>
      <c r="N1326" s="600"/>
      <c r="O1326" s="600"/>
      <c r="P1326" s="342"/>
      <c r="Q1326" s="342"/>
      <c r="R1326" s="342"/>
      <c r="S1326" s="342"/>
      <c r="T1326" s="342"/>
      <c r="U1326" s="342"/>
      <c r="V1326" s="342"/>
      <c r="W1326" s="342"/>
      <c r="X1326" s="342"/>
      <c r="Y1326" s="342"/>
      <c r="Z1326" s="342"/>
      <c r="AA1326" s="342"/>
      <c r="AB1326" s="342"/>
      <c r="AC1326" s="342"/>
      <c r="AD1326" s="342"/>
      <c r="AE1326" s="342"/>
      <c r="AF1326" s="342"/>
      <c r="AG1326" s="342"/>
      <c r="AH1326" s="342"/>
      <c r="AI1326" s="342"/>
      <c r="AJ1326" s="342"/>
      <c r="AK1326" s="342"/>
      <c r="AL1326" s="342"/>
      <c r="AM1326" s="342"/>
      <c r="AN1326" s="778"/>
      <c r="AO1326" s="779"/>
      <c r="AP1326" s="779"/>
      <c r="AQ1326" s="780"/>
      <c r="AR1326" s="780"/>
      <c r="AS1326" s="780"/>
      <c r="AT1326" s="780"/>
      <c r="AU1326" s="780"/>
      <c r="AV1326" s="780"/>
      <c r="AW1326" s="780"/>
      <c r="AX1326" s="780"/>
      <c r="AY1326" s="780"/>
      <c r="AZ1326" s="780"/>
      <c r="BA1326" s="780"/>
      <c r="BB1326" s="780"/>
      <c r="BC1326" s="780"/>
      <c r="BD1326" s="780"/>
      <c r="BE1326" s="780"/>
    </row>
    <row r="1327" customFormat="false" ht="14.15" hidden="true" customHeight="true" outlineLevel="1" collapsed="false">
      <c r="A1327" s="870" t="s">
        <v>1092</v>
      </c>
      <c r="B1327" s="870"/>
      <c r="C1327" s="870"/>
      <c r="D1327" s="870"/>
      <c r="E1327" s="870"/>
      <c r="F1327" s="870"/>
      <c r="G1327" s="870"/>
      <c r="H1327" s="784"/>
      <c r="I1327" s="784"/>
      <c r="J1327" s="784"/>
      <c r="K1327" s="784"/>
      <c r="L1327" s="784"/>
      <c r="M1327" s="784"/>
      <c r="N1327" s="784"/>
      <c r="O1327" s="784"/>
      <c r="P1327" s="784"/>
      <c r="Q1327" s="784"/>
      <c r="R1327" s="784"/>
      <c r="S1327" s="784"/>
      <c r="T1327" s="784"/>
      <c r="U1327" s="784"/>
      <c r="V1327" s="784"/>
      <c r="W1327" s="784"/>
      <c r="X1327" s="784"/>
      <c r="Y1327" s="784"/>
      <c r="Z1327" s="784"/>
      <c r="AA1327" s="784"/>
      <c r="AB1327" s="784"/>
      <c r="AC1327" s="784"/>
      <c r="AD1327" s="784"/>
      <c r="AE1327" s="784"/>
      <c r="AF1327" s="784"/>
      <c r="AG1327" s="784"/>
      <c r="AH1327" s="784"/>
      <c r="AI1327" s="784"/>
      <c r="AJ1327" s="342"/>
      <c r="AK1327" s="342"/>
      <c r="AL1327" s="342"/>
      <c r="AM1327" s="342"/>
      <c r="AN1327" s="778"/>
      <c r="AO1327" s="779"/>
      <c r="AP1327" s="779"/>
      <c r="AQ1327" s="780"/>
      <c r="AR1327" s="780"/>
      <c r="AS1327" s="780"/>
      <c r="AT1327" s="780"/>
      <c r="AU1327" s="780"/>
      <c r="AV1327" s="780"/>
      <c r="AW1327" s="780"/>
      <c r="AX1327" s="780"/>
      <c r="AY1327" s="780"/>
      <c r="AZ1327" s="780"/>
      <c r="BA1327" s="780"/>
      <c r="BB1327" s="780"/>
      <c r="BC1327" s="780"/>
      <c r="BD1327" s="780"/>
      <c r="BE1327" s="780"/>
    </row>
    <row r="1328" customFormat="false" ht="14.15" hidden="true" customHeight="true" outlineLevel="1" collapsed="false">
      <c r="A1328" s="870"/>
      <c r="B1328" s="870"/>
      <c r="C1328" s="870"/>
      <c r="D1328" s="870"/>
      <c r="E1328" s="870"/>
      <c r="F1328" s="870"/>
      <c r="G1328" s="870"/>
      <c r="H1328" s="784"/>
      <c r="I1328" s="784"/>
      <c r="J1328" s="784"/>
      <c r="K1328" s="784"/>
      <c r="L1328" s="784"/>
      <c r="M1328" s="784"/>
      <c r="N1328" s="784"/>
      <c r="O1328" s="784"/>
      <c r="P1328" s="784"/>
      <c r="Q1328" s="784"/>
      <c r="R1328" s="784"/>
      <c r="S1328" s="784"/>
      <c r="T1328" s="784"/>
      <c r="U1328" s="784"/>
      <c r="V1328" s="784"/>
      <c r="W1328" s="784"/>
      <c r="X1328" s="784"/>
      <c r="Y1328" s="784"/>
      <c r="Z1328" s="784"/>
      <c r="AA1328" s="784"/>
      <c r="AB1328" s="784"/>
      <c r="AC1328" s="784"/>
      <c r="AD1328" s="784"/>
      <c r="AE1328" s="784"/>
      <c r="AF1328" s="784"/>
      <c r="AG1328" s="784"/>
      <c r="AH1328" s="784"/>
      <c r="AI1328" s="784"/>
      <c r="AJ1328" s="342"/>
      <c r="AK1328" s="342"/>
      <c r="AL1328" s="342"/>
      <c r="AM1328" s="342"/>
      <c r="AN1328" s="778"/>
      <c r="AO1328" s="779"/>
      <c r="AP1328" s="779"/>
      <c r="AQ1328" s="780"/>
      <c r="AR1328" s="780"/>
      <c r="AS1328" s="780"/>
      <c r="AT1328" s="780"/>
      <c r="AU1328" s="780"/>
      <c r="AV1328" s="780"/>
      <c r="AW1328" s="780"/>
      <c r="AX1328" s="780"/>
      <c r="AY1328" s="780"/>
      <c r="AZ1328" s="780"/>
      <c r="BA1328" s="780"/>
      <c r="BB1328" s="780"/>
      <c r="BC1328" s="780"/>
      <c r="BD1328" s="780"/>
      <c r="BE1328" s="780"/>
    </row>
    <row r="1329" customFormat="false" ht="14.15" hidden="true" customHeight="true" outlineLevel="1" collapsed="false">
      <c r="A1329" s="784"/>
      <c r="B1329" s="855"/>
      <c r="C1329" s="784"/>
      <c r="D1329" s="784"/>
      <c r="E1329" s="784"/>
      <c r="F1329" s="784"/>
      <c r="G1329" s="784"/>
      <c r="H1329" s="784"/>
      <c r="I1329" s="784"/>
      <c r="J1329" s="784"/>
      <c r="K1329" s="784"/>
      <c r="L1329" s="784"/>
      <c r="M1329" s="784"/>
      <c r="N1329" s="784"/>
      <c r="O1329" s="784"/>
      <c r="P1329" s="784"/>
      <c r="Q1329" s="784"/>
      <c r="R1329" s="784"/>
      <c r="S1329" s="784"/>
      <c r="T1329" s="784"/>
      <c r="U1329" s="784"/>
      <c r="V1329" s="784"/>
      <c r="W1329" s="784"/>
      <c r="X1329" s="784"/>
      <c r="Y1329" s="784"/>
      <c r="Z1329" s="784"/>
      <c r="AA1329" s="784"/>
      <c r="AB1329" s="784"/>
      <c r="AC1329" s="784"/>
      <c r="AD1329" s="784"/>
      <c r="AE1329" s="784"/>
      <c r="AF1329" s="784"/>
      <c r="AG1329" s="784"/>
      <c r="AH1329" s="784"/>
      <c r="AI1329" s="784"/>
      <c r="AJ1329" s="342"/>
      <c r="AK1329" s="342"/>
      <c r="AL1329" s="342"/>
      <c r="AM1329" s="342"/>
      <c r="AN1329" s="778"/>
      <c r="AO1329" s="779"/>
      <c r="AP1329" s="779"/>
      <c r="AQ1329" s="780"/>
      <c r="AR1329" s="780"/>
      <c r="AS1329" s="780"/>
      <c r="AT1329" s="780"/>
      <c r="AU1329" s="780"/>
      <c r="AV1329" s="780"/>
      <c r="AW1329" s="780"/>
      <c r="AX1329" s="780"/>
      <c r="AY1329" s="780"/>
      <c r="AZ1329" s="780"/>
      <c r="BA1329" s="780"/>
      <c r="BB1329" s="780"/>
      <c r="BC1329" s="780"/>
      <c r="BD1329" s="780"/>
      <c r="BE1329" s="780"/>
    </row>
    <row r="1330" customFormat="false" ht="14.15" hidden="true" customHeight="true" outlineLevel="1" collapsed="false">
      <c r="A1330" s="513" t="s">
        <v>2515</v>
      </c>
      <c r="B1330" s="425" t="s">
        <v>120</v>
      </c>
      <c r="C1330" s="513" t="s">
        <v>1753</v>
      </c>
      <c r="D1330" s="784"/>
      <c r="E1330" s="784"/>
      <c r="F1330" s="784"/>
      <c r="G1330" s="784"/>
      <c r="H1330" s="784"/>
      <c r="I1330" s="784"/>
      <c r="J1330" s="784"/>
      <c r="K1330" s="784"/>
      <c r="L1330" s="784"/>
      <c r="M1330" s="784"/>
      <c r="N1330" s="784"/>
      <c r="O1330" s="784"/>
      <c r="P1330" s="784"/>
      <c r="Q1330" s="784"/>
      <c r="R1330" s="784"/>
      <c r="S1330" s="784"/>
      <c r="T1330" s="784"/>
      <c r="U1330" s="784"/>
      <c r="V1330" s="784"/>
      <c r="W1330" s="784"/>
      <c r="X1330" s="784"/>
      <c r="Y1330" s="784"/>
      <c r="Z1330" s="784"/>
      <c r="AA1330" s="784"/>
      <c r="AB1330" s="784"/>
      <c r="AC1330" s="784"/>
      <c r="AD1330" s="784"/>
      <c r="AE1330" s="784"/>
      <c r="AF1330" s="784"/>
      <c r="AG1330" s="784"/>
      <c r="AH1330" s="784"/>
      <c r="AI1330" s="784"/>
      <c r="AJ1330" s="342"/>
      <c r="AK1330" s="342"/>
      <c r="AL1330" s="342"/>
      <c r="AM1330" s="342"/>
      <c r="AN1330" s="778"/>
      <c r="AO1330" s="779"/>
      <c r="AP1330" s="779"/>
      <c r="AQ1330" s="780"/>
      <c r="AR1330" s="780"/>
      <c r="AS1330" s="780"/>
      <c r="AT1330" s="780"/>
      <c r="AU1330" s="780"/>
      <c r="AV1330" s="780"/>
      <c r="AW1330" s="780"/>
      <c r="AX1330" s="780"/>
      <c r="AY1330" s="780"/>
      <c r="AZ1330" s="780"/>
      <c r="BA1330" s="780"/>
      <c r="BB1330" s="780"/>
      <c r="BC1330" s="780"/>
      <c r="BD1330" s="780"/>
      <c r="BE1330" s="780"/>
    </row>
    <row r="1331" customFormat="false" ht="14.15" hidden="true" customHeight="true" outlineLevel="1" collapsed="false">
      <c r="A1331" s="403" t="s">
        <v>1096</v>
      </c>
      <c r="B1331" s="364" t="s">
        <v>159</v>
      </c>
      <c r="C1331" s="264" t="n">
        <v>1</v>
      </c>
      <c r="D1331" s="479"/>
      <c r="H1331" s="479"/>
      <c r="I1331" s="479"/>
      <c r="J1331" s="479"/>
      <c r="K1331" s="342"/>
      <c r="L1331" s="479"/>
      <c r="M1331" s="479"/>
      <c r="N1331" s="479"/>
      <c r="O1331" s="479"/>
      <c r="P1331" s="479"/>
      <c r="Q1331" s="342"/>
      <c r="R1331" s="342"/>
      <c r="S1331" s="342"/>
      <c r="T1331" s="342"/>
      <c r="U1331" s="342"/>
      <c r="V1331" s="342"/>
      <c r="W1331" s="342"/>
      <c r="X1331" s="342"/>
      <c r="Y1331" s="342"/>
      <c r="Z1331" s="342"/>
      <c r="AA1331" s="342"/>
      <c r="AB1331" s="342"/>
      <c r="AC1331" s="342"/>
      <c r="AD1331" s="342"/>
      <c r="AE1331" s="342"/>
      <c r="AF1331" s="342"/>
      <c r="AG1331" s="342"/>
      <c r="AH1331" s="342"/>
      <c r="AI1331" s="342"/>
      <c r="AJ1331" s="342"/>
      <c r="AK1331" s="342"/>
      <c r="AL1331" s="342"/>
      <c r="AM1331" s="342"/>
      <c r="AN1331" s="778"/>
      <c r="AO1331" s="779"/>
      <c r="AP1331" s="779"/>
      <c r="AQ1331" s="780"/>
      <c r="AR1331" s="780"/>
      <c r="AS1331" s="780"/>
      <c r="AT1331" s="780"/>
      <c r="AU1331" s="780"/>
      <c r="AV1331" s="780"/>
      <c r="AW1331" s="780"/>
      <c r="AX1331" s="780"/>
      <c r="AY1331" s="780"/>
      <c r="AZ1331" s="780"/>
      <c r="BA1331" s="780"/>
      <c r="BB1331" s="780"/>
      <c r="BC1331" s="780"/>
      <c r="BD1331" s="780"/>
      <c r="BE1331" s="780"/>
    </row>
    <row r="1332" customFormat="false" ht="14.15" hidden="true" customHeight="true" outlineLevel="1" collapsed="false">
      <c r="A1332" s="403" t="s">
        <v>1100</v>
      </c>
      <c r="B1332" s="364" t="s">
        <v>159</v>
      </c>
      <c r="C1332" s="264" t="n">
        <v>3</v>
      </c>
      <c r="D1332" s="479"/>
      <c r="H1332" s="479"/>
      <c r="I1332" s="479"/>
      <c r="J1332" s="479"/>
      <c r="K1332" s="342"/>
      <c r="L1332" s="479"/>
      <c r="M1332" s="479"/>
      <c r="N1332" s="479"/>
      <c r="O1332" s="479"/>
      <c r="P1332" s="479"/>
      <c r="Q1332" s="342"/>
      <c r="R1332" s="342"/>
      <c r="S1332" s="342"/>
      <c r="T1332" s="342"/>
      <c r="U1332" s="342"/>
      <c r="V1332" s="342"/>
      <c r="W1332" s="342"/>
      <c r="X1332" s="342"/>
      <c r="Y1332" s="342"/>
      <c r="Z1332" s="342"/>
      <c r="AA1332" s="342"/>
      <c r="AB1332" s="342"/>
      <c r="AC1332" s="342"/>
      <c r="AD1332" s="342"/>
      <c r="AE1332" s="342"/>
      <c r="AF1332" s="342"/>
      <c r="AG1332" s="342"/>
      <c r="AH1332" s="342"/>
      <c r="AI1332" s="342"/>
      <c r="AJ1332" s="342"/>
      <c r="AK1332" s="342"/>
      <c r="AL1332" s="342"/>
      <c r="AM1332" s="342"/>
      <c r="AN1332" s="778"/>
      <c r="AO1332" s="779"/>
      <c r="AP1332" s="779"/>
      <c r="AQ1332" s="780"/>
      <c r="AR1332" s="780"/>
      <c r="AS1332" s="780"/>
      <c r="AT1332" s="780"/>
      <c r="AU1332" s="780"/>
      <c r="AV1332" s="780"/>
      <c r="AW1332" s="780"/>
      <c r="AX1332" s="780"/>
      <c r="AY1332" s="780"/>
      <c r="AZ1332" s="780"/>
      <c r="BA1332" s="780"/>
      <c r="BB1332" s="780"/>
      <c r="BC1332" s="780"/>
      <c r="BD1332" s="780"/>
      <c r="BE1332" s="780"/>
    </row>
    <row r="1333" customFormat="false" ht="14.15" hidden="true" customHeight="true" outlineLevel="1" collapsed="false">
      <c r="A1333" s="403" t="s">
        <v>1104</v>
      </c>
      <c r="B1333" s="364" t="s">
        <v>159</v>
      </c>
      <c r="C1333" s="264" t="n">
        <v>1</v>
      </c>
      <c r="D1333" s="479"/>
      <c r="H1333" s="479"/>
      <c r="I1333" s="479"/>
      <c r="J1333" s="479"/>
      <c r="K1333" s="342"/>
      <c r="L1333" s="479"/>
      <c r="M1333" s="479"/>
      <c r="N1333" s="479"/>
      <c r="O1333" s="479"/>
      <c r="P1333" s="479"/>
      <c r="Q1333" s="342"/>
      <c r="R1333" s="342"/>
      <c r="S1333" s="342"/>
      <c r="T1333" s="342"/>
      <c r="U1333" s="342"/>
      <c r="V1333" s="342"/>
      <c r="W1333" s="342"/>
      <c r="X1333" s="342"/>
      <c r="Y1333" s="342"/>
      <c r="Z1333" s="342"/>
      <c r="AA1333" s="342"/>
      <c r="AB1333" s="342"/>
      <c r="AC1333" s="342"/>
      <c r="AD1333" s="342"/>
      <c r="AE1333" s="342"/>
      <c r="AF1333" s="342"/>
      <c r="AG1333" s="342"/>
      <c r="AH1333" s="342"/>
      <c r="AI1333" s="342"/>
      <c r="AJ1333" s="342"/>
      <c r="AK1333" s="342"/>
      <c r="AL1333" s="342"/>
      <c r="AM1333" s="342"/>
      <c r="AN1333" s="778"/>
      <c r="AO1333" s="779"/>
      <c r="AP1333" s="779"/>
      <c r="AQ1333" s="780"/>
      <c r="AR1333" s="780"/>
      <c r="AS1333" s="780"/>
      <c r="AT1333" s="780"/>
      <c r="AU1333" s="780"/>
      <c r="AV1333" s="780"/>
      <c r="AW1333" s="780"/>
      <c r="AX1333" s="780"/>
      <c r="AY1333" s="780"/>
      <c r="AZ1333" s="780"/>
      <c r="BA1333" s="780"/>
      <c r="BB1333" s="780"/>
      <c r="BC1333" s="780"/>
      <c r="BD1333" s="780"/>
      <c r="BE1333" s="780"/>
    </row>
    <row r="1334" customFormat="false" ht="14.15" hidden="true" customHeight="true" outlineLevel="1" collapsed="false">
      <c r="A1334" s="403" t="s">
        <v>2516</v>
      </c>
      <c r="B1334" s="364" t="s">
        <v>159</v>
      </c>
      <c r="C1334" s="264" t="n">
        <v>0</v>
      </c>
      <c r="D1334" s="479"/>
      <c r="H1334" s="479"/>
      <c r="I1334" s="479"/>
      <c r="J1334" s="479"/>
      <c r="K1334" s="342"/>
      <c r="L1334" s="479"/>
      <c r="M1334" s="479"/>
      <c r="N1334" s="479"/>
      <c r="O1334" s="479"/>
      <c r="P1334" s="479"/>
      <c r="Q1334" s="342"/>
      <c r="R1334" s="342"/>
      <c r="S1334" s="342"/>
      <c r="T1334" s="342"/>
      <c r="U1334" s="342"/>
      <c r="V1334" s="342"/>
      <c r="W1334" s="342"/>
      <c r="X1334" s="342"/>
      <c r="Y1334" s="342"/>
      <c r="Z1334" s="342"/>
      <c r="AA1334" s="342"/>
      <c r="AB1334" s="342"/>
      <c r="AC1334" s="342"/>
      <c r="AD1334" s="342"/>
      <c r="AE1334" s="342"/>
      <c r="AF1334" s="342"/>
      <c r="AG1334" s="342"/>
      <c r="AH1334" s="342"/>
      <c r="AI1334" s="342"/>
      <c r="AJ1334" s="342"/>
      <c r="AK1334" s="342"/>
      <c r="AL1334" s="342"/>
      <c r="AM1334" s="342"/>
      <c r="AN1334" s="778"/>
      <c r="AO1334" s="779"/>
      <c r="AP1334" s="779"/>
      <c r="AQ1334" s="780"/>
      <c r="AR1334" s="780"/>
      <c r="AS1334" s="780"/>
      <c r="AT1334" s="780"/>
      <c r="AU1334" s="780"/>
      <c r="AV1334" s="780"/>
      <c r="AW1334" s="780"/>
      <c r="AX1334" s="780"/>
      <c r="AY1334" s="780"/>
      <c r="AZ1334" s="780"/>
      <c r="BA1334" s="780"/>
      <c r="BB1334" s="780"/>
      <c r="BC1334" s="780"/>
      <c r="BD1334" s="780"/>
      <c r="BE1334" s="780"/>
    </row>
    <row r="1335" s="355" customFormat="true" ht="14.15" hidden="true" customHeight="true" outlineLevel="1" collapsed="false">
      <c r="A1335" s="265" t="s">
        <v>2517</v>
      </c>
      <c r="B1335" s="364" t="s">
        <v>159</v>
      </c>
      <c r="C1335" s="264" t="n">
        <v>1</v>
      </c>
      <c r="D1335" s="479"/>
      <c r="H1335" s="479"/>
      <c r="I1335" s="479"/>
      <c r="J1335" s="479"/>
      <c r="K1335" s="342"/>
      <c r="L1335" s="479"/>
      <c r="M1335" s="479"/>
      <c r="N1335" s="479"/>
      <c r="O1335" s="479"/>
      <c r="P1335" s="479"/>
      <c r="Q1335" s="342"/>
      <c r="R1335" s="342"/>
      <c r="S1335" s="342"/>
      <c r="T1335" s="342"/>
      <c r="U1335" s="342"/>
      <c r="V1335" s="342"/>
      <c r="W1335" s="342"/>
      <c r="X1335" s="342"/>
      <c r="Y1335" s="342"/>
      <c r="Z1335" s="342"/>
      <c r="AA1335" s="342"/>
      <c r="AB1335" s="342"/>
      <c r="AC1335" s="342"/>
      <c r="AD1335" s="342"/>
      <c r="AE1335" s="342"/>
      <c r="AF1335" s="342"/>
      <c r="AG1335" s="342"/>
      <c r="AH1335" s="342"/>
      <c r="AI1335" s="342"/>
      <c r="AJ1335" s="342"/>
      <c r="AK1335" s="342"/>
      <c r="AL1335" s="342"/>
      <c r="AM1335" s="342"/>
      <c r="AN1335" s="342"/>
      <c r="AO1335" s="662"/>
      <c r="AP1335" s="662"/>
      <c r="AQ1335" s="772"/>
      <c r="AR1335" s="772"/>
      <c r="AS1335" s="772"/>
      <c r="AT1335" s="772"/>
      <c r="AU1335" s="772"/>
      <c r="AV1335" s="772"/>
      <c r="AW1335" s="772"/>
      <c r="AX1335" s="772"/>
      <c r="AY1335" s="772"/>
      <c r="AZ1335" s="772"/>
      <c r="BA1335" s="772"/>
      <c r="BB1335" s="772"/>
      <c r="BC1335" s="772"/>
      <c r="BD1335" s="772"/>
      <c r="BE1335" s="772"/>
      <c r="BF1335" s="360"/>
    </row>
    <row r="1336" s="355" customFormat="true" ht="14.15" hidden="true" customHeight="true" outlineLevel="1" collapsed="false">
      <c r="A1336" s="479"/>
      <c r="B1336" s="429"/>
      <c r="C1336" s="522"/>
      <c r="D1336" s="479"/>
      <c r="H1336" s="479"/>
      <c r="I1336" s="479"/>
      <c r="J1336" s="479"/>
      <c r="K1336" s="342"/>
      <c r="L1336" s="479"/>
      <c r="M1336" s="479"/>
      <c r="N1336" s="479"/>
      <c r="O1336" s="479"/>
      <c r="P1336" s="479"/>
      <c r="Q1336" s="342"/>
      <c r="R1336" s="342"/>
      <c r="S1336" s="342"/>
      <c r="T1336" s="342"/>
      <c r="U1336" s="342"/>
      <c r="V1336" s="342"/>
      <c r="W1336" s="342"/>
      <c r="X1336" s="342"/>
      <c r="Y1336" s="342"/>
      <c r="Z1336" s="342"/>
      <c r="AA1336" s="342"/>
      <c r="AB1336" s="342"/>
      <c r="AC1336" s="342"/>
      <c r="AD1336" s="342"/>
      <c r="AE1336" s="342"/>
      <c r="AF1336" s="342"/>
      <c r="AG1336" s="342"/>
      <c r="AH1336" s="342"/>
      <c r="AI1336" s="342"/>
      <c r="AJ1336" s="342"/>
      <c r="AK1336" s="342"/>
      <c r="AL1336" s="342"/>
      <c r="AM1336" s="342"/>
      <c r="AN1336" s="342"/>
      <c r="AO1336" s="662"/>
      <c r="AP1336" s="662"/>
      <c r="AQ1336" s="772"/>
      <c r="AR1336" s="772"/>
      <c r="AS1336" s="772"/>
      <c r="AT1336" s="772"/>
      <c r="AU1336" s="772"/>
      <c r="AV1336" s="772"/>
      <c r="AW1336" s="772"/>
      <c r="AX1336" s="772"/>
      <c r="AY1336" s="772"/>
      <c r="AZ1336" s="772"/>
      <c r="BA1336" s="772"/>
      <c r="BB1336" s="772"/>
      <c r="BC1336" s="772"/>
      <c r="BD1336" s="772"/>
      <c r="BE1336" s="772"/>
      <c r="BF1336" s="360"/>
    </row>
    <row r="1337" s="355" customFormat="true" ht="14.15" hidden="true" customHeight="true" outlineLevel="1" collapsed="false">
      <c r="A1337" s="513" t="s">
        <v>2518</v>
      </c>
      <c r="B1337" s="425" t="s">
        <v>120</v>
      </c>
      <c r="C1337" s="874" t="s">
        <v>1821</v>
      </c>
      <c r="D1337" s="479"/>
      <c r="H1337" s="479"/>
      <c r="I1337" s="479"/>
      <c r="J1337" s="479"/>
      <c r="K1337" s="342"/>
      <c r="L1337" s="479"/>
      <c r="M1337" s="479"/>
      <c r="N1337" s="479"/>
      <c r="O1337" s="479"/>
      <c r="P1337" s="479"/>
      <c r="Q1337" s="342"/>
      <c r="R1337" s="342"/>
      <c r="S1337" s="342"/>
      <c r="T1337" s="342"/>
      <c r="U1337" s="342"/>
      <c r="V1337" s="342"/>
      <c r="W1337" s="342"/>
      <c r="X1337" s="342"/>
      <c r="Y1337" s="342"/>
      <c r="Z1337" s="342"/>
      <c r="AA1337" s="342"/>
      <c r="AB1337" s="342"/>
      <c r="AC1337" s="342"/>
      <c r="AD1337" s="342"/>
      <c r="AE1337" s="342"/>
      <c r="AF1337" s="342"/>
      <c r="AG1337" s="342"/>
      <c r="AH1337" s="342"/>
      <c r="AI1337" s="342"/>
      <c r="AJ1337" s="342"/>
      <c r="AK1337" s="342"/>
      <c r="AL1337" s="342"/>
      <c r="AM1337" s="342"/>
      <c r="AN1337" s="342"/>
      <c r="AO1337" s="662"/>
      <c r="AP1337" s="662"/>
      <c r="AQ1337" s="772"/>
      <c r="AR1337" s="772"/>
      <c r="AS1337" s="772"/>
      <c r="AT1337" s="772"/>
      <c r="AU1337" s="772"/>
      <c r="AV1337" s="772"/>
      <c r="AW1337" s="772"/>
      <c r="AX1337" s="772"/>
      <c r="AY1337" s="772"/>
      <c r="AZ1337" s="772"/>
      <c r="BA1337" s="772"/>
      <c r="BB1337" s="772"/>
      <c r="BC1337" s="772"/>
      <c r="BD1337" s="772"/>
      <c r="BE1337" s="772"/>
      <c r="BF1337" s="360"/>
    </row>
    <row r="1338" s="355" customFormat="true" ht="14.15" hidden="true" customHeight="true" outlineLevel="1" collapsed="false">
      <c r="A1338" s="403" t="s">
        <v>1097</v>
      </c>
      <c r="B1338" s="364" t="s">
        <v>159</v>
      </c>
      <c r="C1338" s="264" t="n">
        <v>1</v>
      </c>
      <c r="D1338" s="479"/>
      <c r="H1338" s="479"/>
      <c r="I1338" s="479"/>
      <c r="J1338" s="479"/>
      <c r="K1338" s="342"/>
      <c r="L1338" s="479"/>
      <c r="M1338" s="479"/>
      <c r="N1338" s="479"/>
      <c r="O1338" s="479"/>
      <c r="P1338" s="479"/>
      <c r="Q1338" s="342"/>
      <c r="R1338" s="342"/>
      <c r="S1338" s="342"/>
      <c r="T1338" s="342"/>
      <c r="U1338" s="342"/>
      <c r="V1338" s="342"/>
      <c r="W1338" s="342"/>
      <c r="X1338" s="342"/>
      <c r="Y1338" s="342"/>
      <c r="Z1338" s="342"/>
      <c r="AA1338" s="342"/>
      <c r="AB1338" s="342"/>
      <c r="AC1338" s="342"/>
      <c r="AD1338" s="342"/>
      <c r="AE1338" s="342"/>
      <c r="AF1338" s="342"/>
      <c r="AG1338" s="342"/>
      <c r="AH1338" s="342"/>
      <c r="AI1338" s="342"/>
      <c r="AJ1338" s="342"/>
      <c r="AK1338" s="342"/>
      <c r="AL1338" s="342"/>
      <c r="AM1338" s="342"/>
      <c r="AN1338" s="342"/>
      <c r="AO1338" s="662"/>
      <c r="AP1338" s="662"/>
      <c r="AQ1338" s="772"/>
      <c r="AR1338" s="772"/>
      <c r="AS1338" s="772"/>
      <c r="AT1338" s="772"/>
      <c r="AU1338" s="772"/>
      <c r="AV1338" s="772"/>
      <c r="AW1338" s="772"/>
      <c r="AX1338" s="772"/>
      <c r="AY1338" s="772"/>
      <c r="AZ1338" s="772"/>
      <c r="BA1338" s="772"/>
      <c r="BB1338" s="772"/>
      <c r="BC1338" s="772"/>
      <c r="BD1338" s="772"/>
      <c r="BE1338" s="772"/>
      <c r="BF1338" s="360"/>
    </row>
    <row r="1339" s="355" customFormat="true" ht="14.15" hidden="true" customHeight="true" outlineLevel="1" collapsed="false">
      <c r="A1339" s="403" t="s">
        <v>1101</v>
      </c>
      <c r="B1339" s="364" t="s">
        <v>159</v>
      </c>
      <c r="C1339" s="264" t="n">
        <v>3</v>
      </c>
      <c r="D1339" s="479"/>
      <c r="H1339" s="479"/>
      <c r="I1339" s="479"/>
      <c r="J1339" s="479"/>
      <c r="K1339" s="342"/>
      <c r="L1339" s="479"/>
      <c r="M1339" s="479"/>
      <c r="N1339" s="479"/>
      <c r="O1339" s="479"/>
      <c r="P1339" s="479"/>
      <c r="Q1339" s="342"/>
      <c r="R1339" s="342"/>
      <c r="S1339" s="342"/>
      <c r="T1339" s="342"/>
      <c r="U1339" s="342"/>
      <c r="V1339" s="342"/>
      <c r="W1339" s="342"/>
      <c r="X1339" s="342"/>
      <c r="Y1339" s="342"/>
      <c r="Z1339" s="342"/>
      <c r="AA1339" s="342"/>
      <c r="AB1339" s="342"/>
      <c r="AC1339" s="342"/>
      <c r="AD1339" s="342"/>
      <c r="AE1339" s="342"/>
      <c r="AF1339" s="342"/>
      <c r="AG1339" s="342"/>
      <c r="AH1339" s="342"/>
      <c r="AI1339" s="342"/>
      <c r="AJ1339" s="342"/>
      <c r="AK1339" s="342"/>
      <c r="AL1339" s="342"/>
      <c r="AM1339" s="342"/>
      <c r="AN1339" s="342"/>
      <c r="AO1339" s="662"/>
      <c r="AP1339" s="662"/>
      <c r="AQ1339" s="772"/>
      <c r="AR1339" s="772"/>
      <c r="AS1339" s="772"/>
      <c r="AT1339" s="772"/>
      <c r="AU1339" s="772"/>
      <c r="AV1339" s="772"/>
      <c r="AW1339" s="772"/>
      <c r="AX1339" s="772"/>
      <c r="AY1339" s="772"/>
      <c r="AZ1339" s="772"/>
      <c r="BA1339" s="772"/>
      <c r="BB1339" s="772"/>
      <c r="BC1339" s="772"/>
      <c r="BD1339" s="772"/>
      <c r="BE1339" s="772"/>
      <c r="BF1339" s="360"/>
    </row>
    <row r="1340" s="355" customFormat="true" ht="14.15" hidden="true" customHeight="true" outlineLevel="1" collapsed="false">
      <c r="A1340" s="403" t="s">
        <v>1105</v>
      </c>
      <c r="B1340" s="364" t="s">
        <v>159</v>
      </c>
      <c r="C1340" s="264" t="n">
        <v>1</v>
      </c>
      <c r="D1340" s="479"/>
      <c r="H1340" s="479"/>
      <c r="I1340" s="479"/>
      <c r="J1340" s="479"/>
      <c r="K1340" s="342"/>
      <c r="L1340" s="479"/>
      <c r="M1340" s="479"/>
      <c r="N1340" s="479"/>
      <c r="O1340" s="479"/>
      <c r="P1340" s="479"/>
      <c r="Q1340" s="342"/>
      <c r="R1340" s="342"/>
      <c r="S1340" s="342"/>
      <c r="T1340" s="342"/>
      <c r="U1340" s="342"/>
      <c r="V1340" s="342"/>
      <c r="W1340" s="342"/>
      <c r="X1340" s="342"/>
      <c r="Y1340" s="342"/>
      <c r="Z1340" s="342"/>
      <c r="AA1340" s="342"/>
      <c r="AB1340" s="342"/>
      <c r="AC1340" s="342"/>
      <c r="AD1340" s="342"/>
      <c r="AE1340" s="342"/>
      <c r="AF1340" s="342"/>
      <c r="AG1340" s="342"/>
      <c r="AH1340" s="342"/>
      <c r="AI1340" s="342"/>
      <c r="AJ1340" s="342"/>
      <c r="AK1340" s="342"/>
      <c r="AL1340" s="342"/>
      <c r="AM1340" s="342"/>
      <c r="AN1340" s="342"/>
      <c r="AO1340" s="662"/>
      <c r="AP1340" s="662"/>
      <c r="AQ1340" s="772"/>
      <c r="AR1340" s="772"/>
      <c r="AS1340" s="772"/>
      <c r="AT1340" s="772"/>
      <c r="AU1340" s="772"/>
      <c r="AV1340" s="772"/>
      <c r="AW1340" s="772"/>
      <c r="AX1340" s="772"/>
      <c r="AY1340" s="772"/>
      <c r="AZ1340" s="772"/>
      <c r="BA1340" s="772"/>
      <c r="BB1340" s="772"/>
      <c r="BC1340" s="772"/>
      <c r="BD1340" s="772"/>
      <c r="BE1340" s="772"/>
      <c r="BF1340" s="360"/>
    </row>
    <row r="1341" s="355" customFormat="true" ht="14.15" hidden="true" customHeight="true" outlineLevel="1" collapsed="false">
      <c r="A1341" s="403" t="s">
        <v>2516</v>
      </c>
      <c r="B1341" s="364" t="s">
        <v>159</v>
      </c>
      <c r="C1341" s="264" t="n">
        <v>0</v>
      </c>
      <c r="D1341" s="479"/>
      <c r="H1341" s="479"/>
      <c r="I1341" s="479"/>
      <c r="J1341" s="479"/>
      <c r="K1341" s="342"/>
      <c r="L1341" s="479"/>
      <c r="M1341" s="479"/>
      <c r="N1341" s="479"/>
      <c r="O1341" s="479"/>
      <c r="P1341" s="479"/>
      <c r="Q1341" s="342"/>
      <c r="R1341" s="342"/>
      <c r="S1341" s="342"/>
      <c r="T1341" s="342"/>
      <c r="U1341" s="342"/>
      <c r="V1341" s="342"/>
      <c r="W1341" s="342"/>
      <c r="X1341" s="342"/>
      <c r="Y1341" s="342"/>
      <c r="Z1341" s="342"/>
      <c r="AA1341" s="342"/>
      <c r="AB1341" s="342"/>
      <c r="AC1341" s="342"/>
      <c r="AD1341" s="342"/>
      <c r="AE1341" s="342"/>
      <c r="AF1341" s="342"/>
      <c r="AG1341" s="342"/>
      <c r="AH1341" s="342"/>
      <c r="AI1341" s="342"/>
      <c r="AJ1341" s="342"/>
      <c r="AK1341" s="342"/>
      <c r="AL1341" s="342"/>
      <c r="AM1341" s="342"/>
      <c r="AN1341" s="342"/>
      <c r="AO1341" s="662"/>
      <c r="AP1341" s="662"/>
      <c r="AQ1341" s="772"/>
      <c r="AR1341" s="772"/>
      <c r="AS1341" s="772"/>
      <c r="AT1341" s="772"/>
      <c r="AU1341" s="772"/>
      <c r="AV1341" s="772"/>
      <c r="AW1341" s="772"/>
      <c r="AX1341" s="772"/>
      <c r="AY1341" s="772"/>
      <c r="AZ1341" s="772"/>
      <c r="BA1341" s="772"/>
      <c r="BB1341" s="772"/>
      <c r="BC1341" s="772"/>
      <c r="BD1341" s="772"/>
      <c r="BE1341" s="772"/>
      <c r="BF1341" s="360"/>
    </row>
    <row r="1342" s="355" customFormat="true" ht="14.15" hidden="true" customHeight="true" outlineLevel="1" collapsed="false">
      <c r="A1342" s="479"/>
      <c r="B1342" s="429"/>
      <c r="C1342" s="522"/>
      <c r="D1342" s="479"/>
      <c r="H1342" s="479"/>
      <c r="I1342" s="479"/>
      <c r="J1342" s="479"/>
      <c r="K1342" s="342"/>
      <c r="L1342" s="479"/>
      <c r="M1342" s="479"/>
      <c r="N1342" s="479"/>
      <c r="O1342" s="479"/>
      <c r="P1342" s="479"/>
      <c r="Q1342" s="342"/>
      <c r="R1342" s="342"/>
      <c r="S1342" s="342"/>
      <c r="T1342" s="342"/>
      <c r="U1342" s="342"/>
      <c r="V1342" s="342"/>
      <c r="W1342" s="342"/>
      <c r="X1342" s="342"/>
      <c r="Y1342" s="342"/>
      <c r="Z1342" s="342"/>
      <c r="AA1342" s="342"/>
      <c r="AB1342" s="342"/>
      <c r="AC1342" s="342"/>
      <c r="AD1342" s="342"/>
      <c r="AE1342" s="342"/>
      <c r="AF1342" s="342"/>
      <c r="AG1342" s="342"/>
      <c r="AH1342" s="342"/>
      <c r="AI1342" s="342"/>
      <c r="AJ1342" s="342"/>
      <c r="AK1342" s="342"/>
      <c r="AL1342" s="342"/>
      <c r="AM1342" s="342"/>
      <c r="AN1342" s="342"/>
      <c r="AO1342" s="662"/>
      <c r="AP1342" s="662"/>
      <c r="AQ1342" s="772"/>
      <c r="AR1342" s="772"/>
      <c r="AS1342" s="772"/>
      <c r="AT1342" s="772"/>
      <c r="AU1342" s="772"/>
      <c r="AV1342" s="772"/>
      <c r="AW1342" s="772"/>
      <c r="AX1342" s="772"/>
      <c r="AY1342" s="772"/>
      <c r="AZ1342" s="772"/>
      <c r="BA1342" s="772"/>
      <c r="BB1342" s="772"/>
      <c r="BC1342" s="772"/>
      <c r="BD1342" s="772"/>
      <c r="BE1342" s="772"/>
      <c r="BF1342" s="360"/>
    </row>
    <row r="1343" customFormat="false" ht="14.15" hidden="true" customHeight="true" outlineLevel="1" collapsed="false">
      <c r="A1343" s="265" t="s">
        <v>2519</v>
      </c>
      <c r="B1343" s="404" t="s">
        <v>159</v>
      </c>
      <c r="C1343" s="874" t="s">
        <v>1821</v>
      </c>
      <c r="D1343" s="479"/>
      <c r="H1343" s="479"/>
      <c r="I1343" s="479"/>
      <c r="J1343" s="479"/>
      <c r="K1343" s="342"/>
      <c r="L1343" s="479"/>
      <c r="M1343" s="479"/>
      <c r="N1343" s="479"/>
      <c r="O1343" s="479"/>
      <c r="P1343" s="479"/>
      <c r="Q1343" s="342"/>
      <c r="R1343" s="342"/>
      <c r="S1343" s="342"/>
      <c r="T1343" s="342"/>
      <c r="U1343" s="342"/>
      <c r="V1343" s="342"/>
      <c r="W1343" s="342"/>
      <c r="X1343" s="342"/>
      <c r="Y1343" s="342"/>
      <c r="Z1343" s="342"/>
      <c r="AA1343" s="342"/>
      <c r="AB1343" s="342"/>
      <c r="AC1343" s="342"/>
      <c r="AD1343" s="342"/>
      <c r="AE1343" s="342"/>
      <c r="AF1343" s="342"/>
      <c r="AG1343" s="342"/>
      <c r="AH1343" s="342"/>
      <c r="AI1343" s="342"/>
      <c r="AJ1343" s="342"/>
      <c r="AK1343" s="342"/>
      <c r="AL1343" s="342"/>
      <c r="AM1343" s="342"/>
      <c r="AN1343" s="778"/>
      <c r="AO1343" s="779"/>
      <c r="AP1343" s="779"/>
      <c r="AQ1343" s="780"/>
      <c r="AR1343" s="780"/>
      <c r="AS1343" s="780"/>
      <c r="AT1343" s="780"/>
      <c r="AU1343" s="780"/>
      <c r="AV1343" s="780"/>
      <c r="AW1343" s="780"/>
      <c r="AX1343" s="780"/>
      <c r="AY1343" s="780"/>
      <c r="AZ1343" s="780"/>
      <c r="BA1343" s="780"/>
      <c r="BB1343" s="780"/>
      <c r="BC1343" s="780"/>
      <c r="BD1343" s="780"/>
      <c r="BE1343" s="780"/>
    </row>
    <row r="1344" customFormat="false" ht="14.15" hidden="true" customHeight="true" outlineLevel="1" collapsed="false">
      <c r="A1344" s="265" t="s">
        <v>2520</v>
      </c>
      <c r="B1344" s="404" t="s">
        <v>156</v>
      </c>
      <c r="C1344" s="264" t="n">
        <v>10</v>
      </c>
      <c r="D1344" s="479"/>
      <c r="H1344" s="479"/>
      <c r="I1344" s="479"/>
      <c r="J1344" s="479"/>
      <c r="K1344" s="342"/>
      <c r="L1344" s="479"/>
      <c r="M1344" s="479"/>
      <c r="N1344" s="479"/>
      <c r="O1344" s="479"/>
      <c r="P1344" s="479"/>
      <c r="Q1344" s="342"/>
      <c r="R1344" s="342"/>
      <c r="S1344" s="342"/>
      <c r="T1344" s="342"/>
      <c r="U1344" s="342"/>
      <c r="V1344" s="342"/>
      <c r="W1344" s="342"/>
      <c r="X1344" s="342"/>
      <c r="Y1344" s="342"/>
      <c r="Z1344" s="342"/>
      <c r="AA1344" s="342"/>
      <c r="AB1344" s="342"/>
      <c r="AC1344" s="342"/>
      <c r="AD1344" s="342"/>
      <c r="AE1344" s="342"/>
      <c r="AF1344" s="342"/>
      <c r="AG1344" s="342"/>
      <c r="AH1344" s="342"/>
      <c r="AI1344" s="342"/>
      <c r="AJ1344" s="342"/>
      <c r="AK1344" s="342"/>
      <c r="AL1344" s="342"/>
      <c r="AM1344" s="342"/>
      <c r="AN1344" s="778"/>
      <c r="AO1344" s="779"/>
      <c r="AP1344" s="779"/>
      <c r="AQ1344" s="780"/>
      <c r="AR1344" s="780"/>
      <c r="AS1344" s="780"/>
      <c r="AT1344" s="780"/>
      <c r="AU1344" s="780"/>
      <c r="AV1344" s="780"/>
      <c r="AW1344" s="780"/>
      <c r="AX1344" s="780"/>
      <c r="AY1344" s="780"/>
      <c r="AZ1344" s="780"/>
      <c r="BA1344" s="780"/>
      <c r="BB1344" s="780"/>
      <c r="BC1344" s="780"/>
      <c r="BD1344" s="780"/>
      <c r="BE1344" s="780"/>
    </row>
    <row r="1345" customFormat="false" ht="14.15" hidden="true" customHeight="true" outlineLevel="1" collapsed="false">
      <c r="A1345" s="368" t="s">
        <v>2521</v>
      </c>
      <c r="B1345" s="404" t="s">
        <v>156</v>
      </c>
      <c r="C1345" s="264" t="n">
        <v>8</v>
      </c>
      <c r="D1345" s="342"/>
      <c r="H1345" s="479"/>
      <c r="I1345" s="479"/>
      <c r="J1345" s="479"/>
      <c r="K1345" s="342"/>
      <c r="L1345" s="479"/>
      <c r="M1345" s="479"/>
      <c r="N1345" s="479"/>
      <c r="O1345" s="479"/>
      <c r="P1345" s="479"/>
      <c r="Q1345" s="342"/>
      <c r="R1345" s="342"/>
      <c r="S1345" s="342"/>
      <c r="T1345" s="342"/>
      <c r="U1345" s="342"/>
      <c r="V1345" s="342"/>
      <c r="W1345" s="342"/>
      <c r="X1345" s="342"/>
      <c r="Y1345" s="342"/>
      <c r="Z1345" s="342"/>
      <c r="AA1345" s="342"/>
      <c r="AB1345" s="342"/>
      <c r="AC1345" s="342"/>
      <c r="AD1345" s="342"/>
      <c r="AE1345" s="342"/>
      <c r="AF1345" s="342"/>
      <c r="AG1345" s="342"/>
      <c r="AH1345" s="342"/>
      <c r="AI1345" s="342"/>
      <c r="AJ1345" s="342"/>
      <c r="AK1345" s="342"/>
      <c r="AL1345" s="342"/>
      <c r="AM1345" s="342"/>
      <c r="AN1345" s="778"/>
      <c r="AO1345" s="779"/>
      <c r="AP1345" s="779"/>
      <c r="AQ1345" s="780"/>
      <c r="AR1345" s="780"/>
      <c r="AS1345" s="780"/>
      <c r="AT1345" s="780"/>
      <c r="AU1345" s="780"/>
      <c r="AV1345" s="780"/>
      <c r="AW1345" s="780"/>
      <c r="AX1345" s="780"/>
      <c r="AY1345" s="780"/>
      <c r="AZ1345" s="780"/>
      <c r="BA1345" s="780"/>
      <c r="BB1345" s="780"/>
      <c r="BC1345" s="780"/>
      <c r="BD1345" s="780"/>
      <c r="BE1345" s="780"/>
    </row>
    <row r="1346" customFormat="false" ht="14.15" hidden="true" customHeight="true" outlineLevel="1" collapsed="false">
      <c r="A1346" s="324" t="s">
        <v>151</v>
      </c>
      <c r="D1346" s="479"/>
      <c r="H1346" s="600"/>
      <c r="I1346" s="600"/>
      <c r="J1346" s="600"/>
      <c r="K1346" s="342"/>
      <c r="L1346" s="600"/>
      <c r="M1346" s="600"/>
      <c r="N1346" s="600"/>
      <c r="O1346" s="600"/>
      <c r="P1346" s="600"/>
      <c r="Q1346" s="342"/>
      <c r="R1346" s="342"/>
      <c r="S1346" s="342"/>
      <c r="T1346" s="342"/>
      <c r="U1346" s="342"/>
      <c r="V1346" s="342"/>
      <c r="W1346" s="342"/>
      <c r="X1346" s="342"/>
      <c r="Y1346" s="342"/>
      <c r="Z1346" s="342"/>
      <c r="AA1346" s="342"/>
      <c r="AB1346" s="342"/>
      <c r="AC1346" s="342"/>
      <c r="AD1346" s="342"/>
      <c r="AE1346" s="342"/>
      <c r="AF1346" s="342"/>
      <c r="AG1346" s="342"/>
      <c r="AH1346" s="342"/>
      <c r="AI1346" s="342"/>
      <c r="AJ1346" s="342"/>
      <c r="AK1346" s="342"/>
      <c r="AL1346" s="342"/>
      <c r="AM1346" s="342"/>
      <c r="AN1346" s="778"/>
      <c r="AO1346" s="779"/>
      <c r="AP1346" s="779"/>
      <c r="AQ1346" s="780"/>
      <c r="AR1346" s="780"/>
      <c r="AS1346" s="780"/>
      <c r="AT1346" s="780"/>
      <c r="AU1346" s="780"/>
      <c r="AV1346" s="780"/>
      <c r="AW1346" s="780"/>
      <c r="AX1346" s="780"/>
      <c r="AY1346" s="780"/>
      <c r="AZ1346" s="780"/>
      <c r="BA1346" s="780"/>
      <c r="BB1346" s="780"/>
      <c r="BC1346" s="780"/>
      <c r="BD1346" s="780"/>
      <c r="BE1346" s="780"/>
    </row>
    <row r="1347" customFormat="false" ht="14.15" hidden="true" customHeight="true" outlineLevel="1" collapsed="false">
      <c r="A1347" s="403" t="s">
        <v>153</v>
      </c>
      <c r="B1347" s="844" t="s">
        <v>154</v>
      </c>
      <c r="C1347" s="265" t="n">
        <v>5</v>
      </c>
      <c r="D1347" s="479"/>
      <c r="H1347" s="600"/>
      <c r="I1347" s="600"/>
      <c r="J1347" s="600"/>
      <c r="K1347" s="342"/>
      <c r="L1347" s="600"/>
      <c r="M1347" s="600"/>
      <c r="N1347" s="600"/>
      <c r="O1347" s="600"/>
      <c r="P1347" s="600"/>
      <c r="Q1347" s="342"/>
      <c r="R1347" s="342"/>
      <c r="S1347" s="342"/>
      <c r="T1347" s="342"/>
      <c r="U1347" s="342"/>
      <c r="V1347" s="342"/>
      <c r="W1347" s="342"/>
      <c r="X1347" s="342"/>
      <c r="Y1347" s="342"/>
      <c r="Z1347" s="342"/>
      <c r="AA1347" s="342"/>
      <c r="AB1347" s="342"/>
      <c r="AC1347" s="342"/>
      <c r="AD1347" s="342"/>
      <c r="AE1347" s="342"/>
      <c r="AF1347" s="342"/>
      <c r="AG1347" s="342"/>
      <c r="AH1347" s="342"/>
      <c r="AI1347" s="342"/>
      <c r="AJ1347" s="342"/>
      <c r="AK1347" s="342"/>
      <c r="AL1347" s="342"/>
      <c r="AM1347" s="342"/>
      <c r="AN1347" s="778"/>
      <c r="AO1347" s="779"/>
      <c r="AP1347" s="779"/>
      <c r="AQ1347" s="780"/>
      <c r="AR1347" s="780"/>
      <c r="AS1347" s="780"/>
      <c r="AT1347" s="780"/>
      <c r="AU1347" s="780"/>
      <c r="AV1347" s="780"/>
      <c r="AW1347" s="780"/>
      <c r="AX1347" s="780"/>
      <c r="AY1347" s="780"/>
      <c r="AZ1347" s="780"/>
      <c r="BA1347" s="780"/>
      <c r="BB1347" s="780"/>
      <c r="BC1347" s="780"/>
      <c r="BD1347" s="780"/>
      <c r="BE1347" s="780"/>
    </row>
    <row r="1348" customFormat="false" ht="14.15" hidden="true" customHeight="true" outlineLevel="1" collapsed="false">
      <c r="A1348" s="401" t="s">
        <v>158</v>
      </c>
      <c r="B1348" s="844" t="s">
        <v>154</v>
      </c>
      <c r="C1348" s="595" t="n">
        <v>3</v>
      </c>
      <c r="D1348" s="479"/>
      <c r="H1348" s="600"/>
      <c r="I1348" s="600"/>
      <c r="J1348" s="600"/>
      <c r="K1348" s="342"/>
      <c r="L1348" s="600"/>
      <c r="M1348" s="600"/>
      <c r="N1348" s="600"/>
      <c r="O1348" s="600"/>
      <c r="P1348" s="600"/>
      <c r="Q1348" s="342"/>
      <c r="R1348" s="342"/>
      <c r="S1348" s="342"/>
      <c r="T1348" s="342"/>
      <c r="U1348" s="342"/>
      <c r="V1348" s="342"/>
      <c r="W1348" s="342"/>
      <c r="X1348" s="342"/>
      <c r="Y1348" s="342"/>
      <c r="Z1348" s="342"/>
      <c r="AA1348" s="342"/>
      <c r="AB1348" s="342"/>
      <c r="AC1348" s="342"/>
      <c r="AD1348" s="342"/>
      <c r="AE1348" s="342"/>
      <c r="AF1348" s="342"/>
      <c r="AG1348" s="342"/>
      <c r="AH1348" s="342"/>
      <c r="AI1348" s="342"/>
      <c r="AJ1348" s="342"/>
      <c r="AK1348" s="342"/>
      <c r="AL1348" s="342"/>
      <c r="AM1348" s="342"/>
      <c r="AN1348" s="778"/>
      <c r="AO1348" s="779"/>
      <c r="AP1348" s="779"/>
      <c r="AQ1348" s="780"/>
      <c r="AR1348" s="780"/>
      <c r="AS1348" s="780"/>
      <c r="AT1348" s="780"/>
      <c r="AU1348" s="780"/>
      <c r="AV1348" s="780"/>
      <c r="AW1348" s="780"/>
      <c r="AX1348" s="780"/>
      <c r="AY1348" s="780"/>
      <c r="AZ1348" s="780"/>
      <c r="BA1348" s="780"/>
      <c r="BB1348" s="780"/>
      <c r="BC1348" s="780"/>
      <c r="BD1348" s="780"/>
      <c r="BE1348" s="780"/>
    </row>
    <row r="1349" customFormat="false" ht="14.15" hidden="true" customHeight="true" outlineLevel="1" collapsed="false">
      <c r="A1349" s="479"/>
      <c r="B1349" s="477"/>
      <c r="C1349" s="522"/>
      <c r="D1349" s="479"/>
      <c r="H1349" s="600"/>
      <c r="I1349" s="600"/>
      <c r="J1349" s="600"/>
      <c r="K1349" s="342"/>
      <c r="L1349" s="600"/>
      <c r="M1349" s="600"/>
      <c r="N1349" s="600"/>
      <c r="O1349" s="600"/>
      <c r="P1349" s="600"/>
      <c r="Q1349" s="342"/>
      <c r="R1349" s="342"/>
      <c r="S1349" s="342"/>
      <c r="T1349" s="342"/>
      <c r="U1349" s="342"/>
      <c r="V1349" s="342"/>
      <c r="W1349" s="342"/>
      <c r="X1349" s="342"/>
      <c r="Y1349" s="342"/>
      <c r="Z1349" s="342"/>
      <c r="AA1349" s="342"/>
      <c r="AB1349" s="342"/>
      <c r="AC1349" s="342"/>
      <c r="AD1349" s="342"/>
      <c r="AE1349" s="342"/>
      <c r="AF1349" s="342"/>
      <c r="AG1349" s="342"/>
      <c r="AH1349" s="342"/>
      <c r="AI1349" s="342"/>
      <c r="AJ1349" s="342"/>
      <c r="AK1349" s="342"/>
      <c r="AL1349" s="342"/>
      <c r="AM1349" s="342"/>
      <c r="AN1349" s="778"/>
      <c r="AO1349" s="779"/>
      <c r="AP1349" s="779"/>
      <c r="AQ1349" s="780"/>
      <c r="AR1349" s="780"/>
      <c r="AS1349" s="780"/>
      <c r="AT1349" s="780"/>
      <c r="AU1349" s="780"/>
      <c r="AV1349" s="780"/>
      <c r="AW1349" s="780"/>
      <c r="AX1349" s="780"/>
      <c r="AY1349" s="780"/>
      <c r="AZ1349" s="780"/>
      <c r="BA1349" s="780"/>
      <c r="BB1349" s="780"/>
      <c r="BC1349" s="780"/>
      <c r="BD1349" s="780"/>
      <c r="BE1349" s="780"/>
    </row>
    <row r="1350" customFormat="false" ht="14.15" hidden="true" customHeight="true" outlineLevel="1" collapsed="false">
      <c r="A1350" s="265" t="s">
        <v>2522</v>
      </c>
      <c r="B1350" s="404" t="s">
        <v>1796</v>
      </c>
      <c r="C1350" s="644" t="n">
        <v>5000</v>
      </c>
      <c r="D1350" s="479"/>
      <c r="H1350" s="600"/>
      <c r="I1350" s="600"/>
      <c r="J1350" s="600"/>
      <c r="K1350" s="342"/>
      <c r="L1350" s="600"/>
      <c r="M1350" s="600"/>
      <c r="N1350" s="600"/>
      <c r="O1350" s="600"/>
      <c r="P1350" s="600"/>
      <c r="Q1350" s="342"/>
      <c r="R1350" s="342"/>
      <c r="S1350" s="342"/>
      <c r="T1350" s="342"/>
      <c r="U1350" s="342"/>
      <c r="V1350" s="342"/>
      <c r="W1350" s="342"/>
      <c r="X1350" s="342"/>
      <c r="Y1350" s="342"/>
      <c r="Z1350" s="342"/>
      <c r="AA1350" s="342"/>
      <c r="AB1350" s="342"/>
      <c r="AC1350" s="342"/>
      <c r="AD1350" s="342"/>
      <c r="AE1350" s="342"/>
      <c r="AF1350" s="342"/>
      <c r="AG1350" s="342"/>
      <c r="AH1350" s="342"/>
      <c r="AI1350" s="342"/>
      <c r="AJ1350" s="342"/>
      <c r="AK1350" s="342"/>
      <c r="AL1350" s="342"/>
      <c r="AM1350" s="342"/>
      <c r="AN1350" s="778"/>
      <c r="AO1350" s="779"/>
      <c r="AP1350" s="779"/>
      <c r="AQ1350" s="780"/>
      <c r="AR1350" s="780"/>
      <c r="AS1350" s="780"/>
      <c r="AT1350" s="780"/>
      <c r="AU1350" s="780"/>
      <c r="AV1350" s="780"/>
      <c r="AW1350" s="780"/>
      <c r="AX1350" s="780"/>
      <c r="AY1350" s="780"/>
      <c r="AZ1350" s="780"/>
      <c r="BA1350" s="780"/>
      <c r="BB1350" s="780"/>
      <c r="BC1350" s="780"/>
      <c r="BD1350" s="780"/>
      <c r="BE1350" s="780"/>
    </row>
    <row r="1351" customFormat="false" ht="14.15" hidden="true" customHeight="true" outlineLevel="1" collapsed="false">
      <c r="A1351" s="479"/>
      <c r="B1351" s="477"/>
      <c r="C1351" s="479"/>
      <c r="D1351" s="479"/>
      <c r="E1351" s="479"/>
      <c r="F1351" s="479"/>
      <c r="G1351" s="479"/>
      <c r="H1351" s="600"/>
      <c r="I1351" s="600"/>
      <c r="J1351" s="600"/>
      <c r="K1351" s="342"/>
      <c r="L1351" s="600"/>
      <c r="M1351" s="600"/>
      <c r="N1351" s="600"/>
      <c r="O1351" s="600"/>
      <c r="P1351" s="600"/>
      <c r="Q1351" s="342"/>
      <c r="R1351" s="342"/>
      <c r="S1351" s="342"/>
      <c r="T1351" s="342"/>
      <c r="U1351" s="342"/>
      <c r="V1351" s="342"/>
      <c r="W1351" s="342"/>
      <c r="X1351" s="342"/>
      <c r="Y1351" s="342"/>
      <c r="Z1351" s="342"/>
      <c r="AA1351" s="342"/>
      <c r="AB1351" s="342"/>
      <c r="AC1351" s="342"/>
      <c r="AD1351" s="342"/>
      <c r="AE1351" s="342"/>
      <c r="AF1351" s="342"/>
      <c r="AG1351" s="342"/>
      <c r="AH1351" s="342"/>
      <c r="AI1351" s="342"/>
      <c r="AJ1351" s="342"/>
      <c r="AK1351" s="342"/>
      <c r="AL1351" s="342"/>
      <c r="AM1351" s="342"/>
      <c r="AN1351" s="778"/>
      <c r="AO1351" s="779"/>
      <c r="AP1351" s="779"/>
      <c r="AQ1351" s="780"/>
      <c r="AR1351" s="780"/>
      <c r="AS1351" s="780"/>
      <c r="AT1351" s="780"/>
      <c r="AU1351" s="780"/>
      <c r="AV1351" s="780"/>
      <c r="AW1351" s="780"/>
      <c r="AX1351" s="780"/>
      <c r="AY1351" s="780"/>
      <c r="AZ1351" s="780"/>
      <c r="BA1351" s="780"/>
      <c r="BB1351" s="780"/>
      <c r="BC1351" s="780"/>
      <c r="BD1351" s="780"/>
      <c r="BE1351" s="780"/>
    </row>
    <row r="1352" customFormat="false" ht="14.15" hidden="false" customHeight="true" outlineLevel="0" collapsed="false">
      <c r="A1352" s="872" t="s">
        <v>2523</v>
      </c>
      <c r="B1352" s="872"/>
      <c r="C1352" s="872"/>
      <c r="D1352" s="872"/>
      <c r="E1352" s="872"/>
      <c r="F1352" s="631" t="s">
        <v>1798</v>
      </c>
      <c r="H1352" s="625"/>
      <c r="I1352" s="625"/>
      <c r="J1352" s="625"/>
      <c r="K1352" s="625"/>
      <c r="L1352" s="625"/>
      <c r="M1352" s="600"/>
      <c r="N1352" s="600"/>
      <c r="O1352" s="600"/>
      <c r="P1352" s="342"/>
      <c r="Q1352" s="358"/>
      <c r="R1352" s="342"/>
      <c r="S1352" s="342"/>
      <c r="T1352" s="342"/>
      <c r="U1352" s="342"/>
      <c r="V1352" s="342"/>
      <c r="W1352" s="342"/>
      <c r="X1352" s="342"/>
      <c r="Y1352" s="342"/>
      <c r="Z1352" s="342"/>
      <c r="AA1352" s="342"/>
      <c r="AB1352" s="342"/>
      <c r="AC1352" s="342"/>
      <c r="AD1352" s="342"/>
      <c r="AE1352" s="342"/>
      <c r="AF1352" s="342"/>
      <c r="AG1352" s="342"/>
      <c r="AH1352" s="342"/>
      <c r="AI1352" s="342"/>
      <c r="AJ1352" s="342"/>
      <c r="AK1352" s="342"/>
      <c r="AL1352" s="342"/>
      <c r="AM1352" s="342"/>
      <c r="AN1352" s="778"/>
      <c r="AO1352" s="779"/>
      <c r="AP1352" s="779"/>
      <c r="AQ1352" s="780"/>
      <c r="AR1352" s="780"/>
      <c r="AS1352" s="780"/>
      <c r="AT1352" s="780"/>
      <c r="AU1352" s="780"/>
      <c r="AV1352" s="388" t="n">
        <f aca="false">M1352</f>
        <v>0</v>
      </c>
      <c r="AW1352" s="780"/>
      <c r="AX1352" s="780"/>
      <c r="AY1352" s="780"/>
      <c r="AZ1352" s="780"/>
      <c r="BA1352" s="780"/>
      <c r="BB1352" s="780"/>
      <c r="BC1352" s="780"/>
      <c r="BD1352" s="780"/>
      <c r="BE1352" s="780"/>
    </row>
    <row r="1353" customFormat="false" ht="14.15" hidden="false" customHeight="true" outlineLevel="0" collapsed="false">
      <c r="A1353" s="479"/>
      <c r="B1353" s="477"/>
      <c r="C1353" s="479"/>
      <c r="D1353" s="479"/>
      <c r="E1353" s="479"/>
      <c r="F1353" s="479"/>
      <c r="G1353" s="479"/>
      <c r="H1353" s="479"/>
      <c r="I1353" s="479"/>
      <c r="J1353" s="479"/>
      <c r="K1353" s="479"/>
      <c r="L1353" s="479"/>
      <c r="M1353" s="342"/>
      <c r="N1353" s="342"/>
      <c r="O1353" s="342"/>
      <c r="P1353" s="342"/>
      <c r="Q1353" s="342"/>
      <c r="R1353" s="342"/>
      <c r="S1353" s="342"/>
      <c r="T1353" s="342"/>
      <c r="U1353" s="342"/>
      <c r="V1353" s="342"/>
      <c r="W1353" s="342"/>
      <c r="X1353" s="342"/>
      <c r="Y1353" s="342"/>
      <c r="Z1353" s="342"/>
      <c r="AA1353" s="342"/>
      <c r="AB1353" s="342"/>
      <c r="AC1353" s="342"/>
      <c r="AD1353" s="342"/>
      <c r="AE1353" s="342"/>
      <c r="AF1353" s="342"/>
      <c r="AG1353" s="342"/>
      <c r="AH1353" s="342"/>
      <c r="AI1353" s="342"/>
      <c r="AJ1353" s="342"/>
      <c r="AK1353" s="342"/>
      <c r="AL1353" s="342"/>
      <c r="AM1353" s="342"/>
      <c r="AN1353" s="778"/>
      <c r="AO1353" s="779"/>
      <c r="AP1353" s="779"/>
      <c r="AQ1353" s="780"/>
      <c r="AR1353" s="780"/>
      <c r="AS1353" s="780"/>
      <c r="AT1353" s="780"/>
      <c r="AU1353" s="780"/>
      <c r="AV1353" s="780"/>
      <c r="AW1353" s="780"/>
      <c r="AX1353" s="780"/>
      <c r="AY1353" s="780"/>
      <c r="AZ1353" s="780"/>
      <c r="BA1353" s="780"/>
      <c r="BB1353" s="780"/>
      <c r="BC1353" s="780"/>
      <c r="BD1353" s="780"/>
      <c r="BE1353" s="780"/>
    </row>
    <row r="1354" customFormat="false" ht="14.15" hidden="true" customHeight="true" outlineLevel="1" collapsed="false">
      <c r="A1354" s="870" t="s">
        <v>1184</v>
      </c>
      <c r="B1354" s="870"/>
      <c r="C1354" s="870"/>
      <c r="D1354" s="870"/>
      <c r="E1354" s="870"/>
      <c r="F1354" s="870"/>
      <c r="G1354" s="870"/>
      <c r="H1354" s="784"/>
      <c r="I1354" s="784"/>
      <c r="J1354" s="784"/>
      <c r="K1354" s="784"/>
      <c r="L1354" s="784"/>
      <c r="M1354" s="784"/>
      <c r="N1354" s="784"/>
      <c r="O1354" s="784"/>
      <c r="P1354" s="784"/>
      <c r="Q1354" s="784"/>
      <c r="R1354" s="784"/>
      <c r="S1354" s="784"/>
      <c r="T1354" s="784"/>
      <c r="U1354" s="784"/>
      <c r="V1354" s="784"/>
      <c r="W1354" s="784"/>
      <c r="X1354" s="784"/>
      <c r="Y1354" s="784"/>
      <c r="Z1354" s="784"/>
      <c r="AA1354" s="784"/>
      <c r="AB1354" s="784"/>
      <c r="AC1354" s="784"/>
      <c r="AD1354" s="784"/>
      <c r="AE1354" s="784"/>
      <c r="AF1354" s="784"/>
      <c r="AG1354" s="784"/>
      <c r="AH1354" s="784"/>
      <c r="AI1354" s="784"/>
      <c r="AJ1354" s="342"/>
      <c r="AK1354" s="342"/>
      <c r="AL1354" s="342"/>
      <c r="AM1354" s="342"/>
      <c r="AN1354" s="778"/>
      <c r="AO1354" s="779"/>
      <c r="AP1354" s="779"/>
      <c r="AQ1354" s="780"/>
      <c r="AR1354" s="780"/>
      <c r="AS1354" s="780"/>
      <c r="AT1354" s="780"/>
      <c r="AU1354" s="780"/>
      <c r="AV1354" s="780"/>
      <c r="AW1354" s="780"/>
      <c r="AX1354" s="780"/>
      <c r="AY1354" s="780"/>
      <c r="AZ1354" s="780"/>
      <c r="BA1354" s="780"/>
      <c r="BB1354" s="780"/>
      <c r="BC1354" s="780"/>
      <c r="BD1354" s="780"/>
      <c r="BE1354" s="780"/>
    </row>
    <row r="1355" customFormat="false" ht="14.15" hidden="true" customHeight="true" outlineLevel="1" collapsed="false">
      <c r="A1355" s="870"/>
      <c r="B1355" s="870"/>
      <c r="C1355" s="870"/>
      <c r="D1355" s="870"/>
      <c r="E1355" s="870"/>
      <c r="F1355" s="870"/>
      <c r="G1355" s="870"/>
      <c r="H1355" s="784"/>
      <c r="I1355" s="784"/>
      <c r="J1355" s="784"/>
      <c r="K1355" s="784"/>
      <c r="L1355" s="784"/>
      <c r="M1355" s="784"/>
      <c r="N1355" s="784"/>
      <c r="O1355" s="784"/>
      <c r="P1355" s="784"/>
      <c r="Q1355" s="784"/>
      <c r="R1355" s="784"/>
      <c r="S1355" s="784"/>
      <c r="T1355" s="784"/>
      <c r="U1355" s="784"/>
      <c r="V1355" s="784"/>
      <c r="W1355" s="784"/>
      <c r="X1355" s="784"/>
      <c r="Y1355" s="784"/>
      <c r="Z1355" s="784"/>
      <c r="AA1355" s="784"/>
      <c r="AB1355" s="784"/>
      <c r="AC1355" s="784"/>
      <c r="AD1355" s="784"/>
      <c r="AE1355" s="784"/>
      <c r="AF1355" s="784"/>
      <c r="AG1355" s="784"/>
      <c r="AH1355" s="784"/>
      <c r="AI1355" s="784"/>
      <c r="AJ1355" s="342"/>
      <c r="AK1355" s="342"/>
      <c r="AL1355" s="342"/>
      <c r="AM1355" s="342"/>
      <c r="AN1355" s="778"/>
      <c r="AO1355" s="779"/>
      <c r="AP1355" s="779"/>
      <c r="AQ1355" s="780"/>
      <c r="AR1355" s="780"/>
      <c r="AS1355" s="780"/>
      <c r="AT1355" s="780"/>
      <c r="AU1355" s="780"/>
      <c r="AV1355" s="780"/>
      <c r="AW1355" s="780"/>
      <c r="AX1355" s="780"/>
      <c r="AY1355" s="780"/>
      <c r="AZ1355" s="780"/>
      <c r="BA1355" s="780"/>
      <c r="BB1355" s="780"/>
      <c r="BC1355" s="780"/>
      <c r="BD1355" s="780"/>
      <c r="BE1355" s="780"/>
    </row>
    <row r="1356" customFormat="false" ht="14.15" hidden="true" customHeight="true" outlineLevel="1" collapsed="false">
      <c r="A1356" s="415" t="s">
        <v>1806</v>
      </c>
      <c r="B1356" s="416"/>
      <c r="C1356" s="417"/>
      <c r="D1356" s="595" t="n">
        <v>1</v>
      </c>
      <c r="G1356" s="676"/>
      <c r="H1356" s="676"/>
      <c r="I1356" s="676"/>
      <c r="J1356" s="676"/>
      <c r="K1356" s="676"/>
      <c r="L1356" s="676"/>
      <c r="M1356" s="676"/>
      <c r="N1356" s="676"/>
      <c r="O1356" s="676"/>
      <c r="P1356" s="676"/>
      <c r="Q1356" s="676"/>
      <c r="R1356" s="676"/>
      <c r="S1356" s="676"/>
      <c r="T1356" s="676"/>
      <c r="U1356" s="676"/>
      <c r="V1356" s="676"/>
      <c r="W1356" s="676"/>
      <c r="X1356" s="676"/>
      <c r="Y1356" s="676"/>
      <c r="Z1356" s="676"/>
      <c r="AA1356" s="676"/>
      <c r="AB1356" s="676"/>
      <c r="AC1356" s="676"/>
      <c r="AD1356" s="676"/>
      <c r="AE1356" s="676"/>
      <c r="AF1356" s="342"/>
      <c r="AG1356" s="342"/>
      <c r="AH1356" s="342"/>
      <c r="AI1356" s="772"/>
      <c r="AJ1356" s="342"/>
      <c r="AK1356" s="342"/>
      <c r="AL1356" s="342"/>
      <c r="AM1356" s="342"/>
      <c r="AN1356" s="778"/>
      <c r="AO1356" s="779"/>
      <c r="AP1356" s="779"/>
      <c r="AQ1356" s="780"/>
      <c r="AR1356" s="780"/>
      <c r="AS1356" s="780"/>
      <c r="AT1356" s="780"/>
      <c r="AU1356" s="780"/>
      <c r="AV1356" s="780"/>
      <c r="AW1356" s="780"/>
      <c r="AX1356" s="780"/>
      <c r="AY1356" s="780"/>
      <c r="AZ1356" s="780"/>
      <c r="BA1356" s="780"/>
      <c r="BB1356" s="780"/>
      <c r="BC1356" s="780"/>
      <c r="BD1356" s="780"/>
      <c r="BE1356" s="780"/>
    </row>
    <row r="1357" customFormat="false" ht="14.15" hidden="true" customHeight="true" outlineLevel="1" collapsed="false">
      <c r="A1357" s="415" t="s">
        <v>1808</v>
      </c>
      <c r="B1357" s="416"/>
      <c r="C1357" s="417"/>
      <c r="D1357" s="595" t="n">
        <v>1</v>
      </c>
      <c r="G1357" s="676"/>
      <c r="H1357" s="676"/>
      <c r="I1357" s="676"/>
      <c r="J1357" s="676"/>
      <c r="K1357" s="676"/>
      <c r="L1357" s="676"/>
      <c r="M1357" s="676"/>
      <c r="N1357" s="676"/>
      <c r="O1357" s="676"/>
      <c r="P1357" s="676"/>
      <c r="Q1357" s="676"/>
      <c r="R1357" s="676"/>
      <c r="S1357" s="676"/>
      <c r="T1357" s="676"/>
      <c r="U1357" s="676"/>
      <c r="V1357" s="676"/>
      <c r="W1357" s="676"/>
      <c r="X1357" s="676"/>
      <c r="Y1357" s="676"/>
      <c r="Z1357" s="676"/>
      <c r="AA1357" s="676"/>
      <c r="AB1357" s="676"/>
      <c r="AC1357" s="676"/>
      <c r="AD1357" s="676"/>
      <c r="AE1357" s="676"/>
      <c r="AF1357" s="342"/>
      <c r="AG1357" s="342"/>
      <c r="AH1357" s="342"/>
      <c r="AI1357" s="342"/>
      <c r="AJ1357" s="342"/>
      <c r="AK1357" s="342"/>
      <c r="AL1357" s="342"/>
      <c r="AM1357" s="342"/>
      <c r="AN1357" s="778"/>
      <c r="AO1357" s="779"/>
      <c r="AP1357" s="779"/>
      <c r="AQ1357" s="780"/>
      <c r="AR1357" s="780"/>
      <c r="AS1357" s="780"/>
      <c r="AT1357" s="780"/>
      <c r="AU1357" s="780"/>
      <c r="AV1357" s="780"/>
      <c r="AW1357" s="780"/>
      <c r="AX1357" s="780"/>
      <c r="AY1357" s="780"/>
      <c r="AZ1357" s="780"/>
      <c r="BA1357" s="780"/>
      <c r="BB1357" s="780"/>
      <c r="BC1357" s="780"/>
      <c r="BD1357" s="780"/>
      <c r="BE1357" s="780"/>
    </row>
    <row r="1358" customFormat="false" ht="14.15" hidden="true" customHeight="true" outlineLevel="1" collapsed="false">
      <c r="B1358" s="598"/>
      <c r="C1358" s="676"/>
      <c r="D1358" s="676"/>
      <c r="E1358" s="676"/>
      <c r="F1358" s="676"/>
      <c r="G1358" s="676"/>
      <c r="H1358" s="676"/>
      <c r="I1358" s="676"/>
      <c r="J1358" s="676"/>
      <c r="K1358" s="676"/>
      <c r="L1358" s="676"/>
      <c r="M1358" s="676"/>
      <c r="N1358" s="676"/>
      <c r="O1358" s="676"/>
      <c r="P1358" s="676"/>
      <c r="Q1358" s="676"/>
      <c r="R1358" s="676"/>
      <c r="S1358" s="676"/>
      <c r="T1358" s="676"/>
      <c r="U1358" s="676"/>
      <c r="V1358" s="676"/>
      <c r="W1358" s="676"/>
      <c r="X1358" s="676"/>
      <c r="Y1358" s="598"/>
      <c r="Z1358" s="598"/>
      <c r="AA1358" s="597"/>
      <c r="AB1358" s="598"/>
      <c r="AC1358" s="598"/>
      <c r="AD1358" s="598"/>
      <c r="AE1358" s="598"/>
      <c r="AF1358" s="342"/>
      <c r="AG1358" s="342"/>
      <c r="AH1358" s="342"/>
      <c r="AI1358" s="342"/>
      <c r="AJ1358" s="342"/>
      <c r="AK1358" s="342"/>
      <c r="AL1358" s="342"/>
      <c r="AM1358" s="342"/>
      <c r="AN1358" s="778"/>
      <c r="AO1358" s="779"/>
      <c r="AP1358" s="779"/>
      <c r="AQ1358" s="780"/>
      <c r="AR1358" s="780"/>
      <c r="AS1358" s="780"/>
      <c r="AT1358" s="780"/>
      <c r="AU1358" s="780"/>
      <c r="AV1358" s="780"/>
      <c r="AW1358" s="780"/>
      <c r="AX1358" s="780"/>
      <c r="AY1358" s="780"/>
      <c r="AZ1358" s="780"/>
      <c r="BA1358" s="780"/>
      <c r="BB1358" s="780"/>
      <c r="BC1358" s="780"/>
      <c r="BD1358" s="780"/>
      <c r="BE1358" s="780"/>
    </row>
    <row r="1359" customFormat="false" ht="14.15" hidden="true" customHeight="true" outlineLevel="1" collapsed="false">
      <c r="A1359" s="513" t="s">
        <v>1236</v>
      </c>
      <c r="B1359" s="425" t="s">
        <v>120</v>
      </c>
      <c r="C1359" s="513" t="s">
        <v>1753</v>
      </c>
      <c r="D1359" s="676"/>
      <c r="E1359" s="676"/>
      <c r="F1359" s="676"/>
      <c r="G1359" s="676"/>
      <c r="H1359" s="676"/>
      <c r="I1359" s="676"/>
      <c r="J1359" s="676"/>
      <c r="K1359" s="676"/>
      <c r="L1359" s="676"/>
      <c r="M1359" s="676"/>
      <c r="N1359" s="676"/>
      <c r="O1359" s="676"/>
      <c r="P1359" s="676"/>
      <c r="Q1359" s="676"/>
      <c r="R1359" s="676"/>
      <c r="S1359" s="676"/>
      <c r="T1359" s="676"/>
      <c r="U1359" s="676"/>
      <c r="V1359" s="676"/>
      <c r="W1359" s="676"/>
      <c r="X1359" s="676"/>
      <c r="Y1359" s="598"/>
      <c r="Z1359" s="598"/>
      <c r="AA1359" s="598"/>
      <c r="AB1359" s="598"/>
      <c r="AC1359" s="598"/>
      <c r="AD1359" s="598"/>
      <c r="AE1359" s="598"/>
      <c r="AF1359" s="342"/>
      <c r="AG1359" s="342"/>
      <c r="AH1359" s="342"/>
      <c r="AI1359" s="342"/>
      <c r="AJ1359" s="342"/>
      <c r="AK1359" s="342"/>
      <c r="AL1359" s="342"/>
      <c r="AM1359" s="342"/>
      <c r="AN1359" s="778"/>
      <c r="AO1359" s="779"/>
      <c r="AP1359" s="779"/>
      <c r="AQ1359" s="780"/>
      <c r="AR1359" s="780"/>
      <c r="AS1359" s="780"/>
      <c r="AT1359" s="780"/>
      <c r="AU1359" s="780"/>
      <c r="AV1359" s="780"/>
      <c r="AW1359" s="780"/>
      <c r="AX1359" s="780"/>
      <c r="AY1359" s="780"/>
      <c r="AZ1359" s="780"/>
      <c r="BA1359" s="780"/>
      <c r="BB1359" s="780"/>
      <c r="BC1359" s="780"/>
      <c r="BD1359" s="780"/>
      <c r="BE1359" s="780"/>
    </row>
    <row r="1360" customFormat="false" ht="14.15" hidden="true" customHeight="true" outlineLevel="1" collapsed="false">
      <c r="A1360" s="265" t="s">
        <v>1188</v>
      </c>
      <c r="B1360" s="404" t="s">
        <v>159</v>
      </c>
      <c r="C1360" s="874" t="s">
        <v>1821</v>
      </c>
      <c r="D1360" s="479"/>
      <c r="G1360" s="666"/>
      <c r="H1360" s="479"/>
      <c r="I1360" s="855"/>
      <c r="J1360" s="855"/>
      <c r="K1360" s="855"/>
      <c r="L1360" s="855"/>
      <c r="M1360" s="855"/>
      <c r="N1360" s="855"/>
      <c r="O1360" s="855"/>
      <c r="P1360" s="342"/>
      <c r="Q1360" s="342"/>
      <c r="R1360" s="342"/>
      <c r="S1360" s="342"/>
      <c r="T1360" s="342"/>
      <c r="U1360" s="342"/>
      <c r="V1360" s="342"/>
      <c r="W1360" s="342"/>
      <c r="X1360" s="342"/>
      <c r="Y1360" s="342"/>
      <c r="Z1360" s="342"/>
      <c r="AA1360" s="342"/>
      <c r="AB1360" s="342"/>
      <c r="AC1360" s="342"/>
      <c r="AD1360" s="342"/>
      <c r="AE1360" s="342"/>
      <c r="AF1360" s="342"/>
      <c r="AG1360" s="342"/>
      <c r="AH1360" s="342"/>
      <c r="AI1360" s="342"/>
      <c r="AJ1360" s="342"/>
      <c r="AK1360" s="342"/>
      <c r="AL1360" s="342"/>
      <c r="AM1360" s="342"/>
      <c r="AN1360" s="778"/>
      <c r="AO1360" s="779"/>
      <c r="AP1360" s="779"/>
      <c r="AQ1360" s="780"/>
      <c r="AR1360" s="780"/>
      <c r="AS1360" s="780"/>
      <c r="AT1360" s="780"/>
      <c r="AU1360" s="780"/>
      <c r="AV1360" s="780"/>
      <c r="AW1360" s="780"/>
      <c r="AX1360" s="780"/>
      <c r="AY1360" s="780"/>
      <c r="AZ1360" s="780"/>
      <c r="BA1360" s="780"/>
      <c r="BB1360" s="780"/>
      <c r="BC1360" s="780"/>
      <c r="BD1360" s="780"/>
      <c r="BE1360" s="780"/>
    </row>
    <row r="1361" customFormat="false" ht="14.15" hidden="true" customHeight="true" outlineLevel="1" collapsed="false">
      <c r="A1361" s="265" t="s">
        <v>1189</v>
      </c>
      <c r="B1361" s="404" t="s">
        <v>159</v>
      </c>
      <c r="C1361" s="874" t="s">
        <v>1821</v>
      </c>
      <c r="D1361" s="479"/>
      <c r="G1361" s="666"/>
      <c r="H1361" s="479"/>
      <c r="I1361" s="855"/>
      <c r="J1361" s="855"/>
      <c r="K1361" s="855"/>
      <c r="L1361" s="855"/>
      <c r="M1361" s="855"/>
      <c r="N1361" s="855"/>
      <c r="O1361" s="855"/>
      <c r="P1361" s="342"/>
      <c r="Q1361" s="342"/>
      <c r="R1361" s="342"/>
      <c r="S1361" s="342"/>
      <c r="T1361" s="342"/>
      <c r="U1361" s="342"/>
      <c r="V1361" s="342"/>
      <c r="W1361" s="342"/>
      <c r="X1361" s="342"/>
      <c r="Y1361" s="342"/>
      <c r="Z1361" s="342"/>
      <c r="AA1361" s="342"/>
      <c r="AB1361" s="342"/>
      <c r="AC1361" s="342"/>
      <c r="AD1361" s="342"/>
      <c r="AE1361" s="342"/>
      <c r="AF1361" s="342"/>
      <c r="AG1361" s="342"/>
      <c r="AH1361" s="342"/>
      <c r="AI1361" s="342"/>
      <c r="AJ1361" s="342"/>
      <c r="AK1361" s="342"/>
      <c r="AL1361" s="342"/>
      <c r="AM1361" s="342"/>
      <c r="AN1361" s="778"/>
      <c r="AO1361" s="779"/>
      <c r="AP1361" s="779"/>
      <c r="AQ1361" s="780"/>
      <c r="AR1361" s="780"/>
      <c r="AS1361" s="780"/>
      <c r="AT1361" s="780"/>
      <c r="AU1361" s="780"/>
      <c r="AV1361" s="780"/>
      <c r="AW1361" s="780"/>
      <c r="AX1361" s="780"/>
      <c r="AY1361" s="780"/>
      <c r="AZ1361" s="780"/>
      <c r="BA1361" s="780"/>
      <c r="BB1361" s="780"/>
      <c r="BC1361" s="780"/>
      <c r="BD1361" s="780"/>
      <c r="BE1361" s="780"/>
    </row>
    <row r="1362" customFormat="false" ht="14.15" hidden="true" customHeight="true" outlineLevel="1" collapsed="false">
      <c r="A1362" s="265" t="s">
        <v>2524</v>
      </c>
      <c r="B1362" s="404" t="s">
        <v>159</v>
      </c>
      <c r="C1362" s="874" t="s">
        <v>1821</v>
      </c>
      <c r="D1362" s="479"/>
      <c r="G1362" s="666"/>
      <c r="H1362" s="479"/>
      <c r="I1362" s="855"/>
      <c r="J1362" s="855"/>
      <c r="K1362" s="855"/>
      <c r="L1362" s="855"/>
      <c r="M1362" s="855"/>
      <c r="N1362" s="855"/>
      <c r="O1362" s="855"/>
      <c r="P1362" s="342"/>
      <c r="Q1362" s="342"/>
      <c r="R1362" s="342"/>
      <c r="S1362" s="342"/>
      <c r="T1362" s="342"/>
      <c r="U1362" s="342"/>
      <c r="V1362" s="342"/>
      <c r="W1362" s="342"/>
      <c r="X1362" s="342"/>
      <c r="Y1362" s="342"/>
      <c r="Z1362" s="342"/>
      <c r="AA1362" s="342"/>
      <c r="AB1362" s="342"/>
      <c r="AC1362" s="342"/>
      <c r="AD1362" s="342"/>
      <c r="AE1362" s="342"/>
      <c r="AF1362" s="342"/>
      <c r="AG1362" s="342"/>
      <c r="AH1362" s="342"/>
      <c r="AI1362" s="342"/>
      <c r="AJ1362" s="342"/>
      <c r="AK1362" s="342"/>
      <c r="AL1362" s="342"/>
      <c r="AM1362" s="342"/>
      <c r="AN1362" s="778"/>
      <c r="AO1362" s="779"/>
      <c r="AP1362" s="779"/>
      <c r="AQ1362" s="780"/>
      <c r="AR1362" s="780"/>
      <c r="AS1362" s="780"/>
      <c r="AT1362" s="780"/>
      <c r="AU1362" s="780"/>
      <c r="AV1362" s="780"/>
      <c r="AW1362" s="780"/>
      <c r="AX1362" s="780"/>
      <c r="AY1362" s="780"/>
      <c r="AZ1362" s="780"/>
      <c r="BA1362" s="780"/>
      <c r="BB1362" s="780"/>
      <c r="BC1362" s="780"/>
      <c r="BD1362" s="780"/>
      <c r="BE1362" s="780"/>
    </row>
    <row r="1363" customFormat="false" ht="14.15" hidden="true" customHeight="true" outlineLevel="1" collapsed="false">
      <c r="A1363" s="265" t="s">
        <v>1186</v>
      </c>
      <c r="B1363" s="404" t="s">
        <v>159</v>
      </c>
      <c r="C1363" s="874" t="s">
        <v>1821</v>
      </c>
      <c r="D1363" s="479"/>
      <c r="G1363" s="666"/>
      <c r="H1363" s="479"/>
      <c r="I1363" s="855"/>
      <c r="J1363" s="855"/>
      <c r="K1363" s="855"/>
      <c r="L1363" s="855"/>
      <c r="M1363" s="855"/>
      <c r="N1363" s="855"/>
      <c r="O1363" s="855"/>
      <c r="P1363" s="342"/>
      <c r="Q1363" s="342"/>
      <c r="R1363" s="342"/>
      <c r="S1363" s="342"/>
      <c r="T1363" s="342"/>
      <c r="U1363" s="342"/>
      <c r="V1363" s="342"/>
      <c r="W1363" s="342"/>
      <c r="X1363" s="342"/>
      <c r="Y1363" s="342"/>
      <c r="Z1363" s="342"/>
      <c r="AA1363" s="342"/>
      <c r="AB1363" s="342"/>
      <c r="AC1363" s="342"/>
      <c r="AD1363" s="342"/>
      <c r="AE1363" s="342"/>
      <c r="AF1363" s="342"/>
      <c r="AG1363" s="342"/>
      <c r="AH1363" s="342"/>
      <c r="AI1363" s="342"/>
      <c r="AJ1363" s="342"/>
      <c r="AK1363" s="342"/>
      <c r="AL1363" s="342"/>
      <c r="AM1363" s="342"/>
      <c r="AN1363" s="778"/>
      <c r="AO1363" s="779"/>
      <c r="AP1363" s="779"/>
      <c r="AQ1363" s="780"/>
      <c r="AR1363" s="780"/>
      <c r="AS1363" s="780"/>
      <c r="AT1363" s="780"/>
      <c r="AU1363" s="780"/>
      <c r="AV1363" s="780"/>
      <c r="AW1363" s="780"/>
      <c r="AX1363" s="780"/>
      <c r="AY1363" s="780"/>
      <c r="AZ1363" s="780"/>
      <c r="BA1363" s="780"/>
      <c r="BB1363" s="780"/>
      <c r="BC1363" s="780"/>
      <c r="BD1363" s="780"/>
      <c r="BE1363" s="780"/>
    </row>
    <row r="1364" customFormat="false" ht="14.15" hidden="true" customHeight="true" outlineLevel="1" collapsed="false">
      <c r="A1364" s="265" t="s">
        <v>1187</v>
      </c>
      <c r="B1364" s="404" t="s">
        <v>159</v>
      </c>
      <c r="C1364" s="874" t="s">
        <v>1821</v>
      </c>
      <c r="D1364" s="479"/>
      <c r="G1364" s="666"/>
      <c r="H1364" s="479"/>
      <c r="I1364" s="855"/>
      <c r="J1364" s="855"/>
      <c r="K1364" s="855"/>
      <c r="L1364" s="855"/>
      <c r="M1364" s="855"/>
      <c r="N1364" s="855"/>
      <c r="O1364" s="855"/>
      <c r="P1364" s="342"/>
      <c r="Q1364" s="342"/>
      <c r="R1364" s="342"/>
      <c r="S1364" s="342"/>
      <c r="T1364" s="342"/>
      <c r="U1364" s="342"/>
      <c r="V1364" s="342"/>
      <c r="W1364" s="342"/>
      <c r="X1364" s="342"/>
      <c r="Y1364" s="342"/>
      <c r="Z1364" s="342"/>
      <c r="AA1364" s="342"/>
      <c r="AB1364" s="342"/>
      <c r="AC1364" s="342"/>
      <c r="AD1364" s="342"/>
      <c r="AE1364" s="342"/>
      <c r="AF1364" s="342"/>
      <c r="AG1364" s="342"/>
      <c r="AH1364" s="342"/>
      <c r="AI1364" s="342"/>
      <c r="AJ1364" s="342"/>
      <c r="AK1364" s="342"/>
      <c r="AL1364" s="342"/>
      <c r="AM1364" s="342"/>
      <c r="AN1364" s="778"/>
      <c r="AO1364" s="779"/>
      <c r="AP1364" s="779"/>
      <c r="AQ1364" s="780"/>
      <c r="AR1364" s="780"/>
      <c r="AS1364" s="780"/>
      <c r="AT1364" s="780"/>
      <c r="AU1364" s="780"/>
      <c r="AV1364" s="780"/>
      <c r="AW1364" s="780"/>
      <c r="AX1364" s="780"/>
      <c r="AY1364" s="780"/>
      <c r="AZ1364" s="780"/>
      <c r="BA1364" s="780"/>
      <c r="BB1364" s="780"/>
      <c r="BC1364" s="780"/>
      <c r="BD1364" s="780"/>
      <c r="BE1364" s="780"/>
    </row>
    <row r="1365" s="355" customFormat="true" ht="14.15" hidden="true" customHeight="true" outlineLevel="1" collapsed="false">
      <c r="A1365" s="479"/>
      <c r="B1365" s="477"/>
      <c r="C1365" s="522"/>
      <c r="D1365" s="479"/>
      <c r="G1365" s="666"/>
      <c r="H1365" s="479"/>
      <c r="I1365" s="855"/>
      <c r="J1365" s="855"/>
      <c r="K1365" s="855"/>
      <c r="L1365" s="855"/>
      <c r="M1365" s="855"/>
      <c r="N1365" s="855"/>
      <c r="O1365" s="855"/>
      <c r="P1365" s="342"/>
      <c r="Q1365" s="342"/>
      <c r="R1365" s="342"/>
      <c r="S1365" s="342"/>
      <c r="T1365" s="342"/>
      <c r="U1365" s="342"/>
      <c r="V1365" s="342"/>
      <c r="W1365" s="342"/>
      <c r="X1365" s="342"/>
      <c r="Y1365" s="342"/>
      <c r="Z1365" s="342"/>
      <c r="AA1365" s="342"/>
      <c r="AB1365" s="342"/>
      <c r="AC1365" s="342"/>
      <c r="AD1365" s="342"/>
      <c r="AE1365" s="342"/>
      <c r="AF1365" s="342"/>
      <c r="AG1365" s="342"/>
      <c r="AH1365" s="342"/>
      <c r="AI1365" s="342"/>
      <c r="AJ1365" s="342"/>
      <c r="AK1365" s="342"/>
      <c r="AL1365" s="342"/>
      <c r="AM1365" s="342"/>
      <c r="AN1365" s="342"/>
      <c r="AO1365" s="662"/>
      <c r="AP1365" s="662"/>
      <c r="AQ1365" s="772"/>
      <c r="AR1365" s="772"/>
      <c r="AS1365" s="772"/>
      <c r="AT1365" s="772"/>
      <c r="AU1365" s="772"/>
      <c r="AV1365" s="772"/>
      <c r="AW1365" s="772"/>
      <c r="AX1365" s="772"/>
      <c r="AY1365" s="772"/>
      <c r="AZ1365" s="772"/>
      <c r="BA1365" s="772"/>
      <c r="BB1365" s="772"/>
      <c r="BC1365" s="772"/>
      <c r="BD1365" s="772"/>
      <c r="BE1365" s="772"/>
      <c r="BF1365" s="360"/>
    </row>
    <row r="1366" s="355" customFormat="true" ht="14.15" hidden="true" customHeight="true" outlineLevel="1" collapsed="false">
      <c r="A1366" s="324" t="s">
        <v>151</v>
      </c>
      <c r="B1366" s="325"/>
      <c r="C1366" s="324"/>
      <c r="D1366" s="479"/>
      <c r="G1366" s="666"/>
      <c r="H1366" s="479"/>
      <c r="I1366" s="855"/>
      <c r="J1366" s="855"/>
      <c r="K1366" s="855"/>
      <c r="L1366" s="855"/>
      <c r="M1366" s="855"/>
      <c r="N1366" s="855"/>
      <c r="O1366" s="855"/>
      <c r="P1366" s="342"/>
      <c r="Q1366" s="342"/>
      <c r="R1366" s="342"/>
      <c r="S1366" s="342"/>
      <c r="T1366" s="342"/>
      <c r="U1366" s="342"/>
      <c r="V1366" s="342"/>
      <c r="W1366" s="342"/>
      <c r="X1366" s="342"/>
      <c r="Y1366" s="342"/>
      <c r="Z1366" s="342"/>
      <c r="AA1366" s="342"/>
      <c r="AB1366" s="342"/>
      <c r="AC1366" s="342"/>
      <c r="AD1366" s="342"/>
      <c r="AE1366" s="342"/>
      <c r="AF1366" s="342"/>
      <c r="AG1366" s="342"/>
      <c r="AH1366" s="342"/>
      <c r="AI1366" s="342"/>
      <c r="AJ1366" s="342"/>
      <c r="AK1366" s="342"/>
      <c r="AL1366" s="342"/>
      <c r="AM1366" s="342"/>
      <c r="AN1366" s="342"/>
      <c r="AO1366" s="662"/>
      <c r="AP1366" s="662"/>
      <c r="AQ1366" s="772"/>
      <c r="AR1366" s="772"/>
      <c r="AS1366" s="772"/>
      <c r="AT1366" s="772"/>
      <c r="AU1366" s="772"/>
      <c r="AV1366" s="772"/>
      <c r="AW1366" s="772"/>
      <c r="AX1366" s="772"/>
      <c r="AY1366" s="772"/>
      <c r="AZ1366" s="772"/>
      <c r="BA1366" s="772"/>
      <c r="BB1366" s="772"/>
      <c r="BC1366" s="772"/>
      <c r="BD1366" s="772"/>
      <c r="BE1366" s="772"/>
      <c r="BF1366" s="360"/>
    </row>
    <row r="1367" s="355" customFormat="true" ht="14.15" hidden="true" customHeight="true" outlineLevel="1" collapsed="false">
      <c r="A1367" s="403" t="s">
        <v>160</v>
      </c>
      <c r="B1367" s="844" t="s">
        <v>154</v>
      </c>
      <c r="C1367" s="265" t="n">
        <v>4</v>
      </c>
      <c r="D1367" s="479"/>
      <c r="G1367" s="666"/>
      <c r="H1367" s="479"/>
      <c r="I1367" s="855"/>
      <c r="J1367" s="855"/>
      <c r="K1367" s="855"/>
      <c r="L1367" s="855"/>
      <c r="M1367" s="855"/>
      <c r="N1367" s="855"/>
      <c r="O1367" s="855"/>
      <c r="P1367" s="342"/>
      <c r="Q1367" s="342"/>
      <c r="R1367" s="342"/>
      <c r="S1367" s="342"/>
      <c r="T1367" s="342"/>
      <c r="U1367" s="342"/>
      <c r="V1367" s="342"/>
      <c r="W1367" s="342"/>
      <c r="X1367" s="342"/>
      <c r="Y1367" s="342"/>
      <c r="Z1367" s="342"/>
      <c r="AA1367" s="342"/>
      <c r="AB1367" s="342"/>
      <c r="AC1367" s="342"/>
      <c r="AD1367" s="342"/>
      <c r="AE1367" s="342"/>
      <c r="AF1367" s="342"/>
      <c r="AG1367" s="342"/>
      <c r="AH1367" s="342"/>
      <c r="AI1367" s="342"/>
      <c r="AJ1367" s="342"/>
      <c r="AK1367" s="342"/>
      <c r="AL1367" s="342"/>
      <c r="AM1367" s="342"/>
      <c r="AN1367" s="342"/>
      <c r="AO1367" s="662"/>
      <c r="AP1367" s="662"/>
      <c r="AQ1367" s="772"/>
      <c r="AR1367" s="772"/>
      <c r="AS1367" s="772"/>
      <c r="AT1367" s="772"/>
      <c r="AU1367" s="772"/>
      <c r="AV1367" s="772"/>
      <c r="AW1367" s="772"/>
      <c r="AX1367" s="772"/>
      <c r="AY1367" s="772"/>
      <c r="AZ1367" s="772"/>
      <c r="BA1367" s="772"/>
      <c r="BB1367" s="772"/>
      <c r="BC1367" s="772"/>
      <c r="BD1367" s="772"/>
      <c r="BE1367" s="772"/>
      <c r="BF1367" s="360"/>
    </row>
    <row r="1368" s="355" customFormat="true" ht="14.15" hidden="true" customHeight="true" outlineLevel="1" collapsed="false">
      <c r="A1368" s="401" t="s">
        <v>155</v>
      </c>
      <c r="B1368" s="844" t="s">
        <v>154</v>
      </c>
      <c r="C1368" s="595" t="n">
        <v>4</v>
      </c>
      <c r="D1368" s="479"/>
      <c r="G1368" s="666"/>
      <c r="H1368" s="479"/>
      <c r="I1368" s="855"/>
      <c r="J1368" s="855"/>
      <c r="K1368" s="855"/>
      <c r="L1368" s="855"/>
      <c r="M1368" s="855"/>
      <c r="N1368" s="855"/>
      <c r="O1368" s="855"/>
      <c r="P1368" s="342"/>
      <c r="Q1368" s="342"/>
      <c r="R1368" s="342"/>
      <c r="S1368" s="342"/>
      <c r="T1368" s="342"/>
      <c r="U1368" s="342"/>
      <c r="V1368" s="342"/>
      <c r="W1368" s="342"/>
      <c r="X1368" s="342"/>
      <c r="Y1368" s="342"/>
      <c r="Z1368" s="342"/>
      <c r="AA1368" s="342"/>
      <c r="AB1368" s="342"/>
      <c r="AC1368" s="342"/>
      <c r="AD1368" s="342"/>
      <c r="AE1368" s="342"/>
      <c r="AF1368" s="342"/>
      <c r="AG1368" s="342"/>
      <c r="AH1368" s="342"/>
      <c r="AI1368" s="342"/>
      <c r="AJ1368" s="342"/>
      <c r="AK1368" s="342"/>
      <c r="AL1368" s="342"/>
      <c r="AM1368" s="342"/>
      <c r="AN1368" s="342"/>
      <c r="AO1368" s="662"/>
      <c r="AP1368" s="662"/>
      <c r="AQ1368" s="772"/>
      <c r="AR1368" s="772"/>
      <c r="AS1368" s="772"/>
      <c r="AT1368" s="772"/>
      <c r="AU1368" s="772"/>
      <c r="AV1368" s="772"/>
      <c r="AW1368" s="772"/>
      <c r="AX1368" s="772"/>
      <c r="AY1368" s="772"/>
      <c r="AZ1368" s="772"/>
      <c r="BA1368" s="772"/>
      <c r="BB1368" s="772"/>
      <c r="BC1368" s="772"/>
      <c r="BD1368" s="772"/>
      <c r="BE1368" s="772"/>
      <c r="BF1368" s="360"/>
    </row>
    <row r="1369" customFormat="false" ht="14.15" hidden="true" customHeight="true" outlineLevel="1" collapsed="false">
      <c r="A1369" s="479"/>
      <c r="B1369" s="477"/>
      <c r="C1369" s="522"/>
      <c r="D1369" s="479"/>
      <c r="G1369" s="666"/>
      <c r="H1369" s="600"/>
      <c r="I1369" s="600"/>
      <c r="J1369" s="600"/>
      <c r="K1369" s="600"/>
      <c r="L1369" s="600"/>
      <c r="M1369" s="600"/>
      <c r="N1369" s="600"/>
      <c r="O1369" s="600"/>
      <c r="P1369" s="600"/>
      <c r="Q1369" s="600"/>
      <c r="R1369" s="342"/>
      <c r="S1369" s="342"/>
      <c r="T1369" s="342"/>
      <c r="U1369" s="342"/>
      <c r="V1369" s="342"/>
      <c r="W1369" s="342"/>
      <c r="X1369" s="342"/>
      <c r="Y1369" s="342"/>
      <c r="Z1369" s="342"/>
      <c r="AA1369" s="342"/>
      <c r="AB1369" s="342"/>
      <c r="AC1369" s="342"/>
      <c r="AD1369" s="342"/>
      <c r="AE1369" s="342"/>
      <c r="AF1369" s="342"/>
      <c r="AG1369" s="342"/>
      <c r="AH1369" s="342"/>
      <c r="AI1369" s="342"/>
      <c r="AJ1369" s="342"/>
      <c r="AK1369" s="342"/>
      <c r="AL1369" s="342"/>
      <c r="AM1369" s="342"/>
      <c r="AN1369" s="778"/>
      <c r="AO1369" s="779"/>
      <c r="AP1369" s="779"/>
      <c r="AQ1369" s="780"/>
      <c r="AR1369" s="780"/>
      <c r="AS1369" s="780"/>
      <c r="AT1369" s="780"/>
      <c r="AU1369" s="780"/>
      <c r="AV1369" s="780"/>
      <c r="AW1369" s="780"/>
      <c r="AX1369" s="780"/>
      <c r="AY1369" s="780"/>
      <c r="AZ1369" s="780"/>
      <c r="BA1369" s="780"/>
      <c r="BB1369" s="780"/>
      <c r="BC1369" s="780"/>
      <c r="BD1369" s="780"/>
      <c r="BE1369" s="780"/>
    </row>
    <row r="1370" customFormat="false" ht="15.75" hidden="true" customHeight="true" outlineLevel="1" collapsed="false">
      <c r="A1370" s="265" t="s">
        <v>2525</v>
      </c>
      <c r="B1370" s="404" t="s">
        <v>1796</v>
      </c>
      <c r="C1370" s="644" t="n">
        <v>5000</v>
      </c>
      <c r="D1370" s="479"/>
      <c r="G1370" s="666"/>
      <c r="H1370" s="600"/>
      <c r="I1370" s="600"/>
      <c r="J1370" s="600"/>
      <c r="K1370" s="600"/>
      <c r="L1370" s="600"/>
      <c r="M1370" s="600"/>
      <c r="N1370" s="600"/>
      <c r="O1370" s="600"/>
      <c r="P1370" s="342"/>
      <c r="Q1370" s="342"/>
      <c r="R1370" s="342"/>
      <c r="S1370" s="342"/>
      <c r="T1370" s="342"/>
      <c r="U1370" s="342"/>
      <c r="V1370" s="342"/>
      <c r="W1370" s="342"/>
      <c r="X1370" s="342"/>
      <c r="Y1370" s="342"/>
      <c r="Z1370" s="342"/>
      <c r="AA1370" s="342"/>
      <c r="AB1370" s="342"/>
      <c r="AC1370" s="342"/>
      <c r="AD1370" s="342"/>
      <c r="AE1370" s="342"/>
      <c r="AF1370" s="342"/>
      <c r="AG1370" s="342"/>
      <c r="AH1370" s="342"/>
      <c r="AI1370" s="342"/>
      <c r="AJ1370" s="342"/>
      <c r="AK1370" s="342"/>
      <c r="AL1370" s="342"/>
      <c r="AM1370" s="342"/>
      <c r="AN1370" s="778"/>
      <c r="AO1370" s="779"/>
      <c r="AP1370" s="779"/>
      <c r="AQ1370" s="780"/>
      <c r="AR1370" s="780"/>
      <c r="AS1370" s="780"/>
      <c r="AT1370" s="780"/>
      <c r="AU1370" s="780"/>
      <c r="AV1370" s="780"/>
      <c r="AW1370" s="780"/>
      <c r="AX1370" s="780"/>
      <c r="AY1370" s="780"/>
      <c r="AZ1370" s="780"/>
      <c r="BA1370" s="780"/>
      <c r="BB1370" s="780"/>
      <c r="BC1370" s="780"/>
      <c r="BD1370" s="780"/>
      <c r="BE1370" s="780"/>
    </row>
    <row r="1371" customFormat="false" ht="14.15" hidden="true" customHeight="true" outlineLevel="1" collapsed="false">
      <c r="A1371" s="479"/>
      <c r="B1371" s="477"/>
      <c r="C1371" s="479"/>
      <c r="D1371" s="479"/>
      <c r="G1371" s="666"/>
      <c r="H1371" s="600"/>
      <c r="I1371" s="600"/>
      <c r="J1371" s="600"/>
      <c r="K1371" s="600"/>
      <c r="L1371" s="600"/>
      <c r="M1371" s="600"/>
      <c r="N1371" s="600"/>
      <c r="O1371" s="600"/>
      <c r="P1371" s="342"/>
      <c r="Q1371" s="342"/>
      <c r="R1371" s="342"/>
      <c r="S1371" s="342"/>
      <c r="T1371" s="342"/>
      <c r="U1371" s="342"/>
      <c r="V1371" s="342"/>
      <c r="W1371" s="342"/>
      <c r="X1371" s="342"/>
      <c r="Y1371" s="342"/>
      <c r="Z1371" s="342"/>
      <c r="AA1371" s="342"/>
      <c r="AB1371" s="342"/>
      <c r="AC1371" s="342"/>
      <c r="AD1371" s="342"/>
      <c r="AE1371" s="342"/>
      <c r="AF1371" s="342"/>
      <c r="AG1371" s="342"/>
      <c r="AH1371" s="342"/>
      <c r="AI1371" s="342"/>
      <c r="AJ1371" s="342"/>
      <c r="AK1371" s="342"/>
      <c r="AL1371" s="342"/>
      <c r="AM1371" s="342"/>
      <c r="AN1371" s="778"/>
      <c r="AO1371" s="779"/>
      <c r="AP1371" s="779"/>
      <c r="AQ1371" s="780"/>
      <c r="AR1371" s="780"/>
      <c r="AS1371" s="780"/>
      <c r="AT1371" s="780"/>
      <c r="AU1371" s="780"/>
      <c r="AV1371" s="780"/>
      <c r="AW1371" s="780"/>
      <c r="AX1371" s="780"/>
      <c r="AY1371" s="780"/>
      <c r="AZ1371" s="780"/>
      <c r="BA1371" s="780"/>
      <c r="BB1371" s="780"/>
      <c r="BC1371" s="780"/>
      <c r="BD1371" s="780"/>
      <c r="BE1371" s="780"/>
    </row>
    <row r="1372" customFormat="false" ht="14.15" hidden="false" customHeight="true" outlineLevel="0" collapsed="false">
      <c r="A1372" s="872" t="s">
        <v>2526</v>
      </c>
      <c r="B1372" s="872"/>
      <c r="C1372" s="872"/>
      <c r="D1372" s="872"/>
      <c r="E1372" s="872"/>
      <c r="F1372" s="631" t="s">
        <v>1798</v>
      </c>
      <c r="H1372" s="625"/>
      <c r="I1372" s="625"/>
      <c r="J1372" s="625"/>
      <c r="K1372" s="625"/>
      <c r="L1372" s="625"/>
      <c r="M1372" s="600"/>
      <c r="N1372" s="600"/>
      <c r="O1372" s="600"/>
      <c r="P1372" s="342"/>
      <c r="Q1372" s="358"/>
      <c r="R1372" s="342"/>
      <c r="S1372" s="342"/>
      <c r="T1372" s="342"/>
      <c r="U1372" s="342"/>
      <c r="V1372" s="342"/>
      <c r="W1372" s="342"/>
      <c r="X1372" s="342"/>
      <c r="Y1372" s="342"/>
      <c r="Z1372" s="342"/>
      <c r="AA1372" s="342"/>
      <c r="AB1372" s="342"/>
      <c r="AC1372" s="342"/>
      <c r="AD1372" s="342"/>
      <c r="AE1372" s="342"/>
      <c r="AF1372" s="342"/>
      <c r="AG1372" s="342"/>
      <c r="AH1372" s="342"/>
      <c r="AI1372" s="342"/>
      <c r="AJ1372" s="342"/>
      <c r="AK1372" s="342"/>
      <c r="AL1372" s="342"/>
      <c r="AM1372" s="342"/>
      <c r="AN1372" s="778"/>
      <c r="AO1372" s="779"/>
      <c r="AP1372" s="779"/>
      <c r="AQ1372" s="780"/>
      <c r="AR1372" s="780"/>
      <c r="AS1372" s="780"/>
      <c r="AT1372" s="780"/>
      <c r="AU1372" s="780"/>
      <c r="AV1372" s="388" t="n">
        <f aca="false">M1372</f>
        <v>0</v>
      </c>
      <c r="AW1372" s="780"/>
      <c r="AX1372" s="780"/>
      <c r="AY1372" s="780"/>
      <c r="AZ1372" s="780"/>
      <c r="BA1372" s="780"/>
      <c r="BB1372" s="780"/>
      <c r="BC1372" s="780"/>
      <c r="BD1372" s="780"/>
      <c r="BE1372" s="780"/>
    </row>
    <row r="1373" customFormat="false" ht="14.15" hidden="false" customHeight="true" outlineLevel="0" collapsed="false">
      <c r="A1373" s="358"/>
      <c r="B1373" s="371"/>
      <c r="C1373" s="358"/>
      <c r="D1373" s="358"/>
      <c r="E1373" s="358"/>
      <c r="F1373" s="358"/>
      <c r="G1373" s="358"/>
      <c r="H1373" s="358"/>
      <c r="I1373" s="358"/>
      <c r="J1373" s="358"/>
      <c r="K1373" s="358"/>
      <c r="L1373" s="358"/>
      <c r="M1373" s="358"/>
      <c r="N1373" s="358"/>
      <c r="O1373" s="358"/>
      <c r="P1373" s="358"/>
      <c r="Q1373" s="358"/>
      <c r="R1373" s="358"/>
      <c r="S1373" s="358"/>
      <c r="T1373" s="358"/>
      <c r="U1373" s="358"/>
      <c r="V1373" s="358"/>
      <c r="W1373" s="358"/>
      <c r="X1373" s="358"/>
      <c r="Y1373" s="358"/>
      <c r="Z1373" s="358"/>
      <c r="AA1373" s="358"/>
      <c r="AB1373" s="358"/>
      <c r="AC1373" s="358"/>
      <c r="AD1373" s="358"/>
      <c r="AE1373" s="358"/>
      <c r="AF1373" s="358"/>
      <c r="AG1373" s="358"/>
      <c r="AH1373" s="358"/>
      <c r="AI1373" s="358"/>
      <c r="AJ1373" s="358"/>
      <c r="AK1373" s="358"/>
      <c r="AL1373" s="358"/>
      <c r="AM1373" s="358"/>
      <c r="AN1373" s="347"/>
      <c r="AO1373" s="351"/>
      <c r="AP1373" s="351"/>
      <c r="AQ1373" s="335"/>
      <c r="AR1373" s="335"/>
      <c r="AS1373" s="335"/>
      <c r="AT1373" s="335"/>
      <c r="AU1373" s="335"/>
      <c r="AV1373" s="335"/>
      <c r="AW1373" s="335"/>
      <c r="AX1373" s="335"/>
      <c r="AY1373" s="335"/>
      <c r="AZ1373" s="335"/>
      <c r="BA1373" s="335"/>
      <c r="BB1373" s="335"/>
      <c r="BC1373" s="335"/>
      <c r="BD1373" s="335"/>
      <c r="BE1373" s="335"/>
    </row>
    <row r="1500" customFormat="false" ht="14.15" hidden="false" customHeight="true" outlineLevel="0" collapsed="false">
      <c r="A1500" s="875" t="s">
        <v>1659</v>
      </c>
    </row>
    <row r="1501" customFormat="false" ht="14.15" hidden="false" customHeight="true" outlineLevel="0" collapsed="false">
      <c r="A1501" s="84" t="s">
        <v>2527</v>
      </c>
      <c r="B1501" s="768" t="n">
        <v>100</v>
      </c>
      <c r="C1501" s="355"/>
    </row>
    <row r="1502" customFormat="false" ht="14.15" hidden="false" customHeight="true" outlineLevel="0" collapsed="false">
      <c r="A1502" s="207" t="s">
        <v>1660</v>
      </c>
      <c r="B1502" s="768"/>
      <c r="C1502" s="355"/>
    </row>
    <row r="1503" customFormat="false" ht="14.15" hidden="false" customHeight="true" outlineLevel="0" collapsed="false">
      <c r="A1503" s="876" t="s">
        <v>1666</v>
      </c>
      <c r="B1503" s="768" t="n">
        <v>1100</v>
      </c>
      <c r="C1503" s="355" t="s">
        <v>2425</v>
      </c>
    </row>
    <row r="1504" customFormat="false" ht="14.15" hidden="false" customHeight="true" outlineLevel="0" collapsed="false">
      <c r="A1504" s="370" t="s">
        <v>2528</v>
      </c>
      <c r="B1504" s="768"/>
      <c r="C1504" s="355"/>
    </row>
    <row r="1505" customFormat="false" ht="14.15" hidden="false" customHeight="true" outlineLevel="0" collapsed="false">
      <c r="A1505" s="877" t="s">
        <v>1699</v>
      </c>
      <c r="B1505" s="768"/>
      <c r="C1505" s="355"/>
    </row>
    <row r="1506" customFormat="false" ht="14.15" hidden="false" customHeight="true" outlineLevel="0" collapsed="false">
      <c r="A1506" s="207" t="s">
        <v>2529</v>
      </c>
      <c r="B1506" s="768"/>
      <c r="C1506" s="355"/>
    </row>
    <row r="1507" customFormat="false" ht="14.15" hidden="false" customHeight="true" outlineLevel="0" collapsed="false">
      <c r="A1507" s="877" t="s">
        <v>2530</v>
      </c>
      <c r="B1507" s="768"/>
      <c r="C1507" s="355"/>
    </row>
    <row r="1508" customFormat="false" ht="14.15" hidden="false" customHeight="true" outlineLevel="0" collapsed="false">
      <c r="A1508" s="878" t="s">
        <v>1707</v>
      </c>
      <c r="B1508" s="768"/>
      <c r="C1508" s="355"/>
    </row>
    <row r="1509" customFormat="false" ht="14.15" hidden="false" customHeight="true" outlineLevel="0" collapsed="false">
      <c r="A1509" s="877" t="s">
        <v>2531</v>
      </c>
      <c r="B1509" s="768"/>
      <c r="C1509" s="355"/>
    </row>
    <row r="1510" customFormat="false" ht="14.15" hidden="false" customHeight="true" outlineLevel="0" collapsed="false">
      <c r="A1510" s="84" t="s">
        <v>2532</v>
      </c>
      <c r="B1510" s="879" t="n">
        <v>2.5</v>
      </c>
      <c r="C1510" s="355"/>
    </row>
    <row r="1511" customFormat="false" ht="14.15" hidden="false" customHeight="true" outlineLevel="0" collapsed="false">
      <c r="A1511" s="84" t="s">
        <v>1744</v>
      </c>
      <c r="B1511" s="880" t="s">
        <v>493</v>
      </c>
    </row>
    <row r="1512" customFormat="false" ht="14.15" hidden="false" customHeight="true" outlineLevel="0" collapsed="false">
      <c r="A1512" s="84" t="s">
        <v>2533</v>
      </c>
      <c r="B1512" s="880" t="s">
        <v>2534</v>
      </c>
    </row>
    <row r="1513" customFormat="false" ht="14.15" hidden="false" customHeight="true" outlineLevel="0" collapsed="false">
      <c r="A1513" s="207" t="s">
        <v>1720</v>
      </c>
      <c r="B1513" s="880" t="s">
        <v>2535</v>
      </c>
    </row>
    <row r="1514" customFormat="false" ht="14.15" hidden="false" customHeight="true" outlineLevel="0" collapsed="false">
      <c r="A1514" s="207" t="s">
        <v>1721</v>
      </c>
      <c r="B1514" s="880" t="s">
        <v>493</v>
      </c>
    </row>
    <row r="1515" customFormat="false" ht="14.15" hidden="false" customHeight="true" outlineLevel="0" collapsed="false">
      <c r="A1515" s="84" t="s">
        <v>1722</v>
      </c>
      <c r="B1515" s="881" t="s">
        <v>1724</v>
      </c>
    </row>
    <row r="1516" customFormat="false" ht="14.15" hidden="false" customHeight="true" outlineLevel="0" collapsed="false">
      <c r="A1516" s="882" t="s">
        <v>1726</v>
      </c>
      <c r="B1516" s="768"/>
    </row>
    <row r="1517" customFormat="false" ht="14.15" hidden="false" customHeight="true" outlineLevel="0" collapsed="false">
      <c r="A1517" s="877" t="s">
        <v>1727</v>
      </c>
      <c r="B1517" s="768"/>
    </row>
    <row r="1518" customFormat="false" ht="14.15" hidden="false" customHeight="true" outlineLevel="0" collapsed="false">
      <c r="A1518" s="207" t="s">
        <v>2536</v>
      </c>
      <c r="B1518" s="883" t="n">
        <v>1</v>
      </c>
    </row>
    <row r="1519" customFormat="false" ht="14.15" hidden="false" customHeight="true" outlineLevel="0" collapsed="false">
      <c r="A1519" s="84" t="s">
        <v>2537</v>
      </c>
      <c r="B1519" s="879" t="n">
        <v>3.5</v>
      </c>
    </row>
    <row r="1520" customFormat="false" ht="14.15" hidden="false" customHeight="true" outlineLevel="0" collapsed="false">
      <c r="A1520" s="84" t="s">
        <v>2538</v>
      </c>
      <c r="B1520" s="880" t="s">
        <v>493</v>
      </c>
    </row>
    <row r="1521" customFormat="false" ht="14.15" hidden="false" customHeight="true" outlineLevel="0" collapsed="false">
      <c r="A1521" s="84" t="s">
        <v>1732</v>
      </c>
      <c r="B1521" s="881" t="s">
        <v>1734</v>
      </c>
    </row>
    <row r="1522" customFormat="false" ht="14.15" hidden="false" customHeight="true" outlineLevel="0" collapsed="false">
      <c r="A1522" s="84" t="s">
        <v>2539</v>
      </c>
      <c r="B1522" s="879" t="n">
        <v>1</v>
      </c>
    </row>
    <row r="1523" customFormat="false" ht="14.15" hidden="false" customHeight="true" outlineLevel="0" collapsed="false">
      <c r="A1523" s="84" t="s">
        <v>1736</v>
      </c>
      <c r="B1523" s="881" t="s">
        <v>1735</v>
      </c>
    </row>
    <row r="1524" customFormat="false" ht="14.15" hidden="false" customHeight="true" outlineLevel="0" collapsed="false">
      <c r="A1524" s="312" t="s">
        <v>2540</v>
      </c>
      <c r="B1524" s="768"/>
    </row>
    <row r="1525" customFormat="false" ht="14.15" hidden="false" customHeight="true" outlineLevel="0" collapsed="false">
      <c r="A1525" s="312" t="s">
        <v>2541</v>
      </c>
      <c r="B1525" s="768"/>
    </row>
    <row r="1528" customFormat="false" ht="14.15" hidden="false" customHeight="true" outlineLevel="0" collapsed="false">
      <c r="A1528" s="314" t="s">
        <v>1737</v>
      </c>
      <c r="B1528" s="802" t="s">
        <v>2542</v>
      </c>
    </row>
    <row r="1529" customFormat="false" ht="14.15" hidden="false" customHeight="true" outlineLevel="0" collapsed="false">
      <c r="A1529" s="84" t="s">
        <v>1738</v>
      </c>
      <c r="B1529" s="802"/>
    </row>
    <row r="1530" customFormat="false" ht="14.15" hidden="false" customHeight="true" outlineLevel="0" collapsed="false">
      <c r="A1530" s="84" t="s">
        <v>1739</v>
      </c>
      <c r="B1530" s="802"/>
    </row>
    <row r="1531" customFormat="false" ht="14.15" hidden="false" customHeight="true" outlineLevel="0" collapsed="false">
      <c r="A1531" s="84" t="s">
        <v>1740</v>
      </c>
      <c r="B1531" s="802"/>
    </row>
    <row r="1532" customFormat="false" ht="14.15" hidden="false" customHeight="true" outlineLevel="0" collapsed="false">
      <c r="A1532" s="84" t="s">
        <v>1741</v>
      </c>
      <c r="B1532" s="802"/>
    </row>
    <row r="1533" customFormat="false" ht="14.15" hidden="false" customHeight="true" outlineLevel="0" collapsed="false">
      <c r="A1533" s="84" t="s">
        <v>1742</v>
      </c>
      <c r="B1533" s="802"/>
    </row>
    <row r="1534" customFormat="false" ht="14.15" hidden="false" customHeight="true" outlineLevel="0" collapsed="false">
      <c r="A1534" s="84" t="s">
        <v>1743</v>
      </c>
      <c r="B1534" s="802"/>
    </row>
    <row r="1535" customFormat="false" ht="14.15" hidden="false" customHeight="true" outlineLevel="0" collapsed="false">
      <c r="A1535" s="84" t="s">
        <v>1744</v>
      </c>
      <c r="B1535" s="802"/>
    </row>
  </sheetData>
  <mergeCells count="255">
    <mergeCell ref="D1:AA2"/>
    <mergeCell ref="AB1:AK2"/>
    <mergeCell ref="A20:C20"/>
    <mergeCell ref="A28:C28"/>
    <mergeCell ref="A64:E64"/>
    <mergeCell ref="H66:AB67"/>
    <mergeCell ref="A67:E67"/>
    <mergeCell ref="AC67:AE67"/>
    <mergeCell ref="Z68:AB68"/>
    <mergeCell ref="H69:Y69"/>
    <mergeCell ref="Z69:AB69"/>
    <mergeCell ref="H70:V70"/>
    <mergeCell ref="W70:Y70"/>
    <mergeCell ref="Z70:AB70"/>
    <mergeCell ref="AC70:AE70"/>
    <mergeCell ref="H71:V71"/>
    <mergeCell ref="W71:Y71"/>
    <mergeCell ref="Z71:AB71"/>
    <mergeCell ref="H72:V72"/>
    <mergeCell ref="W72:Y72"/>
    <mergeCell ref="Z72:AB72"/>
    <mergeCell ref="H73:V73"/>
    <mergeCell ref="W73:Y73"/>
    <mergeCell ref="Z73:AB73"/>
    <mergeCell ref="H74:V74"/>
    <mergeCell ref="W74:Y74"/>
    <mergeCell ref="Z74:AB74"/>
    <mergeCell ref="A76:E76"/>
    <mergeCell ref="H76:V76"/>
    <mergeCell ref="W76:Y76"/>
    <mergeCell ref="Z76:AB76"/>
    <mergeCell ref="H77:V77"/>
    <mergeCell ref="W77:Y77"/>
    <mergeCell ref="Z77:AB77"/>
    <mergeCell ref="H78:V78"/>
    <mergeCell ref="W78:Y78"/>
    <mergeCell ref="Z78:AB78"/>
    <mergeCell ref="H79:V79"/>
    <mergeCell ref="W79:Y79"/>
    <mergeCell ref="Z79:AB79"/>
    <mergeCell ref="H80:V80"/>
    <mergeCell ref="W80:Y80"/>
    <mergeCell ref="Z80:AB80"/>
    <mergeCell ref="H81:V81"/>
    <mergeCell ref="W81:Y81"/>
    <mergeCell ref="Z81:AB81"/>
    <mergeCell ref="H82:V82"/>
    <mergeCell ref="W82:Y82"/>
    <mergeCell ref="Z82:AB82"/>
    <mergeCell ref="H83:V83"/>
    <mergeCell ref="W83:Y83"/>
    <mergeCell ref="Z83:AB83"/>
    <mergeCell ref="H84:V84"/>
    <mergeCell ref="W84:Y84"/>
    <mergeCell ref="Z84:AB84"/>
    <mergeCell ref="H85:V85"/>
    <mergeCell ref="W85:Y85"/>
    <mergeCell ref="Z85:AB85"/>
    <mergeCell ref="H86:AB86"/>
    <mergeCell ref="H87:V87"/>
    <mergeCell ref="W87:Y87"/>
    <mergeCell ref="Z87:AB87"/>
    <mergeCell ref="H88:V88"/>
    <mergeCell ref="W88:Y88"/>
    <mergeCell ref="Z88:AB88"/>
    <mergeCell ref="A90:E90"/>
    <mergeCell ref="H90:V90"/>
    <mergeCell ref="W90:Y90"/>
    <mergeCell ref="Z90:AB90"/>
    <mergeCell ref="A94:E94"/>
    <mergeCell ref="A98:E98"/>
    <mergeCell ref="A102:E102"/>
    <mergeCell ref="A106:E106"/>
    <mergeCell ref="E108:F110"/>
    <mergeCell ref="H108:AG110"/>
    <mergeCell ref="A112:A115"/>
    <mergeCell ref="A116:A119"/>
    <mergeCell ref="A120:A123"/>
    <mergeCell ref="A124:A127"/>
    <mergeCell ref="A128:A131"/>
    <mergeCell ref="A132:A135"/>
    <mergeCell ref="A136:A139"/>
    <mergeCell ref="H139:O142"/>
    <mergeCell ref="R139:X142"/>
    <mergeCell ref="Z139:AG142"/>
    <mergeCell ref="A140:A143"/>
    <mergeCell ref="H144:AG145"/>
    <mergeCell ref="A146:E146"/>
    <mergeCell ref="A148:E148"/>
    <mergeCell ref="M148:AF149"/>
    <mergeCell ref="A150:D150"/>
    <mergeCell ref="A151:D151"/>
    <mergeCell ref="A154:A155"/>
    <mergeCell ref="F161:F164"/>
    <mergeCell ref="A165:A166"/>
    <mergeCell ref="A167:A168"/>
    <mergeCell ref="F177:F180"/>
    <mergeCell ref="A194:E194"/>
    <mergeCell ref="A196:E196"/>
    <mergeCell ref="M196:AF197"/>
    <mergeCell ref="A198:D198"/>
    <mergeCell ref="A199:D199"/>
    <mergeCell ref="A211:A212"/>
    <mergeCell ref="A237:E237"/>
    <mergeCell ref="A239:E239"/>
    <mergeCell ref="J239:AC240"/>
    <mergeCell ref="A240:D240"/>
    <mergeCell ref="A241:D241"/>
    <mergeCell ref="A273:E273"/>
    <mergeCell ref="A275:E275"/>
    <mergeCell ref="J275:AC276"/>
    <mergeCell ref="A277:D277"/>
    <mergeCell ref="A278:D278"/>
    <mergeCell ref="A312:E312"/>
    <mergeCell ref="A314:E314"/>
    <mergeCell ref="I314:AC315"/>
    <mergeCell ref="A316:D316"/>
    <mergeCell ref="A317:D317"/>
    <mergeCell ref="K318:N321"/>
    <mergeCell ref="AA325:AD328"/>
    <mergeCell ref="W334:X334"/>
    <mergeCell ref="W335:X335"/>
    <mergeCell ref="A353:E353"/>
    <mergeCell ref="A355:E355"/>
    <mergeCell ref="I355:AG356"/>
    <mergeCell ref="A357:D357"/>
    <mergeCell ref="A358:D358"/>
    <mergeCell ref="B360:B362"/>
    <mergeCell ref="B364:B366"/>
    <mergeCell ref="B368:B370"/>
    <mergeCell ref="B372:B374"/>
    <mergeCell ref="C376:F376"/>
    <mergeCell ref="A386:F386"/>
    <mergeCell ref="A416:E416"/>
    <mergeCell ref="A418:E418"/>
    <mergeCell ref="K418:AG419"/>
    <mergeCell ref="A420:D420"/>
    <mergeCell ref="A421:D421"/>
    <mergeCell ref="AQ424:AR424"/>
    <mergeCell ref="AQ431:AR431"/>
    <mergeCell ref="A458:E458"/>
    <mergeCell ref="A460:E460"/>
    <mergeCell ref="I460:AE461"/>
    <mergeCell ref="A462:C462"/>
    <mergeCell ref="F467:F469"/>
    <mergeCell ref="K477:O479"/>
    <mergeCell ref="G478:H478"/>
    <mergeCell ref="A481:C481"/>
    <mergeCell ref="F488:F490"/>
    <mergeCell ref="A489:B490"/>
    <mergeCell ref="H495:K497"/>
    <mergeCell ref="F496:G496"/>
    <mergeCell ref="A512:E512"/>
    <mergeCell ref="A514:E514"/>
    <mergeCell ref="J514:AE515"/>
    <mergeCell ref="A516:D516"/>
    <mergeCell ref="A517:D517"/>
    <mergeCell ref="A519:C519"/>
    <mergeCell ref="E527:F531"/>
    <mergeCell ref="Z540:AA540"/>
    <mergeCell ref="U544:V545"/>
    <mergeCell ref="E557:F561"/>
    <mergeCell ref="A578:C578"/>
    <mergeCell ref="F583:F585"/>
    <mergeCell ref="H590:K592"/>
    <mergeCell ref="F591:G591"/>
    <mergeCell ref="A600:C600"/>
    <mergeCell ref="A617:E617"/>
    <mergeCell ref="A619:E619"/>
    <mergeCell ref="J619:AE620"/>
    <mergeCell ref="A621:D621"/>
    <mergeCell ref="A622:D622"/>
    <mergeCell ref="F631:G635"/>
    <mergeCell ref="F648:G652"/>
    <mergeCell ref="F666:G670"/>
    <mergeCell ref="A678:C678"/>
    <mergeCell ref="A693:E693"/>
    <mergeCell ref="A695:G696"/>
    <mergeCell ref="A697:D697"/>
    <mergeCell ref="A698:D698"/>
    <mergeCell ref="A714:E714"/>
    <mergeCell ref="M714:O714"/>
    <mergeCell ref="A716:G717"/>
    <mergeCell ref="C750:G750"/>
    <mergeCell ref="C751:E751"/>
    <mergeCell ref="C752:E752"/>
    <mergeCell ref="C753:E753"/>
    <mergeCell ref="A764:E764"/>
    <mergeCell ref="A766:G767"/>
    <mergeCell ref="A813:C813"/>
    <mergeCell ref="A822:E822"/>
    <mergeCell ref="A824:G825"/>
    <mergeCell ref="A826:D826"/>
    <mergeCell ref="A827:D827"/>
    <mergeCell ref="A836:A837"/>
    <mergeCell ref="A838:A839"/>
    <mergeCell ref="A841:A843"/>
    <mergeCell ref="A844:A845"/>
    <mergeCell ref="A890:E890"/>
    <mergeCell ref="A892:G893"/>
    <mergeCell ref="W895:AF895"/>
    <mergeCell ref="K896:O896"/>
    <mergeCell ref="J897:P897"/>
    <mergeCell ref="H898:R898"/>
    <mergeCell ref="A991:G991"/>
    <mergeCell ref="A993:G994"/>
    <mergeCell ref="A1018:G1018"/>
    <mergeCell ref="A1020:G1021"/>
    <mergeCell ref="D1031:I1031"/>
    <mergeCell ref="D1032:I1032"/>
    <mergeCell ref="D1033:I1033"/>
    <mergeCell ref="D1034:I1034"/>
    <mergeCell ref="D1035:I1035"/>
    <mergeCell ref="D1036:I1036"/>
    <mergeCell ref="D1037:I1037"/>
    <mergeCell ref="D1038:I1038"/>
    <mergeCell ref="D1039:I1039"/>
    <mergeCell ref="D1040:I1040"/>
    <mergeCell ref="D1050:I1050"/>
    <mergeCell ref="D1051:I1051"/>
    <mergeCell ref="D1052:I1052"/>
    <mergeCell ref="D1053:I1053"/>
    <mergeCell ref="D1054:I1054"/>
    <mergeCell ref="D1055:I1055"/>
    <mergeCell ref="E1057:J1057"/>
    <mergeCell ref="E1058:J1058"/>
    <mergeCell ref="E1059:J1059"/>
    <mergeCell ref="E1060:J1060"/>
    <mergeCell ref="E1061:J1061"/>
    <mergeCell ref="E1062:J1062"/>
    <mergeCell ref="A1067:G1067"/>
    <mergeCell ref="A1069:G1070"/>
    <mergeCell ref="B1088:C1088"/>
    <mergeCell ref="A1121:G1121"/>
    <mergeCell ref="A1123:G1124"/>
    <mergeCell ref="A1126:E1126"/>
    <mergeCell ref="A1146:E1146"/>
    <mergeCell ref="C1148:D1148"/>
    <mergeCell ref="A1154:E1154"/>
    <mergeCell ref="A1163:E1163"/>
    <mergeCell ref="A1165:G1166"/>
    <mergeCell ref="A1174:C1174"/>
    <mergeCell ref="A1216:E1216"/>
    <mergeCell ref="A1218:G1219"/>
    <mergeCell ref="A1262:E1262"/>
    <mergeCell ref="A1264:G1265"/>
    <mergeCell ref="A1294:E1294"/>
    <mergeCell ref="A1296:G1297"/>
    <mergeCell ref="A1310:E1310"/>
    <mergeCell ref="A1312:G1313"/>
    <mergeCell ref="A1325:E1325"/>
    <mergeCell ref="A1327:G1328"/>
    <mergeCell ref="A1352:E1352"/>
    <mergeCell ref="A1354:G1355"/>
    <mergeCell ref="A1372:E1372"/>
  </mergeCells>
  <dataValidations count="127">
    <dataValidation allowBlank="true" errorStyle="stop" operator="between" showDropDown="false" showErrorMessage="true" showInputMessage="true" sqref="A1173" type="list">
      <formula1>INDIRECT($A$1171)</formula1>
      <formula2>0</formula2>
    </dataValidation>
    <dataValidation allowBlank="true" errorStyle="stop" operator="between" showDropDown="false" showErrorMessage="true" showInputMessage="true" sqref="A531" type="list">
      <formula1>INDIRECT($A$529)</formula1>
      <formula2>0</formula2>
    </dataValidation>
    <dataValidation allowBlank="true" errorStyle="stop" operator="between" showDropDown="false" showErrorMessage="true" showInputMessage="true" sqref="A473" type="list">
      <formula1>INDIRECT($A$471)</formula1>
      <formula2>0</formula2>
    </dataValidation>
    <dataValidation allowBlank="true" errorStyle="stop" operator="between" showDropDown="false" showErrorMessage="true" showInputMessage="true" sqref="A663" type="list">
      <formula1>INDIRECT($A$661)</formula1>
      <formula2>0</formula2>
    </dataValidation>
    <dataValidation allowBlank="true" errorStyle="stop" operator="between" showDropDown="false" showErrorMessage="true" showInputMessage="true" sqref="F64 AC67 AC70 Z77:Z85 B155:C155 F194 F237 F273 F312 C325:D325 F353 F416 F458 H461:H462 D462 D481 C488 B491:B492 F512 G517 D519 B534:B536 D578 F617 B666:B668 F693 B704:B706 B708 F714 C739 C745 G751 G753 F764 C795 C797 C804 F822 C850 C859 C868 C878:C879 C882 F890 C985 C1013 C1062 C1116 F1126 F1146 F1154 C1185 C1191 C1193:C1194 C1203 C1205:C1206 F1216 C1224:C1225 C1227:C1229 C1231:C1232 C1234:C1236 C1238 C1241:C1242 C1249:C1254 F1262 F1294 F1310 C1317:C1318 F1325 C1337 C1343 F1352 C1360:C1365 F1372" type="list">
      <formula1>связи1!$A$2:$A$3</formula1>
      <formula2>0</formula2>
    </dataValidation>
    <dataValidation allowBlank="true" errorStyle="stop" operator="between" showDropDown="false" showErrorMessage="true" showInputMessage="true" sqref="A60:A62 H87:H88 A190:A191 A233:A234 A269:A270 A308:A309 A349:A350 A412:A413 A454:A455 A508:A509 A613:A614 A690:A691 A709:A711 A756:A760 A814:A818 A883:A886 A981:A982 A1009 A1057:A1058 A1110:A1112 A1142:A1143 A1150:A1151 A1158:A1159 A1211:A1212 A1257:A1258 A1290:A1291 A1306:A1307 A1321:A1322 A1347:A1348 A1367:A1368" type="list">
      <formula1>'Прайс лист'!$B$180:$B$194</formula1>
      <formula2>0</formula2>
    </dataValidation>
    <dataValidation allowBlank="true" errorStyle="stop" operator="between" showDropDown="false" showErrorMessage="true" showInputMessage="true" sqref="H71:H74" type="list">
      <formula1>'Прайс лист'!$B$1337:$B$1348</formula1>
      <formula2>0</formula2>
    </dataValidation>
    <dataValidation allowBlank="true" errorStyle="stop" operator="between" showDropDown="false" showErrorMessage="true" showInputMessage="true" sqref="A568 A654 A937 A1049 A1051 A1209" type="list">
      <formula1>связи1!$A$418:$A$421</formula1>
      <formula2>0</formula2>
    </dataValidation>
    <dataValidation allowBlank="true" errorStyle="stop" operator="between" showDropDown="false" showErrorMessage="true" showInputMessage="true" sqref="A39 A44 A55 A180 A224 A260 A299 A343 A406 A448 A572 A737 A751 A872 A877 A1037 A1039 A1106 A1176" type="list">
      <formula1>'Прайс лист'!$B$744:$B$782</formula1>
      <formula2>0</formula2>
    </dataValidation>
    <dataValidation allowBlank="true" errorStyle="stop" operator="between" showDropDown="false" showErrorMessage="true" showInputMessage="true" sqref="A40 A48 A56 A185 A229 A265 A304 A345 A408 A450 A574 A658 A1053 A1108" type="list">
      <formula1>'Прайс лист'!$B$793:$B$819</formula1>
      <formula2>0</formula2>
    </dataValidation>
    <dataValidation allowBlank="true" errorStyle="stop" operator="between" showDropDown="false" showErrorMessage="true" showInputMessage="true" sqref="C1009 C1059 C1255 C1349 C1369" type="list">
      <formula1>связи1!$F$29:$F$46</formula1>
      <formula2>0</formula2>
    </dataValidation>
    <dataValidation allowBlank="true" errorStyle="stop" operator="between" showDropDown="false" showErrorMessage="true" showInputMessage="true" sqref="A1331 A1338" type="list">
      <formula1>связи1!$A$74:$A$78</formula1>
      <formula2>0</formula2>
    </dataValidation>
    <dataValidation allowBlank="true" errorStyle="stop" operator="between" showDropDown="false" showErrorMessage="true" showInputMessage="true" sqref="A1332 A1339" type="list">
      <formula1>связи1!$A$79:$A$83</formula1>
      <formula2>0</formula2>
    </dataValidation>
    <dataValidation allowBlank="true" errorStyle="stop" operator="between" showDropDown="false" showErrorMessage="true" showInputMessage="true" sqref="A1333 A1340" type="list">
      <formula1>связи1!$A$84:$A$88</formula1>
      <formula2>0</formula2>
    </dataValidation>
    <dataValidation allowBlank="true" errorStyle="stop" operator="between" showDropDown="false" showErrorMessage="true" showInputMessage="true" sqref="A1334 A1341" type="list">
      <formula1>связи1!$A$89:$A$91</formula1>
      <formula2>0</formula2>
    </dataValidation>
    <dataValidation allowBlank="true" errorStyle="stop" operator="between" showDropDown="false" showErrorMessage="true" showInputMessage="true" sqref="A1302" type="list">
      <formula1>связи1!$A$69:$A$70</formula1>
      <formula2>0</formula2>
    </dataValidation>
    <dataValidation allowBlank="true" errorStyle="stop" operator="between" showDropDown="false" showErrorMessage="true" showInputMessage="true" sqref="A1272 A1276 A1280" type="list">
      <formula1>'Прайс лист'!$B$1207:$B$1212</formula1>
      <formula2>0</formula2>
    </dataValidation>
    <dataValidation allowBlank="true" errorStyle="stop" operator="between" showDropDown="false" showErrorMessage="true" showInputMessage="true" sqref="A955 A960 A1188" type="list">
      <formula1>'Прайс лист'!$B$1534:$B$1561</formula1>
      <formula2>0</formula2>
    </dataValidation>
    <dataValidation allowBlank="true" errorStyle="stop" operator="between" showDropDown="false" showErrorMessage="true" showInputMessage="true" sqref="A1239" type="list">
      <formula1>связи1!$H$13:$H$15</formula1>
      <formula2>0</formula2>
    </dataValidation>
    <dataValidation allowBlank="true" errorStyle="stop" operator="between" showDropDown="false" showErrorMessage="true" showInputMessage="true" sqref="A1226 A1233" type="list">
      <formula1>связи1!$H$8:$H$10</formula1>
      <formula2>0</formula2>
    </dataValidation>
    <dataValidation allowBlank="true" errorStyle="stop" operator="between" showDropDown="false" showErrorMessage="true" showInputMessage="true" sqref="A1237" type="list">
      <formula1>связи1!$H$18:$H$23</formula1>
      <formula2>0</formula2>
    </dataValidation>
    <dataValidation allowBlank="true" errorStyle="stop" operator="between" showDropDown="false" showErrorMessage="true" showInputMessage="true" sqref="A1195" type="list">
      <formula1>связи1!$A$28:$A$31</formula1>
      <formula2>0</formula2>
    </dataValidation>
    <dataValidation allowBlank="true" errorStyle="stop" operator="between" showDropDown="false" showErrorMessage="true" showInputMessage="true" sqref="A1207" type="list">
      <formula1>связи1!$H$3:$H$5</formula1>
      <formula2>0</formula2>
    </dataValidation>
    <dataValidation allowBlank="true" errorStyle="stop" operator="between" showDropDown="false" showErrorMessage="true" showInputMessage="true" sqref="A1230" type="list">
      <formula1>связи1!$H$26:$H$31</formula1>
      <formula2>0</formula2>
    </dataValidation>
    <dataValidation allowBlank="true" errorStyle="stop" operator="between" showDropDown="false" showErrorMessage="true" showInputMessage="true" sqref="A1246" type="list">
      <formula1>связи1!$H$34:$H$36</formula1>
      <formula2>0</formula2>
    </dataValidation>
    <dataValidation allowBlank="true" errorStyle="stop" operator="between" showDropDown="false" showErrorMessage="true" showInputMessage="true" sqref="A1247" type="list">
      <formula1>связи1!$H$40:$H$43</formula1>
      <formula2>0</formula2>
    </dataValidation>
    <dataValidation allowBlank="true" errorStyle="stop" operator="between" showDropDown="false" showErrorMessage="true" showInputMessage="true" sqref="A1248" type="list">
      <formula1>связи1!$H$46:$H$48</formula1>
      <formula2>0</formula2>
    </dataValidation>
    <dataValidation allowBlank="true" errorStyle="stop" operator="between" showDropDown="false" showErrorMessage="true" showInputMessage="true" sqref="A1178 A1197" type="list">
      <formula1>связи1!$A$443:$A$454</formula1>
      <formula2>0</formula2>
    </dataValidation>
    <dataValidation allowBlank="true" errorStyle="stop" operator="between" showDropDown="false" showErrorMessage="true" showInputMessage="true" sqref="A1180 A1199" type="list">
      <formula1>'Прайс лист'!$B$1505:$B$1516</formula1>
      <formula2>0</formula2>
    </dataValidation>
    <dataValidation allowBlank="true" errorStyle="stop" operator="between" showDropDown="false" showErrorMessage="true" showInputMessage="true" sqref="A1184 A1201" type="list">
      <formula1>'Прайс лист'!$B$1521:$B$1526</formula1>
      <formula2>0</formula2>
    </dataValidation>
    <dataValidation allowBlank="true" errorStyle="stop" operator="between" showDropDown="false" showErrorMessage="true" showInputMessage="true" sqref="A1186" type="list">
      <formula1>'Прайс лист'!$B$1531:$B$1533</formula1>
      <formula2>0</formula2>
    </dataValidation>
    <dataValidation allowBlank="true" errorStyle="stop" operator="between" showDropDown="false" showErrorMessage="true" showInputMessage="true" sqref="A1190" type="list">
      <formula1>'Прайс лист'!$B$1562:$B$1564</formula1>
      <formula2>0</formula2>
    </dataValidation>
    <dataValidation allowBlank="true" errorStyle="stop" operator="between" showDropDown="false" showErrorMessage="true" showInputMessage="true" sqref="A1171" type="list">
      <formula1>связи1!$A$18:$A$25</formula1>
      <formula2>0</formula2>
    </dataValidation>
    <dataValidation allowBlank="true" errorStyle="stop" operator="between" showDropDown="false" showErrorMessage="true" showInputMessage="true" sqref="A1096" type="list">
      <formula1>связи1!$A$315:$A$321</formula1>
      <formula2>0</formula2>
    </dataValidation>
    <dataValidation allowBlank="true" errorStyle="stop" operator="between" showDropDown="false" showErrorMessage="true" showInputMessage="true" sqref="A1098 A1100" type="list">
      <formula1>связи1!$A$356:$A$363</formula1>
      <formula2>0</formula2>
    </dataValidation>
    <dataValidation allowBlank="true" errorStyle="stop" operator="between" showDropDown="false" showErrorMessage="true" showInputMessage="true" sqref="A1102" type="list">
      <formula1>связи1!$A$365:$A$372</formula1>
      <formula2>0</formula2>
    </dataValidation>
    <dataValidation allowBlank="true" errorStyle="stop" operator="between" showDropDown="false" showErrorMessage="true" showInputMessage="true" sqref="A1104" type="list">
      <formula1>связи1!$A$374:$A$379</formula1>
      <formula2>0</formula2>
    </dataValidation>
    <dataValidation allowBlank="true" errorStyle="stop" operator="between" showDropDown="false" showErrorMessage="true" showInputMessage="true" sqref="A1075 A1077 A1079" type="list">
      <formula1>связи1!$A$255:$A$296</formula1>
      <formula2>0</formula2>
    </dataValidation>
    <dataValidation allowBlank="true" errorStyle="stop" operator="between" showDropDown="false" showErrorMessage="true" showInputMessage="true" sqref="A1082 A1084 A1086" type="list">
      <formula1>'Прайс лист'!$B$236:$B$253</formula1>
      <formula2>0</formula2>
    </dataValidation>
    <dataValidation allowBlank="true" errorStyle="stop" operator="between" showDropDown="false" showErrorMessage="true" showInputMessage="true" sqref="A1089 A1091 A1093" type="list">
      <formula1>'Прайс лист'!$B$978:$B$1025</formula1>
      <formula2>0</formula2>
    </dataValidation>
    <dataValidation allowBlank="true" errorStyle="stop" operator="between" showDropDown="false" showErrorMessage="true" showInputMessage="true" sqref="A1270" type="list">
      <formula1>связи1!$A$536:$A$537</formula1>
      <formula2>0</formula2>
    </dataValidation>
    <dataValidation allowBlank="true" errorStyle="stop" operator="between" showDropDown="false" showErrorMessage="true" showInputMessage="true" sqref="A1274 A1278 A1282" type="list">
      <formula1>'Прайс лист'!$B$1213:$B$1235</formula1>
      <formula2>0</formula2>
    </dataValidation>
    <dataValidation allowBlank="true" errorStyle="stop" operator="between" showDropDown="false" showErrorMessage="true" showInputMessage="true" sqref="A1285" type="list">
      <formula1>'Прайс лист'!$B$1245:$B$1249</formula1>
      <formula2>0</formula2>
    </dataValidation>
    <dataValidation allowBlank="true" errorStyle="stop" operator="between" showDropDown="false" showErrorMessage="true" showInputMessage="true" sqref="A1287" type="list">
      <formula1>'Прайс лист'!$B$1250:$B$1254</formula1>
      <formula2>0</formula2>
    </dataValidation>
    <dataValidation allowBlank="true" errorStyle="stop" operator="between" showDropDown="false" showErrorMessage="true" showInputMessage="true" sqref="A41 A49 A57 A187 A231 A267 A306 A347 A410 A452 A576 A1055" type="list">
      <formula1>'Прайс лист'!$B$820:$B$831</formula1>
      <formula2>0</formula2>
    </dataValidation>
    <dataValidation allowBlank="true" errorStyle="stop" operator="between" showDropDown="false" showErrorMessage="true" showInputMessage="true" sqref="A178 A222 A258 A297 A341 A404 A446 A497 A570 A590 A656 D1036:I1036 D1040:I1040 A1041 A1043 A1045 A1047 D1055:I1055 E1062:J1062" type="list">
      <formula1>'Прайс лист'!$B$1027:$B$1078</formula1>
      <formula2>0</formula2>
    </dataValidation>
    <dataValidation allowBlank="true" errorStyle="stop" operator="between" showDropDown="false" showErrorMessage="true" showInputMessage="true" sqref="A564 A650 A931 A933 A935" type="list">
      <formula1>связи1!$A$407:$A$416</formula1>
      <formula2>0</formula2>
    </dataValidation>
    <dataValidation allowBlank="true" errorStyle="stop" operator="between" showDropDown="false" showErrorMessage="true" showInputMessage="true" sqref="A566 A652" type="list">
      <formula1>связи1!$A$432:$A$440</formula1>
      <formula2>0</formula2>
    </dataValidation>
    <dataValidation allowBlank="true" errorStyle="stop" operator="between" showDropDown="false" showErrorMessage="true" showInputMessage="true" sqref="A157 A203 A245 A282 A320 A394 A436 A562 A648" type="list">
      <formula1>связи1!$A$6:$A$9</formula1>
      <formula2>0</formula2>
    </dataValidation>
    <dataValidation allowBlank="true" errorStyle="stop" operator="between" showDropDown="false" showErrorMessage="true" showInputMessage="true" sqref="A475" type="list">
      <formula1>связи1!$F$203:$F$213</formula1>
      <formula2>0</formula2>
    </dataValidation>
    <dataValidation allowBlank="true" errorStyle="stop" operator="between" showDropDown="false" showErrorMessage="true" showInputMessage="true" sqref="A499 A501 A503 A540 A542 A544 A546 A548 A550 A554 A592 A594 A596 A635 A637 A639 A643 A672 A674 A676 A899 A901 A903 A905" type="list">
      <formula1>'Прайс лист'!$B$333:$B$419</formula1>
      <formula2>0</formula2>
    </dataValidation>
    <dataValidation allowBlank="true" errorStyle="stop" operator="between" showDropDown="false" showErrorMessage="true" showInputMessage="true" sqref="C751:E751 A795 A878" type="list">
      <formula1>'Прайс лист'!$B$1083:$B$1091</formula1>
      <formula2>0</formula2>
    </dataValidation>
    <dataValidation allowBlank="true" errorStyle="stop" operator="between" showDropDown="false" showErrorMessage="true" showInputMessage="true" sqref="C753 A797 A879" type="list">
      <formula1>'Прайс лист'!$B$1092:$B$1099</formula1>
      <formula2>0</formula2>
    </dataValidation>
    <dataValidation allowBlank="true" errorStyle="stop" operator="between" showDropDown="false" showErrorMessage="true" showInputMessage="true" sqref="A799 A880" type="list">
      <formula1>'Прайс лист'!$B$1103:$B$1118</formula1>
      <formula2>0</formula2>
    </dataValidation>
    <dataValidation allowBlank="true" errorStyle="stop" operator="between" showDropDown="false" showErrorMessage="true" showInputMessage="true" sqref="A801 A881" type="list">
      <formula1>'Прайс лист'!$B$1124:$B$1127</formula1>
      <formula2>0</formula2>
    </dataValidation>
    <dataValidation allowBlank="true" errorStyle="stop" operator="between" showDropDown="false" showErrorMessage="true" showInputMessage="true" sqref="A830" type="list">
      <formula1>связи1!$F$22:$F$23</formula1>
      <formula2>0</formula2>
    </dataValidation>
    <dataValidation allowBlank="true" errorStyle="stop" operator="between" showDropDown="false" showErrorMessage="true" showInputMessage="true" sqref="A537 A669 A707" type="list">
      <formula1>'Прайс лист'!$B$969:$B$972</formula1>
      <formula2>0</formula2>
    </dataValidation>
    <dataValidation allowBlank="true" errorStyle="stop" operator="between" showDropDown="false" showErrorMessage="true" showInputMessage="true" sqref="A703" type="list">
      <formula1>связи1!$F$25:$F$26</formula1>
      <formula2>0</formula2>
    </dataValidation>
    <dataValidation allowBlank="true" errorStyle="stop" operator="between" showDropDown="false" showErrorMessage="true" showInputMessage="true" sqref="A701" type="list">
      <formula1>'Прайс лист'!$B$908:$B$968</formula1>
      <formula2>0</formula2>
    </dataValidation>
    <dataValidation allowBlank="true" errorStyle="stop" operator="between" showDropDown="false" showErrorMessage="true" showInputMessage="true" sqref="A732 A734 A788 A790 A792 A1137" type="list">
      <formula1>'Прайс лист'!$B$199:$B$210</formula1>
      <formula2>0</formula2>
    </dataValidation>
    <dataValidation allowBlank="true" errorStyle="stop" operator="between" showDropDown="false" showErrorMessage="true" showInputMessage="true" sqref="A730 A781" type="list">
      <formula1>'Прайс лист'!$B$291:$B$303</formula1>
      <formula2>0</formula2>
    </dataValidation>
    <dataValidation allowBlank="true" errorStyle="stop" operator="between" showDropDown="false" showErrorMessage="true" showInputMessage="true" sqref="A728 A743 A753 A783 A806 A1140" type="list">
      <formula1>'Прайс лист'!$B$225:$B$232</formula1>
      <formula2>0</formula2>
    </dataValidation>
    <dataValidation allowBlank="true" errorStyle="stop" operator="between" showDropDown="false" showErrorMessage="true" showInputMessage="true" sqref="A776" type="list">
      <formula1>связи1!$A$423:$A$430</formula1>
      <formula2>0</formula2>
    </dataValidation>
    <dataValidation allowBlank="true" errorStyle="stop" operator="between" showDropDown="false" showErrorMessage="true" showInputMessage="true" sqref="A601:A602 A679:A680" type="list">
      <formula1>'Прайс лист'!$B$837:$B$840</formula1>
      <formula2>0</formula2>
    </dataValidation>
    <dataValidation allowBlank="true" errorStyle="stop" operator="between" showDropDown="false" showErrorMessage="true" showInputMessage="true" sqref="A603:A604 A681:A682" type="list">
      <formula1>'Прайс лист'!$B$845:$B$848</formula1>
      <formula2>0</formula2>
    </dataValidation>
    <dataValidation allowBlank="true" errorStyle="stop" operator="between" showDropDown="false" showErrorMessage="true" showInputMessage="true" sqref="A605:A606 A683:A684" type="list">
      <formula1>'Прайс лист'!$B$858:$B$870</formula1>
      <formula2>0</formula2>
    </dataValidation>
    <dataValidation allowBlank="true" errorStyle="stop" operator="between" showDropDown="false" showErrorMessage="true" showInputMessage="true" sqref="A607:A608 A685:A686" type="list">
      <formula1>'Прайс лист'!$B$875:$B$881</formula1>
      <formula2>0</formula2>
    </dataValidation>
    <dataValidation allowBlank="true" errorStyle="stop" operator="between" showDropDown="false" showErrorMessage="true" showInputMessage="true" sqref="A609 A687" type="list">
      <formula1>'Прайс лист'!$B$888:$B$891</formula1>
      <formula2>0</formula2>
    </dataValidation>
    <dataValidation allowBlank="true" errorStyle="stop" operator="between" showDropDown="false" showErrorMessage="true" showInputMessage="true" sqref="A610 A688" type="list">
      <formula1>'Прайс лист'!$B$896:$B$898</formula1>
      <formula2>0</formula2>
    </dataValidation>
    <dataValidation allowBlank="true" errorStyle="stop" operator="between" showDropDown="false" showErrorMessage="true" showInputMessage="true" sqref="A505 A552 A598 A641" type="list">
      <formula1>'Прайс лист'!$B$420:$B$424</formula1>
      <formula2>0</formula2>
    </dataValidation>
    <dataValidation allowBlank="true" errorStyle="stop" operator="between" showDropDown="false" showErrorMessage="true" showInputMessage="true" sqref="A529 A661" type="list">
      <formula1>связи1!$A$479:$A$481</formula1>
      <formula2>0</formula2>
    </dataValidation>
    <dataValidation allowBlank="true" errorStyle="stop" operator="between" showDropDown="false" showErrorMessage="true" showInputMessage="true" sqref="A533 A665" type="list">
      <formula1>связи1!$A$483:$A$484</formula1>
      <formula2>0</formula2>
    </dataValidation>
    <dataValidation allowBlank="true" errorStyle="stop" operator="between" showDropDown="false" showErrorMessage="true" showInputMessage="true" sqref="A560 A646" type="list">
      <formula1>связи1!$A$105:$A$107</formula1>
      <formula2>0</formula2>
    </dataValidation>
    <dataValidation allowBlank="true" errorStyle="stop" operator="between" showDropDown="false" showErrorMessage="true" showInputMessage="true" sqref="A495 A588" type="list">
      <formula1>'Прайс лист'!$B$1389:$B$1392</formula1>
      <formula2>0</formula2>
    </dataValidation>
    <dataValidation allowBlank="true" errorStyle="stop" operator="between" showDropDown="false" showErrorMessage="true" showInputMessage="true" sqref="A471" type="list">
      <formula1>связи1!$A$456:$A$457</formula1>
      <formula2>0</formula2>
    </dataValidation>
    <dataValidation allowBlank="true" errorStyle="stop" operator="between" showDropDown="false" showErrorMessage="true" showInputMessage="true" sqref="A360 A364 A368 A372" type="list">
      <formula1>связи1!$A$105:$A$111</formula1>
      <formula2>0</formula2>
    </dataValidation>
    <dataValidation allowBlank="true" errorStyle="stop" operator="between" showDropDown="false" showErrorMessage="true" showInputMessage="true" sqref="A362 A366 A370 A374" type="list">
      <formula1>связи1!$A$120:$A$125</formula1>
      <formula2>0</formula2>
    </dataValidation>
    <dataValidation allowBlank="true" errorStyle="stop" operator="between" showDropDown="false" showErrorMessage="true" showInputMessage="true" sqref="A6 A361 A365 A369 A373" type="list">
      <formula1>связи1!$A$94:$A$98</formula1>
      <formula2>0</formula2>
    </dataValidation>
    <dataValidation allowBlank="true" errorStyle="stop" operator="between" showDropDown="false" showErrorMessage="true" showInputMessage="true" sqref="A33 A43 A51" type="list">
      <formula1>связи1!$A$200:$A$253</formula1>
      <formula2>0</formula2>
    </dataValidation>
    <dataValidation allowBlank="true" errorStyle="stop" operator="between" showDropDown="false" showErrorMessage="true" showInputMessage="true" sqref="D33 D43 D51:D54" type="list">
      <formula1>связи1!$A$399:$A$405</formula1>
      <formula2>0</formula2>
    </dataValidation>
    <dataValidation allowBlank="true" errorStyle="stop" operator="between" showDropDown="false" showErrorMessage="true" showInputMessage="true" sqref="A35" type="list">
      <formula1>связи1!$J$237:$J$252</formula1>
      <formula2>0</formula2>
    </dataValidation>
    <dataValidation allowBlank="true" errorStyle="stop" operator="between" showDropDown="false" showErrorMessage="true" showInputMessage="true" sqref="A27" type="list">
      <formula1>связи1!$A$132:$A$133</formula1>
      <formula2>0</formula2>
    </dataValidation>
    <dataValidation allowBlank="true" errorStyle="stop" operator="between" showDropDown="false" showErrorMessage="true" showInputMessage="true" sqref="A19" type="list">
      <formula1>связи1!$A$128:$A$129</formula1>
      <formula2>0</formula2>
    </dataValidation>
    <dataValidation allowBlank="true" errorStyle="stop" operator="between" showDropDown="false" showErrorMessage="true" showInputMessage="true" sqref="A8" type="list">
      <formula1>связи1!$A$149:$A$185</formula1>
      <formula2>0</formula2>
    </dataValidation>
    <dataValidation allowBlank="true" errorStyle="stop" operator="between" showDropDown="false" showErrorMessage="true" showInputMessage="true" sqref="A3" type="list">
      <formula1>связи1!$F$2:$F$3</formula1>
      <formula2>0</formula2>
    </dataValidation>
    <dataValidation allowBlank="true" errorStyle="stop" operator="between" showDropDown="false" showErrorMessage="true" showInputMessage="true" sqref="A968 A970" type="list">
      <formula1>'Прайс лист'!$B$717:$B$723</formula1>
      <formula2>0</formula2>
    </dataValidation>
    <dataValidation allowBlank="true" errorStyle="stop" operator="between" showDropDown="false" showErrorMessage="true" showInputMessage="true" sqref="A172 A216 A252 A291 A335 A398 A440 A1031 A1033 A1035" type="list">
      <formula1>связи1!$I$458:$I$488</formula1>
      <formula2>0</formula2>
    </dataValidation>
    <dataValidation allowBlank="true" errorStyle="stop" operator="between" showDropDown="false" showErrorMessage="true" showInputMessage="true" sqref="C1050:C1052" type="list">
      <formula1>связи1!$E$12:$E$23</formula1>
      <formula2>0</formula2>
    </dataValidation>
    <dataValidation allowBlank="true" errorStyle="stop" operator="between" showDropDown="false" showErrorMessage="true" showInputMessage="true" sqref="C1031:C1039" type="list">
      <formula1>связи1!$E$2:$E$9</formula1>
      <formula2>0</formula2>
    </dataValidation>
    <dataValidation allowBlank="true" errorStyle="stop" operator="between" showDropDown="false" showErrorMessage="true" showInputMessage="true" sqref="A999 A1026" type="list">
      <formula1>связи1!$A$204:$A$213</formula1>
      <formula2>0</formula2>
    </dataValidation>
    <dataValidation allowBlank="true" errorStyle="stop" operator="between" showDropDown="false" showErrorMessage="true" showInputMessage="true" sqref="A1001 A1003 A1005 A1007" type="list">
      <formula1>'Прайс лист'!$B$258:$B$270</formula1>
      <formula2>0</formula2>
    </dataValidation>
    <dataValidation allowBlank="true" errorStyle="stop" operator="between" showDropDown="false" showErrorMessage="true" showInputMessage="true" sqref="A965" type="list">
      <formula1>связи1!$A$539:$A$540</formula1>
      <formula2>0</formula2>
    </dataValidation>
    <dataValidation allowBlank="true" errorStyle="stop" operator="between" showDropDown="false" showErrorMessage="true" showInputMessage="true" sqref="A973" type="list">
      <formula1>связи1!$A$542:$A$543</formula1>
      <formula2>0</formula2>
    </dataValidation>
    <dataValidation allowBlank="true" errorStyle="stop" operator="between" showDropDown="false" showErrorMessage="true" showInputMessage="true" sqref="A976" type="list">
      <formula1>связи1!$A$545:$A$546</formula1>
      <formula2>0</formula2>
    </dataValidation>
    <dataValidation allowBlank="true" errorStyle="stop" operator="between" showDropDown="false" showErrorMessage="true" showInputMessage="true" sqref="A974:A975 A977:A978" type="list">
      <formula1>'Прайс лист'!$B$1478:$B$1486</formula1>
      <formula2>0</formula2>
    </dataValidation>
    <dataValidation allowBlank="true" errorStyle="stop" operator="between" showDropDown="false" showErrorMessage="true" showInputMessage="true" sqref="A940 A947" type="list">
      <formula1>связи1!$A$488:$A$493</formula1>
      <formula2>0</formula2>
    </dataValidation>
    <dataValidation allowBlank="true" errorStyle="stop" operator="between" showDropDown="false" showErrorMessage="true" showInputMessage="true" sqref="A943" type="list">
      <formula1>связи1!$A$459:$A$461</formula1>
      <formula2>0</formula2>
    </dataValidation>
    <dataValidation allowBlank="true" errorStyle="stop" operator="between" showDropDown="false" showErrorMessage="true" showInputMessage="true" sqref="A945" type="list">
      <formula1>связи1!$A$475:$A$476</formula1>
      <formula2>0</formula2>
    </dataValidation>
    <dataValidation allowBlank="true" errorStyle="stop" operator="between" showDropDown="false" showErrorMessage="true" showInputMessage="true" sqref="A950" type="list">
      <formula1>'Прайс лист'!$B$728:$B$737</formula1>
      <formula2>0</formula2>
    </dataValidation>
    <dataValidation allowBlank="true" errorStyle="stop" operator="between" showDropDown="false" showErrorMessage="true" showInputMessage="true" sqref="A920" type="list">
      <formula1>связи1!$A$99:$A$102</formula1>
      <formula2>0</formula2>
    </dataValidation>
    <dataValidation allowBlank="true" errorStyle="stop" operator="between" showDropDown="false" showErrorMessage="true" showInputMessage="true" sqref="A909 A911 A913 A915" type="list">
      <formula1>'Прайс лист'!$B$441:$B$528</formula1>
      <formula2>0</formula2>
    </dataValidation>
    <dataValidation allowBlank="true" errorStyle="stop" operator="between" showDropDown="false" showErrorMessage="true" showInputMessage="true" sqref="A37 A46 A53 A174 A218 A254 A293 A337 A400 A442" type="list">
      <formula1>связи1!$I$432:$I$452</formula1>
      <formula2>0</formula2>
    </dataValidation>
    <dataValidation allowBlank="true" errorStyle="stop" operator="between" showDropDown="false" showErrorMessage="true" showInputMessage="true" sqref="A38 A47 A54 A176 A220 A256 A295 A339 A402 A444 D1032:I1032 D1034:I1034 D1038:I1038 D1051:I1051 E1058:J1058" type="list">
      <formula1>связи1!$I$389:$I$413</formula1>
      <formula2>0</formula2>
    </dataValidation>
    <dataValidation allowBlank="true" errorStyle="stop" operator="between" showDropDown="false" showErrorMessage="true" showInputMessage="true" sqref="A159 A205 A247 A284 A322 A396 A438" type="list">
      <formula1>связи1!$F$203:$F$234</formula1>
      <formula2>0</formula2>
    </dataValidation>
    <dataValidation allowBlank="true" errorStyle="stop" operator="between" showDropDown="false" showErrorMessage="true" showInputMessage="true" sqref="A170 A214" type="list">
      <formula1>связи1!$A$571:$A$679</formula1>
      <formula2>0</formula2>
    </dataValidation>
    <dataValidation allowBlank="true" errorStyle="stop" operator="between" showDropDown="false" showErrorMessage="true" showInputMessage="true" sqref="D1053:I1053 E1060:J1060" type="list">
      <formula1>'Прайс лист'!$B$536:$B$552</formula1>
      <formula2>0</formula2>
    </dataValidation>
    <dataValidation allowBlank="true" errorStyle="stop" operator="between" showDropDown="false" showErrorMessage="true" showInputMessage="true" sqref="A1503" type="list">
      <formula1>связи1!$A$752:$A$787</formula1>
      <formula2>0</formula2>
    </dataValidation>
    <dataValidation allowBlank="true" errorStyle="stop" operator="between" showDropDown="false" showErrorMessage="true" showInputMessage="true" sqref="A1505" type="list">
      <formula1>связи1!$A$790:$A$796</formula1>
      <formula2>0</formula2>
    </dataValidation>
    <dataValidation allowBlank="true" errorStyle="stop" operator="between" showDropDown="false" showErrorMessage="true" showInputMessage="true" sqref="A1507" type="list">
      <formula1>связи1!$A$800:$A$803</formula1>
      <formula2>0</formula2>
    </dataValidation>
    <dataValidation allowBlank="true" errorStyle="stop" operator="between" showDropDown="false" showErrorMessage="true" showInputMessage="true" sqref="A1509" type="list">
      <formula1>связи1!$A$807:$A$816</formula1>
      <formula2>0</formula2>
    </dataValidation>
    <dataValidation allowBlank="true" errorStyle="stop" operator="between" showDropDown="false" showErrorMessage="true" showInputMessage="true" sqref="B1510" type="list">
      <formula1>связи1!$A$820:$A$822</formula1>
      <formula2>0</formula2>
    </dataValidation>
    <dataValidation allowBlank="true" errorStyle="stop" operator="between" showDropDown="false" showErrorMessage="true" showInputMessage="true" sqref="B1511" type="list">
      <formula1>связи1!$A$825:$A$826</formula1>
      <formula2>0</formula2>
    </dataValidation>
    <dataValidation allowBlank="true" errorStyle="stop" operator="between" showDropDown="false" showErrorMessage="true" showInputMessage="true" sqref="B1512" type="list">
      <formula1>связи1!$A$830:$A$831</formula1>
      <formula2>0</formula2>
    </dataValidation>
    <dataValidation allowBlank="true" errorStyle="stop" operator="between" showDropDown="false" showErrorMessage="true" showInputMessage="true" sqref="B1513" type="list">
      <formula1>связи1!$A$834:$A$835</formula1>
      <formula2>0</formula2>
    </dataValidation>
    <dataValidation allowBlank="true" errorStyle="stop" operator="between" showDropDown="false" showErrorMessage="true" showInputMessage="true" sqref="B1515" type="list">
      <formula1>связи1!$A$842:$A$844</formula1>
      <formula2>0</formula2>
    </dataValidation>
    <dataValidation allowBlank="true" errorStyle="stop" operator="between" showDropDown="false" showErrorMessage="true" showInputMessage="true" sqref="A1517" type="list">
      <formula1>связи1!$A$848:$A$849</formula1>
      <formula2>0</formula2>
    </dataValidation>
    <dataValidation allowBlank="true" errorStyle="stop" operator="between" showDropDown="false" showErrorMessage="true" showInputMessage="true" sqref="B1518" type="list">
      <formula1>связи1!$A$852:$A$855</formula1>
      <formula2>0</formula2>
    </dataValidation>
    <dataValidation allowBlank="true" errorStyle="stop" operator="between" showDropDown="false" showErrorMessage="true" showInputMessage="true" sqref="B1519" type="list">
      <formula1>связи1!$A$858:$A$861</formula1>
      <formula2>0</formula2>
    </dataValidation>
    <dataValidation allowBlank="true" errorStyle="stop" operator="between" showDropDown="false" showErrorMessage="true" showInputMessage="true" sqref="B1520" type="list">
      <formula1>связи1!$A$865:$A$868</formula1>
      <formula2>0</formula2>
    </dataValidation>
    <dataValidation allowBlank="true" errorStyle="stop" operator="between" showDropDown="false" showErrorMessage="true" showInputMessage="true" sqref="B1521" type="list">
      <formula1>связи1!$A$871:$A$873</formula1>
      <formula2>0</formula2>
    </dataValidation>
    <dataValidation allowBlank="true" errorStyle="stop" operator="between" showDropDown="false" showErrorMessage="true" showInputMessage="true" sqref="B1522" type="list">
      <formula1>связи1!$A$876:$A$879</formula1>
      <formula2>0</formula2>
    </dataValidation>
    <dataValidation allowBlank="true" errorStyle="stop" operator="between" showDropDown="false" showErrorMessage="true" showInputMessage="true" sqref="B1523" type="list">
      <formula1>связи1!$A$882:$A$884</formula1>
      <formula2>0</formula2>
    </dataValidation>
    <dataValidation allowBlank="true" errorStyle="stop" operator="between" showDropDown="false" showErrorMessage="true" showInputMessage="true" sqref="B1514" type="list">
      <formula1>связи1!$A$838:$A$839</formula1>
      <formula2>0</formula2>
    </dataValidation>
    <dataValidation allowBlank="true" errorStyle="stop" operator="between" showDropDown="false" showErrorMessage="true" showInputMessage="true" sqref="A1139" type="list">
      <formula1>'Прайс лист'!$B$1027:$B$1081</formula1>
      <formula2>0</formula2>
    </dataValidation>
    <dataValidation allowBlank="true" errorStyle="stop" operator="between" showDropDown="false" showErrorMessage="true" showInputMessage="true" sqref="A1141" type="list">
      <formula1>'Прайс лист'!$B$875:$B$883</formula1>
      <formula2>0</formula2>
    </dataValidation>
    <dataValidation allowBlank="true" errorStyle="stop" operator="between" showDropDown="false" showErrorMessage="true" showInputMessage="true" sqref="A1147:A1148" type="list">
      <formula1>'Прайс лист'!$B$115:$B$124</formula1>
      <formula2>0</formula2>
    </dataValidation>
    <dataValidation allowBlank="true" errorStyle="stop" operator="between" showDropDown="false" showErrorMessage="true" showInputMessage="true" sqref="A1152" type="list">
      <formula1>'Прайс лист'!$B$1891:$B$1899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Q276"/>
  <sheetViews>
    <sheetView showFormulas="false" showGridLines="true" showRowColHeaders="true" showZeros="true" rightToLeft="false" tabSelected="false" showOutlineSymbols="true" defaultGridColor="true" view="normal" topLeftCell="A238" colorId="64" zoomScale="60" zoomScaleNormal="60" zoomScalePageLayoutView="100" workbookViewId="0">
      <selection pane="topLeft" activeCell="I92" activeCellId="0" sqref="I92"/>
    </sheetView>
  </sheetViews>
  <sheetFormatPr defaultColWidth="8.5234375" defaultRowHeight="14.15" zeroHeight="false" outlineLevelRow="0" outlineLevelCol="0"/>
  <cols>
    <col collapsed="false" customWidth="true" hidden="false" outlineLevel="0" max="1" min="1" style="0" width="34.27"/>
    <col collapsed="false" customWidth="true" hidden="false" outlineLevel="0" max="2" min="2" style="884" width="6.18"/>
    <col collapsed="false" customWidth="true" hidden="false" outlineLevel="0" max="3" min="3" style="0" width="8.82"/>
    <col collapsed="false" customWidth="true" hidden="false" outlineLevel="0" max="4" min="4" style="0" width="9.27"/>
    <col collapsed="false" customWidth="true" hidden="false" outlineLevel="0" max="5" min="5" style="0" width="9"/>
    <col collapsed="false" customWidth="true" hidden="false" outlineLevel="0" max="6" min="6" style="0" width="8"/>
    <col collapsed="false" customWidth="true" hidden="false" outlineLevel="0" max="7" min="7" style="0" width="7.82"/>
    <col collapsed="false" customWidth="true" hidden="false" outlineLevel="0" max="8" min="8" style="0" width="9"/>
    <col collapsed="false" customWidth="true" hidden="false" outlineLevel="0" max="9" min="9" style="0" width="7.54"/>
    <col collapsed="false" customWidth="true" hidden="false" outlineLevel="0" max="10" min="10" style="0" width="7.18"/>
    <col collapsed="false" customWidth="true" hidden="false" outlineLevel="0" max="11" min="11" style="0" width="7.54"/>
    <col collapsed="false" customWidth="true" hidden="false" outlineLevel="0" max="12" min="12" style="0" width="9.18"/>
    <col collapsed="false" customWidth="true" hidden="false" outlineLevel="0" max="13" min="13" style="0" width="9.27"/>
    <col collapsed="false" customWidth="true" hidden="false" outlineLevel="0" max="14" min="14" style="0" width="9.18"/>
    <col collapsed="false" customWidth="true" hidden="false" outlineLevel="0" max="15" min="15" style="0" width="9"/>
    <col collapsed="false" customWidth="true" hidden="false" outlineLevel="0" max="16" min="16" style="0" width="8.82"/>
    <col collapsed="false" customWidth="true" hidden="false" outlineLevel="0" max="17" min="17" style="0" width="9.18"/>
  </cols>
  <sheetData>
    <row r="1" customFormat="false" ht="14.15" hidden="false" customHeight="true" outlineLevel="0" collapsed="false">
      <c r="H1" s="885" t="n">
        <f aca="false">дома!Q1112</f>
        <v>0</v>
      </c>
      <c r="I1" s="886" t="n">
        <f aca="false">H1</f>
        <v>0</v>
      </c>
      <c r="J1" s="887" t="s">
        <v>2543</v>
      </c>
      <c r="K1" s="888"/>
    </row>
    <row r="2" customFormat="false" ht="14.15" hidden="false" customHeight="true" outlineLevel="0" collapsed="false">
      <c r="A2" s="889" t="s">
        <v>2544</v>
      </c>
      <c r="B2" s="890" t="s">
        <v>120</v>
      </c>
      <c r="C2" s="891" t="s">
        <v>1753</v>
      </c>
      <c r="D2" s="892" t="n">
        <f aca="false">VLOOKUP('Ввод данных'!F416,связи1!A2:B3,2,0)</f>
        <v>0</v>
      </c>
      <c r="E2" s="893" t="s">
        <v>2545</v>
      </c>
      <c r="F2" s="894"/>
      <c r="G2" s="895"/>
      <c r="H2" s="885" t="n">
        <f aca="false">дома!Q1113</f>
        <v>1</v>
      </c>
      <c r="I2" s="886" t="n">
        <f aca="false">H2</f>
        <v>1</v>
      </c>
      <c r="J2" s="887" t="s">
        <v>2546</v>
      </c>
      <c r="K2" s="888"/>
      <c r="L2" s="896"/>
    </row>
    <row r="3" customFormat="false" ht="14.15" hidden="false" customHeight="true" outlineLevel="0" collapsed="false">
      <c r="A3" s="534" t="s">
        <v>2547</v>
      </c>
      <c r="B3" s="680" t="s">
        <v>159</v>
      </c>
      <c r="C3" s="897" t="n">
        <f aca="false">IF('Ввод данных'!A361=связи1!A94,1,0)+IF('Ввод данных'!A361=связи1!A95,1,0)+IF('Ввод данных'!A361=связи1!A96,1,0)+IF('Ввод данных'!A361=связи1!A97,1,0)+IF('Ввод данных'!A361=связи1!A98,1,0)</f>
        <v>1</v>
      </c>
      <c r="D3" s="898" t="n">
        <f aca="false">IF('Ввод данных'!A33=связи1!A200,0,1)</f>
        <v>0</v>
      </c>
      <c r="E3" s="898" t="n">
        <f aca="false">IF('Ввод данных'!A33=связи1!A200,0,1)</f>
        <v>0</v>
      </c>
      <c r="F3" s="898" t="n">
        <f aca="false">IF('Ввод данных'!A33=связи1!A200,0,1)</f>
        <v>0</v>
      </c>
      <c r="G3" s="895"/>
      <c r="H3" s="897" t="n">
        <f aca="false">IF('Ввод данных'!A33=связи1!A200,0,1)</f>
        <v>0</v>
      </c>
      <c r="I3" s="898" t="n">
        <f aca="false">IF('Ввод данных'!A33=связи1!A200,0,1)</f>
        <v>0</v>
      </c>
      <c r="J3" s="898" t="n">
        <f aca="false">IF('Ввод данных'!A33=связи1!A200,0,1)</f>
        <v>0</v>
      </c>
      <c r="K3" s="898" t="n">
        <f aca="false">IF('Ввод данных'!A33=связи1!A200,0,1)</f>
        <v>0</v>
      </c>
      <c r="L3" s="895"/>
      <c r="M3" s="897" t="n">
        <f aca="false">IF('Ввод данных'!A33=связи1!A200,0,1)</f>
        <v>0</v>
      </c>
      <c r="N3" s="898" t="n">
        <f aca="false">IF('Ввод данных'!A33=связи1!A200,0,1)</f>
        <v>0</v>
      </c>
      <c r="O3" s="898" t="n">
        <f aca="false">IF('Ввод данных'!A33=связи1!A200,0,1)</f>
        <v>0</v>
      </c>
      <c r="P3" s="898" t="n">
        <f aca="false">IF('Ввод данных'!A33=связи1!A200,0,1)</f>
        <v>0</v>
      </c>
      <c r="Q3" s="895"/>
      <c r="AD3" s="899" t="n">
        <f aca="false">'Ввод данных'!BD365</f>
        <v>0</v>
      </c>
      <c r="AE3" s="900" t="s">
        <v>1999</v>
      </c>
      <c r="AF3" s="901" t="n">
        <v>8</v>
      </c>
      <c r="AH3" s="902" t="s">
        <v>1093</v>
      </c>
      <c r="AI3" s="902"/>
      <c r="AJ3" s="895" t="s">
        <v>120</v>
      </c>
      <c r="AK3" s="893" t="s">
        <v>853</v>
      </c>
      <c r="AL3" s="903" t="s">
        <v>1802</v>
      </c>
      <c r="AM3" s="903" t="s">
        <v>853</v>
      </c>
      <c r="AN3" s="903" t="s">
        <v>2548</v>
      </c>
      <c r="AO3" s="903" t="s">
        <v>2549</v>
      </c>
      <c r="AP3" s="904" t="s">
        <v>2550</v>
      </c>
      <c r="AQ3" s="905"/>
    </row>
    <row r="4" customFormat="false" ht="14.15" hidden="false" customHeight="true" outlineLevel="0" collapsed="false">
      <c r="A4" s="534" t="s">
        <v>2551</v>
      </c>
      <c r="B4" s="680"/>
      <c r="C4" s="897" t="n">
        <f aca="false">IF('Ввод данных'!A361=связи1!A94,1,0)+IF('Ввод данных'!A361=связи1!A95,0,0)+IF('Ввод данных'!A361=связи1!A96,0,0)+IF('Ввод данных'!A361=связи1!A97,1,0)+IF('Ввод данных'!A361=связи1!A98,0,0)</f>
        <v>1</v>
      </c>
      <c r="D4" s="898" t="n">
        <f aca="false">IF('Ввод данных'!A365=связи1!A94,1,0)+IF('Ввод данных'!A365=связи1!A95,0,0)+IF('Ввод данных'!A365=связи1!A96,0,0)+IF('Ввод данных'!A365=связи1!A97,1,0)+IF('Ввод данных'!A365=связи1!A98,0,0)</f>
        <v>0</v>
      </c>
      <c r="E4" s="898" t="n">
        <f aca="false">IF('Ввод данных'!A369=связи1!A94,1,0)+IF('Ввод данных'!A369=связи1!A95,0,0)+IF('Ввод данных'!A369=связи1!A96,0,0)+IF('Ввод данных'!A369=связи1!A97,1,0)+IF('Ввод данных'!A369=связи1!A98,0,0)</f>
        <v>0</v>
      </c>
      <c r="F4" s="898" t="n">
        <f aca="false">IF('Ввод данных'!A373=связи1!A94,1,0)+IF('Ввод данных'!A373=связи1!A95,0,0)+IF('Ввод данных'!A373=связи1!A96,0,0)+IF('Ввод данных'!A373=связи1!A97,1,0)+IF('Ввод данных'!A373=связи1!A98,0,0)</f>
        <v>1</v>
      </c>
      <c r="G4" s="895"/>
      <c r="H4" s="897" t="n">
        <f aca="false">C4</f>
        <v>1</v>
      </c>
      <c r="I4" s="898" t="n">
        <f aca="false">D4</f>
        <v>0</v>
      </c>
      <c r="J4" s="898" t="n">
        <f aca="false">E4</f>
        <v>0</v>
      </c>
      <c r="K4" s="898" t="n">
        <f aca="false">F4</f>
        <v>1</v>
      </c>
      <c r="L4" s="895"/>
      <c r="M4" s="897" t="n">
        <f aca="false">C4</f>
        <v>1</v>
      </c>
      <c r="N4" s="898" t="n">
        <f aca="false">D4</f>
        <v>0</v>
      </c>
      <c r="O4" s="898" t="n">
        <f aca="false">E4</f>
        <v>0</v>
      </c>
      <c r="P4" s="898" t="n">
        <f aca="false">F4</f>
        <v>1</v>
      </c>
      <c r="Q4" s="895"/>
      <c r="AD4" s="899"/>
      <c r="AE4" s="900"/>
      <c r="AF4" s="901"/>
      <c r="AH4" s="906"/>
      <c r="AI4" s="907"/>
      <c r="AJ4" s="895"/>
      <c r="AK4" s="908"/>
      <c r="AL4" s="903"/>
      <c r="AM4" s="903"/>
      <c r="AN4" s="903"/>
      <c r="AO4" s="903"/>
      <c r="AP4" s="904"/>
      <c r="AQ4" s="905"/>
    </row>
    <row r="5" customFormat="false" ht="14.15" hidden="false" customHeight="true" outlineLevel="0" collapsed="false">
      <c r="A5" s="534" t="s">
        <v>2552</v>
      </c>
      <c r="B5" s="680" t="s">
        <v>159</v>
      </c>
      <c r="C5" s="897" t="n">
        <f aca="false">IF('Ввод данных'!A361=связи1!A94,0,0)+IF('Ввод данных'!A361=связи1!A95,1,0)+IF('Ввод данных'!A361=связи1!A96,1,0)+IF('Ввод данных'!A361=связи1!A97,0,0)+IF('Ввод данных'!A361=связи1!A98,1,0)</f>
        <v>0</v>
      </c>
      <c r="D5" s="898" t="n">
        <f aca="false">IF('Ввод данных'!A365=связи1!A94,0,0)+IF('Ввод данных'!A365=связи1!A95,1,0)+IF('Ввод данных'!A365=связи1!A96,1,0)+IF('Ввод данных'!A365=связи1!A97,0,0)+IF('Ввод данных'!A365=связи1!A98,1,0)</f>
        <v>1</v>
      </c>
      <c r="E5" s="898" t="n">
        <f aca="false">IF('Ввод данных'!A369=связи1!A94,0,0)+IF('Ввод данных'!A369=связи1!A95,1,0)+IF('Ввод данных'!A369=связи1!A96,1,0)+IF('Ввод данных'!A369=связи1!A97,0,0)+IF('Ввод данных'!A369=связи1!A98,1,0)</f>
        <v>1</v>
      </c>
      <c r="F5" s="898" t="n">
        <f aca="false">IF('Ввод данных'!A373=связи1!A94,0,0)+IF('Ввод данных'!A373=связи1!A95,1,0)+IF('Ввод данных'!A373=связи1!A96,1,0)+IF('Ввод данных'!A373=связи1!A97,0,0)+IF('Ввод данных'!A373=связи1!A98,1,0)</f>
        <v>0</v>
      </c>
      <c r="G5" s="895"/>
      <c r="H5" s="897" t="n">
        <f aca="false">C5</f>
        <v>0</v>
      </c>
      <c r="I5" s="897" t="n">
        <f aca="false">D5</f>
        <v>1</v>
      </c>
      <c r="J5" s="897" t="n">
        <f aca="false">E5</f>
        <v>1</v>
      </c>
      <c r="K5" s="897" t="n">
        <f aca="false">F5</f>
        <v>0</v>
      </c>
      <c r="L5" s="895"/>
      <c r="M5" s="897" t="n">
        <f aca="false">H5</f>
        <v>0</v>
      </c>
      <c r="N5" s="897" t="n">
        <f aca="false">I5</f>
        <v>1</v>
      </c>
      <c r="O5" s="897" t="n">
        <f aca="false">J5</f>
        <v>1</v>
      </c>
      <c r="P5" s="897" t="n">
        <f aca="false">K5</f>
        <v>0</v>
      </c>
      <c r="Q5" s="895"/>
      <c r="AD5" s="899" t="n">
        <f aca="false">'Ввод данных'!BD366</f>
        <v>0.2</v>
      </c>
      <c r="AE5" s="900" t="s">
        <v>2001</v>
      </c>
      <c r="AF5" s="900"/>
      <c r="AH5" s="680" t="s">
        <v>2553</v>
      </c>
      <c r="AI5" s="680"/>
      <c r="AJ5" s="903" t="s">
        <v>156</v>
      </c>
      <c r="AK5" s="909" t="n">
        <v>0</v>
      </c>
      <c r="AL5" s="910" t="n">
        <v>0</v>
      </c>
      <c r="AM5" s="903" t="n">
        <f aca="false">AK5*AL5</f>
        <v>0</v>
      </c>
      <c r="AN5" s="903"/>
      <c r="AO5" s="903" t="n">
        <v>0</v>
      </c>
      <c r="AP5" s="904" t="n">
        <v>0</v>
      </c>
      <c r="AQ5" s="905" t="n">
        <f aca="false">AO5+AP5+0.3</f>
        <v>0.3</v>
      </c>
    </row>
    <row r="6" customFormat="false" ht="14.15" hidden="false" customHeight="true" outlineLevel="0" collapsed="false">
      <c r="A6" s="911" t="s">
        <v>2554</v>
      </c>
      <c r="B6" s="912"/>
      <c r="C6" s="913" t="n">
        <f aca="false">IF('Ввод данных'!A360=связи1!A106,1,0)*D2</f>
        <v>0</v>
      </c>
      <c r="D6" s="914" t="n">
        <f aca="false">IF('Ввод данных'!A364=связи1!A106,1,0)*D2</f>
        <v>0</v>
      </c>
      <c r="E6" s="914" t="n">
        <f aca="false">IF('Ввод данных'!A368=связи1!A106,1,0)*D2</f>
        <v>0</v>
      </c>
      <c r="F6" s="914" t="n">
        <f aca="false">IF('Ввод данных'!A372=связи1!A106,1,0)*D2</f>
        <v>0</v>
      </c>
      <c r="G6" s="895"/>
      <c r="H6" s="913" t="n">
        <f aca="false">IF('Ввод данных'!A360=связи1!A107,1,0)*D2</f>
        <v>0</v>
      </c>
      <c r="I6" s="913" t="n">
        <f aca="false">IF('Ввод данных'!A364=связи1!A107,1,0)*D2</f>
        <v>0</v>
      </c>
      <c r="J6" s="913" t="n">
        <f aca="false">IF('Ввод данных'!A368=связи1!A107,1,0)*D2</f>
        <v>0</v>
      </c>
      <c r="K6" s="913" t="n">
        <f aca="false">IF('Ввод данных'!A372=связи1!A107,1,0)*D2</f>
        <v>0</v>
      </c>
      <c r="L6" s="895"/>
      <c r="M6" s="913" t="n">
        <f aca="false">IF('Ввод данных'!A360=связи1!A108,1,0)*D2</f>
        <v>0</v>
      </c>
      <c r="N6" s="913" t="n">
        <f aca="false">IF('Ввод данных'!A364=связи1!A108,1,0)*D2</f>
        <v>0</v>
      </c>
      <c r="O6" s="913" t="n">
        <f aca="false">IF('Ввод данных'!A368=связи1!A108,1,0)*D2</f>
        <v>0</v>
      </c>
      <c r="P6" s="913" t="n">
        <f aca="false">IF('Ввод данных'!A372=связи1!A108,1,0)*D2</f>
        <v>0</v>
      </c>
      <c r="Q6" s="895"/>
      <c r="AD6" s="899"/>
      <c r="AE6" s="900"/>
      <c r="AF6" s="900"/>
      <c r="AH6" s="680"/>
      <c r="AI6" s="680"/>
      <c r="AJ6" s="903"/>
      <c r="AK6" s="909"/>
      <c r="AL6" s="910"/>
      <c r="AM6" s="903"/>
      <c r="AN6" s="903"/>
      <c r="AO6" s="903"/>
      <c r="AP6" s="904"/>
      <c r="AQ6" s="905"/>
    </row>
    <row r="7" customFormat="false" ht="14.15" hidden="false" customHeight="true" outlineLevel="0" collapsed="false">
      <c r="A7" s="534"/>
      <c r="B7" s="680"/>
      <c r="C7" s="915" t="n">
        <f aca="false">D2</f>
        <v>0</v>
      </c>
      <c r="D7" s="916" t="n">
        <f aca="false">D2</f>
        <v>0</v>
      </c>
      <c r="E7" s="916" t="n">
        <f aca="false">D2</f>
        <v>0</v>
      </c>
      <c r="F7" s="916" t="n">
        <f aca="false">D2</f>
        <v>0</v>
      </c>
      <c r="G7" s="895"/>
      <c r="H7" s="915" t="n">
        <f aca="false">D2</f>
        <v>0</v>
      </c>
      <c r="I7" s="915" t="n">
        <f aca="false">D2</f>
        <v>0</v>
      </c>
      <c r="J7" s="915" t="n">
        <f aca="false">D2</f>
        <v>0</v>
      </c>
      <c r="K7" s="915" t="n">
        <f aca="false">D2</f>
        <v>0</v>
      </c>
      <c r="L7" s="895"/>
      <c r="M7" s="915" t="n">
        <f aca="false">D2</f>
        <v>0</v>
      </c>
      <c r="N7" s="915" t="n">
        <f aca="false">D2</f>
        <v>0</v>
      </c>
      <c r="O7" s="915" t="n">
        <f aca="false">D2</f>
        <v>0</v>
      </c>
      <c r="P7" s="915" t="n">
        <f aca="false">D2</f>
        <v>0</v>
      </c>
      <c r="Q7" s="895"/>
      <c r="AD7" s="899"/>
      <c r="AE7" s="900"/>
      <c r="AF7" s="900"/>
      <c r="AH7" s="680"/>
      <c r="AI7" s="680"/>
      <c r="AJ7" s="903"/>
      <c r="AK7" s="909"/>
      <c r="AL7" s="910"/>
      <c r="AM7" s="903"/>
      <c r="AN7" s="903"/>
      <c r="AO7" s="903"/>
      <c r="AP7" s="904"/>
      <c r="AQ7" s="905"/>
    </row>
    <row r="8" customFormat="false" ht="14.15" hidden="false" customHeight="true" outlineLevel="0" collapsed="false">
      <c r="A8" s="917" t="s">
        <v>1236</v>
      </c>
      <c r="B8" s="742" t="s">
        <v>120</v>
      </c>
      <c r="C8" s="742" t="s">
        <v>1753</v>
      </c>
      <c r="D8" s="742"/>
      <c r="E8" s="742"/>
      <c r="F8" s="742"/>
      <c r="G8" s="895"/>
      <c r="H8" s="742" t="s">
        <v>1753</v>
      </c>
      <c r="I8" s="742"/>
      <c r="J8" s="742"/>
      <c r="K8" s="742"/>
      <c r="L8" s="895"/>
      <c r="M8" s="742" t="s">
        <v>1753</v>
      </c>
      <c r="N8" s="742"/>
      <c r="O8" s="742"/>
      <c r="P8" s="742"/>
      <c r="Q8" s="895"/>
      <c r="AD8" s="899" t="n">
        <f aca="false">'Ввод данных'!BD367</f>
        <v>3.2</v>
      </c>
      <c r="AE8" s="900" t="s">
        <v>2002</v>
      </c>
      <c r="AF8" s="900"/>
      <c r="AH8" s="680"/>
      <c r="AI8" s="680"/>
      <c r="AJ8" s="903" t="s">
        <v>1322</v>
      </c>
      <c r="AK8" s="909" t="n">
        <v>0</v>
      </c>
      <c r="AL8" s="910" t="n">
        <v>0</v>
      </c>
      <c r="AM8" s="903" t="n">
        <f aca="false">AK8*AL8</f>
        <v>0</v>
      </c>
      <c r="AN8" s="903" t="n">
        <f aca="false">AM8*C35</f>
        <v>0</v>
      </c>
      <c r="AO8" s="903" t="n">
        <v>0</v>
      </c>
      <c r="AP8" s="904" t="n">
        <v>0</v>
      </c>
      <c r="AQ8" s="905" t="n">
        <f aca="false">AO8+AP8+0.3</f>
        <v>0.3</v>
      </c>
    </row>
    <row r="9" customFormat="false" ht="14.15" hidden="false" customHeight="true" outlineLevel="0" collapsed="false">
      <c r="A9" s="534" t="s">
        <v>2001</v>
      </c>
      <c r="B9" s="680" t="s">
        <v>156</v>
      </c>
      <c r="C9" s="918" t="n">
        <f aca="false">C34*C33*C25*C6*C32</f>
        <v>0</v>
      </c>
      <c r="D9" s="918" t="n">
        <f aca="false">D34*D33*D25*D6*D32</f>
        <v>0</v>
      </c>
      <c r="E9" s="918" t="n">
        <f aca="false">E34*E33*E25*E6*E32</f>
        <v>0</v>
      </c>
      <c r="F9" s="918" t="n">
        <f aca="false">F34*F33*F25*F6*F32</f>
        <v>0</v>
      </c>
      <c r="G9" s="919" t="n">
        <f aca="false">C9+D9+E9+F9</f>
        <v>0</v>
      </c>
      <c r="H9" s="918" t="n">
        <f aca="false">H34*H33*H25*H6*H32</f>
        <v>0</v>
      </c>
      <c r="I9" s="918" t="n">
        <f aca="false">I34*I33*I25*I6*I32</f>
        <v>0</v>
      </c>
      <c r="J9" s="918" t="n">
        <f aca="false">J34*J33*J25*J6*J32</f>
        <v>0</v>
      </c>
      <c r="K9" s="918" t="n">
        <f aca="false">K34*K33*K25*K6*K32</f>
        <v>0</v>
      </c>
      <c r="L9" s="919" t="n">
        <f aca="false">H9+I9+J9+K9</f>
        <v>0</v>
      </c>
      <c r="M9" s="918" t="n">
        <f aca="false">M34*M33*M25*M6</f>
        <v>0</v>
      </c>
      <c r="N9" s="918" t="n">
        <f aca="false">N34*N33*N25*N6</f>
        <v>0</v>
      </c>
      <c r="O9" s="918" t="n">
        <f aca="false">O34*O33*O25*O6</f>
        <v>0</v>
      </c>
      <c r="P9" s="918" t="n">
        <f aca="false">P34*P33*P25*P6</f>
        <v>0</v>
      </c>
      <c r="Q9" s="919" t="n">
        <f aca="false">M9+N9+O9+P9</f>
        <v>0</v>
      </c>
      <c r="R9" s="920" t="n">
        <f aca="false">G9+L9+Q9</f>
        <v>0</v>
      </c>
      <c r="AD9" s="921" t="n">
        <f aca="false">AD8-AD5</f>
        <v>3</v>
      </c>
      <c r="AE9" s="922" t="s">
        <v>2555</v>
      </c>
      <c r="AF9" s="923"/>
      <c r="AH9" s="680" t="s">
        <v>2556</v>
      </c>
      <c r="AI9" s="680"/>
      <c r="AJ9" s="903" t="s">
        <v>156</v>
      </c>
      <c r="AK9" s="909" t="n">
        <v>0</v>
      </c>
      <c r="AL9" s="910" t="n">
        <v>0</v>
      </c>
      <c r="AM9" s="903" t="n">
        <f aca="false">AK9*AL9</f>
        <v>0</v>
      </c>
      <c r="AN9" s="903" t="n">
        <f aca="false">AM9*C35</f>
        <v>0</v>
      </c>
      <c r="AO9" s="903" t="n">
        <v>0</v>
      </c>
      <c r="AP9" s="904" t="n">
        <v>0</v>
      </c>
      <c r="AQ9" s="905" t="n">
        <f aca="false">AO9+AP9+0.3</f>
        <v>0.3</v>
      </c>
    </row>
    <row r="10" customFormat="false" ht="14.15" hidden="false" customHeight="true" outlineLevel="0" collapsed="false">
      <c r="A10" s="534" t="s">
        <v>2557</v>
      </c>
      <c r="B10" s="680" t="s">
        <v>156</v>
      </c>
      <c r="C10" s="918" t="n">
        <f aca="false">C34*C33*C26*C6*C32</f>
        <v>0</v>
      </c>
      <c r="D10" s="918" t="n">
        <f aca="false">D34*D33*D26*D6*D32</f>
        <v>0</v>
      </c>
      <c r="E10" s="918" t="n">
        <f aca="false">E34*E33*E26*E6*E32</f>
        <v>0</v>
      </c>
      <c r="F10" s="918" t="n">
        <f aca="false">F34*F33*F26*F6*F32</f>
        <v>0</v>
      </c>
      <c r="G10" s="919" t="n">
        <f aca="false">C10+D10+E10+F10</f>
        <v>0</v>
      </c>
      <c r="H10" s="918" t="n">
        <f aca="false">H34*H33*H26*H6*H32</f>
        <v>0</v>
      </c>
      <c r="I10" s="918" t="n">
        <f aca="false">I34*I33*I26*I6*I32</f>
        <v>0</v>
      </c>
      <c r="J10" s="918" t="n">
        <f aca="false">J34*J33*J26*J6*J32</f>
        <v>0</v>
      </c>
      <c r="K10" s="918" t="n">
        <f aca="false">K34*K33*K26*K6*K32</f>
        <v>0</v>
      </c>
      <c r="L10" s="919" t="n">
        <f aca="false">H10+I10+J10+K10</f>
        <v>0</v>
      </c>
      <c r="M10" s="918" t="n">
        <f aca="false">M34*M33*M26*M6</f>
        <v>0</v>
      </c>
      <c r="N10" s="918" t="n">
        <f aca="false">N34*N33*N26*N6</f>
        <v>0</v>
      </c>
      <c r="O10" s="918" t="n">
        <f aca="false">O34*O33*O26*O6</f>
        <v>0</v>
      </c>
      <c r="P10" s="918" t="n">
        <f aca="false">P34*P33*P26*P6</f>
        <v>0</v>
      </c>
      <c r="Q10" s="919" t="n">
        <f aca="false">M10+N10+O10+P10</f>
        <v>0</v>
      </c>
      <c r="R10" s="920" t="n">
        <f aca="false">G10+L10+Q10</f>
        <v>0</v>
      </c>
      <c r="AD10" s="899" t="n">
        <f aca="false">'Ввод данных'!BD368</f>
        <v>3.4</v>
      </c>
      <c r="AE10" s="900" t="s">
        <v>2004</v>
      </c>
      <c r="AF10" s="900"/>
      <c r="AH10" s="680"/>
      <c r="AI10" s="680"/>
      <c r="AJ10" s="903" t="s">
        <v>156</v>
      </c>
      <c r="AK10" s="909" t="n">
        <v>0</v>
      </c>
      <c r="AL10" s="910" t="n">
        <v>0</v>
      </c>
      <c r="AM10" s="903" t="n">
        <f aca="false">AK10*AL10</f>
        <v>0</v>
      </c>
      <c r="AN10" s="903" t="n">
        <f aca="false">AM10*C35</f>
        <v>0</v>
      </c>
      <c r="AO10" s="903" t="n">
        <v>0</v>
      </c>
      <c r="AP10" s="904" t="n">
        <v>0</v>
      </c>
      <c r="AQ10" s="905" t="n">
        <f aca="false">AO10+AP10+0.3</f>
        <v>0.3</v>
      </c>
    </row>
    <row r="11" customFormat="false" ht="14.15" hidden="false" customHeight="true" outlineLevel="0" collapsed="false">
      <c r="A11" s="924" t="s">
        <v>2558</v>
      </c>
      <c r="B11" s="925" t="s">
        <v>156</v>
      </c>
      <c r="C11" s="926" t="n">
        <f aca="false">(IF('Ввод данных'!A361=связи1!A94,0,0)+IF('Ввод данных'!A361=связи1!A95,пристройка!C10,0)+IF('Ввод данных'!A361=связи1!A96,0,0)+IF('Ввод данных'!A361=связи1!A98,пристройка!C116,0)+IF('Ввод данных'!A361=связи1!A97,0,0))*C6*C32</f>
        <v>0</v>
      </c>
      <c r="D11" s="926" t="n">
        <f aca="false">(IF('Ввод данных'!A365=связи1!A94,0,0)+IF('Ввод данных'!A365=связи1!A95,пристройка!D10,0)+IF('Ввод данных'!A365=связи1!A96,0,0)+IF('Ввод данных'!A365=связи1!A98,пристройка!D116,0)+IF('Ввод данных'!A365=связи1!A97,0,0))*D6*D32</f>
        <v>0</v>
      </c>
      <c r="E11" s="926" t="n">
        <f aca="false">(IF('Ввод данных'!A369=связи1!A94,0,0)+IF('Ввод данных'!A369=связи1!A95,пристройка!E10,0)+IF('Ввод данных'!A369=связи1!A96,0,0)+IF('Ввод данных'!A369=связи1!A98,пристройка!E116,0)+IF('Ввод данных'!A369=связи1!A97,0,0))*E6*E32</f>
        <v>0</v>
      </c>
      <c r="F11" s="926" t="n">
        <f aca="false">(IF('Ввод данных'!A373=связи1!A94,0,0)+IF('Ввод данных'!A373=связи1!A95,пристройка!F10,0)+IF('Ввод данных'!A373=связи1!A96,0,0)+IF('Ввод данных'!A373=связи1!A98,пристройка!F116,0)+IF('Ввод данных'!A373=связи1!A97,0,0))*F6*F32</f>
        <v>0</v>
      </c>
      <c r="G11" s="919" t="n">
        <f aca="false">C11+D11+E11+F11</f>
        <v>0</v>
      </c>
      <c r="H11" s="926" t="n">
        <f aca="false">(IF('Ввод данных'!A361=связи1!A94,0,0)+IF('Ввод данных'!A361=связи1!A95,пристройка!H10,0)+IF('Ввод данных'!A361=связи1!A96,0,0)+IF('Ввод данных'!A361=связи1!A98,пристройка!H116,0)+IF('Ввод данных'!A361=связи1!A97,0,0))*H6</f>
        <v>0</v>
      </c>
      <c r="I11" s="926" t="n">
        <f aca="false">(IF('Ввод данных'!A365=связи1!A94,0,0)+IF('Ввод данных'!A365=связи1!A95,пристройка!I10,0)+IF('Ввод данных'!A365=связи1!A96,0,0)+IF('Ввод данных'!A365=связи1!A98,пристройка!I116,0)+IF('Ввод данных'!A365=связи1!A97,0,0))*I6</f>
        <v>0</v>
      </c>
      <c r="J11" s="926" t="n">
        <f aca="false">(IF('Ввод данных'!A369=связи1!A94,0,0)+IF('Ввод данных'!A369=связи1!A95,пристройка!J10,0)+IF('Ввод данных'!A369=связи1!A96,0,0)+IF('Ввод данных'!A369=связи1!A98,пристройка!J116,0)+IF('Ввод данных'!A369=связи1!A97,0,0))*J6</f>
        <v>0</v>
      </c>
      <c r="K11" s="926" t="n">
        <f aca="false">(IF('Ввод данных'!A373=связи1!A94,0,0)+IF('Ввод данных'!A373=связи1!A95,пристройка!K10,0)+IF('Ввод данных'!A373=связи1!A96,0,0)+IF('Ввод данных'!A373=связи1!A98,пристройка!K116,0)+IF('Ввод данных'!A373=связи1!A97,0,0))*K6</f>
        <v>0</v>
      </c>
      <c r="L11" s="919" t="n">
        <f aca="false">H11+I11+J11+K11</f>
        <v>0</v>
      </c>
      <c r="M11" s="926" t="n">
        <f aca="false">(IF('Ввод данных'!A361=связи1!A94,0,0)+IF('Ввод данных'!A361=связи1!A95,пристройка!M10,0)+IF('Ввод данных'!A361=связи1!A96,0,0)+IF('Ввод данных'!A361=связи1!A98,пристройка!M116,0)+IF('Ввод данных'!A361=связи1!A97,0,0))*M6</f>
        <v>0</v>
      </c>
      <c r="N11" s="926" t="n">
        <f aca="false">(IF('Ввод данных'!A365=связи1!A94,0,0)+IF('Ввод данных'!A365=связи1!A95,пристройка!N10,0)+IF('Ввод данных'!A365=связи1!A96,0,0)+IF('Ввод данных'!A365=связи1!A98,пристройка!N116,0)+IF('Ввод данных'!A365=связи1!A97,0,0))*N6</f>
        <v>0</v>
      </c>
      <c r="O11" s="926" t="n">
        <f aca="false">(IF('Ввод данных'!A369=связи1!A94,0,0)+IF('Ввод данных'!A369=связи1!A95,пристройка!O10,0)+IF('Ввод данных'!A369=связи1!A96,0,0)+IF('Ввод данных'!A369=связи1!A98,пристройка!O116,0)+IF('Ввод данных'!A369=связи1!A97,0,0))*O6</f>
        <v>0</v>
      </c>
      <c r="P11" s="926" t="n">
        <f aca="false">(IF('Ввод данных'!A373=связи1!A94,0,0)+IF('Ввод данных'!A373=связи1!A95,пристройка!P10,0)+IF('Ввод данных'!A373=связи1!A96,0,0)+IF('Ввод данных'!A373=связи1!A98,пристройка!P116,0)+IF('Ввод данных'!A373=связи1!A97,0,0))*P6</f>
        <v>0</v>
      </c>
      <c r="Q11" s="919" t="n">
        <f aca="false">M11+N11+O11+P11</f>
        <v>0</v>
      </c>
      <c r="R11" s="920" t="n">
        <f aca="false">G11+L11+Q11</f>
        <v>0</v>
      </c>
      <c r="AD11" s="899" t="n">
        <f aca="false">AD39-AD10</f>
        <v>2.7</v>
      </c>
      <c r="AE11" s="900" t="s">
        <v>1994</v>
      </c>
      <c r="AF11" s="927"/>
      <c r="AH11" s="680" t="s">
        <v>2559</v>
      </c>
      <c r="AI11" s="680"/>
      <c r="AJ11" s="903" t="s">
        <v>1322</v>
      </c>
      <c r="AK11" s="909" t="n">
        <v>0</v>
      </c>
      <c r="AL11" s="910" t="n">
        <v>0</v>
      </c>
      <c r="AM11" s="903" t="n">
        <f aca="false">AK11*AL11</f>
        <v>0</v>
      </c>
      <c r="AN11" s="903" t="n">
        <f aca="false">AM11*C38*C5</f>
        <v>0</v>
      </c>
      <c r="AO11" s="903" t="n">
        <v>0</v>
      </c>
      <c r="AP11" s="904" t="n">
        <v>0</v>
      </c>
      <c r="AQ11" s="905" t="n">
        <f aca="false">AO11+AP11+0.3</f>
        <v>0.3</v>
      </c>
    </row>
    <row r="12" customFormat="false" ht="14.15" hidden="false" customHeight="true" outlineLevel="0" collapsed="false">
      <c r="A12" s="924" t="s">
        <v>2560</v>
      </c>
      <c r="B12" s="925"/>
      <c r="C12" s="928" t="n">
        <f aca="false">C3*C9*C32*C6</f>
        <v>0</v>
      </c>
      <c r="D12" s="928" t="n">
        <f aca="false">D3*D9*D32*D6</f>
        <v>0</v>
      </c>
      <c r="E12" s="928" t="n">
        <f aca="false">E3*E9*E32*E6</f>
        <v>0</v>
      </c>
      <c r="F12" s="929" t="n">
        <f aca="false">F3*F9*F32*F6</f>
        <v>0</v>
      </c>
      <c r="G12" s="919" t="n">
        <f aca="false">C12+D12+E12+F12</f>
        <v>0</v>
      </c>
      <c r="H12" s="928" t="n">
        <f aca="false">H3*H9*H32*H6</f>
        <v>0</v>
      </c>
      <c r="I12" s="928" t="n">
        <f aca="false">I3*I9*I32*I6</f>
        <v>0</v>
      </c>
      <c r="J12" s="928" t="n">
        <f aca="false">J3*J9*J32*J6</f>
        <v>0</v>
      </c>
      <c r="K12" s="929" t="n">
        <f aca="false">K3*K9*K32*K6</f>
        <v>0</v>
      </c>
      <c r="L12" s="919" t="n">
        <f aca="false">H12+I12+J12+K12</f>
        <v>0</v>
      </c>
      <c r="M12" s="928" t="n">
        <f aca="false">M3*M9*M32*M6</f>
        <v>0</v>
      </c>
      <c r="N12" s="928" t="n">
        <f aca="false">N3*N9*N32*N6</f>
        <v>0</v>
      </c>
      <c r="O12" s="928" t="n">
        <f aca="false">O3*O9*O32*O6</f>
        <v>0</v>
      </c>
      <c r="P12" s="929" t="n">
        <f aca="false">P3*P9*P32*P6</f>
        <v>0</v>
      </c>
      <c r="Q12" s="919" t="n">
        <f aca="false">M12+N12+O12+P12</f>
        <v>0</v>
      </c>
      <c r="R12" s="920" t="n">
        <f aca="false">G12+L12+Q12</f>
        <v>0</v>
      </c>
      <c r="AD12" s="930"/>
      <c r="AE12" s="903"/>
      <c r="AF12" s="931"/>
      <c r="AH12" s="680"/>
      <c r="AI12" s="680"/>
      <c r="AJ12" s="903"/>
      <c r="AK12" s="932"/>
      <c r="AL12" s="933"/>
      <c r="AM12" s="903"/>
      <c r="AN12" s="903"/>
      <c r="AO12" s="903"/>
      <c r="AP12" s="904"/>
      <c r="AQ12" s="905"/>
    </row>
    <row r="13" customFormat="false" ht="14.15" hidden="false" customHeight="true" outlineLevel="0" collapsed="false">
      <c r="A13" s="924" t="s">
        <v>2561</v>
      </c>
      <c r="B13" s="925"/>
      <c r="C13" s="928" t="n">
        <f aca="false">C10*C5*C32*C6</f>
        <v>0</v>
      </c>
      <c r="D13" s="928" t="n">
        <f aca="false">D10*D5*D32*D6</f>
        <v>0</v>
      </c>
      <c r="E13" s="928" t="n">
        <f aca="false">E10*E5*E32*E6</f>
        <v>0</v>
      </c>
      <c r="F13" s="929" t="n">
        <f aca="false">F10*F5*F32*F6</f>
        <v>0</v>
      </c>
      <c r="G13" s="919" t="n">
        <f aca="false">C13+D13+E13+F13</f>
        <v>0</v>
      </c>
      <c r="H13" s="928" t="n">
        <f aca="false">H10*H5*H32*H6</f>
        <v>0</v>
      </c>
      <c r="I13" s="928" t="n">
        <f aca="false">I10*I5*I32*I6</f>
        <v>0</v>
      </c>
      <c r="J13" s="928" t="n">
        <f aca="false">J10*J5*J32*J6</f>
        <v>0</v>
      </c>
      <c r="K13" s="929" t="n">
        <f aca="false">K10*K5*K32*K6</f>
        <v>0</v>
      </c>
      <c r="L13" s="919" t="n">
        <f aca="false">H13+I13+J13+K13</f>
        <v>0</v>
      </c>
      <c r="M13" s="928" t="n">
        <f aca="false">M10*M5*M32*M6</f>
        <v>0</v>
      </c>
      <c r="N13" s="928" t="n">
        <f aca="false">N10*N5*N32*N6</f>
        <v>0</v>
      </c>
      <c r="O13" s="928" t="n">
        <f aca="false">O10*O5*O32*O6</f>
        <v>0</v>
      </c>
      <c r="P13" s="929" t="n">
        <f aca="false">P10*P5*P32*P6</f>
        <v>0</v>
      </c>
      <c r="Q13" s="919" t="n">
        <f aca="false">M13+N13+O13+P13</f>
        <v>0</v>
      </c>
      <c r="R13" s="920" t="n">
        <f aca="false">G13+L13+Q13</f>
        <v>0</v>
      </c>
      <c r="AD13" s="930"/>
      <c r="AE13" s="903"/>
      <c r="AF13" s="931"/>
      <c r="AH13" s="680"/>
      <c r="AI13" s="680"/>
      <c r="AJ13" s="903"/>
      <c r="AK13" s="932"/>
      <c r="AL13" s="933"/>
      <c r="AM13" s="903"/>
      <c r="AN13" s="903"/>
      <c r="AO13" s="903"/>
      <c r="AP13" s="904"/>
      <c r="AQ13" s="905"/>
    </row>
    <row r="14" customFormat="false" ht="14.15" hidden="false" customHeight="true" outlineLevel="0" collapsed="false">
      <c r="A14" s="924" t="s">
        <v>2562</v>
      </c>
      <c r="B14" s="925"/>
      <c r="C14" s="928" t="n">
        <f aca="false">(IF('Ввод данных'!A361=связи1!A94,пристройка!C10,0)+IF('Ввод данных'!A361=связи1!A95,пристройка!C10,0)+IF('Ввод данных'!A361=связи1!A96,пристройка!C10,0)+IF('Ввод данных'!A361=связи1!A97,пристройка!C114,0)+IF('Ввод данных'!A361=связи1!A98,пристройка!C10,0))*C6*C32</f>
        <v>0</v>
      </c>
      <c r="D14" s="928" t="n">
        <f aca="false">(IF('Ввод данных'!A365=связи1!A94,пристройка!D10,0)+IF('Ввод данных'!A365=связи1!A95,пристройка!D10,0)+IF('Ввод данных'!A365=связи1!A96,пристройка!D10,0)+IF('Ввод данных'!A365=связи1!A97,пристройка!D114,0)+IF('Ввод данных'!A365=связи1!A98,пристройка!D10,0))*D6*D32</f>
        <v>0</v>
      </c>
      <c r="E14" s="928" t="n">
        <f aca="false">(IF('Ввод данных'!A369=связи1!A94,пристройка!E10,0)+IF('Ввод данных'!A369=связи1!A95,пристройка!E10,0)+IF('Ввод данных'!A369=связи1!A96,пристройка!E10,0)+IF('Ввод данных'!A369=связи1!A97,пристройка!E114,0)+IF('Ввод данных'!A369=связи1!A98,пристройка!E10,0))*E32*E6</f>
        <v>0</v>
      </c>
      <c r="F14" s="929" t="n">
        <f aca="false">(IF('Ввод данных'!A373=связи1!A94,пристройка!F10,0)+IF('Ввод данных'!A373=связи1!A95,пристройка!F10,0)+IF('Ввод данных'!A373=связи1!A96,пристройка!F10,0)+IF('Ввод данных'!A373=связи1!A97,пристройка!F114,0)+IF('Ввод данных'!A373=связи1!A98,пристройка!F10,0))*F6*F32</f>
        <v>0</v>
      </c>
      <c r="G14" s="919" t="n">
        <f aca="false">C14+D14+E14+F14</f>
        <v>0</v>
      </c>
      <c r="H14" s="928" t="n">
        <f aca="false">(IF('Ввод данных'!A361=связи1!A94,пристройка!H10,0)+IF('Ввод данных'!A361=связи1!A95,пристройка!H10,0)+IF('Ввод данных'!A361=связи1!A96,пристройка!H10,0)+IF('Ввод данных'!A361=связи1!A97,пристройка!H114,0)+IF('Ввод данных'!A361=связи1!A98,пристройка!H10,0))*H6*H32</f>
        <v>0</v>
      </c>
      <c r="I14" s="928" t="n">
        <f aca="false">(IF('Ввод данных'!A365=связи1!A94,пристройка!I10,0)+IF('Ввод данных'!A365=связи1!A95,пристройка!I10,0)+IF('Ввод данных'!A365=связи1!A96,пристройка!I10,0)+IF('Ввод данных'!A365=связи1!A97,пристройка!I114,0)+IF('Ввод данных'!A365=связи1!A98,пристройка!I10,0))*I6*I32</f>
        <v>0</v>
      </c>
      <c r="J14" s="928" t="n">
        <f aca="false">(IF('Ввод данных'!A369=связи1!A94,пристройка!J10,0)+IF('Ввод данных'!A369=связи1!A95,пристройка!J10,0)+IF('Ввод данных'!A369=связи1!A96,пристройка!J10,0)+IF('Ввод данных'!A369=связи1!A97,пристройка!J114,0)+IF('Ввод данных'!A369=связи1!A98,пристройка!J10,0))*J6*J32</f>
        <v>0</v>
      </c>
      <c r="K14" s="929" t="n">
        <f aca="false">(IF('Ввод данных'!A373=связи1!A94,пристройка!K10,0)+IF('Ввод данных'!A373=связи1!A95,пристройка!K10,0)+IF('Ввод данных'!A373=связи1!A96,пристройка!K10,0)+IF('Ввод данных'!A373=связи1!A97,пристройка!K114,0)+IF('Ввод данных'!A373=связи1!A98,пристройка!K10,0))*K6*K32</f>
        <v>0</v>
      </c>
      <c r="L14" s="919" t="n">
        <f aca="false">H14+I14+J14+K14</f>
        <v>0</v>
      </c>
      <c r="M14" s="928" t="n">
        <f aca="false">IF('Ввод данных'!A361=связи1!A94,пристройка!M10,0)+IF('Ввод данных'!A361=связи1!A95,пристройка!M10,0)+IF('Ввод данных'!A361=связи1!A96,пристройка!M10,0)+IF('Ввод данных'!A361=связи1!A97,пристройка!M114,0)+IF('Ввод данных'!A361=связи1!A98,пристройка!M10,0)</f>
        <v>0</v>
      </c>
      <c r="N14" s="928" t="n">
        <f aca="false">IF('Ввод данных'!A365=связи1!A94,пристройка!N10,0)+IF('Ввод данных'!A365=связи1!A95,пристройка!N10,0)+IF('Ввод данных'!A365=связи1!A96,пристройка!N10,0)+IF('Ввод данных'!A365=связи1!A97,пристройка!N114,0)+IF('Ввод данных'!A365=связи1!A98,пристройка!N10,0)</f>
        <v>0</v>
      </c>
      <c r="O14" s="928" t="n">
        <f aca="false">IF('Ввод данных'!A369=связи1!A94,пристройка!O10,0)+IF('Ввод данных'!A369=связи1!A95,пристройка!O10,0)+IF('Ввод данных'!A369=связи1!A96,пристройка!O10,0)+IF('Ввод данных'!A369=связи1!A97,пристройка!O114,0)+IF('Ввод данных'!A369=связи1!A98,пристройка!O10,0)</f>
        <v>0</v>
      </c>
      <c r="P14" s="929" t="n">
        <f aca="false">IF('Ввод данных'!A373=связи1!A94,пристройка!P10,0)+IF('Ввод данных'!A373=связи1!A95,пристройка!P10,0)+IF('Ввод данных'!A373=связи1!A96,пристройка!P10,0)+IF('Ввод данных'!A373=связи1!A97,пристройка!P114,0)+IF('Ввод данных'!A373=связи1!A98,пристройка!P10,0)</f>
        <v>0</v>
      </c>
      <c r="Q14" s="919" t="n">
        <f aca="false">M14+N14+O14+P14</f>
        <v>0</v>
      </c>
      <c r="R14" s="920" t="n">
        <f aca="false">G14+L14+Q14</f>
        <v>0</v>
      </c>
      <c r="AD14" s="930"/>
      <c r="AE14" s="903"/>
      <c r="AF14" s="931"/>
      <c r="AH14" s="680"/>
      <c r="AI14" s="680"/>
      <c r="AJ14" s="903"/>
      <c r="AK14" s="932"/>
      <c r="AL14" s="933"/>
      <c r="AM14" s="903"/>
      <c r="AN14" s="903"/>
      <c r="AO14" s="903"/>
      <c r="AP14" s="904"/>
      <c r="AQ14" s="905"/>
    </row>
    <row r="15" customFormat="false" ht="14.15" hidden="false" customHeight="true" outlineLevel="0" collapsed="false">
      <c r="A15" s="924" t="s">
        <v>2563</v>
      </c>
      <c r="B15" s="925"/>
      <c r="C15" s="928" t="n">
        <f aca="false">(IF('Ввод данных'!A361=связи1!A94,0,0)+IF('Ввод данных'!A361=связи1!A95,пристройка!C11,0)+IF('Ввод данных'!A361=связи1!A96,пристройка!C65,0)+IF('Ввод данных'!A361=связи1!A97,0,0)+IF('Ввод данных'!A361=связи1!A98,пристройка!C114+пристройка!C115+пристройка!C116,0))*C32*C6</f>
        <v>0</v>
      </c>
      <c r="D15" s="928" t="n">
        <f aca="false">(IF('Ввод данных'!A365=связи1!A94,0,0)+IF('Ввод данных'!A365=связи1!A95,пристройка!D11,0)+IF('Ввод данных'!A365=связи1!A96,пристройка!D65,0)+IF('Ввод данных'!A365=связи1!A97,0,0)+IF('Ввод данных'!A365=связи1!A98,пристройка!D114+пристройка!D115+пристройка!D116,0))*D6*D32</f>
        <v>0</v>
      </c>
      <c r="E15" s="928" t="n">
        <f aca="false">(IF('Ввод данных'!A369=связи1!A94,0,0)+IF('Ввод данных'!A369=связи1!A95,пристройка!E11,0)+IF('Ввод данных'!A369=связи1!A96,пристройка!E65,0)+IF('Ввод данных'!A369=связи1!A97,0,0)+IF('Ввод данных'!A369=связи1!A98,пристройка!E114+пристройка!E115+пристройка!E116,0))*E32*E6</f>
        <v>0</v>
      </c>
      <c r="F15" s="929" t="n">
        <f aca="false">(IF('Ввод данных'!A373=связи1!A94,0,0)+IF('Ввод данных'!A373=связи1!A95,пристройка!F11,0)+IF('Ввод данных'!A373=связи1!A96,пристройка!F65,0)+IF('Ввод данных'!A373=связи1!A97,0,0)+IF('Ввод данных'!A373=связи1!A98,пристройка!F114+пристройка!F115+пристройка!F116,0))*F6*F32</f>
        <v>0</v>
      </c>
      <c r="G15" s="919" t="n">
        <f aca="false">C15+D15+E15+F15</f>
        <v>0</v>
      </c>
      <c r="H15" s="928" t="n">
        <f aca="false">(IF('Ввод данных'!A361=связи1!A94,0,0)+IF('Ввод данных'!A361=связи1!A95,пристройка!H11,0)+IF('Ввод данных'!A361=связи1!A96,пристройка!H65,0)+IF('Ввод данных'!A361=связи1!A97,0,0)+IF('Ввод данных'!A361=связи1!A98,пристройка!H114+пристройка!H115+пристройка!H116,0))*H6*H32</f>
        <v>0</v>
      </c>
      <c r="I15" s="928" t="n">
        <f aca="false">(IF('Ввод данных'!A365=связи1!A94,0,0)+IF('Ввод данных'!A365=связи1!A95,пристройка!I11,0)+IF('Ввод данных'!A365=связи1!A96,пристройка!I65,0)+IF('Ввод данных'!A365=связи1!A97,0,0)+IF('Ввод данных'!A365=связи1!A98,пристройка!I114+пристройка!I115+пристройка!I116,0))*I6*I32</f>
        <v>0</v>
      </c>
      <c r="J15" s="928" t="n">
        <f aca="false">(IF('Ввод данных'!A369=связи1!A94,0,0)+IF('Ввод данных'!A369=связи1!A95,пристройка!J11,0)+IF('Ввод данных'!A369=связи1!A96,пристройка!J65,0)+IF('Ввод данных'!A369=связи1!A97,0,0)+IF('Ввод данных'!A369=связи1!A98,пристройка!J114+пристройка!J115+пристройка!J116,0))*J6*J32</f>
        <v>0</v>
      </c>
      <c r="K15" s="929" t="n">
        <f aca="false">(IF('Ввод данных'!A373=связи1!A94,0,0)+IF('Ввод данных'!A373=связи1!A95,пристройка!K11,0)+IF('Ввод данных'!A373=связи1!A96,пристройка!K65,0)+IF('Ввод данных'!A373=связи1!A97,0,0)+IF('Ввод данных'!A373=связи1!A98,пристройка!K114+пристройка!K115+пристройка!K116,0))*K6*K32</f>
        <v>0</v>
      </c>
      <c r="L15" s="919" t="n">
        <f aca="false">H15+I15+J15+K15</f>
        <v>0</v>
      </c>
      <c r="M15" s="928" t="n">
        <f aca="false">IF('Ввод данных'!A361=связи1!A94,0,0)+IF('Ввод данных'!A361=связи1!A95,пристройка!M11,0)+IF('Ввод данных'!A361=связи1!A96,пристройка!M65,0)+IF('Ввод данных'!A361=связи1!A97,0,0)+IF('Ввод данных'!A361=связи1!A98,пристройка!M114+пристройка!M115+пристройка!M116,0)</f>
        <v>0</v>
      </c>
      <c r="N15" s="928" t="n">
        <f aca="false">IF('Ввод данных'!A365=связи1!A94,0,0)+IF('Ввод данных'!A365=связи1!A95,пристройка!N11,0)+IF('Ввод данных'!A365=связи1!A96,пристройка!N65,0)+IF('Ввод данных'!A365=связи1!A97,0,0)+IF('Ввод данных'!A365=связи1!A98,пристройка!N114+пристройка!N115+пристройка!N116,0)</f>
        <v>0</v>
      </c>
      <c r="O15" s="928" t="n">
        <f aca="false">IF('Ввод данных'!A369=связи1!A94,0,0)+IF('Ввод данных'!A369=связи1!A95,пристройка!O11,0)+IF('Ввод данных'!A369=связи1!A96,пристройка!O65,0)+IF('Ввод данных'!A369=связи1!A97,0,0)+IF('Ввод данных'!A369=связи1!A98,пристройка!O114+пристройка!O115+пристройка!O116,0)</f>
        <v>0</v>
      </c>
      <c r="P15" s="929" t="n">
        <f aca="false">IF('Ввод данных'!A373=связи1!A94,0,0)+IF('Ввод данных'!A373=связи1!A95,пристройка!P11,0)+IF('Ввод данных'!A373=связи1!A96,пристройка!P65,0)+IF('Ввод данных'!A373=связи1!A97,0,0)+IF('Ввод данных'!A373=связи1!A98,пристройка!P114+пристройка!P115+пристройка!P116,0)</f>
        <v>0</v>
      </c>
      <c r="Q15" s="919" t="n">
        <f aca="false">M15+N15+O15+P15</f>
        <v>0</v>
      </c>
      <c r="R15" s="920" t="n">
        <f aca="false">G15+L15+Q15</f>
        <v>0</v>
      </c>
      <c r="AD15" s="930"/>
      <c r="AE15" s="903"/>
      <c r="AF15" s="931"/>
      <c r="AH15" s="680"/>
      <c r="AI15" s="680"/>
      <c r="AJ15" s="903"/>
      <c r="AK15" s="932"/>
      <c r="AL15" s="933"/>
      <c r="AM15" s="903"/>
      <c r="AN15" s="903"/>
      <c r="AO15" s="903"/>
      <c r="AP15" s="904"/>
      <c r="AQ15" s="905"/>
    </row>
    <row r="16" customFormat="false" ht="14.15" hidden="false" customHeight="true" outlineLevel="0" collapsed="false">
      <c r="A16" s="924" t="s">
        <v>2560</v>
      </c>
      <c r="B16" s="925"/>
      <c r="C16" s="928" t="n">
        <f aca="false">пристройка!D2*пристройка!C25*пристройка!C32</f>
        <v>0</v>
      </c>
      <c r="D16" s="928" t="n">
        <f aca="false">D2*пристройка!D25*пристройка!D32</f>
        <v>0</v>
      </c>
      <c r="E16" s="928" t="n">
        <f aca="false">пристройка!D2*пристройка!E25*пристройка!E32</f>
        <v>0</v>
      </c>
      <c r="F16" s="929" t="n">
        <f aca="false">пристройка!D2*пристройка!F25*пристройка!F32</f>
        <v>0</v>
      </c>
      <c r="G16" s="919"/>
      <c r="H16" s="928" t="n">
        <f aca="false">пристройка!D2*пристройка!H25*пристройка!H32</f>
        <v>0</v>
      </c>
      <c r="I16" s="928" t="n">
        <f aca="false">пристройка!D2*пристройка!I25*пристройка!I32</f>
        <v>0</v>
      </c>
      <c r="J16" s="928" t="n">
        <f aca="false">пристройка!D2*пристройка!J25*пристройка!J32</f>
        <v>0</v>
      </c>
      <c r="K16" s="929" t="n">
        <f aca="false">пристройка!D2*пристройка!K25*пристройка!K32</f>
        <v>0</v>
      </c>
      <c r="L16" s="919"/>
      <c r="M16" s="928" t="n">
        <f aca="false">пристройка!D2*пристройка!M25*пристройка!M32</f>
        <v>0</v>
      </c>
      <c r="N16" s="928" t="n">
        <f aca="false">пристройка!D2*пристройка!N25*пристройка!N32</f>
        <v>0</v>
      </c>
      <c r="O16" s="928" t="n">
        <f aca="false">пристройка!D2*пристройка!O25*пристройка!O32</f>
        <v>0</v>
      </c>
      <c r="P16" s="929" t="n">
        <f aca="false">пристройка!D2*пристройка!P25*пристройка!P32</f>
        <v>0</v>
      </c>
      <c r="Q16" s="919"/>
      <c r="R16" s="934"/>
      <c r="AD16" s="930"/>
      <c r="AE16" s="903"/>
      <c r="AF16" s="931"/>
      <c r="AH16" s="680"/>
      <c r="AI16" s="680"/>
      <c r="AJ16" s="903"/>
      <c r="AK16" s="932"/>
      <c r="AL16" s="933"/>
      <c r="AM16" s="903"/>
      <c r="AN16" s="903"/>
      <c r="AO16" s="903"/>
      <c r="AP16" s="904"/>
      <c r="AQ16" s="905"/>
    </row>
    <row r="17" customFormat="false" ht="14.15" hidden="false" customHeight="true" outlineLevel="0" collapsed="false">
      <c r="A17" s="924" t="s">
        <v>2562</v>
      </c>
      <c r="B17" s="925"/>
      <c r="C17" s="928" t="n">
        <f aca="false">C25*C32*D2</f>
        <v>0</v>
      </c>
      <c r="D17" s="928" t="n">
        <f aca="false">D25*D32*D2</f>
        <v>0</v>
      </c>
      <c r="E17" s="928" t="n">
        <f aca="false">E25*E32*D2</f>
        <v>0</v>
      </c>
      <c r="F17" s="929" t="n">
        <f aca="false">F25*F32*D2</f>
        <v>0</v>
      </c>
      <c r="G17" s="919"/>
      <c r="H17" s="928" t="n">
        <f aca="false">H25*H32*D2</f>
        <v>0</v>
      </c>
      <c r="I17" s="928" t="n">
        <f aca="false">I25*I32*D2</f>
        <v>0</v>
      </c>
      <c r="J17" s="928" t="n">
        <f aca="false">J25*J32*D2</f>
        <v>0</v>
      </c>
      <c r="K17" s="929" t="n">
        <f aca="false">K25*K32*D2</f>
        <v>0</v>
      </c>
      <c r="L17" s="919"/>
      <c r="M17" s="928" t="n">
        <f aca="false">M25*M32*D2</f>
        <v>0</v>
      </c>
      <c r="N17" s="928" t="n">
        <f aca="false">N25*N32*D2</f>
        <v>0</v>
      </c>
      <c r="O17" s="928" t="n">
        <f aca="false">O25*O32*D2</f>
        <v>0</v>
      </c>
      <c r="P17" s="929" t="n">
        <f aca="false">P25*P32*D2</f>
        <v>0</v>
      </c>
      <c r="Q17" s="919"/>
      <c r="R17" s="934"/>
      <c r="AD17" s="930"/>
      <c r="AE17" s="903"/>
      <c r="AF17" s="931"/>
      <c r="AH17" s="680"/>
      <c r="AI17" s="680"/>
      <c r="AJ17" s="903"/>
      <c r="AK17" s="932"/>
      <c r="AL17" s="933"/>
      <c r="AM17" s="903"/>
      <c r="AN17" s="903"/>
      <c r="AO17" s="903"/>
      <c r="AP17" s="904"/>
      <c r="AQ17" s="905"/>
    </row>
    <row r="18" customFormat="false" ht="14.15" hidden="false" customHeight="true" outlineLevel="0" collapsed="false">
      <c r="A18" s="924" t="s">
        <v>2561</v>
      </c>
      <c r="B18" s="925"/>
      <c r="C18" s="928" t="n">
        <f aca="false">C5*C32*D2</f>
        <v>0</v>
      </c>
      <c r="D18" s="928" t="n">
        <f aca="false">D5*D32*D2</f>
        <v>0</v>
      </c>
      <c r="E18" s="928" t="n">
        <f aca="false">E5*E32*D2</f>
        <v>0</v>
      </c>
      <c r="F18" s="929" t="n">
        <f aca="false">F5*F32*D2</f>
        <v>0</v>
      </c>
      <c r="G18" s="919"/>
      <c r="H18" s="928" t="n">
        <f aca="false">H5*H32*D2</f>
        <v>0</v>
      </c>
      <c r="I18" s="928" t="n">
        <f aca="false">I5*I32*D2</f>
        <v>0</v>
      </c>
      <c r="J18" s="928" t="n">
        <f aca="false">J5*J32*D2</f>
        <v>0</v>
      </c>
      <c r="K18" s="929" t="n">
        <f aca="false">K5*K32*D2</f>
        <v>0</v>
      </c>
      <c r="L18" s="919"/>
      <c r="M18" s="928" t="n">
        <f aca="false">M5*M32*D2</f>
        <v>0</v>
      </c>
      <c r="N18" s="928" t="n">
        <f aca="false">N5*N32*D2</f>
        <v>0</v>
      </c>
      <c r="O18" s="928" t="n">
        <f aca="false">O5*O32*D2</f>
        <v>0</v>
      </c>
      <c r="P18" s="929" t="n">
        <f aca="false">P5*P32*D2</f>
        <v>0</v>
      </c>
      <c r="Q18" s="919"/>
      <c r="R18" s="934"/>
      <c r="AD18" s="930"/>
      <c r="AE18" s="903"/>
      <c r="AF18" s="931"/>
      <c r="AH18" s="680"/>
      <c r="AI18" s="680"/>
      <c r="AJ18" s="903"/>
      <c r="AK18" s="932"/>
      <c r="AL18" s="933"/>
      <c r="AM18" s="903"/>
      <c r="AN18" s="903"/>
      <c r="AO18" s="903"/>
      <c r="AP18" s="904"/>
      <c r="AQ18" s="905"/>
    </row>
    <row r="19" customFormat="false" ht="14.15" hidden="false" customHeight="true" outlineLevel="0" collapsed="false">
      <c r="A19" s="924" t="s">
        <v>2563</v>
      </c>
      <c r="B19" s="925"/>
      <c r="C19" s="928" t="n">
        <f aca="false">C5*D2*C32</f>
        <v>0</v>
      </c>
      <c r="D19" s="928" t="n">
        <f aca="false">D5*D2*D32</f>
        <v>0</v>
      </c>
      <c r="E19" s="928" t="n">
        <f aca="false">E5*D2*E32</f>
        <v>0</v>
      </c>
      <c r="F19" s="929" t="n">
        <f aca="false">F5*D2*F32</f>
        <v>0</v>
      </c>
      <c r="G19" s="919"/>
      <c r="H19" s="928" t="n">
        <f aca="false">H5*D2*H32</f>
        <v>0</v>
      </c>
      <c r="I19" s="928" t="n">
        <f aca="false">I5*D2*I32</f>
        <v>0</v>
      </c>
      <c r="J19" s="928" t="n">
        <f aca="false">J5*D2*J32</f>
        <v>0</v>
      </c>
      <c r="K19" s="929" t="n">
        <f aca="false">K5*D2*K32</f>
        <v>0</v>
      </c>
      <c r="L19" s="919"/>
      <c r="M19" s="928" t="n">
        <f aca="false">M5*D2*M32</f>
        <v>0</v>
      </c>
      <c r="N19" s="928" t="n">
        <f aca="false">N5*D2*N32</f>
        <v>0</v>
      </c>
      <c r="O19" s="928" t="n">
        <f aca="false">O5*D2*O32</f>
        <v>0</v>
      </c>
      <c r="P19" s="929" t="n">
        <f aca="false">P5*D2*P32</f>
        <v>0</v>
      </c>
      <c r="Q19" s="919"/>
      <c r="R19" s="934"/>
      <c r="AD19" s="930"/>
      <c r="AE19" s="903"/>
      <c r="AF19" s="931"/>
      <c r="AH19" s="680"/>
      <c r="AI19" s="680"/>
      <c r="AJ19" s="903"/>
      <c r="AK19" s="932"/>
      <c r="AL19" s="933"/>
      <c r="AM19" s="903"/>
      <c r="AN19" s="903"/>
      <c r="AO19" s="903"/>
      <c r="AP19" s="904"/>
      <c r="AQ19" s="905"/>
    </row>
    <row r="20" customFormat="false" ht="14.15" hidden="false" customHeight="true" outlineLevel="0" collapsed="false">
      <c r="A20" s="935"/>
      <c r="B20" s="936"/>
      <c r="C20" s="742" t="s">
        <v>293</v>
      </c>
      <c r="D20" s="742"/>
      <c r="E20" s="742"/>
      <c r="F20" s="742"/>
      <c r="G20" s="358"/>
      <c r="H20" s="742" t="s">
        <v>293</v>
      </c>
      <c r="I20" s="742"/>
      <c r="J20" s="742"/>
      <c r="K20" s="742"/>
      <c r="L20" s="358"/>
      <c r="M20" s="742" t="s">
        <v>293</v>
      </c>
      <c r="N20" s="742"/>
      <c r="O20" s="742"/>
      <c r="P20" s="742"/>
      <c r="Q20" s="358"/>
      <c r="AD20" s="899"/>
      <c r="AE20" s="900"/>
      <c r="AF20" s="927"/>
      <c r="AH20" s="680"/>
      <c r="AI20" s="680"/>
      <c r="AJ20" s="903"/>
      <c r="AK20" s="909"/>
      <c r="AL20" s="910"/>
      <c r="AM20" s="903"/>
      <c r="AN20" s="903"/>
      <c r="AO20" s="903"/>
      <c r="AP20" s="904"/>
      <c r="AQ20" s="905"/>
    </row>
    <row r="21" customFormat="false" ht="14.15" hidden="false" customHeight="true" outlineLevel="0" collapsed="false">
      <c r="A21" s="534" t="s">
        <v>2001</v>
      </c>
      <c r="B21" s="925"/>
      <c r="C21" s="910" t="n">
        <v>0.2</v>
      </c>
      <c r="D21" s="937" t="n">
        <v>0.2</v>
      </c>
      <c r="E21" s="938" t="n">
        <v>0.2</v>
      </c>
      <c r="F21" s="938" t="n">
        <v>0.2</v>
      </c>
      <c r="G21" s="358"/>
      <c r="H21" s="910" t="n">
        <f aca="false">C21</f>
        <v>0.2</v>
      </c>
      <c r="I21" s="939" t="n">
        <f aca="false">D21</f>
        <v>0.2</v>
      </c>
      <c r="J21" s="939" t="n">
        <v>0.2</v>
      </c>
      <c r="K21" s="939" t="n">
        <v>0.2</v>
      </c>
      <c r="L21" s="358"/>
      <c r="M21" s="910" t="n">
        <f aca="false">H21</f>
        <v>0.2</v>
      </c>
      <c r="N21" s="939" t="n">
        <f aca="false">I21</f>
        <v>0.2</v>
      </c>
      <c r="O21" s="939" t="n">
        <v>0.2</v>
      </c>
      <c r="P21" s="939" t="n">
        <v>0.2</v>
      </c>
      <c r="Q21" s="358"/>
      <c r="AD21" s="899"/>
      <c r="AE21" s="900"/>
      <c r="AF21" s="927"/>
      <c r="AH21" s="680"/>
      <c r="AI21" s="680"/>
      <c r="AJ21" s="903"/>
      <c r="AK21" s="909"/>
      <c r="AL21" s="910"/>
      <c r="AM21" s="903"/>
      <c r="AN21" s="903"/>
      <c r="AO21" s="903"/>
      <c r="AP21" s="904"/>
      <c r="AQ21" s="905"/>
    </row>
    <row r="22" customFormat="false" ht="14.15" hidden="false" customHeight="true" outlineLevel="0" collapsed="false">
      <c r="A22" s="534" t="s">
        <v>2557</v>
      </c>
      <c r="B22" s="925"/>
      <c r="C22" s="910" t="n">
        <v>0.2</v>
      </c>
      <c r="D22" s="937" t="n">
        <v>0.2</v>
      </c>
      <c r="E22" s="938" t="n">
        <v>0.2</v>
      </c>
      <c r="F22" s="938" t="n">
        <v>0.2</v>
      </c>
      <c r="G22" s="358"/>
      <c r="H22" s="910" t="n">
        <f aca="false">C22</f>
        <v>0.2</v>
      </c>
      <c r="I22" s="939" t="n">
        <f aca="false">D22</f>
        <v>0.2</v>
      </c>
      <c r="J22" s="939" t="n">
        <v>0.2</v>
      </c>
      <c r="K22" s="939" t="n">
        <v>0.2</v>
      </c>
      <c r="L22" s="358"/>
      <c r="M22" s="910" t="n">
        <f aca="false">H22</f>
        <v>0.2</v>
      </c>
      <c r="N22" s="939" t="n">
        <f aca="false">I22</f>
        <v>0.2</v>
      </c>
      <c r="O22" s="939" t="n">
        <v>0.2</v>
      </c>
      <c r="P22" s="939" t="n">
        <v>0.2</v>
      </c>
      <c r="Q22" s="358"/>
      <c r="AD22" s="899"/>
      <c r="AE22" s="900"/>
      <c r="AF22" s="927"/>
      <c r="AH22" s="680"/>
      <c r="AI22" s="680"/>
      <c r="AJ22" s="903"/>
      <c r="AK22" s="909"/>
      <c r="AL22" s="910"/>
      <c r="AM22" s="903"/>
      <c r="AN22" s="903"/>
      <c r="AO22" s="903"/>
      <c r="AP22" s="904"/>
      <c r="AQ22" s="905"/>
    </row>
    <row r="23" customFormat="false" ht="14.15" hidden="false" customHeight="true" outlineLevel="0" collapsed="false">
      <c r="A23" s="924" t="s">
        <v>2558</v>
      </c>
      <c r="B23" s="925"/>
      <c r="C23" s="910" t="n">
        <v>0.2</v>
      </c>
      <c r="D23" s="937" t="n">
        <v>0.2</v>
      </c>
      <c r="E23" s="938" t="n">
        <v>0.2</v>
      </c>
      <c r="F23" s="938" t="n">
        <v>0.2</v>
      </c>
      <c r="G23" s="358"/>
      <c r="H23" s="910" t="n">
        <f aca="false">C23</f>
        <v>0.2</v>
      </c>
      <c r="I23" s="939" t="n">
        <f aca="false">D23</f>
        <v>0.2</v>
      </c>
      <c r="J23" s="939" t="n">
        <v>0.2</v>
      </c>
      <c r="K23" s="939" t="n">
        <v>0.2</v>
      </c>
      <c r="L23" s="358"/>
      <c r="M23" s="910" t="n">
        <f aca="false">H23</f>
        <v>0.2</v>
      </c>
      <c r="N23" s="939" t="n">
        <f aca="false">I23</f>
        <v>0.2</v>
      </c>
      <c r="O23" s="939" t="n">
        <v>0.2</v>
      </c>
      <c r="P23" s="939" t="n">
        <v>0.2</v>
      </c>
      <c r="Q23" s="358"/>
      <c r="AD23" s="899"/>
      <c r="AE23" s="900"/>
      <c r="AF23" s="927"/>
      <c r="AH23" s="680"/>
      <c r="AI23" s="680"/>
      <c r="AJ23" s="903"/>
      <c r="AK23" s="909"/>
      <c r="AL23" s="910"/>
      <c r="AM23" s="903"/>
      <c r="AN23" s="903"/>
      <c r="AO23" s="903"/>
      <c r="AP23" s="904"/>
      <c r="AQ23" s="905"/>
    </row>
    <row r="24" customFormat="false" ht="14.15" hidden="false" customHeight="true" outlineLevel="0" collapsed="false">
      <c r="A24" s="935"/>
      <c r="B24" s="936"/>
      <c r="C24" s="742" t="s">
        <v>1820</v>
      </c>
      <c r="D24" s="742"/>
      <c r="E24" s="742"/>
      <c r="F24" s="742"/>
      <c r="G24" s="358"/>
      <c r="H24" s="742" t="s">
        <v>1820</v>
      </c>
      <c r="I24" s="742"/>
      <c r="J24" s="742"/>
      <c r="K24" s="742"/>
      <c r="L24" s="358"/>
      <c r="M24" s="742" t="s">
        <v>1820</v>
      </c>
      <c r="N24" s="742"/>
      <c r="O24" s="742"/>
      <c r="P24" s="742"/>
      <c r="Q24" s="358"/>
      <c r="AD24" s="899"/>
      <c r="AE24" s="900"/>
      <c r="AF24" s="927"/>
      <c r="AH24" s="680"/>
      <c r="AI24" s="680"/>
      <c r="AJ24" s="903"/>
      <c r="AK24" s="909"/>
      <c r="AL24" s="910"/>
      <c r="AM24" s="903"/>
      <c r="AN24" s="903"/>
      <c r="AO24" s="903"/>
      <c r="AP24" s="904"/>
      <c r="AQ24" s="905"/>
    </row>
    <row r="25" customFormat="false" ht="14.15" hidden="false" customHeight="true" outlineLevel="0" collapsed="false">
      <c r="A25" s="534" t="s">
        <v>2001</v>
      </c>
      <c r="B25" s="925"/>
      <c r="C25" s="898" t="n">
        <f aca="false">IF('Ввод данных'!A361=связи1!A94,1,0)+IF('Ввод данных'!A361=связи1!A95,1,0)+IF('Ввод данных'!A361=связи1!A96,1,0)+IF('Ввод данных'!A361=связи1!A97,1,0)+IF('Ввод данных'!A361=связи1!A98,1,0)</f>
        <v>1</v>
      </c>
      <c r="D25" s="897" t="n">
        <f aca="false">IF('Ввод данных'!A365=связи1!A94,1,0)+IF('Ввод данных'!A365=связи1!A95,1,0)+IF('Ввод данных'!A365=связи1!A96,1,0)+IF('Ввод данных'!A365=связи1!A97,1,0)+IF('Ввод данных'!A365=связи1!A98,1,0)</f>
        <v>1</v>
      </c>
      <c r="E25" s="898" t="n">
        <f aca="false">IF('Ввод данных'!A369=связи1!A94,1,0)+IF('Ввод данных'!A369=связи1!A95,1,0)+IF('Ввод данных'!A369=связи1!A96,1,0)+IF('Ввод данных'!A369=связи1!A97,1,0)+IF('Ввод данных'!A369=связи1!A98,1,0)</f>
        <v>1</v>
      </c>
      <c r="F25" s="898" t="n">
        <f aca="false">IF('Ввод данных'!A373=связи1!A94,1,0)+IF('Ввод данных'!A373=связи1!A95,1,0)+IF('Ввод данных'!A373=связи1!A96,1,0)+IF('Ввод данных'!A373=связи1!A97,1,0)+IF('Ввод данных'!A373=связи1!A98,1,0)</f>
        <v>1</v>
      </c>
      <c r="G25" s="358" t="n">
        <f aca="false">пристройка!D2*пристройка!C25*пристройка!C32</f>
        <v>0</v>
      </c>
      <c r="H25" s="897" t="n">
        <f aca="false">C25</f>
        <v>1</v>
      </c>
      <c r="I25" s="897" t="n">
        <f aca="false">D25</f>
        <v>1</v>
      </c>
      <c r="J25" s="897" t="n">
        <f aca="false">E25</f>
        <v>1</v>
      </c>
      <c r="K25" s="897" t="n">
        <f aca="false">F25</f>
        <v>1</v>
      </c>
      <c r="L25" s="358"/>
      <c r="M25" s="897" t="n">
        <f aca="false">H25</f>
        <v>1</v>
      </c>
      <c r="N25" s="897" t="n">
        <f aca="false">I25</f>
        <v>1</v>
      </c>
      <c r="O25" s="897" t="n">
        <f aca="false">J25</f>
        <v>1</v>
      </c>
      <c r="P25" s="897" t="n">
        <f aca="false">K25</f>
        <v>1</v>
      </c>
      <c r="Q25" s="358"/>
      <c r="AD25" s="899"/>
      <c r="AE25" s="900"/>
      <c r="AF25" s="927"/>
      <c r="AH25" s="680"/>
      <c r="AI25" s="680"/>
      <c r="AJ25" s="903"/>
      <c r="AK25" s="909"/>
      <c r="AL25" s="910"/>
      <c r="AM25" s="903"/>
      <c r="AN25" s="903"/>
      <c r="AO25" s="903"/>
      <c r="AP25" s="904"/>
      <c r="AQ25" s="905"/>
    </row>
    <row r="26" customFormat="false" ht="14.15" hidden="false" customHeight="true" outlineLevel="0" collapsed="false">
      <c r="A26" s="534" t="s">
        <v>2557</v>
      </c>
      <c r="B26" s="925"/>
      <c r="C26" s="898" t="n">
        <f aca="false">IF('Ввод данных'!A361=связи1!A94,1,0)+IF('Ввод данных'!A361=связи1!A95,1,0)+IF('Ввод данных'!A361=связи1!A96,1,0)+IF('Ввод данных'!A361=связи1!A97,0,0)+IF('Ввод данных'!A361=связи1!A98,1,0)</f>
        <v>0</v>
      </c>
      <c r="D26" s="897" t="n">
        <f aca="false">IF('Ввод данных'!A365=связи1!A94,1,0)+IF('Ввод данных'!A365=связи1!A95,1,0)+IF('Ввод данных'!A365=связи1!A96,1,0)+IF('Ввод данных'!A365=связи1!A97,0,0)+IF('Ввод данных'!A365=связи1!A98,1,0)</f>
        <v>1</v>
      </c>
      <c r="E26" s="898" t="n">
        <f aca="false">IF('Ввод данных'!A369=связи1!A94,1,0)+IF('Ввод данных'!A369=связи1!A95,1,0)+IF('Ввод данных'!A369=связи1!A96,1,0)+IF('Ввод данных'!A369=связи1!A97,0,0)+IF('Ввод данных'!A369=связи1!A98,1,0)</f>
        <v>1</v>
      </c>
      <c r="F26" s="898" t="n">
        <f aca="false">IF('Ввод данных'!A373=связи1!A94,1,0)+IF('Ввод данных'!A373=связи1!A95,1,0)+IF('Ввод данных'!A373=связи1!A96,1,0)+IF('Ввод данных'!A373=связи1!A97,0,0)+IF('Ввод данных'!A373=связи1!A98,1,0)</f>
        <v>1</v>
      </c>
      <c r="G26" s="358"/>
      <c r="H26" s="897" t="n">
        <f aca="false">C26</f>
        <v>0</v>
      </c>
      <c r="I26" s="897" t="n">
        <f aca="false">D26</f>
        <v>1</v>
      </c>
      <c r="J26" s="897" t="n">
        <f aca="false">E26</f>
        <v>1</v>
      </c>
      <c r="K26" s="897" t="n">
        <f aca="false">F26</f>
        <v>1</v>
      </c>
      <c r="L26" s="358"/>
      <c r="M26" s="897" t="n">
        <f aca="false">H26</f>
        <v>0</v>
      </c>
      <c r="N26" s="897" t="n">
        <f aca="false">I26</f>
        <v>1</v>
      </c>
      <c r="O26" s="897" t="n">
        <f aca="false">J26</f>
        <v>1</v>
      </c>
      <c r="P26" s="897" t="n">
        <f aca="false">K26</f>
        <v>1</v>
      </c>
      <c r="Q26" s="358"/>
      <c r="AD26" s="899"/>
      <c r="AE26" s="900"/>
      <c r="AF26" s="927"/>
      <c r="AH26" s="680"/>
      <c r="AI26" s="680"/>
      <c r="AJ26" s="903"/>
      <c r="AK26" s="909"/>
      <c r="AL26" s="910"/>
      <c r="AM26" s="903"/>
      <c r="AN26" s="903"/>
      <c r="AO26" s="903"/>
      <c r="AP26" s="904"/>
      <c r="AQ26" s="905"/>
    </row>
    <row r="27" customFormat="false" ht="14.15" hidden="false" customHeight="true" outlineLevel="0" collapsed="false">
      <c r="A27" s="924" t="s">
        <v>2558</v>
      </c>
      <c r="B27" s="925"/>
      <c r="C27" s="898" t="n">
        <f aca="false">IF('Ввод данных'!A361=связи1!A94,0,0)+IF('Ввод данных'!A361=связи1!A95,1,0)+IF('Ввод данных'!A361=связи1!A96,0,0)+IF('Ввод данных'!A361=связи1!A97,0,0)+IF('Ввод данных'!A361=связи1!A98,1,0)</f>
        <v>0</v>
      </c>
      <c r="D27" s="897" t="n">
        <f aca="false">IF('Ввод данных'!A365=связи1!A94,0,0)+IF('Ввод данных'!A365=связи1!A95,1,0)+IF('Ввод данных'!A365=связи1!A96,0,0)+IF('Ввод данных'!A365=связи1!A97,0,0)+IF('Ввод данных'!A365=связи1!A98,1,0)</f>
        <v>1</v>
      </c>
      <c r="E27" s="898" t="n">
        <f aca="false">IF('Ввод данных'!A369=связи1!A94,0,0)+IF('Ввод данных'!A369=связи1!A95,1,0)+IF('Ввод данных'!A369=связи1!A96,0,0)+IF('Ввод данных'!A369=связи1!A97,0,0)+IF('Ввод данных'!A369=связи1!A98,1,0)</f>
        <v>0</v>
      </c>
      <c r="F27" s="898" t="n">
        <f aca="false">IF('Ввод данных'!A373=связи1!A94,0,0)+IF('Ввод данных'!A373=связи1!A95,1,0)+IF('Ввод данных'!A373=связи1!A96,0,0)+IF('Ввод данных'!A373=связи1!A97,0,0)+IF('Ввод данных'!A373=связи1!A98,1,0)</f>
        <v>0</v>
      </c>
      <c r="G27" s="358"/>
      <c r="H27" s="897" t="n">
        <f aca="false">C27</f>
        <v>0</v>
      </c>
      <c r="I27" s="897" t="n">
        <f aca="false">D27</f>
        <v>1</v>
      </c>
      <c r="J27" s="897" t="n">
        <f aca="false">E27</f>
        <v>0</v>
      </c>
      <c r="K27" s="897" t="n">
        <f aca="false">F27</f>
        <v>0</v>
      </c>
      <c r="L27" s="358"/>
      <c r="M27" s="897" t="n">
        <f aca="false">H27</f>
        <v>0</v>
      </c>
      <c r="N27" s="897" t="n">
        <f aca="false">I27</f>
        <v>1</v>
      </c>
      <c r="O27" s="897" t="n">
        <f aca="false">J27</f>
        <v>0</v>
      </c>
      <c r="P27" s="897" t="n">
        <f aca="false">K27</f>
        <v>0</v>
      </c>
      <c r="Q27" s="358"/>
      <c r="AD27" s="899"/>
      <c r="AE27" s="900"/>
      <c r="AF27" s="927"/>
      <c r="AH27" s="680"/>
      <c r="AI27" s="680"/>
      <c r="AJ27" s="903"/>
      <c r="AK27" s="909"/>
      <c r="AL27" s="910"/>
      <c r="AM27" s="903"/>
      <c r="AN27" s="903"/>
      <c r="AO27" s="903"/>
      <c r="AP27" s="904"/>
      <c r="AQ27" s="905"/>
    </row>
    <row r="28" customFormat="false" ht="14.15" hidden="false" customHeight="true" outlineLevel="0" collapsed="false">
      <c r="A28" s="924" t="s">
        <v>2564</v>
      </c>
      <c r="B28" s="925"/>
      <c r="C28" s="940" t="n">
        <f aca="false">(C34+C33+C33)*C32*C25</f>
        <v>0</v>
      </c>
      <c r="D28" s="940" t="n">
        <f aca="false">(D34+D33+D33)*D32*D25</f>
        <v>0</v>
      </c>
      <c r="E28" s="940" t="n">
        <f aca="false">(E34+E33+E33)*E32*E25</f>
        <v>0</v>
      </c>
      <c r="F28" s="898" t="n">
        <f aca="false">(F34+F33+F33)*F32*F25</f>
        <v>0</v>
      </c>
      <c r="G28" s="379" t="n">
        <f aca="false">C28+D28+E28+F28</f>
        <v>0</v>
      </c>
      <c r="H28" s="940" t="n">
        <f aca="false">(H34+H33+H33)*H32*H25</f>
        <v>0</v>
      </c>
      <c r="I28" s="940" t="n">
        <f aca="false">(I34+I33+I33)*I32*I25</f>
        <v>0</v>
      </c>
      <c r="J28" s="940" t="n">
        <f aca="false">(J34+J33+J33)*J32*J25</f>
        <v>0</v>
      </c>
      <c r="K28" s="898" t="n">
        <f aca="false">(K34+K33+K33)*K32*K25</f>
        <v>0</v>
      </c>
      <c r="L28" s="379" t="n">
        <f aca="false">H28+I28+J28+K28</f>
        <v>0</v>
      </c>
      <c r="M28" s="940" t="n">
        <f aca="false">(M34+M33+M33)*M32*M25</f>
        <v>0</v>
      </c>
      <c r="N28" s="940" t="n">
        <f aca="false">(N34+N33+N33)*N32*N25</f>
        <v>0</v>
      </c>
      <c r="O28" s="940" t="n">
        <f aca="false">(O34+O33+O33)*O32*O25</f>
        <v>0</v>
      </c>
      <c r="P28" s="898" t="n">
        <f aca="false">(P34+P33+P33)*P32*P25</f>
        <v>0</v>
      </c>
      <c r="Q28" s="379" t="n">
        <f aca="false">M28+N28+O28+P28</f>
        <v>0</v>
      </c>
      <c r="R28" s="941" t="n">
        <f aca="false">G28+L28+Q28</f>
        <v>0</v>
      </c>
      <c r="AD28" s="899"/>
      <c r="AE28" s="900"/>
      <c r="AF28" s="927"/>
      <c r="AH28" s="680"/>
      <c r="AI28" s="680"/>
      <c r="AJ28" s="903"/>
      <c r="AK28" s="909"/>
      <c r="AL28" s="910"/>
      <c r="AM28" s="903"/>
      <c r="AN28" s="903"/>
      <c r="AO28" s="903"/>
      <c r="AP28" s="904"/>
      <c r="AQ28" s="905"/>
    </row>
    <row r="29" customFormat="false" ht="14.15" hidden="false" customHeight="true" outlineLevel="0" collapsed="false">
      <c r="A29" s="924" t="s">
        <v>2565</v>
      </c>
      <c r="B29" s="925"/>
      <c r="C29" s="940" t="n">
        <f aca="false">(C34+C33+C33)*C32*C26</f>
        <v>0</v>
      </c>
      <c r="D29" s="940" t="n">
        <f aca="false">(D34+D33+D33)*D32*D26</f>
        <v>0</v>
      </c>
      <c r="E29" s="940" t="n">
        <f aca="false">(E34+E33+E33)*E32*E26</f>
        <v>0</v>
      </c>
      <c r="F29" s="898" t="n">
        <f aca="false">(F34+F33+F33)*F32*F26</f>
        <v>0</v>
      </c>
      <c r="G29" s="379" t="n">
        <f aca="false">C29+D29+E29+F29</f>
        <v>0</v>
      </c>
      <c r="H29" s="940" t="n">
        <f aca="false">(H34+H33+H33)*H32*H26</f>
        <v>0</v>
      </c>
      <c r="I29" s="940" t="n">
        <f aca="false">(I34+I33+I33)*I32*I26</f>
        <v>0</v>
      </c>
      <c r="J29" s="940" t="n">
        <f aca="false">(J34+J33+J33)*J32*J26</f>
        <v>0</v>
      </c>
      <c r="K29" s="898" t="n">
        <f aca="false">(K34+K33+K33)*K32*K26</f>
        <v>0</v>
      </c>
      <c r="L29" s="379" t="n">
        <f aca="false">H29+I29+J29+K29</f>
        <v>0</v>
      </c>
      <c r="M29" s="940" t="n">
        <f aca="false">(M34+M33+M33)*M32*M26</f>
        <v>0</v>
      </c>
      <c r="N29" s="940" t="n">
        <f aca="false">(N34+N33+N33)*N32*N26</f>
        <v>0</v>
      </c>
      <c r="O29" s="940" t="n">
        <f aca="false">(O34+O33+O33)*O32*O26</f>
        <v>0</v>
      </c>
      <c r="P29" s="898" t="n">
        <f aca="false">(P34+P33+P33)*P32*P26</f>
        <v>0</v>
      </c>
      <c r="Q29" s="379" t="n">
        <f aca="false">M29+N29+O29+P29</f>
        <v>0</v>
      </c>
      <c r="R29" s="941" t="n">
        <f aca="false">G29+L29+Q29</f>
        <v>0</v>
      </c>
      <c r="AD29" s="899"/>
      <c r="AE29" s="900"/>
      <c r="AF29" s="927"/>
      <c r="AH29" s="680"/>
      <c r="AI29" s="680"/>
      <c r="AJ29" s="903"/>
      <c r="AK29" s="909"/>
      <c r="AL29" s="910"/>
      <c r="AM29" s="903"/>
      <c r="AN29" s="903"/>
      <c r="AO29" s="903"/>
      <c r="AP29" s="904"/>
      <c r="AQ29" s="905"/>
    </row>
    <row r="30" customFormat="false" ht="14.15" hidden="false" customHeight="true" outlineLevel="0" collapsed="false">
      <c r="A30" s="924" t="s">
        <v>2566</v>
      </c>
      <c r="B30" s="925"/>
      <c r="C30" s="940" t="n">
        <f aca="false">(C34+C33+C33)*C32*C27</f>
        <v>0</v>
      </c>
      <c r="D30" s="940" t="n">
        <f aca="false">(D34+D33+D33)*D32*D27</f>
        <v>0</v>
      </c>
      <c r="E30" s="940" t="n">
        <f aca="false">(E34+E33+E33)*E32*E27</f>
        <v>0</v>
      </c>
      <c r="F30" s="898" t="n">
        <f aca="false">(F34+F33+F33)*F32*F27</f>
        <v>0</v>
      </c>
      <c r="G30" s="379" t="n">
        <f aca="false">C30+D30+E30+F30</f>
        <v>0</v>
      </c>
      <c r="H30" s="940" t="n">
        <f aca="false">(H34+H33+H33)*H32*H27</f>
        <v>0</v>
      </c>
      <c r="I30" s="940" t="n">
        <f aca="false">(I34+I33+I33)*I32*I27</f>
        <v>0</v>
      </c>
      <c r="J30" s="940" t="n">
        <f aca="false">(J34+J33+J33)*J32*J27</f>
        <v>0</v>
      </c>
      <c r="K30" s="898" t="n">
        <f aca="false">(K34+K33+K33)*K32*K27</f>
        <v>0</v>
      </c>
      <c r="L30" s="379" t="n">
        <f aca="false">H30+I30+J30+K30</f>
        <v>0</v>
      </c>
      <c r="M30" s="940" t="n">
        <f aca="false">(M34+M33+M33)*M32*M27</f>
        <v>0</v>
      </c>
      <c r="N30" s="940" t="n">
        <f aca="false">(N34+N33+N33)*N32*N27</f>
        <v>0</v>
      </c>
      <c r="O30" s="940" t="n">
        <f aca="false">(O34+O33+O33)*O32*O27</f>
        <v>0</v>
      </c>
      <c r="P30" s="898" t="n">
        <f aca="false">(P34+P33+P33)*P32*P27</f>
        <v>0</v>
      </c>
      <c r="Q30" s="379" t="n">
        <f aca="false">M30+N30+O30+P30</f>
        <v>0</v>
      </c>
      <c r="R30" s="941" t="n">
        <f aca="false">G30+L30+Q30</f>
        <v>0</v>
      </c>
      <c r="AD30" s="899"/>
      <c r="AE30" s="900"/>
      <c r="AF30" s="927"/>
      <c r="AH30" s="680"/>
      <c r="AI30" s="680"/>
      <c r="AJ30" s="903"/>
      <c r="AK30" s="909"/>
      <c r="AL30" s="910"/>
      <c r="AM30" s="903"/>
      <c r="AN30" s="903"/>
      <c r="AO30" s="903"/>
      <c r="AP30" s="904"/>
      <c r="AQ30" s="905"/>
    </row>
    <row r="31" customFormat="false" ht="14.15" hidden="false" customHeight="true" outlineLevel="0" collapsed="false">
      <c r="A31" s="942"/>
      <c r="B31" s="936"/>
      <c r="C31" s="943" t="s">
        <v>2567</v>
      </c>
      <c r="D31" s="944" t="s">
        <v>2568</v>
      </c>
      <c r="E31" s="923" t="s">
        <v>2569</v>
      </c>
      <c r="F31" s="923" t="s">
        <v>2570</v>
      </c>
      <c r="H31" s="943" t="s">
        <v>2567</v>
      </c>
      <c r="I31" s="944" t="s">
        <v>2568</v>
      </c>
      <c r="J31" s="923" t="s">
        <v>2569</v>
      </c>
      <c r="K31" s="923" t="s">
        <v>2570</v>
      </c>
      <c r="M31" s="943" t="s">
        <v>2567</v>
      </c>
      <c r="N31" s="944" t="s">
        <v>2568</v>
      </c>
      <c r="O31" s="923" t="s">
        <v>2569</v>
      </c>
      <c r="P31" s="923" t="s">
        <v>2570</v>
      </c>
      <c r="AD31" s="899" t="n">
        <f aca="false">'Ввод данных'!BD370</f>
        <v>5.8</v>
      </c>
      <c r="AE31" s="900" t="s">
        <v>2571</v>
      </c>
      <c r="AF31" s="890"/>
      <c r="AH31" s="680"/>
      <c r="AI31" s="680"/>
      <c r="AJ31" s="903" t="s">
        <v>156</v>
      </c>
      <c r="AK31" s="909" t="n">
        <v>0</v>
      </c>
      <c r="AL31" s="910" t="n">
        <v>0</v>
      </c>
      <c r="AM31" s="903" t="n">
        <f aca="false">AK31*AL31</f>
        <v>0</v>
      </c>
      <c r="AN31" s="903" t="n">
        <f aca="false">AM31*C38*C5</f>
        <v>0</v>
      </c>
      <c r="AO31" s="903" t="n">
        <v>0</v>
      </c>
      <c r="AP31" s="904" t="n">
        <v>0</v>
      </c>
      <c r="AQ31" s="905" t="n">
        <f aca="false">AO31+AP31+0.3</f>
        <v>0.3</v>
      </c>
    </row>
    <row r="32" customFormat="false" ht="14.15" hidden="false" customHeight="true" outlineLevel="0" collapsed="false">
      <c r="A32" s="942"/>
      <c r="B32" s="936"/>
      <c r="C32" s="943" t="n">
        <f aca="false">связи1!C550*C7*C6</f>
        <v>0</v>
      </c>
      <c r="D32" s="944" t="n">
        <f aca="false">связи1!D550*D7*D6</f>
        <v>0</v>
      </c>
      <c r="E32" s="923" t="n">
        <f aca="false">связи1!E550*E7*E6</f>
        <v>0</v>
      </c>
      <c r="F32" s="923" t="n">
        <f aca="false">связи1!F550*F7*F6</f>
        <v>0</v>
      </c>
      <c r="G32" s="0" t="s">
        <v>2572</v>
      </c>
      <c r="H32" s="945" t="n">
        <f aca="false">связи1!C550*H7*H6</f>
        <v>0</v>
      </c>
      <c r="I32" s="945" t="n">
        <f aca="false">связи1!D550*I7*I6</f>
        <v>0</v>
      </c>
      <c r="J32" s="945" t="n">
        <f aca="false">связи1!E550*J7*J6</f>
        <v>0</v>
      </c>
      <c r="K32" s="945" t="n">
        <f aca="false">связи1!F550*K7*K6</f>
        <v>0</v>
      </c>
      <c r="L32" s="0" t="s">
        <v>2572</v>
      </c>
      <c r="M32" s="945" t="n">
        <f aca="false">связи1!C550*пристройка!M6</f>
        <v>0</v>
      </c>
      <c r="N32" s="945" t="n">
        <f aca="false">связи1!D550*пристройка!N6</f>
        <v>0</v>
      </c>
      <c r="O32" s="945" t="n">
        <f aca="false">связи1!E550*пристройка!O6</f>
        <v>0</v>
      </c>
      <c r="P32" s="945" t="n">
        <f aca="false">связи1!F550*пристройка!P6</f>
        <v>0</v>
      </c>
      <c r="AD32" s="899"/>
      <c r="AE32" s="900"/>
      <c r="AF32" s="890"/>
      <c r="AH32" s="680"/>
      <c r="AI32" s="680"/>
      <c r="AJ32" s="903"/>
      <c r="AK32" s="909"/>
      <c r="AL32" s="910"/>
      <c r="AM32" s="903"/>
      <c r="AN32" s="903"/>
      <c r="AO32" s="903"/>
      <c r="AP32" s="904"/>
      <c r="AQ32" s="905"/>
    </row>
    <row r="33" customFormat="false" ht="14.15" hidden="false" customHeight="true" outlineLevel="0" collapsed="false">
      <c r="A33" s="924" t="s">
        <v>2573</v>
      </c>
      <c r="B33" s="925" t="s">
        <v>156</v>
      </c>
      <c r="C33" s="909" t="n">
        <f aca="false">пристройка!AF42</f>
        <v>3</v>
      </c>
      <c r="D33" s="939" t="n">
        <f aca="false">связи1!D551</f>
        <v>3</v>
      </c>
      <c r="E33" s="946" t="n">
        <f aca="false">связи1!E551</f>
        <v>3</v>
      </c>
      <c r="F33" s="946" t="n">
        <f aca="false">связи1!F551</f>
        <v>3</v>
      </c>
      <c r="G33" s="919" t="n">
        <f aca="false">(C34+C33+C33)*C32*C3+(D34+D33+D33)*D32*D3+E32*(E34+E33+E33)*E3+F32*(F34+F33+F33)*F3</f>
        <v>0</v>
      </c>
      <c r="H33" s="910" t="n">
        <f aca="false">C33</f>
        <v>3</v>
      </c>
      <c r="I33" s="910" t="n">
        <f aca="false">D33</f>
        <v>3</v>
      </c>
      <c r="J33" s="910" t="n">
        <f aca="false">E33</f>
        <v>3</v>
      </c>
      <c r="K33" s="910" t="n">
        <f aca="false">связи1!F551</f>
        <v>3</v>
      </c>
      <c r="L33" s="919" t="n">
        <f aca="false">H32*(H34+H33+H33)*H3+I32*(I34+I33+I33)*I3+J32*(J34+J33+J33)*J3+K32*(K34+K33+K33)</f>
        <v>0</v>
      </c>
      <c r="M33" s="910" t="n">
        <f aca="false">H33</f>
        <v>3</v>
      </c>
      <c r="N33" s="910" t="n">
        <f aca="false">I33</f>
        <v>3</v>
      </c>
      <c r="O33" s="910" t="n">
        <f aca="false">J33</f>
        <v>3</v>
      </c>
      <c r="P33" s="910" t="n">
        <f aca="false">F33</f>
        <v>3</v>
      </c>
      <c r="Q33" s="919" t="n">
        <f aca="false">M32*(M34+M33+M33)*M3+N32*(N34+N33+N33)*N3+O32*(O34+O33+O33)*O3+P32*(P34+P33+P33)</f>
        <v>0</v>
      </c>
      <c r="R33" s="920" t="n">
        <f aca="false">G33+L33+Q33</f>
        <v>0</v>
      </c>
      <c r="AD33" s="899"/>
      <c r="AE33" s="900"/>
      <c r="AF33" s="890"/>
      <c r="AH33" s="680"/>
      <c r="AI33" s="680"/>
      <c r="AJ33" s="903"/>
      <c r="AK33" s="909"/>
      <c r="AL33" s="910"/>
      <c r="AM33" s="903"/>
      <c r="AN33" s="903"/>
      <c r="AO33" s="903"/>
      <c r="AP33" s="904"/>
      <c r="AQ33" s="905"/>
    </row>
    <row r="34" customFormat="false" ht="14.15" hidden="false" customHeight="true" outlineLevel="0" collapsed="false">
      <c r="A34" s="924" t="s">
        <v>2071</v>
      </c>
      <c r="B34" s="925" t="s">
        <v>156</v>
      </c>
      <c r="C34" s="909" t="n">
        <f aca="false">пристройка!AF50</f>
        <v>6</v>
      </c>
      <c r="D34" s="939" t="n">
        <f aca="false">связи1!D552</f>
        <v>3</v>
      </c>
      <c r="E34" s="946" t="n">
        <f aca="false">связи1!E552</f>
        <v>3</v>
      </c>
      <c r="F34" s="946" t="n">
        <f aca="false">связи1!F552</f>
        <v>5</v>
      </c>
      <c r="G34" s="919" t="s">
        <v>2574</v>
      </c>
      <c r="H34" s="910" t="n">
        <f aca="false">C34</f>
        <v>6</v>
      </c>
      <c r="I34" s="910" t="n">
        <f aca="false">D34</f>
        <v>3</v>
      </c>
      <c r="J34" s="910" t="n">
        <f aca="false">E34</f>
        <v>3</v>
      </c>
      <c r="K34" s="910" t="n">
        <f aca="false">связи1!F552</f>
        <v>5</v>
      </c>
      <c r="L34" s="919"/>
      <c r="M34" s="910" t="n">
        <f aca="false">H34</f>
        <v>6</v>
      </c>
      <c r="N34" s="910" t="n">
        <f aca="false">I34</f>
        <v>3</v>
      </c>
      <c r="O34" s="910" t="n">
        <f aca="false">J34</f>
        <v>3</v>
      </c>
      <c r="P34" s="910" t="n">
        <f aca="false">F34</f>
        <v>5</v>
      </c>
      <c r="AD34" s="899" t="n">
        <f aca="false">'Ввод данных'!BD371</f>
        <v>6</v>
      </c>
      <c r="AE34" s="900" t="s">
        <v>2008</v>
      </c>
      <c r="AF34" s="900"/>
      <c r="AH34" s="680" t="s">
        <v>2559</v>
      </c>
      <c r="AI34" s="680"/>
      <c r="AJ34" s="903" t="s">
        <v>156</v>
      </c>
      <c r="AK34" s="909" t="n">
        <v>0</v>
      </c>
      <c r="AL34" s="910" t="n">
        <v>0</v>
      </c>
      <c r="AM34" s="903" t="n">
        <f aca="false">AK34*AL34</f>
        <v>0</v>
      </c>
      <c r="AN34" s="903" t="n">
        <f aca="false">AM34*C38*C5</f>
        <v>0</v>
      </c>
      <c r="AO34" s="903" t="n">
        <v>0</v>
      </c>
      <c r="AP34" s="904" t="n">
        <v>0</v>
      </c>
      <c r="AQ34" s="905" t="n">
        <f aca="false">AO34+AP34+0.3</f>
        <v>0.3</v>
      </c>
    </row>
    <row r="35" customFormat="false" ht="14.15" hidden="false" customHeight="true" outlineLevel="0" collapsed="false">
      <c r="A35" s="924" t="s">
        <v>2575</v>
      </c>
      <c r="B35" s="925" t="s">
        <v>156</v>
      </c>
      <c r="C35" s="909" t="n">
        <f aca="false">(IF('Ввод данных'!A361=связи1!A94,связи1!C553,0)+IF('Ввод данных'!A361=связи1!A95,связи1!C553,0)+IF('Ввод данных'!A361=связи1!A96,связи1!C553,0)+IF('Ввод данных'!A361=связи1!A97,связи1!C553,0)+IF('Ввод данных'!A361=связи1!A98,связи1!C553,0))</f>
        <v>2.9</v>
      </c>
      <c r="D35" s="909" t="n">
        <f aca="false">IF('Ввод данных'!A365=связи1!A94,связи1!D553,0)+IF('Ввод данных'!A365=связи1!A95,связи1!D553,0)+IF('Ввод данных'!A365=связи1!A96,связи1!D553,0)+IF('Ввод данных'!A365=связи1!A97,связи1!D553,0)+IF('Ввод данных'!A365=связи1!A98,связи1!D553,0)</f>
        <v>2.9</v>
      </c>
      <c r="E35" s="910" t="n">
        <f aca="false">IF('Ввод данных'!A369=связи1!A94,связи1!E553,0)+IF('Ввод данных'!A369=связи1!A95,связи1!E553,0)+IF('Ввод данных'!A369=связи1!A96,связи1!E553,0)+IF('Ввод данных'!A369=связи1!A97,связи1!E553,0)+IF('Ввод данных'!A369=связи1!A98,связи1!E553,0)</f>
        <v>2.9</v>
      </c>
      <c r="F35" s="946" t="n">
        <f aca="false">IF('Ввод данных'!A373=связи1!A94,связи1!F553,0)+IF('Ввод данных'!A373=связи1!A95,связи1!F553,0)+IF('Ввод данных'!A373=связи1!A96,связи1!F553,0)+IF('Ввод данных'!A373=связи1!A97,связи1!F553,0)+IF('Ввод данных'!A373=связи1!A98,связи1!F553,0)</f>
        <v>3</v>
      </c>
      <c r="G35" s="919" t="n">
        <f aca="false">(C34+C33+C33)*C32*C5+(D34+D33+D33)*D32*D5+E32*(E34+E33+E33)*E5+F32*(F34+F33+F33)*F5</f>
        <v>0</v>
      </c>
      <c r="H35" s="910" t="n">
        <f aca="false">C35</f>
        <v>2.9</v>
      </c>
      <c r="I35" s="910" t="n">
        <f aca="false">D35</f>
        <v>2.9</v>
      </c>
      <c r="J35" s="910" t="n">
        <f aca="false">E35</f>
        <v>2.9</v>
      </c>
      <c r="K35" s="910" t="n">
        <f aca="false">F35</f>
        <v>3</v>
      </c>
      <c r="L35" s="919" t="n">
        <f aca="false">H32*(H34+H33+H33)*H5+I32*(I34+I33+I33)*I5+J32*(J34+J33+J33)*J5+K32*(K34+K33+K33)*K5</f>
        <v>0</v>
      </c>
      <c r="M35" s="910" t="n">
        <f aca="false">H35</f>
        <v>2.9</v>
      </c>
      <c r="N35" s="910" t="n">
        <f aca="false">I35</f>
        <v>2.9</v>
      </c>
      <c r="O35" s="910" t="n">
        <f aca="false">J35</f>
        <v>2.9</v>
      </c>
      <c r="P35" s="910" t="n">
        <f aca="false">K35</f>
        <v>3</v>
      </c>
      <c r="Q35" s="919" t="n">
        <f aca="false">M32*(M34+M33+M33)*M5+N32*(N34+N33+N33)*N5+O32*(O34+O33+O33)*O5+P32*(P34+P33+P33)*P5</f>
        <v>0</v>
      </c>
      <c r="R35" s="920" t="n">
        <f aca="false">G35+L35+Q35</f>
        <v>0</v>
      </c>
      <c r="AD35" s="899"/>
      <c r="AE35" s="900"/>
      <c r="AF35" s="900"/>
    </row>
    <row r="36" customFormat="false" ht="14.15" hidden="false" customHeight="true" outlineLevel="0" collapsed="false">
      <c r="A36" s="947" t="s">
        <v>1757</v>
      </c>
      <c r="B36" s="925" t="s">
        <v>156</v>
      </c>
      <c r="C36" s="909" t="n">
        <f aca="false">(IF('Ввод данных'!A361=связи1!A94,связи1!C554,0)+IF('Ввод данных'!A361=связи1!A95,связи1!C553,0)+IF('Ввод данных'!A361=связи1!A96,связи1!C553,0)+IF('Ввод данных'!A361=связи1!A97,связи1!C554,0)+IF('Ввод данных'!A361=связи1!A98,связи1!C553,0))</f>
        <v>5</v>
      </c>
      <c r="D36" s="939" t="n">
        <f aca="false">IF('Ввод данных'!A365=связи1!A94,связи1!D554,0)+IF('Ввод данных'!A365=связи1!A95,связи1!D553,0)+IF('Ввод данных'!A365=связи1!A96,связи1!D553,0)+IF('Ввод данных'!A365=связи1!A97,связи1!D554,0)+IF('Ввод данных'!A365=связи1!A98,связи1!D553,0)</f>
        <v>2.9</v>
      </c>
      <c r="E36" s="946" t="n">
        <f aca="false">IF('Ввод данных'!A369=связи1!A94,связи1!E554,0)+IF('Ввод данных'!A369=связи1!A95,связи1!E553,0)+IF('Ввод данных'!A369=связи1!A96,связи1!E553,0)+IF('Ввод данных'!A369=связи1!A97,связи1!E554,0)+IF('Ввод данных'!A369=связи1!A98,связи1!E553,0)</f>
        <v>2.9</v>
      </c>
      <c r="F36" s="946" t="n">
        <f aca="false">IF('Ввод данных'!A373=связи1!A94,связи1!F554,0)+IF('Ввод данных'!A373=связи1!A95,связи1!F553,0)+IF('Ввод данных'!A373=связи1!A96,связи1!F553,0)+IF('Ввод данных'!A373=связи1!A97,связи1!F554,0)+IF('Ввод данных'!A373=связи1!A98,связи1!F553,0)</f>
        <v>4</v>
      </c>
      <c r="G36" s="919"/>
      <c r="H36" s="910" t="n">
        <f aca="false">C36</f>
        <v>5</v>
      </c>
      <c r="I36" s="910" t="n">
        <f aca="false">D36</f>
        <v>2.9</v>
      </c>
      <c r="J36" s="910" t="n">
        <f aca="false">E36</f>
        <v>2.9</v>
      </c>
      <c r="K36" s="910" t="n">
        <f aca="false">F36</f>
        <v>4</v>
      </c>
      <c r="L36" s="919"/>
      <c r="M36" s="910" t="n">
        <f aca="false">H36</f>
        <v>5</v>
      </c>
      <c r="N36" s="910" t="n">
        <f aca="false">I36</f>
        <v>2.9</v>
      </c>
      <c r="O36" s="910" t="n">
        <f aca="false">J36</f>
        <v>2.9</v>
      </c>
      <c r="P36" s="910" t="n">
        <f aca="false">K36</f>
        <v>4</v>
      </c>
      <c r="AD36" s="899"/>
      <c r="AE36" s="900"/>
      <c r="AF36" s="900"/>
    </row>
    <row r="37" customFormat="false" ht="14.15" hidden="false" customHeight="true" outlineLevel="0" collapsed="false">
      <c r="A37" s="947" t="s">
        <v>2576</v>
      </c>
      <c r="B37" s="925" t="s">
        <v>156</v>
      </c>
      <c r="C37" s="909" t="n">
        <f aca="false">(IF('Ввод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данных'!A361=связи1!A98,связи1!C553,0))</f>
        <v>1.2</v>
      </c>
      <c r="D37" s="939" t="n">
        <f aca="false">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</f>
        <v>2.9</v>
      </c>
      <c r="E37" s="946" t="n">
        <f aca="false">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</f>
        <v>2.9</v>
      </c>
      <c r="F37" s="946" t="n">
        <f aca="false">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</f>
        <v>3</v>
      </c>
      <c r="G37" s="919"/>
      <c r="H37" s="910" t="n">
        <f aca="false">C37</f>
        <v>1.2</v>
      </c>
      <c r="I37" s="910" t="n">
        <f aca="false">D37</f>
        <v>2.9</v>
      </c>
      <c r="J37" s="910" t="n">
        <f aca="false">E37</f>
        <v>2.9</v>
      </c>
      <c r="K37" s="910" t="n">
        <f aca="false">F37</f>
        <v>3</v>
      </c>
      <c r="L37" s="919"/>
      <c r="M37" s="910" t="n">
        <f aca="false">H37</f>
        <v>1.2</v>
      </c>
      <c r="N37" s="910" t="n">
        <f aca="false">I37</f>
        <v>2.9</v>
      </c>
      <c r="O37" s="910" t="n">
        <f aca="false">J37</f>
        <v>2.9</v>
      </c>
      <c r="P37" s="910" t="n">
        <f aca="false">K37</f>
        <v>3</v>
      </c>
      <c r="AD37" s="899"/>
      <c r="AE37" s="900"/>
      <c r="AF37" s="900"/>
    </row>
    <row r="38" customFormat="false" ht="14.15" hidden="false" customHeight="true" outlineLevel="0" collapsed="false">
      <c r="A38" s="924" t="s">
        <v>2577</v>
      </c>
      <c r="B38" s="925" t="s">
        <v>156</v>
      </c>
      <c r="C38" s="909" t="n">
        <f aca="false">(IF('Ввод данных'!A361=связи1!A94,0,0)+IF('Ввод данных'!A361=связи1!A95,связи1!C556,0)+IF('Ввод данных'!A361=связи1!A96,0,0)+IF('Ввод данных'!A361=связи1!A97,0,0)+IF('Ввод данных'!A361=связи1!A98,связи1!C556,0))</f>
        <v>0</v>
      </c>
      <c r="D38" s="939" t="n">
        <f aca="false">IF('Ввод данных'!A365=связи1!A94,0,0)+IF('Ввод данных'!A365=связи1!A95,связи1!D556,0)+IF('Ввод данных'!A365=связи1!A96,0,0)+IF('Ввод данных'!A365=связи1!A97,0,0)+IF('Ввод данных'!A365=связи1!A98,связи1!D556,0)</f>
        <v>2.2</v>
      </c>
      <c r="E38" s="946" t="n">
        <f aca="false">IF('Ввод данных'!A369=связи1!A94,0,0)+IF('Ввод данных'!A369=связи1!A95,связи1!E556,0)+IF('Ввод данных'!A369=связи1!A96,0,0)+IF('Ввод данных'!A369=связи1!A97,0,0)+IF('Ввод данных'!A369=связи1!A98,связи1!E556,0)</f>
        <v>0</v>
      </c>
      <c r="F38" s="946" t="n">
        <f aca="false">IF('Ввод данных'!A373=связи1!A94,0,0)+IF('Ввод данных'!A373=связи1!A95,связи1!F556,0)+IF('Ввод данных'!A373=связи1!A96,0,0)+IF('Ввод данных'!A373=связи1!A97,0,0)+IF('Ввод данных'!A373=связи1!A98,связи1!F556,0)</f>
        <v>0</v>
      </c>
      <c r="G38" s="919"/>
      <c r="H38" s="910" t="n">
        <f aca="false">C38</f>
        <v>0</v>
      </c>
      <c r="I38" s="910" t="n">
        <f aca="false">D38</f>
        <v>2.2</v>
      </c>
      <c r="J38" s="910" t="n">
        <f aca="false">E38</f>
        <v>0</v>
      </c>
      <c r="K38" s="910" t="n">
        <f aca="false">F38</f>
        <v>0</v>
      </c>
      <c r="L38" s="919"/>
      <c r="M38" s="910" t="n">
        <f aca="false">H38</f>
        <v>0</v>
      </c>
      <c r="N38" s="910" t="n">
        <f aca="false">I38</f>
        <v>2.2</v>
      </c>
      <c r="O38" s="910" t="n">
        <f aca="false">J38</f>
        <v>0</v>
      </c>
      <c r="P38" s="910" t="n">
        <f aca="false">K38</f>
        <v>0</v>
      </c>
      <c r="AD38" s="899" t="n">
        <f aca="false">'Ввод данных'!BD373</f>
        <v>7.3</v>
      </c>
      <c r="AE38" s="900" t="s">
        <v>2011</v>
      </c>
      <c r="AF38" s="900"/>
      <c r="AH38" s="495" t="s">
        <v>2578</v>
      </c>
      <c r="AI38" s="495"/>
      <c r="AJ38" s="495"/>
      <c r="AK38" s="495"/>
      <c r="AL38" s="495"/>
      <c r="AM38" s="903" t="n">
        <f aca="false">SUM(AM5:AM34)</f>
        <v>0</v>
      </c>
      <c r="AN38" s="903" t="n">
        <f aca="false">SUM(AN5:AN34)</f>
        <v>0</v>
      </c>
      <c r="AO38" s="461"/>
    </row>
    <row r="39" customFormat="false" ht="14.15" hidden="false" customHeight="true" outlineLevel="0" collapsed="false">
      <c r="A39" s="948" t="s">
        <v>2579</v>
      </c>
      <c r="B39" s="925" t="s">
        <v>156</v>
      </c>
      <c r="C39" s="949" t="n">
        <f aca="false">(IF('Ввод данных'!A361=связи1!A94,0,0)+IF('Ввод данных'!A361=связи1!A95,связи1!C557,0)+IF('Ввод данных'!A361=связи1!A96,связи1!C557,0)+IF('Ввод данных'!A361=связи1!A97,0,0)+IF('Ввод данных'!A361=связи1!A98,связи1!C557,0))</f>
        <v>0</v>
      </c>
      <c r="D39" s="939" t="n">
        <f aca="false">IF('Ввод данных'!A365=связи1!A94,0,0)+IF('Ввод данных'!A365=связи1!A95,связи1!D557,0)+IF('Ввод данных'!A365=связи1!A96,связи1!D557,0)+IF('Ввод данных'!A365=связи1!A97,0,0)+IF('Ввод данных'!A365=связи1!A98,связи1!D557,0)</f>
        <v>1</v>
      </c>
      <c r="E39" s="946" t="n">
        <f aca="false">IF('Ввод данных'!A369=связи1!A94,0,0)+IF('Ввод данных'!A369=связи1!A95,связи1!E557,0)+IF('Ввод данных'!A369=связи1!A96,связи1!E557,0)+IF('Ввод данных'!A369=связи1!A97,0,0)+IF('Ввод данных'!A369=связи1!A98,связи1!E557,0)</f>
        <v>2.9</v>
      </c>
      <c r="F39" s="946" t="n">
        <f aca="false">IF('Ввод данных'!A373=связи1!A94,0,0)+IF('Ввод данных'!A373=связи1!A95,связи1!F557,0)+IF('Ввод данных'!A373=связи1!A96,связи1!F557,0)+IF('Ввод данных'!A373=связи1!A97,0,0)+IF('Ввод данных'!A373=связи1!A98,связи1!F557,0)</f>
        <v>0</v>
      </c>
      <c r="G39" s="919"/>
      <c r="H39" s="910" t="n">
        <f aca="false">C39</f>
        <v>0</v>
      </c>
      <c r="I39" s="910" t="n">
        <f aca="false">D39</f>
        <v>1</v>
      </c>
      <c r="J39" s="910" t="n">
        <f aca="false">E39</f>
        <v>2.9</v>
      </c>
      <c r="K39" s="910" t="n">
        <f aca="false">F39</f>
        <v>0</v>
      </c>
      <c r="L39" s="919"/>
      <c r="M39" s="910" t="n">
        <f aca="false">H39</f>
        <v>0</v>
      </c>
      <c r="N39" s="910" t="n">
        <f aca="false">I39</f>
        <v>1</v>
      </c>
      <c r="O39" s="910" t="n">
        <f aca="false">J39</f>
        <v>2.9</v>
      </c>
      <c r="P39" s="910" t="n">
        <f aca="false">K39</f>
        <v>0</v>
      </c>
      <c r="AD39" s="899" t="n">
        <f aca="false">'Ввод данных'!BD374</f>
        <v>6.1</v>
      </c>
      <c r="AE39" s="900" t="s">
        <v>2013</v>
      </c>
      <c r="AF39" s="900"/>
      <c r="AH39" s="950" t="s">
        <v>2208</v>
      </c>
      <c r="AI39" s="951"/>
      <c r="AJ39" s="757" t="s">
        <v>120</v>
      </c>
      <c r="AK39" s="757" t="s">
        <v>2580</v>
      </c>
      <c r="AL39" s="757" t="s">
        <v>2581</v>
      </c>
      <c r="AM39" s="757" t="s">
        <v>1802</v>
      </c>
      <c r="AN39" s="900" t="s">
        <v>2548</v>
      </c>
    </row>
    <row r="40" customFormat="false" ht="14.15" hidden="false" customHeight="true" outlineLevel="0" collapsed="false">
      <c r="A40" s="906" t="s">
        <v>2582</v>
      </c>
      <c r="B40" s="925" t="s">
        <v>156</v>
      </c>
      <c r="C40" s="939" t="n">
        <f aca="false">(IF('Ввод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данных'!A361=связи1!A98,связи1!C558,0))</f>
        <v>0</v>
      </c>
      <c r="D40" s="939" t="n">
        <f aca="false">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</f>
        <v>2.2</v>
      </c>
      <c r="E40" s="946" t="n">
        <f aca="false">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</f>
        <v>1.5</v>
      </c>
      <c r="F40" s="946" t="n">
        <f aca="false">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</f>
        <v>0</v>
      </c>
      <c r="G40" s="952"/>
      <c r="H40" s="910" t="n">
        <f aca="false">C40</f>
        <v>0</v>
      </c>
      <c r="I40" s="910" t="n">
        <f aca="false">D40</f>
        <v>2.2</v>
      </c>
      <c r="J40" s="910" t="n">
        <f aca="false">E40</f>
        <v>1.5</v>
      </c>
      <c r="K40" s="910" t="n">
        <f aca="false">F40</f>
        <v>0</v>
      </c>
      <c r="L40" s="952"/>
      <c r="M40" s="910" t="n">
        <f aca="false">H40</f>
        <v>0</v>
      </c>
      <c r="N40" s="910" t="n">
        <f aca="false">I40</f>
        <v>2.2</v>
      </c>
      <c r="O40" s="910" t="n">
        <f aca="false">J40</f>
        <v>1.5</v>
      </c>
      <c r="P40" s="910" t="n">
        <f aca="false">K40</f>
        <v>0</v>
      </c>
      <c r="Q40" s="953"/>
      <c r="AD40" s="899" t="n">
        <f aca="false">'Ввод данных'!BD375</f>
        <v>6.3</v>
      </c>
      <c r="AE40" s="900" t="s">
        <v>2014</v>
      </c>
      <c r="AF40" s="900"/>
      <c r="AH40" s="680" t="s">
        <v>2210</v>
      </c>
      <c r="AI40" s="680"/>
      <c r="AJ40" s="680" t="s">
        <v>156</v>
      </c>
      <c r="AK40" s="909" t="n">
        <v>0</v>
      </c>
      <c r="AL40" s="910" t="n">
        <v>0</v>
      </c>
      <c r="AM40" s="898" t="n">
        <v>0</v>
      </c>
      <c r="AN40" s="495" t="n">
        <f aca="false">AK40*AL40*AM40</f>
        <v>0</v>
      </c>
    </row>
    <row r="41" customFormat="false" ht="14.15" hidden="false" customHeight="true" outlineLevel="0" collapsed="false">
      <c r="A41" s="954" t="s">
        <v>2583</v>
      </c>
      <c r="B41" s="955" t="s">
        <v>156</v>
      </c>
      <c r="C41" s="956" t="n">
        <f aca="false">(C39-C40+C36-C35)</f>
        <v>2.1</v>
      </c>
      <c r="D41" s="956" t="n">
        <f aca="false">D39-D40+D36-D35</f>
        <v>-1.2</v>
      </c>
      <c r="E41" s="956" t="n">
        <f aca="false">E39-E40+E36-E35</f>
        <v>1.4</v>
      </c>
      <c r="F41" s="956" t="n">
        <f aca="false">F39-F40+F36-F35</f>
        <v>1</v>
      </c>
      <c r="G41" s="952"/>
      <c r="H41" s="957" t="n">
        <f aca="false">C41</f>
        <v>2.1</v>
      </c>
      <c r="I41" s="957" t="n">
        <f aca="false">D41</f>
        <v>-1.2</v>
      </c>
      <c r="J41" s="957" t="n">
        <f aca="false">E41</f>
        <v>1.4</v>
      </c>
      <c r="K41" s="957" t="n">
        <f aca="false">F41</f>
        <v>1</v>
      </c>
      <c r="L41" s="952"/>
      <c r="M41" s="957" t="n">
        <f aca="false">H41</f>
        <v>2.1</v>
      </c>
      <c r="N41" s="957" t="n">
        <f aca="false">I41</f>
        <v>-1.2</v>
      </c>
      <c r="O41" s="957" t="n">
        <f aca="false">J41</f>
        <v>1.4</v>
      </c>
      <c r="P41" s="957" t="n">
        <f aca="false">K41</f>
        <v>1</v>
      </c>
      <c r="Q41" s="953"/>
      <c r="AD41" s="905" t="n">
        <f aca="false">'Ввод данных'!BD376</f>
        <v>6.1</v>
      </c>
      <c r="AE41" s="905" t="s">
        <v>1931</v>
      </c>
      <c r="AF41" s="905"/>
      <c r="AH41" s="680"/>
      <c r="AI41" s="680"/>
      <c r="AJ41" s="680" t="s">
        <v>156</v>
      </c>
      <c r="AK41" s="909" t="n">
        <v>0</v>
      </c>
      <c r="AL41" s="910" t="n">
        <v>0</v>
      </c>
      <c r="AM41" s="898" t="n">
        <v>0</v>
      </c>
      <c r="AN41" s="495" t="n">
        <f aca="false">AK41*AL41*AM41</f>
        <v>0</v>
      </c>
      <c r="AO41" s="461"/>
    </row>
    <row r="42" customFormat="false" ht="14.15" hidden="false" customHeight="true" outlineLevel="0" collapsed="false">
      <c r="A42" s="954" t="s">
        <v>2584</v>
      </c>
      <c r="B42" s="958"/>
      <c r="C42" s="959"/>
      <c r="D42" s="959"/>
      <c r="E42" s="959"/>
      <c r="F42" s="959"/>
      <c r="G42" s="895"/>
      <c r="H42" s="960" t="n">
        <f aca="false">H34/2</f>
        <v>3</v>
      </c>
      <c r="I42" s="960" t="n">
        <f aca="false">I34/2</f>
        <v>1.5</v>
      </c>
      <c r="J42" s="960" t="n">
        <f aca="false">J34/2</f>
        <v>1.5</v>
      </c>
      <c r="K42" s="960" t="n">
        <f aca="false">K34/2</f>
        <v>2.5</v>
      </c>
      <c r="L42" s="895"/>
      <c r="M42" s="960" t="n">
        <f aca="false">M34/2</f>
        <v>3</v>
      </c>
      <c r="N42" s="960" t="n">
        <f aca="false">N34/2</f>
        <v>1.5</v>
      </c>
      <c r="O42" s="960" t="n">
        <f aca="false">O34/2</f>
        <v>1.5</v>
      </c>
      <c r="P42" s="960" t="n">
        <f aca="false">P34/2</f>
        <v>2.5</v>
      </c>
      <c r="Q42" s="895"/>
      <c r="AD42" s="961" t="s">
        <v>1903</v>
      </c>
      <c r="AE42" s="962" t="s">
        <v>2572</v>
      </c>
      <c r="AF42" s="963" t="n">
        <f aca="false">'Ввод данных'!BD359</f>
        <v>3</v>
      </c>
      <c r="AH42" s="680"/>
      <c r="AI42" s="680"/>
      <c r="AJ42" s="680" t="s">
        <v>156</v>
      </c>
      <c r="AK42" s="909" t="n">
        <v>0</v>
      </c>
      <c r="AL42" s="910" t="n">
        <v>0</v>
      </c>
      <c r="AM42" s="898" t="n">
        <v>0</v>
      </c>
      <c r="AN42" s="495" t="n">
        <f aca="false">AK42*AL42*AM42</f>
        <v>0</v>
      </c>
      <c r="AO42" s="964" t="n">
        <f aca="false">AN40+AN41+AN42+AN52+AN54</f>
        <v>0</v>
      </c>
    </row>
    <row r="43" customFormat="false" ht="14.15" hidden="false" customHeight="true" outlineLevel="0" collapsed="false">
      <c r="A43" s="965" t="s">
        <v>2585</v>
      </c>
      <c r="B43" s="966"/>
      <c r="C43" s="967" t="n">
        <f aca="false">C37*C32</f>
        <v>0</v>
      </c>
      <c r="D43" s="967" t="n">
        <f aca="false">D37*D32</f>
        <v>0</v>
      </c>
      <c r="E43" s="967" t="n">
        <f aca="false">E37*E32</f>
        <v>0</v>
      </c>
      <c r="F43" s="967" t="n">
        <f aca="false">F37*F32</f>
        <v>0</v>
      </c>
      <c r="G43" s="953" t="n">
        <f aca="false">C43+D43+E43+F43</f>
        <v>0</v>
      </c>
      <c r="H43" s="967" t="n">
        <f aca="false">H37*H32</f>
        <v>0</v>
      </c>
      <c r="I43" s="967" t="n">
        <f aca="false">I37*I32</f>
        <v>0</v>
      </c>
      <c r="J43" s="967" t="n">
        <f aca="false">J37*J32</f>
        <v>0</v>
      </c>
      <c r="K43" s="967" t="n">
        <f aca="false">K37*K32</f>
        <v>0</v>
      </c>
      <c r="L43" s="953" t="n">
        <f aca="false">H43+I43+J43+K43</f>
        <v>0</v>
      </c>
      <c r="M43" s="967" t="n">
        <f aca="false">M37*M32</f>
        <v>0</v>
      </c>
      <c r="N43" s="967" t="n">
        <f aca="false">N37*N32</f>
        <v>0</v>
      </c>
      <c r="O43" s="967" t="n">
        <f aca="false">O37*O32</f>
        <v>0</v>
      </c>
      <c r="P43" s="967" t="n">
        <f aca="false">P37*P32</f>
        <v>0</v>
      </c>
      <c r="Q43" s="953" t="n">
        <f aca="false">M43+N43+O43+P43</f>
        <v>0</v>
      </c>
      <c r="R43" s="968" t="n">
        <f aca="false">G43+L43+Q43</f>
        <v>0</v>
      </c>
      <c r="AD43" s="961"/>
      <c r="AE43" s="962"/>
      <c r="AF43" s="963"/>
      <c r="AH43" s="371"/>
      <c r="AI43" s="969"/>
      <c r="AJ43" s="680"/>
      <c r="AK43" s="909"/>
      <c r="AL43" s="910"/>
      <c r="AM43" s="898"/>
      <c r="AN43" s="495"/>
      <c r="AO43" s="964"/>
    </row>
    <row r="44" customFormat="false" ht="14.15" hidden="false" customHeight="true" outlineLevel="0" collapsed="false">
      <c r="A44" s="965" t="s">
        <v>2586</v>
      </c>
      <c r="B44" s="966"/>
      <c r="C44" s="967" t="n">
        <f aca="false">C40*C32</f>
        <v>0</v>
      </c>
      <c r="D44" s="967" t="n">
        <f aca="false">D40*D32</f>
        <v>0</v>
      </c>
      <c r="E44" s="967" t="n">
        <f aca="false">E40*E32</f>
        <v>0</v>
      </c>
      <c r="F44" s="967" t="n">
        <f aca="false">F40*F32</f>
        <v>0</v>
      </c>
      <c r="G44" s="953" t="n">
        <f aca="false">C44+D44+E44+F44</f>
        <v>0</v>
      </c>
      <c r="H44" s="967" t="n">
        <f aca="false">H40*H32</f>
        <v>0</v>
      </c>
      <c r="I44" s="967" t="n">
        <f aca="false">I40*I32</f>
        <v>0</v>
      </c>
      <c r="J44" s="967" t="n">
        <f aca="false">J40*J32</f>
        <v>0</v>
      </c>
      <c r="K44" s="967" t="n">
        <f aca="false">K40*K32</f>
        <v>0</v>
      </c>
      <c r="L44" s="953" t="n">
        <f aca="false">H44+I44+J44+K44</f>
        <v>0</v>
      </c>
      <c r="M44" s="967" t="n">
        <f aca="false">M40*M32</f>
        <v>0</v>
      </c>
      <c r="N44" s="967" t="n">
        <f aca="false">N40*N32</f>
        <v>0</v>
      </c>
      <c r="O44" s="967" t="n">
        <f aca="false">O40*O32</f>
        <v>0</v>
      </c>
      <c r="P44" s="967" t="n">
        <f aca="false">P40*P32</f>
        <v>0</v>
      </c>
      <c r="Q44" s="953" t="n">
        <f aca="false">M44+N44+O44+P44</f>
        <v>0</v>
      </c>
      <c r="R44" s="968" t="n">
        <f aca="false">G44+L44+Q44</f>
        <v>0</v>
      </c>
      <c r="AD44" s="961"/>
      <c r="AE44" s="962"/>
      <c r="AF44" s="963"/>
      <c r="AH44" s="371"/>
      <c r="AI44" s="969"/>
      <c r="AJ44" s="680"/>
      <c r="AK44" s="909"/>
      <c r="AL44" s="910"/>
      <c r="AM44" s="898"/>
      <c r="AN44" s="495"/>
      <c r="AO44" s="964"/>
    </row>
    <row r="45" customFormat="false" ht="14.15" hidden="false" customHeight="true" outlineLevel="0" collapsed="false">
      <c r="A45" s="970" t="s">
        <v>2587</v>
      </c>
      <c r="B45" s="971"/>
      <c r="C45" s="972" t="n">
        <f aca="false">C36*C32</f>
        <v>0</v>
      </c>
      <c r="D45" s="972" t="n">
        <f aca="false">D36*D32</f>
        <v>0</v>
      </c>
      <c r="E45" s="972" t="n">
        <f aca="false">E36*E32</f>
        <v>0</v>
      </c>
      <c r="F45" s="972" t="n">
        <f aca="false">F36*F32</f>
        <v>0</v>
      </c>
      <c r="G45" s="953" t="n">
        <f aca="false">C45+D45+E45+F45</f>
        <v>0</v>
      </c>
      <c r="H45" s="972" t="n">
        <f aca="false">H36*H32</f>
        <v>0</v>
      </c>
      <c r="I45" s="972" t="n">
        <f aca="false">I36*I32</f>
        <v>0</v>
      </c>
      <c r="J45" s="972" t="n">
        <f aca="false">J36*J32</f>
        <v>0</v>
      </c>
      <c r="K45" s="972" t="n">
        <f aca="false">K36*K32</f>
        <v>0</v>
      </c>
      <c r="L45" s="953" t="n">
        <f aca="false">H45+I45+J45+K45</f>
        <v>0</v>
      </c>
      <c r="M45" s="972" t="n">
        <f aca="false">M36*M32</f>
        <v>0</v>
      </c>
      <c r="N45" s="972" t="n">
        <f aca="false">N36*N32</f>
        <v>0</v>
      </c>
      <c r="O45" s="972" t="n">
        <f aca="false">O36*O32</f>
        <v>0</v>
      </c>
      <c r="P45" s="972" t="n">
        <f aca="false">P36*P32</f>
        <v>0</v>
      </c>
      <c r="Q45" s="953" t="n">
        <f aca="false">M45+N45+O45+P45</f>
        <v>0</v>
      </c>
      <c r="R45" s="968" t="n">
        <f aca="false">G45+L45+Q45</f>
        <v>0</v>
      </c>
      <c r="AD45" s="961"/>
      <c r="AE45" s="962"/>
      <c r="AF45" s="963"/>
      <c r="AH45" s="371"/>
      <c r="AI45" s="969"/>
      <c r="AJ45" s="680"/>
      <c r="AK45" s="909"/>
      <c r="AL45" s="910"/>
      <c r="AM45" s="898"/>
      <c r="AN45" s="495"/>
      <c r="AO45" s="964"/>
    </row>
    <row r="46" customFormat="false" ht="14.15" hidden="false" customHeight="true" outlineLevel="0" collapsed="false">
      <c r="A46" s="970" t="s">
        <v>2588</v>
      </c>
      <c r="B46" s="971"/>
      <c r="C46" s="972" t="n">
        <f aca="false">C39*C32</f>
        <v>0</v>
      </c>
      <c r="D46" s="972" t="n">
        <f aca="false">D39*D32</f>
        <v>0</v>
      </c>
      <c r="E46" s="972" t="n">
        <f aca="false">E39*E32</f>
        <v>0</v>
      </c>
      <c r="F46" s="972" t="n">
        <f aca="false">F39*F32</f>
        <v>0</v>
      </c>
      <c r="G46" s="953" t="n">
        <f aca="false">C46+D46+E46+F46</f>
        <v>0</v>
      </c>
      <c r="H46" s="972" t="n">
        <f aca="false">H39*H32</f>
        <v>0</v>
      </c>
      <c r="I46" s="972" t="n">
        <f aca="false">I39*I32</f>
        <v>0</v>
      </c>
      <c r="J46" s="972" t="n">
        <f aca="false">J39*J32</f>
        <v>0</v>
      </c>
      <c r="K46" s="972" t="n">
        <f aca="false">K39*K32</f>
        <v>0</v>
      </c>
      <c r="L46" s="953" t="n">
        <f aca="false">H46+I46+J46+K46</f>
        <v>0</v>
      </c>
      <c r="M46" s="972" t="n">
        <f aca="false">M39*M32</f>
        <v>0</v>
      </c>
      <c r="N46" s="972" t="n">
        <f aca="false">N39*N32</f>
        <v>0</v>
      </c>
      <c r="O46" s="972" t="n">
        <f aca="false">O39*O32</f>
        <v>0</v>
      </c>
      <c r="P46" s="972" t="n">
        <f aca="false">P39*P32</f>
        <v>0</v>
      </c>
      <c r="Q46" s="953" t="n">
        <f aca="false">M46+N46+O46+P46</f>
        <v>0</v>
      </c>
      <c r="R46" s="968" t="n">
        <f aca="false">G46+L46+Q46</f>
        <v>0</v>
      </c>
      <c r="AD46" s="961"/>
      <c r="AE46" s="962"/>
      <c r="AF46" s="963"/>
      <c r="AH46" s="371"/>
      <c r="AI46" s="969"/>
      <c r="AJ46" s="680"/>
      <c r="AK46" s="909"/>
      <c r="AL46" s="910"/>
      <c r="AM46" s="898"/>
      <c r="AN46" s="495"/>
      <c r="AO46" s="964"/>
    </row>
    <row r="47" customFormat="false" ht="14.15" hidden="false" customHeight="true" outlineLevel="0" collapsed="false">
      <c r="A47" s="973" t="s">
        <v>2589</v>
      </c>
      <c r="B47" s="974"/>
      <c r="C47" s="975" t="n">
        <f aca="false">CEILING(IF(C34&lt;=2,2,IF(C34&gt;2,C34/2+1,0))*C32,1)</f>
        <v>0</v>
      </c>
      <c r="D47" s="975" t="n">
        <f aca="false">CEILING(IF(D34&lt;=2,2,IF(D34&gt;2,D34/2+1,0))*D32,1)</f>
        <v>0</v>
      </c>
      <c r="E47" s="975" t="n">
        <f aca="false">CEILING(IF(E34&lt;=2,2,IF(E34&gt;2,E34/2+1,0))*E32,1)</f>
        <v>0</v>
      </c>
      <c r="F47" s="975" t="n">
        <f aca="false">CEILING(IF(F34&lt;=2,2,IF(F34&gt;2,F34/2+1,0))*F32,1)</f>
        <v>0</v>
      </c>
      <c r="G47" s="976"/>
      <c r="H47" s="975" t="n">
        <f aca="false">CEILING(IF(H34&lt;=2,2,IF(H34&gt;2,H34/2+1,0))*H32,1)</f>
        <v>0</v>
      </c>
      <c r="I47" s="975" t="n">
        <f aca="false">CEILING(IF(I34&lt;=2,2,IF(I34&gt;2,I34/2+1,0))*I32,1)</f>
        <v>0</v>
      </c>
      <c r="J47" s="975" t="n">
        <f aca="false">CEILING(IF(J34&lt;=2,2,IF(J34&gt;2,J34/2+1,0))*J32,1)</f>
        <v>0</v>
      </c>
      <c r="K47" s="975" t="n">
        <f aca="false">CEILING(IF(K34&lt;=2,2,IF(K34&gt;2,K34/2+1,0))*K32,1)</f>
        <v>0</v>
      </c>
      <c r="L47" s="976"/>
      <c r="M47" s="975" t="n">
        <f aca="false">CEILING(IF(M34&lt;=2,2,IF(M34&gt;2,M34/2+1,0))*M32,1)</f>
        <v>0</v>
      </c>
      <c r="N47" s="975" t="n">
        <f aca="false">CEILING(IF(N34&lt;=2,2,IF(N34&gt;2,N34/2+1,0))*N32,1)</f>
        <v>0</v>
      </c>
      <c r="O47" s="975" t="n">
        <f aca="false">CEILING(IF(O34&lt;=2,2,IF(O34&gt;2,O34/2+1,0))*O32,1)</f>
        <v>0</v>
      </c>
      <c r="P47" s="975" t="n">
        <f aca="false">CEILING(IF(P34&lt;=2,2,IF(P34&gt;2,P34/2+1,0))*P32,1)</f>
        <v>0</v>
      </c>
      <c r="Q47" s="953"/>
      <c r="R47" s="968" t="n">
        <f aca="false">C47+D47+E47+F47+H47+I47+J47+K47+M47+N47+O47+P47</f>
        <v>0</v>
      </c>
      <c r="AD47" s="961"/>
      <c r="AE47" s="962"/>
      <c r="AF47" s="963"/>
      <c r="AH47" s="371"/>
      <c r="AI47" s="969"/>
      <c r="AJ47" s="680"/>
      <c r="AK47" s="909"/>
      <c r="AL47" s="910"/>
      <c r="AM47" s="898"/>
      <c r="AN47" s="495"/>
      <c r="AO47" s="964"/>
    </row>
    <row r="48" customFormat="false" ht="14.15" hidden="false" customHeight="true" outlineLevel="0" collapsed="false">
      <c r="A48" s="973" t="s">
        <v>2590</v>
      </c>
      <c r="B48" s="974"/>
      <c r="C48" s="975" t="n">
        <f aca="false">CEILING(IF(C33&lt;=2,2,IF(C33&gt;2,C33/2+1,0))*C32,1)*2</f>
        <v>0</v>
      </c>
      <c r="D48" s="975" t="n">
        <f aca="false">CEILING(IF(D33&lt;=2,2,IF(D33&gt;2,D33/2+1,0))*D32,1)*2</f>
        <v>0</v>
      </c>
      <c r="E48" s="975" t="n">
        <f aca="false">CEILING(IF(E33&lt;=2,2,IF(E33&gt;2,E33/2+1,0))*E32,1)*2</f>
        <v>0</v>
      </c>
      <c r="F48" s="975" t="n">
        <f aca="false">CEILING(IF(F33&lt;=2,2,IF(F33&gt;2,F33/2+1,0))*F32,1)*2</f>
        <v>0</v>
      </c>
      <c r="G48" s="976"/>
      <c r="H48" s="975" t="n">
        <f aca="false">CEILING(IF(H33&lt;=2,2,IF(H33&gt;2,H33/2+1,0))*H32,1)*2</f>
        <v>0</v>
      </c>
      <c r="I48" s="975" t="n">
        <f aca="false">CEILING(IF(I33&lt;=2,2,IF(I33&gt;2,I33/2+1,0))*I32,1)*2</f>
        <v>0</v>
      </c>
      <c r="J48" s="975" t="n">
        <f aca="false">CEILING(IF(J33&lt;=2,2,IF(J33&gt;2,J33/2+1,0))*J32,1)*2</f>
        <v>0</v>
      </c>
      <c r="K48" s="975" t="n">
        <f aca="false">CEILING(IF(K33&lt;=2,2,IF(K33&gt;2,K33/2+1,0))*K32,1)*2</f>
        <v>0</v>
      </c>
      <c r="L48" s="976"/>
      <c r="M48" s="975" t="n">
        <f aca="false">CEILING(IF(M33&lt;=2,2,IF(M33&gt;2,M33/2+1,0))*M32,1)*2</f>
        <v>0</v>
      </c>
      <c r="N48" s="975" t="n">
        <f aca="false">CEILING(IF(N33&lt;=2,2,IF(N33&gt;2,N33/2+1,0))*N32,1)*2</f>
        <v>0</v>
      </c>
      <c r="O48" s="975" t="n">
        <f aca="false">CEILING(IF(O33&lt;=2,2,IF(O33&gt;2,O33/2+1,0))*O32,1)*2</f>
        <v>0</v>
      </c>
      <c r="P48" s="975" t="n">
        <f aca="false">CEILING(IF(P33&lt;=2,2,IF(P33&gt;2,P33/2+1,0))*P32,1)*2</f>
        <v>0</v>
      </c>
      <c r="Q48" s="953"/>
      <c r="R48" s="968" t="n">
        <f aca="false">C48+D48+E48+F48+H48+I48+J48+K48+M48+N48+O48+P48</f>
        <v>0</v>
      </c>
      <c r="AD48" s="961"/>
      <c r="AE48" s="962"/>
      <c r="AF48" s="963"/>
      <c r="AH48" s="371"/>
      <c r="AI48" s="969"/>
      <c r="AJ48" s="680"/>
      <c r="AK48" s="909"/>
      <c r="AL48" s="910"/>
      <c r="AM48" s="898"/>
      <c r="AN48" s="495"/>
      <c r="AO48" s="964"/>
    </row>
    <row r="49" customFormat="false" ht="14.15" hidden="false" customHeight="true" outlineLevel="0" collapsed="false">
      <c r="A49" s="973"/>
      <c r="B49" s="974"/>
      <c r="C49" s="975"/>
      <c r="D49" s="975"/>
      <c r="E49" s="975"/>
      <c r="F49" s="975"/>
      <c r="G49" s="976"/>
      <c r="H49" s="975"/>
      <c r="I49" s="975"/>
      <c r="J49" s="975"/>
      <c r="K49" s="975"/>
      <c r="L49" s="976"/>
      <c r="M49" s="975"/>
      <c r="N49" s="975"/>
      <c r="O49" s="975"/>
      <c r="P49" s="975"/>
      <c r="Q49" s="977" t="s">
        <v>2591</v>
      </c>
      <c r="R49" s="978" t="n">
        <f aca="false">R48+R47</f>
        <v>0</v>
      </c>
      <c r="AD49" s="961"/>
      <c r="AE49" s="962"/>
      <c r="AF49" s="963"/>
      <c r="AH49" s="371"/>
      <c r="AI49" s="969"/>
      <c r="AJ49" s="680"/>
      <c r="AK49" s="909"/>
      <c r="AL49" s="910"/>
      <c r="AM49" s="898"/>
      <c r="AN49" s="495"/>
      <c r="AO49" s="964"/>
    </row>
    <row r="50" customFormat="false" ht="14.15" hidden="false" customHeight="true" outlineLevel="0" collapsed="false">
      <c r="A50" s="979" t="s">
        <v>2592</v>
      </c>
      <c r="B50" s="980" t="s">
        <v>120</v>
      </c>
      <c r="C50" s="981" t="s">
        <v>853</v>
      </c>
      <c r="D50" s="944" t="n">
        <v>1</v>
      </c>
      <c r="E50" s="982"/>
      <c r="F50" s="982"/>
      <c r="G50" s="983"/>
      <c r="H50" s="981" t="s">
        <v>853</v>
      </c>
      <c r="I50" s="944" t="n">
        <v>1</v>
      </c>
      <c r="J50" s="982"/>
      <c r="K50" s="982"/>
      <c r="L50" s="888"/>
      <c r="M50" s="981" t="s">
        <v>853</v>
      </c>
      <c r="N50" s="944" t="n">
        <v>1</v>
      </c>
      <c r="O50" s="982"/>
      <c r="P50" s="982"/>
      <c r="Q50" s="888"/>
      <c r="AD50" s="961" t="s">
        <v>1906</v>
      </c>
      <c r="AE50" s="984" t="n">
        <f aca="false">AF42+AF42+AF50</f>
        <v>12</v>
      </c>
      <c r="AF50" s="963" t="n">
        <f aca="false">'Ввод данных'!BD360</f>
        <v>6</v>
      </c>
      <c r="AH50" s="725" t="s">
        <v>2593</v>
      </c>
      <c r="AI50" s="725"/>
      <c r="AJ50" s="680" t="s">
        <v>156</v>
      </c>
      <c r="AK50" s="909" t="n">
        <v>0</v>
      </c>
      <c r="AL50" s="910" t="n">
        <v>0</v>
      </c>
      <c r="AM50" s="898" t="n">
        <v>0</v>
      </c>
      <c r="AN50" s="495" t="n">
        <f aca="false">AK50*AL50*AM50</f>
        <v>0</v>
      </c>
      <c r="AO50" s="895"/>
    </row>
    <row r="51" customFormat="false" ht="14.15" hidden="false" customHeight="true" outlineLevel="0" collapsed="false">
      <c r="A51" s="985" t="s">
        <v>2594</v>
      </c>
      <c r="B51" s="986" t="s">
        <v>156</v>
      </c>
      <c r="C51" s="544" t="n">
        <f aca="false">SQRT(C33*C33+(C39-C40+C36-C37)*(C39-C40+C36-C37))</f>
        <v>4.84148737476408</v>
      </c>
      <c r="D51" s="544" t="n">
        <f aca="false">SQRT(D33*D33+(D39-D40+D36-D37)*(D39-D40+D36-D37))</f>
        <v>3.2310988842807</v>
      </c>
      <c r="E51" s="544" t="n">
        <f aca="false">SQRT(E33*E33+(E39-E40+E36-E37)*(E39-E40+E36-E37))</f>
        <v>3.31058907144937</v>
      </c>
      <c r="F51" s="544" t="n">
        <f aca="false">SQRT(F33*F33+(F39-F40+F36-F37)*(F39-F40+F36-F37))</f>
        <v>3.16227766016838</v>
      </c>
      <c r="H51" s="544" t="n">
        <f aca="false">SQRT((H34/2)*(H34/2)+(H39-H40+H36-H35)*(H39-H40+H36-H35))</f>
        <v>3.66196668472011</v>
      </c>
      <c r="I51" s="544" t="n">
        <f aca="false">SQRT((I34/2)*(I34/2)+(I39-I40+I36-I35)*(I39-I40+I36-I35))</f>
        <v>1.92093727122986</v>
      </c>
      <c r="J51" s="544" t="n">
        <f aca="false">SQRT((J34/2)*(J34/2)+(J39-J40+J36-J35)*(J39-J40+J36-J35))</f>
        <v>2.05182845286832</v>
      </c>
      <c r="K51" s="544" t="n">
        <f aca="false">SQRT((K34/2)*(K34/2)+(K39-K40+K36-K35)*(K39-K40+K36-K35))</f>
        <v>2.69258240356725</v>
      </c>
      <c r="M51" s="544"/>
      <c r="N51" s="544"/>
      <c r="O51" s="544"/>
      <c r="P51" s="544"/>
      <c r="AD51" s="961" t="s">
        <v>1992</v>
      </c>
      <c r="AE51" s="962" t="n">
        <v>3</v>
      </c>
      <c r="AF51" s="963" t="n">
        <f aca="false">'Ввод данных'!BD361</f>
        <v>2.9</v>
      </c>
      <c r="AH51" s="725"/>
      <c r="AI51" s="725"/>
      <c r="AJ51" s="680" t="s">
        <v>156</v>
      </c>
      <c r="AK51" s="909" t="n">
        <v>0</v>
      </c>
      <c r="AL51" s="910" t="n">
        <v>0</v>
      </c>
      <c r="AM51" s="898" t="n">
        <v>0</v>
      </c>
      <c r="AN51" s="495" t="n">
        <f aca="false">AK51*AL51*AM51</f>
        <v>0</v>
      </c>
      <c r="AO51" s="964" t="n">
        <f aca="false">AN50+AN51</f>
        <v>0</v>
      </c>
    </row>
    <row r="52" customFormat="false" ht="14.15" hidden="false" customHeight="true" outlineLevel="0" collapsed="false">
      <c r="A52" s="987" t="s">
        <v>2595</v>
      </c>
      <c r="B52" s="988" t="s">
        <v>156</v>
      </c>
      <c r="C52" s="989" t="n">
        <f aca="false">связи1!C559</f>
        <v>0.5</v>
      </c>
      <c r="D52" s="990" t="n">
        <f aca="false">связи1!D559</f>
        <v>0.6</v>
      </c>
      <c r="E52" s="990" t="n">
        <f aca="false">связи1!E559</f>
        <v>0.6</v>
      </c>
      <c r="F52" s="990" t="n">
        <f aca="false">связи1!F559</f>
        <v>0.6</v>
      </c>
      <c r="H52" s="989" t="n">
        <f aca="false">C52</f>
        <v>0.5</v>
      </c>
      <c r="I52" s="989" t="n">
        <f aca="false">D52</f>
        <v>0.6</v>
      </c>
      <c r="J52" s="989" t="n">
        <f aca="false">E52</f>
        <v>0.6</v>
      </c>
      <c r="K52" s="989" t="n">
        <f aca="false">F52</f>
        <v>0.6</v>
      </c>
      <c r="M52" s="989" t="n">
        <f aca="false">H52</f>
        <v>0.5</v>
      </c>
      <c r="N52" s="989" t="n">
        <f aca="false">I52</f>
        <v>0.6</v>
      </c>
      <c r="O52" s="989" t="n">
        <f aca="false">J52</f>
        <v>0.6</v>
      </c>
      <c r="P52" s="989" t="n">
        <f aca="false">K52</f>
        <v>0.6</v>
      </c>
      <c r="AD52" s="961" t="s">
        <v>1994</v>
      </c>
      <c r="AE52" s="962" t="n">
        <v>4</v>
      </c>
      <c r="AF52" s="963" t="n">
        <f aca="false">'Ввод данных'!BD362</f>
        <v>2.5</v>
      </c>
      <c r="AH52" s="902" t="s">
        <v>1217</v>
      </c>
      <c r="AI52" s="902"/>
      <c r="AJ52" s="925" t="s">
        <v>156</v>
      </c>
      <c r="AK52" s="909" t="n">
        <v>0</v>
      </c>
      <c r="AL52" s="910" t="n">
        <v>0</v>
      </c>
      <c r="AM52" s="898" t="n">
        <v>0</v>
      </c>
      <c r="AN52" s="903" t="n">
        <f aca="false">AK52*AL52*AM52</f>
        <v>0</v>
      </c>
      <c r="AO52" s="895"/>
    </row>
    <row r="53" customFormat="false" ht="14.15" hidden="false" customHeight="true" outlineLevel="0" collapsed="false">
      <c r="A53" s="987" t="s">
        <v>2596</v>
      </c>
      <c r="B53" s="988" t="s">
        <v>156</v>
      </c>
      <c r="C53" s="989" t="n">
        <f aca="false">связи1!C560</f>
        <v>0.7</v>
      </c>
      <c r="D53" s="989" t="n">
        <f aca="false">связи1!D560</f>
        <v>0.6</v>
      </c>
      <c r="E53" s="989" t="n">
        <f aca="false">связи1!E560</f>
        <v>0.6</v>
      </c>
      <c r="F53" s="990" t="n">
        <f aca="false">связи1!F560</f>
        <v>0.6</v>
      </c>
      <c r="H53" s="989" t="n">
        <f aca="false">C53</f>
        <v>0.7</v>
      </c>
      <c r="I53" s="989" t="n">
        <f aca="false">D53</f>
        <v>0.6</v>
      </c>
      <c r="J53" s="989" t="n">
        <f aca="false">E53</f>
        <v>0.6</v>
      </c>
      <c r="K53" s="989" t="n">
        <f aca="false">F53</f>
        <v>0.6</v>
      </c>
      <c r="M53" s="989" t="n">
        <f aca="false">H53</f>
        <v>0.7</v>
      </c>
      <c r="N53" s="989" t="n">
        <f aca="false">I53</f>
        <v>0.6</v>
      </c>
      <c r="O53" s="989" t="n">
        <f aca="false">J53</f>
        <v>0.6</v>
      </c>
      <c r="P53" s="989" t="n">
        <f aca="false">K53</f>
        <v>0.6</v>
      </c>
      <c r="AD53" s="961"/>
      <c r="AE53" s="962"/>
      <c r="AF53" s="963"/>
      <c r="AH53" s="906"/>
      <c r="AI53" s="907"/>
      <c r="AJ53" s="925"/>
      <c r="AK53" s="909"/>
      <c r="AL53" s="910"/>
      <c r="AM53" s="898"/>
      <c r="AN53" s="903"/>
      <c r="AO53" s="895"/>
    </row>
    <row r="54" customFormat="false" ht="14.15" hidden="false" customHeight="true" outlineLevel="0" collapsed="false">
      <c r="A54" s="991" t="s">
        <v>2597</v>
      </c>
      <c r="B54" s="992" t="s">
        <v>156</v>
      </c>
      <c r="C54" s="910" t="n">
        <f aca="false">связи1!C561</f>
        <v>0.5</v>
      </c>
      <c r="D54" s="993" t="n">
        <f aca="false">связи1!D561</f>
        <v>0.5</v>
      </c>
      <c r="E54" s="993" t="n">
        <f aca="false">связи1!E561</f>
        <v>0.8</v>
      </c>
      <c r="F54" s="993" t="n">
        <f aca="false">связи1!F561</f>
        <v>0.8</v>
      </c>
      <c r="H54" s="910" t="n">
        <f aca="false">C54</f>
        <v>0.5</v>
      </c>
      <c r="I54" s="910" t="n">
        <f aca="false">D54</f>
        <v>0.5</v>
      </c>
      <c r="J54" s="910" t="n">
        <f aca="false">E54</f>
        <v>0.8</v>
      </c>
      <c r="K54" s="910" t="n">
        <f aca="false">F54</f>
        <v>0.8</v>
      </c>
      <c r="M54" s="994" t="n">
        <f aca="false">H54</f>
        <v>0.5</v>
      </c>
      <c r="N54" s="994" t="n">
        <f aca="false">I54</f>
        <v>0.5</v>
      </c>
      <c r="O54" s="994" t="n">
        <f aca="false">J54</f>
        <v>0.8</v>
      </c>
      <c r="P54" s="994" t="n">
        <f aca="false">K54</f>
        <v>0.8</v>
      </c>
      <c r="AD54" s="961" t="s">
        <v>1995</v>
      </c>
      <c r="AE54" s="962" t="n">
        <v>5</v>
      </c>
      <c r="AF54" s="963" t="n">
        <f aca="false">'Ввод данных'!BD363</f>
        <v>1.2</v>
      </c>
      <c r="AH54" s="560" t="s">
        <v>2213</v>
      </c>
      <c r="AI54" s="560"/>
      <c r="AJ54" s="925" t="s">
        <v>156</v>
      </c>
      <c r="AK54" s="909" t="n">
        <v>0</v>
      </c>
      <c r="AL54" s="910" t="n">
        <v>0</v>
      </c>
      <c r="AM54" s="898" t="n">
        <v>0</v>
      </c>
      <c r="AN54" s="903" t="n">
        <f aca="false">AK54*AL54*AM54</f>
        <v>0</v>
      </c>
      <c r="AO54" s="995"/>
    </row>
    <row r="55" customFormat="false" ht="14.15" hidden="false" customHeight="true" outlineLevel="0" collapsed="false">
      <c r="A55" s="985" t="s">
        <v>2598</v>
      </c>
      <c r="B55" s="722" t="s">
        <v>156</v>
      </c>
      <c r="C55" s="910" t="n">
        <f aca="false">связи1!C562</f>
        <v>0.7</v>
      </c>
      <c r="D55" s="946" t="n">
        <f aca="false">связи1!D562</f>
        <v>0.4</v>
      </c>
      <c r="E55" s="946" t="n">
        <f aca="false">связи1!E562</f>
        <v>0.9</v>
      </c>
      <c r="F55" s="946" t="n">
        <f aca="false">связи1!F562</f>
        <v>0.9</v>
      </c>
      <c r="H55" s="910" t="n">
        <f aca="false">C55</f>
        <v>0.7</v>
      </c>
      <c r="I55" s="910" t="n">
        <f aca="false">D55</f>
        <v>0.4</v>
      </c>
      <c r="J55" s="910" t="n">
        <f aca="false">E55</f>
        <v>0.9</v>
      </c>
      <c r="K55" s="910" t="n">
        <f aca="false">F55</f>
        <v>0.9</v>
      </c>
      <c r="M55" s="910" t="n">
        <f aca="false">H55</f>
        <v>0.7</v>
      </c>
      <c r="N55" s="910" t="n">
        <f aca="false">I55</f>
        <v>0.4</v>
      </c>
      <c r="O55" s="910" t="n">
        <f aca="false">J55</f>
        <v>0.9</v>
      </c>
      <c r="P55" s="910" t="n">
        <f aca="false">K55</f>
        <v>0.9</v>
      </c>
      <c r="AD55" s="961" t="s">
        <v>1997</v>
      </c>
      <c r="AE55" s="962" t="n">
        <v>6</v>
      </c>
      <c r="AF55" s="963" t="n">
        <f aca="false">'Ввод данных'!BD364</f>
        <v>1.9</v>
      </c>
      <c r="AH55" s="932" t="s">
        <v>2599</v>
      </c>
      <c r="AI55" s="996"/>
      <c r="AJ55" s="996"/>
      <c r="AK55" s="996"/>
      <c r="AL55" s="996"/>
      <c r="AM55" s="997"/>
      <c r="AN55" s="887" t="n">
        <f aca="false">SUM(AN40:AN54)</f>
        <v>0</v>
      </c>
      <c r="AO55" s="964"/>
    </row>
    <row r="56" customFormat="false" ht="14.15" hidden="false" customHeight="true" outlineLevel="0" collapsed="false">
      <c r="A56" s="985" t="s">
        <v>2600</v>
      </c>
      <c r="B56" s="722" t="s">
        <v>156</v>
      </c>
      <c r="C56" s="910" t="n">
        <f aca="false">C51</f>
        <v>4.84148737476408</v>
      </c>
      <c r="D56" s="910" t="n">
        <f aca="false">D51</f>
        <v>3.2310988842807</v>
      </c>
      <c r="E56" s="910" t="n">
        <f aca="false">E51</f>
        <v>3.31058907144937</v>
      </c>
      <c r="F56" s="910" t="n">
        <f aca="false">F51</f>
        <v>3.16227766016838</v>
      </c>
      <c r="H56" s="910" t="n">
        <f aca="false">H51</f>
        <v>3.66196668472011</v>
      </c>
      <c r="I56" s="910" t="n">
        <f aca="false">I51</f>
        <v>1.92093727122986</v>
      </c>
      <c r="J56" s="910" t="n">
        <f aca="false">J51</f>
        <v>2.05182845286832</v>
      </c>
      <c r="K56" s="910" t="n">
        <f aca="false">K51</f>
        <v>2.69258240356725</v>
      </c>
      <c r="M56" s="910"/>
      <c r="N56" s="910"/>
      <c r="O56" s="910"/>
      <c r="P56" s="910"/>
      <c r="AD56" s="961"/>
      <c r="AE56" s="962"/>
      <c r="AF56" s="963"/>
      <c r="AH56" s="998"/>
      <c r="AI56" s="998"/>
      <c r="AJ56" s="998"/>
      <c r="AK56" s="998"/>
      <c r="AL56" s="998"/>
      <c r="AM56" s="998"/>
      <c r="AN56" s="888"/>
      <c r="AO56" s="964"/>
    </row>
    <row r="57" customFormat="false" ht="14.15" hidden="false" customHeight="true" outlineLevel="0" collapsed="false">
      <c r="A57" s="985" t="s">
        <v>2601</v>
      </c>
      <c r="B57" s="722" t="s">
        <v>156</v>
      </c>
      <c r="C57" s="910"/>
      <c r="D57" s="910"/>
      <c r="E57" s="910"/>
      <c r="F57" s="910"/>
      <c r="H57" s="910"/>
      <c r="I57" s="910"/>
      <c r="J57" s="910"/>
      <c r="K57" s="910"/>
      <c r="M57" s="910" t="n">
        <f aca="false">связи1!C563</f>
        <v>2</v>
      </c>
      <c r="N57" s="910" t="n">
        <f aca="false">связи1!D563</f>
        <v>1</v>
      </c>
      <c r="O57" s="910" t="n">
        <f aca="false">связи1!E563</f>
        <v>2</v>
      </c>
      <c r="P57" s="910" t="n">
        <f aca="false">связи1!F563</f>
        <v>3</v>
      </c>
      <c r="AD57" s="961"/>
      <c r="AE57" s="962"/>
      <c r="AF57" s="963"/>
      <c r="AH57" s="998"/>
      <c r="AI57" s="998"/>
      <c r="AJ57" s="998"/>
      <c r="AK57" s="998"/>
      <c r="AL57" s="998"/>
      <c r="AM57" s="998"/>
      <c r="AN57" s="888"/>
      <c r="AO57" s="964"/>
    </row>
    <row r="58" customFormat="false" ht="14.15" hidden="false" customHeight="true" outlineLevel="0" collapsed="false">
      <c r="A58" s="999" t="s">
        <v>2602</v>
      </c>
      <c r="B58" s="722" t="s">
        <v>156</v>
      </c>
      <c r="C58" s="910"/>
      <c r="D58" s="910"/>
      <c r="E58" s="910"/>
      <c r="F58" s="910"/>
      <c r="H58" s="910"/>
      <c r="I58" s="910"/>
      <c r="J58" s="910"/>
      <c r="K58" s="910"/>
      <c r="M58" s="910" t="n">
        <f aca="false">SQRT((M33+M54-M57)*(M33+M54-M57)+M41*M41)</f>
        <v>2.58069758011279</v>
      </c>
      <c r="N58" s="910" t="n">
        <f aca="false">SQRT((N33+N54-N57)*(N33+N54-N57)+N41*N41)</f>
        <v>2.77308492477241</v>
      </c>
      <c r="O58" s="910" t="n">
        <f aca="false">SQRT((O33+O54-O57)*(O33+O54-O57)+O41*O41)</f>
        <v>2.28035085019828</v>
      </c>
      <c r="P58" s="910" t="n">
        <f aca="false">SQRT((P33+P54-P57)*(P33+P54-P57)+P41*P41)</f>
        <v>1.28062484748657</v>
      </c>
      <c r="AD58" s="961"/>
      <c r="AE58" s="962"/>
      <c r="AF58" s="963"/>
      <c r="AH58" s="998"/>
      <c r="AI58" s="998"/>
      <c r="AJ58" s="998"/>
      <c r="AK58" s="998"/>
      <c r="AL58" s="998"/>
      <c r="AM58" s="998"/>
      <c r="AN58" s="888"/>
      <c r="AO58" s="964"/>
    </row>
    <row r="59" customFormat="false" ht="14.15" hidden="false" customHeight="true" outlineLevel="0" collapsed="false">
      <c r="A59" s="985" t="s">
        <v>2603</v>
      </c>
      <c r="B59" s="722" t="s">
        <v>156</v>
      </c>
      <c r="C59" s="910"/>
      <c r="D59" s="910"/>
      <c r="E59" s="910"/>
      <c r="F59" s="910"/>
      <c r="H59" s="910"/>
      <c r="I59" s="910"/>
      <c r="J59" s="910"/>
      <c r="K59" s="910"/>
      <c r="M59" s="910" t="n">
        <f aca="false">SQRT((M34/2+M52)*(M34/2+M52)+M58*M58)</f>
        <v>4.34856298103178</v>
      </c>
      <c r="N59" s="910" t="n">
        <f aca="false">SQRT((N34/2+N52)*(N34/2+N52)+N58*N58)</f>
        <v>3.47850542618522</v>
      </c>
      <c r="O59" s="910" t="n">
        <f aca="false">SQRT((O34/2+O52)*(O34/2+O52)+O58*O58)</f>
        <v>3.1</v>
      </c>
      <c r="P59" s="910" t="n">
        <f aca="false">SQRT((P34/2+P52)*(P34/2+P52)+P58*P58)</f>
        <v>3.35410196624968</v>
      </c>
      <c r="AD59" s="961"/>
      <c r="AE59" s="962"/>
      <c r="AF59" s="963"/>
      <c r="AH59" s="998"/>
      <c r="AI59" s="998"/>
      <c r="AJ59" s="998"/>
      <c r="AK59" s="998"/>
      <c r="AL59" s="998"/>
      <c r="AM59" s="998"/>
      <c r="AN59" s="888"/>
      <c r="AO59" s="964"/>
    </row>
    <row r="60" customFormat="false" ht="14.15" hidden="false" customHeight="true" outlineLevel="0" collapsed="false">
      <c r="A60" s="985" t="s">
        <v>2604</v>
      </c>
      <c r="B60" s="722" t="s">
        <v>156</v>
      </c>
      <c r="C60" s="910"/>
      <c r="D60" s="910"/>
      <c r="E60" s="910"/>
      <c r="F60" s="910"/>
      <c r="H60" s="910"/>
      <c r="I60" s="910"/>
      <c r="J60" s="910"/>
      <c r="K60" s="910"/>
      <c r="M60" s="910" t="n">
        <f aca="false">SQRT((M34/2+M53)*(M34/2+M53)+M58*M58)</f>
        <v>4.51109742745599</v>
      </c>
      <c r="N60" s="910" t="n">
        <f aca="false">SQRT((N34/2+N53)*(N34/2+N53)+N58*N58)</f>
        <v>3.47850542618522</v>
      </c>
      <c r="O60" s="910" t="n">
        <f aca="false">SQRT((O34/2+O53)*(O34/2+O53)+O58*O58)</f>
        <v>3.1</v>
      </c>
      <c r="P60" s="910" t="n">
        <f aca="false">SQRT((P34/2+P53)*(P34/2+P53)+P58*P58)</f>
        <v>3.35410196624968</v>
      </c>
      <c r="AD60" s="961"/>
      <c r="AE60" s="962"/>
      <c r="AF60" s="963"/>
      <c r="AH60" s="998"/>
      <c r="AI60" s="998"/>
      <c r="AJ60" s="998"/>
      <c r="AK60" s="998"/>
      <c r="AL60" s="998"/>
      <c r="AM60" s="998"/>
      <c r="AN60" s="888"/>
      <c r="AO60" s="964"/>
    </row>
    <row r="61" customFormat="false" ht="14.15" hidden="false" customHeight="true" outlineLevel="0" collapsed="false">
      <c r="A61" s="985" t="s">
        <v>2605</v>
      </c>
      <c r="B61" s="722" t="s">
        <v>156</v>
      </c>
      <c r="C61" s="910"/>
      <c r="D61" s="910"/>
      <c r="E61" s="910"/>
      <c r="F61" s="910"/>
      <c r="H61" s="910"/>
      <c r="I61" s="910"/>
      <c r="J61" s="910"/>
      <c r="K61" s="910"/>
      <c r="M61" s="910" t="n">
        <f aca="false">SQRT(M58*M58-M41*M41)</f>
        <v>1.5</v>
      </c>
      <c r="N61" s="910" t="n">
        <f aca="false">SQRT(N58*N58-N41*N41)</f>
        <v>2.5</v>
      </c>
      <c r="O61" s="910" t="n">
        <f aca="false">SQRT(O58*O58-O41*O41)</f>
        <v>1.8</v>
      </c>
      <c r="P61" s="910" t="n">
        <f aca="false">SQRT(P58*P58-P41*P41)</f>
        <v>0.8</v>
      </c>
      <c r="AD61" s="961"/>
      <c r="AE61" s="962"/>
      <c r="AF61" s="963"/>
      <c r="AH61" s="998"/>
      <c r="AI61" s="998"/>
      <c r="AJ61" s="998"/>
      <c r="AK61" s="998"/>
      <c r="AL61" s="998"/>
      <c r="AM61" s="998"/>
      <c r="AN61" s="888"/>
      <c r="AO61" s="964"/>
    </row>
    <row r="62" customFormat="false" ht="14.15" hidden="false" customHeight="true" outlineLevel="0" collapsed="false">
      <c r="A62" s="985" t="s">
        <v>2606</v>
      </c>
      <c r="B62" s="722" t="s">
        <v>156</v>
      </c>
      <c r="C62" s="910"/>
      <c r="D62" s="910"/>
      <c r="E62" s="910"/>
      <c r="F62" s="910"/>
      <c r="H62" s="910"/>
      <c r="I62" s="910"/>
      <c r="J62" s="910"/>
      <c r="K62" s="910"/>
      <c r="M62" s="910" t="n">
        <f aca="false">(M33+M54)*M59-M59*M61/2</f>
        <v>11.9585481978374</v>
      </c>
      <c r="N62" s="910" t="n">
        <f aca="false">(N33+N54)*N59-N59*N61/2</f>
        <v>7.82663720891674</v>
      </c>
      <c r="O62" s="910" t="n">
        <f aca="false">(O33+O54)*O59-O59*O61/2</f>
        <v>8.99</v>
      </c>
      <c r="P62" s="910" t="n">
        <f aca="false">(P33+P54)*P59-P59*P61/2</f>
        <v>11.4039466852489</v>
      </c>
      <c r="AD62" s="961"/>
      <c r="AE62" s="962"/>
      <c r="AF62" s="963"/>
      <c r="AH62" s="998"/>
      <c r="AI62" s="998"/>
      <c r="AJ62" s="998"/>
      <c r="AK62" s="998"/>
      <c r="AL62" s="998"/>
      <c r="AM62" s="998"/>
      <c r="AN62" s="888"/>
      <c r="AO62" s="964"/>
    </row>
    <row r="63" customFormat="false" ht="14.15" hidden="false" customHeight="true" outlineLevel="0" collapsed="false">
      <c r="A63" s="985" t="s">
        <v>2607</v>
      </c>
      <c r="B63" s="722" t="s">
        <v>156</v>
      </c>
      <c r="C63" s="910"/>
      <c r="D63" s="910"/>
      <c r="E63" s="910"/>
      <c r="F63" s="910"/>
      <c r="H63" s="910"/>
      <c r="I63" s="910"/>
      <c r="J63" s="910"/>
      <c r="K63" s="910"/>
      <c r="M63" s="910" t="n">
        <f aca="false">(M33+M55)*M59-M59*M61/2</f>
        <v>12.8282607940438</v>
      </c>
      <c r="N63" s="910" t="n">
        <f aca="false">(N33+N55)*N59-N59*N61/2</f>
        <v>7.47878666629822</v>
      </c>
      <c r="O63" s="910" t="n">
        <f aca="false">(O33+O55)*O59-O59*O61/2</f>
        <v>9.3</v>
      </c>
      <c r="P63" s="910" t="n">
        <f aca="false">(P33+P55)*P59-P59*P61/2</f>
        <v>11.7393568818739</v>
      </c>
      <c r="AD63" s="961"/>
      <c r="AE63" s="962"/>
      <c r="AF63" s="963"/>
      <c r="AH63" s="998"/>
      <c r="AI63" s="998"/>
      <c r="AJ63" s="998"/>
      <c r="AK63" s="998"/>
      <c r="AL63" s="998"/>
      <c r="AM63" s="998"/>
      <c r="AN63" s="888"/>
      <c r="AO63" s="964"/>
    </row>
    <row r="64" customFormat="false" ht="14.15" hidden="false" customHeight="true" outlineLevel="0" collapsed="false">
      <c r="A64" s="985" t="s">
        <v>2608</v>
      </c>
      <c r="B64" s="722" t="s">
        <v>156</v>
      </c>
      <c r="C64" s="910"/>
      <c r="D64" s="910"/>
      <c r="E64" s="910"/>
      <c r="F64" s="910"/>
      <c r="H64" s="910"/>
      <c r="I64" s="910"/>
      <c r="J64" s="910"/>
      <c r="K64" s="910"/>
      <c r="M64" s="910" t="n">
        <f aca="false">M58*(M34/2+M52)/2+M58*(M34/2+M53)/2</f>
        <v>9.29051128840604</v>
      </c>
      <c r="N64" s="910" t="n">
        <f aca="false">N58*(N34/2+N52)/2+N58*(N34/2+N53)/2</f>
        <v>5.82347834202206</v>
      </c>
      <c r="O64" s="910" t="n">
        <f aca="false">O58*(O34/2+O52)/2+O58*(O34/2+O53)/2</f>
        <v>4.78873678541638</v>
      </c>
      <c r="P64" s="910" t="n">
        <f aca="false">P58*(P34/2+P52)/2+P58*(P34/2+P53)/2</f>
        <v>3.96993702720837</v>
      </c>
      <c r="AD64" s="961"/>
      <c r="AE64" s="962"/>
      <c r="AF64" s="963"/>
      <c r="AH64" s="998"/>
      <c r="AI64" s="998"/>
      <c r="AJ64" s="998"/>
      <c r="AK64" s="998"/>
      <c r="AL64" s="998"/>
      <c r="AM64" s="998"/>
      <c r="AN64" s="888"/>
      <c r="AO64" s="964"/>
    </row>
    <row r="65" customFormat="false" ht="14.15" hidden="false" customHeight="true" outlineLevel="0" collapsed="false">
      <c r="A65" s="985" t="s">
        <v>2609</v>
      </c>
      <c r="B65" s="722" t="s">
        <v>133</v>
      </c>
      <c r="C65" s="544" t="n">
        <f aca="false">C51*C34</f>
        <v>29.0489242485845</v>
      </c>
      <c r="D65" s="544" t="n">
        <f aca="false">D51*D34</f>
        <v>9.69329665284211</v>
      </c>
      <c r="E65" s="544" t="n">
        <f aca="false">E51*E34</f>
        <v>9.93176721434811</v>
      </c>
      <c r="F65" s="544" t="n">
        <f aca="false">F51*F34</f>
        <v>15.8113883008419</v>
      </c>
      <c r="G65" s="1000" t="n">
        <f aca="false">(C65*C32+D65*D32+E65*E32+F65*F32)</f>
        <v>0</v>
      </c>
      <c r="H65" s="544" t="n">
        <f aca="false">H51*H33*2</f>
        <v>21.9718001083207</v>
      </c>
      <c r="I65" s="544" t="n">
        <f aca="false">I51*I34</f>
        <v>5.76281181368957</v>
      </c>
      <c r="J65" s="544" t="n">
        <f aca="false">J51*J34</f>
        <v>6.15548535860496</v>
      </c>
      <c r="K65" s="544" t="n">
        <f aca="false">K51*K33*2</f>
        <v>16.1554944214035</v>
      </c>
      <c r="L65" s="1000" t="n">
        <f aca="false">(H65*H32+I65*I32+J65*J32+K65*K32)</f>
        <v>0</v>
      </c>
      <c r="M65" s="544"/>
      <c r="N65" s="544"/>
      <c r="O65" s="544"/>
      <c r="P65" s="544"/>
      <c r="Q65" s="1000" t="n">
        <f aca="false">(M65*M32+N65*N32+O65*O32+P65*P32)</f>
        <v>0</v>
      </c>
      <c r="AD65" s="961" t="s">
        <v>2039</v>
      </c>
      <c r="AE65" s="962" t="n">
        <v>7</v>
      </c>
      <c r="AF65" s="963" t="n">
        <f aca="false">'Ввод данных'!BD365</f>
        <v>0</v>
      </c>
    </row>
    <row r="66" customFormat="false" ht="14.15" hidden="false" customHeight="true" outlineLevel="0" collapsed="false">
      <c r="A66" s="1001" t="s">
        <v>2610</v>
      </c>
      <c r="B66" s="722" t="s">
        <v>133</v>
      </c>
      <c r="C66" s="544" t="n">
        <f aca="false">(C51+C52)*(C34+C54+C55)</f>
        <v>38.4587090983014</v>
      </c>
      <c r="D66" s="544" t="n">
        <f aca="false">(D51+D52)*(D34+D54+D55)</f>
        <v>14.9412856486947</v>
      </c>
      <c r="E66" s="544" t="n">
        <f aca="false">(E51+E52)*(E34+E54+E55)</f>
        <v>18.379768635812</v>
      </c>
      <c r="F66" s="544" t="n">
        <f aca="false">(F51+F52)*(F34+F54+F55)</f>
        <v>25.2072603231281</v>
      </c>
      <c r="G66" s="983"/>
      <c r="H66" s="544" t="n">
        <f aca="false">(H51+H52+H51+H53)*(H33+H54)*1.02</f>
        <v>30.4304421289016</v>
      </c>
      <c r="I66" s="544" t="n">
        <f aca="false">(I51+I52+I51+I53)*(I33+I54)*1.02</f>
        <v>17.9994921165812</v>
      </c>
      <c r="J66" s="544" t="n">
        <f aca="false">(J51+J52+J51+J53)*(J33+J54)*1.02</f>
        <v>20.5569741666352</v>
      </c>
      <c r="K66" s="544" t="n">
        <f aca="false">(K51+K52+K51+K53)*(K33+K54)*1.02</f>
        <v>25.5240987924533</v>
      </c>
      <c r="L66" s="983"/>
      <c r="M66" s="544" t="n">
        <f aca="false">M62+M63+M64</f>
        <v>34.0773202802872</v>
      </c>
      <c r="N66" s="544" t="n">
        <f aca="false">N62+N63+N64</f>
        <v>21.128902217237</v>
      </c>
      <c r="O66" s="544" t="n">
        <f aca="false">O62+O63+O64</f>
        <v>23.0787367854164</v>
      </c>
      <c r="P66" s="544" t="n">
        <f aca="false">P62+P63+P64</f>
        <v>27.1132405943312</v>
      </c>
      <c r="Q66" s="983"/>
    </row>
    <row r="67" customFormat="false" ht="14.15" hidden="false" customHeight="true" outlineLevel="0" collapsed="false">
      <c r="A67" s="1001" t="s">
        <v>2611</v>
      </c>
      <c r="B67" s="722"/>
      <c r="C67" s="544"/>
      <c r="D67" s="544"/>
      <c r="E67" s="544"/>
      <c r="F67" s="544"/>
      <c r="G67" s="983"/>
      <c r="H67" s="544"/>
      <c r="I67" s="544"/>
      <c r="J67" s="544"/>
      <c r="K67" s="544"/>
      <c r="L67" s="983"/>
      <c r="M67" s="489"/>
      <c r="N67" s="489"/>
      <c r="O67" s="489"/>
      <c r="P67" s="489"/>
      <c r="Q67" s="888"/>
    </row>
    <row r="68" customFormat="false" ht="14.15" hidden="false" customHeight="true" outlineLevel="0" collapsed="false">
      <c r="A68" s="541" t="s">
        <v>2612</v>
      </c>
      <c r="B68" s="1002"/>
      <c r="C68" s="1003" t="n">
        <f aca="false">(C51+C52)*C6</f>
        <v>0</v>
      </c>
      <c r="D68" s="1003" t="n">
        <f aca="false">(D51+D52)*D6</f>
        <v>0</v>
      </c>
      <c r="E68" s="1003" t="n">
        <f aca="false">(E51+E52)*E6</f>
        <v>0</v>
      </c>
      <c r="F68" s="1003" t="n">
        <f aca="false">(F51+F52)*F6</f>
        <v>0</v>
      </c>
      <c r="G68" s="1000" t="n">
        <f aca="false">(C68*C32+D68*D32+E68*E32+F68*F32)</f>
        <v>0</v>
      </c>
      <c r="H68" s="1004"/>
      <c r="I68" s="1004"/>
      <c r="J68" s="1004"/>
      <c r="K68" s="1004"/>
      <c r="L68" s="1004"/>
      <c r="AD68" s="461" t="s">
        <v>2613</v>
      </c>
      <c r="AF68" s="894"/>
      <c r="AG68" s="894"/>
    </row>
    <row r="69" customFormat="false" ht="14.15" hidden="false" customHeight="true" outlineLevel="0" collapsed="false">
      <c r="A69" s="541" t="s">
        <v>2614</v>
      </c>
      <c r="B69" s="1002"/>
      <c r="C69" s="544"/>
      <c r="D69" s="544"/>
      <c r="E69" s="544"/>
      <c r="F69" s="544"/>
      <c r="G69" s="1000"/>
      <c r="H69" s="1004"/>
      <c r="I69" s="1004"/>
      <c r="J69" s="1004"/>
      <c r="K69" s="1004"/>
      <c r="L69" s="1005"/>
      <c r="AD69" s="461"/>
      <c r="AF69" s="894"/>
      <c r="AG69" s="894"/>
    </row>
    <row r="70" customFormat="false" ht="14.15" hidden="false" customHeight="true" outlineLevel="0" collapsed="false">
      <c r="A70" s="541" t="s">
        <v>2615</v>
      </c>
      <c r="B70" s="1002"/>
      <c r="C70" s="544"/>
      <c r="D70" s="544"/>
      <c r="E70" s="544"/>
      <c r="F70" s="544"/>
      <c r="G70" s="1000"/>
      <c r="H70" s="1004"/>
      <c r="I70" s="1004"/>
      <c r="J70" s="1004"/>
      <c r="K70" s="1004"/>
      <c r="L70" s="1005"/>
      <c r="AD70" s="461"/>
      <c r="AF70" s="894"/>
      <c r="AG70" s="894"/>
    </row>
    <row r="71" customFormat="false" ht="14.15" hidden="false" customHeight="true" outlineLevel="0" collapsed="false">
      <c r="A71" s="541" t="s">
        <v>2616</v>
      </c>
      <c r="B71" s="1002"/>
      <c r="C71" s="544"/>
      <c r="D71" s="544"/>
      <c r="E71" s="544"/>
      <c r="F71" s="544"/>
      <c r="G71" s="1000"/>
      <c r="H71" s="1003" t="n">
        <f aca="false">(H51+H52)*1.05*H6</f>
        <v>0</v>
      </c>
      <c r="I71" s="1003" t="n">
        <f aca="false">(I51+I52)*1.05*I6</f>
        <v>0</v>
      </c>
      <c r="J71" s="1003" t="n">
        <f aca="false">(J51+J52)*1.05*J6</f>
        <v>0</v>
      </c>
      <c r="K71" s="1003" t="n">
        <f aca="false">(K51+K52)*1.05*K6</f>
        <v>0</v>
      </c>
      <c r="L71" s="1000" t="n">
        <f aca="false">(H71*H32+I71*I32+J71*J32+K32*K71)</f>
        <v>0</v>
      </c>
      <c r="AD71" s="461"/>
      <c r="AF71" s="894"/>
      <c r="AG71" s="894"/>
    </row>
    <row r="72" customFormat="false" ht="14.15" hidden="false" customHeight="true" outlineLevel="0" collapsed="false">
      <c r="A72" s="541" t="s">
        <v>2617</v>
      </c>
      <c r="B72" s="1002"/>
      <c r="C72" s="544"/>
      <c r="D72" s="544"/>
      <c r="E72" s="544"/>
      <c r="F72" s="544"/>
      <c r="G72" s="1000"/>
      <c r="H72" s="1003" t="n">
        <f aca="false">(H51+H53)*1.05*H6</f>
        <v>0</v>
      </c>
      <c r="I72" s="1003" t="n">
        <f aca="false">(I51+I53)*1.05*I6</f>
        <v>0</v>
      </c>
      <c r="J72" s="1003" t="n">
        <f aca="false">(J51+J53)*1.05*J6</f>
        <v>0</v>
      </c>
      <c r="K72" s="1003" t="n">
        <f aca="false">(K51+K53)*1.05*K6</f>
        <v>0</v>
      </c>
      <c r="L72" s="1000" t="n">
        <f aca="false">(H72*H32+I72*I32+J72*J32+K32*K72)</f>
        <v>0</v>
      </c>
      <c r="AD72" s="461"/>
      <c r="AF72" s="894"/>
      <c r="AG72" s="894"/>
    </row>
    <row r="73" customFormat="false" ht="14.15" hidden="false" customHeight="true" outlineLevel="0" collapsed="false">
      <c r="A73" s="541" t="s">
        <v>2618</v>
      </c>
      <c r="B73" s="1002"/>
      <c r="C73" s="544"/>
      <c r="D73" s="544"/>
      <c r="E73" s="544"/>
      <c r="F73" s="544"/>
      <c r="G73" s="1000"/>
      <c r="H73" s="544"/>
      <c r="I73" s="544"/>
      <c r="J73" s="544"/>
      <c r="K73" s="544"/>
      <c r="L73" s="1000"/>
      <c r="M73" s="1003" t="n">
        <f aca="false">M59</f>
        <v>4.34856298103178</v>
      </c>
      <c r="N73" s="1003" t="n">
        <f aca="false">N59</f>
        <v>3.47850542618522</v>
      </c>
      <c r="O73" s="1003" t="n">
        <f aca="false">O59</f>
        <v>3.1</v>
      </c>
      <c r="P73" s="1003" t="n">
        <f aca="false">P59</f>
        <v>3.35410196624968</v>
      </c>
      <c r="Q73" s="544"/>
      <c r="AD73" s="461"/>
      <c r="AF73" s="894"/>
      <c r="AG73" s="894"/>
    </row>
    <row r="74" customFormat="false" ht="14.15" hidden="false" customHeight="true" outlineLevel="0" collapsed="false">
      <c r="A74" s="541" t="s">
        <v>2619</v>
      </c>
      <c r="B74" s="1002"/>
      <c r="C74" s="544"/>
      <c r="D74" s="544"/>
      <c r="E74" s="544"/>
      <c r="F74" s="544"/>
      <c r="G74" s="1000"/>
      <c r="H74" s="544"/>
      <c r="I74" s="544"/>
      <c r="J74" s="544"/>
      <c r="K74" s="544"/>
      <c r="L74" s="1000"/>
      <c r="M74" s="1003" t="n">
        <f aca="false">M60</f>
        <v>4.51109742745599</v>
      </c>
      <c r="N74" s="1003" t="n">
        <f aca="false">N60</f>
        <v>3.47850542618522</v>
      </c>
      <c r="O74" s="1003" t="n">
        <f aca="false">O60</f>
        <v>3.1</v>
      </c>
      <c r="P74" s="1003" t="n">
        <f aca="false">P60</f>
        <v>3.35410196624968</v>
      </c>
      <c r="Q74" s="544"/>
      <c r="AD74" s="461"/>
      <c r="AF74" s="894"/>
      <c r="AG74" s="894"/>
    </row>
    <row r="75" customFormat="false" ht="14.15" hidden="false" customHeight="true" outlineLevel="0" collapsed="false">
      <c r="A75" s="541" t="s">
        <v>2620</v>
      </c>
      <c r="B75" s="1002"/>
      <c r="C75" s="544"/>
      <c r="D75" s="544"/>
      <c r="E75" s="544"/>
      <c r="F75" s="544"/>
      <c r="G75" s="1000"/>
      <c r="H75" s="544"/>
      <c r="I75" s="544"/>
      <c r="J75" s="544"/>
      <c r="K75" s="544"/>
      <c r="L75" s="1000"/>
      <c r="M75" s="1003" t="n">
        <f aca="false">M58</f>
        <v>2.58069758011279</v>
      </c>
      <c r="N75" s="1003" t="n">
        <f aca="false">N58</f>
        <v>2.77308492477241</v>
      </c>
      <c r="O75" s="1003" t="n">
        <f aca="false">O58</f>
        <v>2.28035085019828</v>
      </c>
      <c r="P75" s="1003" t="n">
        <f aca="false">P58</f>
        <v>1.28062484748657</v>
      </c>
      <c r="Q75" s="544"/>
      <c r="AD75" s="461"/>
      <c r="AF75" s="894"/>
      <c r="AG75" s="894"/>
    </row>
    <row r="76" customFormat="false" ht="14.15" hidden="false" customHeight="true" outlineLevel="0" collapsed="false">
      <c r="A76" s="541" t="s">
        <v>2621</v>
      </c>
      <c r="B76" s="1002"/>
      <c r="C76" s="1006" t="n">
        <f aca="false">(C34+C54+C55)*C32</f>
        <v>0</v>
      </c>
      <c r="D76" s="1006" t="n">
        <f aca="false">(D34+D54+D55)*D32</f>
        <v>0</v>
      </c>
      <c r="E76" s="1006" t="n">
        <f aca="false">(E34+E54+E55)*E32</f>
        <v>0</v>
      </c>
      <c r="F76" s="1006" t="n">
        <f aca="false">(F34+F54+F55)*F32</f>
        <v>0</v>
      </c>
      <c r="G76" s="1000" t="n">
        <f aca="false">C76+D76+E76+F76</f>
        <v>0</v>
      </c>
      <c r="H76" s="1006" t="n">
        <f aca="false">(H33+H54)*H32</f>
        <v>0</v>
      </c>
      <c r="I76" s="1006" t="n">
        <f aca="false">(I33+I54)*I32</f>
        <v>0</v>
      </c>
      <c r="J76" s="1006" t="n">
        <f aca="false">(J33+J54)*J32</f>
        <v>0</v>
      </c>
      <c r="K76" s="1006" t="n">
        <f aca="false">(K33+K54)*K32</f>
        <v>0</v>
      </c>
      <c r="L76" s="1000" t="n">
        <f aca="false">H76+I76+J76+K76</f>
        <v>0</v>
      </c>
      <c r="M76" s="1006" t="n">
        <f aca="false">(M33+M54)*M32</f>
        <v>0</v>
      </c>
      <c r="N76" s="1006" t="n">
        <f aca="false">(N33+N54)*N32</f>
        <v>0</v>
      </c>
      <c r="O76" s="1006" t="n">
        <f aca="false">(O33+O54)*O32</f>
        <v>0</v>
      </c>
      <c r="P76" s="1006" t="n">
        <f aca="false">(P33+P54)*P32</f>
        <v>0</v>
      </c>
      <c r="Q76" s="1000" t="n">
        <f aca="false">M76+N76+O76+P76</f>
        <v>0</v>
      </c>
      <c r="R76" s="1007" t="n">
        <f aca="false">G76+L76+Q76</f>
        <v>0</v>
      </c>
      <c r="AD76" s="461" t="s">
        <v>2622</v>
      </c>
      <c r="AE76" s="895"/>
      <c r="AF76" s="894"/>
      <c r="AG76" s="894"/>
    </row>
    <row r="77" customFormat="false" ht="14.15" hidden="false" customHeight="true" outlineLevel="0" collapsed="false">
      <c r="A77" s="541" t="s">
        <v>2623</v>
      </c>
      <c r="B77" s="1002"/>
      <c r="C77" s="1006" t="n">
        <f aca="false">C68*(C54+C55+C34)*C32</f>
        <v>0</v>
      </c>
      <c r="D77" s="1006" t="n">
        <f aca="false">D68*(D54+D55+D34)*D32</f>
        <v>0</v>
      </c>
      <c r="E77" s="1006" t="n">
        <f aca="false">E68*(E54+E55+E34)*E32</f>
        <v>0</v>
      </c>
      <c r="F77" s="1006" t="n">
        <f aca="false">F68*(F54+F55+F34)*F32</f>
        <v>0</v>
      </c>
      <c r="G77" s="1000" t="n">
        <f aca="false">C77+D77+E77+F77</f>
        <v>0</v>
      </c>
      <c r="H77" s="1008" t="n">
        <f aca="false">(H76*(H71+H72))*H32</f>
        <v>0</v>
      </c>
      <c r="I77" s="1008" t="n">
        <f aca="false">(I76*(I71+I72))*I32</f>
        <v>0</v>
      </c>
      <c r="J77" s="1008" t="n">
        <f aca="false">(J76*(J71+J72))*J32</f>
        <v>0</v>
      </c>
      <c r="K77" s="1008" t="n">
        <f aca="false">(K76*(K71+K72))*K32</f>
        <v>0</v>
      </c>
      <c r="L77" s="1000" t="n">
        <f aca="false">H77+I77+J77+K77</f>
        <v>0</v>
      </c>
      <c r="M77" s="1008" t="n">
        <f aca="false">M66*M32</f>
        <v>0</v>
      </c>
      <c r="N77" s="1008" t="n">
        <f aca="false">N66*N32</f>
        <v>0</v>
      </c>
      <c r="O77" s="1008" t="n">
        <f aca="false">O66*O32</f>
        <v>0</v>
      </c>
      <c r="P77" s="1008" t="n">
        <f aca="false">P66*P32</f>
        <v>0</v>
      </c>
      <c r="Q77" s="1000" t="n">
        <f aca="false">M77+N77+O77+P77</f>
        <v>0</v>
      </c>
      <c r="R77" s="1007" t="n">
        <f aca="false">G77+L77+Q77</f>
        <v>0</v>
      </c>
      <c r="AD77" s="1009" t="s">
        <v>2624</v>
      </c>
      <c r="AE77" s="1010" t="n">
        <f aca="false">(((AQ5+AQ8+AQ9+AQ10)*(C21+C35+C22))*I2+I1*((AQ5+AQ8+AQ9+AQ10)*(AD10-AD3)))</f>
        <v>3.96</v>
      </c>
      <c r="AF77" s="894"/>
      <c r="AG77" s="894"/>
    </row>
    <row r="78" customFormat="false" ht="14.15" hidden="false" customHeight="true" outlineLevel="0" collapsed="false">
      <c r="A78" s="541" t="s">
        <v>2625</v>
      </c>
      <c r="B78" s="1002"/>
      <c r="C78" s="1006" t="n">
        <f aca="false">(C68*C54+C68*C55+C34*C52)*C32</f>
        <v>0</v>
      </c>
      <c r="D78" s="1006" t="n">
        <f aca="false">(D68*D54+D68*D55+D34*D52)*D32</f>
        <v>0</v>
      </c>
      <c r="E78" s="1006" t="n">
        <f aca="false">(E68*E54+E68*E55+E34*E52)*E32</f>
        <v>0</v>
      </c>
      <c r="F78" s="1006" t="n">
        <f aca="false">(F68*F54+F68*F55+F34*F52)*F32</f>
        <v>0</v>
      </c>
      <c r="G78" s="1000" t="n">
        <f aca="false">C78+D78+E78+F78</f>
        <v>0</v>
      </c>
      <c r="H78" s="1008" t="n">
        <f aca="false">(H71*H54+H72*H54+H33*H52+H33*H53)*H32</f>
        <v>0</v>
      </c>
      <c r="I78" s="1008" t="n">
        <f aca="false">(I71*I54+I72*I54+I33*I52+I33*I53)*I32</f>
        <v>0</v>
      </c>
      <c r="J78" s="1008" t="n">
        <f aca="false">(J71*J54+J72*J54+J33*J52+J33*J53)*J32</f>
        <v>0</v>
      </c>
      <c r="K78" s="1008" t="n">
        <f aca="false">(K71*K54+K72*K54+K33*K52+K33*K53)*K32</f>
        <v>0</v>
      </c>
      <c r="L78" s="1000" t="n">
        <f aca="false">H78+I78+J78+K78</f>
        <v>0</v>
      </c>
      <c r="M78" s="1008" t="n">
        <f aca="false">(M34*M54+(M33+M54)*M52+(M33+M54)*M53)*M32</f>
        <v>0</v>
      </c>
      <c r="N78" s="1008" t="n">
        <f aca="false">(N34*N54+(N33+N54)*N52+(N33+N54)*N53)*N32</f>
        <v>0</v>
      </c>
      <c r="O78" s="1008" t="n">
        <f aca="false">(O34*O54+(O33+O54)*O52+(O33+O54)*O53)*O32</f>
        <v>0</v>
      </c>
      <c r="P78" s="1008" t="n">
        <f aca="false">(P34*P54+(P33+P54)*P52+(P33+P54)*P53)*P32</f>
        <v>0</v>
      </c>
      <c r="Q78" s="1000" t="n">
        <f aca="false">M78+N78+O78+P78</f>
        <v>0</v>
      </c>
      <c r="R78" s="1007" t="n">
        <f aca="false">G78+L78+Q78</f>
        <v>0</v>
      </c>
      <c r="AD78" s="1009" t="s">
        <v>2624</v>
      </c>
      <c r="AE78" s="1010" t="e">
        <f aca="false">((AQ11+AQ31+AQ34+#REF!)*C5*(C23+C38))*I2+((AQ11+AQ31+AQ34+#REF!)*C5*(AD39-AD10))*I1</f>
        <v>#REF!</v>
      </c>
      <c r="AF78" s="894"/>
      <c r="AG78" s="894"/>
    </row>
    <row r="79" customFormat="false" ht="14.15" hidden="false" customHeight="true" outlineLevel="0" collapsed="false">
      <c r="A79" s="541" t="s">
        <v>2626</v>
      </c>
      <c r="B79" s="1002"/>
      <c r="C79" s="1006" t="n">
        <f aca="false">C77*1.2*C32</f>
        <v>0</v>
      </c>
      <c r="D79" s="1006" t="n">
        <f aca="false">D77*1.2*D32</f>
        <v>0</v>
      </c>
      <c r="E79" s="1006" t="n">
        <f aca="false">E77*1.2*E32</f>
        <v>0</v>
      </c>
      <c r="F79" s="1006" t="n">
        <f aca="false">F77*1.2*F32</f>
        <v>0</v>
      </c>
      <c r="G79" s="1000" t="n">
        <f aca="false">C79+D79+E79+F79</f>
        <v>0</v>
      </c>
      <c r="H79" s="1006" t="n">
        <f aca="false">H77*1.2*H32</f>
        <v>0</v>
      </c>
      <c r="I79" s="1006" t="n">
        <f aca="false">I77*1.2*I32</f>
        <v>0</v>
      </c>
      <c r="J79" s="1006" t="n">
        <f aca="false">J77*1.2*J32</f>
        <v>0</v>
      </c>
      <c r="K79" s="1006" t="n">
        <f aca="false">K77*1.2*K32</f>
        <v>0</v>
      </c>
      <c r="L79" s="1000" t="n">
        <f aca="false">H79+I79+J79+K79</f>
        <v>0</v>
      </c>
      <c r="M79" s="1006" t="n">
        <f aca="false">M77*1.5*M32</f>
        <v>0</v>
      </c>
      <c r="N79" s="1006" t="n">
        <f aca="false">N77*1.5*N32</f>
        <v>0</v>
      </c>
      <c r="O79" s="1006" t="n">
        <f aca="false">O77*1.5*O32</f>
        <v>0</v>
      </c>
      <c r="P79" s="1006" t="n">
        <f aca="false">P77*1.5*P32</f>
        <v>0</v>
      </c>
      <c r="Q79" s="1000" t="n">
        <f aca="false">M79+N79+O79+P79</f>
        <v>0</v>
      </c>
      <c r="R79" s="1007" t="n">
        <f aca="false">G79+L79+Q79</f>
        <v>0</v>
      </c>
      <c r="AD79" s="1009" t="s">
        <v>2627</v>
      </c>
      <c r="AE79" s="1011" t="e">
        <f aca="false">AE77+AE78</f>
        <v>#REF!</v>
      </c>
      <c r="AF79" s="894"/>
      <c r="AG79" s="894"/>
    </row>
    <row r="80" customFormat="false" ht="14.15" hidden="false" customHeight="true" outlineLevel="0" collapsed="false">
      <c r="A80" s="1012" t="s">
        <v>2628</v>
      </c>
      <c r="B80" s="742" t="s">
        <v>1820</v>
      </c>
      <c r="C80" s="1013" t="s">
        <v>293</v>
      </c>
      <c r="D80" s="1013" t="s">
        <v>293</v>
      </c>
      <c r="E80" s="1013" t="s">
        <v>293</v>
      </c>
      <c r="F80" s="1013" t="s">
        <v>293</v>
      </c>
      <c r="G80" s="1014"/>
      <c r="H80" s="1013" t="s">
        <v>293</v>
      </c>
      <c r="I80" s="1013" t="s">
        <v>293</v>
      </c>
      <c r="J80" s="1013" t="s">
        <v>293</v>
      </c>
      <c r="K80" s="1013" t="s">
        <v>293</v>
      </c>
      <c r="L80" s="1014"/>
      <c r="M80" s="1013" t="s">
        <v>293</v>
      </c>
      <c r="N80" s="1013" t="s">
        <v>293</v>
      </c>
      <c r="O80" s="1013" t="s">
        <v>293</v>
      </c>
      <c r="P80" s="1013" t="s">
        <v>293</v>
      </c>
      <c r="Q80" s="1014"/>
      <c r="AD80" s="1015" t="s">
        <v>2629</v>
      </c>
      <c r="AE80" s="933"/>
      <c r="AF80" s="903" t="n">
        <f aca="false">((AD8-AD5)*C3+(AD39-AD10)*C5)*пристройка!AE50+(C21*C25+C22*C26+C23*C27)*пристройка!AE50+(AD38-AD40)*C33</f>
        <v>41.4</v>
      </c>
      <c r="AG80" s="894" t="s">
        <v>2630</v>
      </c>
    </row>
    <row r="81" customFormat="false" ht="14.15" hidden="false" customHeight="true" outlineLevel="0" collapsed="false">
      <c r="A81" s="1016"/>
      <c r="B81" s="263" t="s">
        <v>156</v>
      </c>
      <c r="C81" s="1017" t="n">
        <v>0.6</v>
      </c>
      <c r="D81" s="1018" t="n">
        <f aca="false">C81</f>
        <v>0.6</v>
      </c>
      <c r="E81" s="1018" t="n">
        <f aca="false">C81</f>
        <v>0.6</v>
      </c>
      <c r="F81" s="1018" t="n">
        <f aca="false">C81</f>
        <v>0.6</v>
      </c>
      <c r="G81" s="1014" t="n">
        <v>1</v>
      </c>
      <c r="H81" s="910" t="n">
        <f aca="false">C81</f>
        <v>0.6</v>
      </c>
      <c r="I81" s="910" t="n">
        <f aca="false">D81</f>
        <v>0.6</v>
      </c>
      <c r="J81" s="910" t="n">
        <f aca="false">E81</f>
        <v>0.6</v>
      </c>
      <c r="K81" s="910" t="n">
        <f aca="false">F81</f>
        <v>0.6</v>
      </c>
      <c r="L81" s="997" t="n">
        <f aca="false">G81</f>
        <v>1</v>
      </c>
      <c r="M81" s="910" t="n">
        <f aca="false">H81</f>
        <v>0.6</v>
      </c>
      <c r="N81" s="910" t="n">
        <f aca="false">I81</f>
        <v>0.6</v>
      </c>
      <c r="O81" s="910" t="n">
        <f aca="false">J81</f>
        <v>0.6</v>
      </c>
      <c r="P81" s="910" t="n">
        <f aca="false">K81</f>
        <v>0.6</v>
      </c>
      <c r="Q81" s="997" t="n">
        <f aca="false">L81</f>
        <v>1</v>
      </c>
      <c r="R81" s="1019" t="n">
        <f aca="false">E37*(E33+E33+E34)*E32+E40*(E33+E33+E34)*E32</f>
        <v>0</v>
      </c>
      <c r="AD81" s="1015" t="s">
        <v>2631</v>
      </c>
      <c r="AE81" s="1020" t="e">
        <f aca="false">C94*I2+AF81*I1</f>
        <v>#REF!</v>
      </c>
      <c r="AF81" s="933" t="e">
        <f aca="false">#REF!-AN40-AN41-AN42-AN52-AN54</f>
        <v>#REF!</v>
      </c>
      <c r="AG81" s="894"/>
    </row>
    <row r="82" customFormat="false" ht="14.15" hidden="false" customHeight="true" outlineLevel="0" collapsed="false">
      <c r="A82" s="1021" t="s">
        <v>2632</v>
      </c>
      <c r="B82" s="263" t="s">
        <v>156</v>
      </c>
      <c r="C82" s="1017" t="n">
        <f aca="false">VLOOKUP(A218,'Прайс лист'!B744:G782,3,0)</f>
        <v>0.2</v>
      </c>
      <c r="D82" s="1004" t="n">
        <f aca="false">VLOOKUP(A218,'Прайс лист'!B744:G782,3,0)</f>
        <v>0.2</v>
      </c>
      <c r="E82" s="1004" t="n">
        <f aca="false">VLOOKUP(A218,'Прайс лист'!B744:G782,3,0)</f>
        <v>0.2</v>
      </c>
      <c r="F82" s="1004" t="n">
        <f aca="false">VLOOKUP(A218,'Прайс лист'!B744:G782,3,0)</f>
        <v>0.2</v>
      </c>
      <c r="G82" s="1014" t="n">
        <v>1</v>
      </c>
      <c r="H82" s="910" t="n">
        <f aca="false">C82</f>
        <v>0.2</v>
      </c>
      <c r="I82" s="910" t="n">
        <f aca="false">D82</f>
        <v>0.2</v>
      </c>
      <c r="J82" s="910" t="n">
        <f aca="false">E82</f>
        <v>0.2</v>
      </c>
      <c r="K82" s="910" t="n">
        <f aca="false">F82</f>
        <v>0.2</v>
      </c>
      <c r="L82" s="997" t="n">
        <f aca="false">G82</f>
        <v>1</v>
      </c>
      <c r="M82" s="910" t="n">
        <f aca="false">H82</f>
        <v>0.2</v>
      </c>
      <c r="N82" s="910" t="n">
        <f aca="false">I82</f>
        <v>0.2</v>
      </c>
      <c r="O82" s="910" t="n">
        <f aca="false">J82</f>
        <v>0.2</v>
      </c>
      <c r="P82" s="910" t="n">
        <f aca="false">K82</f>
        <v>0.2</v>
      </c>
      <c r="Q82" s="997" t="n">
        <f aca="false">L82</f>
        <v>1</v>
      </c>
      <c r="AD82" s="903" t="s">
        <v>2633</v>
      </c>
      <c r="AE82" s="1020" t="n">
        <v>0</v>
      </c>
      <c r="AF82" s="933" t="n">
        <v>0</v>
      </c>
      <c r="AG82" s="894"/>
    </row>
    <row r="83" customFormat="false" ht="14.15" hidden="false" customHeight="true" outlineLevel="0" collapsed="false">
      <c r="A83" s="1016"/>
      <c r="B83" s="263" t="s">
        <v>156</v>
      </c>
      <c r="C83" s="1017"/>
      <c r="D83" s="1004"/>
      <c r="E83" s="1004"/>
      <c r="F83" s="1004"/>
      <c r="G83" s="1014" t="n">
        <v>1</v>
      </c>
      <c r="H83" s="1017"/>
      <c r="I83" s="1004"/>
      <c r="J83" s="1004"/>
      <c r="K83" s="1004"/>
      <c r="L83" s="997" t="n">
        <f aca="false">G83</f>
        <v>1</v>
      </c>
      <c r="M83" s="1017"/>
      <c r="N83" s="1004"/>
      <c r="O83" s="1004"/>
      <c r="P83" s="1004"/>
      <c r="Q83" s="997" t="n">
        <f aca="false">L83</f>
        <v>1</v>
      </c>
      <c r="AD83" s="933" t="s">
        <v>2634</v>
      </c>
      <c r="AE83" s="1022" t="n">
        <v>0</v>
      </c>
      <c r="AF83" s="1023" t="n">
        <v>0</v>
      </c>
      <c r="AG83" s="894"/>
    </row>
    <row r="84" customFormat="false" ht="14.15" hidden="false" customHeight="true" outlineLevel="0" collapsed="false">
      <c r="A84" s="1024" t="s">
        <v>2635</v>
      </c>
      <c r="B84" s="1025"/>
      <c r="C84" s="1024"/>
      <c r="D84" s="944" t="n">
        <f aca="false">1</f>
        <v>1</v>
      </c>
      <c r="E84" s="741"/>
      <c r="F84" s="741"/>
      <c r="G84" s="1026"/>
      <c r="H84" s="1024"/>
      <c r="I84" s="944" t="n">
        <f aca="false">1</f>
        <v>1</v>
      </c>
      <c r="J84" s="741"/>
      <c r="K84" s="741"/>
      <c r="L84" s="1026"/>
      <c r="M84" s="1024"/>
      <c r="N84" s="944" t="n">
        <f aca="false">1</f>
        <v>1</v>
      </c>
      <c r="O84" s="741"/>
      <c r="P84" s="741"/>
      <c r="Q84" s="1026"/>
      <c r="AD84" s="1015" t="s">
        <v>2636</v>
      </c>
      <c r="AE84" s="1022" t="e">
        <f aca="false">AF84*I1+C95*I2</f>
        <v>#REF!</v>
      </c>
      <c r="AF84" s="903" t="e">
        <f aca="false">AF83*2+AF81</f>
        <v>#REF!</v>
      </c>
      <c r="AG84" s="358"/>
    </row>
    <row r="85" customFormat="false" ht="14.15" hidden="false" customHeight="true" outlineLevel="0" collapsed="false">
      <c r="A85" s="684" t="s">
        <v>2572</v>
      </c>
      <c r="C85" s="684" t="n">
        <f aca="false">(C34+C33*2)*C32</f>
        <v>0</v>
      </c>
      <c r="D85" s="684" t="n">
        <f aca="false">(D34+D33*2)*D32</f>
        <v>0</v>
      </c>
      <c r="E85" s="684" t="n">
        <f aca="false">(E34+E33*2)*E32</f>
        <v>0</v>
      </c>
      <c r="F85" s="684" t="n">
        <f aca="false">(F34+F33*2)*F32</f>
        <v>0</v>
      </c>
      <c r="G85" s="895" t="n">
        <f aca="false">C85+D85+E85+F85</f>
        <v>0</v>
      </c>
      <c r="H85" s="684" t="n">
        <f aca="false">(H34+H33*2)*H32</f>
        <v>0</v>
      </c>
      <c r="I85" s="684" t="n">
        <f aca="false">(I34+I33*2)*I32</f>
        <v>0</v>
      </c>
      <c r="J85" s="684" t="n">
        <f aca="false">(J34+J33*2)*J32</f>
        <v>0</v>
      </c>
      <c r="K85" s="684" t="n">
        <f aca="false">(K34+K33*2)*K32</f>
        <v>0</v>
      </c>
      <c r="L85" s="895" t="n">
        <f aca="false">H85+I85+J85+K85</f>
        <v>0</v>
      </c>
      <c r="M85" s="684" t="n">
        <f aca="false">(M34+M33*2)*M32</f>
        <v>0</v>
      </c>
      <c r="N85" s="684" t="n">
        <f aca="false">(N34+N33*2)*N32</f>
        <v>0</v>
      </c>
      <c r="O85" s="684" t="n">
        <f aca="false">(O34+O33*2)*O32</f>
        <v>0</v>
      </c>
      <c r="P85" s="684" t="n">
        <f aca="false">(P34+P33*2)*P32</f>
        <v>0</v>
      </c>
      <c r="Q85" s="895" t="n">
        <f aca="false">M85+N85+O85+P85</f>
        <v>0</v>
      </c>
      <c r="R85" s="1027" t="n">
        <f aca="false">G85+L85+Q85</f>
        <v>0</v>
      </c>
      <c r="AD85" s="1028" t="s">
        <v>2637</v>
      </c>
      <c r="AE85" s="1029" t="n">
        <f aca="false">(C34*C35+C34*C5*C38+(C21+C22)*C34*C3+C23*C5)*D2</f>
        <v>0</v>
      </c>
    </row>
    <row r="86" customFormat="false" ht="14.15" hidden="false" customHeight="true" outlineLevel="0" collapsed="false">
      <c r="A86" s="474" t="s">
        <v>2638</v>
      </c>
      <c r="B86" s="925" t="s">
        <v>133</v>
      </c>
      <c r="C86" s="474" t="n">
        <f aca="false">(C34*C33*C3+C34*C33*C5)*C32</f>
        <v>0</v>
      </c>
      <c r="D86" s="474" t="n">
        <f aca="false">(D34*D33*D3+D34*D33*D5)*D32</f>
        <v>0</v>
      </c>
      <c r="E86" s="474" t="n">
        <f aca="false">(E34*E33*E3+E34*E33*E5)*E32</f>
        <v>0</v>
      </c>
      <c r="F86" s="474" t="n">
        <f aca="false">(F34*F33*F3+F34*F33*F5)*F32</f>
        <v>0</v>
      </c>
      <c r="G86" s="895" t="n">
        <f aca="false">C86+D86+E86+F86</f>
        <v>0</v>
      </c>
      <c r="H86" s="474" t="n">
        <f aca="false">(H34*H33*H3+H34*H33*H5)*H32</f>
        <v>0</v>
      </c>
      <c r="I86" s="474" t="n">
        <f aca="false">(I34*I33*I3+I34*I33*I5)*I32</f>
        <v>0</v>
      </c>
      <c r="J86" s="474" t="n">
        <f aca="false">(J34*J33*J3+J34*J33*J5)*J32</f>
        <v>0</v>
      </c>
      <c r="K86" s="474" t="n">
        <f aca="false">(K34*K33*K3+K34*K33*K5)*K32</f>
        <v>0</v>
      </c>
      <c r="L86" s="895" t="n">
        <f aca="false">H86+I86+J86+K86</f>
        <v>0</v>
      </c>
      <c r="M86" s="474" t="n">
        <f aca="false">(M34*M33*M3+M34*M33*M5)*M32</f>
        <v>0</v>
      </c>
      <c r="N86" s="474" t="n">
        <f aca="false">(N34*N33*N3+N34*N33*N5)*N32</f>
        <v>0</v>
      </c>
      <c r="O86" s="474" t="n">
        <f aca="false">(O34*O33*O3+O34*O33*O5)*O32</f>
        <v>0</v>
      </c>
      <c r="P86" s="474" t="n">
        <f aca="false">(P34*P33*P3+P34*P33*P5)*P32</f>
        <v>0</v>
      </c>
      <c r="Q86" s="895" t="n">
        <f aca="false">M86+N86+O86+P86</f>
        <v>0</v>
      </c>
      <c r="R86" s="1027" t="n">
        <f aca="false">G86+L86+Q86</f>
        <v>0</v>
      </c>
    </row>
    <row r="87" customFormat="false" ht="14.15" hidden="false" customHeight="true" outlineLevel="0" collapsed="false">
      <c r="A87" s="1029" t="s">
        <v>2639</v>
      </c>
      <c r="B87" s="925" t="s">
        <v>133</v>
      </c>
      <c r="C87" s="1029" t="n">
        <f aca="false">(C41*C33)*C32*C4</f>
        <v>0</v>
      </c>
      <c r="D87" s="1029" t="n">
        <f aca="false">(D41*D33)*D32*D4</f>
        <v>0</v>
      </c>
      <c r="E87" s="1029" t="n">
        <f aca="false">(E41*E33)*E32*E4</f>
        <v>0</v>
      </c>
      <c r="F87" s="1029" t="n">
        <f aca="false">(F41*F33)*F32*F4</f>
        <v>0</v>
      </c>
      <c r="G87" s="895" t="n">
        <f aca="false">C87+D87+E87+F87</f>
        <v>0</v>
      </c>
      <c r="H87" s="1029" t="n">
        <f aca="false">(H41*H33)*H32*H4</f>
        <v>0</v>
      </c>
      <c r="I87" s="1029" t="n">
        <f aca="false">(I41*I33)*I32*I4</f>
        <v>0</v>
      </c>
      <c r="J87" s="1029" t="n">
        <f aca="false">(J41*J33)*J32*J4</f>
        <v>0</v>
      </c>
      <c r="K87" s="1029" t="n">
        <f aca="false">(K41*K33)*K32*K4</f>
        <v>0</v>
      </c>
      <c r="L87" s="895" t="n">
        <f aca="false">H87+I87+J87+K87</f>
        <v>0</v>
      </c>
      <c r="M87" s="1029"/>
      <c r="N87" s="1029"/>
      <c r="O87" s="1029"/>
      <c r="P87" s="1029"/>
      <c r="Q87" s="895" t="n">
        <f aca="false">M87+N87+O87+P87</f>
        <v>0</v>
      </c>
      <c r="R87" s="1027" t="n">
        <f aca="false">G87+L87+Q87</f>
        <v>0</v>
      </c>
      <c r="AE87" s="1030" t="s">
        <v>2640</v>
      </c>
      <c r="AF87" s="741" t="s">
        <v>2641</v>
      </c>
    </row>
    <row r="88" customFormat="false" ht="14.15" hidden="false" customHeight="true" outlineLevel="0" collapsed="false">
      <c r="A88" s="1029" t="s">
        <v>2642</v>
      </c>
      <c r="B88" s="925"/>
      <c r="C88" s="1029" t="n">
        <f aca="false">(C41*C33)*C32*C5</f>
        <v>0</v>
      </c>
      <c r="D88" s="1029" t="n">
        <f aca="false">(D41*D33)*D32*D5</f>
        <v>0</v>
      </c>
      <c r="E88" s="1029" t="n">
        <f aca="false">(E41*E33)*E32*E5</f>
        <v>0</v>
      </c>
      <c r="F88" s="1029" t="n">
        <f aca="false">(F41*F33)*F32*F5</f>
        <v>0</v>
      </c>
      <c r="G88" s="895" t="n">
        <f aca="false">C88+D88+E88+F88</f>
        <v>0</v>
      </c>
      <c r="H88" s="1029" t="n">
        <f aca="false">(H41*H33)*H32*H5</f>
        <v>0</v>
      </c>
      <c r="I88" s="1029" t="n">
        <f aca="false">(I41*I33)*I32*I5</f>
        <v>0</v>
      </c>
      <c r="J88" s="1029" t="n">
        <f aca="false">(J41*J33)*J32*J5</f>
        <v>0</v>
      </c>
      <c r="K88" s="1029" t="n">
        <f aca="false">(K41*K33)*K32*K5</f>
        <v>0</v>
      </c>
      <c r="L88" s="895" t="n">
        <f aca="false">H88+I88+J88+K88</f>
        <v>0</v>
      </c>
      <c r="M88" s="1029"/>
      <c r="N88" s="1029"/>
      <c r="O88" s="1029"/>
      <c r="P88" s="1029"/>
      <c r="Q88" s="895" t="n">
        <f aca="false">M88+N88+O88+P88</f>
        <v>0</v>
      </c>
      <c r="R88" s="1027" t="n">
        <f aca="false">G88+L88+Q88</f>
        <v>0</v>
      </c>
      <c r="AE88" s="1030"/>
      <c r="AF88" s="741"/>
    </row>
    <row r="89" s="1034" customFormat="true" ht="14.15" hidden="false" customHeight="true" outlineLevel="0" collapsed="false">
      <c r="A89" s="1031" t="s">
        <v>2643</v>
      </c>
      <c r="B89" s="1032" t="s">
        <v>133</v>
      </c>
      <c r="C89" s="1031" t="n">
        <f aca="false">C37*(C33+C33+C34)*C32</f>
        <v>0</v>
      </c>
      <c r="D89" s="1031" t="n">
        <f aca="false">D37*(D33+D33+D34)*D32</f>
        <v>0</v>
      </c>
      <c r="E89" s="1031" t="n">
        <f aca="false">E37*(E33+E33+E34)*E32</f>
        <v>0</v>
      </c>
      <c r="F89" s="1031" t="n">
        <f aca="false">F37*(F33+F33+F34)*F32</f>
        <v>0</v>
      </c>
      <c r="G89" s="895" t="n">
        <f aca="false">C89+D89+E89+F89</f>
        <v>0</v>
      </c>
      <c r="H89" s="1031" t="n">
        <f aca="false">H37*(H33+H33+H34)*H32</f>
        <v>0</v>
      </c>
      <c r="I89" s="1031" t="n">
        <f aca="false">I37*(I33+I33+I34)*I32</f>
        <v>0</v>
      </c>
      <c r="J89" s="1031" t="n">
        <f aca="false">J37*(J33+J33+J34)*J32</f>
        <v>0</v>
      </c>
      <c r="K89" s="1031" t="n">
        <f aca="false">K37*(K33+K33+K34)*K32</f>
        <v>0</v>
      </c>
      <c r="L89" s="895" t="n">
        <f aca="false">H89+I89+J89+K89</f>
        <v>0</v>
      </c>
      <c r="M89" s="1031" t="n">
        <f aca="false">M37*(M33+M33+M34)*M32</f>
        <v>0</v>
      </c>
      <c r="N89" s="1031" t="n">
        <f aca="false">N37*(N33+N33+N34)*N32</f>
        <v>0</v>
      </c>
      <c r="O89" s="1031" t="n">
        <f aca="false">O37*(O33+O33+O34)*O32</f>
        <v>0</v>
      </c>
      <c r="P89" s="1031" t="n">
        <f aca="false">P37*(P33+P33+P34)*P32</f>
        <v>0</v>
      </c>
      <c r="Q89" s="895" t="n">
        <f aca="false">M89+N89+O89+P89</f>
        <v>0</v>
      </c>
      <c r="R89" s="1033" t="n">
        <f aca="false">G89+L89+Q89</f>
        <v>0</v>
      </c>
      <c r="AE89" s="1035"/>
      <c r="AF89" s="1033"/>
    </row>
    <row r="90" customFormat="false" ht="14.15" hidden="false" customHeight="true" outlineLevel="0" collapsed="false">
      <c r="A90" s="1029" t="s">
        <v>2644</v>
      </c>
      <c r="B90" s="925" t="s">
        <v>133</v>
      </c>
      <c r="C90" s="1029" t="n">
        <f aca="false">C40*(C33+C33+C34)*C32</f>
        <v>0</v>
      </c>
      <c r="D90" s="1029" t="n">
        <f aca="false">D40*(D33+D33+D34)*D32</f>
        <v>0</v>
      </c>
      <c r="E90" s="1029" t="n">
        <f aca="false">E40*(E33+E33+E34)*E32</f>
        <v>0</v>
      </c>
      <c r="F90" s="1029" t="n">
        <f aca="false">F40*(F33+F33+F34)*F32</f>
        <v>0</v>
      </c>
      <c r="G90" s="895" t="n">
        <f aca="false">C90+D90+E90+F90</f>
        <v>0</v>
      </c>
      <c r="H90" s="1029" t="n">
        <f aca="false">H40*(H33+H33+H34)*H32</f>
        <v>0</v>
      </c>
      <c r="I90" s="1029" t="n">
        <f aca="false">I40*(I33+I33+I34)*I32</f>
        <v>0</v>
      </c>
      <c r="J90" s="1029" t="n">
        <f aca="false">J40*(J33+J33+J34)*J32</f>
        <v>0</v>
      </c>
      <c r="K90" s="1029" t="n">
        <f aca="false">K40*(K33+K33+K34)*K32</f>
        <v>0</v>
      </c>
      <c r="L90" s="895" t="n">
        <f aca="false">H90+I90+J90+K90</f>
        <v>0</v>
      </c>
      <c r="M90" s="1029" t="n">
        <f aca="false">M40*(M33+M33+M34)*M32</f>
        <v>0</v>
      </c>
      <c r="N90" s="1029" t="n">
        <f aca="false">N40*(N33+N33+N34)*N32</f>
        <v>0</v>
      </c>
      <c r="O90" s="1029" t="n">
        <f aca="false">O40*(O33+O33+O34)*O32</f>
        <v>0</v>
      </c>
      <c r="P90" s="1029" t="n">
        <f aca="false">P40*(P33+P33+P34)*P32</f>
        <v>0</v>
      </c>
      <c r="Q90" s="895" t="n">
        <f aca="false">M90+N90+O90+P90</f>
        <v>0</v>
      </c>
      <c r="R90" s="1027" t="n">
        <f aca="false">G90+L90+Q90</f>
        <v>0</v>
      </c>
      <c r="AE90" s="1030"/>
      <c r="AF90" s="741"/>
    </row>
    <row r="91" s="1034" customFormat="true" ht="14.15" hidden="false" customHeight="true" outlineLevel="0" collapsed="false">
      <c r="A91" s="1031" t="s">
        <v>2645</v>
      </c>
      <c r="B91" s="1032" t="s">
        <v>133</v>
      </c>
      <c r="C91" s="1031" t="n">
        <f aca="false">(C21*C25)*(C33+C33+C34)*C32</f>
        <v>0</v>
      </c>
      <c r="D91" s="1031" t="n">
        <f aca="false">(D21*D25)*(D33+D33+D34)*D32</f>
        <v>0</v>
      </c>
      <c r="E91" s="1031" t="n">
        <f aca="false">(E21*E25)*(E33+E33+E34)*E32</f>
        <v>0</v>
      </c>
      <c r="F91" s="1031" t="n">
        <f aca="false">(F21*F25)*(F33+F33+F34)*F32</f>
        <v>0</v>
      </c>
      <c r="G91" s="895" t="n">
        <f aca="false">C91+D91+E91+F91</f>
        <v>0</v>
      </c>
      <c r="H91" s="1031" t="n">
        <f aca="false">(H21*H25)*(H33+H33+H34)*H32</f>
        <v>0</v>
      </c>
      <c r="I91" s="1031" t="n">
        <f aca="false">(I21*I25)*(I33+I33+I34)*I32</f>
        <v>0</v>
      </c>
      <c r="J91" s="1031" t="n">
        <f aca="false">(J21*J25)*(J33+J33+J34)*J32</f>
        <v>0</v>
      </c>
      <c r="K91" s="1031" t="n">
        <f aca="false">(K21*K25)*(K33+K33+K34)*K32</f>
        <v>0</v>
      </c>
      <c r="L91" s="895" t="n">
        <f aca="false">H91+I91+J91+K91</f>
        <v>0</v>
      </c>
      <c r="M91" s="1031" t="n">
        <f aca="false">(M21*M25)*(M33+M33+M34)*M32</f>
        <v>0</v>
      </c>
      <c r="N91" s="1031" t="n">
        <f aca="false">(N21*N25)*(N33+N33+N34)*N32</f>
        <v>0</v>
      </c>
      <c r="O91" s="1031" t="n">
        <f aca="false">(O21*O25)*(O33+O33+O34)*O32</f>
        <v>0</v>
      </c>
      <c r="P91" s="1031" t="n">
        <f aca="false">(P21*P25)*(P33+P33+P34)*P32</f>
        <v>0</v>
      </c>
      <c r="Q91" s="895" t="n">
        <f aca="false">M91+N91+O91+P91</f>
        <v>0</v>
      </c>
      <c r="R91" s="1033" t="n">
        <f aca="false">G91+L91+Q91</f>
        <v>0</v>
      </c>
      <c r="AE91" s="1035"/>
      <c r="AF91" s="1033"/>
    </row>
    <row r="92" s="1034" customFormat="true" ht="14.15" hidden="false" customHeight="true" outlineLevel="0" collapsed="false">
      <c r="A92" s="1031" t="s">
        <v>2646</v>
      </c>
      <c r="B92" s="1032"/>
      <c r="C92" s="1031" t="n">
        <f aca="false">(C22*C26)*(C33+C33+C34)*C32</f>
        <v>0</v>
      </c>
      <c r="D92" s="1031" t="n">
        <f aca="false">(D22*D26)*(D33+D33+D34)*D32</f>
        <v>0</v>
      </c>
      <c r="E92" s="1031" t="n">
        <f aca="false">(E22*E26)*(E33+E33+E34)*E32</f>
        <v>0</v>
      </c>
      <c r="F92" s="1031" t="n">
        <f aca="false">(F22*F26)*(F33+F33+F34)*F32</f>
        <v>0</v>
      </c>
      <c r="G92" s="895" t="n">
        <f aca="false">C92+D92+E92+F92</f>
        <v>0</v>
      </c>
      <c r="H92" s="1031" t="n">
        <f aca="false">(H22*H26)*(H33+H33+H34)*H32</f>
        <v>0</v>
      </c>
      <c r="I92" s="1031" t="n">
        <f aca="false">(I22*I26)*(I33+I33+I34)*I32</f>
        <v>0</v>
      </c>
      <c r="J92" s="1031" t="n">
        <f aca="false">(J22*J26)*(J33+J33+J34)*J32</f>
        <v>0</v>
      </c>
      <c r="K92" s="1031" t="n">
        <f aca="false">(K22*K26)*(K33+K33+K34)*K32</f>
        <v>0</v>
      </c>
      <c r="L92" s="895" t="n">
        <f aca="false">H92+I92+J92+K92</f>
        <v>0</v>
      </c>
      <c r="M92" s="1031" t="n">
        <f aca="false">(M22*M26)*(M33+M33+M34)*M32</f>
        <v>0</v>
      </c>
      <c r="N92" s="1031" t="n">
        <f aca="false">(N22*N26)*(N33+N33+N34)*N32</f>
        <v>0</v>
      </c>
      <c r="O92" s="1031" t="n">
        <f aca="false">(O22*O26)*(O33+O33+O34)*O32</f>
        <v>0</v>
      </c>
      <c r="P92" s="1031" t="n">
        <f aca="false">(P22*P26)*(P33+P33+P34)*P32</f>
        <v>0</v>
      </c>
      <c r="Q92" s="895" t="n">
        <f aca="false">M92+N92+O92+P92</f>
        <v>0</v>
      </c>
      <c r="R92" s="1033" t="n">
        <f aca="false">G92+L92+Q92</f>
        <v>0</v>
      </c>
      <c r="AE92" s="1035"/>
      <c r="AF92" s="1033"/>
    </row>
    <row r="93" s="1034" customFormat="true" ht="14.15" hidden="false" customHeight="true" outlineLevel="0" collapsed="false">
      <c r="A93" s="1031" t="s">
        <v>2647</v>
      </c>
      <c r="B93" s="1032"/>
      <c r="C93" s="1031" t="n">
        <f aca="false">(C23*C27)*(C33+C33+C34)*C32</f>
        <v>0</v>
      </c>
      <c r="D93" s="1031" t="n">
        <f aca="false">(D23*D27)*(D33+D33+D34)*D32</f>
        <v>0</v>
      </c>
      <c r="E93" s="1031" t="n">
        <f aca="false">(E23*E27)*(E33+E33+E34)*E32</f>
        <v>0</v>
      </c>
      <c r="F93" s="1031" t="n">
        <f aca="false">(F23*F27)*(F33+F33+F34)*F32</f>
        <v>0</v>
      </c>
      <c r="G93" s="895" t="n">
        <f aca="false">C93+D93+E93+F93</f>
        <v>0</v>
      </c>
      <c r="H93" s="1031" t="n">
        <f aca="false">(H23*H27)*(H33+H33+H34)*H32</f>
        <v>0</v>
      </c>
      <c r="I93" s="1031" t="n">
        <f aca="false">(I23*I27)*(I33+I33+I34)*I32</f>
        <v>0</v>
      </c>
      <c r="J93" s="1031" t="n">
        <f aca="false">(J23*J27)*(J33+J33+J34)*J32</f>
        <v>0</v>
      </c>
      <c r="K93" s="1031" t="n">
        <f aca="false">(K23*K27)*(K33+K33+K34)*K32</f>
        <v>0</v>
      </c>
      <c r="L93" s="895" t="n">
        <f aca="false">H93+I93+J93+K93</f>
        <v>0</v>
      </c>
      <c r="M93" s="1031" t="n">
        <f aca="false">(M23*M27)*(M33+M33+M34)*M32</f>
        <v>0</v>
      </c>
      <c r="N93" s="1031" t="n">
        <f aca="false">(N23*N27)*(N33+N33+N34)*N32</f>
        <v>0</v>
      </c>
      <c r="O93" s="1031" t="n">
        <f aca="false">(O23*O27)*(O33+O33+O34)*O32</f>
        <v>0</v>
      </c>
      <c r="P93" s="1031" t="n">
        <f aca="false">(P23*P27)*(P33+P33+P34)*P32</f>
        <v>0</v>
      </c>
      <c r="Q93" s="895" t="n">
        <f aca="false">M93+N93+O93+P93</f>
        <v>0</v>
      </c>
      <c r="R93" s="1033" t="n">
        <f aca="false">G93+L93+Q93</f>
        <v>0</v>
      </c>
      <c r="AE93" s="1035"/>
      <c r="AF93" s="1033"/>
    </row>
    <row r="94" customFormat="false" ht="14.15" hidden="false" customHeight="true" outlineLevel="0" collapsed="false">
      <c r="A94" s="1029" t="s">
        <v>2648</v>
      </c>
      <c r="B94" s="925" t="s">
        <v>133</v>
      </c>
      <c r="C94" s="1029" t="n">
        <f aca="false">(C87+C89+C90)*C32</f>
        <v>0</v>
      </c>
      <c r="D94" s="1029" t="n">
        <f aca="false">(D87+D89+D90+D91)*D32</f>
        <v>0</v>
      </c>
      <c r="E94" s="1029" t="n">
        <f aca="false">(E87+E89+E90+E91)*E32</f>
        <v>0</v>
      </c>
      <c r="F94" s="1029" t="n">
        <f aca="false">(F87+F89+F90+F91)*F32</f>
        <v>0</v>
      </c>
      <c r="G94" s="895" t="n">
        <f aca="false">C94+D94+E94+F94</f>
        <v>0</v>
      </c>
      <c r="H94" s="1029" t="n">
        <f aca="false">(H87+H89+H90+H91)*H32</f>
        <v>0</v>
      </c>
      <c r="I94" s="1029" t="n">
        <f aca="false">(I87+I89+I90+I91)*I32</f>
        <v>0</v>
      </c>
      <c r="J94" s="1029" t="n">
        <f aca="false">(J87+J89+J90+J91)*J32</f>
        <v>0</v>
      </c>
      <c r="K94" s="1029" t="n">
        <f aca="false">(K87+K89+K90+K91)*K32</f>
        <v>0</v>
      </c>
      <c r="L94" s="895" t="n">
        <f aca="false">H94+I94+J94+K94</f>
        <v>0</v>
      </c>
      <c r="M94" s="1029" t="n">
        <f aca="false">(M87+M89+M90+M91)*M32</f>
        <v>0</v>
      </c>
      <c r="N94" s="1029" t="n">
        <f aca="false">(N87+N89+N90+N91)*N32</f>
        <v>0</v>
      </c>
      <c r="O94" s="1029" t="n">
        <f aca="false">(O87+O89+O90+O91)*O32</f>
        <v>0</v>
      </c>
      <c r="P94" s="1029" t="n">
        <f aca="false">(P87+P89+P90+P91)*P32</f>
        <v>0</v>
      </c>
      <c r="Q94" s="895" t="n">
        <f aca="false">M94+N94+O94+P94</f>
        <v>0</v>
      </c>
      <c r="R94" s="1027" t="n">
        <f aca="false">G94+L94+Q94</f>
        <v>0</v>
      </c>
      <c r="AE94" s="1030"/>
      <c r="AF94" s="741"/>
    </row>
    <row r="95" s="1034" customFormat="true" ht="14.15" hidden="false" customHeight="true" outlineLevel="0" collapsed="false">
      <c r="A95" s="1031" t="s">
        <v>2649</v>
      </c>
      <c r="B95" s="1032" t="s">
        <v>133</v>
      </c>
      <c r="C95" s="1031" t="n">
        <f aca="false">C89</f>
        <v>0</v>
      </c>
      <c r="D95" s="1031" t="n">
        <f aca="false">D89</f>
        <v>0</v>
      </c>
      <c r="E95" s="1031" t="n">
        <f aca="false">E89</f>
        <v>0</v>
      </c>
      <c r="F95" s="1031" t="n">
        <f aca="false">F89</f>
        <v>0</v>
      </c>
      <c r="G95" s="895" t="n">
        <f aca="false">C95+D95+E95+F95</f>
        <v>0</v>
      </c>
      <c r="H95" s="1031" t="n">
        <f aca="false">H89</f>
        <v>0</v>
      </c>
      <c r="I95" s="1031" t="n">
        <f aca="false">I89</f>
        <v>0</v>
      </c>
      <c r="J95" s="1031" t="n">
        <f aca="false">J89</f>
        <v>0</v>
      </c>
      <c r="K95" s="1031" t="n">
        <f aca="false">K89</f>
        <v>0</v>
      </c>
      <c r="L95" s="895" t="n">
        <f aca="false">H95+I95+J95+K95</f>
        <v>0</v>
      </c>
      <c r="M95" s="1031" t="n">
        <f aca="false">M89</f>
        <v>0</v>
      </c>
      <c r="N95" s="1031" t="n">
        <f aca="false">N89</f>
        <v>0</v>
      </c>
      <c r="O95" s="1031" t="n">
        <f aca="false">O89</f>
        <v>0</v>
      </c>
      <c r="P95" s="1031" t="n">
        <f aca="false">P89</f>
        <v>0</v>
      </c>
      <c r="Q95" s="895" t="n">
        <f aca="false">M95+N95+O95+P95</f>
        <v>0</v>
      </c>
      <c r="R95" s="1033" t="n">
        <f aca="false">G95+L95+Q95</f>
        <v>0</v>
      </c>
      <c r="AE95" s="1036" t="n">
        <f aca="false">C34</f>
        <v>6</v>
      </c>
      <c r="AF95" s="1036"/>
    </row>
    <row r="96" customFormat="false" ht="14.15" hidden="false" customHeight="true" outlineLevel="0" collapsed="false">
      <c r="A96" s="1029" t="s">
        <v>2650</v>
      </c>
      <c r="B96" s="925" t="s">
        <v>133</v>
      </c>
      <c r="C96" s="1029" t="n">
        <f aca="false">C90</f>
        <v>0</v>
      </c>
      <c r="D96" s="1029" t="n">
        <f aca="false">D90</f>
        <v>0</v>
      </c>
      <c r="E96" s="1029" t="n">
        <f aca="false">E90</f>
        <v>0</v>
      </c>
      <c r="F96" s="1029" t="n">
        <f aca="false">F90</f>
        <v>0</v>
      </c>
      <c r="G96" s="895" t="n">
        <f aca="false">C96+D96+E96+F96</f>
        <v>0</v>
      </c>
      <c r="H96" s="1029" t="n">
        <f aca="false">H90</f>
        <v>0</v>
      </c>
      <c r="I96" s="1029" t="n">
        <f aca="false">I90</f>
        <v>0</v>
      </c>
      <c r="J96" s="1029" t="n">
        <f aca="false">J90</f>
        <v>0</v>
      </c>
      <c r="K96" s="1029" t="n">
        <f aca="false">K90</f>
        <v>0</v>
      </c>
      <c r="L96" s="895" t="n">
        <f aca="false">H96+I96+J96+K96</f>
        <v>0</v>
      </c>
      <c r="M96" s="1029" t="n">
        <f aca="false">M90</f>
        <v>0</v>
      </c>
      <c r="N96" s="1029" t="n">
        <f aca="false">N90</f>
        <v>0</v>
      </c>
      <c r="O96" s="1029" t="n">
        <f aca="false">O90</f>
        <v>0</v>
      </c>
      <c r="P96" s="1029" t="n">
        <f aca="false">P90</f>
        <v>0</v>
      </c>
      <c r="Q96" s="895" t="n">
        <f aca="false">M96+N96+O96+P96</f>
        <v>0</v>
      </c>
      <c r="R96" s="1027" t="n">
        <f aca="false">G96+L96+Q96</f>
        <v>0</v>
      </c>
      <c r="AE96" s="1037"/>
      <c r="AF96" s="1037"/>
    </row>
    <row r="97" s="1034" customFormat="true" ht="14.15" hidden="false" customHeight="true" outlineLevel="0" collapsed="false">
      <c r="A97" s="1031" t="s">
        <v>2651</v>
      </c>
      <c r="B97" s="1032" t="s">
        <v>133</v>
      </c>
      <c r="C97" s="1038" t="n">
        <f aca="false">C37*(C34)*C32</f>
        <v>0</v>
      </c>
      <c r="D97" s="1038" t="n">
        <f aca="false">D37*(D34)*D32</f>
        <v>0</v>
      </c>
      <c r="E97" s="1038" t="n">
        <f aca="false">E37*(E34)*E32</f>
        <v>0</v>
      </c>
      <c r="F97" s="1038" t="n">
        <f aca="false">F37*(F34)*F32</f>
        <v>0</v>
      </c>
      <c r="G97" s="895" t="n">
        <f aca="false">C97+D97+E97+F97</f>
        <v>0</v>
      </c>
      <c r="H97" s="1038" t="n">
        <f aca="false">H37*(H34)*H32</f>
        <v>0</v>
      </c>
      <c r="I97" s="1038" t="n">
        <f aca="false">I37*(I34)*I32</f>
        <v>0</v>
      </c>
      <c r="J97" s="1038" t="n">
        <f aca="false">J37*(J34)*J32</f>
        <v>0</v>
      </c>
      <c r="K97" s="1038" t="n">
        <f aca="false">K37*(K34)*K32</f>
        <v>0</v>
      </c>
      <c r="L97" s="895" t="n">
        <f aca="false">H97+I97+J97+K97</f>
        <v>0</v>
      </c>
      <c r="M97" s="1038" t="n">
        <f aca="false">M37*(M34)*M32</f>
        <v>0</v>
      </c>
      <c r="N97" s="1038" t="n">
        <f aca="false">N37*(N34)*N32</f>
        <v>0</v>
      </c>
      <c r="O97" s="1038" t="n">
        <f aca="false">O37*(O34)*O32</f>
        <v>0</v>
      </c>
      <c r="P97" s="1038" t="n">
        <f aca="false">P37*(P34)*P32</f>
        <v>0</v>
      </c>
      <c r="Q97" s="895" t="n">
        <f aca="false">M97+N97+O97+P97</f>
        <v>0</v>
      </c>
      <c r="R97" s="1033" t="n">
        <f aca="false">G97+L97+Q97</f>
        <v>0</v>
      </c>
      <c r="AE97" s="1036" t="n">
        <f aca="false">C33</f>
        <v>3</v>
      </c>
      <c r="AF97" s="1036"/>
    </row>
    <row r="98" s="1034" customFormat="true" ht="14.15" hidden="false" customHeight="true" outlineLevel="0" collapsed="false">
      <c r="A98" s="1031" t="s">
        <v>2652</v>
      </c>
      <c r="B98" s="1032"/>
      <c r="C98" s="1039" t="n">
        <f aca="false">C40*(C34)*C32</f>
        <v>0</v>
      </c>
      <c r="D98" s="1039" t="n">
        <f aca="false">D40*(D34)*D32</f>
        <v>0</v>
      </c>
      <c r="E98" s="1039" t="n">
        <f aca="false">E40*(E34)*E32</f>
        <v>0</v>
      </c>
      <c r="F98" s="1039" t="n">
        <f aca="false">F40*(F34)*F32</f>
        <v>0</v>
      </c>
      <c r="G98" s="895" t="n">
        <f aca="false">C98+D98+E98+F98</f>
        <v>0</v>
      </c>
      <c r="H98" s="1039" t="n">
        <f aca="false">H40*(H34)*H32</f>
        <v>0</v>
      </c>
      <c r="I98" s="1039" t="n">
        <f aca="false">I40*(I34)*I32</f>
        <v>0</v>
      </c>
      <c r="J98" s="1039" t="n">
        <f aca="false">J40*(J34)*J32</f>
        <v>0</v>
      </c>
      <c r="K98" s="1039" t="n">
        <f aca="false">K40*(K34)*K32</f>
        <v>0</v>
      </c>
      <c r="L98" s="895" t="n">
        <f aca="false">H98+I98+J98+K98</f>
        <v>0</v>
      </c>
      <c r="M98" s="1039" t="n">
        <f aca="false">M40*(M34)*M32</f>
        <v>0</v>
      </c>
      <c r="N98" s="1039" t="n">
        <f aca="false">N40*(N34)*N32</f>
        <v>0</v>
      </c>
      <c r="O98" s="1039" t="n">
        <f aca="false">O40*(O34)*O32</f>
        <v>0</v>
      </c>
      <c r="P98" s="1039" t="n">
        <f aca="false">P40*(P34)*P32</f>
        <v>0</v>
      </c>
      <c r="Q98" s="895" t="n">
        <f aca="false">M98+N98+O98+P98</f>
        <v>0</v>
      </c>
      <c r="R98" s="1033" t="n">
        <f aca="false">G98+L98+Q98</f>
        <v>0</v>
      </c>
      <c r="AE98" s="1036"/>
      <c r="AF98" s="1036"/>
    </row>
    <row r="99" customFormat="false" ht="14.15" hidden="false" customHeight="true" outlineLevel="0" collapsed="false">
      <c r="A99" s="903" t="s">
        <v>2653</v>
      </c>
      <c r="B99" s="925"/>
      <c r="C99" s="1040" t="n">
        <f aca="false">(SQRT(C33*C33+(C39-C40+C36-C37)*(C39-C40+C36-C37)))</f>
        <v>4.84148737476408</v>
      </c>
      <c r="D99" s="1040" t="n">
        <f aca="false">SQRT(D33*D33+(D39-D40+D36-D35)*(D39-D40+D36-D35))</f>
        <v>3.2310988842807</v>
      </c>
      <c r="E99" s="1040" t="n">
        <f aca="false">SQRT(E33*E33+(E39-E40+E36-E35)*(E39-E40+E36-E35))</f>
        <v>3.31058907144937</v>
      </c>
      <c r="F99" s="1040" t="n">
        <f aca="false">SQRT(F33*F33+(F39-F40+F36-F35)*(F39-F40+F36-F35))</f>
        <v>3.16227766016838</v>
      </c>
      <c r="G99" s="952"/>
      <c r="H99" s="1040" t="n">
        <f aca="false">(H51+H52)*1.05</f>
        <v>4.37006501895612</v>
      </c>
      <c r="I99" s="1040" t="n">
        <f aca="false">(I51+I52)*1.05</f>
        <v>2.64698413479135</v>
      </c>
      <c r="J99" s="1040" t="n">
        <f aca="false">(J51+J52)*1.05</f>
        <v>2.78441987551174</v>
      </c>
      <c r="K99" s="1040" t="n">
        <f aca="false">(K51+K52)*1.05</f>
        <v>3.45721152374561</v>
      </c>
      <c r="L99" s="895"/>
      <c r="M99" s="1040" t="n">
        <f aca="false">M73</f>
        <v>4.34856298103178</v>
      </c>
      <c r="N99" s="1040" t="n">
        <f aca="false">N73</f>
        <v>3.47850542618522</v>
      </c>
      <c r="O99" s="1040" t="n">
        <f aca="false">O73</f>
        <v>3.1</v>
      </c>
      <c r="P99" s="1040" t="n">
        <f aca="false">P73</f>
        <v>3.35410196624968</v>
      </c>
      <c r="Q99" s="895"/>
      <c r="AE99" s="1037"/>
      <c r="AF99" s="1037"/>
    </row>
    <row r="100" s="1034" customFormat="true" ht="14.15" hidden="false" customHeight="true" outlineLevel="0" collapsed="false">
      <c r="A100" s="1031"/>
      <c r="B100" s="1032"/>
      <c r="C100" s="1041" t="n">
        <f aca="false">C99*C32</f>
        <v>0</v>
      </c>
      <c r="D100" s="1041" t="n">
        <f aca="false">D99*D32</f>
        <v>0</v>
      </c>
      <c r="E100" s="1041" t="n">
        <f aca="false">E99*E32</f>
        <v>0</v>
      </c>
      <c r="F100" s="1041" t="n">
        <f aca="false">F99*F32</f>
        <v>0</v>
      </c>
      <c r="G100" s="952" t="n">
        <f aca="false">(C100+D100+E100+F100)</f>
        <v>0</v>
      </c>
      <c r="H100" s="1041" t="n">
        <f aca="false">H99*H32</f>
        <v>0</v>
      </c>
      <c r="I100" s="1041" t="n">
        <f aca="false">I99*I32</f>
        <v>0</v>
      </c>
      <c r="J100" s="1041" t="n">
        <f aca="false">J99*J32</f>
        <v>0</v>
      </c>
      <c r="K100" s="1041" t="n">
        <f aca="false">K99*K32</f>
        <v>0</v>
      </c>
      <c r="L100" s="895" t="n">
        <f aca="false">H100+I100+J100+K100</f>
        <v>0</v>
      </c>
      <c r="M100" s="1041" t="n">
        <f aca="false">M99*M32</f>
        <v>0</v>
      </c>
      <c r="N100" s="1041" t="n">
        <f aca="false">N99*N32</f>
        <v>0</v>
      </c>
      <c r="O100" s="1041" t="n">
        <f aca="false">O99*O32</f>
        <v>0</v>
      </c>
      <c r="P100" s="1041" t="n">
        <f aca="false">P99*P32</f>
        <v>0</v>
      </c>
      <c r="Q100" s="895" t="n">
        <f aca="false">M100+N100+O100+P100</f>
        <v>0</v>
      </c>
      <c r="R100" s="1042" t="n">
        <f aca="false">G100+L100+Q100</f>
        <v>0</v>
      </c>
      <c r="AE100" s="1036"/>
      <c r="AF100" s="1036"/>
    </row>
    <row r="101" customFormat="false" ht="14.15" hidden="false" customHeight="true" outlineLevel="0" collapsed="false">
      <c r="A101" s="903" t="s">
        <v>2654</v>
      </c>
      <c r="B101" s="925"/>
      <c r="C101" s="1040"/>
      <c r="D101" s="1040"/>
      <c r="E101" s="1040"/>
      <c r="F101" s="1040"/>
      <c r="G101" s="952"/>
      <c r="H101" s="1040" t="n">
        <f aca="false">(H51+H53)*1.05</f>
        <v>4.58006501895612</v>
      </c>
      <c r="I101" s="1040" t="n">
        <f aca="false">(I51+I53)*1.05</f>
        <v>2.64698413479135</v>
      </c>
      <c r="J101" s="1040" t="n">
        <f aca="false">(J51+J53)*1.05</f>
        <v>2.78441987551174</v>
      </c>
      <c r="K101" s="1040" t="n">
        <f aca="false">(K51+K53)*1.05</f>
        <v>3.45721152374561</v>
      </c>
      <c r="L101" s="895"/>
      <c r="M101" s="1040" t="n">
        <f aca="false">M74</f>
        <v>4.51109742745599</v>
      </c>
      <c r="N101" s="1040" t="n">
        <f aca="false">N74</f>
        <v>3.47850542618522</v>
      </c>
      <c r="O101" s="1040" t="n">
        <f aca="false">O74</f>
        <v>3.1</v>
      </c>
      <c r="P101" s="1040" t="n">
        <f aca="false">P74</f>
        <v>3.35410196624968</v>
      </c>
      <c r="Q101" s="895"/>
      <c r="R101" s="1043"/>
      <c r="AE101" s="1037"/>
      <c r="AF101" s="1037"/>
    </row>
    <row r="102" s="1034" customFormat="true" ht="14.15" hidden="false" customHeight="true" outlineLevel="0" collapsed="false">
      <c r="A102" s="1031"/>
      <c r="B102" s="1032"/>
      <c r="C102" s="1041"/>
      <c r="D102" s="1041"/>
      <c r="E102" s="1041"/>
      <c r="F102" s="1041"/>
      <c r="G102" s="952"/>
      <c r="H102" s="1041" t="n">
        <f aca="false">H101*H32</f>
        <v>0</v>
      </c>
      <c r="I102" s="1041" t="n">
        <f aca="false">I101*I32</f>
        <v>0</v>
      </c>
      <c r="J102" s="1041" t="n">
        <f aca="false">J101*J32</f>
        <v>0</v>
      </c>
      <c r="K102" s="1041" t="n">
        <f aca="false">K101*K32</f>
        <v>0</v>
      </c>
      <c r="L102" s="895"/>
      <c r="M102" s="1041" t="n">
        <f aca="false">M101*M32</f>
        <v>0</v>
      </c>
      <c r="N102" s="1041" t="n">
        <f aca="false">N101*N32</f>
        <v>0</v>
      </c>
      <c r="O102" s="1041" t="n">
        <f aca="false">O101*O32</f>
        <v>0</v>
      </c>
      <c r="P102" s="1041" t="n">
        <f aca="false">P101*P32</f>
        <v>0</v>
      </c>
      <c r="Q102" s="895"/>
      <c r="R102" s="1044"/>
      <c r="AE102" s="1036"/>
      <c r="AF102" s="1036"/>
    </row>
    <row r="103" customFormat="false" ht="14.15" hidden="false" customHeight="true" outlineLevel="0" collapsed="false">
      <c r="A103" s="903" t="s">
        <v>2655</v>
      </c>
      <c r="B103" s="925"/>
      <c r="C103" s="1018" t="n">
        <f aca="false">(C36-C37+C39-C40)/C99</f>
        <v>0.784882765533426</v>
      </c>
      <c r="D103" s="1018" t="n">
        <f aca="false">(D36-D37+D39-D40)/D99</f>
        <v>-0.371390676354104</v>
      </c>
      <c r="E103" s="1018" t="n">
        <f aca="false">(E36-E37+E39-E40)/E99</f>
        <v>0.422885465331124</v>
      </c>
      <c r="F103" s="1018" t="n">
        <f aca="false">(F36-F37+F39-F40)/F99</f>
        <v>0.316227766016838</v>
      </c>
      <c r="G103" s="919"/>
      <c r="H103" s="1018" t="n">
        <f aca="false">(H36-H37+H39-H40)/H99</f>
        <v>0.869552279775396</v>
      </c>
      <c r="I103" s="1018" t="n">
        <f aca="false">(I36-I37+I39-I40)/I99</f>
        <v>-0.453346124832211</v>
      </c>
      <c r="J103" s="1018" t="n">
        <f aca="false">(J36-J37+J39-J40)/J99</f>
        <v>0.502797732595089</v>
      </c>
      <c r="K103" s="1018" t="n">
        <f aca="false">(K36-K37+K39-K40)/K99</f>
        <v>0.289250453185051</v>
      </c>
      <c r="M103" s="1018" t="n">
        <f aca="false">(M36-M37+M39-M40)/M99</f>
        <v>0.87385189465472</v>
      </c>
      <c r="N103" s="1018" t="n">
        <f aca="false">(N36-N37+N39-N40)/N99</f>
        <v>-0.344975744745641</v>
      </c>
      <c r="O103" s="1018" t="n">
        <f aca="false">(O36-O37+O39-O40)/O99</f>
        <v>0.451612903225806</v>
      </c>
      <c r="P103" s="1018" t="n">
        <f aca="false">(P36-P37+P39-P40)/P99</f>
        <v>0.298142396999972</v>
      </c>
      <c r="AE103" s="1037"/>
      <c r="AF103" s="1037"/>
    </row>
    <row r="104" customFormat="false" ht="14.15" hidden="false" customHeight="true" outlineLevel="0" collapsed="false">
      <c r="A104" s="1045" t="s">
        <v>2656</v>
      </c>
      <c r="B104" s="1046"/>
      <c r="C104" s="1047" t="n">
        <f aca="false">DEGREES(C103)</f>
        <v>44.9704698776215</v>
      </c>
      <c r="D104" s="1047" t="n">
        <f aca="false">DEGREES(D103)</f>
        <v>-21.2791183055992</v>
      </c>
      <c r="E104" s="1047" t="n">
        <f aca="false">DEGREES(E103)</f>
        <v>24.2295523808993</v>
      </c>
      <c r="F104" s="1047" t="n">
        <f aca="false">DEGREES(F103)</f>
        <v>18.1185163576153</v>
      </c>
      <c r="G104" s="919" t="n">
        <f aca="false">RADIANS(C104)</f>
        <v>0.784882765533426</v>
      </c>
      <c r="H104" s="1048" t="n">
        <f aca="false">DEGREES(H103)</f>
        <v>49.8216756971092</v>
      </c>
      <c r="I104" s="1048" t="n">
        <f aca="false">DEGREES(I103)</f>
        <v>-25.9748196114967</v>
      </c>
      <c r="J104" s="1048" t="n">
        <f aca="false">DEGREES(J103)</f>
        <v>28.8081880264459</v>
      </c>
      <c r="K104" s="1048" t="n">
        <f aca="false">DEGREES(K103)</f>
        <v>16.5728301897498</v>
      </c>
      <c r="M104" s="1048" t="n">
        <f aca="false">DEGREES(M103)</f>
        <v>50.0680254832261</v>
      </c>
      <c r="N104" s="1048" t="n">
        <f aca="false">DEGREES(N103)</f>
        <v>-19.7656542083076</v>
      </c>
      <c r="O104" s="1048" t="n">
        <f aca="false">DEGREES(O103)</f>
        <v>25.8755133284888</v>
      </c>
      <c r="P104" s="1048" t="n">
        <f aca="false">DEGREES(P103)</f>
        <v>17.0823010420123</v>
      </c>
      <c r="AE104" s="1037"/>
      <c r="AF104" s="1037"/>
    </row>
    <row r="105" customFormat="false" ht="14.15" hidden="false" customHeight="true" outlineLevel="0" collapsed="false">
      <c r="A105" s="1045"/>
      <c r="B105" s="1046"/>
      <c r="C105" s="1047"/>
      <c r="D105" s="1047"/>
      <c r="E105" s="1047"/>
      <c r="F105" s="1047" t="n">
        <v>81</v>
      </c>
      <c r="G105" s="919"/>
      <c r="H105" s="1048"/>
      <c r="I105" s="1048"/>
      <c r="J105" s="1048"/>
      <c r="K105" s="1048"/>
      <c r="M105" s="1048"/>
      <c r="N105" s="1048"/>
      <c r="O105" s="1048"/>
      <c r="P105" s="1048"/>
      <c r="AE105" s="1037"/>
      <c r="AF105" s="1037"/>
    </row>
    <row r="106" customFormat="false" ht="14.15" hidden="false" customHeight="true" outlineLevel="0" collapsed="false">
      <c r="A106" s="1045"/>
      <c r="B106" s="1046"/>
      <c r="C106" s="1047"/>
      <c r="D106" s="1047"/>
      <c r="E106" s="1047"/>
      <c r="F106" s="1047" t="n">
        <f aca="false">RADIANS(F105)</f>
        <v>1.41371669411541</v>
      </c>
      <c r="G106" s="919"/>
      <c r="H106" s="1048"/>
      <c r="I106" s="1048"/>
      <c r="J106" s="1048"/>
      <c r="K106" s="1048"/>
      <c r="M106" s="1048"/>
      <c r="N106" s="1048"/>
      <c r="O106" s="1048"/>
      <c r="P106" s="1048"/>
      <c r="AE106" s="1037"/>
      <c r="AF106" s="1037"/>
    </row>
    <row r="107" customFormat="false" ht="14.15" hidden="false" customHeight="true" outlineLevel="0" collapsed="false">
      <c r="A107" s="903" t="s">
        <v>2657</v>
      </c>
      <c r="B107" s="925"/>
      <c r="C107" s="1018" t="n">
        <f aca="false">C36-C37+C39-C38</f>
        <v>3.8</v>
      </c>
      <c r="D107" s="1018" t="n">
        <f aca="false">D36-D37+D39-D38</f>
        <v>-1.2</v>
      </c>
      <c r="E107" s="1018" t="n">
        <f aca="false">E36-E37+E39-E38</f>
        <v>2.9</v>
      </c>
      <c r="F107" s="1018" t="n">
        <f aca="false">F36-F37+F39-F38</f>
        <v>1</v>
      </c>
      <c r="G107" s="919"/>
      <c r="H107" s="1018" t="n">
        <f aca="false">H36-H37+H39-H38</f>
        <v>3.8</v>
      </c>
      <c r="I107" s="1018" t="n">
        <f aca="false">I36-I37+I39-I38</f>
        <v>-1.2</v>
      </c>
      <c r="J107" s="1018" t="n">
        <f aca="false">J36-J37+J39-J38</f>
        <v>2.9</v>
      </c>
      <c r="K107" s="1018" t="n">
        <f aca="false">K36-K37+K39-K38</f>
        <v>1</v>
      </c>
      <c r="M107" s="1018" t="n">
        <f aca="false">M36-M37+M39-M38</f>
        <v>3.8</v>
      </c>
      <c r="N107" s="1018" t="n">
        <f aca="false">N36-N37+N39-N38</f>
        <v>-1.2</v>
      </c>
      <c r="O107" s="1018" t="n">
        <f aca="false">O36-O37+O39-O38</f>
        <v>2.9</v>
      </c>
      <c r="P107" s="1018" t="n">
        <f aca="false">P36-P37+P39-P38</f>
        <v>1</v>
      </c>
      <c r="Q107" s="0" t="n">
        <v>3</v>
      </c>
      <c r="R107" s="1049" t="n">
        <f aca="false">SQRT(Q107*Q107+Q108*Q108)</f>
        <v>4.24264068711929</v>
      </c>
      <c r="AE107" s="1037"/>
      <c r="AF107" s="1037"/>
    </row>
    <row r="108" customFormat="false" ht="14.15" hidden="false" customHeight="true" outlineLevel="0" collapsed="false">
      <c r="A108" s="903" t="s">
        <v>2658</v>
      </c>
      <c r="B108" s="925"/>
      <c r="C108" s="1018" t="n">
        <f aca="false">C107/SIN(C103)*C6</f>
        <v>0</v>
      </c>
      <c r="D108" s="1018" t="n">
        <f aca="false">D107/SIN(D103)*D6</f>
        <v>0</v>
      </c>
      <c r="E108" s="1018" t="n">
        <f aca="false">E107/SIN(E103)*E6</f>
        <v>0</v>
      </c>
      <c r="F108" s="1018" t="n">
        <f aca="false">(F107/SIN(F103))*F6</f>
        <v>0</v>
      </c>
      <c r="G108" s="919" t="n">
        <f aca="false">RADIANS(C108)</f>
        <v>0</v>
      </c>
      <c r="H108" s="1018" t="n">
        <f aca="false">H107/SIN(H103)</f>
        <v>4.97356056159318</v>
      </c>
      <c r="I108" s="1018" t="n">
        <f aca="false">I107/SIN(I103)</f>
        <v>2.73987552049009</v>
      </c>
      <c r="J108" s="1018" t="n">
        <f aca="false">J107/SIN(J103)</f>
        <v>6.0181095237442</v>
      </c>
      <c r="K108" s="1018" t="n">
        <f aca="false">K107/SIN(K103)</f>
        <v>3.50589468264868</v>
      </c>
      <c r="M108" s="1018" t="n">
        <f aca="false">M107/SIN(M103)</f>
        <v>4.95561422862679</v>
      </c>
      <c r="N108" s="1018" t="n">
        <f aca="false">N107/SIN(N103)</f>
        <v>3.548470693438</v>
      </c>
      <c r="O108" s="1018" t="n">
        <f aca="false">O107/SIN(O103)</f>
        <v>6.64501610820634</v>
      </c>
      <c r="P108" s="1018" t="n">
        <f aca="false">P107/SIN(P103)</f>
        <v>3.40431254776113</v>
      </c>
      <c r="Q108" s="0" t="n">
        <v>3</v>
      </c>
      <c r="AE108" s="1037"/>
      <c r="AF108" s="1037"/>
    </row>
    <row r="109" customFormat="false" ht="14.15" hidden="false" customHeight="true" outlineLevel="0" collapsed="false">
      <c r="A109" s="903"/>
      <c r="B109" s="925"/>
      <c r="C109" s="1018"/>
      <c r="D109" s="1018"/>
      <c r="E109" s="1018"/>
      <c r="F109" s="1018" t="n">
        <f aca="false">1.3*TAN(F106)</f>
        <v>8.20787696907755</v>
      </c>
      <c r="G109" s="919"/>
      <c r="H109" s="1018"/>
      <c r="I109" s="1018"/>
      <c r="J109" s="1018"/>
      <c r="K109" s="1018"/>
      <c r="M109" s="1018"/>
      <c r="N109" s="1018"/>
      <c r="O109" s="1018"/>
      <c r="P109" s="1018"/>
      <c r="AE109" s="1037"/>
      <c r="AF109" s="1037"/>
    </row>
    <row r="110" customFormat="false" ht="14.15" hidden="false" customHeight="true" outlineLevel="0" collapsed="false">
      <c r="A110" s="903"/>
      <c r="B110" s="925"/>
      <c r="C110" s="1018" t="n">
        <f aca="false">C108+C111</f>
        <v>0</v>
      </c>
      <c r="D110" s="1018" t="n">
        <f aca="false">D108+D111</f>
        <v>0</v>
      </c>
      <c r="E110" s="1018" t="n">
        <f aca="false">E108+E111</f>
        <v>0</v>
      </c>
      <c r="F110" s="1018" t="n">
        <f aca="false">F108+F111</f>
        <v>0</v>
      </c>
      <c r="G110" s="919"/>
      <c r="H110" s="1018" t="n">
        <f aca="false">H108+H111</f>
        <v>3.66196668472011</v>
      </c>
      <c r="I110" s="1018" t="n">
        <f aca="false">I108+I111</f>
        <v>1.92093727122986</v>
      </c>
      <c r="J110" s="1018" t="n">
        <f aca="false">J108+J111</f>
        <v>2.05182845286832</v>
      </c>
      <c r="K110" s="1018" t="n">
        <f aca="false">K108+K111</f>
        <v>2.69258240356725</v>
      </c>
      <c r="M110" s="1018" t="n">
        <f aca="false">M108+M111</f>
        <v>0</v>
      </c>
      <c r="N110" s="1018" t="n">
        <f aca="false">N108+N111</f>
        <v>0</v>
      </c>
      <c r="O110" s="1018" t="n">
        <f aca="false">O108+O111</f>
        <v>0</v>
      </c>
      <c r="P110" s="1018" t="n">
        <f aca="false">P108+P111</f>
        <v>0</v>
      </c>
      <c r="Q110" s="0" t="n">
        <v>1.2</v>
      </c>
      <c r="R110" s="0" t="n">
        <f aca="false">Q110/SIN(Q111)</f>
        <v>1.84718560139036</v>
      </c>
      <c r="AE110" s="1037"/>
      <c r="AF110" s="1037"/>
    </row>
    <row r="111" customFormat="false" ht="14.15" hidden="false" customHeight="true" outlineLevel="0" collapsed="false">
      <c r="A111" s="903" t="s">
        <v>2659</v>
      </c>
      <c r="B111" s="925"/>
      <c r="C111" s="1018" t="n">
        <f aca="false">C56*C6-C108*C6</f>
        <v>0</v>
      </c>
      <c r="D111" s="1018" t="n">
        <f aca="false">D56*D6-D108*D6</f>
        <v>0</v>
      </c>
      <c r="E111" s="1018" t="n">
        <f aca="false">E56*E6-E108*E6</f>
        <v>0</v>
      </c>
      <c r="F111" s="1018" t="n">
        <f aca="false">F56*F6-F108*F6</f>
        <v>0</v>
      </c>
      <c r="G111" s="919" t="n">
        <f aca="false">C110</f>
        <v>0</v>
      </c>
      <c r="H111" s="1018" t="n">
        <f aca="false">H56-H108</f>
        <v>-1.31159387687307</v>
      </c>
      <c r="I111" s="1018" t="n">
        <f aca="false">I56-I108</f>
        <v>-0.81893824926024</v>
      </c>
      <c r="J111" s="1018" t="n">
        <f aca="false">J56-J108</f>
        <v>-3.96628107087588</v>
      </c>
      <c r="K111" s="1018" t="n">
        <f aca="false">K56-K108</f>
        <v>-0.813312279081424</v>
      </c>
      <c r="M111" s="1018" t="n">
        <f aca="false">M56-M108</f>
        <v>-4.95561422862679</v>
      </c>
      <c r="N111" s="1018" t="n">
        <f aca="false">N56-N108</f>
        <v>-3.548470693438</v>
      </c>
      <c r="O111" s="1018" t="n">
        <f aca="false">O56-O108</f>
        <v>-6.64501610820634</v>
      </c>
      <c r="P111" s="1018" t="n">
        <f aca="false">P56-P108</f>
        <v>-3.40431254776113</v>
      </c>
      <c r="Q111" s="1050" t="n">
        <f aca="false">Q108/R107</f>
        <v>0.707106781186548</v>
      </c>
      <c r="AE111" s="1037"/>
      <c r="AF111" s="1037"/>
    </row>
    <row r="112" customFormat="false" ht="14.15" hidden="false" customHeight="true" outlineLevel="0" collapsed="false">
      <c r="A112" s="903" t="s">
        <v>2660</v>
      </c>
      <c r="B112" s="925"/>
      <c r="C112" s="1018" t="n">
        <f aca="false">C111*C34*C6</f>
        <v>0</v>
      </c>
      <c r="D112" s="1018" t="n">
        <f aca="false">D111*D34*D6</f>
        <v>0</v>
      </c>
      <c r="E112" s="1018" t="n">
        <f aca="false">E111*E34*E6</f>
        <v>0</v>
      </c>
      <c r="F112" s="1018" t="n">
        <f aca="false">F111*F34*F6</f>
        <v>0</v>
      </c>
      <c r="G112" s="968" t="n">
        <f aca="false">C112+D112+E112+F112</f>
        <v>0</v>
      </c>
      <c r="H112" s="1040" t="n">
        <f aca="false">H111*H33*2</f>
        <v>-7.86956326123842</v>
      </c>
      <c r="I112" s="1040" t="n">
        <f aca="false">I111*I33*2</f>
        <v>-4.91362949556144</v>
      </c>
      <c r="J112" s="1040" t="n">
        <f aca="false">J111*J33*2</f>
        <v>-23.7976864252553</v>
      </c>
      <c r="K112" s="1040" t="n">
        <f aca="false">K111*K33*2</f>
        <v>-4.87987367448854</v>
      </c>
      <c r="L112" s="919" t="n">
        <f aca="false">H112+I112+J112+K112</f>
        <v>-41.4607528565437</v>
      </c>
      <c r="M112" s="1040" t="n">
        <f aca="false">M111*M33*2</f>
        <v>-29.7336853717607</v>
      </c>
      <c r="N112" s="1040" t="n">
        <f aca="false">N111*N33*2</f>
        <v>-21.290824160628</v>
      </c>
      <c r="O112" s="1040" t="n">
        <f aca="false">O111*O33*2</f>
        <v>-39.870096649238</v>
      </c>
      <c r="P112" s="1040" t="n">
        <f aca="false">P111*P33*2</f>
        <v>-20.4258752865668</v>
      </c>
      <c r="Q112" s="919" t="n">
        <f aca="false">M112+N112+O112+P112</f>
        <v>-111.320481468194</v>
      </c>
      <c r="R112" s="1051" t="n">
        <f aca="false">G112+L112</f>
        <v>-41.4607528565437</v>
      </c>
      <c r="AE112" s="1037"/>
      <c r="AF112" s="1037"/>
    </row>
    <row r="113" customFormat="false" ht="14.15" hidden="false" customHeight="true" outlineLevel="0" collapsed="false">
      <c r="A113" s="903" t="s">
        <v>2661</v>
      </c>
      <c r="B113" s="925"/>
      <c r="C113" s="1018" t="n">
        <f aca="false">C111*COS(C103)*C34*C6</f>
        <v>0</v>
      </c>
      <c r="D113" s="1018" t="n">
        <f aca="false">D111*COS(D103)*D34*D6</f>
        <v>0</v>
      </c>
      <c r="E113" s="1018" t="n">
        <f aca="false">E111*COS(E103)*E34*E6</f>
        <v>0</v>
      </c>
      <c r="F113" s="1018" t="n">
        <f aca="false">F111*COS(F103)*F34*F6</f>
        <v>0</v>
      </c>
      <c r="G113" s="919" t="n">
        <f aca="false">C113+D113+E113+F113</f>
        <v>0</v>
      </c>
      <c r="H113" s="1040" t="n">
        <f aca="false">H111*COS(H103)*H33*2</f>
        <v>-5.07719580535485</v>
      </c>
      <c r="I113" s="1040" t="n">
        <f aca="false">I111*COS(I103)*I33*2</f>
        <v>-4.41728714830324</v>
      </c>
      <c r="J113" s="1040" t="n">
        <f aca="false">J111*COS(J103)*J33*2</f>
        <v>-20.852432984535</v>
      </c>
      <c r="K113" s="1040" t="n">
        <f aca="false">K111*COS(K103)*K33*2</f>
        <v>-4.67715367386192</v>
      </c>
      <c r="L113" s="919" t="n">
        <f aca="false">H113+I113+J113+K113</f>
        <v>-35.024069612055</v>
      </c>
      <c r="M113" s="1040" t="n">
        <f aca="false">M111*COS(M103)*M33*2</f>
        <v>-19.0853882796986</v>
      </c>
      <c r="N113" s="1040" t="n">
        <f aca="false">N111*COS(N103)*N33*2</f>
        <v>-20.036446627054</v>
      </c>
      <c r="O113" s="1040" t="n">
        <f aca="false">O111*COS(O103)*O33*2</f>
        <v>-35.8728951552503</v>
      </c>
      <c r="P113" s="1040" t="n">
        <f aca="false">P111*COS(P103)*P33*2</f>
        <v>-19.5247632821087</v>
      </c>
      <c r="Q113" s="919" t="n">
        <f aca="false">M113+N113+O113+P113</f>
        <v>-94.5194933441116</v>
      </c>
      <c r="R113" s="1051" t="n">
        <f aca="false">G113+L113</f>
        <v>-35.024069612055</v>
      </c>
      <c r="AE113" s="1037"/>
      <c r="AF113" s="1037"/>
    </row>
    <row r="114" customFormat="false" ht="14.15" hidden="false" customHeight="true" outlineLevel="0" collapsed="false">
      <c r="A114" s="1052" t="s">
        <v>2662</v>
      </c>
      <c r="B114" s="1053"/>
      <c r="C114" s="1054" t="n">
        <f aca="false">(IF('Ввод данных'!A361=связи1!A94,0,0)+IF('Ввод данных'!A361=связи1!A95,0,0)+IF('Ввод данных'!A361=связи1!A96,пристройка!C65,0)+IF('Ввод данных'!A361=связи1!A98,0,0)+IF('Ввод данных'!A361=связи1!A97,C65,0))*C32</f>
        <v>0</v>
      </c>
      <c r="D114" s="1054" t="n">
        <f aca="false">(IF('Ввод данных'!A365=связи1!A96,пристройка!D65,0)+IF('Ввод данных'!A361=связи1!A94,0,0)+IF('Ввод данных'!A361=связи1!A95,0,0)+IF('Ввод данных'!A361=связи1!A98,0,0)+IF('Ввод данных'!A361=связи1!A97,D65,0))*D32</f>
        <v>0</v>
      </c>
      <c r="E114" s="1054" t="n">
        <f aca="false">(IF('Ввод данных'!A369=связи1!A96,пристройка!E65,0)+IF('Ввод данных'!A361=связи1!A94,0,0)+IF('Ввод данных'!A361=связи1!A95,0,0)+IF('Ввод данных'!A361=связи1!A98,0,0)+IF('Ввод данных'!A361=связи1!A97,E65,0))*E32</f>
        <v>0</v>
      </c>
      <c r="F114" s="1054" t="n">
        <f aca="false">IF('Ввод данных'!A373=связи1!A96,пристройка!F65,0)*F32</f>
        <v>0</v>
      </c>
      <c r="G114" s="919" t="n">
        <f aca="false">C114+D114+E114+F114</f>
        <v>0</v>
      </c>
      <c r="H114" s="1055" t="n">
        <f aca="false">(IF('Ввод данных'!A361=связи1!A96,пристройка!H65,0)+IF('Ввод данных'!A361=связи1!A97,H65,0))*H32</f>
        <v>0</v>
      </c>
      <c r="I114" s="1055" t="n">
        <f aca="false">(IF('Ввод данных'!A365=связи1!A96,пристройка!I65,0)+IF('Ввод данных'!A361=связи1!A97,I65,0))*I32</f>
        <v>0</v>
      </c>
      <c r="J114" s="1055" t="n">
        <f aca="false">(IF('Ввод данных'!A369=связи1!A96,пристройка!J65,0)+IF('Ввод данных'!A361=связи1!A97,J65,0))*J32</f>
        <v>0</v>
      </c>
      <c r="K114" s="1055" t="n">
        <f aca="false">(IF('Ввод данных'!A373=связи1!A96,пристройка!K65,0)+IF('Ввод данных'!A361=связи1!A97,K65,0))*K32</f>
        <v>0</v>
      </c>
      <c r="L114" s="919" t="n">
        <f aca="false">H114+I114+J114+K114</f>
        <v>0</v>
      </c>
      <c r="M114" s="1055"/>
      <c r="N114" s="1055"/>
      <c r="O114" s="1055"/>
      <c r="P114" s="1055"/>
      <c r="Q114" s="919" t="n">
        <f aca="false">M114+N114+O114+P114</f>
        <v>0</v>
      </c>
      <c r="R114" s="1051" t="n">
        <f aca="false">G114+L114</f>
        <v>0</v>
      </c>
      <c r="AE114" s="1037"/>
      <c r="AF114" s="1037"/>
    </row>
    <row r="115" customFormat="false" ht="14.15" hidden="false" customHeight="true" outlineLevel="0" collapsed="false">
      <c r="A115" s="1052" t="s">
        <v>2663</v>
      </c>
      <c r="B115" s="1053"/>
      <c r="C115" s="1054" t="n">
        <f aca="false">IF('Ввод данных'!A361=связи1!A98,пристройка!C112,0)*C6</f>
        <v>0</v>
      </c>
      <c r="D115" s="1054" t="n">
        <f aca="false">IF('Ввод данных'!A365=связи1!A98,пристройка!D112,0)*D32</f>
        <v>0</v>
      </c>
      <c r="E115" s="1054" t="n">
        <f aca="false">IF('Ввод данных'!A369=связи1!A98,пристройка!E112,0)*E32</f>
        <v>0</v>
      </c>
      <c r="F115" s="1054" t="n">
        <f aca="false">(IF('Ввод данных'!D362=связи1!D95,0,0)+IF('Ввод данных'!D362=связи1!D96,0,0)+IF('Ввод данных'!D362=связи1!D97,пристройка!F66,0)+IF('Ввод данных'!D362=связи1!D99,0,0))*F32</f>
        <v>0</v>
      </c>
      <c r="G115" s="919" t="n">
        <f aca="false">C115+D115+E115+F115</f>
        <v>0</v>
      </c>
      <c r="H115" s="1055" t="n">
        <f aca="false">IF('Ввод данных'!A361=связи1!A98,пристройка!H112,0)*H32</f>
        <v>0</v>
      </c>
      <c r="I115" s="1055" t="n">
        <f aca="false">IF('Ввод данных'!A365=связи1!A98,пристройка!I112,0)*I32</f>
        <v>0</v>
      </c>
      <c r="J115" s="1055" t="n">
        <f aca="false">IF('Ввод данных'!A369=связи1!A98,пристройка!J112,0)*J32</f>
        <v>0</v>
      </c>
      <c r="K115" s="1055" t="n">
        <f aca="false">IF('Ввод данных'!A373=связи1!A98,пристройка!K112,0)*K32</f>
        <v>0</v>
      </c>
      <c r="L115" s="919" t="n">
        <f aca="false">H115+I115+J115+K115</f>
        <v>0</v>
      </c>
      <c r="M115" s="1055"/>
      <c r="N115" s="1055"/>
      <c r="O115" s="1055"/>
      <c r="P115" s="1055"/>
      <c r="Q115" s="919" t="n">
        <f aca="false">M115+N115+O115+P115</f>
        <v>0</v>
      </c>
      <c r="R115" s="1051" t="n">
        <f aca="false">G115+L115</f>
        <v>0</v>
      </c>
      <c r="AE115" s="1037"/>
      <c r="AF115" s="1037"/>
    </row>
    <row r="116" customFormat="false" ht="14.15" hidden="false" customHeight="true" outlineLevel="0" collapsed="false">
      <c r="A116" s="1052" t="s">
        <v>2661</v>
      </c>
      <c r="B116" s="1053"/>
      <c r="C116" s="1054" t="n">
        <f aca="false">(IF('Ввод данных'!A361=связи1!A94,0,0)+IF('Ввод данных'!A361=связи1!A95,пристройка!C11,0)+IF('Ввод данных'!A361=связи1!A96,0,0)+IF('Ввод данных'!A361=связи1!A97,0,0)+IF('Ввод данных'!A361=связи1!A98,C111*COS(C103)*C34,0))*C32</f>
        <v>0</v>
      </c>
      <c r="D116" s="1054" t="n">
        <f aca="false">(IF('Ввод данных'!A365=связи1!A94,0,0)+IF('Ввод данных'!A365=связи1!A95,пристройка!D11,0)+IF('Ввод данных'!A365=связи1!A96,0,0)+IF('Ввод данных'!A365=связи1!A97,0,0)+IF('Ввод данных'!A365=связи1!A98,D111*COS(D103)*D34,0))*D32</f>
        <v>0</v>
      </c>
      <c r="E116" s="1054" t="n">
        <f aca="false">(IF('Ввод данных'!A369=связи1!A94,0,0)+IF('Ввод данных'!A369=связи1!A95,пристройка!E11,0)+IF('Ввод данных'!A369=связи1!A96,0,0)+IF('Ввод данных'!A369=связи1!A97,0,0)+IF('Ввод данных'!A369=связи1!A98,E111*COS(E103)*E34,0))*E32</f>
        <v>0</v>
      </c>
      <c r="F116" s="1054" t="n">
        <f aca="false">(IF('Ввод данных'!A373=связи1!A94,0,0)+IF('Ввод данных'!A373=связи1!A95,пристройка!F11,0)+IF('Ввод данных'!A373=связи1!A96,0,0)+IF('Ввод данных'!A373=связи1!A97,0,0)+IF('Ввод данных'!A373=связи1!A98,F111*COS(F103)*F34,0))*F32</f>
        <v>0</v>
      </c>
      <c r="G116" s="919" t="n">
        <f aca="false">C116+D116+E116+F116</f>
        <v>0</v>
      </c>
      <c r="H116" s="1055" t="n">
        <f aca="false">(IF('Ввод данных'!A361=связи1!A94,0,0)+IF('Ввод данных'!A361=связи1!A95,пристройка!H11,0)+IF('Ввод данных'!A361=связи1!A96,0,0)+IF('Ввод данных'!A361=связи1!A97,0,0)+IF('Ввод данных'!A361=связи1!A98,H111*COS(H103)*H33,0))*H32</f>
        <v>0</v>
      </c>
      <c r="I116" s="1055" t="n">
        <f aca="false">(IF('Ввод данных'!A365=связи1!A94,0,0)+IF('Ввод данных'!A365=связи1!A95,пристройка!I11,0)+IF('Ввод данных'!A365=связи1!A96,0,0)+IF('Ввод данных'!A365=связи1!A97,0,0)+IF('Ввод данных'!A365=связи1!A98,I111*COS(I103)*I33,0))*I32</f>
        <v>0</v>
      </c>
      <c r="J116" s="1055" t="n">
        <f aca="false">(IF('Ввод данных'!A369=связи1!A94,0,0)+IF('Ввод данных'!A369=связи1!A95,пристройка!J11,0)+IF('Ввод данных'!A369=связи1!A96,0,0)+IF('Ввод данных'!A369=связи1!A97,0,0)+IF('Ввод данных'!A369=связи1!A98,J111*COS(J103)*J33,0))*J32</f>
        <v>0</v>
      </c>
      <c r="K116" s="1055" t="n">
        <f aca="false">(IF('Ввод данных'!A373=связи1!A94,0,0)+IF('Ввод данных'!A373=связи1!A95,пристройка!J11,0)+IF('Ввод данных'!A373=связи1!A96,0,0)+IF('Ввод данных'!A373=связи1!A97,0,0)+IF('Ввод данных'!A373=связи1!A98,K111*COS(K103)*K33,0))*K32</f>
        <v>0</v>
      </c>
      <c r="L116" s="919" t="n">
        <f aca="false">H116+I116+J116+K116</f>
        <v>0</v>
      </c>
      <c r="M116" s="1055" t="n">
        <f aca="false">M11</f>
        <v>0</v>
      </c>
      <c r="N116" s="1055" t="n">
        <f aca="false">N11</f>
        <v>0</v>
      </c>
      <c r="O116" s="1055" t="n">
        <f aca="false">O11</f>
        <v>0</v>
      </c>
      <c r="P116" s="1055" t="n">
        <f aca="false">P11</f>
        <v>0</v>
      </c>
      <c r="Q116" s="919" t="n">
        <f aca="false">M116+N116+O116+P116</f>
        <v>0</v>
      </c>
      <c r="R116" s="1051" t="n">
        <f aca="false">G116+L116+Q116</f>
        <v>0</v>
      </c>
      <c r="AE116" s="1037"/>
      <c r="AF116" s="1037"/>
    </row>
    <row r="117" customFormat="false" ht="14.15" hidden="false" customHeight="true" outlineLevel="0" collapsed="false">
      <c r="A117" s="903"/>
      <c r="B117" s="925"/>
      <c r="C117" s="1018"/>
      <c r="D117" s="1018"/>
      <c r="E117" s="1018"/>
      <c r="F117" s="1018"/>
      <c r="G117" s="919"/>
      <c r="H117" s="1040"/>
      <c r="I117" s="1040"/>
      <c r="J117" s="1040"/>
      <c r="K117" s="1040"/>
      <c r="M117" s="1040"/>
      <c r="N117" s="1040"/>
      <c r="O117" s="1040"/>
      <c r="P117" s="1040"/>
      <c r="AE117" s="1037"/>
      <c r="AF117" s="1037"/>
    </row>
    <row r="118" customFormat="false" ht="14.15" hidden="false" customHeight="true" outlineLevel="0" collapsed="false">
      <c r="A118" s="903" t="s">
        <v>2664</v>
      </c>
      <c r="B118" s="925"/>
      <c r="C118" s="1018" t="n">
        <f aca="false">дома!B1115*дома!C1152+дома!I1115*дома!F1152+дома!L1115*дома!J1138</f>
        <v>0</v>
      </c>
      <c r="D118" s="1018" t="n">
        <f aca="false">C118</f>
        <v>0</v>
      </c>
      <c r="E118" s="1018" t="n">
        <f aca="false">C118</f>
        <v>0</v>
      </c>
      <c r="F118" s="1018" t="n">
        <f aca="false">C118</f>
        <v>0</v>
      </c>
      <c r="G118" s="919"/>
      <c r="H118" s="1040" t="n">
        <f aca="false">C118</f>
        <v>0</v>
      </c>
      <c r="I118" s="1040" t="n">
        <f aca="false">H118</f>
        <v>0</v>
      </c>
      <c r="J118" s="1040" t="n">
        <f aca="false">H118</f>
        <v>0</v>
      </c>
      <c r="K118" s="1040" t="n">
        <f aca="false">H118</f>
        <v>0</v>
      </c>
      <c r="M118" s="1040" t="n">
        <f aca="false">C118</f>
        <v>0</v>
      </c>
      <c r="N118" s="1040" t="n">
        <f aca="false">M118</f>
        <v>0</v>
      </c>
      <c r="O118" s="1040" t="n">
        <f aca="false">M118</f>
        <v>0</v>
      </c>
      <c r="P118" s="1040" t="n">
        <f aca="false">M118</f>
        <v>0</v>
      </c>
      <c r="AE118" s="1037"/>
      <c r="AF118" s="1037"/>
    </row>
    <row r="119" customFormat="false" ht="14.15" hidden="false" customHeight="true" outlineLevel="0" collapsed="false">
      <c r="A119" s="903" t="s">
        <v>2665</v>
      </c>
      <c r="B119" s="925"/>
      <c r="C119" s="1018" t="n">
        <f aca="false">дома!B1115*дома!C1155+дома!I1115*дома!F1152+дома!L1115*дома!J1152</f>
        <v>0</v>
      </c>
      <c r="D119" s="1018" t="n">
        <f aca="false">C119</f>
        <v>0</v>
      </c>
      <c r="E119" s="1018" t="n">
        <f aca="false">C119</f>
        <v>0</v>
      </c>
      <c r="F119" s="1018" t="n">
        <f aca="false">C119</f>
        <v>0</v>
      </c>
      <c r="G119" s="919"/>
      <c r="H119" s="1040" t="n">
        <f aca="false">C119</f>
        <v>0</v>
      </c>
      <c r="I119" s="1040" t="n">
        <f aca="false">H119</f>
        <v>0</v>
      </c>
      <c r="J119" s="1040" t="n">
        <f aca="false">H119</f>
        <v>0</v>
      </c>
      <c r="K119" s="1040" t="n">
        <f aca="false">H119</f>
        <v>0</v>
      </c>
      <c r="M119" s="1040" t="n">
        <f aca="false">C119</f>
        <v>0</v>
      </c>
      <c r="N119" s="1040" t="n">
        <f aca="false">M119</f>
        <v>0</v>
      </c>
      <c r="O119" s="1040" t="n">
        <f aca="false">M119</f>
        <v>0</v>
      </c>
      <c r="P119" s="1040" t="n">
        <f aca="false">M119</f>
        <v>0</v>
      </c>
      <c r="AE119" s="1037"/>
      <c r="AF119" s="1037"/>
    </row>
    <row r="120" customFormat="false" ht="14.15" hidden="false" customHeight="true" outlineLevel="0" collapsed="false">
      <c r="A120" s="903" t="s">
        <v>2666</v>
      </c>
      <c r="B120" s="925"/>
      <c r="C120" s="1018" t="n">
        <f aca="false">дома!B1115*дома!C1148+дома!I1115*дома!F1148+дома!L1115*дома!J1138</f>
        <v>0</v>
      </c>
      <c r="D120" s="1018" t="n">
        <f aca="false">C120</f>
        <v>0</v>
      </c>
      <c r="E120" s="1018" t="n">
        <f aca="false">C120</f>
        <v>0</v>
      </c>
      <c r="F120" s="1018" t="n">
        <f aca="false">C120</f>
        <v>0</v>
      </c>
      <c r="G120" s="919"/>
      <c r="H120" s="1040" t="n">
        <f aca="false">C120</f>
        <v>0</v>
      </c>
      <c r="I120" s="1040" t="n">
        <f aca="false">H120</f>
        <v>0</v>
      </c>
      <c r="J120" s="1040" t="n">
        <f aca="false">H120</f>
        <v>0</v>
      </c>
      <c r="K120" s="1040" t="n">
        <f aca="false">H120</f>
        <v>0</v>
      </c>
      <c r="M120" s="1040" t="n">
        <f aca="false">C120</f>
        <v>0</v>
      </c>
      <c r="N120" s="1040" t="n">
        <f aca="false">M120</f>
        <v>0</v>
      </c>
      <c r="O120" s="1040" t="n">
        <f aca="false">M120</f>
        <v>0</v>
      </c>
      <c r="P120" s="1040" t="n">
        <f aca="false">M120</f>
        <v>0</v>
      </c>
      <c r="AE120" s="1037"/>
      <c r="AF120" s="1037"/>
    </row>
    <row r="121" customFormat="false" ht="14.15" hidden="false" customHeight="true" outlineLevel="0" collapsed="false">
      <c r="A121" s="903" t="s">
        <v>2667</v>
      </c>
      <c r="B121" s="925"/>
      <c r="C121" s="1018" t="n">
        <f aca="false">дома!B1115*дома!C1150+дома!I1115*дома!F1148+дома!L1115*дома!J1138</f>
        <v>0</v>
      </c>
      <c r="D121" s="1018" t="n">
        <f aca="false">C121</f>
        <v>0</v>
      </c>
      <c r="E121" s="1018" t="n">
        <f aca="false">C121</f>
        <v>0</v>
      </c>
      <c r="F121" s="1018" t="n">
        <f aca="false">C121</f>
        <v>0</v>
      </c>
      <c r="G121" s="919"/>
      <c r="H121" s="1040" t="n">
        <f aca="false">C121</f>
        <v>0</v>
      </c>
      <c r="I121" s="1040" t="n">
        <f aca="false">H121</f>
        <v>0</v>
      </c>
      <c r="J121" s="1040" t="n">
        <f aca="false">H121</f>
        <v>0</v>
      </c>
      <c r="K121" s="1040" t="n">
        <f aca="false">H121</f>
        <v>0</v>
      </c>
      <c r="M121" s="1040" t="n">
        <f aca="false">C121</f>
        <v>0</v>
      </c>
      <c r="N121" s="1040" t="n">
        <f aca="false">M121</f>
        <v>0</v>
      </c>
      <c r="O121" s="1040" t="n">
        <f aca="false">M121</f>
        <v>0</v>
      </c>
      <c r="P121" s="1040" t="n">
        <f aca="false">M121</f>
        <v>0</v>
      </c>
      <c r="AE121" s="1037"/>
      <c r="AF121" s="1037"/>
    </row>
    <row r="122" customFormat="false" ht="14.15" hidden="false" customHeight="true" outlineLevel="0" collapsed="false">
      <c r="A122" s="903" t="s">
        <v>2657</v>
      </c>
      <c r="B122" s="925"/>
      <c r="C122" s="1018" t="n">
        <f aca="false">дома!B1115*дома!C1135+дома!I1115*дома!F1135+дома!L1115*дома!J1135</f>
        <v>0</v>
      </c>
      <c r="D122" s="1018" t="n">
        <f aca="false">C122</f>
        <v>0</v>
      </c>
      <c r="E122" s="1018" t="n">
        <f aca="false">C122</f>
        <v>0</v>
      </c>
      <c r="F122" s="1018" t="n">
        <f aca="false">C122</f>
        <v>0</v>
      </c>
      <c r="G122" s="919"/>
      <c r="H122" s="1040" t="n">
        <f aca="false">C122</f>
        <v>0</v>
      </c>
      <c r="I122" s="1040" t="n">
        <f aca="false">H122</f>
        <v>0</v>
      </c>
      <c r="J122" s="1040" t="n">
        <f aca="false">H122</f>
        <v>0</v>
      </c>
      <c r="K122" s="1040" t="n">
        <f aca="false">H122</f>
        <v>0</v>
      </c>
      <c r="M122" s="1040" t="n">
        <f aca="false">C122</f>
        <v>0</v>
      </c>
      <c r="N122" s="1040" t="n">
        <f aca="false">M122</f>
        <v>0</v>
      </c>
      <c r="O122" s="1040" t="n">
        <f aca="false">M122</f>
        <v>0</v>
      </c>
      <c r="P122" s="1040" t="n">
        <f aca="false">M122</f>
        <v>0</v>
      </c>
      <c r="AE122" s="1037"/>
      <c r="AF122" s="1037"/>
    </row>
    <row r="123" customFormat="false" ht="14.15" hidden="false" customHeight="true" outlineLevel="0" collapsed="false">
      <c r="A123" s="903" t="s">
        <v>2668</v>
      </c>
      <c r="B123" s="925"/>
      <c r="C123" s="1018" t="n">
        <f aca="false">дома!B1115*дома!C1140+дома!I1115*дома!F1167+дома!L1115*дома!J1167</f>
        <v>0</v>
      </c>
      <c r="D123" s="1018" t="n">
        <f aca="false">C123</f>
        <v>0</v>
      </c>
      <c r="E123" s="1018" t="n">
        <f aca="false">C123</f>
        <v>0</v>
      </c>
      <c r="F123" s="1018" t="n">
        <f aca="false">C123</f>
        <v>0</v>
      </c>
      <c r="G123" s="919"/>
      <c r="H123" s="1040" t="n">
        <f aca="false">C123</f>
        <v>0</v>
      </c>
      <c r="I123" s="1040" t="n">
        <f aca="false">H123</f>
        <v>0</v>
      </c>
      <c r="J123" s="1040" t="n">
        <f aca="false">H123</f>
        <v>0</v>
      </c>
      <c r="K123" s="1040" t="n">
        <f aca="false">H123</f>
        <v>0</v>
      </c>
      <c r="M123" s="1040" t="n">
        <f aca="false">C123</f>
        <v>0</v>
      </c>
      <c r="N123" s="1040" t="n">
        <f aca="false">M123</f>
        <v>0</v>
      </c>
      <c r="O123" s="1040" t="n">
        <f aca="false">M123</f>
        <v>0</v>
      </c>
      <c r="P123" s="1040" t="n">
        <f aca="false">M123</f>
        <v>0</v>
      </c>
      <c r="AE123" s="1037"/>
      <c r="AF123" s="1037"/>
    </row>
    <row r="124" customFormat="false" ht="14.15" hidden="false" customHeight="true" outlineLevel="0" collapsed="false">
      <c r="A124" s="903" t="s">
        <v>2669</v>
      </c>
      <c r="B124" s="925"/>
      <c r="C124" s="1018" t="n">
        <f aca="false">дома!L1115*дома!L1167</f>
        <v>0</v>
      </c>
      <c r="D124" s="1018" t="n">
        <f aca="false">C124</f>
        <v>0</v>
      </c>
      <c r="E124" s="1018" t="n">
        <f aca="false">C124</f>
        <v>0</v>
      </c>
      <c r="F124" s="1018" t="n">
        <f aca="false">C124</f>
        <v>0</v>
      </c>
      <c r="G124" s="919"/>
      <c r="H124" s="1040" t="n">
        <f aca="false">C124</f>
        <v>0</v>
      </c>
      <c r="I124" s="1040" t="n">
        <f aca="false">H124</f>
        <v>0</v>
      </c>
      <c r="J124" s="1040" t="n">
        <f aca="false">H124</f>
        <v>0</v>
      </c>
      <c r="K124" s="1040" t="n">
        <f aca="false">H124</f>
        <v>0</v>
      </c>
      <c r="M124" s="1040" t="n">
        <f aca="false">C124</f>
        <v>0</v>
      </c>
      <c r="N124" s="1040" t="n">
        <f aca="false">M124</f>
        <v>0</v>
      </c>
      <c r="O124" s="1040" t="n">
        <f aca="false">M124</f>
        <v>0</v>
      </c>
      <c r="P124" s="1040" t="n">
        <f aca="false">M124</f>
        <v>0</v>
      </c>
      <c r="AE124" s="1037"/>
      <c r="AF124" s="1037"/>
    </row>
    <row r="125" customFormat="false" ht="14.15" hidden="false" customHeight="true" outlineLevel="0" collapsed="false">
      <c r="A125" s="903" t="s">
        <v>1903</v>
      </c>
      <c r="B125" s="925"/>
      <c r="C125" s="1018" t="n">
        <f aca="false">'Ввод данных'!C11</f>
        <v>10</v>
      </c>
      <c r="D125" s="1018" t="n">
        <f aca="false">C125</f>
        <v>10</v>
      </c>
      <c r="E125" s="1018" t="n">
        <f aca="false">C125</f>
        <v>10</v>
      </c>
      <c r="F125" s="1018" t="n">
        <f aca="false">C125</f>
        <v>10</v>
      </c>
      <c r="G125" s="919"/>
      <c r="H125" s="1040" t="n">
        <f aca="false">C125</f>
        <v>10</v>
      </c>
      <c r="I125" s="1040" t="n">
        <f aca="false">H125</f>
        <v>10</v>
      </c>
      <c r="J125" s="1040" t="n">
        <f aca="false">H125</f>
        <v>10</v>
      </c>
      <c r="K125" s="1040" t="n">
        <f aca="false">H125</f>
        <v>10</v>
      </c>
      <c r="M125" s="1040" t="n">
        <f aca="false">C125</f>
        <v>10</v>
      </c>
      <c r="N125" s="1040" t="n">
        <f aca="false">M125</f>
        <v>10</v>
      </c>
      <c r="O125" s="1040" t="n">
        <f aca="false">M125</f>
        <v>10</v>
      </c>
      <c r="P125" s="1040" t="n">
        <f aca="false">M125</f>
        <v>10</v>
      </c>
      <c r="AE125" s="1037"/>
      <c r="AF125" s="1037"/>
    </row>
    <row r="126" customFormat="false" ht="14.15" hidden="false" customHeight="true" outlineLevel="0" collapsed="false">
      <c r="A126" s="903" t="s">
        <v>1906</v>
      </c>
      <c r="B126" s="925"/>
      <c r="C126" s="1018" t="n">
        <f aca="false">'Ввод данных'!C12</f>
        <v>10</v>
      </c>
      <c r="D126" s="1018" t="n">
        <f aca="false">C126</f>
        <v>10</v>
      </c>
      <c r="E126" s="1018" t="n">
        <f aca="false">C126</f>
        <v>10</v>
      </c>
      <c r="F126" s="1018" t="n">
        <f aca="false">C126</f>
        <v>10</v>
      </c>
      <c r="G126" s="919"/>
      <c r="H126" s="1040" t="n">
        <f aca="false">C126</f>
        <v>10</v>
      </c>
      <c r="I126" s="1040" t="n">
        <f aca="false">H126</f>
        <v>10</v>
      </c>
      <c r="J126" s="1040" t="n">
        <f aca="false">H126</f>
        <v>10</v>
      </c>
      <c r="K126" s="1040" t="n">
        <f aca="false">H126</f>
        <v>10</v>
      </c>
      <c r="M126" s="1040" t="n">
        <f aca="false">C126</f>
        <v>10</v>
      </c>
      <c r="N126" s="1040" t="n">
        <f aca="false">M126</f>
        <v>10</v>
      </c>
      <c r="O126" s="1040" t="n">
        <f aca="false">M126</f>
        <v>10</v>
      </c>
      <c r="P126" s="1040" t="n">
        <f aca="false">M126</f>
        <v>10</v>
      </c>
      <c r="AE126" s="1037"/>
      <c r="AF126" s="1037"/>
    </row>
    <row r="127" customFormat="false" ht="14.15" hidden="false" customHeight="true" outlineLevel="0" collapsed="false">
      <c r="A127" s="903" t="str">
        <f aca="false">'Ввод данных'!A13</f>
        <v>Высота 1-го этажа, С</v>
      </c>
      <c r="B127" s="925"/>
      <c r="C127" s="1018" t="n">
        <f aca="false">'Ввод данных'!C13</f>
        <v>3</v>
      </c>
      <c r="D127" s="1018" t="n">
        <f aca="false">C127</f>
        <v>3</v>
      </c>
      <c r="E127" s="1018" t="n">
        <f aca="false">C127</f>
        <v>3</v>
      </c>
      <c r="F127" s="1018" t="n">
        <f aca="false">C127</f>
        <v>3</v>
      </c>
      <c r="G127" s="919"/>
      <c r="H127" s="1040" t="n">
        <f aca="false">C127</f>
        <v>3</v>
      </c>
      <c r="I127" s="1040" t="n">
        <f aca="false">H127</f>
        <v>3</v>
      </c>
      <c r="J127" s="1040" t="n">
        <f aca="false">H127</f>
        <v>3</v>
      </c>
      <c r="K127" s="1040" t="n">
        <f aca="false">H127</f>
        <v>3</v>
      </c>
      <c r="M127" s="1040" t="n">
        <f aca="false">C127</f>
        <v>3</v>
      </c>
      <c r="N127" s="1040" t="n">
        <f aca="false">M127</f>
        <v>3</v>
      </c>
      <c r="O127" s="1040" t="n">
        <f aca="false">M127</f>
        <v>3</v>
      </c>
      <c r="P127" s="1040" t="n">
        <f aca="false">M127</f>
        <v>3</v>
      </c>
      <c r="AE127" s="1037"/>
      <c r="AF127" s="1037"/>
    </row>
    <row r="128" customFormat="false" ht="14.15" hidden="false" customHeight="true" outlineLevel="0" collapsed="false">
      <c r="A128" s="1056" t="s">
        <v>1757</v>
      </c>
      <c r="B128" s="925"/>
      <c r="C128" s="1018" t="n">
        <f aca="false">дома!C19</f>
        <v>8</v>
      </c>
      <c r="D128" s="1018" t="n">
        <f aca="false">C128</f>
        <v>8</v>
      </c>
      <c r="E128" s="1018" t="n">
        <f aca="false">C128</f>
        <v>8</v>
      </c>
      <c r="F128" s="1018" t="n">
        <f aca="false">C128</f>
        <v>8</v>
      </c>
      <c r="G128" s="919"/>
      <c r="H128" s="1040" t="n">
        <f aca="false">C128</f>
        <v>8</v>
      </c>
      <c r="I128" s="1040" t="n">
        <f aca="false">H128</f>
        <v>8</v>
      </c>
      <c r="J128" s="1040" t="n">
        <f aca="false">H128</f>
        <v>8</v>
      </c>
      <c r="K128" s="1040" t="n">
        <f aca="false">H128</f>
        <v>8</v>
      </c>
      <c r="M128" s="1040" t="n">
        <f aca="false">C128</f>
        <v>8</v>
      </c>
      <c r="N128" s="1040" t="n">
        <f aca="false">M128</f>
        <v>8</v>
      </c>
      <c r="O128" s="1040" t="n">
        <f aca="false">M128</f>
        <v>8</v>
      </c>
      <c r="P128" s="1040" t="n">
        <f aca="false">M128</f>
        <v>8</v>
      </c>
      <c r="AE128" s="1037"/>
      <c r="AF128" s="1037"/>
    </row>
    <row r="129" customFormat="false" ht="14.15" hidden="false" customHeight="true" outlineLevel="0" collapsed="false">
      <c r="A129" s="1057" t="s">
        <v>2670</v>
      </c>
      <c r="B129" s="925"/>
      <c r="C129" s="1018" t="n">
        <f aca="false">дома!C20</f>
        <v>3</v>
      </c>
      <c r="D129" s="1018" t="n">
        <f aca="false">C129</f>
        <v>3</v>
      </c>
      <c r="E129" s="1018" t="n">
        <f aca="false">C129</f>
        <v>3</v>
      </c>
      <c r="F129" s="1018" t="n">
        <f aca="false">C129</f>
        <v>3</v>
      </c>
      <c r="G129" s="919"/>
      <c r="H129" s="1040" t="n">
        <f aca="false">C129</f>
        <v>3</v>
      </c>
      <c r="I129" s="1040" t="n">
        <f aca="false">H129</f>
        <v>3</v>
      </c>
      <c r="J129" s="1040" t="n">
        <f aca="false">H129</f>
        <v>3</v>
      </c>
      <c r="K129" s="1040" t="n">
        <f aca="false">H129</f>
        <v>3</v>
      </c>
      <c r="M129" s="1040" t="n">
        <f aca="false">C129</f>
        <v>3</v>
      </c>
      <c r="N129" s="1040" t="n">
        <f aca="false">M129</f>
        <v>3</v>
      </c>
      <c r="O129" s="1040" t="n">
        <f aca="false">M129</f>
        <v>3</v>
      </c>
      <c r="P129" s="1040" t="n">
        <f aca="false">M129</f>
        <v>3</v>
      </c>
      <c r="AE129" s="1037"/>
      <c r="AF129" s="1037"/>
    </row>
    <row r="130" customFormat="false" ht="14.15" hidden="false" customHeight="true" outlineLevel="0" collapsed="false">
      <c r="A130" s="903" t="str">
        <f aca="false">'Ввод данных'!A16</f>
        <v>Высота 2-го этажа, D</v>
      </c>
      <c r="B130" s="925"/>
      <c r="C130" s="1018" t="n">
        <f aca="false">дома!C21</f>
        <v>0</v>
      </c>
      <c r="D130" s="1018" t="n">
        <f aca="false">C130</f>
        <v>0</v>
      </c>
      <c r="E130" s="1018" t="n">
        <f aca="false">C130</f>
        <v>0</v>
      </c>
      <c r="F130" s="1018" t="n">
        <f aca="false">C130</f>
        <v>0</v>
      </c>
      <c r="G130" s="919"/>
      <c r="H130" s="1040" t="n">
        <f aca="false">C130</f>
        <v>0</v>
      </c>
      <c r="I130" s="1040" t="n">
        <f aca="false">H130</f>
        <v>0</v>
      </c>
      <c r="J130" s="1040" t="n">
        <f aca="false">H130</f>
        <v>0</v>
      </c>
      <c r="K130" s="1040" t="n">
        <f aca="false">H130</f>
        <v>0</v>
      </c>
      <c r="M130" s="1040" t="n">
        <f aca="false">C130</f>
        <v>0</v>
      </c>
      <c r="N130" s="1040" t="n">
        <f aca="false">M130</f>
        <v>0</v>
      </c>
      <c r="O130" s="1040" t="n">
        <f aca="false">M130</f>
        <v>0</v>
      </c>
      <c r="P130" s="1040" t="n">
        <f aca="false">M130</f>
        <v>0</v>
      </c>
      <c r="AE130" s="1037"/>
      <c r="AF130" s="1037"/>
    </row>
    <row r="131" customFormat="false" ht="14.15" hidden="false" customHeight="true" outlineLevel="0" collapsed="false">
      <c r="A131" s="903" t="str">
        <f aca="false">связи1!I206</f>
        <v>Высота от перекрытя 1-го эт. до конька</v>
      </c>
      <c r="B131" s="925"/>
      <c r="C131" s="1018" t="n">
        <f aca="false">дома!C22</f>
        <v>0</v>
      </c>
      <c r="D131" s="1018" t="n">
        <f aca="false">C131</f>
        <v>0</v>
      </c>
      <c r="E131" s="1018" t="n">
        <f aca="false">C131</f>
        <v>0</v>
      </c>
      <c r="F131" s="1018" t="n">
        <f aca="false">C131</f>
        <v>0</v>
      </c>
      <c r="G131" s="919"/>
      <c r="H131" s="1040" t="n">
        <f aca="false">C131</f>
        <v>0</v>
      </c>
      <c r="I131" s="1040" t="n">
        <f aca="false">H131</f>
        <v>0</v>
      </c>
      <c r="J131" s="1040" t="n">
        <f aca="false">H131</f>
        <v>0</v>
      </c>
      <c r="K131" s="1040" t="n">
        <f aca="false">H131</f>
        <v>0</v>
      </c>
      <c r="M131" s="1040" t="n">
        <f aca="false">C131</f>
        <v>0</v>
      </c>
      <c r="N131" s="1040" t="n">
        <f aca="false">M131</f>
        <v>0</v>
      </c>
      <c r="O131" s="1040" t="n">
        <f aca="false">M131</f>
        <v>0</v>
      </c>
      <c r="P131" s="1040" t="n">
        <f aca="false">M131</f>
        <v>0</v>
      </c>
      <c r="AE131" s="1037"/>
      <c r="AF131" s="1037"/>
    </row>
    <row r="132" customFormat="false" ht="14.15" hidden="false" customHeight="true" outlineLevel="0" collapsed="false">
      <c r="A132" s="903" t="str">
        <f aca="false">связи1!I207</f>
        <v>Аттиковая стена, мансардный 2 этаж</v>
      </c>
      <c r="B132" s="925"/>
      <c r="C132" s="1018" t="n">
        <f aca="false">дома!C23</f>
        <v>0</v>
      </c>
      <c r="D132" s="1018" t="n">
        <f aca="false">C132</f>
        <v>0</v>
      </c>
      <c r="E132" s="1018" t="n">
        <f aca="false">C132</f>
        <v>0</v>
      </c>
      <c r="F132" s="1018" t="n">
        <f aca="false">C132</f>
        <v>0</v>
      </c>
      <c r="G132" s="919"/>
      <c r="H132" s="1040" t="n">
        <f aca="false">C132</f>
        <v>0</v>
      </c>
      <c r="I132" s="1040" t="n">
        <f aca="false">H132</f>
        <v>0</v>
      </c>
      <c r="J132" s="1040" t="n">
        <f aca="false">H132</f>
        <v>0</v>
      </c>
      <c r="K132" s="1040" t="n">
        <f aca="false">H132</f>
        <v>0</v>
      </c>
      <c r="M132" s="1040" t="n">
        <f aca="false">C132</f>
        <v>0</v>
      </c>
      <c r="N132" s="1040" t="n">
        <f aca="false">M132</f>
        <v>0</v>
      </c>
      <c r="O132" s="1040" t="n">
        <f aca="false">M132</f>
        <v>0</v>
      </c>
      <c r="P132" s="1040" t="n">
        <f aca="false">M132</f>
        <v>0</v>
      </c>
      <c r="AE132" s="1037"/>
      <c r="AF132" s="1037"/>
    </row>
    <row r="133" customFormat="false" ht="14.15" hidden="false" customHeight="true" outlineLevel="0" collapsed="false">
      <c r="A133" s="1058" t="s">
        <v>2671</v>
      </c>
      <c r="B133" s="955"/>
      <c r="C133" s="956" t="n">
        <f aca="false">дома!C1124</f>
        <v>0.707106781186547</v>
      </c>
      <c r="D133" s="956" t="n">
        <f aca="false">дома!C1124</f>
        <v>0.707106781186547</v>
      </c>
      <c r="E133" s="956" t="n">
        <f aca="false">дома!C1124</f>
        <v>0.707106781186547</v>
      </c>
      <c r="F133" s="956" t="n">
        <f aca="false">дома!C1124</f>
        <v>0.707106781186547</v>
      </c>
      <c r="G133" s="919"/>
      <c r="H133" s="1059" t="n">
        <f aca="false">C133</f>
        <v>0.707106781186547</v>
      </c>
      <c r="I133" s="1059" t="n">
        <f aca="false">H133</f>
        <v>0.707106781186547</v>
      </c>
      <c r="J133" s="1059" t="n">
        <f aca="false">H133</f>
        <v>0.707106781186547</v>
      </c>
      <c r="K133" s="1059" t="n">
        <f aca="false">H133</f>
        <v>0.707106781186547</v>
      </c>
      <c r="M133" s="1059" t="n">
        <f aca="false">C133</f>
        <v>0.707106781186547</v>
      </c>
      <c r="N133" s="1059" t="n">
        <f aca="false">M133</f>
        <v>0.707106781186547</v>
      </c>
      <c r="O133" s="1059" t="n">
        <f aca="false">M133</f>
        <v>0.707106781186547</v>
      </c>
      <c r="P133" s="1059" t="n">
        <f aca="false">M133</f>
        <v>0.707106781186547</v>
      </c>
      <c r="AE133" s="1037"/>
      <c r="AF133" s="1037"/>
    </row>
    <row r="134" customFormat="false" ht="14.15" hidden="false" customHeight="true" outlineLevel="0" collapsed="false">
      <c r="A134" s="903" t="s">
        <v>2672</v>
      </c>
      <c r="B134" s="925"/>
      <c r="C134" s="1018" t="n">
        <f aca="false">дома!B1115*дома!C1124</f>
        <v>0</v>
      </c>
      <c r="D134" s="1018" t="n">
        <f aca="false">C134</f>
        <v>0</v>
      </c>
      <c r="E134" s="1018" t="n">
        <f aca="false">C134</f>
        <v>0</v>
      </c>
      <c r="F134" s="1018" t="n">
        <f aca="false">C134</f>
        <v>0</v>
      </c>
      <c r="G134" s="919"/>
      <c r="H134" s="1040" t="n">
        <f aca="false">C134</f>
        <v>0</v>
      </c>
      <c r="I134" s="1040" t="n">
        <f aca="false">H134</f>
        <v>0</v>
      </c>
      <c r="J134" s="1040" t="n">
        <f aca="false">H134</f>
        <v>0</v>
      </c>
      <c r="K134" s="1040" t="n">
        <f aca="false">H134</f>
        <v>0</v>
      </c>
      <c r="M134" s="1040" t="n">
        <f aca="false">C134</f>
        <v>0</v>
      </c>
      <c r="N134" s="1040" t="n">
        <f aca="false">M134</f>
        <v>0</v>
      </c>
      <c r="O134" s="1040" t="n">
        <f aca="false">M134</f>
        <v>0</v>
      </c>
      <c r="P134" s="1040" t="n">
        <f aca="false">M134</f>
        <v>0</v>
      </c>
      <c r="AE134" s="1037"/>
      <c r="AF134" s="1037"/>
    </row>
    <row r="135" customFormat="false" ht="14.15" hidden="false" customHeight="true" outlineLevel="0" collapsed="false">
      <c r="A135" s="903" t="s">
        <v>2673</v>
      </c>
      <c r="B135" s="925"/>
      <c r="C135" s="1018" t="n">
        <f aca="false">дома!I1115*дома!F1124*дома!F1124</f>
        <v>0</v>
      </c>
      <c r="D135" s="1018" t="n">
        <f aca="false">C135</f>
        <v>0</v>
      </c>
      <c r="E135" s="1018" t="n">
        <f aca="false">C135</f>
        <v>0</v>
      </c>
      <c r="F135" s="1018" t="n">
        <f aca="false">C135</f>
        <v>0</v>
      </c>
      <c r="G135" s="919"/>
      <c r="H135" s="1040" t="n">
        <f aca="false">C135</f>
        <v>0</v>
      </c>
      <c r="I135" s="1040" t="n">
        <f aca="false">H135</f>
        <v>0</v>
      </c>
      <c r="J135" s="1040" t="n">
        <f aca="false">H135</f>
        <v>0</v>
      </c>
      <c r="K135" s="1040" t="n">
        <f aca="false">H135</f>
        <v>0</v>
      </c>
      <c r="M135" s="1040" t="n">
        <f aca="false">C135</f>
        <v>0</v>
      </c>
      <c r="N135" s="1040" t="n">
        <f aca="false">M135</f>
        <v>0</v>
      </c>
      <c r="O135" s="1040" t="n">
        <f aca="false">M135</f>
        <v>0</v>
      </c>
      <c r="P135" s="1040" t="n">
        <f aca="false">M135</f>
        <v>0</v>
      </c>
      <c r="AE135" s="1037"/>
      <c r="AF135" s="1037"/>
    </row>
    <row r="136" customFormat="false" ht="14.15" hidden="false" customHeight="true" outlineLevel="0" collapsed="false">
      <c r="A136" s="903" t="s">
        <v>2674</v>
      </c>
      <c r="B136" s="925"/>
      <c r="C136" s="1018" t="n">
        <f aca="false">дома!I1115*дома!F1126*дома!F1126</f>
        <v>0</v>
      </c>
      <c r="D136" s="1018" t="n">
        <f aca="false">C136</f>
        <v>0</v>
      </c>
      <c r="E136" s="1018" t="n">
        <f aca="false">C136</f>
        <v>0</v>
      </c>
      <c r="F136" s="1018" t="n">
        <f aca="false">C136</f>
        <v>0</v>
      </c>
      <c r="G136" s="919"/>
      <c r="H136" s="1040" t="n">
        <f aca="false">C136</f>
        <v>0</v>
      </c>
      <c r="I136" s="1040" t="n">
        <f aca="false">H136</f>
        <v>0</v>
      </c>
      <c r="J136" s="1040" t="n">
        <f aca="false">H136</f>
        <v>0</v>
      </c>
      <c r="K136" s="1040" t="n">
        <f aca="false">H136</f>
        <v>0</v>
      </c>
      <c r="M136" s="1040" t="n">
        <f aca="false">C136</f>
        <v>0</v>
      </c>
      <c r="N136" s="1040" t="n">
        <f aca="false">M136</f>
        <v>0</v>
      </c>
      <c r="O136" s="1040" t="n">
        <f aca="false">M136</f>
        <v>0</v>
      </c>
      <c r="P136" s="1040" t="n">
        <f aca="false">M136</f>
        <v>0</v>
      </c>
      <c r="AE136" s="1037"/>
      <c r="AF136" s="1037"/>
    </row>
    <row r="137" customFormat="false" ht="14.15" hidden="false" customHeight="true" outlineLevel="0" collapsed="false">
      <c r="A137" s="903" t="s">
        <v>2675</v>
      </c>
      <c r="B137" s="925"/>
      <c r="C137" s="1018" t="n">
        <f aca="false">дома!L1115*дома!J1124</f>
        <v>0</v>
      </c>
      <c r="D137" s="1018" t="n">
        <f aca="false">C137</f>
        <v>0</v>
      </c>
      <c r="E137" s="1018" t="n">
        <f aca="false">C137</f>
        <v>0</v>
      </c>
      <c r="F137" s="1018" t="n">
        <f aca="false">C137</f>
        <v>0</v>
      </c>
      <c r="G137" s="919"/>
      <c r="H137" s="1040" t="n">
        <f aca="false">C137</f>
        <v>0</v>
      </c>
      <c r="I137" s="1040" t="n">
        <f aca="false">H137</f>
        <v>0</v>
      </c>
      <c r="J137" s="1040" t="n">
        <f aca="false">H137</f>
        <v>0</v>
      </c>
      <c r="K137" s="1040" t="n">
        <f aca="false">H137</f>
        <v>0</v>
      </c>
      <c r="M137" s="1040" t="n">
        <f aca="false">C137</f>
        <v>0</v>
      </c>
      <c r="N137" s="1040" t="n">
        <f aca="false">M137</f>
        <v>0</v>
      </c>
      <c r="O137" s="1040" t="n">
        <f aca="false">M137</f>
        <v>0</v>
      </c>
      <c r="P137" s="1040" t="n">
        <f aca="false">M137</f>
        <v>0</v>
      </c>
      <c r="AE137" s="1037"/>
      <c r="AF137" s="1037"/>
    </row>
    <row r="138" customFormat="false" ht="14.15" hidden="false" customHeight="true" outlineLevel="0" collapsed="false">
      <c r="A138" s="903" t="s">
        <v>2676</v>
      </c>
      <c r="B138" s="925"/>
      <c r="C138" s="1018" t="n">
        <f aca="false">дома!L1115*дома!J1126</f>
        <v>0</v>
      </c>
      <c r="D138" s="1018" t="n">
        <f aca="false">C138</f>
        <v>0</v>
      </c>
      <c r="E138" s="1018" t="n">
        <f aca="false">C138</f>
        <v>0</v>
      </c>
      <c r="F138" s="1018" t="n">
        <f aca="false">C138</f>
        <v>0</v>
      </c>
      <c r="G138" s="919"/>
      <c r="H138" s="1040" t="n">
        <f aca="false">C138</f>
        <v>0</v>
      </c>
      <c r="I138" s="1040" t="n">
        <f aca="false">H138</f>
        <v>0</v>
      </c>
      <c r="J138" s="1040" t="n">
        <f aca="false">H138</f>
        <v>0</v>
      </c>
      <c r="K138" s="1040" t="n">
        <f aca="false">H138</f>
        <v>0</v>
      </c>
      <c r="M138" s="1040" t="n">
        <f aca="false">C138</f>
        <v>0</v>
      </c>
      <c r="N138" s="1040" t="n">
        <f aca="false">M138</f>
        <v>0</v>
      </c>
      <c r="O138" s="1040" t="n">
        <f aca="false">M138</f>
        <v>0</v>
      </c>
      <c r="P138" s="1040" t="n">
        <f aca="false">M138</f>
        <v>0</v>
      </c>
      <c r="AE138" s="1037"/>
      <c r="AF138" s="1037"/>
    </row>
    <row r="139" customFormat="false" ht="14.15" hidden="false" customHeight="true" outlineLevel="0" collapsed="false">
      <c r="A139" s="903" t="s">
        <v>2677</v>
      </c>
      <c r="B139" s="925"/>
      <c r="C139" s="1018" t="n">
        <f aca="false">дома!L1115*дома!J1128</f>
        <v>0</v>
      </c>
      <c r="D139" s="1018" t="n">
        <f aca="false">C139</f>
        <v>0</v>
      </c>
      <c r="E139" s="1018" t="n">
        <f aca="false">C139</f>
        <v>0</v>
      </c>
      <c r="F139" s="1018" t="n">
        <f aca="false">C139</f>
        <v>0</v>
      </c>
      <c r="G139" s="919"/>
      <c r="H139" s="1040" t="n">
        <f aca="false">C139</f>
        <v>0</v>
      </c>
      <c r="I139" s="1040" t="n">
        <f aca="false">H139</f>
        <v>0</v>
      </c>
      <c r="J139" s="1040" t="n">
        <f aca="false">H139</f>
        <v>0</v>
      </c>
      <c r="K139" s="1040" t="n">
        <f aca="false">H139</f>
        <v>0</v>
      </c>
      <c r="M139" s="1040" t="n">
        <f aca="false">C139</f>
        <v>0</v>
      </c>
      <c r="N139" s="1040" t="n">
        <f aca="false">M139</f>
        <v>0</v>
      </c>
      <c r="O139" s="1040" t="n">
        <f aca="false">M139</f>
        <v>0</v>
      </c>
      <c r="P139" s="1040" t="n">
        <f aca="false">M139</f>
        <v>0</v>
      </c>
      <c r="AE139" s="1037"/>
      <c r="AF139" s="1037"/>
    </row>
    <row r="140" customFormat="false" ht="14.15" hidden="false" customHeight="true" outlineLevel="0" collapsed="false">
      <c r="A140" s="1029" t="s">
        <v>2678</v>
      </c>
      <c r="B140" s="1060"/>
      <c r="C140" s="1061" t="n">
        <f aca="false">IF((C39-C132)&lt;=0,C36-C129,(C39-C132))</f>
        <v>2</v>
      </c>
      <c r="D140" s="1061" t="n">
        <f aca="false">IF((D39-D132)&lt;=0,D36-D129,(D39-D132))</f>
        <v>1</v>
      </c>
      <c r="E140" s="1061" t="n">
        <f aca="false">IF((E39-E132)&lt;=0,E36-E129,(E39-E132))</f>
        <v>2.9</v>
      </c>
      <c r="F140" s="1061" t="n">
        <f aca="false">IF((F39-F132)&lt;=0,F36-F129,(F39-F132))</f>
        <v>1</v>
      </c>
      <c r="G140" s="919"/>
      <c r="H140" s="1061" t="n">
        <f aca="false">IF((H39-H132)&lt;=0,H36-H129,(H39-H132))</f>
        <v>2</v>
      </c>
      <c r="I140" s="1061" t="n">
        <f aca="false">IF((I39-I132)&lt;=0,I36-I129,(I39-I132))</f>
        <v>1</v>
      </c>
      <c r="J140" s="1061" t="n">
        <f aca="false">IF((J39-J132)&lt;=0,J36-J129,(J39-J132))</f>
        <v>2.9</v>
      </c>
      <c r="K140" s="1061" t="n">
        <f aca="false">IF((K39-K132)&lt;=0,K36-K129,(K39-K132))</f>
        <v>1</v>
      </c>
      <c r="M140" s="1061" t="n">
        <f aca="false">IF((M39-M132)&lt;=0,M36-M129,(M39-M132))</f>
        <v>2</v>
      </c>
      <c r="N140" s="1061" t="n">
        <f aca="false">IF((N39-N132)&lt;=0,N36-N129,(N39-N132))</f>
        <v>1</v>
      </c>
      <c r="O140" s="1061" t="n">
        <f aca="false">IF((O39-O132)&lt;=0,O36-O129,(O39-O132))</f>
        <v>2.9</v>
      </c>
      <c r="P140" s="1061" t="n">
        <f aca="false">IF((P39-P132)&lt;=0,P36-P129,(P39-P132))</f>
        <v>1</v>
      </c>
      <c r="AE140" s="1037"/>
      <c r="AF140" s="1037"/>
    </row>
    <row r="141" customFormat="false" ht="14.15" hidden="false" customHeight="true" outlineLevel="0" collapsed="false">
      <c r="A141" s="1062" t="s">
        <v>2679</v>
      </c>
      <c r="B141" s="1063"/>
      <c r="C141" s="1064" t="n">
        <f aca="false">'Ввод данных'!D362*C6</f>
        <v>0</v>
      </c>
      <c r="D141" s="1064" t="n">
        <f aca="false">'Ввод данных'!D366*D6</f>
        <v>0</v>
      </c>
      <c r="E141" s="1064" t="n">
        <f aca="false">'Ввод данных'!D370*E6</f>
        <v>0</v>
      </c>
      <c r="F141" s="1064" t="n">
        <f aca="false">'Ввод данных'!D374*F6</f>
        <v>0</v>
      </c>
      <c r="G141" s="1018" t="n">
        <f aca="false">C141+D141+E141+F141</f>
        <v>0</v>
      </c>
      <c r="H141" s="1064" t="n">
        <f aca="false">'Ввод данных'!D362*H6</f>
        <v>0</v>
      </c>
      <c r="I141" s="1064" t="n">
        <f aca="false">'Ввод данных'!D366*I6</f>
        <v>0</v>
      </c>
      <c r="J141" s="1064" t="n">
        <f aca="false">'Ввод данных'!D370*J6</f>
        <v>0</v>
      </c>
      <c r="K141" s="1064" t="n">
        <f aca="false">'Ввод данных'!D374*K6</f>
        <v>0</v>
      </c>
      <c r="M141" s="1064" t="n">
        <f aca="false">'Ввод данных'!D362*M6</f>
        <v>0</v>
      </c>
      <c r="N141" s="1064" t="n">
        <f aca="false">'Ввод данных'!D366*N6</f>
        <v>0</v>
      </c>
      <c r="O141" s="1064" t="n">
        <f aca="false">'Ввод данных'!D370*O6</f>
        <v>0</v>
      </c>
      <c r="P141" s="1064" t="n">
        <f aca="false">'Ввод данных'!D374*P6</f>
        <v>0</v>
      </c>
      <c r="AE141" s="1037"/>
      <c r="AF141" s="1037"/>
    </row>
    <row r="142" customFormat="false" ht="14.15" hidden="false" customHeight="true" outlineLevel="0" collapsed="false">
      <c r="A142" s="1065" t="s">
        <v>2000</v>
      </c>
      <c r="B142" s="1066"/>
      <c r="C142" s="1067" t="n">
        <f aca="false">IF('Ввод данных'!A362=связи1!A120,пристройка!C66,0)*C6</f>
        <v>0</v>
      </c>
      <c r="D142" s="1067" t="n">
        <f aca="false">IF('Ввод данных'!A366=связи1!A120,пристройка!D66,0)*D6</f>
        <v>0</v>
      </c>
      <c r="E142" s="1067" t="n">
        <f aca="false">IF('Ввод данных'!A370=связи1!A120,пристройка!E66,0)*E6</f>
        <v>0</v>
      </c>
      <c r="F142" s="1067" t="n">
        <f aca="false">IF('Ввод данных'!A374=связи1!A120,пристройка!F66,0)*F6</f>
        <v>0</v>
      </c>
      <c r="G142" s="1018" t="n">
        <f aca="false">C142+D142+E142+F142</f>
        <v>0</v>
      </c>
      <c r="H142" s="1067"/>
      <c r="I142" s="1067"/>
      <c r="J142" s="1067"/>
      <c r="K142" s="1067"/>
      <c r="M142" s="1067"/>
      <c r="N142" s="1067"/>
      <c r="O142" s="1067"/>
      <c r="P142" s="1067"/>
      <c r="AE142" s="1037"/>
      <c r="AF142" s="1037"/>
    </row>
    <row r="143" customFormat="false" ht="14.15" hidden="false" customHeight="true" outlineLevel="0" collapsed="false">
      <c r="A143" s="1065" t="s">
        <v>2012</v>
      </c>
      <c r="B143" s="1066"/>
      <c r="C143" s="1067" t="n">
        <f aca="false">IF('Ввод данных'!A362=связи1!A121,пристройка!C66,0)*C6</f>
        <v>0</v>
      </c>
      <c r="D143" s="1067" t="n">
        <f aca="false">IF('Ввод данных'!A366=связи1!A121,пристройка!D66,0)*D6</f>
        <v>0</v>
      </c>
      <c r="E143" s="1067" t="n">
        <f aca="false">IF('Ввод данных'!A370=связи1!A121,пристройка!E66,0)*E6</f>
        <v>0</v>
      </c>
      <c r="F143" s="1067" t="n">
        <f aca="false">IF('Ввод данных'!A374=связи1!A121,пристройка!F66,0)*F6</f>
        <v>0</v>
      </c>
      <c r="G143" s="1018" t="n">
        <f aca="false">C143+D143+E143+F143</f>
        <v>0</v>
      </c>
      <c r="H143" s="1067"/>
      <c r="I143" s="1067"/>
      <c r="J143" s="1067"/>
      <c r="K143" s="1067"/>
      <c r="M143" s="1067"/>
      <c r="N143" s="1067"/>
      <c r="O143" s="1067"/>
      <c r="P143" s="1067"/>
      <c r="AE143" s="1037"/>
      <c r="AF143" s="1037"/>
    </row>
    <row r="144" customFormat="false" ht="14.15" hidden="false" customHeight="true" outlineLevel="0" collapsed="false">
      <c r="A144" s="1068" t="s">
        <v>2680</v>
      </c>
      <c r="B144" s="1066"/>
      <c r="C144" s="1067" t="n">
        <f aca="false">IF('Ввод данных'!A362=связи1!A123,пристройка!C66,0)*C6</f>
        <v>0</v>
      </c>
      <c r="D144" s="1067" t="n">
        <f aca="false">IF('Ввод данных'!A366=связи1!A123,пристройка!D66,0)*D6</f>
        <v>0</v>
      </c>
      <c r="E144" s="1067" t="n">
        <f aca="false">IF('Ввод данных'!A370=связи1!A123,пристройка!E66,0)*E6</f>
        <v>0</v>
      </c>
      <c r="F144" s="1067" t="n">
        <f aca="false">IF('Ввод данных'!A374=связи1!A123,пристройка!F66,0)*F6</f>
        <v>0</v>
      </c>
      <c r="G144" s="1018" t="n">
        <f aca="false">C144+D144+E144+F144</f>
        <v>0</v>
      </c>
      <c r="H144" s="1067"/>
      <c r="I144" s="1067"/>
      <c r="J144" s="1067"/>
      <c r="K144" s="1067"/>
      <c r="M144" s="1067"/>
      <c r="N144" s="1067"/>
      <c r="O144" s="1067"/>
      <c r="P144" s="1067"/>
      <c r="AE144" s="1037"/>
      <c r="AF144" s="1037"/>
    </row>
    <row r="145" customFormat="false" ht="14.15" hidden="false" customHeight="true" outlineLevel="0" collapsed="false">
      <c r="A145" s="1068" t="s">
        <v>2681</v>
      </c>
      <c r="B145" s="1066"/>
      <c r="C145" s="1067" t="n">
        <f aca="false">IF('Ввод данных'!A362=связи1!A122,пристройка!C66,0)*C6</f>
        <v>0</v>
      </c>
      <c r="D145" s="1067" t="n">
        <f aca="false">IF('Ввод данных'!A366=связи1!A122,пристройка!D66,0)*D6</f>
        <v>0</v>
      </c>
      <c r="E145" s="1067" t="n">
        <f aca="false">IF('Ввод данных'!A370=связи1!A122,пристройка!E66,0)*E6</f>
        <v>0</v>
      </c>
      <c r="F145" s="1067" t="n">
        <f aca="false">IF('Ввод данных'!A374=связи1!A122,пристройка!F66,0)*F6</f>
        <v>0</v>
      </c>
      <c r="G145" s="1018" t="n">
        <f aca="false">C145+D145+E145+F145</f>
        <v>0</v>
      </c>
      <c r="H145" s="1067"/>
      <c r="I145" s="1067"/>
      <c r="J145" s="1067"/>
      <c r="K145" s="1067"/>
      <c r="M145" s="1069"/>
      <c r="N145" s="1069"/>
      <c r="O145" s="1069"/>
      <c r="P145" s="1069"/>
      <c r="AE145" s="1037"/>
      <c r="AF145" s="1037"/>
    </row>
    <row r="146" customFormat="false" ht="14.15" hidden="false" customHeight="true" outlineLevel="0" collapsed="false">
      <c r="A146" s="1068" t="s">
        <v>2682</v>
      </c>
      <c r="B146" s="1066"/>
      <c r="C146" s="1067" t="n">
        <f aca="false">IF('Ввод данных'!A362=связи1!A124,пристройка!C66,0)*C6</f>
        <v>0</v>
      </c>
      <c r="D146" s="1067" t="n">
        <f aca="false">IF('Ввод данных'!A366=связи1!A124,пристройка!D66,0)*D6</f>
        <v>0</v>
      </c>
      <c r="E146" s="1067" t="n">
        <f aca="false">IF('Ввод данных'!A370=связи1!A124,пристройка!E66,0)*E6</f>
        <v>0</v>
      </c>
      <c r="F146" s="1067" t="n">
        <f aca="false">IF('Ввод данных'!A374=связи1!A124,пристройка!F66,0)*F6</f>
        <v>0</v>
      </c>
      <c r="G146" s="1018" t="n">
        <f aca="false">C146+D146+E146+F146</f>
        <v>0</v>
      </c>
      <c r="H146" s="1067"/>
      <c r="I146" s="1067"/>
      <c r="J146" s="1067"/>
      <c r="K146" s="1067"/>
      <c r="M146" s="1069"/>
      <c r="N146" s="1069"/>
      <c r="O146" s="1069"/>
      <c r="P146" s="1069"/>
      <c r="AE146" s="1037"/>
      <c r="AF146" s="1037"/>
    </row>
    <row r="147" customFormat="false" ht="14.15" hidden="false" customHeight="true" outlineLevel="0" collapsed="false">
      <c r="A147" s="1070" t="s">
        <v>1993</v>
      </c>
      <c r="B147" s="1063"/>
      <c r="C147" s="1064" t="n">
        <f aca="false">IF('Ввод данных'!A362=связи1!A125,пристройка!C66,0)*C6</f>
        <v>0</v>
      </c>
      <c r="D147" s="1064" t="n">
        <f aca="false">IF('Ввод данных'!A366=связи1!A125,пристройка!D66,0)*D6</f>
        <v>0</v>
      </c>
      <c r="E147" s="1064" t="n">
        <f aca="false">IF('Ввод данных'!A370=связи1!A125,пристройка!E66,0)*E6</f>
        <v>0</v>
      </c>
      <c r="F147" s="1064" t="n">
        <f aca="false">IF('Ввод данных'!B374=связи1!B125,пристройка!F66,0)*F6</f>
        <v>0</v>
      </c>
      <c r="G147" s="1018" t="n">
        <f aca="false">C147+D147+E147+F147</f>
        <v>0</v>
      </c>
      <c r="H147" s="1064"/>
      <c r="I147" s="1064"/>
      <c r="J147" s="1064"/>
      <c r="K147" s="1064"/>
      <c r="M147" s="1071"/>
      <c r="N147" s="1071"/>
      <c r="O147" s="1071"/>
      <c r="P147" s="1071"/>
      <c r="AE147" s="1037"/>
      <c r="AF147" s="1037"/>
    </row>
    <row r="148" s="1075" customFormat="true" ht="14.15" hidden="false" customHeight="true" outlineLevel="0" collapsed="false">
      <c r="A148" s="1072" t="s">
        <v>2683</v>
      </c>
      <c r="B148" s="1073"/>
      <c r="C148" s="1074"/>
      <c r="D148" s="1074"/>
      <c r="E148" s="1074"/>
      <c r="F148" s="1074"/>
      <c r="G148" s="1074" t="n">
        <f aca="false">SUM(G142:G147)</f>
        <v>0</v>
      </c>
      <c r="H148" s="1074"/>
      <c r="I148" s="1074"/>
      <c r="J148" s="1074"/>
      <c r="K148" s="1074"/>
      <c r="M148" s="1076"/>
      <c r="N148" s="1076"/>
      <c r="O148" s="1076"/>
      <c r="P148" s="1076"/>
      <c r="AE148" s="1077"/>
      <c r="AF148" s="1077"/>
    </row>
    <row r="149" customFormat="false" ht="14.15" hidden="false" customHeight="true" outlineLevel="0" collapsed="false">
      <c r="A149" s="1078" t="s">
        <v>2684</v>
      </c>
      <c r="B149" s="1060"/>
      <c r="C149" s="1061" t="n">
        <f aca="false">IF('Ввод данных'!A362=связи1!A125,IF(C39=0,пристройка!C141*пристройка!C36,пристройка!C141*пристройка!C39),0)*C6+IF('Ввод данных'!A362=связи1!A121,IF(C39=0,пристройка!C141*пристройка!C36,пристройка!C141*пристройка!C39),0)*C6</f>
        <v>0</v>
      </c>
      <c r="D149" s="1061" t="n">
        <f aca="false">IF('Ввод данных'!A366=связи1!A125,IF(D39=0,пристройка!D141*пристройка!D36,пристройка!D141*пристройка!D39),0)*D6+IF('Ввод данных'!A366=связи1!A121,IF(D39=0,пристройка!D141*пристройка!D36,пристройка!D141*пристройка!D39),0)*D6</f>
        <v>0</v>
      </c>
      <c r="E149" s="1061" t="n">
        <f aca="false">IF('Ввод данных'!A370=связи1!A125,IF(E39=0,пристройка!E141*пристройка!E36,пристройка!E141*пристройка!E39),0)*E6+IF('Ввод данных'!A370=связи1!A121,IF(E39=0,пристройка!E141*пристройка!E36,пристройка!E141*пристройка!E39),0)*E6</f>
        <v>0</v>
      </c>
      <c r="F149" s="1061" t="n">
        <f aca="false">IF('Ввод данных'!A374=связи1!A125,IF(F39=0,пристройка!F141*пристройка!F36,пристройка!F141*пристройка!F39),0)*F6+IF('Ввод данных'!A374=связи1!A121,IF(F39=0,пристройка!F141*пристройка!F36,пристройка!F141*пристройка!F39),0)*F6</f>
        <v>0</v>
      </c>
      <c r="G149" s="1018" t="n">
        <f aca="false">C149+D149+E149+F149</f>
        <v>0</v>
      </c>
      <c r="H149" s="1061" t="n">
        <f aca="false">IF('Ввод данных'!A362=связи1!A125,IF(H39=0,пристройка!H141*пристройка!H37,пристройка!H141*(пристройка!H37+пристройка!H40)),0)*H6+IF('Ввод данных'!A362=связи1!A121,IF(H39=0,пристройка!H141*пристройка!H37,пристройка!H141*(пристройка!H37+пристройка!H40)),0)*H6</f>
        <v>0</v>
      </c>
      <c r="I149" s="1061" t="n">
        <f aca="false">IF('Ввод данных'!A366=связи1!A125,IF(I39=0,пристройка!I141*пристройка!I37,пристройка!I141*(пристройка!I37+пристройка!I40)),0)*I6+IF('Ввод данных'!A366=связи1!A121,IF(I39=0,пристройка!I141*пристройка!I37,пристройка!I141*(пристройка!I37+пристройка!I40)),0)*I6</f>
        <v>0</v>
      </c>
      <c r="J149" s="1061" t="n">
        <f aca="false">IF('Ввод данных'!A370=связи1!A125,IF(J39=0,пристройка!J141*пристройка!J37,пристройка!J141*(пристройка!J37+пристройка!J40)),0)*J6+IF('Ввод данных'!A370=связи1!A121,IF(J39=0,пристройка!J141*пристройка!J37,пристройка!J141*(пристройка!J37+пристройка!J40)),0)*J6</f>
        <v>0</v>
      </c>
      <c r="K149" s="1061" t="n">
        <f aca="false">IF('Ввод данных'!A374=связи1!A125,IF(K39=0,пристройка!K141*пристройка!K37,пристройка!K141*(пристройка!K37+пристройка!K40)),0)*K6+IF('Ввод данных'!A374=связи1!A121,IF(K39=0,пристройка!K141*пристройка!K37,пристройка!K141*(пристройка!K37+пристройка!K40)),0)*K6</f>
        <v>0</v>
      </c>
      <c r="L149" s="1018" t="n">
        <f aca="false">H149+I149+J149+K149</f>
        <v>0</v>
      </c>
      <c r="M149" s="1061" t="n">
        <f aca="false">IF('Ввод данных'!A362=связи1!A125,IF(M39=0,пристройка!M141*пристройка!M36,пристройка!M141*пристройка!M39),0)*M6+IF('Ввод данных'!A362=связи1!A121,IF(M39=0,пристройка!M141*пристройка!M36,пристройка!M141*пристройка!M39),0)*M6</f>
        <v>0</v>
      </c>
      <c r="N149" s="1061" t="n">
        <f aca="false">IF('Ввод данных'!A366=связи1!A125,IF(N39=0,пристройка!N141*пристройка!N36,пристройка!N141*пристройка!N39),0)*N6+IF('Ввод данных'!A366=связи1!A121,IF(N39=0,пристройка!N141*пристройка!N36,пристройка!N141*пристройка!N39),0)*N6</f>
        <v>0</v>
      </c>
      <c r="O149" s="1061" t="n">
        <f aca="false">IF('Ввод данных'!A370=связи1!A125,IF(O39=0,пристройка!O141*пристройка!O36,пристройка!O141*пристройка!O39),0)*O6+IF('Ввод данных'!A370=связи1!A121,IF(O39=0,пристройка!O141*пристройка!O36,пристройка!O141*пристройка!O39),0)*O6</f>
        <v>0</v>
      </c>
      <c r="P149" s="1061" t="n">
        <f aca="false">IF('Ввод данных'!A374=связи1!A125,IF(P39=0,пристройка!P141*пристройка!P36,пристройка!P141*пристройка!P39),0)*P6+IF('Ввод данных'!A374=связи1!A121,IF(P39=0,пристройка!P141*пристройка!P36,пристройка!P141*пристройка!P39),0)*P6</f>
        <v>0</v>
      </c>
      <c r="Q149" s="919" t="n">
        <f aca="false">M149+N149+O149+P149</f>
        <v>0</v>
      </c>
      <c r="R149" s="919" t="n">
        <f aca="false">G149+L149+Q149</f>
        <v>0</v>
      </c>
      <c r="AE149" s="1037"/>
      <c r="AF149" s="1037"/>
    </row>
    <row r="150" customFormat="false" ht="14.15" hidden="false" customHeight="true" outlineLevel="0" collapsed="false">
      <c r="A150" s="1070" t="s">
        <v>2685</v>
      </c>
      <c r="B150" s="1063"/>
      <c r="C150" s="1064" t="n">
        <f aca="false">H150</f>
        <v>1</v>
      </c>
      <c r="D150" s="1064" t="n">
        <f aca="false">I150</f>
        <v>1</v>
      </c>
      <c r="E150" s="1064" t="n">
        <f aca="false">J150</f>
        <v>1</v>
      </c>
      <c r="F150" s="1064" t="n">
        <f aca="false">K150</f>
        <v>1</v>
      </c>
      <c r="G150" s="1043"/>
      <c r="H150" s="1064" t="n">
        <f aca="false">VLOOKUP('Ввод данных'!A6,связи1!A94:B98,2,0)</f>
        <v>1</v>
      </c>
      <c r="I150" s="1064" t="n">
        <f aca="false">VLOOKUP('Ввод данных'!A6,связи1!A94:B98,2,0)</f>
        <v>1</v>
      </c>
      <c r="J150" s="1064" t="n">
        <f aca="false">VLOOKUP('Ввод данных'!A6,связи1!A94:B98,2,0)</f>
        <v>1</v>
      </c>
      <c r="K150" s="1064" t="n">
        <f aca="false">VLOOKUP('Ввод данных'!A6,связи1!A94:B98,2,0)</f>
        <v>1</v>
      </c>
      <c r="L150" s="1018"/>
      <c r="M150" s="1071" t="n">
        <f aca="false">H150</f>
        <v>1</v>
      </c>
      <c r="N150" s="1071" t="n">
        <f aca="false">I150</f>
        <v>1</v>
      </c>
      <c r="O150" s="1071" t="n">
        <f aca="false">J150</f>
        <v>1</v>
      </c>
      <c r="P150" s="1071" t="n">
        <f aca="false">K150</f>
        <v>1</v>
      </c>
      <c r="AE150" s="1037"/>
      <c r="AF150" s="1037"/>
    </row>
    <row r="151" customFormat="false" ht="14.15" hidden="false" customHeight="true" outlineLevel="0" collapsed="false">
      <c r="A151" s="1070" t="s">
        <v>2686</v>
      </c>
      <c r="B151" s="1063"/>
      <c r="C151" s="1064" t="n">
        <f aca="false">H151</f>
        <v>1</v>
      </c>
      <c r="D151" s="1064" t="n">
        <f aca="false">I151</f>
        <v>2</v>
      </c>
      <c r="E151" s="1064" t="n">
        <f aca="false">J151</f>
        <v>2</v>
      </c>
      <c r="F151" s="1064" t="n">
        <f aca="false">K151</f>
        <v>1</v>
      </c>
      <c r="G151" s="1043"/>
      <c r="H151" s="1064" t="n">
        <f aca="false">VLOOKUP('Ввод данных'!A361,связи1!A94:B98,2,0)</f>
        <v>1</v>
      </c>
      <c r="I151" s="1064" t="n">
        <f aca="false">VLOOKUP('Ввод данных'!A365,связи1!A94:B98,2,0)</f>
        <v>2</v>
      </c>
      <c r="J151" s="1064" t="n">
        <f aca="false">VLOOKUP('Ввод данных'!A369,связи1!A94:B98,2,0)</f>
        <v>2</v>
      </c>
      <c r="K151" s="1064" t="n">
        <f aca="false">VLOOKUP('Ввод данных'!A373,связи1!A94:B98,2,0)</f>
        <v>1</v>
      </c>
      <c r="L151" s="1018"/>
      <c r="M151" s="1071" t="n">
        <f aca="false">H151</f>
        <v>1</v>
      </c>
      <c r="N151" s="1071" t="n">
        <f aca="false">I151</f>
        <v>2</v>
      </c>
      <c r="O151" s="1071" t="n">
        <f aca="false">J151</f>
        <v>2</v>
      </c>
      <c r="P151" s="1071" t="n">
        <f aca="false">K151</f>
        <v>1</v>
      </c>
      <c r="AE151" s="1037"/>
      <c r="AF151" s="1037"/>
    </row>
    <row r="152" customFormat="false" ht="14.15" hidden="false" customHeight="true" outlineLevel="0" collapsed="false">
      <c r="A152" s="1070" t="s">
        <v>2687</v>
      </c>
      <c r="B152" s="1063"/>
      <c r="C152" s="1064" t="n">
        <f aca="false">C32</f>
        <v>0</v>
      </c>
      <c r="D152" s="1064" t="n">
        <f aca="false">D32</f>
        <v>0</v>
      </c>
      <c r="E152" s="1064" t="n">
        <f aca="false">E32</f>
        <v>0</v>
      </c>
      <c r="F152" s="1064" t="n">
        <f aca="false">F32</f>
        <v>0</v>
      </c>
      <c r="G152" s="1043"/>
      <c r="H152" s="1064" t="n">
        <f aca="false">H32</f>
        <v>0</v>
      </c>
      <c r="I152" s="1064" t="n">
        <f aca="false">I32</f>
        <v>0</v>
      </c>
      <c r="J152" s="1064" t="n">
        <f aca="false">J32</f>
        <v>0</v>
      </c>
      <c r="K152" s="1064" t="n">
        <f aca="false">K32</f>
        <v>0</v>
      </c>
      <c r="L152" s="1018"/>
      <c r="M152" s="1064" t="n">
        <f aca="false">M32</f>
        <v>0</v>
      </c>
      <c r="N152" s="1064" t="n">
        <f aca="false">N32</f>
        <v>0</v>
      </c>
      <c r="O152" s="1064" t="n">
        <f aca="false">O32</f>
        <v>0</v>
      </c>
      <c r="P152" s="1064" t="n">
        <f aca="false">P32</f>
        <v>0</v>
      </c>
      <c r="AE152" s="1037"/>
      <c r="AF152" s="1037"/>
    </row>
    <row r="153" customFormat="false" ht="14.15" hidden="false" customHeight="true" outlineLevel="0" collapsed="false">
      <c r="A153" s="1078" t="s">
        <v>2688</v>
      </c>
      <c r="B153" s="1060"/>
      <c r="C153" s="1061" t="n">
        <f aca="false">IF(C152=0,0,0)+IF(C152&gt;0,1,0)</f>
        <v>0</v>
      </c>
      <c r="D153" s="1061" t="n">
        <f aca="false">IF(D152=0,0,0)+IF(D152&gt;0,1,0)</f>
        <v>0</v>
      </c>
      <c r="E153" s="1061" t="n">
        <f aca="false">IF(E152=0,0,0)+IF(E152&gt;0,1,0)</f>
        <v>0</v>
      </c>
      <c r="F153" s="1061" t="n">
        <f aca="false">IF(F152=0,0,0)+IF(F152&gt;0,1,0)</f>
        <v>0</v>
      </c>
      <c r="G153" s="1043"/>
      <c r="H153" s="1061" t="n">
        <f aca="false">IF(H152=0,0,0)+IF(H152&gt;0,1,0)</f>
        <v>0</v>
      </c>
      <c r="I153" s="1061" t="n">
        <f aca="false">IF(I152=0,0,0)+IF(I152&gt;0,1,0)</f>
        <v>0</v>
      </c>
      <c r="J153" s="1061" t="n">
        <f aca="false">IF(J152=0,0,0)+IF(J152&gt;0,1,0)</f>
        <v>0</v>
      </c>
      <c r="K153" s="1061" t="n">
        <f aca="false">IF(K152=0,0,0)+IF(K152&gt;0,1,0)</f>
        <v>0</v>
      </c>
      <c r="L153" s="1018"/>
      <c r="M153" s="1061" t="n">
        <f aca="false">IF(M152=0,0,0)+IF(M152&gt;0,1,0)</f>
        <v>0</v>
      </c>
      <c r="N153" s="1061" t="n">
        <f aca="false">IF(N152=0,0,0)+IF(N152&gt;0,1,0)</f>
        <v>0</v>
      </c>
      <c r="O153" s="1061" t="n">
        <f aca="false">IF(O152=0,0,0)+IF(O152&gt;0,1,0)</f>
        <v>0</v>
      </c>
      <c r="P153" s="1061" t="n">
        <f aca="false">IF(P152=0,0,0)+IF(P152&gt;0,1,0)</f>
        <v>0</v>
      </c>
      <c r="AE153" s="1037"/>
      <c r="AF153" s="1037"/>
    </row>
    <row r="154" customFormat="false" ht="14.15" hidden="false" customHeight="true" outlineLevel="0" collapsed="false">
      <c r="A154" s="1078" t="s">
        <v>2689</v>
      </c>
      <c r="B154" s="1060"/>
      <c r="C154" s="1061" t="n">
        <f aca="false">(IF(C150-C151&lt;0,0,0)+IF(C150-C151=1,0,0)+IF(C150-C151=2,0,0)+IF(C150-C151=0,1,0))*C153</f>
        <v>0</v>
      </c>
      <c r="D154" s="1061" t="n">
        <f aca="false">(IF(D150-D151&lt;0,0,0)+IF(D150-D151=1,0,0)+IF(D150-D151=2,0,0)+IF(D150-D151=0,1,0))*D153</f>
        <v>0</v>
      </c>
      <c r="E154" s="1061" t="n">
        <f aca="false">(IF(E150-E151&lt;0,0,0)+IF(E150-E151=1,0,0)+IF(E150-E151=2,0,0)+IF(E150-E151=0,1,0))*E153</f>
        <v>0</v>
      </c>
      <c r="F154" s="1061" t="n">
        <f aca="false">(IF(F150-F151&lt;0,0,0)+IF(F150-F151=1,0,0)+IF(F150-F151=2,0,0)+IF(F150-F151=0,1,0))*F153</f>
        <v>0</v>
      </c>
      <c r="G154" s="1043"/>
      <c r="H154" s="1061" t="n">
        <f aca="false">(IF(H150-H151&lt;0,0,0)+IF(H150-H151=1,0,0)+IF(H150-H151=2,0,0)+IF(H150-H151=0,1,0))*H153</f>
        <v>0</v>
      </c>
      <c r="I154" s="1061" t="n">
        <f aca="false">(IF(I150-I151&lt;0,0,0)+IF(I150-I151=1,0,0)+IF(I150-I151=2,0,0)+IF(I150-I151=0,1,0))*I153</f>
        <v>0</v>
      </c>
      <c r="J154" s="1061" t="n">
        <f aca="false">(IF(J150-J151&lt;0,0,0)+IF(J150-J151=1,0,0)+IF(J150-J151=2,0,0)+IF(J150-J151=0,1,0))*J153</f>
        <v>0</v>
      </c>
      <c r="K154" s="1061" t="n">
        <f aca="false">(IF(K150-K151&lt;0,0,0)+IF(K150-K151=1,0,0)+IF(K150-K151=2,0,0)+IF(K150-K151=0,1,0))*K153</f>
        <v>0</v>
      </c>
      <c r="L154" s="1018"/>
      <c r="M154" s="1061" t="n">
        <f aca="false">(IF(M150-M151&lt;0,0,0)+IF(M150-M151=1,0,0)+IF(M150-M151=2,0,0)+IF(M150-M151=0,1,0))*M153</f>
        <v>0</v>
      </c>
      <c r="N154" s="1061" t="n">
        <f aca="false">(IF(N150-N151&lt;0,0,0)+IF(N150-N151=1,0,0)+IF(N150-N151=2,0,0)+IF(N150-N151=0,1,0))*N153</f>
        <v>0</v>
      </c>
      <c r="O154" s="1061" t="n">
        <f aca="false">(IF(O150-O151&lt;0,0,0)+IF(O150-O151=1,0,0)+IF(O150-O151=2,0,0)+IF(O150-O151=0,1,0))*O153</f>
        <v>0</v>
      </c>
      <c r="P154" s="1061" t="n">
        <f aca="false">(IF(P150-P151&lt;0,0,0)+IF(P150-P151=1,0,0)+IF(P150-P151=2,0,0)+IF(P150-P151=0,1,0))*P153</f>
        <v>0</v>
      </c>
      <c r="AE154" s="1037"/>
      <c r="AF154" s="1037"/>
    </row>
    <row r="155" customFormat="false" ht="14.15" hidden="false" customHeight="true" outlineLevel="0" collapsed="false">
      <c r="A155" s="1070" t="s">
        <v>2690</v>
      </c>
      <c r="B155" s="1063"/>
      <c r="C155" s="1064" t="n">
        <f aca="false">(IF(C151=1,C36,0)+IF(C151=2,C35+C39,0))*C154*C153</f>
        <v>0</v>
      </c>
      <c r="D155" s="1064" t="n">
        <f aca="false">(IF(D151=1,D36,0)+IF(D151=2,D35+D39,0))*D154*D153</f>
        <v>0</v>
      </c>
      <c r="E155" s="1064" t="n">
        <f aca="false">(IF(E151=1,E36,0)+IF(E151=2,E35+E39,0))*E154*E153</f>
        <v>0</v>
      </c>
      <c r="F155" s="1064" t="n">
        <f aca="false">(IF(F151=1,F36,0)+IF(F151=2,F35+F39,0))*F154*F153</f>
        <v>0</v>
      </c>
      <c r="G155" s="1043"/>
      <c r="H155" s="1064" t="n">
        <f aca="false">(IF(H151=1,H36,0)+IF(H151=2,H35+H39,0))*H154*H153</f>
        <v>0</v>
      </c>
      <c r="I155" s="1064" t="n">
        <f aca="false">(IF(I151=1,I36,0)+IF(I151=2,I35+I39,0))*I154*I153</f>
        <v>0</v>
      </c>
      <c r="J155" s="1064" t="n">
        <f aca="false">(IF(J151=1,J36,0)+IF(J151=2,J35+J39,0))*J154*J153</f>
        <v>0</v>
      </c>
      <c r="K155" s="1064" t="n">
        <f aca="false">(IF(K151=1,K36,0)+IF(K151=2,K35+K39,0))*K154*K153</f>
        <v>0</v>
      </c>
      <c r="L155" s="1018"/>
      <c r="M155" s="1064" t="n">
        <f aca="false">(IF(M151=1,M36,0)+IF(M151=2,M35+M39,0))*M154*M153</f>
        <v>0</v>
      </c>
      <c r="N155" s="1064" t="n">
        <f aca="false">(IF(N151=1,N36,0)+IF(N151=2,N35+N39,0))*N154*N153</f>
        <v>0</v>
      </c>
      <c r="O155" s="1064" t="n">
        <f aca="false">(IF(O151=1,O36,0)+IF(O151=2,O35+O39,0))*O154*O153</f>
        <v>0</v>
      </c>
      <c r="P155" s="1064" t="n">
        <f aca="false">(IF(P151=1,P36,0)+IF(P151=2,P35+P39,0))*P154*P153</f>
        <v>0</v>
      </c>
      <c r="AE155" s="1037"/>
      <c r="AF155" s="1037"/>
    </row>
    <row r="156" customFormat="false" ht="14.15" hidden="false" customHeight="true" outlineLevel="0" collapsed="false">
      <c r="A156" s="1070" t="s">
        <v>2691</v>
      </c>
      <c r="B156" s="1063"/>
      <c r="C156" s="1064" t="n">
        <f aca="false">IF(C150=2,C127+C132,0)+IF(C150=1,C129,0)</f>
        <v>3</v>
      </c>
      <c r="D156" s="1064" t="n">
        <f aca="false">IF(D150=2,D127+D132,0)+IF(D150=1,D129,0)</f>
        <v>3</v>
      </c>
      <c r="E156" s="1064" t="n">
        <f aca="false">IF(E150=2,E127+E132,0)+IF(E150=1,E129,0)</f>
        <v>3</v>
      </c>
      <c r="F156" s="1064" t="n">
        <f aca="false">IF(F150=2,F127+F132,0)+IF(F150=1,F129,0)</f>
        <v>3</v>
      </c>
      <c r="G156" s="1043"/>
      <c r="H156" s="1064" t="n">
        <f aca="false">IF(H150=2,H127+H132,0)+IF(H150=1,H129,0)</f>
        <v>3</v>
      </c>
      <c r="I156" s="1064" t="n">
        <f aca="false">IF(I150=2,I127+I132,0)+IF(I150=1,I129,0)</f>
        <v>3</v>
      </c>
      <c r="J156" s="1064" t="n">
        <f aca="false">IF(J150=2,J127+J132,0)+IF(J150=1,J129,0)</f>
        <v>3</v>
      </c>
      <c r="K156" s="1064" t="n">
        <f aca="false">IF(K150=2,K127+K132,0)+IF(K150=1,K129,0)</f>
        <v>3</v>
      </c>
      <c r="L156" s="1018"/>
      <c r="M156" s="1064" t="n">
        <f aca="false">IF(M150=2,M127+M132,0)+IF(M150=1,M129,0)</f>
        <v>3</v>
      </c>
      <c r="N156" s="1064" t="n">
        <f aca="false">IF(N150=2,N127+N132,0)+IF(N150=1,N129,0)</f>
        <v>3</v>
      </c>
      <c r="O156" s="1064" t="n">
        <f aca="false">IF(O150=2,O127+O132,0)+IF(O150=1,O129,0)</f>
        <v>3</v>
      </c>
      <c r="P156" s="1064" t="n">
        <f aca="false">IF(P150=2,P127+P132,0)+IF(P150=1,P129,0)</f>
        <v>3</v>
      </c>
      <c r="AE156" s="1037"/>
      <c r="AF156" s="1037"/>
    </row>
    <row r="157" customFormat="false" ht="14.15" hidden="false" customHeight="true" outlineLevel="0" collapsed="false">
      <c r="A157" s="1078" t="s">
        <v>2692</v>
      </c>
      <c r="B157" s="1060"/>
      <c r="C157" s="1079" t="n">
        <f aca="false">IF(C155-C156&lt;0,0,0)+IF(C155-C156&gt;0,C155-C156,0)</f>
        <v>0</v>
      </c>
      <c r="D157" s="1079" t="n">
        <f aca="false">IF(D155-D156&lt;0,0,0)+IF(D155-D156&gt;0,D155-D156,0)</f>
        <v>0</v>
      </c>
      <c r="E157" s="1079" t="n">
        <f aca="false">IF(E155-E156&lt;0,0,0)+IF(E155-E156&gt;0,E155-E156,0)</f>
        <v>0</v>
      </c>
      <c r="F157" s="1079" t="n">
        <f aca="false">IF(F155-F156&lt;0,0,0)+IF(F155-F156&gt;0,F155-F156,0)</f>
        <v>0</v>
      </c>
      <c r="G157" s="1043"/>
      <c r="H157" s="1079" t="n">
        <f aca="false">IF(H155-H156&lt;0,0,0)+IF(H155-H156&gt;0,H155-H156,0)</f>
        <v>0</v>
      </c>
      <c r="I157" s="1079" t="n">
        <f aca="false">IF(I155-I156&lt;0,0,0)+IF(I155-I156&gt;0,I155-I156,0)</f>
        <v>0</v>
      </c>
      <c r="J157" s="1079" t="n">
        <f aca="false">IF(J155-J156&lt;0,0,0)+IF(J155-J156&gt;0,J155-J156,0)</f>
        <v>0</v>
      </c>
      <c r="K157" s="1079" t="n">
        <f aca="false">IF(K155-K156&lt;0,0,0)+IF(K155-K156&gt;0,K155-K156,0)</f>
        <v>0</v>
      </c>
      <c r="L157" s="1018"/>
      <c r="M157" s="1079" t="n">
        <f aca="false">IF(M155-M156&lt;0,0,0)+IF(M155-M156&gt;0,M155-M156,0)</f>
        <v>0</v>
      </c>
      <c r="N157" s="1079" t="n">
        <f aca="false">IF(N155-N156&lt;0,0,0)+IF(N155-N156&gt;0,N155-N156,0)</f>
        <v>0</v>
      </c>
      <c r="O157" s="1079" t="n">
        <f aca="false">IF(O155-O156&lt;0,0,0)+IF(O155-O156&gt;0,O155-O156,0)</f>
        <v>0</v>
      </c>
      <c r="P157" s="1079" t="n">
        <f aca="false">IF(P155-P156&lt;0,0,0)+IF(P155-P156&gt;0,P155-P156,0)</f>
        <v>0</v>
      </c>
      <c r="AE157" s="1037"/>
      <c r="AF157" s="1037"/>
    </row>
    <row r="158" customFormat="false" ht="14.15" hidden="false" customHeight="true" outlineLevel="0" collapsed="false">
      <c r="A158" s="993" t="s">
        <v>2693</v>
      </c>
      <c r="B158" s="1080"/>
      <c r="C158" s="946"/>
      <c r="D158" s="946"/>
      <c r="E158" s="946"/>
      <c r="F158" s="946"/>
      <c r="G158" s="919"/>
      <c r="H158" s="1079" t="n">
        <f aca="false">IF('Ввод данных'!A362=связи1!A120,1,0)</f>
        <v>0</v>
      </c>
      <c r="I158" s="1079" t="n">
        <f aca="false">IF('Ввод данных'!A366=связи1!A120,1,0)</f>
        <v>1</v>
      </c>
      <c r="J158" s="1079" t="n">
        <f aca="false">IF('Ввод данных'!A370=связи1!A120,1,0)</f>
        <v>0</v>
      </c>
      <c r="K158" s="1079" t="n">
        <f aca="false">IF('Ввод данных'!A374=связи1!A120,1,0)</f>
        <v>0</v>
      </c>
      <c r="L158" s="1018" t="n">
        <f aca="false">H158+I158+J158+K158</f>
        <v>1</v>
      </c>
      <c r="M158" s="1081" t="n">
        <f aca="false">H158</f>
        <v>0</v>
      </c>
      <c r="N158" s="1081" t="n">
        <f aca="false">I158</f>
        <v>1</v>
      </c>
      <c r="O158" s="1081" t="n">
        <f aca="false">J158</f>
        <v>0</v>
      </c>
      <c r="P158" s="1081" t="n">
        <f aca="false">K158</f>
        <v>0</v>
      </c>
      <c r="AE158" s="1037"/>
      <c r="AF158" s="1037"/>
    </row>
    <row r="159" customFormat="false" ht="14.15" hidden="false" customHeight="true" outlineLevel="0" collapsed="false">
      <c r="A159" s="1082" t="s">
        <v>2694</v>
      </c>
      <c r="B159" s="1080"/>
      <c r="C159" s="993"/>
      <c r="D159" s="946"/>
      <c r="E159" s="946"/>
      <c r="F159" s="946"/>
      <c r="G159" s="919"/>
      <c r="H159" s="1079" t="n">
        <f aca="false">H157/SIN(H103)</f>
        <v>0</v>
      </c>
      <c r="I159" s="1079" t="n">
        <f aca="false">I157/SIN(I103)</f>
        <v>0</v>
      </c>
      <c r="J159" s="1079" t="n">
        <f aca="false">J157/SIN(J103)</f>
        <v>0</v>
      </c>
      <c r="K159" s="1079" t="n">
        <f aca="false">K157/SIN(K103)</f>
        <v>0</v>
      </c>
      <c r="L159" s="1018" t="n">
        <f aca="false">H159+I159+J159+K159</f>
        <v>0</v>
      </c>
      <c r="M159" s="1079" t="n">
        <f aca="false">M157/SIN(M103)</f>
        <v>0</v>
      </c>
      <c r="N159" s="1079" t="n">
        <f aca="false">N157/SIN(N103)</f>
        <v>0</v>
      </c>
      <c r="O159" s="1079" t="n">
        <f aca="false">O157/SIN(O103)</f>
        <v>0</v>
      </c>
      <c r="P159" s="1079" t="n">
        <f aca="false">P157/SIN(P103)</f>
        <v>0</v>
      </c>
      <c r="AE159" s="1037"/>
      <c r="AF159" s="1037"/>
    </row>
    <row r="160" customFormat="false" ht="14.15" hidden="false" customHeight="true" outlineLevel="0" collapsed="false">
      <c r="A160" s="1082" t="s">
        <v>2695</v>
      </c>
      <c r="B160" s="1080"/>
      <c r="C160" s="946"/>
      <c r="D160" s="946"/>
      <c r="E160" s="946"/>
      <c r="F160" s="946"/>
      <c r="G160" s="919"/>
      <c r="H160" s="1083" t="n">
        <f aca="false">IF(H71&gt;=H159,H159,H71)</f>
        <v>0</v>
      </c>
      <c r="I160" s="1083" t="n">
        <f aca="false">IF(I71&gt;=I159,I159,I71)</f>
        <v>0</v>
      </c>
      <c r="J160" s="1083" t="n">
        <f aca="false">IF(J71&gt;=J159,J159,J71)</f>
        <v>0</v>
      </c>
      <c r="K160" s="1083" t="n">
        <f aca="false">IF(K71&gt;=K159,K159,K71)</f>
        <v>0</v>
      </c>
      <c r="L160" s="1018" t="n">
        <f aca="false">H160+I160+J160+K160</f>
        <v>0</v>
      </c>
      <c r="M160" s="1083" t="n">
        <f aca="false">IF(M73&gt;=M159,M159,M73)</f>
        <v>0</v>
      </c>
      <c r="N160" s="1083" t="n">
        <f aca="false">IF(N73&gt;=N159,N159,N73)</f>
        <v>0</v>
      </c>
      <c r="O160" s="1083" t="n">
        <f aca="false">IF(O73&gt;=O159,O159,O73)</f>
        <v>0</v>
      </c>
      <c r="P160" s="1083" t="n">
        <f aca="false">IF(P73&gt;=P159,P159,P73)</f>
        <v>0</v>
      </c>
      <c r="AE160" s="1037"/>
      <c r="AF160" s="1037"/>
    </row>
    <row r="161" customFormat="false" ht="14.15" hidden="false" customHeight="true" outlineLevel="0" collapsed="false">
      <c r="A161" s="1082" t="s">
        <v>2696</v>
      </c>
      <c r="B161" s="1080"/>
      <c r="C161" s="946"/>
      <c r="D161" s="946"/>
      <c r="E161" s="946"/>
      <c r="F161" s="946"/>
      <c r="G161" s="919"/>
      <c r="H161" s="1083" t="n">
        <f aca="false">IF(H72&gt;=H159,H159,H72)</f>
        <v>0</v>
      </c>
      <c r="I161" s="1083" t="n">
        <f aca="false">IF(I72&gt;=I159,I159,I72)</f>
        <v>0</v>
      </c>
      <c r="J161" s="1083" t="n">
        <f aca="false">IF(J72&gt;=J159,J159,J72)</f>
        <v>0</v>
      </c>
      <c r="K161" s="1083" t="n">
        <f aca="false">IF(K72&gt;=K159,K159,K72)</f>
        <v>0</v>
      </c>
      <c r="L161" s="1018"/>
      <c r="M161" s="1083" t="n">
        <f aca="false">IF(M74&gt;=M159,M159,M74)</f>
        <v>0</v>
      </c>
      <c r="N161" s="1083" t="n">
        <f aca="false">IF(N74&gt;=N159,N159,N74)</f>
        <v>0</v>
      </c>
      <c r="O161" s="1083" t="n">
        <f aca="false">IF(O74&gt;=O159,O159,O74)</f>
        <v>0</v>
      </c>
      <c r="P161" s="1083" t="n">
        <f aca="false">IF(P74&gt;=P159,P159,P74)</f>
        <v>0</v>
      </c>
      <c r="AE161" s="1037"/>
      <c r="AF161" s="1037"/>
    </row>
    <row r="162" customFormat="false" ht="14.15" hidden="false" customHeight="true" outlineLevel="0" collapsed="false">
      <c r="A162" s="1082" t="s">
        <v>2697</v>
      </c>
      <c r="B162" s="1080"/>
      <c r="C162" s="946"/>
      <c r="D162" s="946"/>
      <c r="E162" s="946"/>
      <c r="F162" s="946"/>
      <c r="G162" s="919"/>
      <c r="H162" s="1083" t="n">
        <f aca="false">(H160)*COS(H103)</f>
        <v>0</v>
      </c>
      <c r="I162" s="1083" t="n">
        <f aca="false">(I160)*COS(I103)</f>
        <v>0</v>
      </c>
      <c r="J162" s="1083" t="n">
        <f aca="false">(J160)*COS(J103)</f>
        <v>0</v>
      </c>
      <c r="K162" s="1083" t="n">
        <f aca="false">(K160)*COS(K103)</f>
        <v>0</v>
      </c>
      <c r="L162" s="1018" t="n">
        <f aca="false">H162+I162+J162+K162</f>
        <v>0</v>
      </c>
      <c r="M162" s="1083" t="n">
        <f aca="false">(M160)*COS(M103)</f>
        <v>0</v>
      </c>
      <c r="N162" s="1083" t="n">
        <f aca="false">(N160)*COS(N103)</f>
        <v>0</v>
      </c>
      <c r="O162" s="1083" t="n">
        <f aca="false">(O160)*COS(O103)</f>
        <v>0</v>
      </c>
      <c r="P162" s="1083" t="n">
        <f aca="false">(P160)*COS(P103)</f>
        <v>0</v>
      </c>
      <c r="AE162" s="1037"/>
      <c r="AF162" s="1037"/>
    </row>
    <row r="163" customFormat="false" ht="14.15" hidden="false" customHeight="true" outlineLevel="0" collapsed="false">
      <c r="A163" s="1082" t="s">
        <v>2698</v>
      </c>
      <c r="B163" s="1080"/>
      <c r="C163" s="946"/>
      <c r="D163" s="946"/>
      <c r="E163" s="946"/>
      <c r="F163" s="946"/>
      <c r="G163" s="919"/>
      <c r="H163" s="1083" t="n">
        <f aca="false">H157/SIN(H133+H135)</f>
        <v>0</v>
      </c>
      <c r="I163" s="1083" t="n">
        <f aca="false">I157/SIN(I133+I135)</f>
        <v>0</v>
      </c>
      <c r="J163" s="1083" t="n">
        <f aca="false">J157/SIN(J133+J135)</f>
        <v>0</v>
      </c>
      <c r="K163" s="1083" t="n">
        <f aca="false">K157/SIN(K133+K135)</f>
        <v>0</v>
      </c>
      <c r="L163" s="1018" t="n">
        <f aca="false">H163+I163+J163+K163</f>
        <v>0</v>
      </c>
      <c r="M163" s="1083" t="n">
        <f aca="false">M157/SIN(M133+M135)</f>
        <v>0</v>
      </c>
      <c r="N163" s="1083" t="n">
        <f aca="false">N157/SIN(N133+N135)</f>
        <v>0</v>
      </c>
      <c r="O163" s="1083" t="n">
        <f aca="false">O157/SIN(O133+O135)</f>
        <v>0</v>
      </c>
      <c r="P163" s="1083" t="n">
        <f aca="false">P157/SIN(P133+P135)</f>
        <v>0</v>
      </c>
      <c r="AE163" s="1037"/>
      <c r="AF163" s="1037"/>
    </row>
    <row r="164" customFormat="false" ht="14.15" hidden="false" customHeight="true" outlineLevel="0" collapsed="false">
      <c r="A164" s="1082" t="s">
        <v>2699</v>
      </c>
      <c r="B164" s="1080"/>
      <c r="C164" s="946"/>
      <c r="D164" s="946"/>
      <c r="E164" s="946"/>
      <c r="F164" s="946"/>
      <c r="G164" s="919"/>
      <c r="H164" s="1083" t="n">
        <f aca="false">SQRT(H163*H163+H162*H162)</f>
        <v>0</v>
      </c>
      <c r="I164" s="1083" t="n">
        <f aca="false">SQRT(I163*I163+I162*I162)</f>
        <v>0</v>
      </c>
      <c r="J164" s="1083" t="n">
        <f aca="false">SQRT(J163*J163+J162*J162)</f>
        <v>0</v>
      </c>
      <c r="K164" s="1083" t="n">
        <f aca="false">SQRT(K163*K163+K162*K162)</f>
        <v>0</v>
      </c>
      <c r="L164" s="1018" t="n">
        <f aca="false">H164+I164+J164+K164</f>
        <v>0</v>
      </c>
      <c r="M164" s="1083" t="n">
        <f aca="false">SQRT(M163*M163+M162*M162)</f>
        <v>0</v>
      </c>
      <c r="N164" s="1083" t="n">
        <f aca="false">SQRT(N163*N163+N162*N162)</f>
        <v>0</v>
      </c>
      <c r="O164" s="1083" t="n">
        <f aca="false">SQRT(O163*O163+O162*O162)</f>
        <v>0</v>
      </c>
      <c r="P164" s="1083" t="n">
        <f aca="false">SQRT(P163*P163+P162*P162)</f>
        <v>0</v>
      </c>
      <c r="AE164" s="1037"/>
      <c r="AF164" s="1037"/>
    </row>
    <row r="165" s="1086" customFormat="true" ht="14.15" hidden="false" customHeight="true" outlineLevel="0" collapsed="false">
      <c r="A165" s="1029" t="s">
        <v>2700</v>
      </c>
      <c r="B165" s="1060"/>
      <c r="C165" s="1061"/>
      <c r="D165" s="1061"/>
      <c r="E165" s="1061"/>
      <c r="F165" s="1061"/>
      <c r="G165" s="1084"/>
      <c r="H165" s="1085" t="n">
        <f aca="false">H162*H163</f>
        <v>0</v>
      </c>
      <c r="I165" s="1085" t="n">
        <f aca="false">I162*I163</f>
        <v>0</v>
      </c>
      <c r="J165" s="1085" t="n">
        <f aca="false">J162*J163</f>
        <v>0</v>
      </c>
      <c r="K165" s="1085" t="n">
        <f aca="false">K162*K163</f>
        <v>0</v>
      </c>
      <c r="L165" s="1061" t="n">
        <f aca="false">H165+I165+J165+K165</f>
        <v>0</v>
      </c>
      <c r="M165" s="1085" t="n">
        <f aca="false">M162*M163</f>
        <v>0</v>
      </c>
      <c r="N165" s="1085" t="n">
        <f aca="false">N162*N163</f>
        <v>0</v>
      </c>
      <c r="O165" s="1085" t="n">
        <f aca="false">O162*O163</f>
        <v>0</v>
      </c>
      <c r="P165" s="1085" t="n">
        <f aca="false">P162*P163</f>
        <v>0</v>
      </c>
      <c r="AE165" s="1087"/>
      <c r="AF165" s="1087"/>
    </row>
    <row r="166" customFormat="false" ht="14.15" hidden="false" customHeight="true" outlineLevel="0" collapsed="false">
      <c r="A166" s="1082" t="s">
        <v>2701</v>
      </c>
      <c r="B166" s="1080"/>
      <c r="C166" s="946"/>
      <c r="D166" s="946"/>
      <c r="E166" s="946"/>
      <c r="F166" s="946"/>
      <c r="G166" s="919"/>
      <c r="H166" s="1083" t="n">
        <f aca="false">SQRT(H163*H163-H157*H157)</f>
        <v>0</v>
      </c>
      <c r="I166" s="1083" t="n">
        <f aca="false">SQRT(I163*I163-I157*I157)</f>
        <v>0</v>
      </c>
      <c r="J166" s="1083" t="n">
        <f aca="false">SQRT(J163*J163-J157*J157)</f>
        <v>0</v>
      </c>
      <c r="K166" s="1083" t="n">
        <f aca="false">SQRT(K163*K163-K157*K157)</f>
        <v>0</v>
      </c>
      <c r="L166" s="1018" t="n">
        <f aca="false">H166+I166+J166+K166</f>
        <v>0</v>
      </c>
      <c r="M166" s="1083" t="n">
        <f aca="false">SQRT(M163*M163-M157*M157)</f>
        <v>0</v>
      </c>
      <c r="N166" s="1083" t="n">
        <f aca="false">SQRT(N163*N163-N157*N157)</f>
        <v>0</v>
      </c>
      <c r="O166" s="1083" t="n">
        <f aca="false">SQRT(O163*O163-O157*O157)</f>
        <v>0</v>
      </c>
      <c r="P166" s="1083" t="n">
        <f aca="false">SQRT(P163*P163-P157*P157)</f>
        <v>0</v>
      </c>
      <c r="AE166" s="1037"/>
      <c r="AF166" s="1037"/>
    </row>
    <row r="167" customFormat="false" ht="14.15" hidden="false" customHeight="true" outlineLevel="0" collapsed="false">
      <c r="A167" s="1082" t="s">
        <v>2702</v>
      </c>
      <c r="B167" s="1080"/>
      <c r="C167" s="946"/>
      <c r="D167" s="946"/>
      <c r="E167" s="946"/>
      <c r="F167" s="946"/>
      <c r="G167" s="919"/>
      <c r="H167" s="1083" t="n">
        <f aca="false">H160*H166</f>
        <v>0</v>
      </c>
      <c r="I167" s="1083" t="n">
        <f aca="false">I160*I166</f>
        <v>0</v>
      </c>
      <c r="J167" s="1083" t="n">
        <f aca="false">J160*J166</f>
        <v>0</v>
      </c>
      <c r="K167" s="1083" t="n">
        <f aca="false">K160*K166</f>
        <v>0</v>
      </c>
      <c r="L167" s="1018" t="n">
        <f aca="false">H167+I167+J167+K167</f>
        <v>0</v>
      </c>
      <c r="M167" s="1083" t="n">
        <f aca="false">M160*M166</f>
        <v>0</v>
      </c>
      <c r="N167" s="1083" t="n">
        <f aca="false">N160*N166</f>
        <v>0</v>
      </c>
      <c r="O167" s="1083" t="n">
        <f aca="false">O160*O166</f>
        <v>0</v>
      </c>
      <c r="P167" s="1083" t="n">
        <f aca="false">P160*P166</f>
        <v>0</v>
      </c>
      <c r="AE167" s="1037"/>
      <c r="AF167" s="1037"/>
    </row>
    <row r="168" customFormat="false" ht="14.15" hidden="false" customHeight="true" outlineLevel="0" collapsed="false">
      <c r="A168" s="1088" t="s">
        <v>2012</v>
      </c>
      <c r="B168" s="955"/>
      <c r="C168" s="956"/>
      <c r="D168" s="956"/>
      <c r="E168" s="956"/>
      <c r="F168" s="956"/>
      <c r="G168" s="919"/>
      <c r="H168" s="1059"/>
      <c r="I168" s="1059"/>
      <c r="J168" s="1059"/>
      <c r="K168" s="1059"/>
      <c r="L168" s="1018"/>
      <c r="M168" s="1089"/>
      <c r="N168" s="1089"/>
      <c r="O168" s="1089"/>
      <c r="P168" s="1089"/>
      <c r="AE168" s="1037"/>
      <c r="AF168" s="1037"/>
    </row>
    <row r="169" customFormat="false" ht="14.15" hidden="false" customHeight="true" outlineLevel="0" collapsed="false">
      <c r="A169" s="1058"/>
      <c r="B169" s="955"/>
      <c r="C169" s="956"/>
      <c r="D169" s="956"/>
      <c r="E169" s="956"/>
      <c r="F169" s="956"/>
      <c r="G169" s="919"/>
      <c r="H169" s="1059"/>
      <c r="I169" s="1059"/>
      <c r="J169" s="1059"/>
      <c r="K169" s="1059"/>
      <c r="L169" s="1018"/>
      <c r="M169" s="1089"/>
      <c r="N169" s="1089"/>
      <c r="O169" s="1089"/>
      <c r="P169" s="1089"/>
      <c r="AE169" s="1037"/>
      <c r="AF169" s="1037"/>
    </row>
    <row r="170" customFormat="false" ht="14.15" hidden="false" customHeight="true" outlineLevel="0" collapsed="false">
      <c r="A170" s="1058"/>
      <c r="B170" s="955"/>
      <c r="C170" s="956"/>
      <c r="D170" s="956"/>
      <c r="E170" s="956"/>
      <c r="F170" s="956"/>
      <c r="G170" s="919"/>
      <c r="H170" s="1059"/>
      <c r="I170" s="1059"/>
      <c r="J170" s="1059"/>
      <c r="K170" s="1059"/>
      <c r="L170" s="1018"/>
      <c r="M170" s="1089"/>
      <c r="N170" s="1089"/>
      <c r="O170" s="1089"/>
      <c r="P170" s="1089"/>
      <c r="AE170" s="1037"/>
      <c r="AF170" s="1037"/>
    </row>
    <row r="171" customFormat="false" ht="14.15" hidden="false" customHeight="true" outlineLevel="0" collapsed="false">
      <c r="A171" s="1058"/>
      <c r="B171" s="955"/>
      <c r="C171" s="956"/>
      <c r="D171" s="956"/>
      <c r="E171" s="956"/>
      <c r="F171" s="956"/>
      <c r="G171" s="919"/>
      <c r="H171" s="1059"/>
      <c r="I171" s="1059"/>
      <c r="J171" s="1059"/>
      <c r="K171" s="1059"/>
      <c r="L171" s="1018"/>
      <c r="M171" s="1089"/>
      <c r="N171" s="1089"/>
      <c r="O171" s="1089"/>
      <c r="P171" s="1089"/>
      <c r="AE171" s="1037"/>
      <c r="AF171" s="1037"/>
    </row>
    <row r="172" customFormat="false" ht="14.15" hidden="false" customHeight="true" outlineLevel="0" collapsed="false">
      <c r="A172" s="1058"/>
      <c r="B172" s="955"/>
      <c r="C172" s="956"/>
      <c r="D172" s="956"/>
      <c r="E172" s="956"/>
      <c r="F172" s="956"/>
      <c r="G172" s="919"/>
      <c r="H172" s="1059"/>
      <c r="I172" s="1059"/>
      <c r="J172" s="1059"/>
      <c r="K172" s="1059"/>
      <c r="L172" s="1018"/>
      <c r="M172" s="1089"/>
      <c r="N172" s="1089"/>
      <c r="O172" s="1089"/>
      <c r="P172" s="1089"/>
      <c r="AE172" s="1037"/>
      <c r="AF172" s="1037"/>
    </row>
    <row r="173" customFormat="false" ht="14.15" hidden="false" customHeight="true" outlineLevel="0" collapsed="false">
      <c r="A173" s="1090"/>
      <c r="B173" s="1091"/>
      <c r="C173" s="1092"/>
      <c r="D173" s="1092"/>
      <c r="E173" s="1092"/>
      <c r="F173" s="1092"/>
      <c r="G173" s="919"/>
      <c r="H173" s="1089"/>
      <c r="I173" s="1089"/>
      <c r="J173" s="1089"/>
      <c r="K173" s="1089"/>
      <c r="L173" s="1018"/>
      <c r="M173" s="1089"/>
      <c r="N173" s="1089"/>
      <c r="O173" s="1089"/>
      <c r="P173" s="1089"/>
      <c r="AE173" s="1037"/>
      <c r="AF173" s="1037"/>
    </row>
    <row r="174" customFormat="false" ht="14.15" hidden="false" customHeight="true" outlineLevel="0" collapsed="false">
      <c r="A174" s="1090"/>
      <c r="B174" s="1091"/>
      <c r="C174" s="1092"/>
      <c r="D174" s="1092"/>
      <c r="E174" s="1092"/>
      <c r="F174" s="1092"/>
      <c r="G174" s="919"/>
      <c r="H174" s="1089"/>
      <c r="I174" s="1089"/>
      <c r="J174" s="1089"/>
      <c r="K174" s="1089"/>
      <c r="L174" s="1018"/>
      <c r="M174" s="1089"/>
      <c r="N174" s="1089"/>
      <c r="O174" s="1089"/>
      <c r="P174" s="1089"/>
      <c r="AE174" s="1037"/>
      <c r="AF174" s="1037"/>
    </row>
    <row r="175" customFormat="false" ht="14.15" hidden="false" customHeight="true" outlineLevel="0" collapsed="false">
      <c r="A175" s="1090"/>
      <c r="B175" s="1091"/>
      <c r="C175" s="1092"/>
      <c r="D175" s="1092"/>
      <c r="E175" s="1092"/>
      <c r="F175" s="1092"/>
      <c r="G175" s="919"/>
      <c r="H175" s="1089"/>
      <c r="I175" s="1089"/>
      <c r="J175" s="1089"/>
      <c r="K175" s="1089"/>
      <c r="L175" s="1018"/>
      <c r="M175" s="1089"/>
      <c r="N175" s="1089"/>
      <c r="O175" s="1089"/>
      <c r="P175" s="1089"/>
      <c r="AE175" s="1037"/>
      <c r="AF175" s="1037"/>
    </row>
    <row r="176" customFormat="false" ht="14.15" hidden="false" customHeight="true" outlineLevel="0" collapsed="false">
      <c r="A176" s="1090"/>
      <c r="B176" s="1091"/>
      <c r="C176" s="1092"/>
      <c r="D176" s="1092"/>
      <c r="E176" s="1092"/>
      <c r="F176" s="1092"/>
      <c r="G176" s="919"/>
      <c r="H176" s="1089"/>
      <c r="I176" s="1089"/>
      <c r="J176" s="1089"/>
      <c r="K176" s="1089"/>
      <c r="L176" s="1018"/>
      <c r="M176" s="1089"/>
      <c r="N176" s="1089"/>
      <c r="O176" s="1089"/>
      <c r="P176" s="1089"/>
      <c r="AE176" s="1037"/>
      <c r="AF176" s="1037"/>
    </row>
    <row r="177" customFormat="false" ht="14.15" hidden="false" customHeight="true" outlineLevel="0" collapsed="false">
      <c r="A177" s="1090"/>
      <c r="B177" s="1091"/>
      <c r="C177" s="1092"/>
      <c r="D177" s="1092"/>
      <c r="E177" s="1092"/>
      <c r="F177" s="1092"/>
      <c r="G177" s="919"/>
      <c r="H177" s="1089"/>
      <c r="I177" s="1089"/>
      <c r="J177" s="1089"/>
      <c r="K177" s="1089"/>
      <c r="L177" s="1018"/>
      <c r="M177" s="1089"/>
      <c r="N177" s="1089"/>
      <c r="O177" s="1089"/>
      <c r="P177" s="1089"/>
      <c r="AE177" s="1037"/>
      <c r="AF177" s="1037"/>
    </row>
    <row r="178" customFormat="false" ht="14.15" hidden="false" customHeight="true" outlineLevel="0" collapsed="false">
      <c r="A178" s="1090"/>
      <c r="B178" s="1091"/>
      <c r="C178" s="1092"/>
      <c r="D178" s="1092"/>
      <c r="E178" s="1092"/>
      <c r="F178" s="1092"/>
      <c r="G178" s="919"/>
      <c r="H178" s="1089"/>
      <c r="I178" s="1089"/>
      <c r="J178" s="1089"/>
      <c r="K178" s="1089"/>
      <c r="L178" s="1018"/>
      <c r="M178" s="1089"/>
      <c r="N178" s="1089"/>
      <c r="O178" s="1089"/>
      <c r="P178" s="1089"/>
      <c r="AE178" s="1037"/>
      <c r="AF178" s="1037"/>
    </row>
    <row r="179" customFormat="false" ht="14.15" hidden="false" customHeight="true" outlineLevel="0" collapsed="false">
      <c r="A179" s="1068" t="s">
        <v>2681</v>
      </c>
      <c r="B179" s="1066"/>
      <c r="C179" s="1067"/>
      <c r="D179" s="1067"/>
      <c r="E179" s="1067"/>
      <c r="F179" s="1067"/>
      <c r="G179" s="919"/>
      <c r="H179" s="1069" t="n">
        <f aca="false">IF('Ввод данных'!A362=связи1!A122,пристройка!H66-пристройка!H51*пристройка!H118,0)</f>
        <v>0</v>
      </c>
      <c r="I179" s="1069" t="n">
        <f aca="false">IF('Ввод данных'!A366=связи1!A122,пристройка!I66-пристройка!I51*пристройка!I118,0)</f>
        <v>0</v>
      </c>
      <c r="J179" s="1069" t="n">
        <f aca="false">IF('Ввод данных'!A370=связи1!A122,пристройка!J66-пристройка!J51*пристройка!J118,0)</f>
        <v>0</v>
      </c>
      <c r="K179" s="1069" t="n">
        <f aca="false">IF('Ввод данных'!A374=связи1!A122,пристройка!K66-пристройка!K51*пристройка!K118,0)</f>
        <v>0</v>
      </c>
      <c r="L179" s="1018" t="n">
        <f aca="false">H179+I179+J179+K179</f>
        <v>0</v>
      </c>
      <c r="M179" s="1069" t="n">
        <f aca="false">IF('Ввод данных'!A362=связи1!A122,пристройка!M66-пристройка!M51*пристройка!M118,0)</f>
        <v>0</v>
      </c>
      <c r="N179" s="1069" t="n">
        <f aca="false">IF('Ввод данных'!A366=связи1!A122,пристройка!N66-пристройка!N51*пристройка!N118,0)</f>
        <v>0</v>
      </c>
      <c r="O179" s="1069" t="n">
        <f aca="false">IF('Ввод данных'!A370=связи1!A122,пристройка!O66-пристройка!O51*пристройка!O118,0)</f>
        <v>0</v>
      </c>
      <c r="P179" s="1069" t="n">
        <f aca="false">IF('Ввод данных'!A374=связи1!A122,пристройка!P66-пристройка!P51*пристройка!P118,0)</f>
        <v>0</v>
      </c>
      <c r="AE179" s="1037"/>
      <c r="AF179" s="1037"/>
    </row>
    <row r="180" customFormat="false" ht="14.15" hidden="false" customHeight="true" outlineLevel="0" collapsed="false">
      <c r="A180" s="1068" t="s">
        <v>2680</v>
      </c>
      <c r="B180" s="1066"/>
      <c r="C180" s="1067"/>
      <c r="D180" s="1067"/>
      <c r="E180" s="1067"/>
      <c r="F180" s="1067"/>
      <c r="G180" s="919"/>
      <c r="H180" s="1069" t="n">
        <f aca="false">IF('Ввод данных'!A362=связи1!A123,пристройка!H66,0)</f>
        <v>0</v>
      </c>
      <c r="I180" s="1069" t="n">
        <f aca="false">IF('Ввод данных'!A366=связи1!A123,пристройка!I66,0)</f>
        <v>0</v>
      </c>
      <c r="J180" s="1069" t="n">
        <f aca="false">IF('Ввод данных'!A370=связи1!A123,пристройка!J66,0)</f>
        <v>20.5569741666352</v>
      </c>
      <c r="K180" s="1069" t="n">
        <f aca="false">IF('Ввод данных'!A374=связи1!A123,пристройка!K66,0)</f>
        <v>0</v>
      </c>
      <c r="L180" s="1018" t="n">
        <f aca="false">H180+I180+J180+K180</f>
        <v>20.5569741666352</v>
      </c>
      <c r="M180" s="1069" t="n">
        <f aca="false">IF('Ввод данных'!A362=связи1!A123,пристройка!M66,0)</f>
        <v>0</v>
      </c>
      <c r="N180" s="1069" t="n">
        <f aca="false">IF('Ввод данных'!A366=связи1!A123,пристройка!N66,0)</f>
        <v>0</v>
      </c>
      <c r="O180" s="1069" t="n">
        <f aca="false">IF('Ввод данных'!A370=связи1!A123,пристройка!O66,0)</f>
        <v>23.0787367854164</v>
      </c>
      <c r="P180" s="1069" t="n">
        <f aca="false">IF('Ввод данных'!A374=связи1!A123,пристройка!P66,0)</f>
        <v>0</v>
      </c>
      <c r="AE180" s="1037"/>
      <c r="AF180" s="1037"/>
    </row>
    <row r="181" customFormat="false" ht="12.75" hidden="false" customHeight="true" outlineLevel="0" collapsed="false">
      <c r="A181" s="1093"/>
      <c r="B181" s="1094" t="s">
        <v>2703</v>
      </c>
      <c r="C181" s="1094"/>
      <c r="D181" s="1094"/>
      <c r="E181" s="1094"/>
      <c r="F181" s="1094"/>
      <c r="G181" s="1094"/>
      <c r="H181" s="1095" t="s">
        <v>2704</v>
      </c>
      <c r="I181" s="1095"/>
      <c r="J181" s="1095"/>
      <c r="K181" s="1095"/>
      <c r="L181" s="1095"/>
      <c r="M181" s="1095" t="s">
        <v>2704</v>
      </c>
      <c r="N181" s="1095"/>
      <c r="O181" s="1095"/>
      <c r="P181" s="1095"/>
      <c r="Q181" s="1095"/>
      <c r="AE181" s="1037" t="n">
        <f aca="false">C35</f>
        <v>2.9</v>
      </c>
      <c r="AF181" s="1037"/>
    </row>
    <row r="182" customFormat="false" ht="14.15" hidden="false" customHeight="true" outlineLevel="0" collapsed="false">
      <c r="A182" s="1093"/>
      <c r="B182" s="1094"/>
      <c r="C182" s="1094"/>
      <c r="D182" s="1094"/>
      <c r="E182" s="1094"/>
      <c r="F182" s="1094"/>
      <c r="G182" s="1094"/>
      <c r="H182" s="1095"/>
      <c r="I182" s="1095"/>
      <c r="J182" s="1095"/>
      <c r="K182" s="1095"/>
      <c r="L182" s="1095"/>
      <c r="M182" s="1095"/>
      <c r="N182" s="1095"/>
      <c r="O182" s="1095"/>
      <c r="P182" s="1095"/>
      <c r="Q182" s="1095"/>
      <c r="AE182" s="1037"/>
      <c r="AF182" s="1037"/>
    </row>
    <row r="183" customFormat="false" ht="14.15" hidden="false" customHeight="true" outlineLevel="0" collapsed="false">
      <c r="A183" s="1096" t="s">
        <v>1806</v>
      </c>
      <c r="B183" s="1096"/>
      <c r="C183" s="1096"/>
      <c r="D183" s="1096"/>
      <c r="E183" s="1096"/>
      <c r="F183" s="1096"/>
      <c r="G183" s="235" t="n">
        <f aca="false">'Ввод данных'!E357</f>
        <v>1</v>
      </c>
      <c r="H183" s="1097"/>
      <c r="I183" s="1097"/>
      <c r="J183" s="1097"/>
      <c r="K183" s="1097"/>
      <c r="L183" s="1098"/>
      <c r="M183" s="1097"/>
      <c r="N183" s="1097"/>
      <c r="O183" s="1097"/>
      <c r="P183" s="1097"/>
      <c r="Q183" s="1098"/>
      <c r="AE183" s="1037"/>
      <c r="AF183" s="1037"/>
    </row>
    <row r="184" customFormat="false" ht="14.15" hidden="false" customHeight="true" outlineLevel="0" collapsed="false">
      <c r="A184" s="1096"/>
      <c r="B184" s="1096"/>
      <c r="C184" s="1096"/>
      <c r="D184" s="1096"/>
      <c r="E184" s="1096"/>
      <c r="F184" s="183"/>
      <c r="G184" s="1098" t="n">
        <f aca="false">'Ввод данных'!E358</f>
        <v>1</v>
      </c>
      <c r="I184" s="1097"/>
      <c r="J184" s="1097"/>
      <c r="K184" s="1097"/>
      <c r="L184" s="1098"/>
      <c r="N184" s="1097"/>
      <c r="O184" s="1097"/>
      <c r="P184" s="1097"/>
      <c r="Q184" s="1098"/>
      <c r="AE184" s="1037" t="n">
        <f aca="false">C38</f>
        <v>0</v>
      </c>
      <c r="AF184" s="1037"/>
    </row>
    <row r="185" customFormat="false" ht="14.15" hidden="false" customHeight="true" outlineLevel="0" collapsed="false">
      <c r="A185" s="1099"/>
      <c r="B185" s="1100"/>
      <c r="C185" s="1101" t="s">
        <v>2640</v>
      </c>
      <c r="D185" s="1101" t="s">
        <v>2641</v>
      </c>
      <c r="E185" s="1102" t="s">
        <v>2569</v>
      </c>
      <c r="F185" s="1102" t="s">
        <v>2570</v>
      </c>
      <c r="G185" s="183"/>
      <c r="H185" s="910" t="str">
        <f aca="false">C185</f>
        <v>вар1</v>
      </c>
      <c r="I185" s="910" t="str">
        <f aca="false">D185</f>
        <v>вар2</v>
      </c>
      <c r="J185" s="910" t="str">
        <f aca="false">E185</f>
        <v>вар3</v>
      </c>
      <c r="K185" s="910" t="s">
        <v>2570</v>
      </c>
      <c r="L185" s="933" t="n">
        <f aca="false">G185</f>
        <v>0</v>
      </c>
      <c r="M185" s="910" t="str">
        <f aca="false">H185</f>
        <v>вар1</v>
      </c>
      <c r="N185" s="910" t="str">
        <f aca="false">I185</f>
        <v>вар2</v>
      </c>
      <c r="O185" s="910" t="str">
        <f aca="false">J185</f>
        <v>вар3</v>
      </c>
      <c r="P185" s="910" t="s">
        <v>2570</v>
      </c>
      <c r="Q185" s="933" t="n">
        <f aca="false">L185</f>
        <v>0</v>
      </c>
      <c r="AE185" s="1103" t="n">
        <f aca="false">C23+пристройка!AF52+пристройка!AF55</f>
        <v>4.6</v>
      </c>
      <c r="AF185" s="1037"/>
    </row>
    <row r="186" s="1109" customFormat="true" ht="14.15" hidden="false" customHeight="true" outlineLevel="0" collapsed="false">
      <c r="A186" s="1104" t="s">
        <v>2705</v>
      </c>
      <c r="B186" s="1105" t="s">
        <v>156</v>
      </c>
      <c r="C186" s="1106" t="n">
        <f aca="false">пристройка!C85*C32</f>
        <v>0</v>
      </c>
      <c r="D186" s="1107" t="n">
        <f aca="false">D85*D32</f>
        <v>0</v>
      </c>
      <c r="E186" s="1107" t="n">
        <f aca="false">E85*E32</f>
        <v>0</v>
      </c>
      <c r="F186" s="1106" t="n">
        <f aca="false">пристройка!F85*F32</f>
        <v>0</v>
      </c>
      <c r="G186" s="1108" t="n">
        <f aca="false">E186+D186+C186+F186</f>
        <v>0</v>
      </c>
      <c r="H186" s="1106" t="n">
        <f aca="false">пристройка!H85*H32</f>
        <v>0</v>
      </c>
      <c r="I186" s="1106" t="n">
        <f aca="false">пристройка!I85*I32</f>
        <v>0</v>
      </c>
      <c r="J186" s="1106" t="n">
        <f aca="false">пристройка!J85*J32</f>
        <v>0</v>
      </c>
      <c r="K186" s="1106" t="n">
        <f aca="false">пристройка!K85*K32</f>
        <v>0</v>
      </c>
      <c r="L186" s="267" t="n">
        <f aca="false">H186+I186+J186+K186</f>
        <v>0</v>
      </c>
      <c r="M186" s="1106" t="n">
        <f aca="false">пристройка!M85*M32</f>
        <v>0</v>
      </c>
      <c r="N186" s="1106" t="n">
        <f aca="false">пристройка!N85*N32</f>
        <v>0</v>
      </c>
      <c r="O186" s="1106" t="n">
        <f aca="false">пристройка!O85*O32</f>
        <v>0</v>
      </c>
      <c r="P186" s="1106" t="n">
        <f aca="false">пристройка!P85*P32</f>
        <v>0</v>
      </c>
      <c r="Q186" s="267" t="n">
        <f aca="false">M186+N186+O186+P186</f>
        <v>0</v>
      </c>
    </row>
    <row r="187" s="1109" customFormat="true" ht="14.15" hidden="false" customHeight="true" outlineLevel="0" collapsed="false">
      <c r="A187" s="1104"/>
      <c r="B187" s="1105" t="s">
        <v>135</v>
      </c>
      <c r="C187" s="1106" t="n">
        <f aca="false">C186*VLOOKUP(A210,связи1!F203:H213,3,0)*C32</f>
        <v>0</v>
      </c>
      <c r="D187" s="1106" t="n">
        <f aca="false">D186*VLOOKUP(A210,связи1!F203:H213,3,0)*D32</f>
        <v>0</v>
      </c>
      <c r="E187" s="1106" t="n">
        <f aca="false">E186*VLOOKUP(A210,связи1!F203:H213,3,0)*E32</f>
        <v>0</v>
      </c>
      <c r="F187" s="1106" t="n">
        <f aca="false">F186*VLOOKUP(A210,связи1!F203:H213,3,0)*F32</f>
        <v>0</v>
      </c>
      <c r="G187" s="1108" t="n">
        <f aca="false">C187+E187+D187+F187</f>
        <v>0</v>
      </c>
      <c r="H187" s="1110" t="n">
        <f aca="false">VLOOKUP(A210,связи1!F203:H213,3,0)*H186*H32</f>
        <v>0</v>
      </c>
      <c r="I187" s="1110" t="n">
        <f aca="false">VLOOKUP(A210,связи1!F203:H213,3,0)*I186*I32</f>
        <v>0</v>
      </c>
      <c r="J187" s="1110" t="n">
        <f aca="false">VLOOKUP(A210,связи1!F203:H213,3,0)*J186*J32</f>
        <v>0</v>
      </c>
      <c r="K187" s="1110" t="n">
        <f aca="false">VLOOKUP(A210,связи1!F203:H213,3,0)*K186*K32</f>
        <v>0</v>
      </c>
      <c r="L187" s="267" t="n">
        <f aca="false">H187+I187+J187+K187</f>
        <v>0</v>
      </c>
      <c r="M187" s="1110" t="n">
        <f aca="false">VLOOKUP(A210,связи1!F203:H213,3,0)*M186*M32</f>
        <v>0</v>
      </c>
      <c r="N187" s="1110" t="n">
        <f aca="false">VLOOKUP(A210,связи1!F203:H213,3,0)*N186*N32</f>
        <v>0</v>
      </c>
      <c r="O187" s="1110" t="n">
        <f aca="false">VLOOKUP(A210,связи1!F203:H213,3,0)*O186*O32</f>
        <v>0</v>
      </c>
      <c r="P187" s="1110" t="n">
        <f aca="false">VLOOKUP(A210,связи1!F203:H213,3,0)*P186*P32</f>
        <v>0</v>
      </c>
      <c r="Q187" s="267" t="n">
        <f aca="false">M187+N187+O187+P187</f>
        <v>0</v>
      </c>
      <c r="AE187" s="1111" t="e">
        <f aca="false">#REF!*#REF!</f>
        <v>#REF!</v>
      </c>
      <c r="AF187" s="1112" t="e">
        <f aca="false">C77*I2+AE187*I1</f>
        <v>#REF!</v>
      </c>
    </row>
    <row r="188" customFormat="false" ht="14.15" hidden="false" customHeight="true" outlineLevel="0" collapsed="false">
      <c r="A188" s="1113" t="s">
        <v>2706</v>
      </c>
      <c r="B188" s="1114" t="s">
        <v>159</v>
      </c>
      <c r="C188" s="1115"/>
      <c r="D188" s="1115"/>
      <c r="E188" s="1115"/>
      <c r="F188" s="1115"/>
      <c r="G188" s="1116"/>
      <c r="H188" s="1117"/>
      <c r="I188" s="1117"/>
      <c r="J188" s="1117"/>
      <c r="K188" s="1117"/>
      <c r="L188" s="998"/>
      <c r="M188" s="1117"/>
      <c r="N188" s="1117"/>
      <c r="O188" s="1117"/>
      <c r="P188" s="1117"/>
      <c r="Q188" s="998"/>
      <c r="AE188" s="887" t="e">
        <f aca="false">#REF!*C55+#REF!*C54+C52*C34</f>
        <v>#REF!</v>
      </c>
      <c r="AF188" s="1118" t="e">
        <f aca="false">C78*I2+AE188*I1</f>
        <v>#REF!</v>
      </c>
    </row>
    <row r="189" customFormat="false" ht="14.15" hidden="false" customHeight="true" outlineLevel="0" collapsed="false">
      <c r="A189" s="1113" t="s">
        <v>2133</v>
      </c>
      <c r="B189" s="1119" t="s">
        <v>159</v>
      </c>
      <c r="C189" s="1115" t="n">
        <f aca="false">IF('Ввод данных'!A360=связи1!A106,1,0)</f>
        <v>0</v>
      </c>
      <c r="D189" s="1115" t="n">
        <f aca="false">IF('Ввод данных'!A364=связи1!A106,1,0)</f>
        <v>0</v>
      </c>
      <c r="E189" s="1115" t="n">
        <f aca="false">IF('Ввод данных'!A368=связи1!A106,1,0)</f>
        <v>0</v>
      </c>
      <c r="F189" s="1115" t="n">
        <f aca="false">IF('Ввод данных'!A372=связи1!A106,1,0)</f>
        <v>0</v>
      </c>
      <c r="G189" s="1116"/>
      <c r="H189" s="1117"/>
      <c r="I189" s="1117"/>
      <c r="J189" s="1117"/>
      <c r="K189" s="1117"/>
      <c r="L189" s="998"/>
      <c r="M189" s="1117"/>
      <c r="N189" s="1117"/>
      <c r="O189" s="1117"/>
      <c r="P189" s="1117"/>
      <c r="Q189" s="998"/>
      <c r="AE189" s="887" t="e">
        <f aca="false">AE187*1.2</f>
        <v>#REF!</v>
      </c>
      <c r="AF189" s="1118" t="e">
        <f aca="false">C79*I2+AE189*I1</f>
        <v>#REF!</v>
      </c>
    </row>
    <row r="190" customFormat="false" ht="14.15" hidden="false" customHeight="true" outlineLevel="0" collapsed="false">
      <c r="A190" s="1113" t="s">
        <v>1988</v>
      </c>
      <c r="B190" s="1119" t="s">
        <v>159</v>
      </c>
      <c r="C190" s="1115"/>
      <c r="D190" s="1115"/>
      <c r="E190" s="1115"/>
      <c r="F190" s="1115"/>
      <c r="G190" s="1116"/>
      <c r="H190" s="1117" t="n">
        <f aca="false">IF('Ввод данных'!A360=связи1!A107,1,0)</f>
        <v>1</v>
      </c>
      <c r="I190" s="1117" t="n">
        <f aca="false">IF('Ввод данных'!A364=связи1!A107,1,0)</f>
        <v>1</v>
      </c>
      <c r="J190" s="1117" t="n">
        <f aca="false">IF('Ввод данных'!A368=связи1!A107,1,0)</f>
        <v>1</v>
      </c>
      <c r="K190" s="1117" t="n">
        <f aca="false">IF('Ввод данных'!A372=связи1!A107,1,0)</f>
        <v>1</v>
      </c>
      <c r="L190" s="998"/>
      <c r="M190" s="1117"/>
      <c r="N190" s="1117"/>
      <c r="O190" s="1117"/>
      <c r="P190" s="1117"/>
      <c r="Q190" s="998"/>
      <c r="AF190" s="1120" t="n">
        <f aca="false">пристройка!I1</f>
        <v>0</v>
      </c>
    </row>
    <row r="191" customFormat="false" ht="14.15" hidden="false" customHeight="true" outlineLevel="0" collapsed="false">
      <c r="A191" s="1113" t="s">
        <v>2707</v>
      </c>
      <c r="B191" s="1119" t="s">
        <v>159</v>
      </c>
      <c r="C191" s="1115"/>
      <c r="D191" s="1115"/>
      <c r="E191" s="1115"/>
      <c r="F191" s="1115"/>
      <c r="G191" s="1116"/>
      <c r="H191" s="1117"/>
      <c r="I191" s="1117"/>
      <c r="J191" s="1117"/>
      <c r="K191" s="1117"/>
      <c r="L191" s="998"/>
      <c r="M191" s="1117" t="n">
        <f aca="false">IF('Ввод данных'!A360=связи1!A108,1,0)</f>
        <v>0</v>
      </c>
      <c r="N191" s="1117" t="n">
        <f aca="false">IF('Ввод данных'!A364=связи1!A108,1,0)</f>
        <v>0</v>
      </c>
      <c r="O191" s="1117" t="n">
        <f aca="false">IF('Ввод данных'!A368=связи1!A108,1,0)</f>
        <v>0</v>
      </c>
      <c r="P191" s="1117" t="n">
        <f aca="false">IF('Ввод данных'!A372=связи1!A108,1,0)</f>
        <v>0</v>
      </c>
      <c r="Q191" s="998"/>
      <c r="AF191" s="1120" t="n">
        <f aca="false">пристройка!I2</f>
        <v>1</v>
      </c>
    </row>
    <row r="192" customFormat="false" ht="14.15" hidden="false" customHeight="true" outlineLevel="0" collapsed="false">
      <c r="A192" s="960" t="s">
        <v>2708</v>
      </c>
      <c r="B192" s="1121" t="s">
        <v>1820</v>
      </c>
      <c r="C192" s="1122" t="n">
        <f aca="false">IF('Ввод данных'!A362=связи1!A120,1,0)</f>
        <v>0</v>
      </c>
      <c r="D192" s="1122" t="n">
        <f aca="false">IF('Ввод данных'!A366=связи1!A120,1,0)</f>
        <v>1</v>
      </c>
      <c r="E192" s="1122" t="n">
        <f aca="false">IF('Ввод данных'!A370=связи1!A120,1,0)</f>
        <v>0</v>
      </c>
      <c r="F192" s="1122" t="n">
        <f aca="false">IF('Ввод данных'!A374=связи1!A120,1,0)</f>
        <v>0</v>
      </c>
      <c r="G192" s="1116"/>
      <c r="H192" s="1123" t="n">
        <f aca="false">C192</f>
        <v>0</v>
      </c>
      <c r="I192" s="1123" t="n">
        <f aca="false">D192</f>
        <v>1</v>
      </c>
      <c r="J192" s="1123" t="n">
        <f aca="false">E192</f>
        <v>0</v>
      </c>
      <c r="K192" s="1123" t="n">
        <f aca="false">F192</f>
        <v>0</v>
      </c>
      <c r="L192" s="998"/>
      <c r="M192" s="1123" t="n">
        <f aca="false">H192</f>
        <v>0</v>
      </c>
      <c r="N192" s="1123" t="n">
        <f aca="false">I192</f>
        <v>1</v>
      </c>
      <c r="O192" s="1123" t="n">
        <f aca="false">J192</f>
        <v>0</v>
      </c>
      <c r="P192" s="1123" t="n">
        <f aca="false">K192</f>
        <v>0</v>
      </c>
      <c r="Q192" s="998"/>
    </row>
    <row r="193" customFormat="false" ht="14.15" hidden="false" customHeight="true" outlineLevel="0" collapsed="false">
      <c r="A193" s="960" t="s">
        <v>2709</v>
      </c>
      <c r="B193" s="1121" t="s">
        <v>156</v>
      </c>
      <c r="C193" s="1122" t="n">
        <f aca="false">IF('Ввод данных'!A362=связи1!A121,1,0)</f>
        <v>0</v>
      </c>
      <c r="D193" s="1122" t="n">
        <f aca="false">IF('Ввод данных'!A366=связи1!A121,1,0)</f>
        <v>0</v>
      </c>
      <c r="E193" s="1122" t="n">
        <f aca="false">IF('Ввод данных'!A370=связи1!A121,1,0)</f>
        <v>0</v>
      </c>
      <c r="F193" s="1122" t="n">
        <f aca="false">IF('Ввод данных'!A374=связи1!A121,1,0)</f>
        <v>1</v>
      </c>
      <c r="G193" s="1116"/>
      <c r="H193" s="1123" t="n">
        <f aca="false">C193</f>
        <v>0</v>
      </c>
      <c r="I193" s="1123" t="n">
        <f aca="false">D193</f>
        <v>0</v>
      </c>
      <c r="J193" s="1123" t="n">
        <f aca="false">E193</f>
        <v>0</v>
      </c>
      <c r="K193" s="1123" t="n">
        <f aca="false">F193</f>
        <v>1</v>
      </c>
      <c r="L193" s="998"/>
      <c r="M193" s="1123" t="n">
        <f aca="false">H193</f>
        <v>0</v>
      </c>
      <c r="N193" s="1123" t="n">
        <f aca="false">I193</f>
        <v>0</v>
      </c>
      <c r="O193" s="1123" t="n">
        <f aca="false">J193</f>
        <v>0</v>
      </c>
      <c r="P193" s="1123" t="n">
        <f aca="false">K193</f>
        <v>1</v>
      </c>
      <c r="Q193" s="998"/>
    </row>
    <row r="194" customFormat="false" ht="14.15" hidden="false" customHeight="true" outlineLevel="0" collapsed="false">
      <c r="A194" s="960" t="s">
        <v>2710</v>
      </c>
      <c r="B194" s="1121" t="s">
        <v>1820</v>
      </c>
      <c r="C194" s="1122" t="n">
        <f aca="false">IF('Ввод данных'!A362=связи1!A122,1,0)</f>
        <v>0</v>
      </c>
      <c r="D194" s="1122" t="n">
        <f aca="false">IF('Ввод данных'!A366=связи1!A122,1,0)</f>
        <v>0</v>
      </c>
      <c r="E194" s="1122" t="n">
        <f aca="false">IF('Ввод данных'!A370=связи1!A122,1,0)</f>
        <v>0</v>
      </c>
      <c r="F194" s="1122" t="n">
        <f aca="false">IF('Ввод данных'!A374=связи1!A122,1,0)</f>
        <v>0</v>
      </c>
      <c r="G194" s="1116"/>
      <c r="H194" s="1123" t="n">
        <f aca="false">C194</f>
        <v>0</v>
      </c>
      <c r="I194" s="1123" t="n">
        <f aca="false">D194</f>
        <v>0</v>
      </c>
      <c r="J194" s="1123" t="n">
        <f aca="false">E194</f>
        <v>0</v>
      </c>
      <c r="K194" s="1123" t="n">
        <f aca="false">F194</f>
        <v>0</v>
      </c>
      <c r="L194" s="998"/>
      <c r="M194" s="1123" t="n">
        <f aca="false">H194</f>
        <v>0</v>
      </c>
      <c r="N194" s="1123" t="n">
        <f aca="false">I194</f>
        <v>0</v>
      </c>
      <c r="O194" s="1123" t="n">
        <f aca="false">J194</f>
        <v>0</v>
      </c>
      <c r="P194" s="1123" t="n">
        <f aca="false">K194</f>
        <v>0</v>
      </c>
      <c r="Q194" s="998"/>
    </row>
    <row r="195" customFormat="false" ht="14.15" hidden="false" customHeight="true" outlineLevel="0" collapsed="false">
      <c r="A195" s="960" t="s">
        <v>2711</v>
      </c>
      <c r="B195" s="1121"/>
      <c r="C195" s="1122" t="n">
        <f aca="false">IF('Ввод данных'!A362=связи1!A123,1,0)</f>
        <v>0</v>
      </c>
      <c r="D195" s="1122" t="n">
        <f aca="false">IF('Ввод данных'!A366=связи1!A123,1,0)</f>
        <v>0</v>
      </c>
      <c r="E195" s="1122" t="n">
        <f aca="false">IF('Ввод данных'!A370=связи1!A123,1,0)</f>
        <v>1</v>
      </c>
      <c r="F195" s="1122" t="n">
        <f aca="false">IF('Ввод данных'!A374=связи1!A123,1,0)</f>
        <v>0</v>
      </c>
      <c r="G195" s="1116"/>
      <c r="H195" s="1123" t="n">
        <f aca="false">C195</f>
        <v>0</v>
      </c>
      <c r="I195" s="1123" t="n">
        <f aca="false">D195</f>
        <v>0</v>
      </c>
      <c r="J195" s="1123" t="n">
        <f aca="false">E195</f>
        <v>1</v>
      </c>
      <c r="K195" s="1123" t="n">
        <f aca="false">F195</f>
        <v>0</v>
      </c>
      <c r="L195" s="998"/>
      <c r="M195" s="1123" t="n">
        <f aca="false">H195</f>
        <v>0</v>
      </c>
      <c r="N195" s="1123" t="n">
        <f aca="false">I195</f>
        <v>0</v>
      </c>
      <c r="O195" s="1123" t="n">
        <f aca="false">J195</f>
        <v>1</v>
      </c>
      <c r="P195" s="1123" t="n">
        <f aca="false">K195</f>
        <v>0</v>
      </c>
      <c r="Q195" s="998"/>
    </row>
    <row r="196" customFormat="false" ht="14.15" hidden="false" customHeight="true" outlineLevel="0" collapsed="false">
      <c r="A196" s="232" t="s">
        <v>2623</v>
      </c>
      <c r="B196" s="88" t="s">
        <v>133</v>
      </c>
      <c r="C196" s="1124" t="n">
        <f aca="false">(C142+C143+C144+C145+C146+C147)*C32</f>
        <v>0</v>
      </c>
      <c r="D196" s="1124" t="n">
        <f aca="false">(D142+D143+D144+D145+D146+D147)*D32</f>
        <v>0</v>
      </c>
      <c r="E196" s="1124" t="n">
        <f aca="false">(E142+E143+E144+E145+E146+E147)*E32</f>
        <v>0</v>
      </c>
      <c r="F196" s="1124" t="n">
        <f aca="false">(F142+F143+F144+F145+F146+F147)*F32</f>
        <v>0</v>
      </c>
      <c r="G196" s="88" t="n">
        <f aca="false">C196+D196+E196+F196</f>
        <v>0</v>
      </c>
      <c r="H196" s="1124" t="n">
        <f aca="false">H77*H32</f>
        <v>0</v>
      </c>
      <c r="I196" s="1124" t="n">
        <f aca="false">I77*I32</f>
        <v>0</v>
      </c>
      <c r="J196" s="1124" t="n">
        <f aca="false">J77*J32</f>
        <v>0</v>
      </c>
      <c r="K196" s="1124" t="n">
        <f aca="false">K77*K32</f>
        <v>0</v>
      </c>
      <c r="L196" s="1125" t="n">
        <f aca="false">H196+I196+J196+K196</f>
        <v>0</v>
      </c>
      <c r="M196" s="1124" t="n">
        <f aca="false">M77*M32</f>
        <v>0</v>
      </c>
      <c r="N196" s="1124" t="n">
        <f aca="false">N77*N32</f>
        <v>0</v>
      </c>
      <c r="O196" s="1124" t="n">
        <f aca="false">O77*O32</f>
        <v>0</v>
      </c>
      <c r="P196" s="1124" t="n">
        <f aca="false">P77*P32</f>
        <v>0</v>
      </c>
      <c r="Q196" s="1125" t="n">
        <f aca="false">M196+N196+O196+P196</f>
        <v>0</v>
      </c>
      <c r="R196" s="919" t="n">
        <f aca="false">G196+L196+Q196</f>
        <v>0</v>
      </c>
    </row>
    <row r="197" customFormat="false" ht="14.15" hidden="false" customHeight="true" outlineLevel="0" collapsed="false">
      <c r="A197" s="232" t="s">
        <v>2712</v>
      </c>
      <c r="B197" s="88"/>
      <c r="C197" s="1124"/>
      <c r="D197" s="1124"/>
      <c r="E197" s="1124"/>
      <c r="F197" s="1124"/>
      <c r="G197" s="88"/>
      <c r="H197" s="1124" t="n">
        <f aca="false">H167</f>
        <v>0</v>
      </c>
      <c r="I197" s="1124" t="n">
        <f aca="false">I167</f>
        <v>0</v>
      </c>
      <c r="J197" s="1124" t="n">
        <f aca="false">J167</f>
        <v>0</v>
      </c>
      <c r="K197" s="1124" t="n">
        <f aca="false">K167</f>
        <v>0</v>
      </c>
      <c r="L197" s="1124" t="n">
        <f aca="false">L167</f>
        <v>0</v>
      </c>
      <c r="M197" s="1124" t="n">
        <f aca="false">M167</f>
        <v>0</v>
      </c>
      <c r="N197" s="1124" t="n">
        <f aca="false">N167</f>
        <v>0</v>
      </c>
      <c r="O197" s="1124" t="n">
        <f aca="false">O167</f>
        <v>0</v>
      </c>
      <c r="P197" s="1124" t="n">
        <f aca="false">P167</f>
        <v>0</v>
      </c>
      <c r="Q197" s="1124" t="n">
        <f aca="false">Q167</f>
        <v>0</v>
      </c>
      <c r="R197" s="919" t="n">
        <f aca="false">G197+L197+Q197</f>
        <v>0</v>
      </c>
    </row>
    <row r="198" customFormat="false" ht="14.15" hidden="false" customHeight="true" outlineLevel="0" collapsed="false">
      <c r="A198" s="1126" t="s">
        <v>2713</v>
      </c>
      <c r="B198" s="1127"/>
      <c r="C198" s="1128"/>
      <c r="D198" s="1128"/>
      <c r="E198" s="1128"/>
      <c r="F198" s="1128"/>
      <c r="G198" s="1127"/>
      <c r="H198" s="1128" t="n">
        <f aca="false">H165</f>
        <v>0</v>
      </c>
      <c r="I198" s="1128" t="n">
        <f aca="false">I165</f>
        <v>0</v>
      </c>
      <c r="J198" s="1128" t="n">
        <f aca="false">J165</f>
        <v>0</v>
      </c>
      <c r="K198" s="1128" t="n">
        <f aca="false">K165</f>
        <v>0</v>
      </c>
      <c r="L198" s="1128" t="n">
        <f aca="false">L165</f>
        <v>0</v>
      </c>
      <c r="M198" s="1128" t="n">
        <f aca="false">M165</f>
        <v>0</v>
      </c>
      <c r="N198" s="1128" t="n">
        <f aca="false">N165</f>
        <v>0</v>
      </c>
      <c r="O198" s="1128" t="n">
        <f aca="false">O165</f>
        <v>0</v>
      </c>
      <c r="P198" s="1128" t="n">
        <f aca="false">P165</f>
        <v>0</v>
      </c>
      <c r="Q198" s="1128" t="n">
        <f aca="false">Q165</f>
        <v>0</v>
      </c>
      <c r="R198" s="919" t="n">
        <f aca="false">G198+L198+Q198</f>
        <v>0</v>
      </c>
    </row>
    <row r="199" customFormat="false" ht="14.15" hidden="false" customHeight="true" outlineLevel="0" collapsed="false">
      <c r="A199" s="232" t="s">
        <v>2714</v>
      </c>
      <c r="B199" s="88" t="s">
        <v>135</v>
      </c>
      <c r="C199" s="232" t="n">
        <f aca="false">((C76/C81+1)*C68+C68)*VLOOKUP(A212,связи1!A407:E416,5,0)*C32</f>
        <v>0</v>
      </c>
      <c r="D199" s="232" t="n">
        <f aca="false">((D76/D81+1)*D68+D68)*VLOOKUP(A212,связи1!A407:E416,5,0)*D32</f>
        <v>0</v>
      </c>
      <c r="E199" s="232" t="n">
        <f aca="false">((E76/E81+1)*E68+E68)*VLOOKUP(A212,связи1!A407:E416,5,0)*E32</f>
        <v>0</v>
      </c>
      <c r="F199" s="232" t="n">
        <f aca="false">((F76/F81+1)*F68+F68)*VLOOKUP(A212,связи1!A407:E416,5,0)*F32</f>
        <v>0</v>
      </c>
      <c r="G199" s="88" t="n">
        <f aca="false">C199+D199+E199+F199</f>
        <v>0</v>
      </c>
      <c r="H199" s="232" t="n">
        <f aca="false">((H76/H81+1)*H71+(H76/H81+1)*H72)*VLOOKUP(A212,связи1!A407:E416,5,0)*H32</f>
        <v>0</v>
      </c>
      <c r="I199" s="232" t="n">
        <f aca="false">((I76/I81+1)*I71+(I76/I81+1)*I72)*VLOOKUP(A212,связи1!A407:E416,5,0)*I32</f>
        <v>0</v>
      </c>
      <c r="J199" s="232" t="n">
        <f aca="false">((J76/J81+1)*J71+(J76/J81+1)*J72)*VLOOKUP(A212,связи1!A407:E416,5,0)*J32</f>
        <v>0</v>
      </c>
      <c r="K199" s="232" t="n">
        <f aca="false">((K76/K81+1)*K71+(K76/K81+1)*K72)*VLOOKUP(A212,связи1!A407:E416,5,0)*K32</f>
        <v>0</v>
      </c>
      <c r="L199" s="1125" t="n">
        <f aca="false">H199+I199+J199+K199</f>
        <v>0</v>
      </c>
      <c r="M199" s="232" t="n">
        <f aca="false">((M76/M81+1)*M73+(M76/M81+1)*M75+M59+M60+M76*3+M34+M52+M53+(M76/1.5*M41))*VLOOKUP(A212,связи1!A407:E416,5,0)*M32</f>
        <v>0</v>
      </c>
      <c r="N199" s="232" t="n">
        <f aca="false">((N76/N81+1)*N73+(N76/N81+1)*N75+N59+N60+N76*3+N34+N52+N53+(N76/1.5*N41))*VLOOKUP(A212,связи1!A407:E416,5,0)*N32</f>
        <v>0</v>
      </c>
      <c r="O199" s="232" t="n">
        <f aca="false">((O76/O81+1)*O73+(O76/O81+1)*O75+O59+O60+O76*3+O34+O52+O53+(O76/1.5*O41))*VLOOKUP(A212,связи1!A407:E416,5,0)*O32</f>
        <v>0</v>
      </c>
      <c r="P199" s="232" t="n">
        <f aca="false">((P76/P81+1)*P73+(P76/P81+1)*P75+P59+P60+P76*3+P34+P52+P53+(P76/1.5*P41))*VLOOKUP(A212,связи1!A407:E416,5,0)*P32</f>
        <v>0</v>
      </c>
      <c r="Q199" s="1125" t="n">
        <f aca="false">M199+N199+O199+P199</f>
        <v>0</v>
      </c>
      <c r="R199" s="919" t="n">
        <f aca="false">G199+L199+Q199</f>
        <v>0</v>
      </c>
    </row>
    <row r="200" customFormat="false" ht="14.15" hidden="false" customHeight="true" outlineLevel="0" collapsed="false">
      <c r="A200" s="232" t="s">
        <v>2715</v>
      </c>
      <c r="B200" s="88" t="s">
        <v>156</v>
      </c>
      <c r="C200" s="232" t="n">
        <f aca="false">C76*VLOOKUP(A212,связи1!A407:E416,5,0)*C32</f>
        <v>0</v>
      </c>
      <c r="D200" s="232" t="n">
        <f aca="false">D76*VLOOKUP(A212,связи1!A407:E416,5,0)*D32</f>
        <v>0</v>
      </c>
      <c r="E200" s="232" t="n">
        <f aca="false">E76*VLOOKUP(A212,связи1!A407:E416,5,0)*E32</f>
        <v>0</v>
      </c>
      <c r="F200" s="232" t="n">
        <f aca="false">F76*VLOOKUP(A212,связи1!A407:E416,5,0)*F32</f>
        <v>0</v>
      </c>
      <c r="G200" s="88" t="n">
        <f aca="false">C200+D200+E200+F200</f>
        <v>0</v>
      </c>
      <c r="H200" s="232" t="n">
        <f aca="false">((H76/H81+1)*H56+(H72-H53)*(H76/H81))*VLOOKUP(A212,связи1!A407:E416,5,0)*H32</f>
        <v>0</v>
      </c>
      <c r="I200" s="232" t="n">
        <f aca="false">((I76/I81+1)*I56+(I72-I53)*(I76/I81))*VLOOKUP(A212,связи1!A407:E416,5,0)*I32</f>
        <v>0</v>
      </c>
      <c r="J200" s="232" t="n">
        <f aca="false">((J76/J81+1)*J56+(J72-J53)*(J76/J81))*VLOOKUP(A212,связи1!A407:E416,5,0)*J32</f>
        <v>0</v>
      </c>
      <c r="K200" s="232" t="n">
        <f aca="false">((K76/K81+1)*K56+(K72-K53)*(K76/K81))*VLOOKUP(A212,связи1!A407:E416,5,0)*K32</f>
        <v>0</v>
      </c>
      <c r="L200" s="1125" t="n">
        <f aca="false">H200+I200+J200+K200</f>
        <v>0</v>
      </c>
      <c r="M200" s="232" t="n">
        <f aca="false">((M76/M81+1)*M56+(M75-M53)*(M76/M81))*VLOOKUP(A212,связи1!A407:E416,5,0)*M32</f>
        <v>0</v>
      </c>
      <c r="N200" s="232" t="n">
        <f aca="false">((N76/N81+1)*N56+(N75-N53)*(N76/N81))*VLOOKUP(A212,связи1!A407:E416,5,0)*N32</f>
        <v>0</v>
      </c>
      <c r="O200" s="232" t="n">
        <f aca="false">((O76/O81+1)*O56+(O75-O53)*(O76/O81))*VLOOKUP(A212,связи1!A407:E416,5,0)*O32</f>
        <v>0</v>
      </c>
      <c r="P200" s="232" t="n">
        <f aca="false">((P76/P81+1)*P56+(P75-P53)*(P76/P81))*VLOOKUP(A212,связи1!A407:E416,5,0)*P32</f>
        <v>0</v>
      </c>
      <c r="Q200" s="1125" t="n">
        <f aca="false">M200+N200+O200+P200</f>
        <v>0</v>
      </c>
      <c r="R200" s="919" t="n">
        <f aca="false">G200+L200+Q200</f>
        <v>0</v>
      </c>
    </row>
    <row r="201" customFormat="false" ht="14.15" hidden="false" customHeight="true" outlineLevel="0" collapsed="false">
      <c r="A201" s="232" t="s">
        <v>1546</v>
      </c>
      <c r="B201" s="88"/>
      <c r="C201" s="232"/>
      <c r="D201" s="232"/>
      <c r="E201" s="232"/>
      <c r="F201" s="232"/>
      <c r="G201" s="88" t="n">
        <v>0</v>
      </c>
      <c r="H201" s="232" t="n">
        <f aca="false">H76</f>
        <v>0</v>
      </c>
      <c r="I201" s="232" t="n">
        <f aca="false">I76</f>
        <v>0</v>
      </c>
      <c r="J201" s="232" t="n">
        <f aca="false">J76</f>
        <v>0</v>
      </c>
      <c r="K201" s="232" t="n">
        <f aca="false">K76</f>
        <v>0</v>
      </c>
      <c r="L201" s="1125" t="n">
        <f aca="false">H201+I201+J201+K201</f>
        <v>0</v>
      </c>
      <c r="M201" s="232" t="n">
        <f aca="false">(M76+M166+M59+M60)*M32</f>
        <v>0</v>
      </c>
      <c r="N201" s="232" t="n">
        <f aca="false">(N76+N166+N59+N60)*N32</f>
        <v>0</v>
      </c>
      <c r="O201" s="232" t="n">
        <f aca="false">(O76+O166+O59+O60)*O32</f>
        <v>0</v>
      </c>
      <c r="P201" s="232" t="n">
        <f aca="false">(P76+P166+P59+P60)*P32</f>
        <v>0</v>
      </c>
      <c r="Q201" s="1125" t="n">
        <f aca="false">M201+N201+O201+P201</f>
        <v>0</v>
      </c>
      <c r="R201" s="919" t="n">
        <f aca="false">G201+L201+Q201</f>
        <v>0</v>
      </c>
    </row>
    <row r="202" customFormat="false" ht="14.15" hidden="false" customHeight="true" outlineLevel="0" collapsed="false">
      <c r="A202" s="232" t="s">
        <v>2716</v>
      </c>
      <c r="B202" s="88" t="s">
        <v>156</v>
      </c>
      <c r="C202" s="232" t="n">
        <f aca="false">C76*1.1*2*C32</f>
        <v>0</v>
      </c>
      <c r="D202" s="232" t="n">
        <f aca="false">D76*1.1*2*D32</f>
        <v>0</v>
      </c>
      <c r="E202" s="232" t="n">
        <f aca="false">E76*1.1*2*E32</f>
        <v>0</v>
      </c>
      <c r="F202" s="232" t="n">
        <f aca="false">F76*1.1*2*F32</f>
        <v>0</v>
      </c>
      <c r="G202" s="88" t="n">
        <f aca="false">C202+D202+E202+F202</f>
        <v>0</v>
      </c>
      <c r="H202" s="232" t="n">
        <f aca="false">H76*1.1*4*H32</f>
        <v>0</v>
      </c>
      <c r="I202" s="232" t="n">
        <f aca="false">I76*1.1*4*I32</f>
        <v>0</v>
      </c>
      <c r="J202" s="232" t="n">
        <f aca="false">J76*1.1*4*J32</f>
        <v>0</v>
      </c>
      <c r="K202" s="232" t="n">
        <f aca="false">K76*1.1*4*K32</f>
        <v>0</v>
      </c>
      <c r="L202" s="1125" t="n">
        <f aca="false">H202+I202+J202+K202</f>
        <v>0</v>
      </c>
      <c r="M202" s="232" t="n">
        <f aca="false">M76*1.1*4*M32</f>
        <v>0</v>
      </c>
      <c r="N202" s="232" t="n">
        <f aca="false">N76*1.1*4*N32</f>
        <v>0</v>
      </c>
      <c r="O202" s="232" t="n">
        <f aca="false">O76*1.1*4*O32</f>
        <v>0</v>
      </c>
      <c r="P202" s="232" t="n">
        <f aca="false">P76*1.1*4*P32</f>
        <v>0</v>
      </c>
      <c r="Q202" s="1125" t="n">
        <f aca="false">M202+N202+O202+P202</f>
        <v>0</v>
      </c>
      <c r="R202" s="919" t="n">
        <f aca="false">G202+L202+Q202</f>
        <v>0</v>
      </c>
    </row>
    <row r="203" customFormat="false" ht="14.15" hidden="false" customHeight="true" outlineLevel="0" collapsed="false">
      <c r="A203" s="260" t="s">
        <v>1082</v>
      </c>
      <c r="B203" s="1129" t="s">
        <v>156</v>
      </c>
      <c r="C203" s="232" t="n">
        <f aca="false">(C35+C40)*C32</f>
        <v>0</v>
      </c>
      <c r="D203" s="232" t="n">
        <f aca="false">(D35+D40)*D32</f>
        <v>0</v>
      </c>
      <c r="E203" s="232" t="n">
        <f aca="false">(E35+E40)*E32</f>
        <v>0</v>
      </c>
      <c r="F203" s="232" t="n">
        <f aca="false">(F35+F40)*F32</f>
        <v>0</v>
      </c>
      <c r="G203" s="88" t="n">
        <f aca="false">C203+D203+E203+F203</f>
        <v>0</v>
      </c>
      <c r="H203" s="232" t="n">
        <f aca="false">(H35+H40)*H32</f>
        <v>0</v>
      </c>
      <c r="I203" s="232" t="n">
        <f aca="false">(I35+I40)*I32</f>
        <v>0</v>
      </c>
      <c r="J203" s="232" t="n">
        <f aca="false">(J35+J40)*J32</f>
        <v>0</v>
      </c>
      <c r="K203" s="232" t="n">
        <f aca="false">(K35+K40)*K32</f>
        <v>0</v>
      </c>
      <c r="L203" s="1125" t="n">
        <f aca="false">H203+I203+J203+K203</f>
        <v>0</v>
      </c>
      <c r="M203" s="232" t="n">
        <f aca="false">(M35+M40)*M32*1.1</f>
        <v>0</v>
      </c>
      <c r="N203" s="232" t="n">
        <f aca="false">(N35+N40)*N32*1.1</f>
        <v>0</v>
      </c>
      <c r="O203" s="232" t="n">
        <f aca="false">(O35+O40)*O32*1.1</f>
        <v>0</v>
      </c>
      <c r="P203" s="232" t="n">
        <f aca="false">(P35+P40)*P32*1.1</f>
        <v>0</v>
      </c>
      <c r="Q203" s="1125" t="n">
        <f aca="false">M203+N203+O203+P203</f>
        <v>0</v>
      </c>
      <c r="R203" s="919" t="n">
        <f aca="false">G203+L203+Q203</f>
        <v>0</v>
      </c>
    </row>
    <row r="204" customFormat="false" ht="14.15" hidden="false" customHeight="true" outlineLevel="0" collapsed="false">
      <c r="A204" s="260" t="s">
        <v>1544</v>
      </c>
      <c r="B204" s="1129" t="s">
        <v>156</v>
      </c>
      <c r="C204" s="232" t="n">
        <f aca="false">C32*(C34)</f>
        <v>0</v>
      </c>
      <c r="D204" s="232" t="n">
        <f aca="false">D32*(D34)</f>
        <v>0</v>
      </c>
      <c r="E204" s="232" t="n">
        <f aca="false">E32*(E34)</f>
        <v>0</v>
      </c>
      <c r="F204" s="232" t="n">
        <f aca="false">F32*(F34)</f>
        <v>0</v>
      </c>
      <c r="G204" s="88" t="n">
        <f aca="false">C204+D204+E204+F204</f>
        <v>0</v>
      </c>
      <c r="H204" s="232" t="n">
        <f aca="false">H32*(H33*2)</f>
        <v>0</v>
      </c>
      <c r="I204" s="232" t="n">
        <f aca="false">I32*(I33*2)</f>
        <v>0</v>
      </c>
      <c r="J204" s="232" t="n">
        <f aca="false">J32*(J33*2)</f>
        <v>0</v>
      </c>
      <c r="K204" s="232" t="n">
        <f aca="false">K32*(K33*2)</f>
        <v>0</v>
      </c>
      <c r="L204" s="1125" t="n">
        <f aca="false">H204+I204+J204+K204</f>
        <v>0</v>
      </c>
      <c r="M204" s="232" t="n">
        <f aca="false">M32*(M33+M33+M34)</f>
        <v>0</v>
      </c>
      <c r="N204" s="232" t="n">
        <f aca="false">N32*(N33+N33+N34)</f>
        <v>0</v>
      </c>
      <c r="O204" s="232" t="n">
        <f aca="false">O32*(O33+O33+O34)</f>
        <v>0</v>
      </c>
      <c r="P204" s="232" t="n">
        <f aca="false">P32*(P33+P33+P34)</f>
        <v>0</v>
      </c>
      <c r="Q204" s="1125" t="n">
        <f aca="false">M204+N204+O204+P204</f>
        <v>0</v>
      </c>
      <c r="R204" s="919" t="n">
        <f aca="false">G204+L204+Q204</f>
        <v>0</v>
      </c>
    </row>
    <row r="205" customFormat="false" ht="14.15" hidden="false" customHeight="true" outlineLevel="0" collapsed="false">
      <c r="A205" s="260" t="s">
        <v>2717</v>
      </c>
      <c r="B205" s="1129" t="s">
        <v>156</v>
      </c>
      <c r="C205" s="1130" t="n">
        <f aca="false">C76*1.1*C32</f>
        <v>0</v>
      </c>
      <c r="D205" s="1130" t="n">
        <f aca="false">D76*1.1*D32</f>
        <v>0</v>
      </c>
      <c r="E205" s="1130" t="n">
        <f aca="false">E76*1.1*E32</f>
        <v>0</v>
      </c>
      <c r="F205" s="1130" t="n">
        <f aca="false">F76*1.1*F32</f>
        <v>0</v>
      </c>
      <c r="G205" s="88" t="n">
        <f aca="false">C205+D205+E205+F205</f>
        <v>0</v>
      </c>
      <c r="H205" s="1130" t="n">
        <f aca="false">IF(H164&gt;0,H164*2,(H71+H72)*1.1*H32)</f>
        <v>0</v>
      </c>
      <c r="I205" s="1130" t="n">
        <f aca="false">IF(I164&gt;0,I164*2,(I71+I72)*1.1*I32)</f>
        <v>0</v>
      </c>
      <c r="J205" s="1130" t="n">
        <f aca="false">IF(J164&gt;0,J164*2,(J71+J72)*1.1*J32)</f>
        <v>0</v>
      </c>
      <c r="K205" s="1130" t="n">
        <f aca="false">IF(K164&gt;0,K164*2,(K71+K72)*1.1*K32)</f>
        <v>0</v>
      </c>
      <c r="L205" s="1125" t="n">
        <f aca="false">H205+I205+J205+K205</f>
        <v>0</v>
      </c>
      <c r="M205" s="1130" t="n">
        <f aca="false">IF(M164&gt;0,M164*2,(M71+M72)*1.1*M32)</f>
        <v>0</v>
      </c>
      <c r="N205" s="1130" t="n">
        <f aca="false">IF(N164&gt;0,N164*2,(N71+N72)*1.1*N32)</f>
        <v>0</v>
      </c>
      <c r="O205" s="1130" t="n">
        <f aca="false">IF(O164&gt;0,O164*2,(O71+O72)*1.1*O32)</f>
        <v>0</v>
      </c>
      <c r="P205" s="1130" t="n">
        <f aca="false">IF(P164&gt;0,P164*2,(P71+P72)*1.1*P32)</f>
        <v>0</v>
      </c>
      <c r="Q205" s="1125" t="n">
        <f aca="false">M205+N205+O205+P205</f>
        <v>0</v>
      </c>
      <c r="R205" s="919" t="n">
        <f aca="false">G205+L205+Q205</f>
        <v>0</v>
      </c>
    </row>
    <row r="206" customFormat="false" ht="14.15" hidden="false" customHeight="true" outlineLevel="0" collapsed="false">
      <c r="A206" s="260" t="s">
        <v>2718</v>
      </c>
      <c r="B206" s="1129"/>
      <c r="C206" s="1130"/>
      <c r="D206" s="1130"/>
      <c r="E206" s="1130"/>
      <c r="F206" s="1130"/>
      <c r="G206" s="88"/>
      <c r="H206" s="1130" t="n">
        <f aca="false">H205</f>
        <v>0</v>
      </c>
      <c r="I206" s="1130" t="n">
        <f aca="false">I205</f>
        <v>0</v>
      </c>
      <c r="J206" s="1130" t="n">
        <f aca="false">J205</f>
        <v>0</v>
      </c>
      <c r="K206" s="1130" t="n">
        <f aca="false">K205</f>
        <v>0</v>
      </c>
      <c r="L206" s="1125" t="n">
        <f aca="false">H206+I206+J206+K206</f>
        <v>0</v>
      </c>
      <c r="M206" s="1130" t="n">
        <f aca="false">M205</f>
        <v>0</v>
      </c>
      <c r="N206" s="1130" t="n">
        <f aca="false">N205</f>
        <v>0</v>
      </c>
      <c r="O206" s="1130" t="n">
        <f aca="false">O205</f>
        <v>0</v>
      </c>
      <c r="P206" s="1130" t="n">
        <f aca="false">P205</f>
        <v>0</v>
      </c>
      <c r="Q206" s="1125" t="n">
        <f aca="false">M206+N206+O206+P206</f>
        <v>0</v>
      </c>
      <c r="R206" s="919" t="n">
        <f aca="false">G206+L206+Q206</f>
        <v>0</v>
      </c>
    </row>
    <row r="207" customFormat="false" ht="14.15" hidden="false" customHeight="true" outlineLevel="0" collapsed="false">
      <c r="A207" s="260" t="s">
        <v>2719</v>
      </c>
      <c r="B207" s="1129" t="s">
        <v>156</v>
      </c>
      <c r="C207" s="1130" t="n">
        <f aca="false">C76*1.1*C32+C68*2*1.1*C32</f>
        <v>0</v>
      </c>
      <c r="D207" s="1130" t="n">
        <f aca="false">D76*1.1*D32+D68*2*1.1*D32</f>
        <v>0</v>
      </c>
      <c r="E207" s="1130" t="n">
        <f aca="false">E76*1.1*E32+E68*2*1.1*E32</f>
        <v>0</v>
      </c>
      <c r="F207" s="1130" t="n">
        <f aca="false">F76*1.1*F32+F68*2*1.1*F32</f>
        <v>0</v>
      </c>
      <c r="G207" s="88" t="n">
        <f aca="false">C207+D207+E207+F207</f>
        <v>0</v>
      </c>
      <c r="H207" s="1130" t="n">
        <f aca="false">(H71+H72)*1.1*H32</f>
        <v>0</v>
      </c>
      <c r="I207" s="1130" t="n">
        <f aca="false">(I71+I72)*1.1*I32</f>
        <v>0</v>
      </c>
      <c r="J207" s="1130" t="n">
        <f aca="false">(J71+J72)*1.1*J32</f>
        <v>0</v>
      </c>
      <c r="K207" s="1130" t="n">
        <f aca="false">(K71+K72)*1.1*K32</f>
        <v>0</v>
      </c>
      <c r="L207" s="1125" t="n">
        <f aca="false">H207+I207+J207+K207</f>
        <v>0</v>
      </c>
      <c r="M207" s="1130"/>
      <c r="N207" s="1130"/>
      <c r="O207" s="1130"/>
      <c r="P207" s="1130"/>
      <c r="Q207" s="1125" t="n">
        <f aca="false">M207+N207+O207+P207</f>
        <v>0</v>
      </c>
      <c r="R207" s="919" t="n">
        <f aca="false">G207+L207+Q207</f>
        <v>0</v>
      </c>
    </row>
    <row r="208" customFormat="false" ht="14.15" hidden="false" customHeight="true" outlineLevel="0" collapsed="false">
      <c r="A208" s="1131" t="s">
        <v>2632</v>
      </c>
      <c r="B208" s="1129" t="s">
        <v>156</v>
      </c>
      <c r="C208" s="232" t="n">
        <f aca="false">C65*C82*C32</f>
        <v>0</v>
      </c>
      <c r="D208" s="232" t="n">
        <f aca="false">D65*D82*D32</f>
        <v>0</v>
      </c>
      <c r="E208" s="232" t="n">
        <f aca="false">E65*E82*E32</f>
        <v>0</v>
      </c>
      <c r="F208" s="232" t="n">
        <f aca="false">F65*F82*F32</f>
        <v>0</v>
      </c>
      <c r="G208" s="88" t="n">
        <f aca="false">C208+D208+E208+F208</f>
        <v>0</v>
      </c>
      <c r="H208" s="232" t="n">
        <f aca="false">H65*H82*H32</f>
        <v>0</v>
      </c>
      <c r="I208" s="232" t="n">
        <f aca="false">I65*I82*I32</f>
        <v>0</v>
      </c>
      <c r="J208" s="232" t="n">
        <f aca="false">J65*J82*J32</f>
        <v>0</v>
      </c>
      <c r="K208" s="232" t="n">
        <f aca="false">K65*K82*K32</f>
        <v>0</v>
      </c>
      <c r="L208" s="1125" t="n">
        <f aca="false">H208+I208+J208+K208</f>
        <v>0</v>
      </c>
      <c r="M208" s="232" t="n">
        <f aca="false">M65*M82*M32</f>
        <v>0</v>
      </c>
      <c r="N208" s="232" t="n">
        <f aca="false">N65*N82*N32</f>
        <v>0</v>
      </c>
      <c r="O208" s="232" t="n">
        <f aca="false">O65*O82*O32</f>
        <v>0</v>
      </c>
      <c r="P208" s="232" t="n">
        <f aca="false">P65*P82*P32</f>
        <v>0</v>
      </c>
      <c r="Q208" s="1125" t="n">
        <f aca="false">M208+N208+O208+P208</f>
        <v>0</v>
      </c>
      <c r="R208" s="919" t="n">
        <f aca="false">G208+L208+Q208</f>
        <v>0</v>
      </c>
    </row>
    <row r="209" customFormat="false" ht="14.15" hidden="false" customHeight="true" outlineLevel="0" collapsed="false">
      <c r="A209" s="1132" t="s">
        <v>2720</v>
      </c>
      <c r="B209" s="1133" t="s">
        <v>1094</v>
      </c>
      <c r="C209" s="1132" t="s">
        <v>1802</v>
      </c>
      <c r="D209" s="1132" t="s">
        <v>2721</v>
      </c>
      <c r="E209" s="1132" t="s">
        <v>2722</v>
      </c>
      <c r="F209" s="1132"/>
      <c r="G209" s="1134"/>
      <c r="H209" s="1135" t="s">
        <v>1409</v>
      </c>
      <c r="I209" s="1132" t="s">
        <v>1094</v>
      </c>
      <c r="J209" s="1132" t="s">
        <v>1802</v>
      </c>
      <c r="K209" s="1132" t="s">
        <v>1601</v>
      </c>
      <c r="L209" s="1136" t="s">
        <v>2722</v>
      </c>
    </row>
    <row r="210" customFormat="false" ht="14.15" hidden="false" customHeight="true" outlineLevel="0" collapsed="false">
      <c r="A210" s="1136" t="str">
        <f aca="false">'Ввод данных'!A396</f>
        <v>Доска сухая калиброванная, 190*45мм</v>
      </c>
      <c r="B210" s="1137" t="s">
        <v>135</v>
      </c>
      <c r="C210" s="1138" t="n">
        <f aca="false">(G187+L187+Q187)*G183</f>
        <v>0</v>
      </c>
      <c r="D210" s="1136" t="n">
        <f aca="false">VLOOKUP(A210,связи1!F203:H213,2,0)</f>
        <v>12500</v>
      </c>
      <c r="E210" s="1139" t="n">
        <f aca="false">C210*D210</f>
        <v>0</v>
      </c>
      <c r="F210" s="1140"/>
      <c r="G210" s="1141"/>
      <c r="H210" s="1142" t="str">
        <f aca="false">'Прайс лист'!B1735</f>
        <v>монтаж мауэрлат</v>
      </c>
      <c r="I210" s="1136" t="s">
        <v>156</v>
      </c>
      <c r="J210" s="1136" t="n">
        <f aca="false">(G186+L186+Q186)*G184</f>
        <v>0</v>
      </c>
      <c r="K210" s="1136" t="n">
        <f aca="false">'Прайс лист'!G1735</f>
        <v>250</v>
      </c>
      <c r="L210" s="1136" t="n">
        <f aca="false">J210*K210</f>
        <v>0</v>
      </c>
    </row>
    <row r="211" customFormat="false" ht="14.15" hidden="false" customHeight="true" outlineLevel="0" collapsed="false">
      <c r="A211" s="1136" t="str">
        <f aca="false">'Прайс лист'!B864</f>
        <v>Болты анкерные с гайкой 12,0 х 280</v>
      </c>
      <c r="B211" s="1137" t="s">
        <v>159</v>
      </c>
      <c r="C211" s="1138" t="n">
        <f aca="false">(G186+L186+Q186)*G183*2</f>
        <v>0</v>
      </c>
      <c r="D211" s="1136" t="n">
        <f aca="false">'Прайс лист'!G864</f>
        <v>27.1</v>
      </c>
      <c r="E211" s="1136" t="n">
        <f aca="false">C211*D211</f>
        <v>0</v>
      </c>
      <c r="F211" s="1140"/>
      <c r="G211" s="1143"/>
      <c r="H211" s="1142" t="str">
        <f aca="false">'Прайс лист'!B1736</f>
        <v>монтаж стропил</v>
      </c>
      <c r="I211" s="1136" t="s">
        <v>133</v>
      </c>
      <c r="J211" s="1136" t="n">
        <f aca="false">(G196+L196+Q196)*G184*IF(A212=связи1!A407,0,1)</f>
        <v>0</v>
      </c>
      <c r="K211" s="1136" t="n">
        <f aca="false">'Прайс лист'!G1736</f>
        <v>450</v>
      </c>
      <c r="L211" s="1136" t="n">
        <f aca="false">J211*K211</f>
        <v>0</v>
      </c>
    </row>
    <row r="212" customFormat="false" ht="14.15" hidden="false" customHeight="true" outlineLevel="0" collapsed="false">
      <c r="A212" s="1136" t="str">
        <f aca="false">'Ввод данных'!A398</f>
        <v>Доска сухая, 200*50мм</v>
      </c>
      <c r="B212" s="1137" t="s">
        <v>135</v>
      </c>
      <c r="C212" s="1138" t="n">
        <f aca="false">(G199+L199+Q199)*G183</f>
        <v>0</v>
      </c>
      <c r="D212" s="1136" t="n">
        <f aca="false">VLOOKUP(A212,связи1!A407:E416,2,0)</f>
        <v>9000</v>
      </c>
      <c r="E212" s="1136" t="n">
        <f aca="false">C212*D212</f>
        <v>0</v>
      </c>
      <c r="F212" s="1140"/>
      <c r="G212" s="1143"/>
      <c r="H212" s="1142" t="str">
        <f aca="false">'Прайс лист'!B1737</f>
        <v>обрешетка</v>
      </c>
      <c r="I212" s="1136" t="s">
        <v>133</v>
      </c>
      <c r="J212" s="1136" t="n">
        <f aca="false">(G196+L196+Q196)*G184*IF(A214=связи1!A432,0,1)</f>
        <v>0</v>
      </c>
      <c r="K212" s="1136" t="n">
        <f aca="false">'Прайс лист'!G1737</f>
        <v>100</v>
      </c>
      <c r="L212" s="1136" t="n">
        <f aca="false">J212*K212</f>
        <v>0</v>
      </c>
    </row>
    <row r="213" customFormat="false" ht="14.15" hidden="false" customHeight="true" outlineLevel="0" collapsed="false">
      <c r="A213" s="1136" t="s">
        <v>2723</v>
      </c>
      <c r="B213" s="1137" t="s">
        <v>135</v>
      </c>
      <c r="C213" s="1138" t="n">
        <f aca="false">(G200+L200+Q200)*G183</f>
        <v>0</v>
      </c>
      <c r="D213" s="1136" t="n">
        <f aca="false">VLOOKUP(A212,связи1!A407:E416,2,0)</f>
        <v>9000</v>
      </c>
      <c r="E213" s="1136" t="n">
        <f aca="false">C213*D213</f>
        <v>0</v>
      </c>
      <c r="F213" s="1140" t="n">
        <f aca="false">IF('Ввод данных'!A394=связи1!A6,1,0)</f>
        <v>1</v>
      </c>
      <c r="G213" s="1143"/>
      <c r="H213" s="1142" t="str">
        <f aca="false">'Прайс лист'!B1738</f>
        <v>контробеш</v>
      </c>
      <c r="I213" s="1136" t="s">
        <v>133</v>
      </c>
      <c r="J213" s="1136" t="n">
        <f aca="false">(G196+L196+Q196)*G184*IF(A215=связи1!A418,0,1)</f>
        <v>0</v>
      </c>
      <c r="K213" s="1136" t="n">
        <f aca="false">'Прайс лист'!G1738</f>
        <v>100</v>
      </c>
      <c r="L213" s="1136" t="n">
        <f aca="false">J213*K213</f>
        <v>0</v>
      </c>
    </row>
    <row r="214" customFormat="false" ht="14.15" hidden="false" customHeight="true" outlineLevel="0" collapsed="false">
      <c r="A214" s="1136" t="str">
        <f aca="false">'Ввод данных'!A400</f>
        <v>Сосна влаж,100*25мм</v>
      </c>
      <c r="B214" s="1137" t="s">
        <v>135</v>
      </c>
      <c r="C214" s="1138" t="n">
        <f aca="false">(G196+L196+Q196)*4*VLOOKUP(A214,связи1!A432:F440,5,0)*G183</f>
        <v>0</v>
      </c>
      <c r="D214" s="1136" t="n">
        <f aca="false">VLOOKUP(A214,связи1!A432:F440,6,0)</f>
        <v>6500</v>
      </c>
      <c r="E214" s="1136" t="n">
        <f aca="false">C214*D214</f>
        <v>0</v>
      </c>
      <c r="F214" s="1140" t="n">
        <f aca="false">IF('Ввод данных'!A394=связи1!A7,1,0)</f>
        <v>0</v>
      </c>
      <c r="G214" s="1143"/>
      <c r="H214" s="1142" t="str">
        <f aca="false">'Прайс лист'!B1739</f>
        <v>мембрана</v>
      </c>
      <c r="I214" s="1136" t="s">
        <v>133</v>
      </c>
      <c r="J214" s="1136" t="n">
        <f aca="false">(G196+L196+Q196)*G184*IF(A216='Прайс лист'!B793,0,1)</f>
        <v>0</v>
      </c>
      <c r="K214" s="1136" t="n">
        <f aca="false">'Прайс лист'!G1739</f>
        <v>100</v>
      </c>
      <c r="L214" s="1136" t="n">
        <f aca="false">J214*K214</f>
        <v>0</v>
      </c>
    </row>
    <row r="215" customFormat="false" ht="14.15" hidden="false" customHeight="true" outlineLevel="0" collapsed="false">
      <c r="A215" s="1136" t="str">
        <f aca="false">'Ввод данных'!A402</f>
        <v>Доска сухая, калибр., 35*45мм</v>
      </c>
      <c r="B215" s="1137" t="s">
        <v>159</v>
      </c>
      <c r="C215" s="1138" t="n">
        <f aca="false">(G196+L196+Q196)*1.7*VLOOKUP(A215,связи1!A418:E421,5,0)*G183</f>
        <v>0</v>
      </c>
      <c r="D215" s="1136" t="n">
        <f aca="false">VLOOKUP(A215,связи1!A418:D421,2,0)</f>
        <v>12500</v>
      </c>
      <c r="E215" s="1136" t="n">
        <f aca="false">C215*D215</f>
        <v>0</v>
      </c>
      <c r="F215" s="1140" t="n">
        <f aca="false">IF('Ввод данных'!A394=связи1!A8,1,0)</f>
        <v>0</v>
      </c>
      <c r="G215" s="1143"/>
      <c r="H215" s="1142" t="str">
        <f aca="false">'Прайс лист'!B1740</f>
        <v>пароизоляц</v>
      </c>
      <c r="I215" s="1136" t="s">
        <v>133</v>
      </c>
      <c r="J215" s="1136" t="n">
        <f aca="false">J211*G184*IF(A217='Прайс лист'!B820,0,1)</f>
        <v>0</v>
      </c>
      <c r="K215" s="1136" t="n">
        <f aca="false">'Прайс лист'!G1740</f>
        <v>100</v>
      </c>
      <c r="L215" s="1136" t="n">
        <f aca="false">J215*K215</f>
        <v>0</v>
      </c>
    </row>
    <row r="216" customFormat="false" ht="14.15" hidden="false" customHeight="true" outlineLevel="0" collapsed="false">
      <c r="A216" s="1136" t="str">
        <f aca="false">'Ввод данных'!A408</f>
        <v>Мембраны Tyvek Soft</v>
      </c>
      <c r="B216" s="1137" t="s">
        <v>133</v>
      </c>
      <c r="C216" s="1138" t="n">
        <f aca="false">(G196+L196+Q196)*1.3*G183</f>
        <v>0</v>
      </c>
      <c r="D216" s="1136" t="n">
        <f aca="false">VLOOKUP(A216,'Прайс лист'!B793:G819,6,0)</f>
        <v>86</v>
      </c>
      <c r="E216" s="1136" t="n">
        <f aca="false">C216*D216</f>
        <v>0</v>
      </c>
      <c r="F216" s="1140"/>
      <c r="G216" s="1143"/>
      <c r="H216" s="1142" t="str">
        <f aca="false">'Прайс лист'!B1741</f>
        <v>утеплитель</v>
      </c>
      <c r="I216" s="1136" t="s">
        <v>133</v>
      </c>
      <c r="J216" s="1136" t="n">
        <f aca="false">J211*G184*IF(A218='Прайс лист'!B744,0,1)</f>
        <v>0</v>
      </c>
      <c r="K216" s="1136" t="n">
        <f aca="false">'Прайс лист'!G1741</f>
        <v>200</v>
      </c>
      <c r="L216" s="1136" t="n">
        <f aca="false">J216*K216</f>
        <v>0</v>
      </c>
    </row>
    <row r="217" customFormat="false" ht="14.15" hidden="false" customHeight="true" outlineLevel="0" collapsed="false">
      <c r="A217" s="1136" t="str">
        <f aca="false">'Ввод данных'!A410</f>
        <v>Пленка Delta-Reflex</v>
      </c>
      <c r="B217" s="1137" t="s">
        <v>133</v>
      </c>
      <c r="C217" s="1138" t="n">
        <f aca="false">(G65+L65+Q65)*1.3*G183</f>
        <v>0</v>
      </c>
      <c r="D217" s="1136" t="n">
        <f aca="false">VLOOKUP(A217,'Прайс лист'!B820:G831,6,0)</f>
        <v>156</v>
      </c>
      <c r="E217" s="1136" t="n">
        <f aca="false">C217*D217</f>
        <v>0</v>
      </c>
      <c r="F217" s="1140"/>
      <c r="G217" s="1143"/>
      <c r="H217" s="1142" t="str">
        <f aca="false">'Прайс лист'!B1742</f>
        <v>Монтаж металлочерепицы</v>
      </c>
      <c r="I217" s="1136" t="s">
        <v>133</v>
      </c>
      <c r="J217" s="1136" t="n">
        <f aca="false">(G196+L196+Q196)*G184*F213</f>
        <v>0</v>
      </c>
      <c r="K217" s="1136" t="n">
        <f aca="false">'Прайс лист'!G1742</f>
        <v>300</v>
      </c>
      <c r="L217" s="1136" t="n">
        <f aca="false">J217*K217</f>
        <v>0</v>
      </c>
    </row>
    <row r="218" customFormat="false" ht="14.15" hidden="false" customHeight="true" outlineLevel="0" collapsed="false">
      <c r="A218" s="1136" t="str">
        <f aca="false">'Ввод данных'!A406</f>
        <v>Плитный,28кг/м3, технониколь, 200мм</v>
      </c>
      <c r="B218" s="1137" t="s">
        <v>135</v>
      </c>
      <c r="C218" s="1138" t="n">
        <f aca="false">(G208+L208+Q208)*G183</f>
        <v>0</v>
      </c>
      <c r="D218" s="1136" t="n">
        <f aca="false">VLOOKUP(A218,'Прайс лист'!B744:G782,6,0)</f>
        <v>1700</v>
      </c>
      <c r="E218" s="1136" t="n">
        <f aca="false">C218*D218</f>
        <v>0</v>
      </c>
      <c r="F218" s="1140"/>
      <c r="G218" s="1143"/>
      <c r="H218" s="1142" t="str">
        <f aca="false">'Прайс лист'!B1744</f>
        <v>карнизная планка</v>
      </c>
      <c r="I218" s="1136" t="s">
        <v>133</v>
      </c>
      <c r="J218" s="1144" t="n">
        <f aca="false">(G202+L202+Q202)*G184*(F213+F215)</f>
        <v>0</v>
      </c>
      <c r="K218" s="1136" t="n">
        <f aca="false">'Прайс лист'!G1744</f>
        <v>100</v>
      </c>
      <c r="L218" s="1136" t="n">
        <f aca="false">J218*K218</f>
        <v>0</v>
      </c>
    </row>
    <row r="219" customFormat="false" ht="14.15" hidden="false" customHeight="true" outlineLevel="0" collapsed="false">
      <c r="A219" s="1136" t="s">
        <v>2724</v>
      </c>
      <c r="B219" s="1137" t="s">
        <v>133</v>
      </c>
      <c r="C219" s="1138" t="n">
        <f aca="false">(G196*1.2+L196*1.2+Q196*1.5)*G183*F213</f>
        <v>0</v>
      </c>
      <c r="D219" s="1136" t="n">
        <f aca="false">'Прайс лист'!G1131</f>
        <v>250</v>
      </c>
      <c r="E219" s="1136" t="n">
        <f aca="false">C219*D219</f>
        <v>0</v>
      </c>
      <c r="F219" s="1140"/>
      <c r="G219" s="1143"/>
      <c r="H219" s="1142" t="str">
        <f aca="false">'Прайс лист'!B1745</f>
        <v>торцевая планка</v>
      </c>
      <c r="I219" s="1136" t="s">
        <v>133</v>
      </c>
      <c r="J219" s="1144" t="n">
        <f aca="false">(G207+L207+Q207)*G184*(F213+F215)</f>
        <v>0</v>
      </c>
      <c r="K219" s="1136" t="n">
        <f aca="false">'Прайс лист'!G1745</f>
        <v>100</v>
      </c>
      <c r="L219" s="1136" t="n">
        <f aca="false">J219*K219</f>
        <v>0</v>
      </c>
    </row>
    <row r="220" customFormat="false" ht="14.15" hidden="false" customHeight="true" outlineLevel="0" collapsed="false">
      <c r="A220" s="1136" t="str">
        <f aca="false">'Прайс лист'!B1132</f>
        <v>Карнизная планка</v>
      </c>
      <c r="B220" s="1137" t="s">
        <v>156</v>
      </c>
      <c r="C220" s="1138" t="n">
        <f aca="false">(G202+L202+Q202)*G183*(F213+F215)</f>
        <v>0</v>
      </c>
      <c r="D220" s="1136" t="n">
        <f aca="false">'Прайс лист'!G1132</f>
        <v>200</v>
      </c>
      <c r="E220" s="1136" t="n">
        <f aca="false">C220*D220</f>
        <v>0</v>
      </c>
      <c r="F220" s="1140"/>
      <c r="G220" s="1143"/>
      <c r="H220" s="1142" t="str">
        <f aca="false">'Прайс лист'!B1747</f>
        <v>желоб водосточный</v>
      </c>
      <c r="I220" s="1136" t="s">
        <v>156</v>
      </c>
      <c r="J220" s="1144" t="n">
        <f aca="false">C245*G184</f>
        <v>0</v>
      </c>
      <c r="K220" s="1136" t="n">
        <f aca="false">'Прайс лист'!G1747</f>
        <v>300</v>
      </c>
      <c r="L220" s="1136" t="n">
        <f aca="false">J220*K220</f>
        <v>0</v>
      </c>
    </row>
    <row r="221" customFormat="false" ht="14.15" hidden="false" customHeight="true" outlineLevel="0" collapsed="false">
      <c r="A221" s="1136" t="str">
        <f aca="false">'Прайс лист'!B1133</f>
        <v>Торцевая планка</v>
      </c>
      <c r="B221" s="1137" t="s">
        <v>156</v>
      </c>
      <c r="C221" s="1138" t="n">
        <f aca="false">(G207+L207+Q207)*G183*(F213+F215)</f>
        <v>0</v>
      </c>
      <c r="D221" s="1136" t="n">
        <f aca="false">'Прайс лист'!G1133</f>
        <v>200</v>
      </c>
      <c r="E221" s="1136" t="n">
        <f aca="false">C221*D221</f>
        <v>0</v>
      </c>
      <c r="F221" s="1140"/>
      <c r="G221" s="1143"/>
      <c r="H221" s="1142" t="str">
        <f aca="false">'Прайс лист'!B1748</f>
        <v>труба водосточная</v>
      </c>
      <c r="I221" s="1136" t="s">
        <v>156</v>
      </c>
      <c r="J221" s="1144" t="n">
        <f aca="false">C247*G184</f>
        <v>0</v>
      </c>
      <c r="K221" s="1136" t="n">
        <f aca="false">'Прайс лист'!G1748</f>
        <v>300</v>
      </c>
      <c r="L221" s="1136" t="n">
        <f aca="false">J221*K221</f>
        <v>0</v>
      </c>
    </row>
    <row r="222" customFormat="false" ht="14.15" hidden="false" customHeight="true" outlineLevel="0" collapsed="false">
      <c r="A222" s="1136" t="str">
        <f aca="false">'Прайс лист'!B1134</f>
        <v>Конек</v>
      </c>
      <c r="B222" s="1137" t="s">
        <v>156</v>
      </c>
      <c r="C222" s="1138" t="n">
        <f aca="false">R201*F213*1.1</f>
        <v>0</v>
      </c>
      <c r="D222" s="1136" t="n">
        <f aca="false">'Прайс лист'!G1134</f>
        <v>230</v>
      </c>
      <c r="E222" s="1136" t="n">
        <f aca="false">C222*D222</f>
        <v>0</v>
      </c>
      <c r="F222" s="1140"/>
      <c r="G222" s="1143"/>
      <c r="H222" s="1142" t="str">
        <f aca="false">'Прайс лист'!B1749</f>
        <v>ендова внутр/наружн</v>
      </c>
      <c r="I222" s="1136" t="s">
        <v>156</v>
      </c>
      <c r="J222" s="1144" t="n">
        <f aca="false">(G205+L205+Q205)*G184</f>
        <v>0</v>
      </c>
      <c r="K222" s="1136" t="n">
        <f aca="false">'Прайс лист'!G1749</f>
        <v>300</v>
      </c>
      <c r="L222" s="1136" t="n">
        <f aca="false">J222*K222</f>
        <v>0</v>
      </c>
    </row>
    <row r="223" customFormat="false" ht="14.15" hidden="false" customHeight="true" outlineLevel="0" collapsed="false">
      <c r="A223" s="1136" t="str">
        <f aca="false">'Прайс лист'!B1135</f>
        <v>Ендова нижняя</v>
      </c>
      <c r="B223" s="1137" t="s">
        <v>1415</v>
      </c>
      <c r="C223" s="1138" t="n">
        <f aca="false">(G205+L205+Q205)*G183*F213</f>
        <v>0</v>
      </c>
      <c r="D223" s="1136" t="n">
        <f aca="false">'Прайс лист'!G1135</f>
        <v>160</v>
      </c>
      <c r="E223" s="1136" t="n">
        <f aca="false">C223*D223</f>
        <v>0</v>
      </c>
      <c r="F223" s="1140"/>
      <c r="G223" s="1143"/>
      <c r="H223" s="1142" t="str">
        <f aca="false">'Прайс лист'!B1743</f>
        <v>Монтаж ондулина</v>
      </c>
      <c r="I223" s="1136" t="s">
        <v>133</v>
      </c>
      <c r="J223" s="1144" t="n">
        <f aca="false">(G196+L196+Q196)*G184*F214</f>
        <v>0</v>
      </c>
      <c r="K223" s="1136" t="n">
        <f aca="false">'Прайс лист'!G1743</f>
        <v>300</v>
      </c>
      <c r="L223" s="1136" t="n">
        <f aca="false">J223*K223</f>
        <v>0</v>
      </c>
    </row>
    <row r="224" customFormat="false" ht="14.15" hidden="false" customHeight="true" outlineLevel="0" collapsed="false">
      <c r="A224" s="1136" t="s">
        <v>1063</v>
      </c>
      <c r="B224" s="1137" t="s">
        <v>156</v>
      </c>
      <c r="C224" s="1138" t="n">
        <f aca="false">C223</f>
        <v>0</v>
      </c>
      <c r="D224" s="1136" t="n">
        <f aca="false">D223</f>
        <v>160</v>
      </c>
      <c r="E224" s="1136" t="n">
        <f aca="false">C224*D224</f>
        <v>0</v>
      </c>
      <c r="F224" s="1140"/>
      <c r="G224" s="1143"/>
      <c r="H224" s="1142"/>
      <c r="I224" s="1136"/>
      <c r="J224" s="1144"/>
      <c r="K224" s="1136"/>
      <c r="L224" s="1136"/>
    </row>
    <row r="225" customFormat="false" ht="14.15" hidden="false" customHeight="true" outlineLevel="0" collapsed="false">
      <c r="A225" s="1136" t="str">
        <f aca="false">'Прайс лист'!B1137</f>
        <v>Планка примыкания</v>
      </c>
      <c r="B225" s="1137" t="s">
        <v>156</v>
      </c>
      <c r="C225" s="1138" t="n">
        <f aca="false">C223*F213</f>
        <v>0</v>
      </c>
      <c r="D225" s="1136" t="n">
        <f aca="false">'Прайс лист'!G1137</f>
        <v>190</v>
      </c>
      <c r="E225" s="1136" t="n">
        <f aca="false">C225*D225</f>
        <v>0</v>
      </c>
      <c r="F225" s="1140"/>
      <c r="G225" s="1143"/>
      <c r="H225" s="1142" t="str">
        <f aca="false">'Прайс лист'!B1751</f>
        <v>Монтаж фанеры/osb</v>
      </c>
      <c r="I225" s="1136" t="s">
        <v>133</v>
      </c>
      <c r="J225" s="1144" t="n">
        <f aca="false">(G196+L196+Q196)*G184*IF(A234='Прайс лист'!B1027,0,1)</f>
        <v>0</v>
      </c>
      <c r="K225" s="1136" t="n">
        <f aca="false">'Прайс лист'!G1751</f>
        <v>200</v>
      </c>
      <c r="L225" s="1136" t="n">
        <f aca="false">J225*K225</f>
        <v>0</v>
      </c>
    </row>
    <row r="226" customFormat="false" ht="14.15" hidden="false" customHeight="true" outlineLevel="0" collapsed="false">
      <c r="A226" s="1136" t="s">
        <v>2725</v>
      </c>
      <c r="B226" s="1137" t="s">
        <v>133</v>
      </c>
      <c r="C226" s="1138" t="n">
        <f aca="false">(G196+L196+Q196)*1.2*G183*F214</f>
        <v>0</v>
      </c>
      <c r="D226" s="1136" t="n">
        <f aca="false">'Прайс лист'!G1143</f>
        <v>180</v>
      </c>
      <c r="E226" s="1136" t="n">
        <f aca="false">C226*D226</f>
        <v>0</v>
      </c>
      <c r="F226" s="1140"/>
      <c r="G226" s="1143"/>
      <c r="H226" s="1142" t="str">
        <f aca="false">'Прайс лист'!B1752</f>
        <v>монтаж подкладочного ковра</v>
      </c>
      <c r="I226" s="1136" t="s">
        <v>133</v>
      </c>
      <c r="J226" s="1144" t="n">
        <f aca="false">(G196+L196+Q196)*G184*F215</f>
        <v>0</v>
      </c>
      <c r="K226" s="1136" t="n">
        <f aca="false">'Прайс лист'!G1752</f>
        <v>150</v>
      </c>
      <c r="L226" s="1136" t="n">
        <f aca="false">J226*K226</f>
        <v>0</v>
      </c>
    </row>
    <row r="227" customFormat="false" ht="14.15" hidden="false" customHeight="true" outlineLevel="0" collapsed="false">
      <c r="A227" s="1136" t="str">
        <f aca="false">'Прайс лист'!B1144</f>
        <v>Карнизная планка</v>
      </c>
      <c r="B227" s="1137" t="str">
        <f aca="false">'Прайс лист'!C1144</f>
        <v>м.п.</v>
      </c>
      <c r="C227" s="1138" t="n">
        <f aca="false">(G202+L202+Q202)*G183*F214</f>
        <v>0</v>
      </c>
      <c r="D227" s="1136" t="n">
        <f aca="false">'Прайс лист'!G1144</f>
        <v>190</v>
      </c>
      <c r="E227" s="1136" t="n">
        <f aca="false">C227*D227</f>
        <v>0</v>
      </c>
      <c r="F227" s="1140"/>
      <c r="G227" s="1143"/>
      <c r="H227" s="1142" t="str">
        <f aca="false">'Прайс лист'!B1753</f>
        <v>Монтаж мягкой кровли</v>
      </c>
      <c r="I227" s="1136" t="s">
        <v>133</v>
      </c>
      <c r="J227" s="1144" t="n">
        <f aca="false">(G196+L196+Q196)*G184*F215</f>
        <v>0</v>
      </c>
      <c r="K227" s="1136" t="n">
        <f aca="false">'Прайс лист'!G1753</f>
        <v>350</v>
      </c>
      <c r="L227" s="1136" t="n">
        <f aca="false">J227*K227</f>
        <v>0</v>
      </c>
    </row>
    <row r="228" customFormat="false" ht="14.15" hidden="false" customHeight="true" outlineLevel="0" collapsed="false">
      <c r="A228" s="1136" t="str">
        <f aca="false">'Прайс лист'!B1145</f>
        <v>Торцевая планка</v>
      </c>
      <c r="B228" s="1137" t="str">
        <f aca="false">'Прайс лист'!C1145</f>
        <v>м.п.</v>
      </c>
      <c r="C228" s="1138" t="n">
        <f aca="false">(G207+L207+Q207)*G183*F214</f>
        <v>0</v>
      </c>
      <c r="D228" s="1136" t="n">
        <f aca="false">'Прайс лист'!G1145</f>
        <v>190</v>
      </c>
      <c r="E228" s="1136" t="n">
        <f aca="false">C228*D228</f>
        <v>0</v>
      </c>
      <c r="F228" s="1140"/>
      <c r="G228" s="1143"/>
      <c r="H228" s="1142"/>
      <c r="I228" s="1136"/>
      <c r="J228" s="1144"/>
      <c r="K228" s="1136"/>
      <c r="L228" s="1136" t="n">
        <f aca="false">J228*K228</f>
        <v>0</v>
      </c>
    </row>
    <row r="229" customFormat="false" ht="14.15" hidden="false" customHeight="true" outlineLevel="0" collapsed="false">
      <c r="A229" s="1136" t="str">
        <f aca="false">'Прайс лист'!B1146</f>
        <v>Конек</v>
      </c>
      <c r="B229" s="1137" t="str">
        <f aca="false">'Прайс лист'!C1146</f>
        <v>м.п.</v>
      </c>
      <c r="C229" s="1004" t="n">
        <f aca="false">R201*F214*1.1</f>
        <v>0</v>
      </c>
      <c r="D229" s="1136" t="n">
        <f aca="false">'Прайс лист'!G1146</f>
        <v>200</v>
      </c>
      <c r="E229" s="1136" t="n">
        <f aca="false">C229*D229</f>
        <v>0</v>
      </c>
      <c r="F229" s="1140"/>
      <c r="G229" s="1143"/>
      <c r="H229" s="1142"/>
      <c r="I229" s="1136"/>
      <c r="J229" s="1144"/>
      <c r="K229" s="1136"/>
      <c r="L229" s="1136"/>
    </row>
    <row r="230" customFormat="false" ht="14.15" hidden="false" customHeight="true" outlineLevel="0" collapsed="false">
      <c r="A230" s="1136" t="str">
        <f aca="false">'Прайс лист'!B1147</f>
        <v>Ендова нижняя</v>
      </c>
      <c r="B230" s="1137" t="str">
        <f aca="false">'Прайс лист'!C1147</f>
        <v>м.п.</v>
      </c>
      <c r="C230" s="1004" t="n">
        <f aca="false">(G205+L205+Q205)*G183*F214*1.1</f>
        <v>0</v>
      </c>
      <c r="D230" s="1136" t="n">
        <f aca="false">'Прайс лист'!G1147</f>
        <v>160</v>
      </c>
      <c r="E230" s="1136" t="n">
        <f aca="false">C230*D230</f>
        <v>0</v>
      </c>
      <c r="F230" s="1140"/>
      <c r="G230" s="1143"/>
      <c r="H230" s="1004"/>
      <c r="I230" s="1004"/>
      <c r="J230" s="1004"/>
      <c r="K230" s="1004"/>
      <c r="L230" s="1136"/>
    </row>
    <row r="231" customFormat="false" ht="14.15" hidden="false" customHeight="true" outlineLevel="0" collapsed="false">
      <c r="A231" s="1136" t="str">
        <f aca="false">'Прайс лист'!B1148</f>
        <v>Ендова верхняя</v>
      </c>
      <c r="B231" s="1137" t="str">
        <f aca="false">'Прайс лист'!C1148</f>
        <v>м.п.</v>
      </c>
      <c r="C231" s="1004" t="n">
        <f aca="false">C230</f>
        <v>0</v>
      </c>
      <c r="D231" s="1136" t="n">
        <f aca="false">'Прайс лист'!G1148</f>
        <v>190</v>
      </c>
      <c r="E231" s="1136" t="n">
        <f aca="false">C231*D231</f>
        <v>0</v>
      </c>
      <c r="F231" s="1140"/>
      <c r="G231" s="1143"/>
      <c r="H231" s="1004"/>
      <c r="I231" s="1004"/>
      <c r="J231" s="1004"/>
      <c r="K231" s="1004"/>
      <c r="L231" s="1136"/>
    </row>
    <row r="232" customFormat="false" ht="14.15" hidden="false" customHeight="true" outlineLevel="0" collapsed="false">
      <c r="A232" s="1136" t="str">
        <f aca="false">'Прайс лист'!B1149</f>
        <v>Планка примыкания</v>
      </c>
      <c r="B232" s="1137" t="str">
        <f aca="false">'Прайс лист'!C1149</f>
        <v>м.п.</v>
      </c>
      <c r="C232" s="1138" t="n">
        <f aca="false">C230</f>
        <v>0</v>
      </c>
      <c r="D232" s="1136" t="n">
        <f aca="false">'Прайс лист'!G1149</f>
        <v>190</v>
      </c>
      <c r="E232" s="1136" t="n">
        <f aca="false">C232*D232</f>
        <v>0</v>
      </c>
      <c r="F232" s="1140"/>
      <c r="G232" s="1143"/>
      <c r="H232" s="1004"/>
      <c r="I232" s="1004"/>
      <c r="J232" s="1004"/>
      <c r="K232" s="1004"/>
      <c r="L232" s="1136"/>
    </row>
    <row r="233" customFormat="false" ht="14.15" hidden="false" customHeight="true" outlineLevel="0" collapsed="false">
      <c r="A233" s="1136" t="str">
        <f aca="false">'Прайс лист'!B1150</f>
        <v>Крепеж для ондулина</v>
      </c>
      <c r="B233" s="1137" t="str">
        <f aca="false">'Прайс лист'!C1150</f>
        <v>шт</v>
      </c>
      <c r="C233" s="1004" t="n">
        <f aca="false">(G196+L196+Q196)*15*G183*F214</f>
        <v>0</v>
      </c>
      <c r="D233" s="1136" t="n">
        <f aca="false">'Прайс лист'!G1150</f>
        <v>4.5</v>
      </c>
      <c r="E233" s="1136" t="n">
        <f aca="false">C233*D233</f>
        <v>0</v>
      </c>
      <c r="F233" s="1140"/>
      <c r="G233" s="1143"/>
      <c r="H233" s="1145"/>
      <c r="I233" s="1136"/>
      <c r="J233" s="1144"/>
      <c r="K233" s="1136"/>
      <c r="L233" s="1136"/>
    </row>
    <row r="234" customFormat="false" ht="14.15" hidden="false" customHeight="true" outlineLevel="0" collapsed="false">
      <c r="A234" s="1136" t="str">
        <f aca="false">'Ввод данных'!A404</f>
        <v>нет</v>
      </c>
      <c r="B234" s="1137" t="s">
        <v>133</v>
      </c>
      <c r="C234" s="1018" t="n">
        <f aca="false">(G196+L196+Q196)*1.1</f>
        <v>0</v>
      </c>
      <c r="D234" s="1136" t="n">
        <f aca="false">VLOOKUP(A234,'Прайс лист'!B1027:G1078,6,0)</f>
        <v>0</v>
      </c>
      <c r="E234" s="1136" t="n">
        <f aca="false">C234*D234</f>
        <v>0</v>
      </c>
      <c r="F234" s="1140"/>
      <c r="G234" s="1143"/>
      <c r="H234" s="1145"/>
      <c r="I234" s="1136"/>
      <c r="J234" s="1144"/>
      <c r="K234" s="1136"/>
      <c r="L234" s="1136"/>
    </row>
    <row r="235" customFormat="false" ht="14.15" hidden="false" customHeight="true" outlineLevel="0" collapsed="false">
      <c r="A235" s="1136" t="str">
        <f aca="false">'Прайс лист'!B1155</f>
        <v>Рядовая черепица</v>
      </c>
      <c r="B235" s="1137" t="str">
        <f aca="false">'Прайс лист'!C1155</f>
        <v>м2</v>
      </c>
      <c r="C235" s="1004" t="n">
        <f aca="false">(G196+L196+Q196)*1.2*G183*F215-(G202+L202+Q202)*G183*F215*0.2</f>
        <v>0</v>
      </c>
      <c r="D235" s="1136" t="n">
        <f aca="false">'Прайс лист'!G1155</f>
        <v>360</v>
      </c>
      <c r="E235" s="1136" t="n">
        <f aca="false">C235*D235</f>
        <v>0</v>
      </c>
      <c r="F235" s="1140"/>
      <c r="G235" s="1143"/>
      <c r="H235" s="1145"/>
      <c r="I235" s="1136"/>
      <c r="J235" s="1144"/>
      <c r="K235" s="1136"/>
      <c r="L235" s="1136"/>
    </row>
    <row r="236" customFormat="false" ht="14.15" hidden="false" customHeight="true" outlineLevel="0" collapsed="false">
      <c r="A236" s="1136" t="str">
        <f aca="false">'Прайс лист'!B1156</f>
        <v>Металл оцинк защита (карниз)</v>
      </c>
      <c r="B236" s="1137" t="str">
        <f aca="false">'Прайс лист'!C1156</f>
        <v>м.п.</v>
      </c>
      <c r="C236" s="1004" t="n">
        <f aca="false">(G202+L202+Q202)*G183*F215</f>
        <v>0</v>
      </c>
      <c r="D236" s="1136" t="n">
        <f aca="false">'Прайс лист'!G1156</f>
        <v>200</v>
      </c>
      <c r="E236" s="1136" t="n">
        <f aca="false">C236*D236</f>
        <v>0</v>
      </c>
      <c r="F236" s="1140"/>
      <c r="G236" s="1143"/>
      <c r="H236" s="1145"/>
      <c r="I236" s="1136"/>
      <c r="J236" s="1144"/>
      <c r="K236" s="1136"/>
      <c r="L236" s="1136"/>
    </row>
    <row r="237" customFormat="false" ht="14.15" hidden="false" customHeight="true" outlineLevel="0" collapsed="false">
      <c r="A237" s="1136" t="str">
        <f aca="false">'Прайс лист'!B1157</f>
        <v>Подкладочный ковер</v>
      </c>
      <c r="B237" s="1137" t="str">
        <f aca="false">'Прайс лист'!C1157</f>
        <v>м.п.</v>
      </c>
      <c r="C237" s="1004" t="n">
        <f aca="false">(G196+L196+Q196)*1.2*G183*F215</f>
        <v>0</v>
      </c>
      <c r="D237" s="1136" t="n">
        <f aca="false">'Прайс лист'!G1157</f>
        <v>220</v>
      </c>
      <c r="E237" s="1136" t="n">
        <f aca="false">C237*D237</f>
        <v>0</v>
      </c>
      <c r="F237" s="1140"/>
      <c r="G237" s="1143"/>
      <c r="H237" s="1145"/>
      <c r="I237" s="1136"/>
      <c r="J237" s="1144"/>
      <c r="K237" s="1136"/>
      <c r="L237" s="1136"/>
    </row>
    <row r="238" customFormat="false" ht="14.15" hidden="false" customHeight="true" outlineLevel="0" collapsed="false">
      <c r="A238" s="1136" t="str">
        <f aca="false">'Прайс лист'!B1158</f>
        <v>Карнизная самоклеющаяся черепица</v>
      </c>
      <c r="B238" s="1137" t="str">
        <f aca="false">'Прайс лист'!C1158</f>
        <v>м.п.</v>
      </c>
      <c r="C238" s="1004" t="n">
        <f aca="false">(G202+L202+Q202)*G183*F215*0.2</f>
        <v>0</v>
      </c>
      <c r="D238" s="1136" t="n">
        <f aca="false">'Прайс лист'!G1158</f>
        <v>220</v>
      </c>
      <c r="E238" s="1136" t="n">
        <f aca="false">C238*D238</f>
        <v>0</v>
      </c>
      <c r="F238" s="1140"/>
      <c r="G238" s="1143"/>
      <c r="H238" s="1145"/>
      <c r="I238" s="1136"/>
      <c r="J238" s="1144"/>
      <c r="K238" s="1136"/>
      <c r="L238" s="1136"/>
    </row>
    <row r="239" customFormat="false" ht="14.15" hidden="false" customHeight="true" outlineLevel="0" collapsed="false">
      <c r="A239" s="1136" t="str">
        <f aca="false">'Прайс лист'!B1159</f>
        <v>Спец ковер ендова нижняя</v>
      </c>
      <c r="B239" s="1137" t="str">
        <f aca="false">'Прайс лист'!C1159</f>
        <v>м.п.</v>
      </c>
      <c r="C239" s="1004" t="n">
        <f aca="false">(G205+L205+Q205)*G183*F215*1.1</f>
        <v>0</v>
      </c>
      <c r="D239" s="1136" t="n">
        <f aca="false">'Прайс лист'!G1159</f>
        <v>200</v>
      </c>
      <c r="E239" s="1136" t="n">
        <f aca="false">C239*D239</f>
        <v>0</v>
      </c>
      <c r="F239" s="1140"/>
      <c r="G239" s="1143"/>
      <c r="H239" s="1145"/>
      <c r="I239" s="1136"/>
      <c r="J239" s="1144"/>
      <c r="K239" s="1136"/>
      <c r="L239" s="1136"/>
    </row>
    <row r="240" customFormat="false" ht="14.15" hidden="false" customHeight="true" outlineLevel="0" collapsed="false">
      <c r="A240" s="1136" t="str">
        <f aca="false">'Прайс лист'!B1160</f>
        <v>Коньковой элемент</v>
      </c>
      <c r="B240" s="1137" t="str">
        <f aca="false">'Прайс лист'!C1160</f>
        <v>м.п.</v>
      </c>
      <c r="C240" s="1004" t="n">
        <f aca="false">R201*F215*1.1</f>
        <v>0</v>
      </c>
      <c r="D240" s="1136" t="n">
        <f aca="false">'Прайс лист'!G1160</f>
        <v>250</v>
      </c>
      <c r="E240" s="1136" t="n">
        <f aca="false">C240*D240</f>
        <v>0</v>
      </c>
      <c r="F240" s="1140"/>
      <c r="G240" s="1143"/>
      <c r="H240" s="1145"/>
      <c r="I240" s="1136"/>
      <c r="J240" s="1144"/>
      <c r="K240" s="1136"/>
      <c r="L240" s="1136"/>
    </row>
    <row r="241" customFormat="false" ht="14.15" hidden="false" customHeight="true" outlineLevel="0" collapsed="false">
      <c r="A241" s="1136" t="str">
        <f aca="false">'Прайс лист'!B1161</f>
        <v>Планка премыкания</v>
      </c>
      <c r="B241" s="1137" t="str">
        <f aca="false">'Прайс лист'!C1161</f>
        <v>м.п.</v>
      </c>
      <c r="C241" s="1004" t="n">
        <f aca="false">(G205+L205+Q205)*G183*F215*1.1</f>
        <v>0</v>
      </c>
      <c r="D241" s="1136" t="n">
        <f aca="false">'Прайс лист'!G1161</f>
        <v>200</v>
      </c>
      <c r="E241" s="1136" t="n">
        <f aca="false">C241*D241</f>
        <v>0</v>
      </c>
      <c r="F241" s="1140"/>
      <c r="G241" s="1143"/>
      <c r="H241" s="1145"/>
      <c r="I241" s="1136"/>
      <c r="J241" s="1144"/>
      <c r="K241" s="1136"/>
      <c r="L241" s="1136"/>
    </row>
    <row r="242" customFormat="false" ht="14.15" hidden="false" customHeight="true" outlineLevel="0" collapsed="false">
      <c r="A242" s="1136" t="str">
        <f aca="false">'Прайс лист'!B1162</f>
        <v>Гвозди для крепления подкладочного ковра</v>
      </c>
      <c r="B242" s="1137" t="str">
        <f aca="false">'Прайс лист'!C1162</f>
        <v>шт</v>
      </c>
      <c r="C242" s="1004" t="n">
        <f aca="false">C237*12</f>
        <v>0</v>
      </c>
      <c r="D242" s="1136" t="n">
        <f aca="false">'Прайс лист'!G1162</f>
        <v>0.012</v>
      </c>
      <c r="E242" s="1136" t="n">
        <f aca="false">C242*D242</f>
        <v>0</v>
      </c>
      <c r="F242" s="1140"/>
      <c r="G242" s="1143"/>
      <c r="H242" s="1145"/>
      <c r="I242" s="1136"/>
      <c r="J242" s="1144"/>
      <c r="K242" s="1136"/>
      <c r="L242" s="1136"/>
    </row>
    <row r="243" customFormat="false" ht="14.15" hidden="false" customHeight="true" outlineLevel="0" collapsed="false">
      <c r="A243" s="1136" t="str">
        <f aca="false">'Прайс лист'!B1163</f>
        <v>Гвозди для крепления черепицы</v>
      </c>
      <c r="B243" s="1137" t="str">
        <f aca="false">'Прайс лист'!C1163</f>
        <v>шт</v>
      </c>
      <c r="C243" s="1004" t="n">
        <f aca="false">(G196+L196+Q196)*22*G183*F215</f>
        <v>0</v>
      </c>
      <c r="D243" s="1136" t="n">
        <f aca="false">'Прайс лист'!G1163</f>
        <v>0.25</v>
      </c>
      <c r="E243" s="1136" t="n">
        <f aca="false">C243*D243</f>
        <v>0</v>
      </c>
      <c r="F243" s="1140"/>
      <c r="G243" s="1143"/>
      <c r="H243" s="1145"/>
      <c r="I243" s="1136"/>
      <c r="J243" s="1144"/>
      <c r="K243" s="1136"/>
      <c r="L243" s="1136"/>
    </row>
    <row r="244" customFormat="false" ht="14.15" hidden="false" customHeight="true" outlineLevel="0" collapsed="false">
      <c r="A244" s="1136" t="str">
        <f aca="false">'Прайс лист'!B1164</f>
        <v>Клей для монтажа черепицы</v>
      </c>
      <c r="B244" s="1137" t="str">
        <f aca="false">'Прайс лист'!C1164</f>
        <v>кг</v>
      </c>
      <c r="C244" s="1004" t="n">
        <f aca="false">(G196+L196+Q196)*1.2*G183*F215</f>
        <v>0</v>
      </c>
      <c r="D244" s="1136" t="n">
        <f aca="false">'Прайс лист'!G1164</f>
        <v>250</v>
      </c>
      <c r="E244" s="1136" t="n">
        <f aca="false">C244*D244</f>
        <v>0</v>
      </c>
      <c r="F244" s="1140"/>
      <c r="G244" s="1143"/>
      <c r="H244" s="1145"/>
      <c r="I244" s="1136"/>
      <c r="J244" s="1144"/>
      <c r="K244" s="1136"/>
      <c r="L244" s="1136"/>
    </row>
    <row r="245" customFormat="false" ht="14.15" hidden="false" customHeight="true" outlineLevel="0" collapsed="false">
      <c r="A245" s="1136" t="str">
        <f aca="false">'Прайс лист'!B1169</f>
        <v>желоб</v>
      </c>
      <c r="B245" s="1137" t="s">
        <v>1415</v>
      </c>
      <c r="C245" s="1138" t="n">
        <f aca="false">(G76+L76)*G183</f>
        <v>0</v>
      </c>
      <c r="D245" s="1136" t="n">
        <f aca="false">'Прайс лист'!G1169</f>
        <v>300</v>
      </c>
      <c r="E245" s="1136" t="n">
        <f aca="false">C245*D245</f>
        <v>0</v>
      </c>
      <c r="F245" s="1140"/>
      <c r="G245" s="1143"/>
      <c r="H245" s="1145"/>
      <c r="I245" s="1136"/>
      <c r="J245" s="1144"/>
      <c r="K245" s="1136"/>
      <c r="L245" s="1136"/>
    </row>
    <row r="246" customFormat="false" ht="14.15" hidden="false" customHeight="true" outlineLevel="0" collapsed="false">
      <c r="A246" s="1136" t="str">
        <f aca="false">'Прайс лист'!B1170</f>
        <v>отвод</v>
      </c>
      <c r="B246" s="1137" t="s">
        <v>159</v>
      </c>
      <c r="C246" s="1138" t="n">
        <f aca="false">(2*C32+2*D32+2*E32+2*F32+2*H32+2*I32+2*J32+2*K32)*D2</f>
        <v>0</v>
      </c>
      <c r="D246" s="1136" t="n">
        <f aca="false">'Прайс лист'!G1170</f>
        <v>250</v>
      </c>
      <c r="E246" s="1136" t="n">
        <f aca="false">C246*D246</f>
        <v>0</v>
      </c>
      <c r="F246" s="1140"/>
      <c r="G246" s="1143"/>
      <c r="H246" s="1145"/>
      <c r="I246" s="1136"/>
      <c r="J246" s="1144"/>
      <c r="K246" s="1136"/>
      <c r="L246" s="1136"/>
    </row>
    <row r="247" customFormat="false" ht="14.15" hidden="false" customHeight="true" outlineLevel="0" collapsed="false">
      <c r="A247" s="1136" t="str">
        <f aca="false">'Прайс лист'!B1171</f>
        <v>труба водосточная</v>
      </c>
      <c r="B247" s="1137" t="s">
        <v>156</v>
      </c>
      <c r="C247" s="1138" t="n">
        <f aca="false">(G203+L203)*G183</f>
        <v>0</v>
      </c>
      <c r="D247" s="1136" t="n">
        <f aca="false">'Прайс лист'!G1171</f>
        <v>300</v>
      </c>
      <c r="E247" s="1136" t="n">
        <f aca="false">C247*D247</f>
        <v>0</v>
      </c>
      <c r="F247" s="1140"/>
      <c r="G247" s="1143"/>
      <c r="H247" s="1145"/>
      <c r="I247" s="1136"/>
      <c r="J247" s="1144"/>
      <c r="K247" s="1136"/>
      <c r="L247" s="1136"/>
    </row>
    <row r="248" customFormat="false" ht="14.15" hidden="false" customHeight="true" outlineLevel="0" collapsed="false">
      <c r="A248" s="1136" t="str">
        <f aca="false">'Прайс лист'!B1172</f>
        <v>заглушка для желоба</v>
      </c>
      <c r="B248" s="1137" t="s">
        <v>159</v>
      </c>
      <c r="C248" s="1138" t="n">
        <f aca="false">C246</f>
        <v>0</v>
      </c>
      <c r="D248" s="1136" t="n">
        <f aca="false">'Прайс лист'!G1172</f>
        <v>190</v>
      </c>
      <c r="E248" s="1136" t="n">
        <f aca="false">C248*D248</f>
        <v>0</v>
      </c>
      <c r="F248" s="1140"/>
      <c r="G248" s="1143"/>
      <c r="H248" s="1145"/>
      <c r="I248" s="1144"/>
      <c r="J248" s="1144"/>
      <c r="K248" s="1136"/>
      <c r="L248" s="1136"/>
    </row>
    <row r="249" customFormat="false" ht="14.15" hidden="false" customHeight="true" outlineLevel="0" collapsed="false">
      <c r="A249" s="1136" t="str">
        <f aca="false">'Прайс лист'!B1173</f>
        <v>соеденитель для желоба</v>
      </c>
      <c r="B249" s="1137" t="s">
        <v>159</v>
      </c>
      <c r="C249" s="1138" t="n">
        <f aca="false">(G76/3+1+L76/3+1)*G183</f>
        <v>2</v>
      </c>
      <c r="D249" s="1136" t="n">
        <f aca="false">'Прайс лист'!G1173</f>
        <v>180</v>
      </c>
      <c r="E249" s="1136" t="n">
        <f aca="false">C249*D249</f>
        <v>360</v>
      </c>
      <c r="F249" s="1140"/>
      <c r="G249" s="1143"/>
      <c r="H249" s="1145"/>
      <c r="I249" s="1136"/>
      <c r="J249" s="1136"/>
      <c r="K249" s="1136"/>
      <c r="L249" s="1136"/>
    </row>
    <row r="250" customFormat="false" ht="14.15" hidden="false" customHeight="true" outlineLevel="0" collapsed="false">
      <c r="A250" s="1136" t="str">
        <f aca="false">'Прайс лист'!B1174</f>
        <v>кронштейн для желоба</v>
      </c>
      <c r="B250" s="1137" t="s">
        <v>159</v>
      </c>
      <c r="C250" s="1138" t="n">
        <f aca="false">(G76+L76)/0.3*G183</f>
        <v>0</v>
      </c>
      <c r="D250" s="1136" t="n">
        <f aca="false">'Прайс лист'!G1174</f>
        <v>130</v>
      </c>
      <c r="E250" s="1136" t="n">
        <f aca="false">C250*D250</f>
        <v>0</v>
      </c>
      <c r="F250" s="1140"/>
      <c r="G250" s="1143"/>
      <c r="H250" s="1145"/>
      <c r="I250" s="1136"/>
      <c r="J250" s="1136"/>
      <c r="K250" s="1136"/>
      <c r="L250" s="1136"/>
    </row>
    <row r="251" customFormat="false" ht="14.15" hidden="false" customHeight="true" outlineLevel="0" collapsed="false">
      <c r="A251" s="1136" t="str">
        <f aca="false">'Прайс лист'!B1175</f>
        <v>переход из желоба в трубу</v>
      </c>
      <c r="B251" s="1137" t="s">
        <v>159</v>
      </c>
      <c r="C251" s="1138" t="n">
        <f aca="false">C246</f>
        <v>0</v>
      </c>
      <c r="D251" s="1136" t="n">
        <f aca="false">'Прайс лист'!G1175</f>
        <v>350</v>
      </c>
      <c r="E251" s="1136" t="n">
        <f aca="false">C251*D251</f>
        <v>0</v>
      </c>
      <c r="F251" s="1140"/>
      <c r="G251" s="1143"/>
      <c r="H251" s="1145"/>
      <c r="I251" s="1136"/>
      <c r="J251" s="1136"/>
      <c r="K251" s="1136"/>
      <c r="L251" s="1136"/>
    </row>
    <row r="252" customFormat="false" ht="14.15" hidden="false" customHeight="true" outlineLevel="0" collapsed="false">
      <c r="A252" s="1136" t="str">
        <f aca="false">'Прайс лист'!B1176</f>
        <v>лента дельта мульти бэнд</v>
      </c>
      <c r="B252" s="1137" t="s">
        <v>159</v>
      </c>
      <c r="C252" s="1138" t="n">
        <f aca="false">(G196+L196)/17*G183</f>
        <v>0</v>
      </c>
      <c r="D252" s="1136" t="n">
        <f aca="false">'Прайс лист'!G1176</f>
        <v>1200</v>
      </c>
      <c r="E252" s="1136" t="n">
        <f aca="false">C252*D252</f>
        <v>0</v>
      </c>
      <c r="F252" s="1140"/>
      <c r="G252" s="1143"/>
      <c r="H252" s="1145"/>
      <c r="I252" s="1136"/>
      <c r="J252" s="1136"/>
      <c r="K252" s="1136"/>
      <c r="L252" s="1136"/>
    </row>
    <row r="253" customFormat="false" ht="14.15" hidden="false" customHeight="true" outlineLevel="0" collapsed="false">
      <c r="A253" s="1136" t="str">
        <f aca="false">'Прайс лист'!B1177</f>
        <v>лента дельта sb-60</v>
      </c>
      <c r="B253" s="1137" t="s">
        <v>159</v>
      </c>
      <c r="C253" s="1138" t="n">
        <f aca="false">(G196+L196)/25*G183</f>
        <v>0</v>
      </c>
      <c r="D253" s="1136" t="n">
        <f aca="false">'Прайс лист'!G1177</f>
        <v>1100</v>
      </c>
      <c r="E253" s="1136" t="n">
        <f aca="false">C253*D253</f>
        <v>0</v>
      </c>
      <c r="F253" s="1140"/>
      <c r="G253" s="1143"/>
      <c r="H253" s="1145"/>
      <c r="I253" s="1136"/>
      <c r="J253" s="1136"/>
      <c r="K253" s="1136"/>
      <c r="L253" s="1136"/>
    </row>
    <row r="254" customFormat="false" ht="14.15" hidden="false" customHeight="true" outlineLevel="0" collapsed="false">
      <c r="A254" s="1136" t="str">
        <f aca="false">'Прайс лист'!B1138</f>
        <v>Кровельный саморез</v>
      </c>
      <c r="B254" s="1137" t="s">
        <v>159</v>
      </c>
      <c r="C254" s="1138" t="n">
        <f aca="false">(G196+L196)*15*G183*F213</f>
        <v>0</v>
      </c>
      <c r="D254" s="1136" t="n">
        <f aca="false">'Прайс лист'!G1138</f>
        <v>2</v>
      </c>
      <c r="E254" s="1136" t="n">
        <f aca="false">C254*D254</f>
        <v>0</v>
      </c>
      <c r="F254" s="1140"/>
      <c r="G254" s="1143"/>
      <c r="H254" s="1145"/>
      <c r="I254" s="1136"/>
      <c r="J254" s="1136"/>
      <c r="K254" s="1136"/>
      <c r="L254" s="1136"/>
    </row>
    <row r="255" customFormat="false" ht="14.15" hidden="false" customHeight="true" outlineLevel="0" collapsed="false">
      <c r="A255" s="1136" t="str">
        <f aca="false">'Прайс лист'!B897</f>
        <v>Гвозди ершоные 3,4 x 60</v>
      </c>
      <c r="B255" s="1137" t="s">
        <v>188</v>
      </c>
      <c r="C255" s="1138" t="n">
        <f aca="false">(G196+L196)/7*G183</f>
        <v>0</v>
      </c>
      <c r="D255" s="1136" t="n">
        <f aca="false">'Прайс лист'!G897</f>
        <v>75.51</v>
      </c>
      <c r="E255" s="1136" t="n">
        <f aca="false">C255*D255</f>
        <v>0</v>
      </c>
      <c r="F255" s="1140"/>
      <c r="G255" s="1143"/>
      <c r="H255" s="1145"/>
      <c r="I255" s="1136"/>
      <c r="J255" s="1136"/>
      <c r="K255" s="1136"/>
      <c r="L255" s="1136"/>
    </row>
    <row r="256" customFormat="false" ht="14.15" hidden="false" customHeight="true" outlineLevel="0" collapsed="false">
      <c r="A256" s="1136" t="str">
        <f aca="false">'Прайс лист'!B898</f>
        <v>Гвозди ершоные 2,8 х 90</v>
      </c>
      <c r="B256" s="1137" t="s">
        <v>188</v>
      </c>
      <c r="C256" s="1138" t="n">
        <f aca="false">(C212+C213+C215)*6*G183</f>
        <v>0</v>
      </c>
      <c r="D256" s="1136" t="n">
        <f aca="false">'Прайс лист'!G898</f>
        <v>76.49</v>
      </c>
      <c r="E256" s="1136" t="n">
        <f aca="false">C256*D256</f>
        <v>0</v>
      </c>
      <c r="F256" s="1140"/>
      <c r="G256" s="1143"/>
      <c r="H256" s="1145"/>
      <c r="I256" s="1136"/>
      <c r="J256" s="1136"/>
      <c r="K256" s="1136"/>
      <c r="L256" s="1136"/>
    </row>
    <row r="257" customFormat="false" ht="14.15" hidden="false" customHeight="true" outlineLevel="0" collapsed="false">
      <c r="A257" s="1136" t="str">
        <f aca="false">'Прайс лист'!B838</f>
        <v>Уголок усиленный 90х70х55х2,5</v>
      </c>
      <c r="B257" s="1137" t="s">
        <v>159</v>
      </c>
      <c r="C257" s="1138" t="n">
        <f aca="false">(C76/C81*C32+D76/D81*D32+E76/E81*E32+F76/F81*F32+H32*H76/H81+I32*I76/I81+J32*J76/J81+K32*K76/K81)*2.2*G183</f>
        <v>0</v>
      </c>
      <c r="D257" s="1136" t="n">
        <f aca="false">'Прайс лист'!G838</f>
        <v>30</v>
      </c>
      <c r="E257" s="1136" t="n">
        <f aca="false">C257*D257</f>
        <v>0</v>
      </c>
      <c r="F257" s="1140"/>
      <c r="G257" s="1143"/>
      <c r="H257" s="1145"/>
      <c r="I257" s="1136"/>
      <c r="J257" s="1136"/>
      <c r="K257" s="1136"/>
      <c r="L257" s="1136"/>
    </row>
    <row r="258" customFormat="false" ht="14.15" hidden="false" customHeight="true" outlineLevel="0" collapsed="false">
      <c r="A258" s="1136" t="str">
        <f aca="false">'Ввод данных'!A412</f>
        <v>Нет техники</v>
      </c>
      <c r="B258" s="1137" t="str">
        <f aca="false">'Ввод данных'!B412</f>
        <v>ед.</v>
      </c>
      <c r="C258" s="1136" t="n">
        <f aca="false">'Ввод данных'!C412</f>
        <v>2</v>
      </c>
      <c r="D258" s="1136" t="n">
        <f aca="false">VLOOKUP(A258,'Прайс лист'!B180:G194,6,0)</f>
        <v>0</v>
      </c>
      <c r="E258" s="1136" t="n">
        <f aca="false">C258*D258</f>
        <v>0</v>
      </c>
      <c r="F258" s="1140"/>
      <c r="G258" s="1143"/>
      <c r="H258" s="1145"/>
      <c r="I258" s="1136"/>
      <c r="J258" s="1136"/>
      <c r="K258" s="1136"/>
      <c r="L258" s="1136"/>
    </row>
    <row r="259" customFormat="false" ht="14.15" hidden="false" customHeight="true" outlineLevel="0" collapsed="false">
      <c r="A259" s="1136" t="str">
        <f aca="false">'Ввод данных'!A413</f>
        <v>Нет техники</v>
      </c>
      <c r="B259" s="1137" t="str">
        <f aca="false">'Ввод данных'!B413</f>
        <v>ед.</v>
      </c>
      <c r="C259" s="1136" t="n">
        <f aca="false">'Ввод данных'!C413</f>
        <v>0</v>
      </c>
      <c r="D259" s="1136" t="n">
        <f aca="false">VLOOKUP(A259,'Прайс лист'!B180:G194,6,0)</f>
        <v>0</v>
      </c>
      <c r="E259" s="1136" t="n">
        <f aca="false">C259*D259</f>
        <v>0</v>
      </c>
      <c r="F259" s="1140"/>
      <c r="G259" s="1143"/>
      <c r="H259" s="1145"/>
      <c r="I259" s="1136"/>
      <c r="J259" s="1136"/>
      <c r="K259" s="1136"/>
      <c r="L259" s="1136"/>
    </row>
    <row r="260" customFormat="false" ht="14.15" hidden="false" customHeight="true" outlineLevel="0" collapsed="false">
      <c r="A260" s="1136" t="str">
        <f aca="false">'Ввод данных'!A415</f>
        <v>расходные материалы пристройки</v>
      </c>
      <c r="B260" s="1137" t="str">
        <f aca="false">'Ввод данных'!B415</f>
        <v>рублей</v>
      </c>
      <c r="C260" s="1138" t="n">
        <f aca="false">1</f>
        <v>1</v>
      </c>
      <c r="D260" s="1136" t="n">
        <f aca="false">'Ввод данных'!C415</f>
        <v>10000</v>
      </c>
      <c r="E260" s="1136" t="n">
        <f aca="false">C260*D260</f>
        <v>10000</v>
      </c>
      <c r="F260" s="1140"/>
      <c r="G260" s="1143"/>
      <c r="H260" s="1145"/>
      <c r="I260" s="1136"/>
      <c r="J260" s="1136"/>
      <c r="K260" s="1136"/>
      <c r="L260" s="1136"/>
    </row>
    <row r="261" customFormat="false" ht="14.15" hidden="false" customHeight="true" outlineLevel="0" collapsed="false">
      <c r="A261" s="1143"/>
      <c r="B261" s="1146"/>
      <c r="C261" s="1143"/>
      <c r="D261" s="1143"/>
      <c r="E261" s="1136" t="n">
        <f aca="false">SUM(E212:E260)</f>
        <v>10360</v>
      </c>
      <c r="F261" s="1140"/>
      <c r="G261" s="1143"/>
      <c r="H261" s="1143"/>
      <c r="I261" s="1143"/>
      <c r="J261" s="1143"/>
      <c r="K261" s="1143"/>
      <c r="L261" s="1136" t="n">
        <f aca="false">SUM(L211:L260)</f>
        <v>0</v>
      </c>
    </row>
    <row r="262" customFormat="false" ht="14.15" hidden="false" customHeight="true" outlineLevel="0" collapsed="false">
      <c r="A262" s="1136" t="s">
        <v>2726</v>
      </c>
      <c r="B262" s="1147" t="n">
        <f aca="false">E261</f>
        <v>10360</v>
      </c>
      <c r="C262" s="1143"/>
      <c r="D262" s="1143"/>
      <c r="E262" s="1143"/>
      <c r="F262" s="1143"/>
      <c r="G262" s="1143"/>
      <c r="H262" s="1134"/>
      <c r="I262" s="1134"/>
      <c r="J262" s="1134"/>
      <c r="K262" s="1134"/>
      <c r="L262" s="1134"/>
      <c r="M262" s="1134"/>
    </row>
    <row r="263" customFormat="false" ht="14.15" hidden="false" customHeight="true" outlineLevel="0" collapsed="false">
      <c r="A263" s="1136" t="s">
        <v>2727</v>
      </c>
      <c r="B263" s="1147" t="n">
        <f aca="false">L261</f>
        <v>0</v>
      </c>
      <c r="C263" s="1143"/>
      <c r="D263" s="1143"/>
      <c r="E263" s="1143"/>
      <c r="F263" s="1143"/>
      <c r="G263" s="1143"/>
      <c r="H263" s="1143"/>
      <c r="I263" s="1143"/>
      <c r="J263" s="1143"/>
      <c r="K263" s="1143"/>
      <c r="L263" s="1143"/>
      <c r="M263" s="1143"/>
    </row>
    <row r="264" customFormat="false" ht="14.15" hidden="false" customHeight="true" outlineLevel="0" collapsed="false">
      <c r="A264" s="1136" t="s">
        <v>2728</v>
      </c>
      <c r="B264" s="1147" t="n">
        <f aca="false">SUM(B262:B263)</f>
        <v>10360</v>
      </c>
      <c r="C264" s="1143"/>
      <c r="D264" s="1143"/>
      <c r="E264" s="1143"/>
      <c r="F264" s="1143"/>
      <c r="G264" s="1143"/>
      <c r="H264" s="1143"/>
      <c r="I264" s="1143"/>
      <c r="J264" s="1143"/>
      <c r="K264" s="1143"/>
      <c r="L264" s="1143"/>
      <c r="M264" s="1143"/>
    </row>
    <row r="265" customFormat="false" ht="14.15" hidden="false" customHeight="true" outlineLevel="0" collapsed="false">
      <c r="G265" s="1148"/>
      <c r="H265" s="1148"/>
      <c r="I265" s="1148"/>
      <c r="J265" s="1148"/>
      <c r="K265" s="1148"/>
      <c r="L265" s="1149"/>
      <c r="M265" s="1148"/>
    </row>
    <row r="270" customFormat="false" ht="14.15" hidden="false" customHeight="true" outlineLevel="0" collapsed="false">
      <c r="A270" s="0" t="s">
        <v>1801</v>
      </c>
      <c r="B270" s="884" t="n">
        <v>1</v>
      </c>
    </row>
    <row r="271" customFormat="false" ht="14.15" hidden="false" customHeight="true" outlineLevel="0" collapsed="false">
      <c r="A271" s="0" t="s">
        <v>1800</v>
      </c>
      <c r="B271" s="884" t="n">
        <v>2</v>
      </c>
    </row>
    <row r="272" customFormat="false" ht="14.15" hidden="false" customHeight="true" outlineLevel="0" collapsed="false">
      <c r="A272" s="0" t="s">
        <v>2729</v>
      </c>
      <c r="B272" s="884" t="n">
        <v>1</v>
      </c>
    </row>
    <row r="273" customFormat="false" ht="14.15" hidden="false" customHeight="true" outlineLevel="0" collapsed="false">
      <c r="A273" s="0" t="s">
        <v>2730</v>
      </c>
      <c r="B273" s="884" t="n">
        <f aca="false">SQRT(B270*B270+B271/2*B271/2)</f>
        <v>1.4142135623731</v>
      </c>
    </row>
    <row r="274" customFormat="false" ht="14.15" hidden="false" customHeight="true" outlineLevel="0" collapsed="false">
      <c r="A274" s="0" t="s">
        <v>2731</v>
      </c>
      <c r="B274" s="884" t="n">
        <f aca="false">B273*B272</f>
        <v>1.4142135623731</v>
      </c>
    </row>
    <row r="275" customFormat="false" ht="14.15" hidden="false" customHeight="true" outlineLevel="0" collapsed="false">
      <c r="A275" s="0" t="s">
        <v>2732</v>
      </c>
    </row>
    <row r="276" customFormat="false" ht="14.15" hidden="false" customHeight="true" outlineLevel="0" collapsed="false">
      <c r="A276" s="0" t="s">
        <v>2733</v>
      </c>
      <c r="B276" s="884" t="n">
        <f aca="false">SQRT(B270*B270+B272*B272)</f>
        <v>1.4142135623731</v>
      </c>
    </row>
  </sheetData>
  <mergeCells count="24">
    <mergeCell ref="AH3:AI3"/>
    <mergeCell ref="AH5:AI8"/>
    <mergeCell ref="C8:F8"/>
    <mergeCell ref="H8:K8"/>
    <mergeCell ref="M8:P8"/>
    <mergeCell ref="AH9:AI10"/>
    <mergeCell ref="AH11:AI31"/>
    <mergeCell ref="C20:F20"/>
    <mergeCell ref="H20:K20"/>
    <mergeCell ref="M20:P20"/>
    <mergeCell ref="C24:F24"/>
    <mergeCell ref="H24:K24"/>
    <mergeCell ref="M24:P24"/>
    <mergeCell ref="AH34:AI34"/>
    <mergeCell ref="AH38:AL38"/>
    <mergeCell ref="AH40:AI42"/>
    <mergeCell ref="AH50:AI51"/>
    <mergeCell ref="AH52:AI52"/>
    <mergeCell ref="AH54:AI54"/>
    <mergeCell ref="A181:A182"/>
    <mergeCell ref="B181:G182"/>
    <mergeCell ref="H181:L182"/>
    <mergeCell ref="M181:Q182"/>
    <mergeCell ref="A183:E18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L2381"/>
  <sheetViews>
    <sheetView showFormulas="false" showGridLines="true" showRowColHeaders="true" showZeros="true" rightToLeft="false" tabSelected="false" showOutlineSymbols="true" defaultGridColor="true" view="normal" topLeftCell="A1684" colorId="64" zoomScale="60" zoomScaleNormal="60" zoomScalePageLayoutView="100" workbookViewId="0">
      <pane xSplit="1" ySplit="0" topLeftCell="G1684" activePane="topRight" state="frozen"/>
      <selection pane="topLeft" activeCell="A1684" activeCellId="0" sqref="A1684"/>
      <selection pane="topRight" activeCell="E1691" activeCellId="0" sqref="E1691"/>
    </sheetView>
  </sheetViews>
  <sheetFormatPr defaultColWidth="9.19140625" defaultRowHeight="15.75" zeroHeight="false" outlineLevelRow="1" outlineLevelCol="0"/>
  <cols>
    <col collapsed="false" customWidth="true" hidden="false" outlineLevel="0" max="1" min="1" style="1150" width="56.16"/>
    <col collapsed="false" customWidth="true" hidden="false" outlineLevel="0" max="2" min="2" style="1151" width="9"/>
    <col collapsed="false" customWidth="true" hidden="false" outlineLevel="0" max="3" min="3" style="1151" width="10"/>
    <col collapsed="false" customWidth="true" hidden="false" outlineLevel="0" max="4" min="4" style="1150" width="8.45"/>
    <col collapsed="false" customWidth="true" hidden="false" outlineLevel="0" max="5" min="5" style="1150" width="11.72"/>
    <col collapsed="false" customWidth="true" hidden="false" outlineLevel="0" max="6" min="6" style="1150" width="7.54"/>
    <col collapsed="false" customWidth="true" hidden="false" outlineLevel="0" max="7" min="7" style="1150" width="32.72"/>
    <col collapsed="false" customWidth="true" hidden="false" outlineLevel="0" max="8" min="8" style="1150" width="15.18"/>
    <col collapsed="false" customWidth="true" hidden="false" outlineLevel="0" max="9" min="9" style="1152" width="11.27"/>
    <col collapsed="false" customWidth="true" hidden="false" outlineLevel="0" max="10" min="10" style="1150" width="10"/>
    <col collapsed="false" customWidth="true" hidden="false" outlineLevel="0" max="11" min="11" style="1150" width="11.45"/>
    <col collapsed="false" customWidth="true" hidden="false" outlineLevel="0" max="14" min="12" style="1150" width="9.27"/>
    <col collapsed="false" customWidth="true" hidden="false" outlineLevel="0" max="15" min="15" style="1150" width="9.82"/>
    <col collapsed="false" customWidth="true" hidden="false" outlineLevel="0" max="16" min="16" style="1150" width="10.73"/>
    <col collapsed="false" customWidth="true" hidden="false" outlineLevel="0" max="17" min="17" style="1150" width="12.44"/>
    <col collapsed="false" customWidth="true" hidden="false" outlineLevel="0" max="18" min="18" style="1150" width="9.73"/>
    <col collapsed="false" customWidth="true" hidden="false" outlineLevel="0" max="19" min="19" style="1150" width="11.72"/>
    <col collapsed="false" customWidth="true" hidden="false" outlineLevel="0" max="20" min="20" style="1150" width="8.27"/>
    <col collapsed="false" customWidth="true" hidden="false" outlineLevel="0" max="21" min="21" style="1150" width="10"/>
    <col collapsed="false" customWidth="false" hidden="false" outlineLevel="0" max="22" min="22" style="1150" width="9.18"/>
    <col collapsed="false" customWidth="true" hidden="false" outlineLevel="0" max="24" min="23" style="1150" width="8.18"/>
    <col collapsed="false" customWidth="false" hidden="false" outlineLevel="0" max="29" min="25" style="1150" width="9.18"/>
    <col collapsed="false" customWidth="true" hidden="false" outlineLevel="0" max="30" min="30" style="1150" width="13.29"/>
    <col collapsed="false" customWidth="false" hidden="false" outlineLevel="0" max="32" min="31" style="1150" width="9.18"/>
    <col collapsed="false" customWidth="true" hidden="false" outlineLevel="0" max="33" min="33" style="1150" width="10.54"/>
    <col collapsed="false" customWidth="false" hidden="false" outlineLevel="0" max="37" min="34" style="1150" width="9.18"/>
    <col collapsed="false" customWidth="true" hidden="false" outlineLevel="0" max="38" min="38" style="1150" width="17.45"/>
    <col collapsed="false" customWidth="false" hidden="false" outlineLevel="0" max="43" min="39" style="1150" width="9.18"/>
    <col collapsed="false" customWidth="true" hidden="false" outlineLevel="0" max="44" min="44" style="1150" width="10.99"/>
    <col collapsed="false" customWidth="false" hidden="false" outlineLevel="0" max="46" min="45" style="1150" width="9.18"/>
    <col collapsed="false" customWidth="true" hidden="false" outlineLevel="0" max="47" min="47" style="1150" width="11.99"/>
    <col collapsed="false" customWidth="false" hidden="false" outlineLevel="0" max="1024" min="48" style="1150" width="9.18"/>
  </cols>
  <sheetData>
    <row r="1" customFormat="false" ht="15.75" hidden="false" customHeight="true" outlineLevel="0" collapsed="false">
      <c r="A1" s="1153" t="s">
        <v>2734</v>
      </c>
      <c r="B1" s="1154" t="n">
        <v>0</v>
      </c>
      <c r="C1" s="986"/>
      <c r="D1" s="1155"/>
      <c r="E1" s="1156"/>
      <c r="I1" s="1157"/>
      <c r="J1" s="1158"/>
      <c r="K1" s="1158"/>
      <c r="L1" s="1158"/>
      <c r="M1" s="1158"/>
      <c r="N1" s="1158"/>
      <c r="O1" s="1158"/>
      <c r="P1" s="1158"/>
      <c r="Q1" s="1158"/>
      <c r="R1" s="1158"/>
      <c r="S1" s="1158"/>
      <c r="T1" s="1158"/>
      <c r="U1" s="1158"/>
      <c r="V1" s="1158"/>
      <c r="W1" s="1158"/>
      <c r="X1" s="1158"/>
      <c r="Y1" s="1158"/>
      <c r="Z1" s="1159"/>
      <c r="AD1" s="1159"/>
      <c r="AE1" s="1160" t="s">
        <v>2735</v>
      </c>
      <c r="AF1" s="1160"/>
      <c r="AG1" s="1160"/>
      <c r="AH1" s="1160"/>
      <c r="AI1" s="1161" t="s">
        <v>2546</v>
      </c>
      <c r="AJ1" s="1161" t="s">
        <v>2543</v>
      </c>
      <c r="AL1" s="1162" t="s">
        <v>2736</v>
      </c>
      <c r="AM1" s="1162"/>
      <c r="AN1" s="1159"/>
    </row>
    <row r="2" customFormat="false" ht="15.75" hidden="false" customHeight="true" outlineLevel="0" collapsed="false">
      <c r="A2" s="1153" t="s">
        <v>2734</v>
      </c>
      <c r="B2" s="1154" t="n">
        <v>1</v>
      </c>
      <c r="C2" s="986" t="n">
        <f aca="false">VLOOKUP('Ввод данных'!A3,связи1!F2:G3,2,0)</f>
        <v>1</v>
      </c>
      <c r="D2" s="1155"/>
      <c r="E2" s="1156"/>
      <c r="I2" s="1163"/>
      <c r="J2" s="1164"/>
      <c r="K2" s="1164"/>
      <c r="L2" s="1165"/>
      <c r="M2" s="1166" t="s">
        <v>2735</v>
      </c>
      <c r="N2" s="1167"/>
      <c r="O2" s="1167"/>
      <c r="P2" s="1168"/>
      <c r="Q2" s="1169" t="s">
        <v>2546</v>
      </c>
      <c r="R2" s="1169" t="s">
        <v>2543</v>
      </c>
      <c r="S2" s="1164"/>
      <c r="T2" s="1166" t="s">
        <v>2735</v>
      </c>
      <c r="U2" s="1167"/>
      <c r="V2" s="1167"/>
      <c r="W2" s="1168"/>
      <c r="X2" s="1169" t="s">
        <v>2546</v>
      </c>
      <c r="Y2" s="1169" t="s">
        <v>2543</v>
      </c>
      <c r="Z2" s="1159"/>
      <c r="AD2" s="1159"/>
      <c r="AE2" s="1160"/>
      <c r="AF2" s="1160"/>
      <c r="AG2" s="1160"/>
      <c r="AH2" s="1160"/>
      <c r="AI2" s="1161"/>
      <c r="AJ2" s="1161"/>
      <c r="AL2" s="1170" t="s">
        <v>2737</v>
      </c>
      <c r="AM2" s="1162" t="n">
        <v>1</v>
      </c>
      <c r="AN2" s="1159"/>
    </row>
    <row r="3" customFormat="false" ht="15.75" hidden="false" customHeight="true" outlineLevel="0" collapsed="false">
      <c r="A3" s="548" t="s">
        <v>2738</v>
      </c>
      <c r="B3" s="1171" t="s">
        <v>156</v>
      </c>
      <c r="C3" s="1171" t="n">
        <f aca="false">'Ввод данных'!BD18</f>
        <v>0</v>
      </c>
      <c r="F3" s="348"/>
      <c r="G3" s="444"/>
      <c r="H3" s="444"/>
      <c r="I3" s="489"/>
      <c r="J3" s="444"/>
      <c r="K3" s="444"/>
      <c r="L3" s="1172"/>
      <c r="M3" s="1173"/>
      <c r="N3" s="1174"/>
      <c r="O3" s="1174"/>
      <c r="P3" s="1175"/>
      <c r="Q3" s="1176"/>
      <c r="R3" s="1176"/>
      <c r="S3" s="444"/>
      <c r="T3" s="1173"/>
      <c r="U3" s="1174"/>
      <c r="V3" s="1174"/>
      <c r="W3" s="1175"/>
      <c r="X3" s="1176"/>
      <c r="Y3" s="1176"/>
      <c r="Z3" s="1159"/>
      <c r="AD3" s="1159"/>
      <c r="AE3" s="1177" t="s">
        <v>2739</v>
      </c>
      <c r="AF3" s="1177"/>
      <c r="AG3" s="1177"/>
      <c r="AH3" s="1178" t="s">
        <v>156</v>
      </c>
      <c r="AI3" s="1179" t="n">
        <f aca="false">'Ввод данных'!C12</f>
        <v>10</v>
      </c>
      <c r="AJ3" s="369" t="n">
        <f aca="false">AI3</f>
        <v>10</v>
      </c>
      <c r="AL3" s="1170" t="s">
        <v>2740</v>
      </c>
      <c r="AM3" s="1162" t="n">
        <v>0</v>
      </c>
      <c r="AN3" s="1159"/>
    </row>
    <row r="4" customFormat="false" ht="15.75" hidden="false" customHeight="true" outlineLevel="0" collapsed="false">
      <c r="A4" s="548" t="s">
        <v>2741</v>
      </c>
      <c r="B4" s="1171" t="s">
        <v>156</v>
      </c>
      <c r="C4" s="1171" t="n">
        <f aca="false">'Ввод данных'!BD32</f>
        <v>0.2</v>
      </c>
      <c r="F4" s="348" t="s">
        <v>2742</v>
      </c>
      <c r="G4" s="444" t="n">
        <f aca="false">(C3+C9)*('Ввод данных'!C11+'Ввод данных'!C12)*2+(SQRT(дома!D16/2*дома!D16/2+(C11-C10)*(C11-C10)))*4</f>
        <v>210.922478051031</v>
      </c>
      <c r="H4" s="444"/>
      <c r="I4" s="489"/>
      <c r="J4" s="444" t="n">
        <f aca="false">'Ввод данных'!BC18</f>
        <v>1</v>
      </c>
      <c r="K4" s="444" t="n">
        <f aca="false">'Ввод данных'!BD18</f>
        <v>0</v>
      </c>
      <c r="L4" s="1172"/>
      <c r="M4" s="405" t="s">
        <v>2743</v>
      </c>
      <c r="N4" s="1180"/>
      <c r="O4" s="1181"/>
      <c r="P4" s="263" t="s">
        <v>156</v>
      </c>
      <c r="Q4" s="1179" t="n">
        <f aca="false">дома!C1132</f>
        <v>10</v>
      </c>
      <c r="R4" s="369" t="n">
        <f aca="false">Q4</f>
        <v>10</v>
      </c>
      <c r="S4" s="444"/>
      <c r="T4" s="534" t="s">
        <v>2739</v>
      </c>
      <c r="U4" s="723"/>
      <c r="V4" s="754"/>
      <c r="W4" s="680" t="s">
        <v>156</v>
      </c>
      <c r="X4" s="1179" t="n">
        <f aca="false">дома!F1132</f>
        <v>10</v>
      </c>
      <c r="Y4" s="369" t="n">
        <f aca="false">X4</f>
        <v>10</v>
      </c>
      <c r="Z4" s="1159"/>
      <c r="AD4" s="1159"/>
      <c r="AE4" s="1177" t="s">
        <v>2744</v>
      </c>
      <c r="AF4" s="1177"/>
      <c r="AG4" s="1177"/>
      <c r="AH4" s="1178" t="s">
        <v>156</v>
      </c>
      <c r="AI4" s="1179" t="n">
        <f aca="false">'Ввод данных'!C11</f>
        <v>10</v>
      </c>
      <c r="AJ4" s="369" t="n">
        <f aca="false">AI4</f>
        <v>10</v>
      </c>
      <c r="AL4" s="1182"/>
      <c r="AM4" s="1183"/>
      <c r="AN4" s="1159"/>
    </row>
    <row r="5" customFormat="false" ht="15.75" hidden="false" customHeight="true" outlineLevel="0" collapsed="false">
      <c r="A5" s="548" t="s">
        <v>2745</v>
      </c>
      <c r="B5" s="1171" t="s">
        <v>156</v>
      </c>
      <c r="C5" s="1171" t="n">
        <f aca="false">'Ввод данных'!BD33</f>
        <v>3</v>
      </c>
      <c r="F5" s="348"/>
      <c r="G5" s="348"/>
      <c r="H5" s="348"/>
      <c r="I5" s="489"/>
      <c r="J5" s="444" t="n">
        <f aca="false">'Ввод данных'!BC32</f>
        <v>2</v>
      </c>
      <c r="K5" s="444" t="n">
        <f aca="false">'Ввод данных'!BD32</f>
        <v>0.2</v>
      </c>
      <c r="L5" s="1172"/>
      <c r="M5" s="903" t="s">
        <v>2746</v>
      </c>
      <c r="N5" s="903"/>
      <c r="O5" s="903"/>
      <c r="P5" s="925" t="s">
        <v>156</v>
      </c>
      <c r="Q5" s="1184" t="n">
        <f aca="false">'Ввод данных'!C11</f>
        <v>10</v>
      </c>
      <c r="R5" s="369" t="n">
        <f aca="false">Q5</f>
        <v>10</v>
      </c>
      <c r="S5" s="348"/>
      <c r="T5" s="534" t="s">
        <v>2744</v>
      </c>
      <c r="U5" s="723"/>
      <c r="V5" s="754"/>
      <c r="W5" s="680" t="s">
        <v>156</v>
      </c>
      <c r="X5" s="1179" t="n">
        <f aca="false">дома!F1133</f>
        <v>10</v>
      </c>
      <c r="Y5" s="369" t="n">
        <f aca="false">X5</f>
        <v>10</v>
      </c>
      <c r="Z5" s="1159"/>
      <c r="AD5" s="1159"/>
      <c r="AE5" s="795" t="s">
        <v>2705</v>
      </c>
      <c r="AF5" s="795"/>
      <c r="AG5" s="795"/>
      <c r="AH5" s="1185" t="s">
        <v>156</v>
      </c>
      <c r="AI5" s="1179" t="n">
        <f aca="false">дома!J1130</f>
        <v>38</v>
      </c>
      <c r="AJ5" s="369" t="n">
        <f aca="false">дома!K1130</f>
        <v>50.9829249066431</v>
      </c>
      <c r="AL5" s="1182" t="s">
        <v>2747</v>
      </c>
      <c r="AM5" s="1183"/>
      <c r="AN5" s="1159"/>
    </row>
    <row r="6" customFormat="false" ht="15.75" hidden="false" customHeight="true" outlineLevel="0" collapsed="false">
      <c r="A6" s="548" t="s">
        <v>2748</v>
      </c>
      <c r="B6" s="1171" t="s">
        <v>156</v>
      </c>
      <c r="C6" s="1171" t="n">
        <f aca="false">'Ввод данных'!BD38</f>
        <v>3.2</v>
      </c>
      <c r="F6" s="348"/>
      <c r="G6" s="348"/>
      <c r="H6" s="348"/>
      <c r="I6" s="489"/>
      <c r="J6" s="444" t="n">
        <f aca="false">'Ввод данных'!BC33</f>
        <v>3</v>
      </c>
      <c r="K6" s="444" t="n">
        <f aca="false">'Ввод данных'!BD33</f>
        <v>3</v>
      </c>
      <c r="L6" s="1172"/>
      <c r="M6" s="1186" t="s">
        <v>2705</v>
      </c>
      <c r="N6" s="1187"/>
      <c r="O6" s="1188"/>
      <c r="P6" s="1185" t="s">
        <v>156</v>
      </c>
      <c r="Q6" s="1179" t="n">
        <f aca="false">дома!C1130</f>
        <v>48.2842712474619</v>
      </c>
      <c r="R6" s="369"/>
      <c r="S6" s="952"/>
      <c r="T6" s="534" t="s">
        <v>2749</v>
      </c>
      <c r="U6" s="723"/>
      <c r="V6" s="754"/>
      <c r="W6" s="680" t="s">
        <v>156</v>
      </c>
      <c r="X6" s="1179" t="n">
        <f aca="false">дома!F1135</f>
        <v>5</v>
      </c>
      <c r="Y6" s="369" t="n">
        <f aca="false">дома!G1135</f>
        <v>3.8</v>
      </c>
      <c r="Z6" s="1159"/>
      <c r="AD6" s="1159"/>
      <c r="AE6" s="1177" t="s">
        <v>1976</v>
      </c>
      <c r="AF6" s="1177"/>
      <c r="AG6" s="1177"/>
      <c r="AH6" s="1178" t="s">
        <v>156</v>
      </c>
      <c r="AI6" s="1179" t="n">
        <v>1</v>
      </c>
      <c r="AJ6" s="369" t="n">
        <f aca="false">дома!K1122-дома!K1119</f>
        <v>1.08</v>
      </c>
      <c r="AL6" s="1182" t="s">
        <v>1058</v>
      </c>
      <c r="AM6" s="1183" t="n">
        <v>1</v>
      </c>
      <c r="AN6" s="1159"/>
    </row>
    <row r="7" customFormat="false" ht="15.75" hidden="false" customHeight="true" outlineLevel="0" collapsed="false">
      <c r="A7" s="1189" t="s">
        <v>2750</v>
      </c>
      <c r="B7" s="1178" t="s">
        <v>156</v>
      </c>
      <c r="C7" s="1171" t="n">
        <f aca="false">'Ввод данных'!BD39</f>
        <v>5.2</v>
      </c>
      <c r="F7" s="348"/>
      <c r="G7" s="348"/>
      <c r="H7" s="348"/>
      <c r="I7" s="489"/>
      <c r="J7" s="444" t="n">
        <f aca="false">'Ввод данных'!BC38</f>
        <v>4</v>
      </c>
      <c r="K7" s="444" t="n">
        <f aca="false">'Ввод данных'!BD38</f>
        <v>3.2</v>
      </c>
      <c r="L7" s="1172"/>
      <c r="M7" s="534" t="s">
        <v>2751</v>
      </c>
      <c r="N7" s="723"/>
      <c r="O7" s="754"/>
      <c r="P7" s="680" t="s">
        <v>156</v>
      </c>
      <c r="Q7" s="369" t="n">
        <f aca="false">'Ввод данных'!C16</f>
        <v>2.2</v>
      </c>
      <c r="R7" s="369" t="n">
        <f aca="false">дома!D21</f>
        <v>2</v>
      </c>
      <c r="S7" s="952"/>
      <c r="T7" s="1186" t="s">
        <v>2705</v>
      </c>
      <c r="U7" s="1187"/>
      <c r="V7" s="1188"/>
      <c r="W7" s="1185" t="s">
        <v>156</v>
      </c>
      <c r="X7" s="1179" t="n">
        <f aca="false">дома!F1130</f>
        <v>40</v>
      </c>
      <c r="Y7" s="369" t="n">
        <f aca="false">дома!G1197</f>
        <v>84</v>
      </c>
      <c r="Z7" s="1159"/>
      <c r="AD7" s="1159"/>
      <c r="AE7" s="261" t="s">
        <v>2752</v>
      </c>
      <c r="AF7" s="261"/>
      <c r="AG7" s="261"/>
      <c r="AH7" s="263" t="s">
        <v>156</v>
      </c>
      <c r="AI7" s="1179" t="n">
        <f aca="false">дома!J1167</f>
        <v>5.02493781056045</v>
      </c>
      <c r="AJ7" s="369" t="e">
        <f aca="false">дома!#REF!</f>
        <v>#VALUE!</v>
      </c>
      <c r="AL7" s="1182" t="s">
        <v>1066</v>
      </c>
      <c r="AM7" s="1183" t="n">
        <v>1</v>
      </c>
      <c r="AN7" s="1159"/>
    </row>
    <row r="8" customFormat="false" ht="15.75" hidden="false" customHeight="true" outlineLevel="0" collapsed="false">
      <c r="A8" s="548" t="s">
        <v>2753</v>
      </c>
      <c r="B8" s="1171" t="s">
        <v>156</v>
      </c>
      <c r="C8" s="1171" t="n">
        <f aca="false">'Ввод данных'!BD43</f>
        <v>5.3</v>
      </c>
      <c r="F8" s="348"/>
      <c r="G8" s="348"/>
      <c r="H8" s="348"/>
      <c r="I8" s="489"/>
      <c r="J8" s="444" t="n">
        <f aca="false">'Ввод данных'!BC39</f>
        <v>5</v>
      </c>
      <c r="K8" s="444" t="n">
        <f aca="false">'Ввод данных'!BD39</f>
        <v>5.2</v>
      </c>
      <c r="L8" s="1172"/>
      <c r="M8" s="534" t="s">
        <v>2754</v>
      </c>
      <c r="N8" s="723"/>
      <c r="O8" s="754"/>
      <c r="P8" s="680" t="s">
        <v>156</v>
      </c>
      <c r="Q8" s="369" t="n">
        <f aca="false">дома!C24</f>
        <v>0</v>
      </c>
      <c r="R8" s="369" t="n">
        <f aca="false">дома!D24</f>
        <v>0.0999999999999996</v>
      </c>
      <c r="S8" s="952"/>
      <c r="T8" s="405" t="s">
        <v>2752</v>
      </c>
      <c r="U8" s="1180"/>
      <c r="V8" s="1181"/>
      <c r="W8" s="263" t="s">
        <v>156</v>
      </c>
      <c r="X8" s="1179" t="n">
        <f aca="false">дома!F1167</f>
        <v>7.43303437365925</v>
      </c>
      <c r="Y8" s="369" t="n">
        <f aca="false">дома!G1167</f>
        <v>5.337113440966</v>
      </c>
      <c r="Z8" s="1159"/>
      <c r="AD8" s="1159"/>
      <c r="AE8" s="261" t="s">
        <v>2755</v>
      </c>
      <c r="AF8" s="261"/>
      <c r="AG8" s="261"/>
      <c r="AH8" s="263" t="s">
        <v>156</v>
      </c>
      <c r="AI8" s="1179" t="n">
        <f aca="false">дома!J1159</f>
        <v>5.3851648071345</v>
      </c>
      <c r="AJ8" s="369" t="n">
        <f aca="false">дома!K1159</f>
        <v>2.65654791471276</v>
      </c>
      <c r="AL8" s="1182" t="s">
        <v>1068</v>
      </c>
      <c r="AM8" s="1183" t="n">
        <v>1</v>
      </c>
      <c r="AN8" s="1159"/>
    </row>
    <row r="9" customFormat="false" ht="15.75" hidden="false" customHeight="true" outlineLevel="0" collapsed="false">
      <c r="A9" s="548" t="s">
        <v>2007</v>
      </c>
      <c r="B9" s="1171" t="s">
        <v>156</v>
      </c>
      <c r="C9" s="1171" t="n">
        <f aca="false">'Ввод данных'!BD209</f>
        <v>4.7</v>
      </c>
      <c r="F9" s="1023"/>
      <c r="G9" s="348"/>
      <c r="H9" s="348"/>
      <c r="I9" s="489"/>
      <c r="J9" s="444" t="n">
        <f aca="false">'Ввод данных'!BC43</f>
        <v>6</v>
      </c>
      <c r="K9" s="444" t="n">
        <f aca="false">'Ввод данных'!BD43</f>
        <v>5.3</v>
      </c>
      <c r="L9" s="1172"/>
      <c r="M9" s="534" t="s">
        <v>2756</v>
      </c>
      <c r="N9" s="723"/>
      <c r="O9" s="754"/>
      <c r="P9" s="680" t="s">
        <v>156</v>
      </c>
      <c r="Q9" s="1179" t="n">
        <f aca="false">дома!C1135</f>
        <v>5</v>
      </c>
      <c r="R9" s="369" t="n">
        <f aca="false">дома!D22</f>
        <v>2.5</v>
      </c>
      <c r="S9" s="952"/>
      <c r="T9" s="405" t="s">
        <v>2755</v>
      </c>
      <c r="U9" s="1180"/>
      <c r="V9" s="1181"/>
      <c r="W9" s="263" t="s">
        <v>156</v>
      </c>
      <c r="X9" s="1179" t="n">
        <f aca="false">дома!F1159</f>
        <v>5.8309518948453</v>
      </c>
      <c r="Y9" s="369" t="n">
        <f aca="false">дома!G1159</f>
        <v>4.71151670234873</v>
      </c>
      <c r="Z9" s="1159"/>
      <c r="AD9" s="1159"/>
      <c r="AE9" s="1177" t="s">
        <v>2757</v>
      </c>
      <c r="AF9" s="1177"/>
      <c r="AG9" s="1177"/>
      <c r="AH9" s="1178" t="s">
        <v>156</v>
      </c>
      <c r="AI9" s="1179" t="e">
        <f aca="false">дома!#REF!</f>
        <v>#VALUE!</v>
      </c>
      <c r="AJ9" s="369" t="e">
        <f aca="false">дома!#REF!</f>
        <v>#VALUE!</v>
      </c>
      <c r="AL9" s="1182" t="s">
        <v>2758</v>
      </c>
      <c r="AM9" s="1183" t="n">
        <v>1</v>
      </c>
      <c r="AN9" s="1159"/>
    </row>
    <row r="10" customFormat="false" ht="15.75" hidden="false" customHeight="true" outlineLevel="0" collapsed="false">
      <c r="A10" s="548" t="s">
        <v>2759</v>
      </c>
      <c r="B10" s="1171" t="s">
        <v>156</v>
      </c>
      <c r="C10" s="1171" t="n">
        <f aca="false">'Ввод данных'!BD212</f>
        <v>5</v>
      </c>
      <c r="F10" s="1023"/>
      <c r="G10" s="348"/>
      <c r="H10" s="348"/>
      <c r="I10" s="489"/>
      <c r="J10" s="444"/>
      <c r="K10" s="444"/>
      <c r="L10" s="1172"/>
      <c r="M10" s="534" t="s">
        <v>1931</v>
      </c>
      <c r="N10" s="723"/>
      <c r="O10" s="754"/>
      <c r="P10" s="680" t="s">
        <v>156</v>
      </c>
      <c r="Q10" s="369" t="n">
        <f aca="false">дома!C23</f>
        <v>0</v>
      </c>
      <c r="R10" s="369" t="n">
        <f aca="false">дома!D23</f>
        <v>2.1</v>
      </c>
      <c r="S10" s="952"/>
      <c r="T10" s="534" t="s">
        <v>2757</v>
      </c>
      <c r="U10" s="723"/>
      <c r="V10" s="754"/>
      <c r="W10" s="680" t="s">
        <v>156</v>
      </c>
      <c r="X10" s="1179" t="n">
        <f aca="false">дома!F1170</f>
        <v>8.58750020072825</v>
      </c>
      <c r="Y10" s="369" t="n">
        <f aca="false">дома!G1170</f>
        <v>5.12129185314407</v>
      </c>
      <c r="Z10" s="1159"/>
      <c r="AD10" s="1159"/>
      <c r="AE10" s="1177" t="s">
        <v>2760</v>
      </c>
      <c r="AF10" s="1177"/>
      <c r="AG10" s="1177"/>
      <c r="AH10" s="1178" t="s">
        <v>156</v>
      </c>
      <c r="AI10" s="369" t="n">
        <f aca="false">'Ввод данных'!C289</f>
        <v>0.1</v>
      </c>
      <c r="AJ10" s="369" t="e">
        <f aca="false">дома!#REF!</f>
        <v>#VALUE!</v>
      </c>
      <c r="AL10" s="1182"/>
      <c r="AM10" s="1183"/>
      <c r="AN10" s="1159"/>
    </row>
    <row r="11" customFormat="false" ht="15.75" hidden="false" customHeight="true" outlineLevel="0" collapsed="false">
      <c r="A11" s="1189" t="s">
        <v>1945</v>
      </c>
      <c r="B11" s="1190" t="s">
        <v>156</v>
      </c>
      <c r="C11" s="1190" t="n">
        <f aca="false">'Ввод данных'!BD213</f>
        <v>7.8</v>
      </c>
      <c r="F11" s="1023"/>
      <c r="G11" s="348"/>
      <c r="H11" s="348"/>
      <c r="I11" s="489"/>
      <c r="J11" s="444"/>
      <c r="K11" s="444"/>
      <c r="L11" s="1172"/>
      <c r="M11" s="405" t="s">
        <v>2600</v>
      </c>
      <c r="N11" s="1180"/>
      <c r="O11" s="1181"/>
      <c r="P11" s="263" t="s">
        <v>156</v>
      </c>
      <c r="Q11" s="1179" t="n">
        <f aca="false">дома!C1140</f>
        <v>7.07106781186548</v>
      </c>
      <c r="R11" s="369" t="n">
        <f aca="false">дома!D1167-дома!D1125</f>
        <v>2.88763683178689</v>
      </c>
      <c r="S11" s="952"/>
      <c r="T11" s="534" t="s">
        <v>2761</v>
      </c>
      <c r="U11" s="723"/>
      <c r="V11" s="754"/>
      <c r="W11" s="680" t="s">
        <v>156</v>
      </c>
      <c r="X11" s="369" t="n">
        <f aca="false">'Ввод данных'!C248</f>
        <v>5</v>
      </c>
      <c r="Y11" s="369" t="n">
        <f aca="false">дома!G1164</f>
        <v>4.69178642196983</v>
      </c>
      <c r="Z11" s="1159"/>
      <c r="AD11" s="1159"/>
      <c r="AE11" s="1177" t="s">
        <v>2762</v>
      </c>
      <c r="AF11" s="1177"/>
      <c r="AG11" s="1177"/>
      <c r="AH11" s="1178" t="s">
        <v>156</v>
      </c>
      <c r="AI11" s="369" t="n">
        <f aca="false">'Ввод данных'!C286</f>
        <v>6</v>
      </c>
      <c r="AJ11" s="369" t="e">
        <f aca="false">дома!#REF!</f>
        <v>#VALUE!</v>
      </c>
      <c r="AL11" s="1182" t="s">
        <v>1820</v>
      </c>
      <c r="AM11" s="1183"/>
      <c r="AN11" s="1159"/>
    </row>
    <row r="12" customFormat="false" ht="15.75" hidden="false" customHeight="true" outlineLevel="0" collapsed="false">
      <c r="A12" s="1191" t="s">
        <v>2763</v>
      </c>
      <c r="B12" s="1192"/>
      <c r="C12" s="1192" t="n">
        <f aca="false">'Ввод данных'!BD214</f>
        <v>8.1</v>
      </c>
      <c r="F12" s="1193"/>
      <c r="G12" s="348"/>
      <c r="H12" s="348"/>
      <c r="I12" s="1194" t="s">
        <v>2764</v>
      </c>
      <c r="J12" s="1195" t="n">
        <v>1</v>
      </c>
      <c r="K12" s="444"/>
      <c r="L12" s="1172"/>
      <c r="M12" s="534" t="s">
        <v>2765</v>
      </c>
      <c r="N12" s="723"/>
      <c r="O12" s="754"/>
      <c r="P12" s="680" t="s">
        <v>156</v>
      </c>
      <c r="Q12" s="1179" t="n">
        <f aca="false">дома!C1167</f>
        <v>7.72875088113464</v>
      </c>
      <c r="R12" s="369" t="n">
        <f aca="false">дома!D1167</f>
        <v>3.58066967141574</v>
      </c>
      <c r="S12" s="952"/>
      <c r="T12" s="405" t="s">
        <v>2766</v>
      </c>
      <c r="U12" s="1180"/>
      <c r="V12" s="1181"/>
      <c r="W12" s="263" t="s">
        <v>133</v>
      </c>
      <c r="X12" s="1179" t="n">
        <f aca="false">дома!F1179</f>
        <v>21</v>
      </c>
      <c r="Y12" s="369" t="n">
        <f aca="false">X12</f>
        <v>21</v>
      </c>
      <c r="Z12" s="1159"/>
      <c r="AD12" s="1159"/>
      <c r="AE12" s="261" t="s">
        <v>2766</v>
      </c>
      <c r="AF12" s="261"/>
      <c r="AG12" s="261"/>
      <c r="AH12" s="263" t="s">
        <v>133</v>
      </c>
      <c r="AI12" s="1179" t="n">
        <f aca="false">дома!J1179</f>
        <v>30.0498756211209</v>
      </c>
      <c r="AJ12" s="369" t="n">
        <f aca="false">AI12</f>
        <v>30.0498756211209</v>
      </c>
      <c r="AL12" s="1182" t="s">
        <v>1821</v>
      </c>
      <c r="AM12" s="1183" t="n">
        <v>1</v>
      </c>
      <c r="AN12" s="1159"/>
    </row>
    <row r="13" customFormat="false" ht="15.75" hidden="false" customHeight="true" outlineLevel="0" collapsed="false">
      <c r="A13" s="548" t="s">
        <v>2767</v>
      </c>
      <c r="B13" s="1171" t="s">
        <v>1937</v>
      </c>
      <c r="C13" s="1196" t="n">
        <v>25</v>
      </c>
      <c r="F13" s="348"/>
      <c r="G13" s="348"/>
      <c r="H13" s="348"/>
      <c r="I13" s="489"/>
      <c r="J13" s="444"/>
      <c r="K13" s="444"/>
      <c r="L13" s="1172"/>
      <c r="M13" s="534" t="s">
        <v>2768</v>
      </c>
      <c r="N13" s="723"/>
      <c r="O13" s="754"/>
      <c r="P13" s="680" t="s">
        <v>156</v>
      </c>
      <c r="Q13" s="1179" t="n">
        <f aca="false">дома!C1164</f>
        <v>11.6</v>
      </c>
      <c r="R13" s="369" t="n">
        <f aca="false">дома!D1164</f>
        <v>11.6</v>
      </c>
      <c r="S13" s="952"/>
      <c r="T13" s="405" t="s">
        <v>2769</v>
      </c>
      <c r="U13" s="1180"/>
      <c r="V13" s="1181"/>
      <c r="W13" s="680" t="s">
        <v>133</v>
      </c>
      <c r="X13" s="1179" t="n">
        <f aca="false">дома!F1181</f>
        <v>191.474496270525</v>
      </c>
      <c r="Y13" s="369" t="e">
        <f aca="false">дома!#REF!</f>
        <v>#VALUE!</v>
      </c>
      <c r="Z13" s="1159"/>
      <c r="AD13" s="1159"/>
      <c r="AE13" s="261" t="s">
        <v>2769</v>
      </c>
      <c r="AF13" s="261"/>
      <c r="AG13" s="261"/>
      <c r="AH13" s="1178" t="s">
        <v>133</v>
      </c>
      <c r="AI13" s="1179" t="n">
        <f aca="false">дома!J1181</f>
        <v>237.835254222269</v>
      </c>
      <c r="AJ13" s="369" t="e">
        <f aca="false">дома!#REF!</f>
        <v>#VALUE!</v>
      </c>
      <c r="AL13" s="1197" t="s">
        <v>1798</v>
      </c>
      <c r="AM13" s="1198" t="n">
        <v>0</v>
      </c>
      <c r="AN13" s="1159"/>
    </row>
    <row r="14" customFormat="false" ht="15.75" hidden="false" customHeight="true" outlineLevel="0" collapsed="false">
      <c r="A14" s="1199" t="s">
        <v>1093</v>
      </c>
      <c r="B14" s="1200" t="s">
        <v>120</v>
      </c>
      <c r="C14" s="1200" t="s">
        <v>1753</v>
      </c>
      <c r="D14" s="998" t="s">
        <v>2770</v>
      </c>
      <c r="F14" s="1150" t="s">
        <v>2771</v>
      </c>
      <c r="G14" s="461" t="s">
        <v>2772</v>
      </c>
      <c r="H14" s="461"/>
      <c r="L14" s="1159"/>
      <c r="M14" s="405" t="s">
        <v>2773</v>
      </c>
      <c r="N14" s="1180"/>
      <c r="O14" s="1181"/>
      <c r="P14" s="263" t="s">
        <v>133</v>
      </c>
      <c r="Q14" s="1179" t="n">
        <f aca="false">дома!C1177</f>
        <v>141.42135623731</v>
      </c>
      <c r="R14" s="369" t="n">
        <f aca="false">дома!D1177</f>
        <v>57.7527366357378</v>
      </c>
      <c r="T14" s="405" t="s">
        <v>2774</v>
      </c>
      <c r="U14" s="1180"/>
      <c r="V14" s="1181"/>
      <c r="W14" s="263" t="s">
        <v>133</v>
      </c>
      <c r="X14" s="1179" t="n">
        <f aca="false">дома!F1183</f>
        <v>287.211744405788</v>
      </c>
      <c r="Y14" s="369" t="n">
        <f aca="false">дома!G1183</f>
        <v>170.403118305798</v>
      </c>
      <c r="Z14" s="933" t="s">
        <v>2775</v>
      </c>
      <c r="AA14" s="1023" t="s">
        <v>2776</v>
      </c>
      <c r="AB14" s="1201" t="s">
        <v>2777</v>
      </c>
      <c r="AC14" s="1023" t="s">
        <v>2778</v>
      </c>
      <c r="AD14" s="1202"/>
      <c r="AE14" s="261" t="s">
        <v>2774</v>
      </c>
      <c r="AF14" s="261"/>
      <c r="AG14" s="261"/>
      <c r="AH14" s="263" t="s">
        <v>133</v>
      </c>
      <c r="AI14" s="1179" t="n">
        <f aca="false">дома!J1183</f>
        <v>332.969355911177</v>
      </c>
      <c r="AJ14" s="369" t="e">
        <f aca="false">дома!#REF!*1.4</f>
        <v>#VALUE!</v>
      </c>
      <c r="AN14" s="1159"/>
    </row>
    <row r="15" customFormat="false" ht="15.75" hidden="false" customHeight="true" outlineLevel="0" collapsed="false">
      <c r="A15" s="541" t="s">
        <v>2779</v>
      </c>
      <c r="B15" s="1190"/>
      <c r="C15" s="1203" t="n">
        <f aca="false">IF('Ввод данных'!A6=связи1!A94,связи1!B94,0)+IF('Ввод данных'!A6=связи1!A95,связи1!B95,0)+IF('Ввод данных'!A6=связи1!A96,связи1!B96,0)+IF('Ввод данных'!A6=связи1!A98,связи1!B98,0)+IF('Ввод данных'!A6=связи1!A97,связи1!B97,0)</f>
        <v>1</v>
      </c>
      <c r="D15" s="1023" t="e">
        <f aca="false">'ввод данных'!#ref!</f>
        <v>#VALUE!</v>
      </c>
      <c r="F15" s="933" t="n">
        <f aca="false">C15</f>
        <v>1</v>
      </c>
      <c r="G15" s="933"/>
      <c r="H15" s="998"/>
      <c r="L15" s="1159"/>
      <c r="M15" s="405" t="s">
        <v>2766</v>
      </c>
      <c r="N15" s="1180"/>
      <c r="O15" s="1181"/>
      <c r="P15" s="263" t="s">
        <v>133</v>
      </c>
      <c r="Q15" s="1179" t="n">
        <f aca="false">дома!C1179</f>
        <v>37.8856642050142</v>
      </c>
      <c r="R15" s="369" t="n">
        <f aca="false">дома!D1179</f>
        <v>25.3187997411074</v>
      </c>
      <c r="S15" s="1159"/>
      <c r="T15" s="1159"/>
      <c r="U15" s="1159"/>
      <c r="V15" s="1159"/>
      <c r="W15" s="1159"/>
      <c r="X15" s="1159"/>
      <c r="Y15" s="1204"/>
      <c r="Z15" s="933" t="n">
        <f aca="false">C16</f>
        <v>10</v>
      </c>
      <c r="AA15" s="933" t="n">
        <f aca="false">C16</f>
        <v>10</v>
      </c>
      <c r="AB15" s="933" t="n">
        <f aca="false">C16</f>
        <v>10</v>
      </c>
      <c r="AC15" s="933" t="n">
        <f aca="false">C16</f>
        <v>10</v>
      </c>
      <c r="AD15" s="1159"/>
      <c r="AE15" s="261" t="s">
        <v>2780</v>
      </c>
      <c r="AF15" s="261"/>
      <c r="AG15" s="261"/>
      <c r="AH15" s="263" t="s">
        <v>133</v>
      </c>
      <c r="AI15" s="1179" t="e">
        <f aca="false">дома!#REF!</f>
        <v>#VALUE!</v>
      </c>
      <c r="AJ15" s="369" t="n">
        <f aca="false">дома!K1185</f>
        <v>35.1235472523585</v>
      </c>
      <c r="AM15" s="1159"/>
      <c r="AN15" s="1159"/>
    </row>
    <row r="16" customFormat="false" ht="15.75" hidden="false" customHeight="true" outlineLevel="0" collapsed="false">
      <c r="A16" s="1023" t="s">
        <v>2746</v>
      </c>
      <c r="B16" s="1190" t="s">
        <v>156</v>
      </c>
      <c r="C16" s="1203" t="n">
        <f aca="false">'Ввод данных'!C11</f>
        <v>10</v>
      </c>
      <c r="D16" s="1023" t="n">
        <f aca="false">'Ввод данных'!C11</f>
        <v>10</v>
      </c>
      <c r="F16" s="910" t="n">
        <f aca="false">IF('Ввод данных'!A27=связи1!A133,'Ввод данных'!C29,0)</f>
        <v>0</v>
      </c>
      <c r="G16" s="910" t="n">
        <f aca="false">IF('Ввод данных'!A27=связи1!A133,'Ввод данных'!C30,0)</f>
        <v>0</v>
      </c>
      <c r="H16" s="1205"/>
      <c r="L16" s="1159"/>
      <c r="M16" s="405" t="s">
        <v>2781</v>
      </c>
      <c r="N16" s="1180"/>
      <c r="O16" s="1181"/>
      <c r="P16" s="263" t="s">
        <v>133</v>
      </c>
      <c r="Q16" s="1179" t="n">
        <f aca="false">дома!C1181</f>
        <v>179.307020442324</v>
      </c>
      <c r="R16" s="369" t="n">
        <f aca="false">дома!D1181</f>
        <v>83.0715363768453</v>
      </c>
      <c r="S16" s="1159"/>
      <c r="Y16" s="1152"/>
      <c r="Z16" s="933" t="n">
        <f aca="false">C17</f>
        <v>10</v>
      </c>
      <c r="AA16" s="1023" t="n">
        <f aca="false">C17</f>
        <v>10</v>
      </c>
      <c r="AB16" s="933" t="n">
        <f aca="false">C17</f>
        <v>10</v>
      </c>
      <c r="AC16" s="933" t="n">
        <f aca="false">C17</f>
        <v>10</v>
      </c>
      <c r="AD16" s="1159"/>
      <c r="AE16" s="1177" t="s">
        <v>2661</v>
      </c>
      <c r="AF16" s="1177"/>
      <c r="AG16" s="1177"/>
      <c r="AH16" s="263" t="s">
        <v>133</v>
      </c>
      <c r="AI16" s="1179" t="e">
        <f aca="false">дома!#REF!</f>
        <v>#VALUE!</v>
      </c>
      <c r="AJ16" s="369" t="e">
        <f aca="false">дома!#REF!</f>
        <v>#VALUE!</v>
      </c>
      <c r="AM16" s="1159"/>
      <c r="AN16" s="1159"/>
    </row>
    <row r="17" customFormat="false" ht="15.75" hidden="false" customHeight="true" outlineLevel="0" collapsed="false">
      <c r="A17" s="1023" t="s">
        <v>2782</v>
      </c>
      <c r="B17" s="1190" t="s">
        <v>156</v>
      </c>
      <c r="C17" s="1203" t="n">
        <f aca="false">'Ввод данных'!C12</f>
        <v>10</v>
      </c>
      <c r="D17" s="1023" t="n">
        <f aca="false">'Ввод данных'!C12</f>
        <v>10</v>
      </c>
      <c r="F17" s="910" t="n">
        <f aca="false">дома!C17</f>
        <v>10</v>
      </c>
      <c r="G17" s="933"/>
      <c r="H17" s="998"/>
      <c r="L17" s="1159"/>
      <c r="M17" s="534" t="s">
        <v>2774</v>
      </c>
      <c r="N17" s="723"/>
      <c r="O17" s="754"/>
      <c r="P17" s="680" t="s">
        <v>133</v>
      </c>
      <c r="Q17" s="1179" t="n">
        <f aca="false">дома!C1183</f>
        <v>206.203073508672</v>
      </c>
      <c r="R17" s="369" t="n">
        <f aca="false">дома!D1183</f>
        <v>103.839420471057</v>
      </c>
      <c r="S17" s="1159"/>
      <c r="Y17" s="1152"/>
      <c r="Z17" s="957" t="n">
        <f aca="false">F16</f>
        <v>0</v>
      </c>
      <c r="AA17" s="957" t="n">
        <f aca="false">G16</f>
        <v>0</v>
      </c>
      <c r="AB17" s="957"/>
      <c r="AC17" s="957"/>
      <c r="AD17" s="1159"/>
      <c r="AM17" s="1159"/>
    </row>
    <row r="18" customFormat="false" ht="15.75" hidden="false" customHeight="true" outlineLevel="0" collapsed="false">
      <c r="A18" s="1206" t="s">
        <v>2783</v>
      </c>
      <c r="B18" s="1207" t="s">
        <v>156</v>
      </c>
      <c r="C18" s="1208" t="n">
        <f aca="false">'Ввод данных'!C13</f>
        <v>3</v>
      </c>
      <c r="D18" s="1206" t="n">
        <f aca="false">C5-C4</f>
        <v>2.8</v>
      </c>
      <c r="F18" s="933" t="n">
        <f aca="false">C18</f>
        <v>3</v>
      </c>
      <c r="G18" s="933"/>
      <c r="H18" s="998"/>
      <c r="L18" s="1159"/>
      <c r="M18" s="534" t="s">
        <v>2661</v>
      </c>
      <c r="N18" s="723"/>
      <c r="O18" s="754"/>
      <c r="P18" s="680" t="s">
        <v>133</v>
      </c>
      <c r="Q18" s="369" t="n">
        <f aca="false">дома!C1189</f>
        <v>117.026072771077</v>
      </c>
      <c r="R18" s="369" t="n">
        <f aca="false">дома!D1189</f>
        <v>0</v>
      </c>
      <c r="S18" s="1159"/>
      <c r="Y18" s="1152" t="s">
        <v>2784</v>
      </c>
      <c r="Z18" s="1209" t="n">
        <f aca="false">(F20)*Z16</f>
        <v>0</v>
      </c>
      <c r="AA18" s="1209" t="n">
        <f aca="false">(G20)*AA16</f>
        <v>0</v>
      </c>
      <c r="AB18" s="957"/>
      <c r="AC18" s="1209"/>
      <c r="AD18" s="1159"/>
      <c r="AE18" s="1160" t="s">
        <v>2735</v>
      </c>
      <c r="AF18" s="1160"/>
      <c r="AG18" s="1160"/>
      <c r="AH18" s="1210" t="s">
        <v>2546</v>
      </c>
      <c r="AI18" s="1210"/>
      <c r="AJ18" s="1210" t="s">
        <v>2543</v>
      </c>
      <c r="AK18" s="1210"/>
      <c r="AM18" s="1159"/>
    </row>
    <row r="19" customFormat="false" ht="15.75" hidden="false" customHeight="true" outlineLevel="0" collapsed="false">
      <c r="A19" s="1211" t="s">
        <v>1757</v>
      </c>
      <c r="B19" s="1207"/>
      <c r="C19" s="1208" t="n">
        <f aca="false">IF('Ввод данных'!A6=связи1!A94,'Ввод данных'!C14,0)+IF('Ввод данных'!A6=связи1!A97,'Ввод данных'!C14,0)+IF('Ввод данных'!A6=связи1!A95,'Ввод данных'!C13,0)+IF('Ввод данных'!A6=связи1!A96,'Ввод данных'!C13,0)+IF('Ввод данных'!A6=связи1!A98,'Ввод данных'!C13,0)</f>
        <v>8</v>
      </c>
      <c r="D19" s="1206"/>
      <c r="F19" s="933" t="n">
        <f aca="false">C19</f>
        <v>8</v>
      </c>
      <c r="G19" s="933"/>
      <c r="H19" s="998"/>
      <c r="L19" s="1159"/>
      <c r="M19" s="1159"/>
      <c r="N19" s="1159"/>
      <c r="O19" s="1159"/>
      <c r="P19" s="1159"/>
      <c r="Q19" s="1159"/>
      <c r="R19" s="1159"/>
      <c r="S19" s="1159"/>
      <c r="Y19" s="1152" t="s">
        <v>2785</v>
      </c>
      <c r="Z19" s="1209" t="n">
        <f aca="false">F23*Z16</f>
        <v>0</v>
      </c>
      <c r="AA19" s="1209" t="n">
        <f aca="false">G23*AA16</f>
        <v>0</v>
      </c>
      <c r="AB19" s="957"/>
      <c r="AC19" s="1209"/>
      <c r="AD19" s="1159"/>
      <c r="AE19" s="1160"/>
      <c r="AF19" s="1160"/>
      <c r="AG19" s="1160"/>
      <c r="AH19" s="1210"/>
      <c r="AI19" s="1210"/>
      <c r="AJ19" s="1210"/>
      <c r="AK19" s="1210"/>
      <c r="AM19" s="1159"/>
    </row>
    <row r="20" customFormat="false" ht="15.75" hidden="false" customHeight="true" outlineLevel="0" collapsed="false">
      <c r="A20" s="1206" t="s">
        <v>2670</v>
      </c>
      <c r="B20" s="1207"/>
      <c r="C20" s="1208" t="n">
        <f aca="false">IF('Ввод данных'!A6=связи1!A94,C18,0)+IF('Ввод данных'!A6=связи1!A97,'Ввод данных'!C15,0)+IF('Ввод данных'!A6=связи1!A95,C18,0)+IF('Ввод данных'!A6=связи1!A96,C18,0)+IF('Ввод данных'!A6=связи1!A98,C18,0)</f>
        <v>3</v>
      </c>
      <c r="D20" s="1206"/>
      <c r="F20" s="1022" t="n">
        <f aca="false">IF('Ввод данных'!A19=связи1!A129,'Ввод данных'!C21,0)</f>
        <v>0</v>
      </c>
      <c r="G20" s="1022" t="n">
        <f aca="false">IF('Ввод данных'!A19=связи1!A129,'Ввод данных'!C22,0)</f>
        <v>0</v>
      </c>
      <c r="H20" s="1011"/>
      <c r="L20" s="1159"/>
      <c r="M20" s="1159"/>
      <c r="N20" s="1159"/>
      <c r="O20" s="1159"/>
      <c r="P20" s="1159"/>
      <c r="Q20" s="1159"/>
      <c r="R20" s="1159"/>
      <c r="S20" s="1159"/>
      <c r="Y20" s="1152" t="s">
        <v>2786</v>
      </c>
      <c r="Z20" s="1209" t="n">
        <f aca="false">IF(AND(0&lt;F23,F23&lt;G23),G23-F23,0)+IF(AND(0&lt;G23,G23&lt;F23),F23-G23,0)+IF(AND(G23=0,G20=0),F23+F20+0.2,0)+IF(AND(F23=0,F20=0),G23+G20+0.2,0)+IF(AND(G23=0,G20&gt;0),F23+F20+0.2-G20,0)+IF(AND(F23=0,F20&gt;0),G23+G20+0.2-F20,0)</f>
        <v>0.4</v>
      </c>
      <c r="AA20" s="957" t="n">
        <f aca="false">Z20</f>
        <v>0.4</v>
      </c>
      <c r="AB20" s="957"/>
      <c r="AC20" s="1209"/>
      <c r="AD20" s="1159"/>
      <c r="AE20" s="1160" t="s">
        <v>2787</v>
      </c>
      <c r="AF20" s="1160"/>
      <c r="AG20" s="1160"/>
      <c r="AH20" s="1210" t="n">
        <v>1</v>
      </c>
      <c r="AI20" s="1210" t="n">
        <v>2</v>
      </c>
      <c r="AJ20" s="1210" t="n">
        <v>1</v>
      </c>
      <c r="AK20" s="1210" t="n">
        <v>2</v>
      </c>
      <c r="AM20" s="1159"/>
    </row>
    <row r="21" customFormat="false" ht="15.75" hidden="false" customHeight="true" outlineLevel="0" collapsed="false">
      <c r="A21" s="1209" t="s">
        <v>2788</v>
      </c>
      <c r="B21" s="1212" t="s">
        <v>156</v>
      </c>
      <c r="C21" s="1213" t="n">
        <f aca="false">IF('Ввод данных'!A6=связи1!A95,'Ввод данных'!C16,0)+IF('Ввод данных'!A6=связи1!A96,'Ввод данных'!C16,0)+IF('Ввод данных'!A6=связи1!A94,0)+IF('Ввод данных'!A6=связи1!A98,'Ввод данных'!C16,0)</f>
        <v>0</v>
      </c>
      <c r="D21" s="1209" t="n">
        <f aca="false">C7-C6</f>
        <v>2</v>
      </c>
      <c r="F21" s="933" t="n">
        <f aca="false">C21</f>
        <v>0</v>
      </c>
      <c r="G21" s="933"/>
      <c r="H21" s="998"/>
      <c r="Y21" s="1152" t="s">
        <v>2789</v>
      </c>
      <c r="Z21" s="957" t="n">
        <f aca="false">F23+F20+0.2</f>
        <v>0.2</v>
      </c>
      <c r="AA21" s="1209" t="n">
        <f aca="false">G23+G20+0.2</f>
        <v>0.2</v>
      </c>
      <c r="AB21" s="1214"/>
      <c r="AC21" s="1209"/>
      <c r="AD21" s="1159"/>
      <c r="AE21" s="560" t="s">
        <v>1976</v>
      </c>
      <c r="AF21" s="560"/>
      <c r="AG21" s="680" t="s">
        <v>156</v>
      </c>
      <c r="AH21" s="369" t="n">
        <f aca="false">'Ввод данных'!C329</f>
        <v>2</v>
      </c>
      <c r="AI21" s="1179" t="n">
        <f aca="false">'Ввод данных'!D329</f>
        <v>2</v>
      </c>
      <c r="AJ21" s="369"/>
      <c r="AK21" s="369"/>
      <c r="AM21" s="1159"/>
    </row>
    <row r="22" customFormat="false" ht="15.75" hidden="false" customHeight="true" outlineLevel="0" collapsed="false">
      <c r="A22" s="1209" t="s">
        <v>2790</v>
      </c>
      <c r="B22" s="1212" t="s">
        <v>156</v>
      </c>
      <c r="C22" s="1213" t="n">
        <f aca="false">IF('Ввод данных'!A6=связи1!A95,связи1!K206,0)+IF('Ввод данных'!A6=связи1!A96,связи1!K206,0)+IF('Ввод данных'!A6=связи1!A98,связи1!K206,0)</f>
        <v>0</v>
      </c>
      <c r="D22" s="1209" t="n">
        <f aca="false">C11-C8</f>
        <v>2.5</v>
      </c>
      <c r="F22" s="933" t="n">
        <f aca="false">C22</f>
        <v>0</v>
      </c>
      <c r="G22" s="933"/>
      <c r="H22" s="998"/>
      <c r="Y22" s="1152" t="s">
        <v>2791</v>
      </c>
      <c r="Z22" s="957" t="n">
        <f aca="false">IF(Z21&gt;AA21,Z21-AA21,0)</f>
        <v>0</v>
      </c>
      <c r="AA22" s="957" t="n">
        <f aca="false">IF(AA21&gt;Z21,AA21-Z21,0)</f>
        <v>0</v>
      </c>
      <c r="AB22" s="957"/>
      <c r="AC22" s="957"/>
      <c r="AD22" s="1159"/>
      <c r="AE22" s="261" t="s">
        <v>2792</v>
      </c>
      <c r="AF22" s="261"/>
      <c r="AG22" s="263" t="s">
        <v>156</v>
      </c>
      <c r="AH22" s="369" t="n">
        <f aca="false">дома!C1215</f>
        <v>2.63606797749979</v>
      </c>
      <c r="AI22" s="1179" t="n">
        <f aca="false">дома!D1215</f>
        <v>2.35849528301415</v>
      </c>
      <c r="AJ22" s="369" t="n">
        <f aca="false">дома!E1214</f>
        <v>2.31010946542951</v>
      </c>
      <c r="AK22" s="369" t="n">
        <f aca="false">дома!F1214</f>
        <v>1.15505473271476</v>
      </c>
      <c r="AM22" s="1159"/>
    </row>
    <row r="23" customFormat="false" ht="15.75" hidden="false" customHeight="true" outlineLevel="0" collapsed="false">
      <c r="A23" s="1209" t="s">
        <v>2793</v>
      </c>
      <c r="B23" s="1212" t="s">
        <v>156</v>
      </c>
      <c r="C23" s="1213" t="n">
        <f aca="false">IF('Ввод данных'!A6=связи1!A94,0,0)+IF('Ввод данных'!A6=связи1!A95,'Ввод данных'!C16,0)+IF('Ввод данных'!A6=связи1!A96,связи1!K207,0)+IF('Ввод данных'!A6=связи1!A98,связи1!K207,0)</f>
        <v>0</v>
      </c>
      <c r="D23" s="1209" t="n">
        <f aca="false">C8-C6</f>
        <v>2.1</v>
      </c>
      <c r="F23" s="1022" t="n">
        <f aca="false">IF('Ввод данных'!A6=связи1!A94,0,0)+IF('Ввод данных'!A6=связи1!A95,'Ввод данных'!C23,0)+IF('Ввод данных'!A6=связи1!A96,'Ввод данных'!C23,0)+IF('Ввод данных'!A6=связи1!A98,'Ввод данных'!C23,0)</f>
        <v>0</v>
      </c>
      <c r="G23" s="1022" t="n">
        <f aca="false">IF('Ввод данных'!A6=связи1!A94,0,0)+IF('Ввод данных'!A6=связи1!A95,'Ввод данных'!C24,0)+IF('Ввод данных'!A6=связи1!A96,'Ввод данных'!C24,0)+IF('Ввод данных'!A6=связи1!A98,'Ввод данных'!C24,0)</f>
        <v>0</v>
      </c>
      <c r="H23" s="1011"/>
      <c r="Y23" s="1152" t="s">
        <v>2794</v>
      </c>
      <c r="Z23" s="957" t="n">
        <f aca="false">C19</f>
        <v>8</v>
      </c>
      <c r="AA23" s="957" t="n">
        <f aca="false">C19</f>
        <v>8</v>
      </c>
      <c r="AB23" s="957"/>
      <c r="AC23" s="957"/>
      <c r="AD23" s="1159"/>
      <c r="AE23" s="560" t="s">
        <v>2795</v>
      </c>
      <c r="AF23" s="560"/>
      <c r="AG23" s="263" t="s">
        <v>156</v>
      </c>
      <c r="AH23" s="369" t="n">
        <f aca="false">дома!C1221</f>
        <v>2.4</v>
      </c>
      <c r="AI23" s="1179" t="n">
        <f aca="false">дома!D1221</f>
        <v>3.4</v>
      </c>
      <c r="AJ23" s="369" t="n">
        <f aca="false">дома!E1221</f>
        <v>2.4</v>
      </c>
      <c r="AK23" s="369" t="n">
        <f aca="false">дома!F1221</f>
        <v>3.4</v>
      </c>
      <c r="AM23" s="1159"/>
    </row>
    <row r="24" customFormat="false" ht="15.75" hidden="false" customHeight="true" outlineLevel="0" collapsed="false">
      <c r="A24" s="1215" t="s">
        <v>2796</v>
      </c>
      <c r="B24" s="1190"/>
      <c r="C24" s="1203" t="n">
        <f aca="false">C21-C23</f>
        <v>0</v>
      </c>
      <c r="D24" s="1023" t="n">
        <f aca="false">C8-C7</f>
        <v>0.0999999999999996</v>
      </c>
      <c r="F24" s="933" t="n">
        <f aca="false">F21-F23</f>
        <v>0</v>
      </c>
      <c r="G24" s="933"/>
      <c r="H24" s="998"/>
      <c r="Y24" s="1152" t="s">
        <v>2797</v>
      </c>
      <c r="Z24" s="1209" t="n">
        <f aca="false">C22</f>
        <v>0</v>
      </c>
      <c r="AA24" s="957" t="n">
        <f aca="false">C22</f>
        <v>0</v>
      </c>
      <c r="AB24" s="957"/>
      <c r="AC24" s="957"/>
      <c r="AD24" s="1159"/>
      <c r="AE24" s="560" t="s">
        <v>2798</v>
      </c>
      <c r="AF24" s="560"/>
      <c r="AG24" s="680" t="s">
        <v>156</v>
      </c>
      <c r="AH24" s="369" t="n">
        <f aca="false">дома!C1216</f>
        <v>2.81937127423825</v>
      </c>
      <c r="AI24" s="1179" t="n">
        <f aca="false">дома!D1216</f>
        <v>3.81608438061844</v>
      </c>
      <c r="AJ24" s="369" t="n">
        <f aca="false">дома!E1216</f>
        <v>2.51726155618899</v>
      </c>
      <c r="AK24" s="369" t="n">
        <f aca="false">дома!F1216</f>
        <v>3.2146775010204</v>
      </c>
      <c r="AM24" s="1159"/>
    </row>
    <row r="25" customFormat="false" ht="15.75" hidden="false" customHeight="true" outlineLevel="0" collapsed="false">
      <c r="A25" s="1215" t="s">
        <v>2799</v>
      </c>
      <c r="B25" s="1190"/>
      <c r="C25" s="1203" t="n">
        <f aca="false">C22-C21</f>
        <v>0</v>
      </c>
      <c r="D25" s="1193"/>
      <c r="G25" s="952"/>
      <c r="H25" s="952"/>
      <c r="I25" s="1152" t="s">
        <v>2800</v>
      </c>
      <c r="J25" s="1152"/>
      <c r="O25" s="933" t="s">
        <v>1698</v>
      </c>
      <c r="S25" s="1216" t="s">
        <v>2801</v>
      </c>
      <c r="Y25" s="1217" t="s">
        <v>2802</v>
      </c>
      <c r="Z25" s="957" t="n">
        <f aca="false">IF('Ввод данных'!A6=связи1!A94,'Ввод данных'!C14,0)+IF('Ввод данных'!A6=связи1!A95,'Ввод данных'!C13+связи1!K206+0.2,0)+IF('Ввод данных'!A6=связи1!A96,'Ввод данных'!C13+0.2+связи1!K206,0)+IF('Ввод данных'!A6=связи1!A97,'Ввод данных'!C14,0)+IF('Ввод данных'!A6=связи1!A98,'Ввод данных'!C13+0.2+связи1!K206,0)</f>
        <v>8</v>
      </c>
      <c r="AA25" s="957" t="n">
        <f aca="false">IF('Ввод данных'!A6=связи1!A94,'Ввод данных'!C14,0)+IF('Ввод данных'!A6=связи1!A95,'Ввод данных'!C13+связи1!K206+0.2,0)+IF('Ввод данных'!A6=связи1!A96,'Ввод данных'!C13+0.2+связи1!K206,0)+IF('Ввод данных'!A6=связи1!A97,'Ввод данных'!C14,0)+IF('Ввод данных'!A6=связи1!A98,'Ввод данных'!C13+0.2+связи1!K206,0)</f>
        <v>8</v>
      </c>
      <c r="AB25" s="1218"/>
      <c r="AC25" s="1218"/>
      <c r="AD25" s="1202"/>
      <c r="AE25" s="560" t="s">
        <v>2803</v>
      </c>
      <c r="AF25" s="560"/>
      <c r="AG25" s="680" t="s">
        <v>156</v>
      </c>
      <c r="AH25" s="369" t="n">
        <f aca="false">дома!C1212+дома!C1207</f>
        <v>1.4</v>
      </c>
      <c r="AI25" s="369"/>
      <c r="AJ25" s="369" t="n">
        <f aca="false">дома!E1222</f>
        <v>1.4</v>
      </c>
      <c r="AK25" s="369"/>
      <c r="AM25" s="1159"/>
    </row>
    <row r="26" customFormat="false" ht="15.75" hidden="false" customHeight="true" outlineLevel="0" collapsed="false">
      <c r="A26" s="1215"/>
      <c r="B26" s="1190"/>
      <c r="C26" s="1203"/>
      <c r="D26" s="933" t="s">
        <v>2804</v>
      </c>
      <c r="E26" s="933" t="s">
        <v>2805</v>
      </c>
      <c r="F26" s="933" t="s">
        <v>2806</v>
      </c>
      <c r="G26" s="1150" t="s">
        <v>2807</v>
      </c>
      <c r="I26" s="1152" t="s">
        <v>2808</v>
      </c>
      <c r="J26" s="1023" t="s">
        <v>293</v>
      </c>
      <c r="K26" s="1219" t="s">
        <v>2809</v>
      </c>
      <c r="L26" s="933" t="s">
        <v>2810</v>
      </c>
      <c r="M26" s="932"/>
      <c r="N26" s="932"/>
      <c r="O26" s="932" t="s">
        <v>2572</v>
      </c>
      <c r="P26" s="933" t="s">
        <v>2811</v>
      </c>
      <c r="Q26" s="933" t="s">
        <v>1546</v>
      </c>
      <c r="R26" s="933" t="s">
        <v>2812</v>
      </c>
      <c r="S26" s="1220" t="s">
        <v>2813</v>
      </c>
      <c r="T26" s="1220" t="s">
        <v>2814</v>
      </c>
      <c r="U26" s="933" t="s">
        <v>2815</v>
      </c>
      <c r="V26" s="933"/>
      <c r="W26" s="933" t="s">
        <v>2816</v>
      </c>
      <c r="Y26" s="1217" t="s">
        <v>2817</v>
      </c>
      <c r="Z26" s="957" t="n">
        <f aca="false">Z25-Z21</f>
        <v>7.8</v>
      </c>
      <c r="AA26" s="957" t="n">
        <f aca="false">AA25-AA21</f>
        <v>7.8</v>
      </c>
      <c r="AB26" s="1218"/>
      <c r="AC26" s="1218"/>
      <c r="AD26" s="1159"/>
      <c r="AE26" s="560" t="s">
        <v>2818</v>
      </c>
      <c r="AF26" s="560"/>
      <c r="AG26" s="680" t="s">
        <v>156</v>
      </c>
      <c r="AH26" s="369" t="n">
        <f aca="false">дома!C1223</f>
        <v>2.7</v>
      </c>
      <c r="AI26" s="369" t="n">
        <f aca="false">дома!D1223</f>
        <v>3.25</v>
      </c>
      <c r="AJ26" s="369" t="n">
        <f aca="false">дома!E1223</f>
        <v>2.7</v>
      </c>
      <c r="AK26" s="369" t="n">
        <f aca="false">дома!F1223</f>
        <v>3.25</v>
      </c>
      <c r="AM26" s="1159"/>
    </row>
    <row r="27" customFormat="false" ht="15.75" hidden="false" customHeight="true" outlineLevel="0" collapsed="false">
      <c r="A27" s="1221" t="s">
        <v>2819</v>
      </c>
      <c r="B27" s="1222"/>
      <c r="C27" s="1223" t="n">
        <f aca="false">C20</f>
        <v>3</v>
      </c>
      <c r="D27" s="933" t="n">
        <f aca="false">C27/(D1531/1000)</f>
        <v>15</v>
      </c>
      <c r="E27" s="933" t="n">
        <f aca="false">FLOOR(D27,1)</f>
        <v>15</v>
      </c>
      <c r="F27" s="933" t="n">
        <v>4</v>
      </c>
      <c r="G27" s="1150" t="n">
        <f aca="false">D27*F27</f>
        <v>60</v>
      </c>
      <c r="I27" s="1152" t="n">
        <f aca="false">C27*F27+0.4</f>
        <v>12.4</v>
      </c>
      <c r="J27" s="1023" t="n">
        <f aca="false">E27*$D$1531/1000</f>
        <v>3</v>
      </c>
      <c r="K27" s="1219" t="n">
        <f aca="false">C27-J27</f>
        <v>0</v>
      </c>
      <c r="L27" s="933" t="n">
        <f aca="false">IF(AND(K27&gt;0.1,K27&lt;=0.2),K27,0)+IF(AND(K27&gt;0,K27&lt;=0.1),0.1,0)</f>
        <v>0</v>
      </c>
      <c r="M27" s="933"/>
      <c r="N27" s="933"/>
      <c r="O27" s="933" t="n">
        <f aca="false">C16+C16+C17+C17-F1531/1000*2</f>
        <v>39.8</v>
      </c>
      <c r="P27" s="933" t="n">
        <f aca="false">L27*O27*$F$1531/1000</f>
        <v>0</v>
      </c>
      <c r="Q27" s="933" t="n">
        <f aca="false">B1115*C1140*4+L1115*J1140*4</f>
        <v>0</v>
      </c>
      <c r="R27" s="933" t="n">
        <f aca="false">S27</f>
        <v>40</v>
      </c>
      <c r="S27" s="1220" t="n">
        <f aca="false">C16+C16+C17+C17</f>
        <v>40</v>
      </c>
      <c r="T27" s="933" t="n">
        <f aca="false">$D$1531/1000</f>
        <v>0.2</v>
      </c>
      <c r="U27" s="933" t="n">
        <f aca="false">C27/T27</f>
        <v>15</v>
      </c>
      <c r="V27" s="933" t="n">
        <f aca="false">IF(U27=0,0,U27/3+1)</f>
        <v>6</v>
      </c>
      <c r="W27" s="933" t="n">
        <f aca="false">S27*V27*2</f>
        <v>480</v>
      </c>
      <c r="Y27" s="1224" t="s">
        <v>2820</v>
      </c>
      <c r="Z27" s="957" t="n">
        <f aca="false">SQRT(Z17*Z17+Z26*Z26)</f>
        <v>7.8</v>
      </c>
      <c r="AA27" s="957" t="n">
        <f aca="false">SQRT(AA17*AA17+AA26*AA26)</f>
        <v>7.8</v>
      </c>
      <c r="AB27" s="1218"/>
      <c r="AC27" s="1218"/>
      <c r="AD27" s="1202"/>
      <c r="AE27" s="261" t="s">
        <v>2624</v>
      </c>
      <c r="AF27" s="261"/>
      <c r="AG27" s="263" t="s">
        <v>133</v>
      </c>
      <c r="AH27" s="369" t="n">
        <f aca="false">дома!C1222</f>
        <v>2.90885438199983</v>
      </c>
      <c r="AI27" s="1179" t="n">
        <f aca="false">дома!D1222</f>
        <v>1.88679622641132</v>
      </c>
      <c r="AJ27" s="369" t="n">
        <f aca="false">AH27</f>
        <v>2.90885438199983</v>
      </c>
      <c r="AK27" s="369" t="n">
        <f aca="false">AI27</f>
        <v>1.88679622641132</v>
      </c>
      <c r="AM27" s="1159"/>
    </row>
    <row r="28" customFormat="false" ht="15.75" hidden="false" customHeight="true" outlineLevel="0" collapsed="false">
      <c r="A28" s="1221" t="s">
        <v>2821</v>
      </c>
      <c r="B28" s="1225"/>
      <c r="C28" s="1223" t="n">
        <f aca="false">C23</f>
        <v>0</v>
      </c>
      <c r="D28" s="933" t="n">
        <f aca="false">C28/(D1531/1000)</f>
        <v>0</v>
      </c>
      <c r="E28" s="933" t="n">
        <f aca="false">FLOOR(D28,1)</f>
        <v>0</v>
      </c>
      <c r="F28" s="933" t="n">
        <v>4</v>
      </c>
      <c r="G28" s="1150" t="n">
        <f aca="false">D28*F28</f>
        <v>0</v>
      </c>
      <c r="I28" s="1152" t="n">
        <f aca="false">C28*F28+0.4</f>
        <v>0.4</v>
      </c>
      <c r="J28" s="1023" t="n">
        <f aca="false">E28*$D$1531/1000</f>
        <v>0</v>
      </c>
      <c r="K28" s="1219" t="n">
        <f aca="false">C28-J28</f>
        <v>0</v>
      </c>
      <c r="L28" s="933" t="n">
        <f aca="false">IF(AND(K28&gt;0.1,K28&lt;=0.2),K28,0)+IF(AND(K28&gt;0,K28&lt;=0.1),0.1,0)</f>
        <v>0</v>
      </c>
      <c r="M28" s="933"/>
      <c r="N28" s="933"/>
      <c r="O28" s="933" t="n">
        <f aca="false">IF('Ввод данных'!A6=связи1!A94,0,0)+IF('Ввод данных'!A6=связи1!A95,O27,0)+IF('Ввод данных'!A6=связи1!A96,дома!C17+дома!C17,0)+IF('Ввод данных'!A6=связи1!A97,0,0)+IF('Ввод данных'!A6=связи1!A98,дома!C17+дома!C17,0)</f>
        <v>0</v>
      </c>
      <c r="P28" s="933" t="n">
        <f aca="false">L28*O28*$F$1531/1000</f>
        <v>0</v>
      </c>
      <c r="Q28" s="933" t="n">
        <f aca="false">Q27/L1531</f>
        <v>0</v>
      </c>
      <c r="R28" s="933" t="n">
        <f aca="false">S28</f>
        <v>40</v>
      </c>
      <c r="S28" s="1220" t="n">
        <f aca="false">C16+C16+C17+C17</f>
        <v>40</v>
      </c>
      <c r="T28" s="933" t="n">
        <f aca="false">$D$1531/1000</f>
        <v>0.2</v>
      </c>
      <c r="U28" s="933" t="n">
        <f aca="false">C28/T28</f>
        <v>0</v>
      </c>
      <c r="V28" s="933" t="n">
        <f aca="false">IF(U28=0,0,U28/3+1)</f>
        <v>0</v>
      </c>
      <c r="W28" s="933" t="n">
        <f aca="false">S28*V28*2</f>
        <v>0</v>
      </c>
      <c r="Y28" s="1224"/>
      <c r="Z28" s="957"/>
      <c r="AA28" s="957"/>
      <c r="AB28" s="1218"/>
      <c r="AC28" s="1218"/>
      <c r="AD28" s="1202"/>
      <c r="AE28" s="261" t="s">
        <v>2769</v>
      </c>
      <c r="AF28" s="261"/>
      <c r="AG28" s="680" t="s">
        <v>133</v>
      </c>
      <c r="AH28" s="369" t="n">
        <f aca="false">дома!C1218</f>
        <v>10.0170583144992</v>
      </c>
      <c r="AI28" s="1179" t="n">
        <f aca="false">дома!D1220</f>
        <v>12.5471949056353</v>
      </c>
      <c r="AJ28" s="369" t="n">
        <f aca="false">дома!E1218</f>
        <v>9.77841596863215</v>
      </c>
      <c r="AK28" s="369" t="n">
        <f aca="false">дома!F1218</f>
        <v>4.66516419814427</v>
      </c>
      <c r="AM28" s="1159"/>
    </row>
    <row r="29" customFormat="false" ht="15.75" hidden="false" customHeight="true" outlineLevel="0" collapsed="false">
      <c r="A29" s="1221" t="s">
        <v>2822</v>
      </c>
      <c r="B29" s="1225"/>
      <c r="C29" s="1223" t="n">
        <v>0</v>
      </c>
      <c r="D29" s="933" t="n">
        <f aca="false">C29/(D1531/1000)</f>
        <v>0</v>
      </c>
      <c r="E29" s="933" t="n">
        <f aca="false">FLOOR(D29,1)</f>
        <v>0</v>
      </c>
      <c r="F29" s="933"/>
      <c r="G29" s="1150" t="n">
        <f aca="false">D29*F29</f>
        <v>0</v>
      </c>
      <c r="J29" s="1023" t="n">
        <f aca="false">E29*$D$1531/1000</f>
        <v>0</v>
      </c>
      <c r="K29" s="1219" t="n">
        <f aca="false">C29-J29</f>
        <v>0</v>
      </c>
      <c r="L29" s="933" t="n">
        <f aca="false">IF(AND(K29&gt;0.1,K29&lt;=0.2),K29,0)+IF(AND(K29&gt;0,K29&lt;=0.1),0.1,0)</f>
        <v>0</v>
      </c>
      <c r="M29" s="933"/>
      <c r="N29" s="933"/>
      <c r="O29" s="933"/>
      <c r="P29" s="933" t="n">
        <f aca="false">L29*O29*$F$1531/1000</f>
        <v>0</v>
      </c>
      <c r="Q29" s="933" t="n">
        <f aca="false">Q28/2</f>
        <v>0</v>
      </c>
      <c r="R29" s="933" t="n">
        <f aca="false">S29</f>
        <v>0</v>
      </c>
      <c r="S29" s="1220"/>
      <c r="T29" s="933" t="n">
        <f aca="false">$D$1531/1000</f>
        <v>0.2</v>
      </c>
      <c r="U29" s="933" t="n">
        <f aca="false">C29/T29</f>
        <v>0</v>
      </c>
      <c r="V29" s="933"/>
      <c r="W29" s="933" t="n">
        <f aca="false">S29*V29*2</f>
        <v>0</v>
      </c>
      <c r="Y29" s="1226" t="s">
        <v>2823</v>
      </c>
      <c r="Z29" s="957" t="n">
        <f aca="false">Z26/Z27</f>
        <v>1</v>
      </c>
      <c r="AA29" s="957" t="n">
        <f aca="false">AA26/AA27</f>
        <v>1</v>
      </c>
      <c r="AB29" s="1218"/>
      <c r="AC29" s="1218"/>
      <c r="AD29" s="1202"/>
      <c r="AE29" s="261" t="s">
        <v>2824</v>
      </c>
      <c r="AF29" s="261"/>
      <c r="AG29" s="263" t="s">
        <v>133</v>
      </c>
      <c r="AH29" s="369" t="n">
        <f aca="false">дома!C1220</f>
        <v>14.0238816402989</v>
      </c>
      <c r="AI29" s="1179" t="n">
        <f aca="false">дома!D1220</f>
        <v>12.5471949056353</v>
      </c>
      <c r="AJ29" s="369" t="n">
        <f aca="false">дома!E1220</f>
        <v>13.689782356085</v>
      </c>
      <c r="AK29" s="369" t="n">
        <f aca="false">дома!F1220</f>
        <v>6.53122987740198</v>
      </c>
      <c r="AM29" s="1159"/>
    </row>
    <row r="30" customFormat="false" ht="15.75" hidden="false" customHeight="true" outlineLevel="0" collapsed="false">
      <c r="A30" s="1227" t="s">
        <v>2825</v>
      </c>
      <c r="B30" s="1225"/>
      <c r="C30" s="1223" t="n">
        <f aca="false">пристройка!R43</f>
        <v>0</v>
      </c>
      <c r="D30" s="933" t="n">
        <f aca="false">C30/(D1531/1000)</f>
        <v>0</v>
      </c>
      <c r="E30" s="933" t="n">
        <f aca="false">FLOOR(D30,1)</f>
        <v>0</v>
      </c>
      <c r="F30" s="933" t="n">
        <v>2</v>
      </c>
      <c r="G30" s="1150" t="n">
        <f aca="false">D30*F30</f>
        <v>0</v>
      </c>
      <c r="I30" s="1152" t="n">
        <f aca="false">C30*F30+0.4</f>
        <v>0.4</v>
      </c>
      <c r="J30" s="1023" t="n">
        <f aca="false">E30*$D$1531/1000</f>
        <v>0</v>
      </c>
      <c r="K30" s="1219" t="n">
        <f aca="false">C30-J30</f>
        <v>0</v>
      </c>
      <c r="L30" s="933" t="n">
        <f aca="false">IF(AND(K30&gt;0.1,K30&lt;=0.2),K30,0)+IF(AND(K30&gt;0,K30&lt;=0.1),0.1,0)</f>
        <v>0</v>
      </c>
      <c r="M30" s="933"/>
      <c r="N30" s="933"/>
      <c r="O30" s="933" t="n">
        <f aca="false">пристройка!C33*пристройка!C32*пристройка!C3+пристройка!H33*пристройка!H32*пристройка!H3</f>
        <v>0</v>
      </c>
      <c r="P30" s="933" t="n">
        <f aca="false">L30*O30*$F$1531/1000</f>
        <v>0</v>
      </c>
      <c r="Q30" s="933"/>
      <c r="R30" s="933" t="n">
        <f aca="false">S30</f>
        <v>0</v>
      </c>
      <c r="S30" s="1220" t="n">
        <f aca="false">пристройка!R33</f>
        <v>0</v>
      </c>
      <c r="T30" s="933" t="n">
        <f aca="false">$D$1531/1000</f>
        <v>0.2</v>
      </c>
      <c r="U30" s="933" t="n">
        <f aca="false">C30/T30</f>
        <v>0</v>
      </c>
      <c r="V30" s="933" t="n">
        <f aca="false">IF(U30=0,0,U30/3+1)</f>
        <v>0</v>
      </c>
      <c r="W30" s="933" t="n">
        <f aca="false">S30*V30*2</f>
        <v>0</v>
      </c>
      <c r="Y30" s="1226" t="s">
        <v>2826</v>
      </c>
      <c r="Z30" s="957" t="n">
        <f aca="false">DEGREES(Z29)</f>
        <v>57.2957795130823</v>
      </c>
      <c r="AA30" s="957" t="n">
        <f aca="false">DEGREES(AA29)</f>
        <v>57.2957795130823</v>
      </c>
      <c r="AB30" s="1218"/>
      <c r="AC30" s="1218"/>
      <c r="AD30" s="1202"/>
      <c r="AE30" s="261" t="s">
        <v>2827</v>
      </c>
      <c r="AF30" s="261"/>
      <c r="AG30" s="263" t="s">
        <v>133</v>
      </c>
      <c r="AH30" s="369" t="n">
        <f aca="false">дома!C1224</f>
        <v>10</v>
      </c>
      <c r="AI30" s="1179" t="n">
        <f aca="false">дома!D1224</f>
        <v>2.5</v>
      </c>
      <c r="AJ30" s="369" t="n">
        <f aca="false">дома!E1224</f>
        <v>5</v>
      </c>
      <c r="AK30" s="369" t="n">
        <f aca="false">дома!F1224</f>
        <v>2.5</v>
      </c>
      <c r="AM30" s="1159"/>
    </row>
    <row r="31" customFormat="false" ht="15.75" hidden="false" customHeight="true" outlineLevel="0" collapsed="false">
      <c r="A31" s="1227" t="s">
        <v>2828</v>
      </c>
      <c r="B31" s="1225"/>
      <c r="C31" s="1223" t="n">
        <f aca="false">пристройка!R44</f>
        <v>0</v>
      </c>
      <c r="D31" s="933" t="n">
        <f aca="false">C31/(D1531/1000)</f>
        <v>0</v>
      </c>
      <c r="E31" s="933" t="n">
        <f aca="false">FLOOR(D31,1)</f>
        <v>0</v>
      </c>
      <c r="F31" s="933" t="n">
        <v>2</v>
      </c>
      <c r="G31" s="1150" t="n">
        <f aca="false">D31*F31</f>
        <v>0</v>
      </c>
      <c r="I31" s="1152" t="n">
        <f aca="false">C31*F31+0.4</f>
        <v>0.4</v>
      </c>
      <c r="J31" s="1023" t="n">
        <f aca="false">E31*$D$1531/1000</f>
        <v>0</v>
      </c>
      <c r="K31" s="1219" t="n">
        <f aca="false">C31-J31</f>
        <v>0</v>
      </c>
      <c r="L31" s="933" t="n">
        <f aca="false">IF(AND(K31&gt;0.1,K31&lt;=0.2),K31,0)+IF(AND(K31&gt;0,K31&lt;=0.1),0.1,0)</f>
        <v>0</v>
      </c>
      <c r="M31" s="933"/>
      <c r="N31" s="933"/>
      <c r="O31" s="933" t="n">
        <f aca="false">пристройка!C33*пристройка!C32*пристройка!C5+пристройка!H33*пристройка!H32*пристройка!H5</f>
        <v>0</v>
      </c>
      <c r="P31" s="933" t="n">
        <f aca="false">L31*O31*$F$1531/1000</f>
        <v>0</v>
      </c>
      <c r="Q31" s="933"/>
      <c r="R31" s="933" t="n">
        <f aca="false">S31</f>
        <v>0</v>
      </c>
      <c r="S31" s="1220" t="n">
        <f aca="false">пристройка!R35</f>
        <v>0</v>
      </c>
      <c r="T31" s="933" t="n">
        <f aca="false">$D$1531/1000</f>
        <v>0.2</v>
      </c>
      <c r="U31" s="933" t="n">
        <f aca="false">C31/T31</f>
        <v>0</v>
      </c>
      <c r="V31" s="933" t="n">
        <f aca="false">IF(U31=0,0,U31/3+1)</f>
        <v>0</v>
      </c>
      <c r="W31" s="933" t="n">
        <f aca="false">S31*V31*2</f>
        <v>0</v>
      </c>
      <c r="Y31" s="1226"/>
      <c r="Z31" s="957"/>
      <c r="AA31" s="957"/>
      <c r="AB31" s="1228"/>
      <c r="AC31" s="1218"/>
      <c r="AD31" s="1202"/>
      <c r="AE31" s="560" t="s">
        <v>2829</v>
      </c>
      <c r="AF31" s="560"/>
      <c r="AG31" s="680" t="s">
        <v>133</v>
      </c>
      <c r="AH31" s="369" t="n">
        <f aca="false">дома!C1219</f>
        <v>5.26745446817632</v>
      </c>
      <c r="AI31" s="369" t="n">
        <f aca="false">дома!D1219</f>
        <v>2.5</v>
      </c>
      <c r="AJ31" s="369" t="n">
        <f aca="false">дома!E1219</f>
        <v>5.1385365901757</v>
      </c>
      <c r="AK31" s="369" t="n">
        <f aca="false">дома!F1219</f>
        <v>3.70212173868892</v>
      </c>
      <c r="AM31" s="1159"/>
    </row>
    <row r="32" customFormat="false" ht="15.75" hidden="false" customHeight="true" outlineLevel="0" collapsed="false">
      <c r="A32" s="1227" t="s">
        <v>2830</v>
      </c>
      <c r="B32" s="1225"/>
      <c r="C32" s="1223" t="n">
        <f aca="false">пристройка!R45</f>
        <v>0</v>
      </c>
      <c r="D32" s="933" t="n">
        <f aca="false">C32/(D1531/1000)</f>
        <v>0</v>
      </c>
      <c r="E32" s="933" t="n">
        <f aca="false">FLOOR(D32,1)</f>
        <v>0</v>
      </c>
      <c r="F32" s="933" t="n">
        <v>2</v>
      </c>
      <c r="G32" s="1150" t="n">
        <f aca="false">D32*F32</f>
        <v>0</v>
      </c>
      <c r="J32" s="1023" t="n">
        <f aca="false">E32*$D$1531/1000</f>
        <v>0</v>
      </c>
      <c r="K32" s="1219" t="n">
        <f aca="false">C32-J32</f>
        <v>0</v>
      </c>
      <c r="L32" s="933" t="n">
        <f aca="false">IF(AND(K32&gt;0.1,K32&lt;=0.2),K32,0)+IF(AND(K32&gt;0,K32&lt;=0.1),0.1,0)</f>
        <v>0</v>
      </c>
      <c r="M32" s="933"/>
      <c r="N32" s="933"/>
      <c r="O32" s="933" t="n">
        <f aca="false">пристройка!C33*пристройка!C32*пристройка!C3+пристройка!H33*пристройка!H32*пристройка!H3</f>
        <v>0</v>
      </c>
      <c r="P32" s="933" t="n">
        <f aca="false">L32*O32*$F$1531/1000</f>
        <v>0</v>
      </c>
      <c r="Q32" s="933"/>
      <c r="R32" s="933" t="n">
        <f aca="false">S32</f>
        <v>0</v>
      </c>
      <c r="S32" s="1220"/>
      <c r="T32" s="933" t="n">
        <f aca="false">$D$1531/1000</f>
        <v>0.2</v>
      </c>
      <c r="U32" s="933" t="n">
        <f aca="false">C32/T32</f>
        <v>0</v>
      </c>
      <c r="V32" s="933"/>
      <c r="W32" s="933" t="n">
        <f aca="false">S32*V32*2</f>
        <v>0</v>
      </c>
      <c r="Y32" s="1226" t="s">
        <v>2831</v>
      </c>
      <c r="Z32" s="957" t="n">
        <f aca="false">IF(G20&gt;F20,G20-F20,0)</f>
        <v>0</v>
      </c>
      <c r="AA32" s="957" t="n">
        <f aca="false">IF(F20&gt;G20,F20-G20,0)</f>
        <v>0</v>
      </c>
      <c r="AB32" s="1229"/>
      <c r="AC32" s="1218"/>
      <c r="AD32" s="1202"/>
      <c r="AE32" s="1202"/>
      <c r="AF32" s="1159"/>
      <c r="AM32" s="1159"/>
    </row>
    <row r="33" customFormat="false" ht="15.75" hidden="false" customHeight="true" outlineLevel="0" collapsed="false">
      <c r="A33" s="1227" t="s">
        <v>2832</v>
      </c>
      <c r="B33" s="1225"/>
      <c r="C33" s="1223" t="n">
        <f aca="false">пристройка!R46</f>
        <v>0</v>
      </c>
      <c r="D33" s="933" t="n">
        <f aca="false">C33/(D1531/1000)</f>
        <v>0</v>
      </c>
      <c r="E33" s="933" t="n">
        <f aca="false">FLOOR(D33,1)</f>
        <v>0</v>
      </c>
      <c r="F33" s="933" t="n">
        <v>2</v>
      </c>
      <c r="G33" s="1150" t="n">
        <f aca="false">D33*F33</f>
        <v>0</v>
      </c>
      <c r="J33" s="1023" t="n">
        <f aca="false">E33*$D$1531/1000</f>
        <v>0</v>
      </c>
      <c r="K33" s="1219" t="n">
        <f aca="false">C33-J33</f>
        <v>0</v>
      </c>
      <c r="L33" s="933" t="n">
        <f aca="false">IF(AND(K33&gt;0.1,K33&lt;=0.2),K33,0)+IF(AND(K33&gt;0,K33&lt;=0.1),0.1,0)</f>
        <v>0</v>
      </c>
      <c r="M33" s="933"/>
      <c r="N33" s="933"/>
      <c r="O33" s="933" t="n">
        <f aca="false">пристройка!C33*пристройка!C32*пристройка!C5+пристройка!H33*пристройка!H32*пристройка!H5</f>
        <v>0</v>
      </c>
      <c r="P33" s="933" t="n">
        <f aca="false">L33*O33*$F$1531/1000</f>
        <v>0</v>
      </c>
      <c r="Q33" s="933"/>
      <c r="R33" s="933" t="n">
        <f aca="false">S33</f>
        <v>0</v>
      </c>
      <c r="S33" s="1220"/>
      <c r="T33" s="933" t="n">
        <f aca="false">$D$1531/1000</f>
        <v>0.2</v>
      </c>
      <c r="U33" s="933" t="n">
        <f aca="false">C33/T33</f>
        <v>0</v>
      </c>
      <c r="V33" s="933"/>
      <c r="W33" s="933" t="n">
        <f aca="false">S33*V33*2</f>
        <v>0</v>
      </c>
      <c r="Y33" s="1226"/>
      <c r="Z33" s="957"/>
      <c r="AA33" s="957"/>
      <c r="AB33" s="1229"/>
      <c r="AC33" s="1218"/>
      <c r="AD33" s="1202"/>
      <c r="AE33" s="1202"/>
      <c r="AF33" s="1159"/>
      <c r="AG33" s="1160" t="s">
        <v>2735</v>
      </c>
      <c r="AH33" s="1160"/>
      <c r="AI33" s="1160"/>
      <c r="AJ33" s="1160"/>
      <c r="AK33" s="1210" t="s">
        <v>2546</v>
      </c>
      <c r="AL33" s="1210" t="s">
        <v>2543</v>
      </c>
      <c r="AM33" s="1159"/>
    </row>
    <row r="34" customFormat="false" ht="15.75" hidden="false" customHeight="true" outlineLevel="0" collapsed="false">
      <c r="A34" s="1227" t="s">
        <v>2833</v>
      </c>
      <c r="B34" s="1225"/>
      <c r="C34" s="1223" t="n">
        <f aca="false">C1247</f>
        <v>0</v>
      </c>
      <c r="D34" s="933" t="n">
        <f aca="false">C34/(D1531/1000)</f>
        <v>0</v>
      </c>
      <c r="E34" s="933" t="n">
        <f aca="false">FLOOR(D34,1)</f>
        <v>0</v>
      </c>
      <c r="F34" s="933" t="n">
        <v>4</v>
      </c>
      <c r="G34" s="1150" t="n">
        <f aca="false">D34*F34</f>
        <v>0</v>
      </c>
      <c r="I34" s="1152" t="n">
        <f aca="false">C34*F34+0.4</f>
        <v>0.4</v>
      </c>
      <c r="J34" s="1023" t="n">
        <f aca="false">E34*$D$1531/1000</f>
        <v>0</v>
      </c>
      <c r="K34" s="1219" t="n">
        <f aca="false">C34-J34</f>
        <v>0</v>
      </c>
      <c r="L34" s="933" t="n">
        <f aca="false">IF(AND(K34&gt;0.1,K34&lt;=0.2),K34,0)+IF(AND(K34&gt;0,K34&lt;=0.1),0.1,0)</f>
        <v>0</v>
      </c>
      <c r="M34" s="933"/>
      <c r="N34" s="933"/>
      <c r="O34" s="933" t="n">
        <f aca="false">C1275*C1232</f>
        <v>10.8309518948453</v>
      </c>
      <c r="P34" s="933" t="n">
        <f aca="false">L34*O34*$F$1531/1000</f>
        <v>0</v>
      </c>
      <c r="Q34" s="933"/>
      <c r="R34" s="933" t="n">
        <f aca="false">S34</f>
        <v>10.8309518948453</v>
      </c>
      <c r="S34" s="1220" t="n">
        <f aca="false">C1275</f>
        <v>10.8309518948453</v>
      </c>
      <c r="T34" s="933" t="n">
        <f aca="false">$D$1531/1000</f>
        <v>0.2</v>
      </c>
      <c r="U34" s="933" t="n">
        <f aca="false">C34/T34</f>
        <v>0</v>
      </c>
      <c r="V34" s="933" t="n">
        <f aca="false">IF(U34=0,0,U34/3+1)</f>
        <v>0</v>
      </c>
      <c r="W34" s="933" t="n">
        <f aca="false">S34*V34*2</f>
        <v>0</v>
      </c>
      <c r="Y34" s="1226" t="s">
        <v>2834</v>
      </c>
      <c r="Z34" s="957" t="n">
        <f aca="false">IF(F23&gt;G23,F23-G23,0)</f>
        <v>0</v>
      </c>
      <c r="AA34" s="957" t="n">
        <f aca="false">IF(G23&gt;F23,G23-F23,0)</f>
        <v>0</v>
      </c>
      <c r="AB34" s="1218"/>
      <c r="AC34" s="1218"/>
      <c r="AD34" s="1202"/>
      <c r="AE34" s="1202"/>
      <c r="AF34" s="1159"/>
      <c r="AG34" s="1160"/>
      <c r="AH34" s="1160"/>
      <c r="AI34" s="1160"/>
      <c r="AJ34" s="1160"/>
      <c r="AK34" s="1210"/>
      <c r="AL34" s="1210"/>
      <c r="AM34" s="1159"/>
    </row>
    <row r="35" customFormat="false" ht="15.75" hidden="false" customHeight="true" outlineLevel="0" collapsed="false">
      <c r="A35" s="1227" t="s">
        <v>2835</v>
      </c>
      <c r="B35" s="1225"/>
      <c r="C35" s="1223" t="n">
        <f aca="false">C1248</f>
        <v>0</v>
      </c>
      <c r="D35" s="933" t="n">
        <f aca="false">C35/(D1531/1000)</f>
        <v>0</v>
      </c>
      <c r="E35" s="933" t="n">
        <f aca="false">FLOOR(D35,1)</f>
        <v>0</v>
      </c>
      <c r="F35" s="933" t="n">
        <v>4</v>
      </c>
      <c r="G35" s="1150" t="n">
        <f aca="false">D35*F35</f>
        <v>0</v>
      </c>
      <c r="I35" s="1152" t="n">
        <f aca="false">C35*F35+0.4</f>
        <v>0.4</v>
      </c>
      <c r="J35" s="1023" t="n">
        <f aca="false">E35*$D$1531/1000</f>
        <v>0</v>
      </c>
      <c r="K35" s="1219" t="n">
        <f aca="false">C35-J35</f>
        <v>0</v>
      </c>
      <c r="L35" s="933" t="n">
        <f aca="false">IF(AND(K35&gt;0.1,K35&lt;=0.2),K35,0)+IF(AND(K35&gt;0,K35&lt;=0.1),0.1,0)</f>
        <v>0</v>
      </c>
      <c r="M35" s="933"/>
      <c r="N35" s="933"/>
      <c r="O35" s="933" t="n">
        <f aca="false">C1275*C1233</f>
        <v>10.8309518948453</v>
      </c>
      <c r="P35" s="933" t="n">
        <f aca="false">L35*O35*$F$1531/1000</f>
        <v>0</v>
      </c>
      <c r="Q35" s="933"/>
      <c r="R35" s="933" t="n">
        <f aca="false">S35</f>
        <v>10.8309518948453</v>
      </c>
      <c r="S35" s="1220" t="n">
        <f aca="false">C1275</f>
        <v>10.8309518948453</v>
      </c>
      <c r="T35" s="933" t="n">
        <f aca="false">$D$1531/1000</f>
        <v>0.2</v>
      </c>
      <c r="U35" s="933" t="n">
        <f aca="false">C35/T35</f>
        <v>0</v>
      </c>
      <c r="V35" s="933" t="n">
        <f aca="false">IF(U35=0,0,U35/3+1)</f>
        <v>0</v>
      </c>
      <c r="W35" s="933" t="n">
        <f aca="false">S35*V35*2</f>
        <v>0</v>
      </c>
      <c r="Y35" s="1226"/>
      <c r="Z35" s="957"/>
      <c r="AA35" s="957"/>
      <c r="AB35" s="1218"/>
      <c r="AC35" s="1218"/>
      <c r="AD35" s="1230"/>
      <c r="AE35" s="1230"/>
      <c r="AF35" s="1159"/>
      <c r="AG35" s="1177" t="s">
        <v>2836</v>
      </c>
      <c r="AH35" s="1177"/>
      <c r="AI35" s="1177"/>
      <c r="AJ35" s="1178" t="s">
        <v>156</v>
      </c>
      <c r="AK35" s="517" t="n">
        <f aca="false">связи1!C552</f>
        <v>6</v>
      </c>
      <c r="AL35" s="537" t="n">
        <f aca="false">AK35</f>
        <v>6</v>
      </c>
      <c r="AM35" s="1159"/>
    </row>
    <row r="36" customFormat="false" ht="15.75" hidden="false" customHeight="true" outlineLevel="0" collapsed="false">
      <c r="A36" s="1227" t="s">
        <v>2837</v>
      </c>
      <c r="B36" s="1225"/>
      <c r="C36" s="1223" t="n">
        <f aca="false">C1249</f>
        <v>0</v>
      </c>
      <c r="D36" s="933" t="n">
        <f aca="false">C36/(D1531/1000)</f>
        <v>0</v>
      </c>
      <c r="E36" s="933" t="n">
        <f aca="false">FLOOR(D36,1)</f>
        <v>0</v>
      </c>
      <c r="F36" s="933" t="n">
        <v>2</v>
      </c>
      <c r="G36" s="1150" t="n">
        <f aca="false">D36*F36</f>
        <v>0</v>
      </c>
      <c r="J36" s="1023" t="n">
        <f aca="false">E36*$D$1531/1000</f>
        <v>0</v>
      </c>
      <c r="K36" s="1219" t="n">
        <f aca="false">C36-J36</f>
        <v>0</v>
      </c>
      <c r="L36" s="933" t="n">
        <f aca="false">IF(AND(K36&gt;0.1,K36&lt;=0.2),K36,0)+IF(AND(K36&gt;0,K36&lt;=0.1),0.1,0)</f>
        <v>0</v>
      </c>
      <c r="M36" s="933"/>
      <c r="N36" s="933"/>
      <c r="O36" s="933" t="n">
        <f aca="false">C1275*C1232</f>
        <v>10.8309518948453</v>
      </c>
      <c r="P36" s="933" t="n">
        <f aca="false">L36*O36*$F$1531/1000</f>
        <v>0</v>
      </c>
      <c r="Q36" s="933"/>
      <c r="R36" s="933" t="n">
        <f aca="false">S36</f>
        <v>0</v>
      </c>
      <c r="S36" s="1220"/>
      <c r="T36" s="933" t="n">
        <f aca="false">$D$1531/1000</f>
        <v>0.2</v>
      </c>
      <c r="U36" s="933" t="n">
        <f aca="false">C36/T36</f>
        <v>0</v>
      </c>
      <c r="V36" s="933"/>
      <c r="W36" s="933" t="n">
        <f aca="false">S36*V36*2</f>
        <v>0</v>
      </c>
      <c r="Y36" s="1226" t="s">
        <v>2555</v>
      </c>
      <c r="Z36" s="957" t="n">
        <f aca="false">IF(F20&gt;=G20,F20,G20)</f>
        <v>0</v>
      </c>
      <c r="AA36" s="957" t="n">
        <f aca="false">IF(G20&gt;=F20,G20,F20)</f>
        <v>0</v>
      </c>
      <c r="AB36" s="1218"/>
      <c r="AC36" s="1218"/>
      <c r="AD36" s="1230"/>
      <c r="AE36" s="1230"/>
      <c r="AF36" s="1159"/>
      <c r="AG36" s="1177" t="s">
        <v>2838</v>
      </c>
      <c r="AH36" s="1177"/>
      <c r="AI36" s="1177"/>
      <c r="AJ36" s="1178" t="s">
        <v>156</v>
      </c>
      <c r="AK36" s="517" t="n">
        <f aca="false">связи1!C551</f>
        <v>3</v>
      </c>
      <c r="AL36" s="537" t="n">
        <f aca="false">AK36</f>
        <v>3</v>
      </c>
      <c r="AM36" s="1159"/>
    </row>
    <row r="37" customFormat="false" ht="15.75" hidden="false" customHeight="true" outlineLevel="0" collapsed="false">
      <c r="A37" s="1227" t="s">
        <v>2839</v>
      </c>
      <c r="B37" s="1225"/>
      <c r="C37" s="1223" t="n">
        <f aca="false">C1250</f>
        <v>0</v>
      </c>
      <c r="D37" s="933" t="n">
        <f aca="false">C37/(D1531/1000)</f>
        <v>0</v>
      </c>
      <c r="E37" s="933" t="n">
        <f aca="false">FLOOR(D37,1)</f>
        <v>0</v>
      </c>
      <c r="F37" s="933" t="n">
        <v>2</v>
      </c>
      <c r="G37" s="1150" t="n">
        <f aca="false">D37*F37</f>
        <v>0</v>
      </c>
      <c r="J37" s="1023" t="n">
        <f aca="false">E37*$D$1531/1000</f>
        <v>0</v>
      </c>
      <c r="K37" s="1219" t="n">
        <f aca="false">C37-J37</f>
        <v>0</v>
      </c>
      <c r="L37" s="933" t="n">
        <f aca="false">IF(AND(K37&gt;0.1,K37&lt;=0.2),K37,0)+IF(AND(K37&gt;0,K37&lt;=0.1),0.1,0)</f>
        <v>0</v>
      </c>
      <c r="M37" s="933"/>
      <c r="N37" s="933"/>
      <c r="O37" s="933" t="n">
        <f aca="false">C1275*C1233</f>
        <v>10.8309518948453</v>
      </c>
      <c r="P37" s="933" t="n">
        <f aca="false">L37*O37*$F$1531/1000</f>
        <v>0</v>
      </c>
      <c r="Q37" s="933"/>
      <c r="R37" s="933" t="n">
        <f aca="false">S37</f>
        <v>0</v>
      </c>
      <c r="S37" s="1220"/>
      <c r="T37" s="933" t="n">
        <f aca="false">$D$1531/1000</f>
        <v>0.2</v>
      </c>
      <c r="U37" s="933" t="n">
        <f aca="false">C37/T37</f>
        <v>0</v>
      </c>
      <c r="V37" s="933"/>
      <c r="W37" s="933" t="n">
        <f aca="false">S37*V37*2</f>
        <v>0</v>
      </c>
      <c r="Y37" s="1231" t="s">
        <v>2840</v>
      </c>
      <c r="Z37" s="1214" t="n">
        <f aca="false">Z32/SIN(Z29)</f>
        <v>0</v>
      </c>
      <c r="AA37" s="1214" t="n">
        <f aca="false">AA32/SIN(AA29)</f>
        <v>0</v>
      </c>
      <c r="AB37" s="957"/>
      <c r="AC37" s="1218"/>
      <c r="AD37" s="1230"/>
      <c r="AE37" s="1230"/>
      <c r="AF37" s="1159"/>
      <c r="AG37" s="1178" t="s">
        <v>2841</v>
      </c>
      <c r="AH37" s="1178"/>
      <c r="AI37" s="1178"/>
      <c r="AJ37" s="1178"/>
      <c r="AK37" s="1178"/>
      <c r="AL37" s="1178"/>
      <c r="AM37" s="1159"/>
    </row>
    <row r="38" customFormat="false" ht="15.75" hidden="false" customHeight="true" outlineLevel="0" collapsed="false">
      <c r="A38" s="1227"/>
      <c r="B38" s="1232"/>
      <c r="C38" s="1223"/>
      <c r="D38" s="1233" t="s">
        <v>2842</v>
      </c>
      <c r="E38" s="1220"/>
      <c r="F38" s="1220"/>
      <c r="G38" s="1150" t="n">
        <f aca="false">G32+G33+G36+G37</f>
        <v>0</v>
      </c>
      <c r="I38" s="1152" t="n">
        <f aca="false">SUM(I27:I37)</f>
        <v>14.4</v>
      </c>
      <c r="J38" s="952"/>
      <c r="K38" s="1152"/>
      <c r="O38" s="933" t="s">
        <v>2591</v>
      </c>
      <c r="P38" s="933" t="n">
        <f aca="false">SUM(P27:P37)</f>
        <v>0</v>
      </c>
      <c r="Q38" s="933"/>
      <c r="R38" s="933"/>
      <c r="S38" s="1220"/>
      <c r="T38" s="933"/>
      <c r="U38" s="933"/>
      <c r="V38" s="933"/>
      <c r="W38" s="933" t="n">
        <f aca="false">SUM(W27:W37)</f>
        <v>480</v>
      </c>
      <c r="Y38" s="1231" t="s">
        <v>2843</v>
      </c>
      <c r="Z38" s="1209" t="n">
        <f aca="false">Z27</f>
        <v>7.8</v>
      </c>
      <c r="AA38" s="1209" t="n">
        <f aca="false">AA27</f>
        <v>7.8</v>
      </c>
      <c r="AB38" s="1209"/>
      <c r="AC38" s="1218"/>
      <c r="AD38" s="1230"/>
      <c r="AE38" s="1230"/>
      <c r="AF38" s="1159"/>
      <c r="AG38" s="1177" t="s">
        <v>2572</v>
      </c>
      <c r="AH38" s="1177"/>
      <c r="AI38" s="1177"/>
      <c r="AJ38" s="1178" t="s">
        <v>156</v>
      </c>
      <c r="AK38" s="537" t="n">
        <f aca="false">пристройка!C34+пристройка!C33+пристройка!C33</f>
        <v>12</v>
      </c>
      <c r="AL38" s="537" t="n">
        <f aca="false">AK38</f>
        <v>12</v>
      </c>
      <c r="AM38" s="1159"/>
    </row>
    <row r="39" customFormat="false" ht="15.75" hidden="false" customHeight="true" outlineLevel="0" collapsed="false">
      <c r="A39" s="1227" t="s">
        <v>2844</v>
      </c>
      <c r="B39" s="1232"/>
      <c r="C39" s="1223"/>
      <c r="D39" s="1233" t="s">
        <v>2845</v>
      </c>
      <c r="E39" s="1220"/>
      <c r="F39" s="1220"/>
      <c r="G39" s="952" t="n">
        <f aca="false">G27+G28+G30+G31+G34+G35</f>
        <v>60</v>
      </c>
      <c r="H39" s="952"/>
      <c r="K39" s="998"/>
      <c r="L39" s="998"/>
      <c r="M39" s="998"/>
      <c r="N39" s="998"/>
      <c r="O39" s="998"/>
      <c r="P39" s="998"/>
      <c r="Q39" s="998"/>
      <c r="Y39" s="1231"/>
      <c r="Z39" s="1209"/>
      <c r="AA39" s="1209"/>
      <c r="AB39" s="1209"/>
      <c r="AC39" s="1218"/>
      <c r="AD39" s="1230"/>
      <c r="AE39" s="1230"/>
      <c r="AF39" s="1159"/>
      <c r="AG39" s="1177" t="s">
        <v>2846</v>
      </c>
      <c r="AH39" s="1177"/>
      <c r="AI39" s="1177"/>
      <c r="AJ39" s="1178" t="s">
        <v>133</v>
      </c>
      <c r="AK39" s="537" t="n">
        <f aca="false">пристройка!C34*пристройка!C33</f>
        <v>18</v>
      </c>
      <c r="AL39" s="537" t="n">
        <f aca="false">AK39</f>
        <v>18</v>
      </c>
      <c r="AM39" s="1159"/>
    </row>
    <row r="40" customFormat="false" ht="15.75" hidden="false" customHeight="true" outlineLevel="0" collapsed="false">
      <c r="A40" s="1227" t="s">
        <v>2847</v>
      </c>
      <c r="B40" s="1225"/>
      <c r="C40" s="1223"/>
      <c r="D40" s="1234"/>
      <c r="E40" s="1220"/>
      <c r="F40" s="1220"/>
      <c r="G40" s="952"/>
      <c r="H40" s="952"/>
      <c r="K40" s="998"/>
      <c r="L40" s="998"/>
      <c r="M40" s="998"/>
      <c r="N40" s="998"/>
      <c r="O40" s="998"/>
      <c r="P40" s="998"/>
      <c r="Q40" s="998"/>
      <c r="Y40" s="1231"/>
      <c r="Z40" s="1209"/>
      <c r="AA40" s="1209"/>
      <c r="AB40" s="1209"/>
      <c r="AC40" s="1218"/>
      <c r="AD40" s="1230"/>
      <c r="AE40" s="1230"/>
      <c r="AF40" s="1159"/>
      <c r="AG40" s="1178" t="s">
        <v>2848</v>
      </c>
      <c r="AH40" s="1178"/>
      <c r="AI40" s="1178"/>
      <c r="AJ40" s="1178"/>
      <c r="AK40" s="1178"/>
      <c r="AL40" s="1178"/>
      <c r="AM40" s="1159"/>
    </row>
    <row r="41" customFormat="false" ht="15.75" hidden="false" customHeight="true" outlineLevel="0" collapsed="false">
      <c r="A41" s="1227" t="s">
        <v>2849</v>
      </c>
      <c r="B41" s="1225"/>
      <c r="C41" s="1223"/>
      <c r="D41" s="1234"/>
      <c r="E41" s="1220"/>
      <c r="F41" s="1220"/>
      <c r="G41" s="952"/>
      <c r="H41" s="952"/>
      <c r="K41" s="933" t="s">
        <v>2850</v>
      </c>
      <c r="L41" s="1219" t="s">
        <v>2851</v>
      </c>
      <c r="M41" s="1219"/>
      <c r="N41" s="1219"/>
      <c r="O41" s="933" t="s">
        <v>2852</v>
      </c>
      <c r="P41" s="933" t="s">
        <v>2850</v>
      </c>
      <c r="Q41" s="1219" t="s">
        <v>2851</v>
      </c>
      <c r="R41" s="933" t="s">
        <v>2852</v>
      </c>
      <c r="Y41" s="1231"/>
      <c r="Z41" s="1209"/>
      <c r="AA41" s="1209"/>
      <c r="AB41" s="1209"/>
      <c r="AC41" s="1218"/>
      <c r="AD41" s="1230"/>
      <c r="AE41" s="1230"/>
      <c r="AF41" s="1159"/>
      <c r="AG41" s="1177" t="s">
        <v>2853</v>
      </c>
      <c r="AH41" s="1177"/>
      <c r="AI41" s="1177"/>
      <c r="AJ41" s="1178" t="s">
        <v>133</v>
      </c>
      <c r="AK41" s="537" t="n">
        <f aca="false">пристройка!C94</f>
        <v>0</v>
      </c>
      <c r="AL41" s="537" t="e">
        <f aca="false">пристройка!AF81</f>
        <v>#REF!</v>
      </c>
      <c r="AM41" s="1159"/>
    </row>
    <row r="42" customFormat="false" ht="15.75" hidden="false" customHeight="true" outlineLevel="0" collapsed="false">
      <c r="A42" s="1235" t="s">
        <v>2854</v>
      </c>
      <c r="B42" s="1236" t="s">
        <v>120</v>
      </c>
      <c r="C42" s="1237" t="s">
        <v>1800</v>
      </c>
      <c r="D42" s="1238" t="s">
        <v>293</v>
      </c>
      <c r="E42" s="1239" t="s">
        <v>1820</v>
      </c>
      <c r="F42" s="1239" t="s">
        <v>2855</v>
      </c>
      <c r="G42" s="933" t="s">
        <v>2850</v>
      </c>
      <c r="H42" s="933"/>
      <c r="I42" s="1219" t="s">
        <v>2851</v>
      </c>
      <c r="J42" s="933" t="s">
        <v>2852</v>
      </c>
      <c r="K42" s="933" t="s">
        <v>2856</v>
      </c>
      <c r="L42" s="1219" t="s">
        <v>2856</v>
      </c>
      <c r="M42" s="1219"/>
      <c r="N42" s="1219"/>
      <c r="O42" s="933" t="s">
        <v>2856</v>
      </c>
      <c r="P42" s="933" t="s">
        <v>2857</v>
      </c>
      <c r="Q42" s="933" t="s">
        <v>2857</v>
      </c>
      <c r="R42" s="933" t="s">
        <v>2857</v>
      </c>
      <c r="Y42" s="1226" t="s">
        <v>2858</v>
      </c>
      <c r="Z42" s="1209" t="n">
        <f aca="false">Z38-Z37</f>
        <v>7.8</v>
      </c>
      <c r="AA42" s="1209" t="n">
        <f aca="false">AA38-AA37</f>
        <v>7.8</v>
      </c>
      <c r="AB42" s="1209" t="s">
        <v>2859</v>
      </c>
      <c r="AC42" s="1218" t="s">
        <v>1936</v>
      </c>
      <c r="AD42" s="1230"/>
      <c r="AE42" s="1230"/>
      <c r="AF42" s="1159"/>
      <c r="AG42" s="1177" t="s">
        <v>2860</v>
      </c>
      <c r="AH42" s="1177"/>
      <c r="AI42" s="1177"/>
      <c r="AJ42" s="1178" t="s">
        <v>133</v>
      </c>
      <c r="AK42" s="537" t="e">
        <f aca="false">пристройка!#REF!</f>
        <v>#VALUE!</v>
      </c>
      <c r="AL42" s="537" t="n">
        <f aca="false">пристройка!AF83</f>
        <v>0</v>
      </c>
      <c r="AM42" s="1159"/>
    </row>
    <row r="43" customFormat="false" ht="15.75" hidden="false" customHeight="true" outlineLevel="0" collapsed="false">
      <c r="A43" s="1240" t="s">
        <v>2001</v>
      </c>
      <c r="B43" s="1241" t="s">
        <v>156</v>
      </c>
      <c r="C43" s="1242" t="n">
        <v>0.1</v>
      </c>
      <c r="D43" s="1239" t="n">
        <v>0.2</v>
      </c>
      <c r="E43" s="1243" t="n">
        <f aca="false">IF('Ввод данных'!A33=связи1!A200,0,1)</f>
        <v>0</v>
      </c>
      <c r="F43" s="1239" t="n">
        <f aca="false">F1086</f>
        <v>100</v>
      </c>
      <c r="G43" s="933" t="n">
        <f aca="false">S27*E43</f>
        <v>0</v>
      </c>
      <c r="H43" s="933"/>
      <c r="I43" s="1219" t="n">
        <f aca="false">пристройка!R28</f>
        <v>0</v>
      </c>
      <c r="J43" s="933" t="n">
        <f aca="false">D1229*E1235*C1275</f>
        <v>0</v>
      </c>
      <c r="K43" s="933" t="n">
        <f aca="false">IF(E43=1,4,0)</f>
        <v>0</v>
      </c>
      <c r="L43" s="1219" t="n">
        <f aca="false">IF(I43&gt;0,2,0)</f>
        <v>0</v>
      </c>
      <c r="M43" s="1219"/>
      <c r="N43" s="1219"/>
      <c r="O43" s="933" t="n">
        <f aca="false">IF(J43&gt;0,4,0)</f>
        <v>0</v>
      </c>
      <c r="P43" s="933"/>
      <c r="Q43" s="933" t="n">
        <f aca="false">IF(I43&gt;0,2,0)</f>
        <v>0</v>
      </c>
      <c r="R43" s="933" t="n">
        <f aca="false">IF(J43&gt;0,2,0)</f>
        <v>0</v>
      </c>
      <c r="Y43" s="1244" t="s">
        <v>2861</v>
      </c>
      <c r="Z43" s="886" t="n">
        <f aca="false">COS(AC43)/AB43</f>
        <v>0.557519405297007</v>
      </c>
      <c r="AA43" s="886" t="n">
        <f aca="false">COS(AE43)/AD43</f>
        <v>0.557519405297007</v>
      </c>
      <c r="AB43" s="886" t="n">
        <f aca="false">C1148</f>
        <v>0.5</v>
      </c>
      <c r="AC43" s="886" t="n">
        <f aca="false">90-Z30</f>
        <v>32.7042204869177</v>
      </c>
      <c r="AD43" s="886" t="n">
        <f aca="false">C1150</f>
        <v>0.5</v>
      </c>
      <c r="AE43" s="886" t="n">
        <f aca="false">90-AA30</f>
        <v>32.7042204869177</v>
      </c>
      <c r="AF43" s="1159"/>
      <c r="AG43" s="1177" t="s">
        <v>2862</v>
      </c>
      <c r="AH43" s="1177"/>
      <c r="AI43" s="1177"/>
      <c r="AJ43" s="1178" t="s">
        <v>133</v>
      </c>
      <c r="AK43" s="537" t="e">
        <f aca="false">пристройка!#REF!</f>
        <v>#VALUE!</v>
      </c>
      <c r="AL43" s="537" t="e">
        <f aca="false">пристройка!AF84</f>
        <v>#REF!</v>
      </c>
      <c r="AM43" s="1159"/>
    </row>
    <row r="44" customFormat="false" ht="15.75" hidden="false" customHeight="true" outlineLevel="0" collapsed="false">
      <c r="A44" s="1240" t="s">
        <v>2557</v>
      </c>
      <c r="B44" s="1241" t="s">
        <v>156</v>
      </c>
      <c r="C44" s="1242" t="n">
        <v>0.1</v>
      </c>
      <c r="D44" s="1239" t="n">
        <v>0.2</v>
      </c>
      <c r="E44" s="1243" t="n">
        <f aca="false">IF('Ввод данных'!A6=связи1!A94,1,0)+IF('Ввод данных'!A6=связи1!A95,1,0)+IF('Ввод данных'!A6=связи1!A96,1,0)+IF('Ввод данных'!A6=связи1!A97,0,0)+IF('Ввод данных'!A6=связи1!A98,1,0)</f>
        <v>1</v>
      </c>
      <c r="F44" s="1239" t="n">
        <f aca="false">F1087</f>
        <v>100</v>
      </c>
      <c r="G44" s="933" t="n">
        <f aca="false">S27*E44</f>
        <v>40</v>
      </c>
      <c r="H44" s="933"/>
      <c r="I44" s="1219" t="n">
        <f aca="false">пристройка!R29</f>
        <v>0</v>
      </c>
      <c r="J44" s="933" t="n">
        <f aca="false">D1229*E1236*C1275</f>
        <v>0</v>
      </c>
      <c r="K44" s="933" t="n">
        <f aca="false">IF(E44=1,4,0)</f>
        <v>4</v>
      </c>
      <c r="L44" s="1219" t="n">
        <f aca="false">IF(I44&gt;0,2,0)</f>
        <v>0</v>
      </c>
      <c r="M44" s="1219"/>
      <c r="N44" s="1219"/>
      <c r="O44" s="933" t="n">
        <f aca="false">IF(J44&gt;0,4,0)</f>
        <v>0</v>
      </c>
      <c r="P44" s="933"/>
      <c r="Q44" s="933" t="n">
        <f aca="false">IF(I44&gt;0,2,0)</f>
        <v>0</v>
      </c>
      <c r="R44" s="933" t="n">
        <f aca="false">IF(J44&gt;0,2,0)</f>
        <v>0</v>
      </c>
      <c r="Y44" s="1244" t="s">
        <v>2863</v>
      </c>
      <c r="Z44" s="1220" t="n">
        <f aca="false">C1152</f>
        <v>0.8</v>
      </c>
      <c r="AA44" s="1220" t="n">
        <f aca="false">Z44</f>
        <v>0.8</v>
      </c>
      <c r="AB44" s="1220"/>
      <c r="AC44" s="1220"/>
      <c r="AE44" s="1230"/>
      <c r="AF44" s="1159"/>
      <c r="AG44" s="1177" t="s">
        <v>2864</v>
      </c>
      <c r="AH44" s="1177"/>
      <c r="AI44" s="1177"/>
      <c r="AJ44" s="1178" t="s">
        <v>133</v>
      </c>
      <c r="AK44" s="537"/>
      <c r="AL44" s="537" t="e">
        <f aca="false">пристройка!AE79</f>
        <v>#REF!</v>
      </c>
      <c r="AM44" s="1159"/>
    </row>
    <row r="45" customFormat="false" ht="15.75" hidden="false" customHeight="true" outlineLevel="0" collapsed="false">
      <c r="A45" s="1240" t="s">
        <v>2558</v>
      </c>
      <c r="B45" s="1241" t="s">
        <v>156</v>
      </c>
      <c r="C45" s="1242" t="n">
        <v>0.1</v>
      </c>
      <c r="D45" s="1239" t="n">
        <v>0.2</v>
      </c>
      <c r="E45" s="1243" t="n">
        <f aca="false">IF('Ввод данных'!A6=связи1!A95,1,0)+IF('Ввод данных'!A6=связи1!A98,1,0)</f>
        <v>0</v>
      </c>
      <c r="F45" s="1239" t="n">
        <f aca="false">F1090</f>
        <v>0</v>
      </c>
      <c r="G45" s="1216" t="n">
        <f aca="false">S27*E45</f>
        <v>0</v>
      </c>
      <c r="H45" s="1216"/>
      <c r="I45" s="1245" t="n">
        <f aca="false">пристройка!R30</f>
        <v>0</v>
      </c>
      <c r="J45" s="1216" t="n">
        <f aca="false">D1229*E1237*C1275</f>
        <v>0</v>
      </c>
      <c r="K45" s="933" t="n">
        <f aca="false">IF(E45=1,4,0)</f>
        <v>0</v>
      </c>
      <c r="L45" s="1219" t="n">
        <f aca="false">IF(I45&gt;0,2,0)</f>
        <v>0</v>
      </c>
      <c r="M45" s="1219"/>
      <c r="N45" s="1219"/>
      <c r="O45" s="933" t="n">
        <f aca="false">IF(J45&gt;0,4,0)</f>
        <v>0</v>
      </c>
      <c r="P45" s="933"/>
      <c r="Q45" s="933" t="n">
        <f aca="false">IF(I45&gt;0,2,0)</f>
        <v>0</v>
      </c>
      <c r="R45" s="933" t="n">
        <f aca="false">IF(J45&gt;0,2,0)</f>
        <v>0</v>
      </c>
      <c r="Y45" s="1244" t="s">
        <v>2865</v>
      </c>
      <c r="Z45" s="1220" t="n">
        <f aca="false">C1155</f>
        <v>0.8</v>
      </c>
      <c r="AA45" s="1220" t="n">
        <f aca="false">Z45</f>
        <v>0.8</v>
      </c>
      <c r="AB45" s="1220"/>
      <c r="AC45" s="1220"/>
      <c r="AE45" s="1230"/>
      <c r="AF45" s="1159"/>
      <c r="AG45" s="1177" t="s">
        <v>2661</v>
      </c>
      <c r="AH45" s="1177"/>
      <c r="AI45" s="1177"/>
      <c r="AJ45" s="1178" t="s">
        <v>133</v>
      </c>
      <c r="AK45" s="537" t="n">
        <f aca="false">пристройка!C11</f>
        <v>0</v>
      </c>
      <c r="AL45" s="537" t="n">
        <f aca="false">пристройка!C11</f>
        <v>0</v>
      </c>
      <c r="AM45" s="1159"/>
    </row>
    <row r="46" customFormat="false" ht="15.75" hidden="false" customHeight="true" outlineLevel="0" collapsed="false">
      <c r="A46" s="1246" t="s">
        <v>1515</v>
      </c>
      <c r="B46" s="1247" t="s">
        <v>1800</v>
      </c>
      <c r="C46" s="1247" t="s">
        <v>293</v>
      </c>
      <c r="D46" s="1248" t="s">
        <v>1802</v>
      </c>
      <c r="E46" s="1248" t="s">
        <v>2866</v>
      </c>
      <c r="G46" s="1220" t="n">
        <f aca="false">SUM(G43:G45)</f>
        <v>40</v>
      </c>
      <c r="H46" s="1220"/>
      <c r="I46" s="1249" t="n">
        <f aca="false">SUM(I43:I45)</f>
        <v>0</v>
      </c>
      <c r="J46" s="1220" t="n">
        <f aca="false">SUM(J43:J45)</f>
        <v>0</v>
      </c>
      <c r="K46" s="933" t="n">
        <f aca="false">SUM(K43:K45)</f>
        <v>4</v>
      </c>
      <c r="L46" s="933" t="n">
        <f aca="false">SUM(L43:L45)</f>
        <v>0</v>
      </c>
      <c r="M46" s="933"/>
      <c r="N46" s="933"/>
      <c r="O46" s="933" t="n">
        <f aca="false">SUM(O43:O45)</f>
        <v>0</v>
      </c>
      <c r="P46" s="933"/>
      <c r="Q46" s="933" t="n">
        <f aca="false">SUM(Q43:Q45)</f>
        <v>0</v>
      </c>
      <c r="R46" s="933" t="n">
        <f aca="false">SUM(R43:R45)</f>
        <v>0</v>
      </c>
      <c r="S46" s="933"/>
      <c r="Y46" s="1244" t="s">
        <v>2867</v>
      </c>
      <c r="Z46" s="1220" t="n">
        <f aca="false">(Z38+Z43)*(Z16+Z44+Z45)</f>
        <v>96.9472251014453</v>
      </c>
      <c r="AA46" s="1220" t="n">
        <f aca="false">(AA38+AA43)*(AA16+AA44+AA45)</f>
        <v>96.9472251014453</v>
      </c>
      <c r="AB46" s="1244" t="s">
        <v>2623</v>
      </c>
      <c r="AC46" s="1220" t="n">
        <f aca="false">Z46+AA46</f>
        <v>193.894450202891</v>
      </c>
      <c r="AE46" s="1230"/>
      <c r="AF46" s="1159"/>
      <c r="AG46" s="1178" t="s">
        <v>1883</v>
      </c>
      <c r="AH46" s="1178"/>
      <c r="AI46" s="1178"/>
      <c r="AJ46" s="1178"/>
      <c r="AK46" s="1178"/>
      <c r="AL46" s="1178"/>
      <c r="AM46" s="1159"/>
    </row>
    <row r="47" customFormat="false" ht="15.75" hidden="false" customHeight="true" outlineLevel="0" collapsed="false">
      <c r="A47" s="933" t="s">
        <v>2868</v>
      </c>
      <c r="B47" s="995" t="n">
        <f aca="false">'Ввод данных'!C68</f>
        <v>1</v>
      </c>
      <c r="C47" s="1203" t="n">
        <f aca="false">'Ввод данных'!D68</f>
        <v>1.2</v>
      </c>
      <c r="D47" s="939" t="n">
        <f aca="false">'Ввод данных'!E68</f>
        <v>1</v>
      </c>
      <c r="E47" s="1023" t="n">
        <f aca="false">B47*C47*D47</f>
        <v>1.2</v>
      </c>
      <c r="J47" s="1250" t="n">
        <f aca="false">SUM(G46:J46)</f>
        <v>40</v>
      </c>
      <c r="Y47" s="1226" t="s">
        <v>2869</v>
      </c>
      <c r="Z47" s="1209" t="n">
        <f aca="false">SQRT(Z37*Z37-Z32*Z32)</f>
        <v>0</v>
      </c>
      <c r="AA47" s="1209" t="n">
        <f aca="false">SQRT(AA37*AA37-AA32*AA32)</f>
        <v>0</v>
      </c>
      <c r="AB47" s="1244" t="s">
        <v>2870</v>
      </c>
      <c r="AC47" s="1218" t="n">
        <f aca="false">AC46*1.2</f>
        <v>232.673340243469</v>
      </c>
      <c r="AD47" s="1230"/>
      <c r="AE47" s="1230"/>
      <c r="AF47" s="1159"/>
      <c r="AG47" s="795" t="s">
        <v>2705</v>
      </c>
      <c r="AH47" s="795"/>
      <c r="AI47" s="795"/>
      <c r="AJ47" s="1185" t="s">
        <v>156</v>
      </c>
      <c r="AK47" s="1179" t="e">
        <f aca="false">дома!#REF!</f>
        <v>#VALUE!</v>
      </c>
      <c r="AL47" s="537"/>
      <c r="AM47" s="1159"/>
    </row>
    <row r="48" customFormat="false" ht="15.75" hidden="false" customHeight="true" outlineLevel="0" collapsed="false">
      <c r="A48" s="933" t="s">
        <v>2871</v>
      </c>
      <c r="B48" s="995" t="n">
        <f aca="false">'Ввод данных'!C69</f>
        <v>0.6</v>
      </c>
      <c r="C48" s="1203" t="n">
        <f aca="false">'Ввод данных'!D69</f>
        <v>0.6</v>
      </c>
      <c r="D48" s="939" t="n">
        <f aca="false">'Ввод данных'!E69</f>
        <v>0</v>
      </c>
      <c r="E48" s="1023" t="n">
        <f aca="false">B48*C48*D48</f>
        <v>0</v>
      </c>
      <c r="J48" s="1251" t="s">
        <v>2872</v>
      </c>
      <c r="K48" s="1251"/>
      <c r="L48" s="1251" t="n">
        <f aca="false">K46+L46+O46</f>
        <v>4</v>
      </c>
      <c r="M48" s="1252"/>
      <c r="N48" s="1252"/>
      <c r="Y48" s="1226" t="s">
        <v>2873</v>
      </c>
      <c r="Z48" s="1209" t="n">
        <f aca="false">Z17-Z47</f>
        <v>0</v>
      </c>
      <c r="AA48" s="1209" t="n">
        <f aca="false">AA17-AA47</f>
        <v>0</v>
      </c>
      <c r="AB48" s="1209"/>
      <c r="AC48" s="1218"/>
      <c r="AD48" s="1230"/>
      <c r="AE48" s="1230"/>
      <c r="AF48" s="1159"/>
      <c r="AG48" s="1177" t="s">
        <v>2874</v>
      </c>
      <c r="AH48" s="1177"/>
      <c r="AI48" s="1177"/>
      <c r="AJ48" s="1178" t="s">
        <v>156</v>
      </c>
      <c r="AK48" s="537" t="n">
        <f aca="false">пристройка!C39</f>
        <v>0</v>
      </c>
      <c r="AL48" s="537" t="n">
        <f aca="false">пристройка!AD38-пристройка!AD40</f>
        <v>1</v>
      </c>
      <c r="AM48" s="1159"/>
    </row>
    <row r="49" customFormat="false" ht="15.75" hidden="false" customHeight="true" outlineLevel="0" collapsed="false">
      <c r="A49" s="933" t="s">
        <v>2875</v>
      </c>
      <c r="B49" s="995" t="n">
        <f aca="false">'Ввод данных'!C70</f>
        <v>1</v>
      </c>
      <c r="C49" s="1203" t="n">
        <f aca="false">'Ввод данных'!D70</f>
        <v>2</v>
      </c>
      <c r="D49" s="939" t="n">
        <f aca="false">'Ввод данных'!E70</f>
        <v>0</v>
      </c>
      <c r="E49" s="1023" t="n">
        <f aca="false">B49*C49*D49</f>
        <v>0</v>
      </c>
      <c r="J49" s="1251" t="s">
        <v>2876</v>
      </c>
      <c r="K49" s="1251"/>
      <c r="L49" s="1251" t="n">
        <f aca="false">P46+Q46+R46</f>
        <v>0</v>
      </c>
      <c r="M49" s="1252"/>
      <c r="N49" s="1252"/>
      <c r="Y49" s="1226" t="s">
        <v>2877</v>
      </c>
      <c r="Z49" s="1253" t="n">
        <f aca="false">F20*Z17+Z32*Z17-Z47*Z32</f>
        <v>0</v>
      </c>
      <c r="AA49" s="1253" t="n">
        <f aca="false">AA21*AA17+AA32*AA17-AA47*AA32</f>
        <v>0</v>
      </c>
      <c r="AB49" s="1219" t="s">
        <v>2591</v>
      </c>
      <c r="AC49" s="1254" t="n">
        <f aca="false">Z49+AA49</f>
        <v>0</v>
      </c>
      <c r="AD49" s="1230" t="s">
        <v>133</v>
      </c>
      <c r="AE49" s="1230"/>
      <c r="AF49" s="1159"/>
      <c r="AG49" s="1177" t="s">
        <v>2751</v>
      </c>
      <c r="AH49" s="1177"/>
      <c r="AI49" s="1177"/>
      <c r="AJ49" s="1178" t="s">
        <v>156</v>
      </c>
      <c r="AK49" s="537" t="n">
        <f aca="false">пристройка!C38</f>
        <v>0</v>
      </c>
      <c r="AL49" s="537" t="n">
        <f aca="false">пристройка!AD39-пристройка!AD10</f>
        <v>2.7</v>
      </c>
      <c r="AM49" s="1159"/>
    </row>
    <row r="50" customFormat="false" ht="15.75" hidden="false" customHeight="true" outlineLevel="0" collapsed="false">
      <c r="A50" s="932" t="s">
        <v>2878</v>
      </c>
      <c r="B50" s="995" t="n">
        <f aca="false">'Ввод данных'!C71</f>
        <v>0.6</v>
      </c>
      <c r="C50" s="1203" t="n">
        <f aca="false">'Ввод данных'!D71</f>
        <v>1.5</v>
      </c>
      <c r="D50" s="939" t="n">
        <f aca="false">'Ввод данных'!E71</f>
        <v>0</v>
      </c>
      <c r="E50" s="1023" t="n">
        <f aca="false">B50*C50*D50</f>
        <v>0</v>
      </c>
      <c r="I50" s="1152" t="s">
        <v>2879</v>
      </c>
      <c r="J50" s="933" t="n">
        <f aca="false">P379+P389</f>
        <v>0</v>
      </c>
      <c r="K50" s="1150" t="s">
        <v>2613</v>
      </c>
      <c r="Y50" s="1226"/>
      <c r="Z50" s="1253"/>
      <c r="AA50" s="1253"/>
      <c r="AB50" s="1219"/>
      <c r="AC50" s="1254"/>
      <c r="AD50" s="1230"/>
      <c r="AE50" s="1230"/>
      <c r="AF50" s="1159"/>
      <c r="AG50" s="1177" t="s">
        <v>2880</v>
      </c>
      <c r="AH50" s="1177"/>
      <c r="AI50" s="1177"/>
      <c r="AJ50" s="1178" t="s">
        <v>156</v>
      </c>
      <c r="AK50" s="537" t="n">
        <f aca="false">пристройка!AF54</f>
        <v>1.2</v>
      </c>
      <c r="AL50" s="537" t="n">
        <f aca="false">пристройка!AD41-пристройка!AD10</f>
        <v>2.7</v>
      </c>
      <c r="AM50" s="1159"/>
    </row>
    <row r="51" customFormat="false" ht="15.75" hidden="false" customHeight="true" outlineLevel="0" collapsed="false">
      <c r="A51" s="932" t="s">
        <v>2881</v>
      </c>
      <c r="B51" s="995" t="n">
        <f aca="false">'Ввод данных'!C72</f>
        <v>0.5</v>
      </c>
      <c r="C51" s="1203" t="n">
        <f aca="false">'Ввод данных'!D72</f>
        <v>1.5</v>
      </c>
      <c r="D51" s="939" t="n">
        <f aca="false">'Ввод данных'!E72</f>
        <v>0</v>
      </c>
      <c r="E51" s="1023" t="n">
        <f aca="false">B51*C51*D51</f>
        <v>0</v>
      </c>
      <c r="J51" s="1150" t="n">
        <f aca="false">(P840+P850)*E834</f>
        <v>0</v>
      </c>
      <c r="K51" s="1150" t="s">
        <v>2622</v>
      </c>
      <c r="Y51" s="1226" t="s">
        <v>2882</v>
      </c>
      <c r="Z51" s="1253" t="n">
        <f aca="false">F23*Z17</f>
        <v>0</v>
      </c>
      <c r="AA51" s="1253" t="n">
        <f aca="false">G23*AA17</f>
        <v>0</v>
      </c>
      <c r="AB51" s="1219" t="s">
        <v>2591</v>
      </c>
      <c r="AC51" s="1254" t="n">
        <f aca="false">Z51+AA51</f>
        <v>0</v>
      </c>
      <c r="AD51" s="1230" t="s">
        <v>133</v>
      </c>
      <c r="AE51" s="1230"/>
      <c r="AF51" s="1159"/>
      <c r="AG51" s="1177" t="s">
        <v>2883</v>
      </c>
      <c r="AH51" s="1177"/>
      <c r="AI51" s="1177"/>
      <c r="AJ51" s="1178" t="s">
        <v>156</v>
      </c>
      <c r="AK51" s="1179" t="n">
        <f aca="false">пристройка!C68</f>
        <v>0</v>
      </c>
      <c r="AL51" s="537" t="e">
        <f aca="false">пристройка!#REF!</f>
        <v>#VALUE!</v>
      </c>
      <c r="AM51" s="1159"/>
    </row>
    <row r="52" customFormat="false" ht="15.75" hidden="false" customHeight="true" outlineLevel="0" collapsed="false">
      <c r="A52" s="932" t="s">
        <v>2884</v>
      </c>
      <c r="B52" s="995" t="n">
        <f aca="false">'Ввод данных'!C77</f>
        <v>0.6</v>
      </c>
      <c r="C52" s="1203" t="n">
        <f aca="false">'Ввод данных'!D77</f>
        <v>0.6</v>
      </c>
      <c r="D52" s="939" t="n">
        <f aca="false">'Ввод данных'!E77</f>
        <v>0</v>
      </c>
      <c r="E52" s="1023" t="n">
        <f aca="false">B52*C52*D52</f>
        <v>0</v>
      </c>
      <c r="Y52" s="1226" t="s">
        <v>2780</v>
      </c>
      <c r="Z52" s="1209" t="n">
        <f aca="false">IF(F23&gt;0,(Z24-F23)*Z17/2,(Z25-Z36)*Z48)</f>
        <v>0</v>
      </c>
      <c r="AA52" s="1209" t="n">
        <f aca="false">IF(G23&gt;0,(AA24-G23)*AA17/2,(AA25-AA36)*AA48)</f>
        <v>0</v>
      </c>
      <c r="AB52" s="1219" t="s">
        <v>2591</v>
      </c>
      <c r="AC52" s="957" t="n">
        <f aca="false">Z52+AA52</f>
        <v>0</v>
      </c>
      <c r="AD52" s="1150" t="s">
        <v>133</v>
      </c>
      <c r="AE52" s="1230"/>
      <c r="AF52" s="1159"/>
      <c r="AG52" s="1177" t="s">
        <v>2885</v>
      </c>
      <c r="AH52" s="1177"/>
      <c r="AI52" s="1177"/>
      <c r="AJ52" s="1178" t="s">
        <v>156</v>
      </c>
      <c r="AK52" s="1179" t="n">
        <f aca="false">пристройка!C76</f>
        <v>0</v>
      </c>
      <c r="AL52" s="537" t="e">
        <f aca="false">пристройка!#REF!</f>
        <v>#VALUE!</v>
      </c>
      <c r="AM52" s="1159"/>
    </row>
    <row r="53" customFormat="false" ht="15.75" hidden="false" customHeight="true" outlineLevel="0" collapsed="false">
      <c r="A53" s="932" t="s">
        <v>2886</v>
      </c>
      <c r="B53" s="995" t="n">
        <f aca="false">'Ввод данных'!C78</f>
        <v>0.8</v>
      </c>
      <c r="C53" s="1203" t="n">
        <f aca="false">'Ввод данных'!D78</f>
        <v>0.8</v>
      </c>
      <c r="D53" s="939" t="n">
        <f aca="false">'Ввод данных'!E78</f>
        <v>0</v>
      </c>
      <c r="E53" s="1023" t="n">
        <f aca="false">B53*C53*D53</f>
        <v>0</v>
      </c>
      <c r="Y53" s="1226" t="s">
        <v>2887</v>
      </c>
      <c r="Z53" s="1255" t="n">
        <f aca="false">Z49+Z51+Z52</f>
        <v>0</v>
      </c>
      <c r="AA53" s="1255" t="n">
        <f aca="false">AA49+AA51+AA52</f>
        <v>0</v>
      </c>
      <c r="AB53" s="1219" t="s">
        <v>2591</v>
      </c>
      <c r="AC53" s="1254" t="n">
        <f aca="false">Z53+AA53</f>
        <v>0</v>
      </c>
      <c r="AD53" s="1230" t="s">
        <v>133</v>
      </c>
      <c r="AE53" s="1230"/>
      <c r="AF53" s="1159"/>
      <c r="AG53" s="261" t="s">
        <v>2623</v>
      </c>
      <c r="AH53" s="261"/>
      <c r="AI53" s="261"/>
      <c r="AJ53" s="263" t="s">
        <v>133</v>
      </c>
      <c r="AK53" s="1179" t="n">
        <f aca="false">пристройка!C77</f>
        <v>0</v>
      </c>
      <c r="AL53" s="537" t="e">
        <f aca="false">пристройка!AE187</f>
        <v>#REF!</v>
      </c>
      <c r="AM53" s="1159"/>
    </row>
    <row r="54" customFormat="false" ht="15.75" hidden="false" customHeight="true" outlineLevel="0" collapsed="false">
      <c r="A54" s="932" t="s">
        <v>2888</v>
      </c>
      <c r="B54" s="995" t="n">
        <f aca="false">'Ввод данных'!C79</f>
        <v>1</v>
      </c>
      <c r="C54" s="1203" t="n">
        <f aca="false">'Ввод данных'!D79</f>
        <v>0.7</v>
      </c>
      <c r="D54" s="939" t="n">
        <f aca="false">'Ввод данных'!E79</f>
        <v>0</v>
      </c>
      <c r="E54" s="1023" t="n">
        <f aca="false">B54*C54*D54</f>
        <v>0</v>
      </c>
      <c r="Y54" s="1226" t="s">
        <v>2889</v>
      </c>
      <c r="Z54" s="1255" t="n">
        <f aca="false">Z49+Z51+Z52</f>
        <v>0</v>
      </c>
      <c r="AA54" s="1255" t="n">
        <f aca="false">AA49+AA51+AA52</f>
        <v>0</v>
      </c>
      <c r="AB54" s="1219" t="s">
        <v>2591</v>
      </c>
      <c r="AC54" s="1254" t="n">
        <f aca="false">Z54+AA54</f>
        <v>0</v>
      </c>
      <c r="AD54" s="1230" t="s">
        <v>133</v>
      </c>
      <c r="AE54" s="1230"/>
      <c r="AF54" s="1159"/>
      <c r="AG54" s="261" t="s">
        <v>2766</v>
      </c>
      <c r="AH54" s="261"/>
      <c r="AI54" s="261"/>
      <c r="AJ54" s="263" t="s">
        <v>133</v>
      </c>
      <c r="AK54" s="1179" t="n">
        <f aca="false">пристройка!C78</f>
        <v>0</v>
      </c>
      <c r="AL54" s="537" t="e">
        <f aca="false">пристройка!AE188</f>
        <v>#REF!</v>
      </c>
      <c r="AM54" s="1159"/>
    </row>
    <row r="55" customFormat="false" ht="15.75" hidden="false" customHeight="true" outlineLevel="0" collapsed="false">
      <c r="A55" s="932" t="s">
        <v>2890</v>
      </c>
      <c r="B55" s="995" t="n">
        <f aca="false">'Ввод данных'!C80</f>
        <v>5</v>
      </c>
      <c r="C55" s="1203" t="n">
        <f aca="false">'Ввод данных'!D80</f>
        <v>3</v>
      </c>
      <c r="D55" s="939" t="n">
        <f aca="false">'Ввод данных'!E80</f>
        <v>0</v>
      </c>
      <c r="E55" s="1023" t="n">
        <f aca="false">B55*C55*D55</f>
        <v>0</v>
      </c>
      <c r="Y55" s="1226" t="s">
        <v>2891</v>
      </c>
      <c r="Z55" s="957" t="n">
        <f aca="false">Z18</f>
        <v>0</v>
      </c>
      <c r="AA55" s="957" t="n">
        <f aca="false">AA18</f>
        <v>0</v>
      </c>
      <c r="AB55" s="1219" t="s">
        <v>2591</v>
      </c>
      <c r="AC55" s="1218" t="n">
        <f aca="false">Z55+AA55</f>
        <v>0</v>
      </c>
      <c r="AD55" s="1230" t="s">
        <v>133</v>
      </c>
      <c r="AE55" s="1230"/>
      <c r="AF55" s="1159"/>
      <c r="AG55" s="1177" t="s">
        <v>2774</v>
      </c>
      <c r="AH55" s="1177"/>
      <c r="AI55" s="1177"/>
      <c r="AJ55" s="1178" t="s">
        <v>133</v>
      </c>
      <c r="AK55" s="1179" t="n">
        <f aca="false">пристройка!C79</f>
        <v>0</v>
      </c>
      <c r="AL55" s="537" t="e">
        <f aca="false">пристройка!AE189</f>
        <v>#REF!</v>
      </c>
      <c r="AM55" s="1159"/>
    </row>
    <row r="56" customFormat="false" ht="15.75" hidden="false" customHeight="true" outlineLevel="0" collapsed="false">
      <c r="A56" s="932" t="s">
        <v>2892</v>
      </c>
      <c r="B56" s="995" t="n">
        <f aca="false">'Ввод данных'!C81</f>
        <v>6</v>
      </c>
      <c r="C56" s="1203" t="n">
        <f aca="false">'Ввод данных'!D81</f>
        <v>2</v>
      </c>
      <c r="D56" s="939" t="n">
        <f aca="false">'Ввод данных'!E81</f>
        <v>0</v>
      </c>
      <c r="E56" s="1023" t="n">
        <f aca="false">B56*C56*D56</f>
        <v>0</v>
      </c>
      <c r="Y56" s="1226" t="s">
        <v>2893</v>
      </c>
      <c r="Z56" s="1256" t="n">
        <f aca="false">Z19</f>
        <v>0</v>
      </c>
      <c r="AA56" s="1256" t="n">
        <f aca="false">AA19</f>
        <v>0</v>
      </c>
      <c r="AB56" s="1245" t="s">
        <v>2591</v>
      </c>
      <c r="AC56" s="1257" t="n">
        <f aca="false">Z56+AA56</f>
        <v>0</v>
      </c>
      <c r="AD56" s="1230" t="s">
        <v>133</v>
      </c>
      <c r="AE56" s="1230"/>
      <c r="AF56" s="1159"/>
      <c r="AG56" s="1177" t="s">
        <v>2780</v>
      </c>
      <c r="AH56" s="1177"/>
      <c r="AI56" s="1177"/>
      <c r="AJ56" s="1178" t="s">
        <v>133</v>
      </c>
      <c r="AK56" s="537" t="n">
        <f aca="false">пристройка!C39*пристройка!C33/2</f>
        <v>0</v>
      </c>
      <c r="AL56" s="537" t="n">
        <f aca="false">(пристройка!AD38-пристройка!AD40)*пристройка!C33/2</f>
        <v>1.5</v>
      </c>
      <c r="AM56" s="1159"/>
    </row>
    <row r="57" customFormat="false" ht="15.75" hidden="false" customHeight="true" outlineLevel="0" collapsed="false">
      <c r="A57" s="932" t="s">
        <v>2894</v>
      </c>
      <c r="B57" s="995" t="n">
        <f aca="false">'Ввод данных'!C73</f>
        <v>0.8</v>
      </c>
      <c r="C57" s="1203" t="n">
        <f aca="false">'Ввод данных'!D73</f>
        <v>2.1</v>
      </c>
      <c r="D57" s="939" t="n">
        <f aca="false">'Ввод данных'!E73</f>
        <v>0</v>
      </c>
      <c r="E57" s="1023" t="n">
        <f aca="false">B57*C57*D57</f>
        <v>0</v>
      </c>
      <c r="Y57" s="1226" t="s">
        <v>2784</v>
      </c>
      <c r="Z57" s="1255" t="n">
        <f aca="false">Z53+Z54+Z55*2</f>
        <v>0</v>
      </c>
      <c r="AA57" s="1255" t="n">
        <f aca="false">AA52+AA53+AA54+AA55</f>
        <v>0</v>
      </c>
      <c r="AB57" s="1219" t="s">
        <v>2591</v>
      </c>
      <c r="AC57" s="1254" t="n">
        <f aca="false">Z57+AA57</f>
        <v>0</v>
      </c>
      <c r="AD57" s="1230" t="s">
        <v>133</v>
      </c>
      <c r="AE57" s="1230"/>
      <c r="AF57" s="1159"/>
      <c r="AM57" s="1159"/>
    </row>
    <row r="58" customFormat="false" ht="15.75" hidden="false" customHeight="true" outlineLevel="0" collapsed="false">
      <c r="A58" s="932" t="s">
        <v>2895</v>
      </c>
      <c r="B58" s="995" t="n">
        <f aca="false">'Ввод данных'!C82</f>
        <v>0.8</v>
      </c>
      <c r="C58" s="1203" t="n">
        <f aca="false">'Ввод данных'!D82</f>
        <v>2.1</v>
      </c>
      <c r="D58" s="939" t="n">
        <f aca="false">'Ввод данных'!E82</f>
        <v>0</v>
      </c>
      <c r="E58" s="1023" t="n">
        <f aca="false">B58*C58*D58</f>
        <v>0</v>
      </c>
      <c r="Y58" s="1226" t="s">
        <v>2785</v>
      </c>
      <c r="Z58" s="1255" t="n">
        <f aca="false">Z51*2+Z56*2</f>
        <v>0</v>
      </c>
      <c r="AA58" s="1255" t="n">
        <f aca="false">AA51+AA56</f>
        <v>0</v>
      </c>
      <c r="AB58" s="1219" t="s">
        <v>2591</v>
      </c>
      <c r="AC58" s="1254" t="n">
        <f aca="false">Z58+AA58</f>
        <v>0</v>
      </c>
      <c r="AD58" s="1230" t="s">
        <v>133</v>
      </c>
      <c r="AE58" s="1230"/>
      <c r="AF58" s="1159"/>
      <c r="AG58" s="1258" t="s">
        <v>2735</v>
      </c>
      <c r="AH58" s="1258"/>
      <c r="AI58" s="1258"/>
      <c r="AJ58" s="1258"/>
      <c r="AK58" s="1259" t="s">
        <v>2546</v>
      </c>
      <c r="AL58" s="1259" t="s">
        <v>2543</v>
      </c>
      <c r="AM58" s="1159"/>
    </row>
    <row r="59" customFormat="false" ht="15.75" hidden="false" customHeight="true" outlineLevel="0" collapsed="false">
      <c r="A59" s="1260" t="s">
        <v>2896</v>
      </c>
      <c r="B59" s="995" t="n">
        <f aca="false">'Ввод данных'!C74</f>
        <v>2</v>
      </c>
      <c r="C59" s="1203" t="n">
        <f aca="false">'Ввод данных'!D74</f>
        <v>2</v>
      </c>
      <c r="D59" s="939" t="n">
        <f aca="false">'Ввод данных'!E74</f>
        <v>0</v>
      </c>
      <c r="E59" s="1023" t="n">
        <f aca="false">B59*C59*D59</f>
        <v>0</v>
      </c>
      <c r="Y59" s="1226"/>
      <c r="Z59" s="1261"/>
      <c r="AA59" s="1261"/>
      <c r="AB59" s="1262"/>
      <c r="AC59" s="1263"/>
      <c r="AD59" s="1230"/>
      <c r="AE59" s="1230"/>
      <c r="AF59" s="1159"/>
      <c r="AG59" s="1258"/>
      <c r="AH59" s="1258"/>
      <c r="AI59" s="1258"/>
      <c r="AJ59" s="1258"/>
      <c r="AK59" s="1259"/>
      <c r="AL59" s="1259"/>
      <c r="AM59" s="1159"/>
    </row>
    <row r="60" customFormat="false" ht="15.75" hidden="false" customHeight="true" outlineLevel="0" collapsed="false">
      <c r="A60" s="1260" t="s">
        <v>2897</v>
      </c>
      <c r="B60" s="995" t="n">
        <f aca="false">'Ввод данных'!C75</f>
        <v>0</v>
      </c>
      <c r="C60" s="1203" t="n">
        <f aca="false">'Ввод данных'!D75</f>
        <v>3</v>
      </c>
      <c r="D60" s="939" t="n">
        <f aca="false">'Ввод данных'!E75</f>
        <v>0</v>
      </c>
      <c r="E60" s="1023" t="n">
        <f aca="false">B60*C60*D60</f>
        <v>0</v>
      </c>
      <c r="Y60" s="1226"/>
      <c r="Z60" s="1261"/>
      <c r="AA60" s="1261"/>
      <c r="AB60" s="1262"/>
      <c r="AC60" s="1263"/>
      <c r="AD60" s="1230"/>
      <c r="AE60" s="1230"/>
      <c r="AF60" s="1159"/>
      <c r="AG60" s="1177" t="s">
        <v>2836</v>
      </c>
      <c r="AH60" s="1177"/>
      <c r="AI60" s="1177"/>
      <c r="AJ60" s="1178" t="s">
        <v>156</v>
      </c>
      <c r="AK60" s="517" t="n">
        <f aca="false">дома!C1245</f>
        <v>5</v>
      </c>
      <c r="AL60" s="537" t="n">
        <f aca="false">AK60</f>
        <v>5</v>
      </c>
      <c r="AM60" s="1159"/>
    </row>
    <row r="61" customFormat="false" ht="15.75" hidden="false" customHeight="true" outlineLevel="0" collapsed="false">
      <c r="A61" s="1189" t="s">
        <v>2898</v>
      </c>
      <c r="B61" s="1264"/>
      <c r="C61" s="1264"/>
      <c r="D61" s="1265"/>
      <c r="E61" s="1023" t="n">
        <f aca="false">SUM(E47:E58)</f>
        <v>1.2</v>
      </c>
      <c r="Y61" s="1152" t="s">
        <v>2899</v>
      </c>
      <c r="Z61" s="1266" t="n">
        <f aca="false">IF('Ввод данных'!A6=связи1!A94,дома!Z52,0)+IF('Ввод данных'!A6=связи1!A97,дома!Z52,0)</f>
        <v>0</v>
      </c>
      <c r="AA61" s="1266" t="n">
        <f aca="false">IF('Ввод данных'!A6=связи1!A94,дома!AA52,0)+IF('Ввод данных'!A6=связи1!A97,дома!AA52,0)</f>
        <v>0</v>
      </c>
      <c r="AB61" s="1262" t="s">
        <v>2591</v>
      </c>
      <c r="AC61" s="1266" t="n">
        <f aca="false">Z61+AA61</f>
        <v>0</v>
      </c>
      <c r="AD61" s="1230" t="s">
        <v>133</v>
      </c>
      <c r="AE61" s="1230"/>
      <c r="AF61" s="1159"/>
      <c r="AG61" s="1177" t="s">
        <v>2838</v>
      </c>
      <c r="AH61" s="1177"/>
      <c r="AI61" s="1177"/>
      <c r="AJ61" s="1178" t="s">
        <v>156</v>
      </c>
      <c r="AK61" s="517" t="n">
        <f aca="false">дома!C1244</f>
        <v>4</v>
      </c>
      <c r="AL61" s="537" t="n">
        <f aca="false">AK61</f>
        <v>4</v>
      </c>
      <c r="AM61" s="1159"/>
    </row>
    <row r="62" customFormat="false" ht="15.75" hidden="false" customHeight="true" outlineLevel="0" collapsed="false">
      <c r="A62" s="1246" t="s">
        <v>2593</v>
      </c>
      <c r="B62" s="1247" t="s">
        <v>1800</v>
      </c>
      <c r="C62" s="1247" t="s">
        <v>293</v>
      </c>
      <c r="D62" s="1248" t="s">
        <v>1802</v>
      </c>
      <c r="E62" s="1248" t="s">
        <v>2900</v>
      </c>
      <c r="Y62" s="1152" t="s">
        <v>2901</v>
      </c>
      <c r="Z62" s="957" t="n">
        <f aca="false">IF('Ввод данных'!A6=связи1!A95,дома!Z52,0)+IF('Ввод данных'!A6=связи1!A96,дома!Z52*2,0)+IF('Ввод данных'!A6=связи1!A98,дома!Z52*2,0)</f>
        <v>0</v>
      </c>
      <c r="AA62" s="957" t="n">
        <f aca="false">IF('Ввод данных'!A6=связи1!A95,дома!AA52,0)+IF('Ввод данных'!A6=связи1!A96,дома!AA52,0)+IF('Ввод данных'!A6=связи1!A98,дома!AA52,0)</f>
        <v>0</v>
      </c>
      <c r="AB62" s="1219" t="s">
        <v>2591</v>
      </c>
      <c r="AC62" s="1218" t="n">
        <f aca="false">Z62+AA62</f>
        <v>0</v>
      </c>
      <c r="AD62" s="1230" t="s">
        <v>133</v>
      </c>
      <c r="AE62" s="1230"/>
      <c r="AF62" s="1159"/>
      <c r="AG62" s="1178" t="s">
        <v>2841</v>
      </c>
      <c r="AH62" s="1178"/>
      <c r="AI62" s="1178"/>
      <c r="AJ62" s="1178"/>
      <c r="AK62" s="1178"/>
      <c r="AL62" s="1178"/>
      <c r="AM62" s="1159"/>
    </row>
    <row r="63" customFormat="false" ht="15.75" hidden="false" customHeight="true" outlineLevel="0" collapsed="false">
      <c r="A63" s="932" t="s">
        <v>2902</v>
      </c>
      <c r="B63" s="995" t="n">
        <f aca="false">'Ввод данных'!C91</f>
        <v>0.8</v>
      </c>
      <c r="C63" s="1203" t="n">
        <f aca="false">'Ввод данных'!D91</f>
        <v>2.1</v>
      </c>
      <c r="D63" s="939" t="n">
        <f aca="false">'Ввод данных'!E91</f>
        <v>0</v>
      </c>
      <c r="E63" s="1023" t="n">
        <f aca="false">B63*C63*D63</f>
        <v>0</v>
      </c>
      <c r="Y63" s="1230"/>
      <c r="Z63" s="1230"/>
      <c r="AA63" s="1230"/>
      <c r="AF63" s="1159"/>
      <c r="AG63" s="1177" t="s">
        <v>2572</v>
      </c>
      <c r="AH63" s="1177"/>
      <c r="AI63" s="1177"/>
      <c r="AJ63" s="1178" t="s">
        <v>156</v>
      </c>
      <c r="AK63" s="537" t="n">
        <f aca="false">дома!C1275</f>
        <v>10.8309518948453</v>
      </c>
      <c r="AL63" s="537" t="n">
        <f aca="false">AK63</f>
        <v>10.8309518948453</v>
      </c>
      <c r="AM63" s="1159"/>
    </row>
    <row r="64" customFormat="false" ht="15.75" hidden="false" customHeight="true" outlineLevel="0" collapsed="false">
      <c r="A64" s="932" t="s">
        <v>2903</v>
      </c>
      <c r="B64" s="995" t="n">
        <f aca="false">'Ввод данных'!C92</f>
        <v>0.6</v>
      </c>
      <c r="C64" s="1203" t="n">
        <f aca="false">'Ввод данных'!D92</f>
        <v>2</v>
      </c>
      <c r="D64" s="939" t="n">
        <f aca="false">'Ввод данных'!E92</f>
        <v>0</v>
      </c>
      <c r="E64" s="1023" t="n">
        <f aca="false">B64*C64*D64</f>
        <v>0</v>
      </c>
      <c r="W64" s="1230"/>
      <c r="X64" s="1230"/>
      <c r="Y64" s="1230"/>
      <c r="AF64" s="1159"/>
      <c r="AG64" s="1177" t="s">
        <v>2846</v>
      </c>
      <c r="AH64" s="1177"/>
      <c r="AI64" s="1177"/>
      <c r="AJ64" s="1178" t="s">
        <v>133</v>
      </c>
      <c r="AK64" s="537" t="n">
        <f aca="false">дома!C1279</f>
        <v>16.25</v>
      </c>
      <c r="AL64" s="537" t="n">
        <f aca="false">AK64</f>
        <v>16.25</v>
      </c>
      <c r="AM64" s="1159"/>
    </row>
    <row r="65" customFormat="false" ht="15.75" hidden="false" customHeight="true" outlineLevel="0" collapsed="false">
      <c r="A65" s="932" t="s">
        <v>2904</v>
      </c>
      <c r="B65" s="995" t="n">
        <f aca="false">'Ввод данных'!C95</f>
        <v>0.9</v>
      </c>
      <c r="C65" s="1203" t="n">
        <f aca="false">'Ввод данных'!D95</f>
        <v>2.1</v>
      </c>
      <c r="D65" s="939" t="n">
        <f aca="false">'Ввод данных'!E95</f>
        <v>0</v>
      </c>
      <c r="E65" s="1023" t="n">
        <f aca="false">B65*C65*D65</f>
        <v>0</v>
      </c>
      <c r="W65" s="1230"/>
      <c r="X65" s="1230"/>
      <c r="Y65" s="1230"/>
      <c r="AF65" s="1159"/>
      <c r="AG65" s="1178" t="s">
        <v>2848</v>
      </c>
      <c r="AH65" s="1178"/>
      <c r="AI65" s="1178"/>
      <c r="AJ65" s="1178"/>
      <c r="AK65" s="1178"/>
      <c r="AL65" s="1178"/>
      <c r="AM65" s="1159"/>
    </row>
    <row r="66" customFormat="false" ht="15.75" hidden="false" customHeight="true" outlineLevel="0" collapsed="false">
      <c r="A66" s="932" t="s">
        <v>2905</v>
      </c>
      <c r="B66" s="995" t="n">
        <f aca="false">'Ввод данных'!C99</f>
        <v>0.8</v>
      </c>
      <c r="C66" s="1203" t="n">
        <f aca="false">'Ввод данных'!D99</f>
        <v>2.1</v>
      </c>
      <c r="D66" s="939" t="n">
        <f aca="false">'Ввод данных'!E99</f>
        <v>0</v>
      </c>
      <c r="E66" s="1023" t="n">
        <f aca="false">B66*C66*D66</f>
        <v>0</v>
      </c>
      <c r="W66" s="1230"/>
      <c r="X66" s="1230"/>
      <c r="Y66" s="1230"/>
      <c r="AF66" s="1159"/>
      <c r="AG66" s="1177" t="s">
        <v>2853</v>
      </c>
      <c r="AH66" s="1177"/>
      <c r="AI66" s="1177"/>
      <c r="AJ66" s="1178" t="s">
        <v>133</v>
      </c>
      <c r="AK66" s="537" t="n">
        <f aca="false">дома!C1259</f>
        <v>64.9857113690718</v>
      </c>
      <c r="AL66" s="537" t="n">
        <f aca="false">дома!D1259</f>
        <v>57.4040450426801</v>
      </c>
      <c r="AM66" s="1159"/>
    </row>
    <row r="67" customFormat="false" ht="15.75" hidden="false" customHeight="true" outlineLevel="0" collapsed="false">
      <c r="A67" s="1267" t="s">
        <v>2906</v>
      </c>
      <c r="B67" s="995" t="n">
        <f aca="false">'Ввод данных'!C100</f>
        <v>1</v>
      </c>
      <c r="C67" s="1203" t="n">
        <f aca="false">'Ввод данных'!D100</f>
        <v>2</v>
      </c>
      <c r="D67" s="939" t="n">
        <f aca="false">'Ввод данных'!E100</f>
        <v>0</v>
      </c>
      <c r="E67" s="1023" t="n">
        <f aca="false">B67*C67*D67</f>
        <v>0</v>
      </c>
      <c r="W67" s="1230"/>
      <c r="X67" s="1230"/>
      <c r="Y67" s="1230"/>
      <c r="AF67" s="1159"/>
      <c r="AG67" s="1177" t="s">
        <v>2864</v>
      </c>
      <c r="AH67" s="1177"/>
      <c r="AI67" s="1177"/>
      <c r="AJ67" s="1178" t="s">
        <v>133</v>
      </c>
      <c r="AK67" s="537"/>
      <c r="AL67" s="537" t="n">
        <f aca="false">дома!K1269</f>
        <v>0</v>
      </c>
      <c r="AM67" s="1159"/>
    </row>
    <row r="68" customFormat="false" ht="15.75" hidden="false" customHeight="true" outlineLevel="0" collapsed="false">
      <c r="A68" s="1267" t="s">
        <v>2907</v>
      </c>
      <c r="B68" s="995" t="n">
        <f aca="false">'Ввод данных'!C103</f>
        <v>1</v>
      </c>
      <c r="C68" s="1203" t="n">
        <f aca="false">'Ввод данных'!D103</f>
        <v>2</v>
      </c>
      <c r="D68" s="939" t="n">
        <f aca="false">'Ввод данных'!E103</f>
        <v>0</v>
      </c>
      <c r="E68" s="1023" t="n">
        <f aca="false">B68*C68*D68</f>
        <v>0</v>
      </c>
      <c r="W68" s="1230"/>
      <c r="X68" s="1230"/>
      <c r="Y68" s="1230"/>
      <c r="AF68" s="1159"/>
      <c r="AG68" s="1177" t="s">
        <v>2661</v>
      </c>
      <c r="AH68" s="1177"/>
      <c r="AI68" s="1177"/>
      <c r="AJ68" s="1178" t="s">
        <v>133</v>
      </c>
      <c r="AK68" s="537" t="n">
        <f aca="false">дома!C1237</f>
        <v>16.25</v>
      </c>
      <c r="AL68" s="537" t="n">
        <f aca="false">дома!C1237</f>
        <v>16.25</v>
      </c>
      <c r="AM68" s="1159"/>
    </row>
    <row r="69" customFormat="false" ht="15.75" hidden="false" customHeight="true" outlineLevel="0" collapsed="false">
      <c r="A69" s="1268" t="s">
        <v>1843</v>
      </c>
      <c r="B69" s="995" t="n">
        <f aca="false">'Ввод данных'!C93</f>
        <v>2</v>
      </c>
      <c r="C69" s="1203" t="n">
        <f aca="false">'Ввод данных'!D93</f>
        <v>2.3</v>
      </c>
      <c r="D69" s="939" t="n">
        <f aca="false">'Ввод данных'!E93</f>
        <v>0</v>
      </c>
      <c r="E69" s="1023" t="n">
        <f aca="false">B69*C69*D69</f>
        <v>0</v>
      </c>
      <c r="I69" s="1226"/>
      <c r="W69" s="1230"/>
      <c r="X69" s="1230"/>
      <c r="Y69" s="1230"/>
      <c r="AF69" s="1159"/>
      <c r="AG69" s="1178" t="s">
        <v>1883</v>
      </c>
      <c r="AH69" s="1178"/>
      <c r="AI69" s="1178"/>
      <c r="AJ69" s="1178"/>
      <c r="AK69" s="1178"/>
      <c r="AL69" s="1178"/>
      <c r="AM69" s="1159"/>
    </row>
    <row r="70" customFormat="false" ht="15.75" hidden="false" customHeight="true" outlineLevel="0" collapsed="false">
      <c r="A70" s="1268" t="s">
        <v>1847</v>
      </c>
      <c r="B70" s="995" t="n">
        <f aca="false">'Ввод данных'!C97</f>
        <v>1.4</v>
      </c>
      <c r="C70" s="1203" t="n">
        <f aca="false">'Ввод данных'!D97</f>
        <v>3</v>
      </c>
      <c r="D70" s="939" t="n">
        <f aca="false">'Ввод данных'!E97</f>
        <v>0</v>
      </c>
      <c r="E70" s="1023" t="n">
        <f aca="false">B70*C70*D70</f>
        <v>0</v>
      </c>
      <c r="I70" s="1226"/>
      <c r="W70" s="1230"/>
      <c r="X70" s="1230"/>
      <c r="Y70" s="1230"/>
      <c r="AF70" s="1159"/>
      <c r="AG70" s="795" t="s">
        <v>2705</v>
      </c>
      <c r="AH70" s="795"/>
      <c r="AI70" s="795"/>
      <c r="AJ70" s="1185" t="s">
        <v>156</v>
      </c>
      <c r="AK70" s="1179" t="n">
        <f aca="false">дома!C1275</f>
        <v>10.8309518948453</v>
      </c>
      <c r="AL70" s="537" t="n">
        <f aca="false">дома!D1275</f>
        <v>10.8309518948453</v>
      </c>
      <c r="AM70" s="1159"/>
    </row>
    <row r="71" customFormat="false" ht="15.75" hidden="false" customHeight="true" outlineLevel="0" collapsed="false">
      <c r="A71" s="1268" t="s">
        <v>1851</v>
      </c>
      <c r="B71" s="995" t="n">
        <f aca="false">'Ввод данных'!C101</f>
        <v>2</v>
      </c>
      <c r="C71" s="1203" t="n">
        <f aca="false">'Ввод данных'!D101</f>
        <v>2.2</v>
      </c>
      <c r="D71" s="939" t="n">
        <f aca="false">'Ввод данных'!E101</f>
        <v>0</v>
      </c>
      <c r="E71" s="1023" t="n">
        <f aca="false">B71*C71*D71</f>
        <v>0</v>
      </c>
      <c r="I71" s="1226"/>
      <c r="J71" s="888"/>
      <c r="K71" s="888"/>
      <c r="L71" s="888"/>
      <c r="M71" s="888"/>
      <c r="N71" s="888"/>
      <c r="O71" s="1230"/>
      <c r="P71" s="1230"/>
      <c r="Q71" s="1230"/>
      <c r="R71" s="1230"/>
      <c r="S71" s="1230"/>
      <c r="T71" s="1230"/>
      <c r="U71" s="1230"/>
      <c r="V71" s="1230"/>
      <c r="W71" s="1230"/>
      <c r="X71" s="1230"/>
      <c r="Y71" s="1230"/>
      <c r="AF71" s="1159"/>
      <c r="AG71" s="1177" t="s">
        <v>2874</v>
      </c>
      <c r="AH71" s="1177"/>
      <c r="AI71" s="1177"/>
      <c r="AJ71" s="1178" t="s">
        <v>156</v>
      </c>
      <c r="AK71" s="537" t="n">
        <f aca="false">дома!D1240</f>
        <v>1</v>
      </c>
      <c r="AL71" s="537" t="n">
        <f aca="false">дома!J1237-дома!J1239</f>
        <v>0</v>
      </c>
      <c r="AM71" s="1159"/>
    </row>
    <row r="72" customFormat="false" ht="15.75" hidden="false" customHeight="true" outlineLevel="0" collapsed="false">
      <c r="A72" s="1268" t="s">
        <v>1851</v>
      </c>
      <c r="B72" s="995" t="n">
        <f aca="false">'Ввод данных'!C105</f>
        <v>2</v>
      </c>
      <c r="C72" s="1203" t="n">
        <f aca="false">'Ввод данных'!D105</f>
        <v>2</v>
      </c>
      <c r="D72" s="939" t="n">
        <f aca="false">'Ввод данных'!E105</f>
        <v>0</v>
      </c>
      <c r="E72" s="1023" t="n">
        <f aca="false">B72*C72*D72</f>
        <v>0</v>
      </c>
      <c r="I72" s="1226"/>
      <c r="J72" s="888"/>
      <c r="K72" s="888"/>
      <c r="L72" s="888"/>
      <c r="M72" s="888"/>
      <c r="N72" s="888"/>
      <c r="O72" s="1230"/>
      <c r="P72" s="1230"/>
      <c r="Q72" s="1230"/>
      <c r="R72" s="1230"/>
      <c r="S72" s="1230"/>
      <c r="T72" s="1230"/>
      <c r="U72" s="1230"/>
      <c r="V72" s="1230"/>
      <c r="W72" s="1230"/>
      <c r="X72" s="1230"/>
      <c r="Y72" s="1230"/>
      <c r="AF72" s="1159"/>
      <c r="AG72" s="1177" t="s">
        <v>2751</v>
      </c>
      <c r="AH72" s="1177"/>
      <c r="AI72" s="1177"/>
      <c r="AJ72" s="1178" t="s">
        <v>156</v>
      </c>
      <c r="AK72" s="537" t="n">
        <f aca="false">дома!C1246</f>
        <v>2.2</v>
      </c>
      <c r="AL72" s="537" t="n">
        <f aca="false">дома!P1258-дома!P1245</f>
        <v>1.7</v>
      </c>
      <c r="AM72" s="1159"/>
    </row>
    <row r="73" customFormat="false" ht="15.75" hidden="false" customHeight="true" outlineLevel="0" collapsed="false">
      <c r="A73" s="1246" t="s">
        <v>1217</v>
      </c>
      <c r="B73" s="1247" t="s">
        <v>1800</v>
      </c>
      <c r="C73" s="1247" t="s">
        <v>293</v>
      </c>
      <c r="D73" s="1248" t="s">
        <v>1802</v>
      </c>
      <c r="E73" s="1248" t="s">
        <v>2900</v>
      </c>
      <c r="I73" s="1226"/>
      <c r="J73" s="888"/>
      <c r="K73" s="888"/>
      <c r="L73" s="888"/>
      <c r="M73" s="888"/>
      <c r="N73" s="888"/>
      <c r="O73" s="1230"/>
      <c r="P73" s="1230"/>
      <c r="Q73" s="1230"/>
      <c r="R73" s="1230"/>
      <c r="S73" s="1230"/>
      <c r="T73" s="1230"/>
      <c r="U73" s="1230"/>
      <c r="V73" s="1230"/>
      <c r="W73" s="1230"/>
      <c r="X73" s="1230"/>
      <c r="Y73" s="1230"/>
      <c r="AF73" s="1159"/>
      <c r="AG73" s="261" t="s">
        <v>2623</v>
      </c>
      <c r="AH73" s="261"/>
      <c r="AI73" s="261"/>
      <c r="AJ73" s="263" t="s">
        <v>133</v>
      </c>
      <c r="AK73" s="952" t="n">
        <f aca="false">дома!E1272</f>
        <v>21.2736541018041</v>
      </c>
      <c r="AL73" s="952" t="n">
        <f aca="false">дома!G1280</f>
        <v>20.2090902043595</v>
      </c>
      <c r="AM73" s="1159"/>
    </row>
    <row r="74" customFormat="false" ht="15.75" hidden="false" customHeight="true" outlineLevel="0" collapsed="false">
      <c r="A74" s="932" t="s">
        <v>2902</v>
      </c>
      <c r="B74" s="995" t="n">
        <f aca="false">'Ввод данных'!C85</f>
        <v>0.8</v>
      </c>
      <c r="C74" s="1203" t="n">
        <f aca="false">'Ввод данных'!D85</f>
        <v>2</v>
      </c>
      <c r="D74" s="939" t="n">
        <f aca="false">'Ввод данных'!E85</f>
        <v>0</v>
      </c>
      <c r="E74" s="1023" t="n">
        <f aca="false">B74*C74*D74</f>
        <v>0</v>
      </c>
      <c r="I74" s="1226"/>
      <c r="J74" s="888"/>
      <c r="K74" s="888"/>
      <c r="L74" s="888"/>
      <c r="M74" s="888"/>
      <c r="N74" s="888"/>
      <c r="O74" s="1230"/>
      <c r="P74" s="1230"/>
      <c r="Q74" s="1230"/>
      <c r="R74" s="1230"/>
      <c r="S74" s="1230"/>
      <c r="T74" s="1230"/>
      <c r="U74" s="1230"/>
      <c r="V74" s="1230"/>
      <c r="W74" s="1230"/>
      <c r="X74" s="1230"/>
      <c r="Y74" s="1230"/>
      <c r="AF74" s="1159"/>
      <c r="AG74" s="1177" t="s">
        <v>2774</v>
      </c>
      <c r="AH74" s="1177"/>
      <c r="AI74" s="1177"/>
      <c r="AJ74" s="1178" t="s">
        <v>133</v>
      </c>
      <c r="AK74" s="1179" t="n">
        <f aca="false">дома!D1272</f>
        <v>28.4356520007582</v>
      </c>
      <c r="AL74" s="537" t="n">
        <f aca="false">дома!G1281</f>
        <v>30.3136353065393</v>
      </c>
      <c r="AM74" s="1159"/>
    </row>
    <row r="75" customFormat="false" ht="15.75" hidden="false" customHeight="true" outlineLevel="0" collapsed="false">
      <c r="A75" s="932" t="s">
        <v>2903</v>
      </c>
      <c r="B75" s="995" t="n">
        <f aca="false">'Ввод данных'!C86</f>
        <v>0.9</v>
      </c>
      <c r="C75" s="1203" t="n">
        <f aca="false">'Ввод данных'!D86</f>
        <v>2.1</v>
      </c>
      <c r="D75" s="939" t="n">
        <f aca="false">'Ввод данных'!E86</f>
        <v>0</v>
      </c>
      <c r="E75" s="1023" t="n">
        <f aca="false">B75*C75*D75</f>
        <v>0</v>
      </c>
      <c r="I75" s="1226"/>
      <c r="J75" s="1189" t="s">
        <v>2908</v>
      </c>
      <c r="K75" s="1269" t="s">
        <v>133</v>
      </c>
      <c r="L75" s="1269"/>
      <c r="M75" s="1269"/>
      <c r="N75" s="1269"/>
      <c r="O75" s="1023" t="e">
        <f aca="false">#REF!*F1113+#REF!*F1112</f>
        <v>#REF!</v>
      </c>
      <c r="P75" s="1023"/>
      <c r="Q75" s="1023"/>
      <c r="R75" s="1230"/>
      <c r="S75" s="1230"/>
      <c r="T75" s="1230"/>
      <c r="U75" s="1230"/>
      <c r="V75" s="1230"/>
      <c r="W75" s="1230"/>
      <c r="X75" s="1230"/>
      <c r="Y75" s="1230"/>
      <c r="AF75" s="1159"/>
      <c r="AG75" s="1159"/>
      <c r="AH75" s="1159"/>
      <c r="AI75" s="1159"/>
      <c r="AJ75" s="1159"/>
      <c r="AK75" s="1159"/>
      <c r="AL75" s="1159"/>
      <c r="AM75" s="1159"/>
    </row>
    <row r="76" customFormat="false" ht="15.75" hidden="false" customHeight="true" outlineLevel="0" collapsed="false">
      <c r="A76" s="932" t="s">
        <v>2904</v>
      </c>
      <c r="B76" s="995" t="n">
        <f aca="false">'Ввод данных'!C87</f>
        <v>1</v>
      </c>
      <c r="C76" s="1203" t="n">
        <f aca="false">'Ввод данных'!D87</f>
        <v>2</v>
      </c>
      <c r="D76" s="939" t="n">
        <f aca="false">'Ввод данных'!E87</f>
        <v>0</v>
      </c>
      <c r="E76" s="1023" t="n">
        <f aca="false">B76*C76*D76</f>
        <v>0</v>
      </c>
      <c r="I76" s="1226"/>
      <c r="J76" s="1189" t="s">
        <v>2909</v>
      </c>
      <c r="K76" s="1269" t="s">
        <v>133</v>
      </c>
      <c r="L76" s="1269"/>
      <c r="M76" s="1269"/>
      <c r="N76" s="1269"/>
      <c r="O76" s="1023" t="e">
        <f aca="false">#REF!*F1113+#REF!*F1112</f>
        <v>#REF!</v>
      </c>
      <c r="P76" s="1023"/>
      <c r="Q76" s="1023"/>
      <c r="R76" s="1230"/>
      <c r="S76" s="1230"/>
      <c r="T76" s="1230"/>
      <c r="U76" s="1230"/>
      <c r="V76" s="1230"/>
      <c r="W76" s="1230"/>
      <c r="X76" s="1230"/>
      <c r="Y76" s="1230"/>
      <c r="AF76" s="1159"/>
      <c r="AG76" s="1159"/>
      <c r="AH76" s="1159"/>
      <c r="AI76" s="1159"/>
      <c r="AJ76" s="1159"/>
      <c r="AK76" s="1159"/>
      <c r="AL76" s="1159"/>
      <c r="AM76" s="1159"/>
    </row>
    <row r="77" customFormat="false" ht="15.75" hidden="false" customHeight="true" outlineLevel="0" collapsed="false">
      <c r="A77" s="1270" t="s">
        <v>2898</v>
      </c>
      <c r="B77" s="1269"/>
      <c r="C77" s="1269"/>
      <c r="D77" s="1270"/>
      <c r="E77" s="1270" t="n">
        <f aca="false">SUM(E74:E76)</f>
        <v>0</v>
      </c>
      <c r="I77" s="1226"/>
      <c r="J77" s="1189" t="s">
        <v>2910</v>
      </c>
      <c r="K77" s="1269" t="s">
        <v>133</v>
      </c>
      <c r="L77" s="1269"/>
      <c r="M77" s="1269"/>
      <c r="N77" s="1269"/>
      <c r="O77" s="1023" t="e">
        <f aca="false">(O76+O75)</f>
        <v>#REF!</v>
      </c>
      <c r="P77" s="1023"/>
      <c r="Q77" s="1023"/>
      <c r="R77" s="1230"/>
      <c r="S77" s="1230"/>
      <c r="T77" s="1230"/>
      <c r="U77" s="1230"/>
      <c r="V77" s="1230"/>
      <c r="W77" s="1230"/>
      <c r="X77" s="1230"/>
      <c r="Y77" s="1230"/>
    </row>
    <row r="78" customFormat="false" ht="15.75" hidden="false" customHeight="true" outlineLevel="0" collapsed="false">
      <c r="A78" s="1271" t="s">
        <v>2911</v>
      </c>
      <c r="B78" s="1272" t="s">
        <v>133</v>
      </c>
      <c r="C78" s="1273" t="n">
        <f aca="false">IF('Ввод данных'!A6=связи1!A94,дома!C20*(дома!C17+дома!C16)*2,0)+IF('Ввод данных'!A6=связи1!A95,дома!C20*(дома!C17+дома!C16)*2,0)+IF('Ввод данных'!A6=связи1!A96,дома!C20*(дома!C17+дома!C16)*2,0)+IF('Ввод данных'!A6=связи1!A97,дома!C20*(дома!C17+дома!C16)*2,0)+IF('Ввод данных'!A6=связи1!A98,дома!C20*(дома!C17+дома!C16)*2,0)</f>
        <v>120</v>
      </c>
      <c r="D78" s="1023" t="n">
        <f aca="false">E47+E48+E49+E50+E51+E57+E59+E60+E74+E75+E76</f>
        <v>1.2</v>
      </c>
      <c r="E78" s="1023"/>
      <c r="I78" s="1226"/>
      <c r="J78" s="1023" t="s">
        <v>2912</v>
      </c>
      <c r="K78" s="1274" t="s">
        <v>133</v>
      </c>
      <c r="L78" s="1274"/>
      <c r="M78" s="1274"/>
      <c r="N78" s="1274"/>
      <c r="O78" s="537" t="e">
        <f aca="false">#REF!</f>
        <v>#REF!</v>
      </c>
      <c r="P78" s="1023"/>
      <c r="Q78" s="1023"/>
      <c r="R78" s="1230"/>
      <c r="S78" s="1230"/>
      <c r="T78" s="1230"/>
      <c r="U78" s="1230"/>
      <c r="V78" s="1230"/>
      <c r="W78" s="1230"/>
      <c r="X78" s="1230"/>
      <c r="Y78" s="1230"/>
    </row>
    <row r="79" customFormat="false" ht="15.75" hidden="false" customHeight="true" outlineLevel="0" collapsed="false">
      <c r="A79" s="1271" t="s">
        <v>2913</v>
      </c>
      <c r="B79" s="1272" t="s">
        <v>133</v>
      </c>
      <c r="C79" s="1273" t="n">
        <f aca="false">IF('Ввод данных'!A6=связи1!A95,(дома!C21)*(дома!C16+дома!C16+дома!C17+дома!C17),0)+IF('Ввод данных'!A6=связи1!A96,дома!C23*(дома!C16+дома!C16+дома!C17+дома!C17),0)+IF('Ввод данных'!A6=связи1!A98,дома!C23*(дома!C16+дома!C16+дома!C17+дома!C17),0)+IF('Ввод данных'!A6=связи1!A94,0,0)+IF('Ввод данных'!A6=связи1!A97,0,0)</f>
        <v>0</v>
      </c>
      <c r="D79" s="1023" t="n">
        <f aca="false">E52+E53+E54+E55+E56+E58</f>
        <v>0</v>
      </c>
      <c r="E79" s="1275" t="n">
        <f aca="false">C87+C88</f>
        <v>24</v>
      </c>
      <c r="I79" s="1226"/>
      <c r="J79" s="888"/>
      <c r="K79" s="888"/>
      <c r="L79" s="888"/>
      <c r="M79" s="888"/>
      <c r="N79" s="888"/>
      <c r="O79" s="1230"/>
      <c r="P79" s="1230"/>
      <c r="Q79" s="1230"/>
      <c r="R79" s="1230"/>
      <c r="S79" s="1230"/>
      <c r="T79" s="1230"/>
      <c r="U79" s="1230"/>
      <c r="V79" s="1230"/>
      <c r="W79" s="1230"/>
      <c r="X79" s="1230"/>
      <c r="Y79" s="1230"/>
    </row>
    <row r="80" customFormat="false" ht="15.75" hidden="false" customHeight="true" outlineLevel="0" collapsed="false">
      <c r="A80" s="1271" t="s">
        <v>2914</v>
      </c>
      <c r="B80" s="1272" t="s">
        <v>133</v>
      </c>
      <c r="C80" s="1273" t="n">
        <f aca="false">F599+F600+F605+F606+F614+F615</f>
        <v>0</v>
      </c>
      <c r="D80" s="1276"/>
      <c r="E80" s="1275"/>
      <c r="I80" s="1226"/>
      <c r="J80" s="888"/>
      <c r="K80" s="888"/>
      <c r="L80" s="888"/>
      <c r="M80" s="888"/>
      <c r="N80" s="888"/>
      <c r="O80" s="1230"/>
      <c r="P80" s="1230"/>
      <c r="Q80" s="1230"/>
      <c r="R80" s="1230"/>
      <c r="S80" s="1230"/>
      <c r="T80" s="1230"/>
      <c r="U80" s="1230"/>
      <c r="V80" s="1230"/>
      <c r="W80" s="1230"/>
      <c r="X80" s="1230"/>
      <c r="Y80" s="1230"/>
    </row>
    <row r="81" customFormat="false" ht="15.75" hidden="false" customHeight="true" outlineLevel="0" collapsed="false">
      <c r="A81" s="1271"/>
      <c r="B81" s="1272"/>
      <c r="C81" s="1273" t="n">
        <f aca="false">F1053+F1058+F1067</f>
        <v>0</v>
      </c>
      <c r="D81" s="1276"/>
      <c r="E81" s="1275"/>
      <c r="I81" s="1226"/>
      <c r="J81" s="888"/>
      <c r="K81" s="888"/>
      <c r="L81" s="888"/>
      <c r="M81" s="888"/>
      <c r="N81" s="888"/>
      <c r="O81" s="1230"/>
      <c r="P81" s="1230"/>
      <c r="Q81" s="1230"/>
      <c r="R81" s="1230"/>
      <c r="S81" s="1230"/>
      <c r="T81" s="1230"/>
      <c r="U81" s="1230"/>
      <c r="V81" s="1230"/>
      <c r="W81" s="1230"/>
      <c r="X81" s="1230"/>
      <c r="Y81" s="1230"/>
    </row>
    <row r="82" customFormat="false" ht="15.75" hidden="false" customHeight="true" outlineLevel="0" collapsed="false">
      <c r="A82" s="1271" t="s">
        <v>2915</v>
      </c>
      <c r="B82" s="1272" t="s">
        <v>133</v>
      </c>
      <c r="C82" s="1273" t="n">
        <f aca="false">F598-I602+пристройка!R149</f>
        <v>0</v>
      </c>
      <c r="D82" s="1276"/>
      <c r="E82" s="1275"/>
      <c r="I82" s="1226"/>
      <c r="J82" s="888"/>
      <c r="K82" s="888"/>
      <c r="L82" s="888"/>
      <c r="M82" s="888"/>
      <c r="N82" s="888"/>
      <c r="O82" s="1230"/>
      <c r="P82" s="1230"/>
      <c r="Q82" s="1230"/>
      <c r="R82" s="1230"/>
      <c r="S82" s="1230"/>
      <c r="T82" s="1230"/>
      <c r="U82" s="1230"/>
      <c r="V82" s="1230"/>
      <c r="W82" s="1230"/>
      <c r="X82" s="1230"/>
      <c r="Y82" s="1230"/>
    </row>
    <row r="83" customFormat="false" ht="15.75" hidden="false" customHeight="true" outlineLevel="0" collapsed="false">
      <c r="A83" s="1271"/>
      <c r="B83" s="1272"/>
      <c r="C83" s="1273" t="n">
        <f aca="false">F1052-I1054</f>
        <v>0</v>
      </c>
      <c r="D83" s="1276"/>
      <c r="E83" s="1275"/>
      <c r="I83" s="1226"/>
      <c r="J83" s="888"/>
      <c r="K83" s="888"/>
      <c r="L83" s="888"/>
      <c r="M83" s="888"/>
      <c r="N83" s="888"/>
      <c r="O83" s="1230"/>
      <c r="P83" s="1230"/>
      <c r="Q83" s="1230"/>
      <c r="R83" s="1230"/>
      <c r="S83" s="1230"/>
      <c r="T83" s="1230"/>
      <c r="U83" s="1230"/>
      <c r="V83" s="1230"/>
      <c r="W83" s="1230"/>
      <c r="X83" s="1230"/>
      <c r="Y83" s="1230"/>
    </row>
    <row r="84" customFormat="false" ht="15.75" hidden="false" customHeight="true" outlineLevel="0" collapsed="false">
      <c r="A84" s="1271" t="s">
        <v>2916</v>
      </c>
      <c r="B84" s="1272" t="s">
        <v>133</v>
      </c>
      <c r="C84" s="1273" t="n">
        <f aca="false">F604-I607</f>
        <v>0</v>
      </c>
      <c r="D84" s="1276"/>
      <c r="E84" s="1275"/>
      <c r="I84" s="1226"/>
      <c r="J84" s="888"/>
      <c r="K84" s="888"/>
      <c r="L84" s="888"/>
      <c r="M84" s="888"/>
      <c r="N84" s="888"/>
      <c r="O84" s="1230"/>
      <c r="P84" s="1230"/>
      <c r="Q84" s="1230"/>
      <c r="R84" s="1230"/>
      <c r="S84" s="1230"/>
      <c r="T84" s="1230"/>
      <c r="U84" s="1230"/>
      <c r="V84" s="1230"/>
      <c r="W84" s="1230"/>
      <c r="X84" s="1230"/>
      <c r="Y84" s="1230"/>
    </row>
    <row r="85" customFormat="false" ht="15.75" hidden="false" customHeight="true" outlineLevel="0" collapsed="false">
      <c r="A85" s="1271"/>
      <c r="B85" s="1272"/>
      <c r="C85" s="1273" t="n">
        <f aca="false">F1057-I1059</f>
        <v>0</v>
      </c>
      <c r="D85" s="1276"/>
      <c r="E85" s="1275"/>
      <c r="I85" s="1226"/>
      <c r="J85" s="888"/>
      <c r="K85" s="888"/>
      <c r="L85" s="888"/>
      <c r="M85" s="888"/>
      <c r="N85" s="888"/>
      <c r="O85" s="1230"/>
      <c r="P85" s="1230"/>
      <c r="Q85" s="1230"/>
      <c r="R85" s="1230"/>
      <c r="S85" s="1230"/>
      <c r="T85" s="1230"/>
      <c r="U85" s="1230"/>
      <c r="V85" s="1230"/>
      <c r="W85" s="1230"/>
      <c r="X85" s="1230"/>
      <c r="Y85" s="1230"/>
    </row>
    <row r="86" customFormat="false" ht="15.75" hidden="false" customHeight="true" outlineLevel="0" collapsed="false">
      <c r="A86" s="1271" t="s">
        <v>2780</v>
      </c>
      <c r="B86" s="1272"/>
      <c r="C86" s="1273" t="n">
        <f aca="false">F601+F1054+E96</f>
        <v>0</v>
      </c>
      <c r="D86" s="1276"/>
      <c r="E86" s="1275"/>
      <c r="I86" s="1226"/>
      <c r="J86" s="888"/>
      <c r="K86" s="888"/>
      <c r="L86" s="888"/>
      <c r="M86" s="888"/>
      <c r="N86" s="888"/>
      <c r="O86" s="1230"/>
      <c r="P86" s="1230"/>
      <c r="Q86" s="1230"/>
      <c r="R86" s="1230"/>
      <c r="S86" s="1230"/>
      <c r="T86" s="1230"/>
      <c r="U86" s="1230"/>
      <c r="V86" s="1230"/>
      <c r="W86" s="1230"/>
      <c r="X86" s="1230"/>
      <c r="Y86" s="1230"/>
    </row>
    <row r="87" customFormat="false" ht="15.75" hidden="false" customHeight="true" outlineLevel="0" collapsed="false">
      <c r="A87" s="1215" t="s">
        <v>2917</v>
      </c>
      <c r="B87" s="1192" t="s">
        <v>133</v>
      </c>
      <c r="C87" s="887" t="n">
        <f aca="false">IF('Ввод данных'!A6=связи1!A94,дома!E87,0)+IF('Ввод данных'!A6=связи1!A97,дома!G87,0)</f>
        <v>24</v>
      </c>
      <c r="D87" s="1276" t="s">
        <v>2918</v>
      </c>
      <c r="E87" s="1023" t="n">
        <f aca="false">(C19-(C18+D44))*C16/2</f>
        <v>24</v>
      </c>
      <c r="F87" s="1023" t="s">
        <v>2919</v>
      </c>
      <c r="G87" s="1023" t="n">
        <f aca="false">(C19-C20)*C16/2</f>
        <v>25</v>
      </c>
      <c r="H87" s="1193"/>
      <c r="I87" s="1226"/>
      <c r="J87" s="888"/>
      <c r="K87" s="888"/>
      <c r="L87" s="888"/>
      <c r="M87" s="888"/>
      <c r="N87" s="888"/>
      <c r="O87" s="1230"/>
      <c r="P87" s="1230"/>
      <c r="Q87" s="1230"/>
      <c r="R87" s="1230"/>
      <c r="S87" s="1230"/>
      <c r="T87" s="1230"/>
      <c r="U87" s="1230"/>
      <c r="V87" s="1230"/>
      <c r="W87" s="1230"/>
      <c r="X87" s="1230"/>
      <c r="Y87" s="1230"/>
    </row>
    <row r="88" customFormat="false" ht="15.75" hidden="false" customHeight="true" outlineLevel="0" collapsed="false">
      <c r="A88" s="1215" t="s">
        <v>2920</v>
      </c>
      <c r="B88" s="1192" t="s">
        <v>133</v>
      </c>
      <c r="C88" s="887" t="n">
        <f aca="false">IF('Ввод данных'!A6=связи1!A95,дома!E88,0)+IF('Ввод данных'!A6=связи1!A96,дома!G88,0)+IF('Ввод данных'!A6=связи1!A98,дома!G88,0)</f>
        <v>0</v>
      </c>
      <c r="D88" s="1276" t="s">
        <v>2921</v>
      </c>
      <c r="E88" s="1023" t="n">
        <f aca="false">(C22-(C18+D45))*(C16/2)</f>
        <v>-16</v>
      </c>
      <c r="F88" s="1023" t="s">
        <v>2922</v>
      </c>
      <c r="G88" s="1023" t="n">
        <f aca="false">(C22-C23)*C16/2</f>
        <v>0</v>
      </c>
      <c r="H88" s="1193"/>
      <c r="I88" s="1226"/>
      <c r="J88" s="888"/>
      <c r="K88" s="888"/>
      <c r="L88" s="888"/>
      <c r="M88" s="888"/>
      <c r="N88" s="888"/>
      <c r="O88" s="1230"/>
      <c r="P88" s="1230"/>
      <c r="Q88" s="1230"/>
      <c r="R88" s="1230"/>
      <c r="S88" s="1230"/>
      <c r="T88" s="1230"/>
      <c r="U88" s="1230"/>
      <c r="V88" s="1230"/>
      <c r="W88" s="1230"/>
      <c r="X88" s="1230"/>
      <c r="Y88" s="1230"/>
    </row>
    <row r="89" customFormat="false" ht="15.75" hidden="false" customHeight="true" outlineLevel="0" collapsed="false">
      <c r="A89" s="1215"/>
      <c r="B89" s="1192"/>
      <c r="C89" s="887"/>
      <c r="D89" s="1023"/>
      <c r="E89" s="1023"/>
      <c r="F89" s="1193"/>
      <c r="G89" s="1193"/>
      <c r="H89" s="1193"/>
      <c r="I89" s="1277" t="s">
        <v>2923</v>
      </c>
      <c r="J89" s="1277"/>
      <c r="K89" s="1277"/>
      <c r="L89" s="1277"/>
      <c r="M89" s="1278"/>
      <c r="N89" s="1278"/>
      <c r="O89" s="1230"/>
      <c r="P89" s="1230"/>
      <c r="Q89" s="1230"/>
      <c r="R89" s="1230"/>
      <c r="S89" s="1230"/>
      <c r="T89" s="1230"/>
      <c r="U89" s="1230"/>
      <c r="V89" s="1230"/>
      <c r="W89" s="1230"/>
      <c r="X89" s="1230"/>
      <c r="Y89" s="1230"/>
    </row>
    <row r="90" customFormat="false" ht="15.75" hidden="false" customHeight="true" outlineLevel="0" collapsed="false">
      <c r="A90" s="1279" t="s">
        <v>1236</v>
      </c>
      <c r="B90" s="1280" t="s">
        <v>120</v>
      </c>
      <c r="C90" s="980" t="s">
        <v>2924</v>
      </c>
      <c r="D90" s="1270" t="s">
        <v>2925</v>
      </c>
      <c r="E90" s="980" t="s">
        <v>2924</v>
      </c>
      <c r="F90" s="1269" t="s">
        <v>2926</v>
      </c>
      <c r="G90" s="1269"/>
      <c r="H90" s="1281"/>
      <c r="I90" s="1269" t="s">
        <v>2927</v>
      </c>
      <c r="J90" s="1269"/>
      <c r="K90" s="1282" t="s">
        <v>2928</v>
      </c>
      <c r="L90" s="1283" t="s">
        <v>2929</v>
      </c>
      <c r="M90" s="1283"/>
      <c r="N90" s="1283"/>
      <c r="O90" s="997"/>
      <c r="P90" s="1284" t="s">
        <v>2930</v>
      </c>
      <c r="Q90" s="1284" t="s">
        <v>2931</v>
      </c>
      <c r="R90" s="1220" t="s">
        <v>2932</v>
      </c>
      <c r="S90" s="1284" t="s">
        <v>2933</v>
      </c>
      <c r="T90" s="1230"/>
      <c r="U90" s="1230"/>
      <c r="V90" s="1230"/>
      <c r="W90" s="1230"/>
      <c r="X90" s="1230"/>
      <c r="Y90" s="1230"/>
    </row>
    <row r="91" customFormat="false" ht="15.75" hidden="false" customHeight="true" outlineLevel="0" collapsed="false">
      <c r="A91" s="1215"/>
      <c r="B91" s="1192"/>
      <c r="C91" s="887"/>
      <c r="D91" s="1023"/>
      <c r="E91" s="887"/>
      <c r="F91" s="1285"/>
      <c r="G91" s="1286"/>
      <c r="H91" s="1286"/>
      <c r="I91" s="1287" t="s">
        <v>2934</v>
      </c>
      <c r="J91" s="1287" t="n">
        <f aca="false">IF('Ввод данных'!A6=связи1!A94,дома!C16*дома!C17,0)+IF('Ввод данных'!A6=связи1!A95,дома!C16*дома!C17,0)+IF('Ввод данных'!A6=связи1!A96,дома!C16*дома!C17,0)+IF('Ввод данных'!A6=связи1!A97,0,0)+IF('Ввод данных'!A6=связи1!A98,дома!C16*дома!C17,0)</f>
        <v>100</v>
      </c>
      <c r="K91" s="1288" t="n">
        <f aca="false">IF('Ввод данных'!A6=связи1!A94,дома!C16*дома!C17-V617,0)+IF('Ввод данных'!A6=связи1!A95,дома!C16*дома!C17-V617,0)+IF('Ввод данных'!A6=связи1!A96,дома!C16*дома!C17-V617,0)+IF('Ввод данных'!A6=связи1!A97,дома!C16*дома!C17-V617,0)+IF('Ввод данных'!A6=связи1!A98,дома!C16*дома!C17-V617,0)-C2072</f>
        <v>100</v>
      </c>
      <c r="L91" s="1289"/>
      <c r="M91" s="1289"/>
      <c r="N91" s="1289"/>
      <c r="O91" s="933"/>
      <c r="P91" s="1290"/>
      <c r="Q91" s="1290"/>
      <c r="R91" s="933"/>
      <c r="S91" s="1290"/>
      <c r="T91" s="1230"/>
      <c r="U91" s="1230"/>
      <c r="V91" s="1230"/>
      <c r="W91" s="1230"/>
      <c r="X91" s="1230"/>
      <c r="Y91" s="1230"/>
    </row>
    <row r="92" customFormat="false" ht="15.75" hidden="false" customHeight="true" outlineLevel="0" collapsed="false">
      <c r="A92" s="1291" t="s">
        <v>2935</v>
      </c>
      <c r="B92" s="1292" t="s">
        <v>133</v>
      </c>
      <c r="C92" s="1293" t="n">
        <f aca="false">C1185</f>
        <v>50</v>
      </c>
      <c r="D92" s="1294" t="n">
        <f aca="false">B1115</f>
        <v>0</v>
      </c>
      <c r="E92" s="1294" t="n">
        <f aca="false">C92*D92</f>
        <v>0</v>
      </c>
      <c r="F92" s="933" t="n">
        <f aca="false">D92*C1190</f>
        <v>0</v>
      </c>
      <c r="G92" s="933"/>
      <c r="H92" s="933"/>
      <c r="I92" s="1287" t="s">
        <v>2613</v>
      </c>
      <c r="J92" s="1289" t="n">
        <f aca="false">IF('Ввод данных'!A6=связи1!A94,дома!C16*дома!C17,0)+IF('Ввод данных'!A6=связи1!A95,дома!C16*дома!C17,0)+IF('Ввод данных'!A6=связи1!A96,дома!C16*дома!C17,0)+IF('Ввод данных'!A6=связи1!A97,0,0)+IF('Ввод данных'!A6=связи1!A98,дома!C16*дома!C17,0)</f>
        <v>100</v>
      </c>
      <c r="K92" s="1288" t="n">
        <f aca="false">IF('Ввод данных'!A6=связи1!A94,0,0)+IF('Ввод данных'!A6=связи1!A95,дома!C16*дома!C17-V1057,0)+IF('Ввод данных'!A6=связи1!A96,E1178-V1057,0)+IF('Ввод данных'!A6=связи1!A97,0,0)+IF('Ввод данных'!A6=связи1!A98,дома!C16*дома!C17-V1057,0)-'Ввод данных'!C485*'Ввод данных'!C486*VLOOKUP('Ввод данных'!D481,связи1!A2:B3,2,0)*VLOOKUP('Ввод данных'!F512,связи1!A2:B3,2,0)</f>
        <v>0</v>
      </c>
      <c r="L92" s="1289" t="n">
        <f aca="false">IF('Ввод данных'!A6=связи1!A94,дома!C16*дома!C17-V617,0)+IF('Ввод данных'!A6=связи1!A95,дома!C16*дома!C17-V617,0)+IF('Ввод данных'!A6=связи1!A96,дома!C16*дома!C17-V617,0)+IF('Ввод данных'!A6=связи1!A97,E1178,0)+IF('Ввод данных'!A6=связи1!A98,дома!C16*дома!C17-V617,0)-C2072</f>
        <v>100</v>
      </c>
      <c r="M92" s="1289"/>
      <c r="N92" s="1289"/>
      <c r="O92" s="1290"/>
      <c r="P92" s="1290"/>
      <c r="Q92" s="1290"/>
      <c r="R92" s="933"/>
      <c r="S92" s="1290"/>
      <c r="T92" s="1230"/>
      <c r="U92" s="1230"/>
      <c r="V92" s="1230"/>
      <c r="W92" s="1230"/>
      <c r="X92" s="1230"/>
      <c r="Y92" s="1230"/>
    </row>
    <row r="93" customFormat="false" ht="15.75" hidden="false" customHeight="true" outlineLevel="0" collapsed="false">
      <c r="A93" s="1291" t="s">
        <v>2936</v>
      </c>
      <c r="B93" s="1292" t="s">
        <v>133</v>
      </c>
      <c r="C93" s="1295" t="n">
        <f aca="false">L1185</f>
        <v>0</v>
      </c>
      <c r="D93" s="1294" t="n">
        <f aca="false">L1115</f>
        <v>0</v>
      </c>
      <c r="E93" s="1294" t="n">
        <f aca="false">C93*D93</f>
        <v>0</v>
      </c>
      <c r="F93" s="933" t="n">
        <f aca="false">D93*J1190</f>
        <v>0</v>
      </c>
      <c r="G93" s="933"/>
      <c r="H93" s="933"/>
      <c r="I93" s="1287" t="s">
        <v>2622</v>
      </c>
      <c r="J93" s="1289" t="n">
        <f aca="false">IF('Ввод данных'!A6=связи1!A94,0,0)+IF('Ввод данных'!A6=связи1!A95,дома!C16*дома!C17,0)+IF('Ввод данных'!A6=связи1!A96,0,0)+IF('Ввод данных'!A6=связи1!A97,0,0)+IF('Ввод данных'!A6=связи1!A98,E101,0)</f>
        <v>0</v>
      </c>
      <c r="K93" s="1289"/>
      <c r="L93" s="1289" t="n">
        <f aca="false">IF('Ввод данных'!A6=связи1!A94,0,0)+IF('Ввод данных'!A6=связи1!A95,дома!C16*дома!C17-V1057,0)+IF('Ввод данных'!A6=связи1!A96,E1178-V1057,0)+IF('Ввод данных'!A6=связи1!A97,0,0)+IF('Ввод данных'!A6=связи1!A98,E1187-V1057,0)-'Ввод данных'!C485*'Ввод данных'!C486*VLOOKUP('Ввод данных'!D481,связи1!A2:B3,2,0)*VLOOKUP('Ввод данных'!F512,связи1!A2:B3,2,0)</f>
        <v>0</v>
      </c>
      <c r="M93" s="1289"/>
      <c r="N93" s="1289"/>
      <c r="O93" s="1290"/>
      <c r="P93" s="1296" t="n">
        <f aca="false">IF('Ввод данных'!A19=связи1!A128,дома!P102,дома!P100)</f>
        <v>118.8</v>
      </c>
      <c r="Q93" s="1296" t="n">
        <f aca="false">IF('Ввод данных'!A19=связи1!A128,дома!Q102,дома!Q100)+L2237</f>
        <v>0</v>
      </c>
      <c r="R93" s="1297" t="n">
        <f aca="false">IF('Ввод данных'!A19=связи1!A128,дома!R102,дома!R100)</f>
        <v>0</v>
      </c>
      <c r="S93" s="1296" t="n">
        <f aca="false">P93+Q93+R93+L1217</f>
        <v>118.8</v>
      </c>
      <c r="T93" s="1230"/>
      <c r="U93" s="1230"/>
      <c r="V93" s="1230"/>
      <c r="W93" s="1230"/>
      <c r="X93" s="1230"/>
      <c r="Y93" s="1230"/>
    </row>
    <row r="94" customFormat="false" ht="15.75" hidden="false" customHeight="true" outlineLevel="0" collapsed="false">
      <c r="A94" s="1291" t="s">
        <v>2937</v>
      </c>
      <c r="B94" s="1292" t="s">
        <v>133</v>
      </c>
      <c r="C94" s="1295" t="n">
        <f aca="false">P1185+Q1186</f>
        <v>66.180339887499</v>
      </c>
      <c r="D94" s="930" t="n">
        <f aca="false">Q1115</f>
        <v>0</v>
      </c>
      <c r="E94" s="1294" t="n">
        <f aca="false">C94*D94</f>
        <v>0</v>
      </c>
      <c r="F94" s="933" t="n">
        <f aca="false">(IF('Ввод данных'!A6=связи1!A98,IF('Ввод данных'!B155=связи1!A2,дома!O1190,0),0)+IF('Ввод данных'!A6=связи1!A98,IF('Ввод данных'!C155=связи1!A2,дома!P1190,0),0)+IF('Ввод данных'!A6=связи1!A96,IF('Ввод данных'!B155=связи1!A2,дома!O1190,0),0)+IF('Ввод данных'!A6=связи1!A96,IF('Ввод данных'!C155=связи1!A2,дома!P1190,0),0))*D94</f>
        <v>0</v>
      </c>
      <c r="G94" s="933"/>
      <c r="H94" s="933"/>
      <c r="I94" s="1287"/>
      <c r="J94" s="1289" t="n">
        <f aca="false">SUM(J91:J93)</f>
        <v>200</v>
      </c>
      <c r="K94" s="1288" t="n">
        <f aca="false">SUM(K91:K93)</f>
        <v>100</v>
      </c>
      <c r="L94" s="1289" t="n">
        <f aca="false">SUM(L91:L93)</f>
        <v>100</v>
      </c>
      <c r="M94" s="1289"/>
      <c r="N94" s="1289"/>
      <c r="O94" s="1290"/>
      <c r="P94" s="1290"/>
      <c r="Q94" s="1296" t="n">
        <f aca="false">Q93</f>
        <v>0</v>
      </c>
      <c r="R94" s="1297" t="n">
        <f aca="false">R93</f>
        <v>0</v>
      </c>
      <c r="S94" s="1296" t="n">
        <f aca="false">Q94+R94</f>
        <v>0</v>
      </c>
      <c r="T94" s="1298" t="s">
        <v>2938</v>
      </c>
      <c r="U94" s="1298"/>
      <c r="V94" s="1230"/>
      <c r="W94" s="1230"/>
      <c r="X94" s="1230"/>
      <c r="Y94" s="1230"/>
    </row>
    <row r="95" customFormat="false" ht="15.75" hidden="false" customHeight="true" outlineLevel="0" collapsed="false">
      <c r="A95" s="1291" t="s">
        <v>2939</v>
      </c>
      <c r="B95" s="1292" t="s">
        <v>133</v>
      </c>
      <c r="C95" s="1295"/>
      <c r="D95" s="930"/>
      <c r="E95" s="1294" t="n">
        <f aca="false">C95*D95</f>
        <v>0</v>
      </c>
      <c r="F95" s="933"/>
      <c r="G95" s="933"/>
      <c r="H95" s="933"/>
      <c r="I95" s="1299" t="s">
        <v>2940</v>
      </c>
      <c r="J95" s="1299"/>
      <c r="K95" s="1299"/>
      <c r="L95" s="1299"/>
      <c r="M95" s="1299"/>
      <c r="N95" s="1299"/>
      <c r="O95" s="1290"/>
      <c r="P95" s="1296" t="n">
        <f aca="false">P93</f>
        <v>118.8</v>
      </c>
      <c r="Q95" s="1290"/>
      <c r="R95" s="933"/>
      <c r="S95" s="1296" t="n">
        <f aca="false">P95</f>
        <v>118.8</v>
      </c>
      <c r="T95" s="1230"/>
      <c r="U95" s="1230"/>
      <c r="V95" s="1230"/>
      <c r="W95" s="1230"/>
      <c r="X95" s="1230"/>
      <c r="Y95" s="1230"/>
    </row>
    <row r="96" customFormat="false" ht="15.75" hidden="false" customHeight="true" outlineLevel="0" collapsed="false">
      <c r="A96" s="1291"/>
      <c r="B96" s="1292"/>
      <c r="C96" s="1295"/>
      <c r="D96" s="930"/>
      <c r="E96" s="1294" t="n">
        <f aca="false">SUM(E92:E95)</f>
        <v>0</v>
      </c>
      <c r="F96" s="933" t="n">
        <f aca="false">SUM(F92:F95)</f>
        <v>0</v>
      </c>
      <c r="G96" s="933"/>
      <c r="H96" s="933"/>
      <c r="I96" s="1300" t="s">
        <v>2934</v>
      </c>
      <c r="J96" s="1301" t="n">
        <f aca="false">пристройка!R9</f>
        <v>0</v>
      </c>
      <c r="K96" s="1301" t="n">
        <f aca="false">пристройка!R12-D399*D402-D403*D406-D407*D410-D411*D414</f>
        <v>0</v>
      </c>
      <c r="L96" s="1301"/>
      <c r="M96" s="1301"/>
      <c r="N96" s="1301"/>
      <c r="O96" s="1290"/>
      <c r="P96" s="1296"/>
      <c r="Q96" s="1290"/>
      <c r="R96" s="933"/>
      <c r="S96" s="1296"/>
      <c r="T96" s="1230"/>
      <c r="U96" s="1230"/>
      <c r="V96" s="1230"/>
      <c r="W96" s="1230"/>
      <c r="X96" s="1230"/>
      <c r="Y96" s="1230"/>
    </row>
    <row r="97" customFormat="false" ht="15.75" hidden="false" customHeight="true" outlineLevel="0" collapsed="false">
      <c r="A97" s="1291" t="s">
        <v>2941</v>
      </c>
      <c r="B97" s="1292" t="s">
        <v>133</v>
      </c>
      <c r="C97" s="1295" t="n">
        <f aca="false">IF('Ввод данных'!A6=связи1!A98,дома!C1189,0)</f>
        <v>0</v>
      </c>
      <c r="D97" s="930" t="n">
        <f aca="false">B1115</f>
        <v>0</v>
      </c>
      <c r="E97" s="1294" t="n">
        <f aca="false">C97*D97</f>
        <v>0</v>
      </c>
      <c r="F97" s="933" t="n">
        <f aca="false">(C1189+C1190)*D97</f>
        <v>0</v>
      </c>
      <c r="G97" s="933" t="n">
        <f aca="false">IF('Ввод данных'!A6=связи1!A98,дома!F97,0)+IF('Ввод данных'!A6=связи1!A97,дома!C1140*2*дома!C1132,0)+IF('Ввод данных'!A6=связи1!A96,дома!C1140*2*дома!C1132,0)</f>
        <v>0</v>
      </c>
      <c r="H97" s="933"/>
      <c r="I97" s="1300" t="s">
        <v>2613</v>
      </c>
      <c r="J97" s="1301" t="n">
        <f aca="false">пристройка!R10</f>
        <v>0</v>
      </c>
      <c r="K97" s="1301" t="n">
        <f aca="false">пристройка!R13-D861*D863-D865*D867-D869*D871-D873*D875</f>
        <v>0</v>
      </c>
      <c r="L97" s="1301" t="n">
        <f aca="false">пристройка!R14-D400*D402-D404*D406-D408*D410-D412*D414</f>
        <v>0</v>
      </c>
      <c r="M97" s="1301"/>
      <c r="N97" s="1301"/>
      <c r="O97" s="933"/>
      <c r="P97" s="1290"/>
      <c r="Q97" s="1290"/>
      <c r="R97" s="933"/>
      <c r="S97" s="1290"/>
      <c r="T97" s="1230"/>
      <c r="U97" s="1230"/>
      <c r="V97" s="1230"/>
      <c r="W97" s="1230"/>
      <c r="X97" s="1230"/>
      <c r="Y97" s="1230"/>
    </row>
    <row r="98" customFormat="false" ht="15.75" hidden="false" customHeight="true" outlineLevel="0" collapsed="false">
      <c r="A98" s="1291" t="s">
        <v>2942</v>
      </c>
      <c r="B98" s="1292" t="s">
        <v>133</v>
      </c>
      <c r="C98" s="1295" t="n">
        <f aca="false">IF('Ввод данных'!A6=связи1!A94,дома!F1189,0)+IF('Ввод данных'!A6=связи1!A95,дома!F1189,0)</f>
        <v>100</v>
      </c>
      <c r="D98" s="930" t="n">
        <f aca="false">I1115</f>
        <v>0</v>
      </c>
      <c r="E98" s="1294" t="n">
        <f aca="false">C98*D98</f>
        <v>0</v>
      </c>
      <c r="F98" s="933" t="n">
        <f aca="false">F1189*D98</f>
        <v>0</v>
      </c>
      <c r="G98" s="933" t="n">
        <f aca="false">IF('Ввод данных'!A6=связи1!A94,дома!F98,0)+IF('Ввод данных'!A6=связи1!A95,дома!F98,0)</f>
        <v>0</v>
      </c>
      <c r="H98" s="933"/>
      <c r="I98" s="1300" t="s">
        <v>2622</v>
      </c>
      <c r="J98" s="1301" t="n">
        <f aca="false">пристройка!R11</f>
        <v>0</v>
      </c>
      <c r="K98" s="1301"/>
      <c r="L98" s="1301" t="n">
        <f aca="false">пристройка!R15-D862*D863-D866*D867-D870*D871-D874*D875</f>
        <v>0</v>
      </c>
      <c r="M98" s="1301"/>
      <c r="N98" s="1301"/>
      <c r="O98" s="933"/>
      <c r="P98" s="1302" t="s">
        <v>2943</v>
      </c>
      <c r="Q98" s="1302"/>
      <c r="R98" s="1302"/>
      <c r="S98" s="1302"/>
      <c r="T98" s="1230"/>
      <c r="U98" s="1230"/>
      <c r="V98" s="1230"/>
      <c r="W98" s="1230"/>
      <c r="X98" s="1230"/>
      <c r="Y98" s="1230"/>
    </row>
    <row r="99" customFormat="false" ht="15.75" hidden="false" customHeight="true" outlineLevel="0" collapsed="false">
      <c r="A99" s="1291" t="s">
        <v>2944</v>
      </c>
      <c r="B99" s="1292" t="s">
        <v>133</v>
      </c>
      <c r="C99" s="1295" t="n">
        <f aca="false">IF('Ввод данных'!A6=связи1!A98,IF('Ввод данных'!F194=связи1!A2,1,0)*IF('Ввод данных'!B155=связи1!A2,1,0)*дома!O1189,0)+IF('Ввод данных'!A6=связи1!A98,IF('Ввод данных'!F194=связи1!A2,1,0)*IF('Ввод данных'!C155=связи1!A2,1,0)*дома!P1189,0)</f>
        <v>0</v>
      </c>
      <c r="D99" s="930" t="n">
        <f aca="false">IF('Ввод данных'!F194=связи1!A2,1,0)</f>
        <v>0</v>
      </c>
      <c r="E99" s="1294" t="n">
        <f aca="false">C99*D99</f>
        <v>0</v>
      </c>
      <c r="F99" s="933" t="n">
        <f aca="false">F94+E99</f>
        <v>0</v>
      </c>
      <c r="G99" s="933" t="n">
        <v>0</v>
      </c>
      <c r="H99" s="933"/>
      <c r="I99" s="1300"/>
      <c r="J99" s="1301" t="n">
        <f aca="false">SUM(J96:J98)</f>
        <v>0</v>
      </c>
      <c r="K99" s="1301" t="n">
        <f aca="false">SUM(K96:K98)</f>
        <v>0</v>
      </c>
      <c r="L99" s="1301" t="n">
        <f aca="false">SUM(L96:L98)</f>
        <v>0</v>
      </c>
      <c r="M99" s="1301"/>
      <c r="N99" s="1301"/>
      <c r="O99" s="933"/>
      <c r="P99" s="1302"/>
      <c r="Q99" s="1302"/>
      <c r="R99" s="1302"/>
      <c r="S99" s="1302"/>
      <c r="T99" s="1230"/>
      <c r="U99" s="1230"/>
      <c r="V99" s="1230"/>
      <c r="W99" s="1230"/>
      <c r="X99" s="1230"/>
      <c r="Y99" s="1230"/>
    </row>
    <row r="100" customFormat="false" ht="15.75" hidden="false" customHeight="true" outlineLevel="0" collapsed="false">
      <c r="A100" s="1291" t="s">
        <v>2945</v>
      </c>
      <c r="B100" s="1292" t="s">
        <v>133</v>
      </c>
      <c r="C100" s="1295" t="n">
        <f aca="false">IF('Ввод данных'!A6=связи1!A98,дома!J1189,0)</f>
        <v>0</v>
      </c>
      <c r="D100" s="930" t="n">
        <f aca="false">L1115</f>
        <v>0</v>
      </c>
      <c r="E100" s="1294" t="n">
        <f aca="false">C100*D100</f>
        <v>0</v>
      </c>
      <c r="F100" s="933" t="n">
        <f aca="false">(J1189+J1190)*D100</f>
        <v>0</v>
      </c>
      <c r="G100" s="933" t="n">
        <f aca="false">IF('Ввод данных'!A6=связи1!A98,дома!F100,0)</f>
        <v>0</v>
      </c>
      <c r="H100" s="933"/>
      <c r="I100" s="1303" t="s">
        <v>2050</v>
      </c>
      <c r="J100" s="1303"/>
      <c r="K100" s="1303"/>
      <c r="L100" s="1303"/>
      <c r="M100" s="1303"/>
      <c r="N100" s="1303"/>
      <c r="O100" s="933"/>
      <c r="P100" s="1284" t="n">
        <f aca="false">AC57-E47-E48-E49-E50-E51-E57-E59-E60-E74-E75-E76</f>
        <v>-1.2</v>
      </c>
      <c r="Q100" s="1284" t="n">
        <f aca="false">AC58-E52-E53-E54-E55-E56-E58</f>
        <v>0</v>
      </c>
      <c r="R100" s="1220" t="n">
        <f aca="false">AC61+AC62</f>
        <v>0</v>
      </c>
      <c r="S100" s="1284" t="n">
        <f aca="false">P100+Q100</f>
        <v>-1.2</v>
      </c>
      <c r="T100" s="1230"/>
      <c r="U100" s="1230"/>
      <c r="V100" s="1230"/>
      <c r="W100" s="1230"/>
      <c r="X100" s="1230"/>
      <c r="Y100" s="1230"/>
    </row>
    <row r="101" customFormat="false" ht="15.75" hidden="false" customHeight="true" outlineLevel="0" collapsed="false">
      <c r="A101" s="929" t="s">
        <v>2591</v>
      </c>
      <c r="B101" s="1292"/>
      <c r="C101" s="1295"/>
      <c r="D101" s="930"/>
      <c r="E101" s="1294" t="n">
        <f aca="false">SUM(E97:E100)</f>
        <v>0</v>
      </c>
      <c r="F101" s="933" t="n">
        <f aca="false">SUM(F97:F100)</f>
        <v>0</v>
      </c>
      <c r="G101" s="933" t="n">
        <f aca="false">SUM(G97:G100)</f>
        <v>0</v>
      </c>
      <c r="H101" s="933"/>
      <c r="I101" s="1304" t="s">
        <v>2934</v>
      </c>
      <c r="J101" s="1305" t="n">
        <f aca="false">C1235*D1229*E1235</f>
        <v>0</v>
      </c>
      <c r="K101" s="1306" t="n">
        <f aca="false">C1235*C1232*D1229-D398*C1232*D1229+C1245*D1229*B398</f>
        <v>0</v>
      </c>
      <c r="L101" s="1305"/>
      <c r="M101" s="1305"/>
      <c r="N101" s="1305"/>
      <c r="O101" s="933"/>
      <c r="P101" s="1302" t="s">
        <v>2946</v>
      </c>
      <c r="Q101" s="1302"/>
      <c r="R101" s="1302"/>
      <c r="S101" s="1302"/>
      <c r="T101" s="1230"/>
      <c r="U101" s="1230"/>
      <c r="V101" s="1230"/>
      <c r="W101" s="1230"/>
      <c r="X101" s="1230"/>
      <c r="Y101" s="1230"/>
    </row>
    <row r="102" customFormat="false" ht="15.75" hidden="false" customHeight="true" outlineLevel="0" collapsed="false">
      <c r="B102" s="887"/>
      <c r="C102" s="887"/>
      <c r="D102" s="933"/>
      <c r="E102" s="933"/>
      <c r="F102" s="933"/>
      <c r="G102" s="933"/>
      <c r="H102" s="933"/>
      <c r="I102" s="1304" t="s">
        <v>2613</v>
      </c>
      <c r="J102" s="1305" t="n">
        <f aca="false">C1236*E1236*D1229</f>
        <v>0</v>
      </c>
      <c r="K102" s="1305" t="n">
        <f aca="false">(J102-D859+C1245*D1229*B859)*C1233</f>
        <v>0</v>
      </c>
      <c r="L102" s="1305" t="n">
        <f aca="false">C1236*C1232*D1229-D398*C1232*D1229+C1245*D1229*B398</f>
        <v>0</v>
      </c>
      <c r="M102" s="1305"/>
      <c r="N102" s="1305"/>
      <c r="O102" s="933"/>
      <c r="P102" s="1284" t="n">
        <f aca="false">C78-D78+C80+C82+C84</f>
        <v>118.8</v>
      </c>
      <c r="Q102" s="1284" t="n">
        <f aca="false">C79+C81+C83+C85-D79</f>
        <v>0</v>
      </c>
      <c r="R102" s="1220" t="n">
        <f aca="false">C86</f>
        <v>0</v>
      </c>
      <c r="S102" s="1284" t="n">
        <f aca="false">P102+Q102+R102</f>
        <v>118.8</v>
      </c>
      <c r="T102" s="1230"/>
      <c r="U102" s="1230"/>
      <c r="V102" s="1230"/>
      <c r="W102" s="1230"/>
      <c r="X102" s="1230"/>
      <c r="Y102" s="1230"/>
    </row>
    <row r="103" customFormat="false" ht="15.75" hidden="false" customHeight="true" outlineLevel="0" collapsed="false">
      <c r="A103" s="928"/>
      <c r="B103" s="1307"/>
      <c r="C103" s="1295"/>
      <c r="D103" s="930"/>
      <c r="E103" s="1294"/>
      <c r="F103" s="933"/>
      <c r="G103" s="933"/>
      <c r="H103" s="933"/>
      <c r="I103" s="1304" t="s">
        <v>2622</v>
      </c>
      <c r="J103" s="1305" t="n">
        <f aca="false">C1237*D1229*E1237</f>
        <v>0</v>
      </c>
      <c r="K103" s="1305"/>
      <c r="L103" s="1305" t="n">
        <f aca="false">J103-D859+C1245*D1229*B859*C1233</f>
        <v>0</v>
      </c>
      <c r="M103" s="1305"/>
      <c r="N103" s="1305"/>
      <c r="O103" s="933"/>
      <c r="P103" s="1308"/>
      <c r="Q103" s="1308"/>
      <c r="R103" s="1309"/>
      <c r="S103" s="1308"/>
      <c r="T103" s="1230"/>
      <c r="U103" s="1230"/>
      <c r="V103" s="1230"/>
      <c r="W103" s="1230"/>
      <c r="X103" s="1230"/>
      <c r="Y103" s="1230"/>
    </row>
    <row r="104" customFormat="false" ht="15.75" hidden="false" customHeight="true" outlineLevel="0" collapsed="false">
      <c r="A104" s="928"/>
      <c r="B104" s="1307"/>
      <c r="C104" s="1295"/>
      <c r="D104" s="930"/>
      <c r="E104" s="1294"/>
      <c r="F104" s="933"/>
      <c r="G104" s="933"/>
      <c r="H104" s="933"/>
      <c r="I104" s="1304"/>
      <c r="J104" s="1305" t="n">
        <f aca="false">SUM(J101:J103)</f>
        <v>0</v>
      </c>
      <c r="K104" s="1305" t="n">
        <f aca="false">SUM(K101:K103)</f>
        <v>0</v>
      </c>
      <c r="L104" s="1305" t="n">
        <f aca="false">SUM(L101:L103)</f>
        <v>0</v>
      </c>
      <c r="M104" s="1305"/>
      <c r="N104" s="1305"/>
      <c r="O104" s="933"/>
      <c r="P104" s="1308"/>
      <c r="Q104" s="1308"/>
      <c r="R104" s="1309"/>
      <c r="S104" s="1308"/>
      <c r="T104" s="1230"/>
      <c r="U104" s="1230"/>
      <c r="V104" s="1230"/>
      <c r="W104" s="1230"/>
      <c r="X104" s="1230"/>
      <c r="Y104" s="1230"/>
    </row>
    <row r="105" customFormat="false" ht="15.75" hidden="false" customHeight="true" outlineLevel="0" collapsed="false">
      <c r="A105" s="929"/>
      <c r="B105" s="1310"/>
      <c r="C105" s="1295"/>
      <c r="D105" s="930"/>
      <c r="E105" s="1294"/>
      <c r="F105" s="933"/>
      <c r="G105" s="933"/>
      <c r="H105" s="998"/>
      <c r="I105" s="1226" t="s">
        <v>2947</v>
      </c>
      <c r="J105" s="1217" t="n">
        <f aca="false">J94+J99+J104</f>
        <v>200</v>
      </c>
      <c r="K105" s="1217" t="n">
        <v>0</v>
      </c>
      <c r="L105" s="1217" t="n">
        <f aca="false">J91+J96+J101</f>
        <v>100</v>
      </c>
      <c r="M105" s="1217"/>
      <c r="N105" s="1217"/>
      <c r="O105" s="998"/>
      <c r="P105" s="1311"/>
      <c r="Q105" s="1311"/>
      <c r="R105" s="998"/>
      <c r="S105" s="1311"/>
      <c r="T105" s="1230"/>
      <c r="U105" s="1230"/>
      <c r="V105" s="1230"/>
      <c r="W105" s="1230"/>
      <c r="X105" s="1230"/>
      <c r="Y105" s="1230"/>
    </row>
    <row r="106" customFormat="false" ht="15.75" hidden="false" customHeight="true" outlineLevel="0" collapsed="false">
      <c r="A106" s="929"/>
      <c r="B106" s="1310"/>
      <c r="C106" s="1295"/>
      <c r="D106" s="930"/>
      <c r="E106" s="1294"/>
      <c r="F106" s="933"/>
      <c r="G106" s="933"/>
      <c r="H106" s="998"/>
      <c r="I106" s="1226" t="s">
        <v>1590</v>
      </c>
      <c r="J106" s="1217" t="n">
        <f aca="false">K94+K99+K104</f>
        <v>100</v>
      </c>
      <c r="K106" s="1217" t="n">
        <v>1</v>
      </c>
      <c r="L106" s="1217" t="n">
        <f aca="false">J92+J97+J102</f>
        <v>100</v>
      </c>
      <c r="M106" s="1217"/>
      <c r="N106" s="1217"/>
      <c r="O106" s="998"/>
      <c r="P106" s="1311"/>
      <c r="Q106" s="1311"/>
      <c r="R106" s="998"/>
      <c r="S106" s="1311"/>
      <c r="T106" s="1230"/>
      <c r="U106" s="1230"/>
      <c r="V106" s="1230"/>
      <c r="W106" s="1230"/>
      <c r="X106" s="1230"/>
      <c r="Y106" s="1230"/>
    </row>
    <row r="107" customFormat="false" ht="15.75" hidden="false" customHeight="true" outlineLevel="0" collapsed="false">
      <c r="A107" s="929"/>
      <c r="B107" s="1310"/>
      <c r="C107" s="1295"/>
      <c r="D107" s="930"/>
      <c r="E107" s="1294"/>
      <c r="F107" s="933"/>
      <c r="G107" s="933"/>
      <c r="H107" s="998"/>
      <c r="I107" s="1226" t="s">
        <v>1582</v>
      </c>
      <c r="J107" s="1217" t="n">
        <f aca="false">L94+L99+L104</f>
        <v>100</v>
      </c>
      <c r="K107" s="1217" t="n">
        <v>2</v>
      </c>
      <c r="L107" s="1217" t="n">
        <f aca="false">J93+J98+J103</f>
        <v>0</v>
      </c>
      <c r="M107" s="1217"/>
      <c r="N107" s="1217"/>
      <c r="O107" s="998"/>
      <c r="P107" s="1311"/>
      <c r="Q107" s="1311"/>
      <c r="R107" s="998"/>
      <c r="S107" s="1311"/>
      <c r="T107" s="1230"/>
      <c r="U107" s="1230"/>
      <c r="V107" s="1230"/>
      <c r="W107" s="1230"/>
      <c r="X107" s="1230"/>
      <c r="Y107" s="1230"/>
    </row>
    <row r="108" customFormat="false" ht="15.75" hidden="false" customHeight="true" outlineLevel="0" collapsed="false">
      <c r="A108" s="929"/>
      <c r="B108" s="1310"/>
      <c r="C108" s="1295"/>
      <c r="D108" s="930"/>
      <c r="E108" s="1294"/>
      <c r="F108" s="933"/>
      <c r="G108" s="933"/>
      <c r="H108" s="998"/>
      <c r="I108" s="1226" t="s">
        <v>2948</v>
      </c>
      <c r="J108" s="1217" t="n">
        <f aca="false">IF(K91&gt;0,J91,0)+IF(K92&gt;0,J92,0)+IF(K96&gt;0,J96,0)+IF(K97&gt;0,J97,0)+IF(K101&gt;0,J101,0)+IF(K102&gt;0,J102,0)</f>
        <v>100</v>
      </c>
      <c r="K108" s="1217" t="n">
        <f aca="false">K91+K92+K96+K97+K101+K102</f>
        <v>100</v>
      </c>
      <c r="L108" s="1217"/>
      <c r="M108" s="1217"/>
      <c r="N108" s="1217"/>
      <c r="O108" s="998"/>
      <c r="P108" s="1311"/>
      <c r="Q108" s="1311"/>
      <c r="R108" s="998"/>
      <c r="S108" s="1311"/>
      <c r="T108" s="1230"/>
      <c r="U108" s="1230"/>
      <c r="V108" s="1230"/>
      <c r="W108" s="1230"/>
      <c r="X108" s="1230"/>
      <c r="Y108" s="1230"/>
    </row>
    <row r="109" customFormat="false" ht="15.75" hidden="false" customHeight="true" outlineLevel="0" collapsed="false">
      <c r="A109" s="929"/>
      <c r="B109" s="1310"/>
      <c r="C109" s="1295"/>
      <c r="D109" s="930"/>
      <c r="E109" s="933" t="s">
        <v>2949</v>
      </c>
      <c r="F109" s="1312" t="s">
        <v>2950</v>
      </c>
      <c r="G109" s="1312"/>
      <c r="H109" s="1313"/>
      <c r="I109" s="1150" t="s">
        <v>2951</v>
      </c>
      <c r="K109" s="1150" t="n">
        <f aca="false">E96+F601+F1054</f>
        <v>0</v>
      </c>
      <c r="O109" s="1311"/>
      <c r="P109" s="1311"/>
      <c r="Q109" s="1311"/>
      <c r="R109" s="998"/>
      <c r="S109" s="1311"/>
      <c r="T109" s="1230"/>
      <c r="U109" s="1230"/>
      <c r="V109" s="1230"/>
      <c r="W109" s="1230"/>
      <c r="X109" s="1230"/>
      <c r="Y109" s="1230"/>
    </row>
    <row r="110" customFormat="false" ht="15.75" hidden="false" customHeight="true" outlineLevel="0" collapsed="false">
      <c r="A110" s="929"/>
      <c r="B110" s="1310"/>
      <c r="C110" s="1295"/>
      <c r="D110" s="930"/>
      <c r="E110" s="933"/>
      <c r="F110" s="1312"/>
      <c r="G110" s="1312"/>
      <c r="H110" s="1313"/>
      <c r="I110" s="1150" t="s">
        <v>2952</v>
      </c>
      <c r="K110" s="1150" t="n">
        <f aca="false">F613</f>
        <v>-1.2</v>
      </c>
      <c r="L110" s="1150" t="s">
        <v>2591</v>
      </c>
      <c r="O110" s="1314" t="n">
        <f aca="false">SUM(K109:K111)+L2237</f>
        <v>-1.2</v>
      </c>
      <c r="P110" s="1314" t="s">
        <v>2953</v>
      </c>
      <c r="Q110" s="1311"/>
      <c r="R110" s="998"/>
      <c r="S110" s="1311"/>
      <c r="T110" s="1230"/>
      <c r="U110" s="1230"/>
      <c r="V110" s="1230"/>
      <c r="W110" s="1230"/>
      <c r="X110" s="1230"/>
      <c r="Y110" s="1230"/>
    </row>
    <row r="111" customFormat="false" ht="15.75" hidden="false" customHeight="true" outlineLevel="0" collapsed="false">
      <c r="A111" s="929"/>
      <c r="B111" s="1310"/>
      <c r="C111" s="1295"/>
      <c r="D111" s="930"/>
      <c r="E111" s="933"/>
      <c r="F111" s="1312"/>
      <c r="G111" s="1312"/>
      <c r="H111" s="1313"/>
      <c r="I111" s="1150" t="s">
        <v>2954</v>
      </c>
      <c r="K111" s="1150" t="n">
        <f aca="false">F1066</f>
        <v>0</v>
      </c>
      <c r="O111" s="1311"/>
      <c r="P111" s="1311"/>
      <c r="Q111" s="1311"/>
      <c r="R111" s="998"/>
      <c r="S111" s="1311"/>
      <c r="T111" s="1230"/>
      <c r="U111" s="1230"/>
      <c r="V111" s="1230"/>
      <c r="W111" s="1230"/>
      <c r="X111" s="1230"/>
      <c r="Y111" s="1230"/>
    </row>
    <row r="112" customFormat="false" ht="15.75" hidden="false" customHeight="true" outlineLevel="0" collapsed="false">
      <c r="A112" s="1315" t="s">
        <v>2955</v>
      </c>
      <c r="B112" s="1316" t="s">
        <v>133</v>
      </c>
      <c r="C112" s="1317" t="n">
        <f aca="false">I1303</f>
        <v>0</v>
      </c>
      <c r="D112" s="1294" t="s">
        <v>2956</v>
      </c>
      <c r="E112" s="1294" t="n">
        <f aca="false">F1337</f>
        <v>48</v>
      </c>
      <c r="F112" s="1318" t="s">
        <v>2956</v>
      </c>
      <c r="G112" s="1297" t="n">
        <f aca="false">E112-C112-C113</f>
        <v>48</v>
      </c>
      <c r="H112" s="1297"/>
      <c r="I112" s="1319" t="s">
        <v>2957</v>
      </c>
      <c r="J112" s="1319"/>
      <c r="K112" s="1320" t="n">
        <f aca="false">G112+G114</f>
        <v>48</v>
      </c>
      <c r="L112" s="1321"/>
      <c r="M112" s="1321"/>
      <c r="N112" s="1321"/>
      <c r="S112" s="1311"/>
      <c r="T112" s="1230"/>
      <c r="U112" s="1230"/>
      <c r="V112" s="1230"/>
      <c r="W112" s="1230"/>
      <c r="X112" s="1230"/>
      <c r="Y112" s="1230"/>
    </row>
    <row r="113" customFormat="false" ht="15.75" hidden="false" customHeight="true" outlineLevel="0" collapsed="false">
      <c r="A113" s="1315" t="s">
        <v>2958</v>
      </c>
      <c r="B113" s="1316"/>
      <c r="C113" s="1317" t="n">
        <f aca="false">M1292</f>
        <v>0</v>
      </c>
      <c r="D113" s="1294"/>
      <c r="E113" s="1294"/>
      <c r="F113" s="1318"/>
      <c r="G113" s="1297"/>
      <c r="H113" s="1297"/>
      <c r="I113" s="1319"/>
      <c r="J113" s="1319"/>
      <c r="K113" s="1320"/>
      <c r="L113" s="1321"/>
      <c r="M113" s="1321"/>
      <c r="N113" s="1321"/>
      <c r="S113" s="1311"/>
      <c r="T113" s="1230"/>
      <c r="U113" s="1230"/>
      <c r="V113" s="1230"/>
      <c r="W113" s="1230"/>
      <c r="X113" s="1230"/>
      <c r="Y113" s="1230"/>
    </row>
    <row r="114" customFormat="false" ht="15.75" hidden="false" customHeight="true" outlineLevel="0" collapsed="false">
      <c r="A114" s="1315" t="s">
        <v>2959</v>
      </c>
      <c r="B114" s="1316" t="s">
        <v>133</v>
      </c>
      <c r="C114" s="1317" t="n">
        <f aca="false">I1305</f>
        <v>0</v>
      </c>
      <c r="D114" s="933" t="s">
        <v>2960</v>
      </c>
      <c r="E114" s="1294" t="n">
        <f aca="false">дома!R1337</f>
        <v>0</v>
      </c>
      <c r="F114" s="1312" t="s">
        <v>2960</v>
      </c>
      <c r="G114" s="1297" t="n">
        <f aca="false">E114-C114-C115</f>
        <v>0</v>
      </c>
      <c r="H114" s="1297"/>
      <c r="I114" s="1319" t="s">
        <v>2961</v>
      </c>
      <c r="J114" s="1319"/>
      <c r="K114" s="1320" t="n">
        <f aca="false">G116+G117</f>
        <v>23.4</v>
      </c>
      <c r="L114" s="1321"/>
      <c r="M114" s="1321"/>
      <c r="N114" s="1321"/>
      <c r="S114" s="1311"/>
      <c r="T114" s="1230"/>
      <c r="U114" s="1230"/>
      <c r="V114" s="1230"/>
      <c r="W114" s="1230"/>
      <c r="X114" s="1230"/>
      <c r="Y114" s="1230"/>
    </row>
    <row r="115" customFormat="false" ht="15.75" hidden="false" customHeight="true" outlineLevel="0" collapsed="false">
      <c r="A115" s="1315" t="s">
        <v>2962</v>
      </c>
      <c r="B115" s="1316"/>
      <c r="C115" s="1317" t="n">
        <f aca="false">M1298</f>
        <v>0</v>
      </c>
      <c r="D115" s="933"/>
      <c r="E115" s="1294"/>
      <c r="F115" s="1312"/>
      <c r="G115" s="1297"/>
      <c r="H115" s="1297"/>
      <c r="I115" s="1319"/>
      <c r="J115" s="1319"/>
      <c r="K115" s="1320"/>
      <c r="L115" s="1321"/>
      <c r="M115" s="1321"/>
      <c r="N115" s="1321"/>
      <c r="S115" s="1311"/>
      <c r="T115" s="1230"/>
      <c r="U115" s="1230"/>
      <c r="V115" s="1230"/>
      <c r="W115" s="1230"/>
      <c r="X115" s="1230"/>
      <c r="Y115" s="1230"/>
    </row>
    <row r="116" customFormat="false" ht="15.75" hidden="false" customHeight="true" outlineLevel="0" collapsed="false">
      <c r="A116" s="1315" t="s">
        <v>2963</v>
      </c>
      <c r="B116" s="1316" t="s">
        <v>133</v>
      </c>
      <c r="C116" s="1317" t="n">
        <f aca="false">I1304</f>
        <v>0</v>
      </c>
      <c r="D116" s="933" t="s">
        <v>2964</v>
      </c>
      <c r="E116" s="1294" t="n">
        <f aca="false">F1338</f>
        <v>23.4</v>
      </c>
      <c r="F116" s="1312" t="s">
        <v>2964</v>
      </c>
      <c r="G116" s="1297" t="n">
        <f aca="false">E116-C116-C117</f>
        <v>23.4</v>
      </c>
      <c r="H116" s="1297"/>
      <c r="I116" s="1322" t="s">
        <v>2965</v>
      </c>
      <c r="J116" s="1322"/>
      <c r="K116" s="1315" t="n">
        <f aca="false">G112+G116</f>
        <v>71.4</v>
      </c>
      <c r="L116" s="1323"/>
      <c r="M116" s="1323"/>
      <c r="N116" s="1323"/>
      <c r="O116" s="1311"/>
      <c r="S116" s="1311"/>
      <c r="T116" s="1230"/>
      <c r="U116" s="1230"/>
      <c r="V116" s="1230"/>
      <c r="W116" s="1230"/>
      <c r="X116" s="1230"/>
      <c r="Y116" s="1230"/>
    </row>
    <row r="117" customFormat="false" ht="15.75" hidden="false" customHeight="true" outlineLevel="0" collapsed="false">
      <c r="A117" s="1315" t="s">
        <v>2966</v>
      </c>
      <c r="B117" s="1316" t="s">
        <v>133</v>
      </c>
      <c r="C117" s="1317" t="n">
        <f aca="false">M1295</f>
        <v>0</v>
      </c>
      <c r="D117" s="929" t="s">
        <v>2967</v>
      </c>
      <c r="E117" s="1294" t="n">
        <f aca="false">R1338</f>
        <v>0</v>
      </c>
      <c r="F117" s="1324" t="s">
        <v>2967</v>
      </c>
      <c r="G117" s="1297" t="n">
        <f aca="false">E117-C118-C119</f>
        <v>0</v>
      </c>
      <c r="H117" s="1297"/>
      <c r="I117" s="1322" t="s">
        <v>2968</v>
      </c>
      <c r="J117" s="1322"/>
      <c r="K117" s="1249" t="n">
        <f aca="false">G114+G117</f>
        <v>0</v>
      </c>
      <c r="L117" s="1325"/>
      <c r="M117" s="1325"/>
      <c r="N117" s="1325"/>
      <c r="O117" s="1311"/>
      <c r="S117" s="1311"/>
      <c r="T117" s="1230"/>
      <c r="U117" s="1230"/>
      <c r="V117" s="1230"/>
      <c r="W117" s="1230"/>
      <c r="X117" s="1230"/>
      <c r="Y117" s="1230"/>
    </row>
    <row r="118" customFormat="false" ht="15.75" hidden="false" customHeight="true" outlineLevel="0" collapsed="false">
      <c r="A118" s="1315" t="s">
        <v>2969</v>
      </c>
      <c r="B118" s="1316" t="s">
        <v>133</v>
      </c>
      <c r="C118" s="1317" t="n">
        <f aca="false">I1306</f>
        <v>0</v>
      </c>
      <c r="D118" s="930"/>
      <c r="E118" s="1294"/>
      <c r="F118" s="933"/>
      <c r="G118" s="933"/>
      <c r="H118" s="933"/>
      <c r="I118" s="1319" t="s">
        <v>2970</v>
      </c>
      <c r="J118" s="1319"/>
      <c r="K118" s="1249" t="n">
        <f aca="false">K116+K117</f>
        <v>71.4</v>
      </c>
      <c r="L118" s="1325"/>
      <c r="M118" s="1325"/>
      <c r="N118" s="1325"/>
      <c r="O118" s="1311"/>
      <c r="S118" s="1311"/>
      <c r="T118" s="1230"/>
      <c r="U118" s="1230"/>
      <c r="V118" s="1230"/>
      <c r="W118" s="1230"/>
      <c r="X118" s="1230"/>
      <c r="Y118" s="1230"/>
    </row>
    <row r="119" customFormat="false" ht="15.75" hidden="false" customHeight="true" outlineLevel="0" collapsed="false">
      <c r="A119" s="1315" t="s">
        <v>2971</v>
      </c>
      <c r="B119" s="1316"/>
      <c r="C119" s="1317" t="n">
        <f aca="false">M1301</f>
        <v>0</v>
      </c>
      <c r="D119" s="930"/>
      <c r="E119" s="1294"/>
      <c r="F119" s="933"/>
      <c r="G119" s="933"/>
      <c r="H119" s="998"/>
      <c r="I119" s="1326"/>
      <c r="J119" s="1326"/>
      <c r="K119" s="1325"/>
      <c r="L119" s="1325"/>
      <c r="M119" s="1325"/>
      <c r="N119" s="1325"/>
      <c r="O119" s="1311"/>
      <c r="S119" s="1311"/>
      <c r="T119" s="1230"/>
      <c r="U119" s="1230"/>
      <c r="V119" s="1230"/>
      <c r="W119" s="1230"/>
      <c r="X119" s="1230"/>
      <c r="Y119" s="1230"/>
    </row>
    <row r="120" customFormat="false" ht="15.75" hidden="false" customHeight="true" outlineLevel="0" collapsed="false">
      <c r="A120" s="1315"/>
      <c r="B120" s="1316"/>
      <c r="C120" s="1317"/>
      <c r="D120" s="930"/>
      <c r="E120" s="1294"/>
      <c r="F120" s="933"/>
      <c r="G120" s="933"/>
      <c r="H120" s="998"/>
      <c r="I120" s="1326"/>
      <c r="J120" s="1326"/>
      <c r="K120" s="1325"/>
      <c r="L120" s="1325"/>
      <c r="M120" s="1325"/>
      <c r="N120" s="1325"/>
      <c r="O120" s="1311"/>
      <c r="S120" s="1311"/>
      <c r="T120" s="1230"/>
      <c r="U120" s="1230"/>
      <c r="V120" s="1230"/>
      <c r="W120" s="1230"/>
      <c r="X120" s="1230"/>
      <c r="Y120" s="1230"/>
    </row>
    <row r="121" customFormat="false" ht="15.75" hidden="false" customHeight="true" outlineLevel="0" collapsed="false">
      <c r="A121" s="1315"/>
      <c r="B121" s="1316"/>
      <c r="C121" s="1317"/>
      <c r="D121" s="930"/>
      <c r="E121" s="1294"/>
      <c r="F121" s="933"/>
      <c r="G121" s="933"/>
      <c r="H121" s="998"/>
      <c r="I121" s="1326"/>
      <c r="J121" s="1326"/>
      <c r="K121" s="1325"/>
      <c r="L121" s="1325"/>
      <c r="M121" s="1325"/>
      <c r="N121" s="1325"/>
      <c r="O121" s="1311"/>
      <c r="S121" s="1311"/>
      <c r="T121" s="1230"/>
      <c r="U121" s="1230"/>
      <c r="V121" s="1230"/>
      <c r="W121" s="1230"/>
      <c r="X121" s="1230"/>
      <c r="Y121" s="1230"/>
    </row>
    <row r="122" s="1150" customFormat="true" ht="15.75" hidden="false" customHeight="true" outlineLevel="0" collapsed="false">
      <c r="A122" s="1315" t="s">
        <v>2972</v>
      </c>
      <c r="B122" s="1316" t="s">
        <v>133</v>
      </c>
      <c r="C122" s="1317" t="n">
        <f aca="false">C117+C118</f>
        <v>0</v>
      </c>
      <c r="D122" s="930"/>
      <c r="E122" s="1294"/>
      <c r="F122" s="933"/>
      <c r="G122" s="933"/>
      <c r="H122" s="998"/>
      <c r="K122" s="888"/>
      <c r="L122" s="888"/>
      <c r="M122" s="888"/>
      <c r="N122" s="888"/>
      <c r="O122" s="1311"/>
      <c r="P122" s="1311"/>
      <c r="Q122" s="1311"/>
      <c r="R122" s="998"/>
      <c r="S122" s="1311"/>
      <c r="T122" s="1230"/>
      <c r="U122" s="1230"/>
      <c r="V122" s="1230"/>
      <c r="W122" s="1230"/>
      <c r="X122" s="1230"/>
      <c r="Y122" s="1230"/>
    </row>
    <row r="123" customFormat="false" ht="15.75" hidden="false" customHeight="true" outlineLevel="1" collapsed="false">
      <c r="A123" s="1327" t="s">
        <v>2973</v>
      </c>
      <c r="B123" s="1280" t="s">
        <v>120</v>
      </c>
      <c r="C123" s="1307" t="s">
        <v>853</v>
      </c>
      <c r="D123" s="980" t="s">
        <v>1802</v>
      </c>
      <c r="E123" s="1269" t="s">
        <v>293</v>
      </c>
      <c r="F123" s="1269" t="s">
        <v>2974</v>
      </c>
      <c r="G123" s="980" t="s">
        <v>2156</v>
      </c>
      <c r="H123" s="980"/>
      <c r="I123" s="980" t="s">
        <v>2807</v>
      </c>
      <c r="J123" s="980" t="s">
        <v>2975</v>
      </c>
      <c r="K123" s="980" t="s">
        <v>1800</v>
      </c>
      <c r="L123" s="980"/>
      <c r="M123" s="980"/>
      <c r="N123" s="980"/>
      <c r="O123" s="1220" t="s">
        <v>2976</v>
      </c>
      <c r="P123" s="1328" t="s">
        <v>2977</v>
      </c>
      <c r="Q123" s="1328" t="s">
        <v>2978</v>
      </c>
      <c r="R123" s="1328" t="s">
        <v>2979</v>
      </c>
      <c r="S123" s="933" t="s">
        <v>2572</v>
      </c>
      <c r="T123" s="1220" t="s">
        <v>2980</v>
      </c>
      <c r="U123" s="1283" t="s">
        <v>2981</v>
      </c>
      <c r="V123" s="1220" t="s">
        <v>2982</v>
      </c>
      <c r="W123" s="944" t="s">
        <v>2983</v>
      </c>
      <c r="X123" s="944" t="s">
        <v>1802</v>
      </c>
      <c r="Y123" s="1222" t="s">
        <v>2982</v>
      </c>
      <c r="Z123" s="944" t="s">
        <v>2984</v>
      </c>
      <c r="AA123" s="1220" t="s">
        <v>2982</v>
      </c>
      <c r="AB123" s="944" t="s">
        <v>2985</v>
      </c>
      <c r="AC123" s="944" t="s">
        <v>1802</v>
      </c>
      <c r="AD123" s="1222" t="s">
        <v>1698</v>
      </c>
    </row>
    <row r="124" customFormat="false" ht="15.75" hidden="false" customHeight="true" outlineLevel="1" collapsed="false">
      <c r="A124" s="1215" t="s">
        <v>2986</v>
      </c>
      <c r="B124" s="1280" t="s">
        <v>156</v>
      </c>
      <c r="C124" s="1190" t="n">
        <f aca="false">IF('Ввод данных'!A27=связи1!A132,C16,F16+G16)*(IF('Ввод данных'!A8=связи1!A150,1,0))</f>
        <v>0</v>
      </c>
      <c r="D124" s="933" t="n">
        <f aca="false">'Ввод данных'!C21</f>
        <v>3</v>
      </c>
      <c r="E124" s="1023" t="n">
        <f aca="false"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данных'!A19=связи1!A129,'Ввод данных'!C13,0)</f>
        <v>3</v>
      </c>
      <c r="F124" s="1023" t="n">
        <f aca="false">C124*E124</f>
        <v>0</v>
      </c>
      <c r="G124" s="933" t="n">
        <f aca="false">'Ввод данных'!C1027</f>
        <v>0.6</v>
      </c>
      <c r="H124" s="933"/>
      <c r="I124" s="933" t="n">
        <f aca="false">IF(C124=0,0,C124/G124+1)</f>
        <v>0</v>
      </c>
      <c r="J124" s="933" t="n">
        <f aca="false">VLOOKUP('Ввод данных'!A1031,связи1!I458:O488,7,0)</f>
        <v>0.05</v>
      </c>
      <c r="K124" s="933" t="n">
        <f aca="false">VLOOKUP('Ввод данных'!A1031,связи1!I458:O488,6,0)</f>
        <v>0.15</v>
      </c>
      <c r="L124" s="933"/>
      <c r="M124" s="933"/>
      <c r="N124" s="933"/>
      <c r="O124" s="1220" t="n">
        <f aca="false">E124*I124*J124*K124</f>
        <v>0</v>
      </c>
      <c r="P124" s="1290" t="n">
        <f aca="false">C124*C130</f>
        <v>0</v>
      </c>
      <c r="Q124" s="1290" t="n">
        <f aca="false">C124*C130</f>
        <v>0</v>
      </c>
      <c r="R124" s="1290" t="n">
        <f aca="false">C124*C130</f>
        <v>0</v>
      </c>
      <c r="S124" s="933" t="n">
        <f aca="false">C124</f>
        <v>0</v>
      </c>
      <c r="T124" s="1220" t="n">
        <f aca="false">(P124+Q124+R124)*J124*K124</f>
        <v>0</v>
      </c>
      <c r="U124" s="1329" t="n">
        <f aca="false">'Ввод данных'!E68*2</f>
        <v>2</v>
      </c>
      <c r="V124" s="1220" t="n">
        <f aca="false">U124*($E$124+$E$125)*J124*$K$124</f>
        <v>0.045</v>
      </c>
      <c r="W124" s="933" t="n">
        <f aca="false">'Ввод данных'!C68</f>
        <v>1</v>
      </c>
      <c r="X124" s="933" t="n">
        <v>2</v>
      </c>
      <c r="Y124" s="1284" t="n">
        <f aca="false">W124*$K$124*J124*X124</f>
        <v>0.015</v>
      </c>
      <c r="Z124" s="933" t="n">
        <f aca="false">'Ввод данных'!E85</f>
        <v>0</v>
      </c>
      <c r="AA124" s="1220" t="n">
        <f aca="false">Z124*($E$124+$E$125)*J124*K124</f>
        <v>0</v>
      </c>
      <c r="AB124" s="1290" t="n">
        <f aca="false">'Ввод данных'!C85</f>
        <v>0.8</v>
      </c>
      <c r="AC124" s="1290" t="n">
        <v>1</v>
      </c>
      <c r="AD124" s="1284" t="n">
        <f aca="false">AB124*K124*J124*AC124</f>
        <v>0.006</v>
      </c>
    </row>
    <row r="125" customFormat="false" ht="15.75" hidden="false" customHeight="true" outlineLevel="1" collapsed="false">
      <c r="A125" s="1215" t="s">
        <v>2987</v>
      </c>
      <c r="B125" s="1280" t="s">
        <v>156</v>
      </c>
      <c r="C125" s="1190" t="n">
        <f aca="false">IF('Ввод данных'!A19=связи1!A128,дома!E124,дома!F20)*(IF('Ввод данных'!A8=связи1!A150,1,0))</f>
        <v>0</v>
      </c>
      <c r="D125" s="933" t="n">
        <f aca="false">IF('Ввод данных'!A19=связи1!A129,1,0)</f>
        <v>0</v>
      </c>
      <c r="E125" s="1023" t="n">
        <f aca="false">((IF('Ввод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данных'!A19=связи1!A129,дома!C125,0))*C131</f>
        <v>0</v>
      </c>
      <c r="F125" s="1023" t="n">
        <f aca="false">E125*C128</f>
        <v>0</v>
      </c>
      <c r="G125" s="933" t="n">
        <f aca="false">'Ввод данных'!C1027</f>
        <v>0.6</v>
      </c>
      <c r="H125" s="933"/>
      <c r="I125" s="933" t="n">
        <f aca="false">IF(E125=0,0,C128/G125+1)</f>
        <v>0</v>
      </c>
      <c r="J125" s="933" t="n">
        <f aca="false">VLOOKUP('Ввод данных'!A1031,связи1!I458:O488,7,0)</f>
        <v>0.05</v>
      </c>
      <c r="K125" s="933" t="n">
        <f aca="false">VLOOKUP('Ввод данных'!A1031,связи1!I458:O488,6,0)</f>
        <v>0.15</v>
      </c>
      <c r="L125" s="933"/>
      <c r="M125" s="933"/>
      <c r="N125" s="933"/>
      <c r="O125" s="1220" t="n">
        <f aca="false">E125*I125*J125*K125</f>
        <v>0</v>
      </c>
      <c r="P125" s="1290" t="n">
        <f aca="false">C133*C131</f>
        <v>0</v>
      </c>
      <c r="Q125" s="1290" t="n">
        <f aca="false">C133*C131</f>
        <v>0</v>
      </c>
      <c r="R125" s="1290" t="n">
        <f aca="false">C133*C131</f>
        <v>0</v>
      </c>
      <c r="S125" s="933" t="n">
        <f aca="false">P125</f>
        <v>0</v>
      </c>
      <c r="T125" s="1220" t="n">
        <f aca="false">(P125+Q125+R125)*J125*K125</f>
        <v>0</v>
      </c>
      <c r="U125" s="1329" t="n">
        <f aca="false">'Ввод данных'!E69*2</f>
        <v>0</v>
      </c>
      <c r="V125" s="1220" t="n">
        <f aca="false">U125*($E$124+$E$125)*J125*$K$124</f>
        <v>0</v>
      </c>
      <c r="W125" s="933"/>
      <c r="X125" s="933" t="n">
        <v>2</v>
      </c>
      <c r="Y125" s="1284" t="n">
        <f aca="false">W125*$K$124*J125*X125</f>
        <v>0</v>
      </c>
      <c r="Z125" s="933"/>
      <c r="AA125" s="1220" t="n">
        <f aca="false">Z125*($E$124+$E$125)*J125*K125</f>
        <v>0</v>
      </c>
      <c r="AB125" s="1290"/>
      <c r="AC125" s="1290" t="n">
        <v>1</v>
      </c>
      <c r="AD125" s="1284" t="n">
        <f aca="false">AB125*K125*J125*AC125</f>
        <v>0</v>
      </c>
    </row>
    <row r="126" customFormat="false" ht="15.75" hidden="false" customHeight="true" outlineLevel="1" collapsed="false">
      <c r="A126" s="1215" t="s">
        <v>2988</v>
      </c>
      <c r="B126" s="1280" t="s">
        <v>156</v>
      </c>
      <c r="C126" s="1190" t="n">
        <f aca="false">IF('Ввод данных'!A19=связи1!A128,дома!E124,дома!G20)*(IF('Ввод данных'!A8=связи1!A150,1,0))</f>
        <v>0</v>
      </c>
      <c r="D126" s="933"/>
      <c r="E126" s="1023" t="n">
        <f aca="false">((IF('Ввод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данных'!A19=связи1!A129,дома!C126,0))*C131</f>
        <v>0</v>
      </c>
      <c r="F126" s="1023" t="n">
        <f aca="false">E126*C129</f>
        <v>0</v>
      </c>
      <c r="G126" s="933" t="n">
        <f aca="false">'Ввод данных'!C1027</f>
        <v>0.6</v>
      </c>
      <c r="H126" s="933"/>
      <c r="I126" s="933" t="n">
        <f aca="false">IF(E126=0,0,C129/G126+1)</f>
        <v>0</v>
      </c>
      <c r="J126" s="933" t="n">
        <f aca="false">VLOOKUP('Ввод данных'!A1031,связи1!I458:O488,7,0)</f>
        <v>0.05</v>
      </c>
      <c r="K126" s="933" t="n">
        <f aca="false">VLOOKUP('Ввод данных'!A1031,связи1!I458:O488,6,0)</f>
        <v>0.15</v>
      </c>
      <c r="L126" s="933"/>
      <c r="M126" s="933"/>
      <c r="N126" s="933"/>
      <c r="O126" s="1220" t="n">
        <f aca="false">E126*I126*J126*K126</f>
        <v>0</v>
      </c>
      <c r="P126" s="1290" t="n">
        <f aca="false">C137*C131</f>
        <v>0</v>
      </c>
      <c r="Q126" s="1290" t="n">
        <f aca="false">C137*C131</f>
        <v>0</v>
      </c>
      <c r="R126" s="1290" t="n">
        <f aca="false">C137*C131</f>
        <v>0</v>
      </c>
      <c r="S126" s="933" t="n">
        <f aca="false">P126</f>
        <v>0</v>
      </c>
      <c r="T126" s="1220" t="n">
        <f aca="false">(P126+Q126+R126)*J126*K126</f>
        <v>0</v>
      </c>
      <c r="U126" s="1329" t="n">
        <f aca="false">'Ввод данных'!E70*2</f>
        <v>0</v>
      </c>
      <c r="V126" s="1220" t="n">
        <f aca="false">U126*($E$124+$E$125)*J126*$K$124</f>
        <v>0</v>
      </c>
      <c r="W126" s="933"/>
      <c r="X126" s="933" t="n">
        <v>2</v>
      </c>
      <c r="Y126" s="1284" t="n">
        <f aca="false">W126*$K$124*J126*X126</f>
        <v>0</v>
      </c>
      <c r="Z126" s="933"/>
      <c r="AA126" s="1220" t="n">
        <f aca="false">Z126*($E$124+$E$125)*J126*K126</f>
        <v>0</v>
      </c>
      <c r="AB126" s="1290"/>
      <c r="AC126" s="1290" t="n">
        <v>1</v>
      </c>
      <c r="AD126" s="1284" t="n">
        <f aca="false">AB126*K126*J126*AC126</f>
        <v>0</v>
      </c>
    </row>
    <row r="127" customFormat="false" ht="15.75" hidden="false" customHeight="true" outlineLevel="1" collapsed="false">
      <c r="A127" s="1215" t="s">
        <v>2989</v>
      </c>
      <c r="B127" s="1280" t="s">
        <v>156</v>
      </c>
      <c r="C127" s="1190" t="n">
        <f aca="false">IF('Ввод данных'!A27=связи1!A132,C16,F16+G16)*(IF('Ввод данных'!A8=связи1!A150,1,0))</f>
        <v>0</v>
      </c>
      <c r="D127" s="933" t="n">
        <f aca="false">'Ввод данных'!C22</f>
        <v>4</v>
      </c>
      <c r="E127" s="1023" t="n">
        <f aca="false"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данных'!C13,0))*C130+IF('Ввод данных'!A19=связи1!A129,'Ввод данных'!C13,0)</f>
        <v>3</v>
      </c>
      <c r="F127" s="1023" t="n">
        <f aca="false">C127*E127</f>
        <v>0</v>
      </c>
      <c r="G127" s="933" t="n">
        <f aca="false">'Ввод данных'!C1027</f>
        <v>0.6</v>
      </c>
      <c r="H127" s="933"/>
      <c r="I127" s="933" t="n">
        <f aca="false">IF(C127=0,0,C127/G127+1)</f>
        <v>0</v>
      </c>
      <c r="J127" s="933" t="n">
        <f aca="false">VLOOKUP('Ввод данных'!A1031,связи1!I458:O488,7,0)</f>
        <v>0.05</v>
      </c>
      <c r="K127" s="933" t="n">
        <f aca="false">VLOOKUP('Ввод данных'!A1031,связи1!I458:O488,6,0)</f>
        <v>0.15</v>
      </c>
      <c r="L127" s="933"/>
      <c r="M127" s="933"/>
      <c r="N127" s="933"/>
      <c r="O127" s="1220" t="n">
        <f aca="false">E127*I127*J127*K127</f>
        <v>0</v>
      </c>
      <c r="P127" s="1290" t="n">
        <f aca="false">C127*C130</f>
        <v>0</v>
      </c>
      <c r="Q127" s="1290" t="n">
        <f aca="false">C127*C130</f>
        <v>0</v>
      </c>
      <c r="R127" s="1290" t="n">
        <f aca="false">C127*C130</f>
        <v>0</v>
      </c>
      <c r="S127" s="933" t="n">
        <f aca="false">C127</f>
        <v>0</v>
      </c>
      <c r="T127" s="1220" t="n">
        <f aca="false">(P127+Q127+R127)*J127*K127</f>
        <v>0</v>
      </c>
      <c r="U127" s="1329" t="n">
        <f aca="false">'Ввод данных'!E71*2</f>
        <v>0</v>
      </c>
      <c r="V127" s="1220" t="n">
        <f aca="false">U127*($E$124+$E$125)*J127*$K$124</f>
        <v>0</v>
      </c>
      <c r="W127" s="933" t="n">
        <f aca="false">'Ввод данных'!C69</f>
        <v>0.6</v>
      </c>
      <c r="X127" s="933" t="n">
        <v>2</v>
      </c>
      <c r="Y127" s="1284" t="n">
        <f aca="false">W127*$K$124*J127*X127</f>
        <v>0.009</v>
      </c>
      <c r="Z127" s="933" t="n">
        <f aca="false">'Ввод данных'!E86</f>
        <v>0</v>
      </c>
      <c r="AA127" s="1220" t="n">
        <f aca="false">Z127*($E$124+$E$125)*J127*K127</f>
        <v>0</v>
      </c>
      <c r="AB127" s="1290" t="n">
        <f aca="false">'Ввод данных'!C86</f>
        <v>0.9</v>
      </c>
      <c r="AC127" s="1290" t="n">
        <v>1</v>
      </c>
      <c r="AD127" s="1284" t="n">
        <f aca="false">AB127*K127*J127*AC127</f>
        <v>0.00675</v>
      </c>
    </row>
    <row r="128" customFormat="false" ht="15.75" hidden="false" customHeight="true" outlineLevel="1" collapsed="false">
      <c r="A128" s="1215" t="s">
        <v>2990</v>
      </c>
      <c r="B128" s="1280" t="s">
        <v>156</v>
      </c>
      <c r="C128" s="1190" t="n">
        <f aca="false">C17*(IF('Ввод данных'!A8=связи1!A150,1,0))</f>
        <v>0</v>
      </c>
      <c r="D128" s="933"/>
      <c r="E128" s="1023" t="n">
        <f aca="false"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</f>
        <v>3</v>
      </c>
      <c r="F128" s="1023" t="n">
        <f aca="false">C128*E128</f>
        <v>0</v>
      </c>
      <c r="G128" s="933" t="n">
        <f aca="false">'Ввод данных'!C1027</f>
        <v>0.6</v>
      </c>
      <c r="H128" s="933"/>
      <c r="I128" s="933" t="n">
        <f aca="false">IF(E128=0,0,C128/G128+1)</f>
        <v>1</v>
      </c>
      <c r="J128" s="933" t="n">
        <f aca="false">VLOOKUP('Ввод данных'!A1031,связи1!I458:O488,7,0)</f>
        <v>0.05</v>
      </c>
      <c r="K128" s="933" t="n">
        <f aca="false">VLOOKUP('Ввод данных'!A1031,связи1!I458:O488,6,0)</f>
        <v>0.15</v>
      </c>
      <c r="L128" s="933"/>
      <c r="M128" s="933"/>
      <c r="N128" s="933"/>
      <c r="O128" s="1220" t="n">
        <f aca="false">E128*I128*J128*K128</f>
        <v>0.0225</v>
      </c>
      <c r="P128" s="1290" t="n">
        <f aca="false">C128</f>
        <v>0</v>
      </c>
      <c r="Q128" s="1290" t="n">
        <f aca="false">C128</f>
        <v>0</v>
      </c>
      <c r="R128" s="1290" t="n">
        <f aca="false">C128</f>
        <v>0</v>
      </c>
      <c r="S128" s="933" t="n">
        <f aca="false">C128</f>
        <v>0</v>
      </c>
      <c r="T128" s="1220" t="n">
        <f aca="false">(P128+Q128+R128)*J128*K128</f>
        <v>0</v>
      </c>
      <c r="U128" s="1329" t="n">
        <f aca="false">'Ввод данных'!E72*2</f>
        <v>0</v>
      </c>
      <c r="V128" s="1220" t="n">
        <f aca="false">U128*($E$124+$E$125)*J128*$K$124</f>
        <v>0</v>
      </c>
      <c r="W128" s="933" t="n">
        <f aca="false">'Ввод данных'!C70</f>
        <v>1</v>
      </c>
      <c r="X128" s="933" t="n">
        <v>2</v>
      </c>
      <c r="Y128" s="1284" t="n">
        <f aca="false">W128*$K$124*J128*X128</f>
        <v>0.015</v>
      </c>
      <c r="Z128" s="933" t="n">
        <f aca="false">'Ввод данных'!E87</f>
        <v>0</v>
      </c>
      <c r="AA128" s="1220" t="n">
        <f aca="false">Z128*($E$124+$E$125)*J128*K128</f>
        <v>0</v>
      </c>
      <c r="AB128" s="1290" t="n">
        <f aca="false">'Ввод данных'!C87</f>
        <v>1</v>
      </c>
      <c r="AC128" s="1290" t="n">
        <v>1</v>
      </c>
      <c r="AD128" s="1284" t="n">
        <f aca="false">AB128*K128*J128*AC128</f>
        <v>0.0075</v>
      </c>
    </row>
    <row r="129" customFormat="false" ht="15.75" hidden="false" customHeight="true" outlineLevel="1" collapsed="false">
      <c r="A129" s="1215" t="s">
        <v>2991</v>
      </c>
      <c r="B129" s="1280" t="s">
        <v>156</v>
      </c>
      <c r="C129" s="1190" t="n">
        <f aca="false">C128*(IF('Ввод данных'!A8=связи1!A150,1,0))</f>
        <v>0</v>
      </c>
      <c r="D129" s="933"/>
      <c r="E129" s="1023" t="n">
        <f aca="false">(IF('Ввод данных'!A6=связи1!A94,'Ввод данных'!C13,0)+IF('Ввод данных'!A6=связи1!A95,'Ввод данных'!C13,0)+IF('Ввод данных'!A6=связи1!A96,'Ввод данных'!C13,0)+IF('Ввод данных'!A6=связи1!A97,'Ввод данных'!C15,0)+IF('Ввод данных'!A6=связи1!A98,'Ввод данных'!C13,0))*C130</f>
        <v>3</v>
      </c>
      <c r="F129" s="1023" t="n">
        <f aca="false">C129*E129</f>
        <v>0</v>
      </c>
      <c r="G129" s="933" t="n">
        <f aca="false">'Ввод данных'!C1027</f>
        <v>0.6</v>
      </c>
      <c r="H129" s="933"/>
      <c r="I129" s="933" t="n">
        <f aca="false">IF(E129=0,0,C129/G129+1)</f>
        <v>1</v>
      </c>
      <c r="J129" s="933" t="n">
        <f aca="false">VLOOKUP('Ввод данных'!A1031,связи1!I458:O488,7,0)</f>
        <v>0.05</v>
      </c>
      <c r="K129" s="933" t="n">
        <f aca="false">VLOOKUP('Ввод данных'!A1031,связи1!I458:O488,6,0)</f>
        <v>0.15</v>
      </c>
      <c r="L129" s="933"/>
      <c r="M129" s="933"/>
      <c r="N129" s="933"/>
      <c r="O129" s="1220" t="n">
        <f aca="false">E129*I129*J129*K129</f>
        <v>0.0225</v>
      </c>
      <c r="P129" s="1290" t="n">
        <f aca="false">C129</f>
        <v>0</v>
      </c>
      <c r="Q129" s="1290" t="n">
        <f aca="false">C129</f>
        <v>0</v>
      </c>
      <c r="R129" s="1290" t="n">
        <f aca="false">C129</f>
        <v>0</v>
      </c>
      <c r="S129" s="933" t="n">
        <f aca="false">C129</f>
        <v>0</v>
      </c>
      <c r="T129" s="1220" t="n">
        <f aca="false">(P129+Q129+R129)*J129*K129</f>
        <v>0</v>
      </c>
      <c r="U129" s="1329"/>
      <c r="V129" s="1220" t="n">
        <f aca="false">U129*($E$124+$E$125)*J129*$K$124</f>
        <v>0</v>
      </c>
      <c r="W129" s="933" t="n">
        <f aca="false">'Ввод данных'!C71</f>
        <v>0.6</v>
      </c>
      <c r="X129" s="933" t="n">
        <v>2</v>
      </c>
      <c r="Y129" s="1284" t="n">
        <f aca="false">W129*$K$124*J129*X129</f>
        <v>0.009</v>
      </c>
      <c r="Z129" s="933"/>
      <c r="AA129" s="1220" t="n">
        <f aca="false">Z129*($E$124+$E$125)*J129*K129</f>
        <v>0</v>
      </c>
      <c r="AD129" s="1284"/>
    </row>
    <row r="130" customFormat="false" ht="15.75" hidden="false" customHeight="true" outlineLevel="1" collapsed="false">
      <c r="A130" s="1330" t="s">
        <v>2992</v>
      </c>
      <c r="B130" s="1280" t="s">
        <v>1820</v>
      </c>
      <c r="C130" s="1190" t="n">
        <f aca="false">IF('Ввод данных'!A19=связи1!A128,1,0)</f>
        <v>1</v>
      </c>
      <c r="D130" s="933"/>
      <c r="E130" s="1023"/>
      <c r="F130" s="1023"/>
      <c r="G130" s="933"/>
      <c r="H130" s="933"/>
      <c r="I130" s="933"/>
      <c r="J130" s="933"/>
      <c r="K130" s="933"/>
      <c r="L130" s="933"/>
      <c r="M130" s="933"/>
      <c r="N130" s="933"/>
      <c r="O130" s="1220"/>
      <c r="P130" s="1150" t="n">
        <f aca="false">SUM(P124:P129)</f>
        <v>0</v>
      </c>
      <c r="Q130" s="1150" t="n">
        <f aca="false">SUM(Q124:Q129)</f>
        <v>0</v>
      </c>
      <c r="R130" s="1150" t="n">
        <f aca="false">SUM(R124:R129)</f>
        <v>0</v>
      </c>
      <c r="T130" s="1331" t="n">
        <f aca="false">R131*S131</f>
        <v>0</v>
      </c>
      <c r="U130" s="1329" t="n">
        <f aca="false">SUM(U124:U129)</f>
        <v>2</v>
      </c>
      <c r="V130" s="1220"/>
      <c r="W130" s="933"/>
      <c r="X130" s="933"/>
      <c r="Y130" s="1284"/>
      <c r="Z130" s="933" t="n">
        <f aca="false">SUM(Z124:Z129)</f>
        <v>0</v>
      </c>
      <c r="AA130" s="1220"/>
      <c r="AD130" s="1284"/>
    </row>
    <row r="131" customFormat="false" ht="15.75" hidden="false" customHeight="true" outlineLevel="1" collapsed="false">
      <c r="A131" s="1330" t="s">
        <v>2993</v>
      </c>
      <c r="B131" s="1280"/>
      <c r="C131" s="1190" t="n">
        <f aca="false">IF('Ввод данных'!A19=связи1!A129,1,0)</f>
        <v>0</v>
      </c>
      <c r="D131" s="933"/>
      <c r="E131" s="1023"/>
      <c r="F131" s="1023"/>
      <c r="G131" s="933"/>
      <c r="H131" s="933"/>
      <c r="I131" s="933"/>
      <c r="J131" s="933"/>
      <c r="K131" s="933"/>
      <c r="L131" s="933"/>
      <c r="M131" s="933"/>
      <c r="N131" s="933"/>
      <c r="O131" s="1220"/>
      <c r="P131" s="1290" t="s">
        <v>2994</v>
      </c>
      <c r="Q131" s="1290"/>
      <c r="R131" s="1332" t="n">
        <f aca="false">связи1!F187</f>
        <v>0.4</v>
      </c>
      <c r="S131" s="1331" t="n">
        <f aca="false">S124+S128+S129+S127</f>
        <v>0</v>
      </c>
      <c r="T131" s="1220"/>
      <c r="U131" s="1329"/>
      <c r="V131" s="1220"/>
      <c r="W131" s="933"/>
      <c r="X131" s="933"/>
      <c r="Y131" s="1284"/>
      <c r="Z131" s="933"/>
      <c r="AA131" s="1220"/>
      <c r="AD131" s="1284"/>
    </row>
    <row r="132" customFormat="false" ht="15.75" hidden="false" customHeight="true" outlineLevel="1" collapsed="false">
      <c r="A132" s="1333" t="s">
        <v>2853</v>
      </c>
      <c r="B132" s="1334"/>
      <c r="C132" s="1335"/>
      <c r="D132" s="1336"/>
      <c r="E132" s="1337"/>
      <c r="F132" s="1337" t="n">
        <f aca="false">F124+F127+F128+F129+(F125+F126)</f>
        <v>0</v>
      </c>
      <c r="G132" s="933"/>
      <c r="H132" s="933"/>
      <c r="I132" s="933"/>
      <c r="J132" s="933"/>
      <c r="K132" s="933"/>
      <c r="L132" s="933"/>
      <c r="M132" s="933"/>
      <c r="N132" s="933"/>
      <c r="O132" s="1220"/>
      <c r="P132" s="1290"/>
      <c r="Q132" s="1290"/>
      <c r="R132" s="1332"/>
      <c r="S132" s="1331"/>
      <c r="T132" s="1220"/>
      <c r="U132" s="1329"/>
      <c r="V132" s="1220"/>
      <c r="W132" s="933"/>
      <c r="X132" s="933"/>
      <c r="Y132" s="1284"/>
      <c r="Z132" s="933"/>
      <c r="AA132" s="1220"/>
      <c r="AD132" s="1284"/>
    </row>
    <row r="133" customFormat="false" ht="15.75" hidden="false" customHeight="true" outlineLevel="1" collapsed="false">
      <c r="A133" s="1338" t="s">
        <v>2995</v>
      </c>
      <c r="B133" s="1339" t="s">
        <v>156</v>
      </c>
      <c r="C133" s="1222" t="n">
        <f aca="false">IF('Ввод данных'!A27=связи1!A132,C16/2,'Ввод данных'!C29)</f>
        <v>5</v>
      </c>
      <c r="D133" s="1220"/>
      <c r="E133" s="1234" t="n">
        <f aca="false">IF('Ввод данных'!A6=связи1!A94,'Ввод данных'!C14,0)+IF('Ввод данных'!A6=связи1!A97,'Ввод данных'!C14,0)</f>
        <v>8</v>
      </c>
      <c r="F133" s="1234"/>
      <c r="G133" s="1220" t="n">
        <f aca="false">'Ввод данных'!C1027</f>
        <v>0.6</v>
      </c>
      <c r="H133" s="1220"/>
      <c r="I133" s="933"/>
      <c r="J133" s="933" t="str">
        <f aca="false">I627</f>
        <v>односкатная кровля</v>
      </c>
      <c r="K133" s="933"/>
      <c r="L133" s="933"/>
      <c r="M133" s="933"/>
      <c r="N133" s="933"/>
      <c r="O133" s="933" t="str">
        <f aca="false">L627</f>
        <v>размер дома</v>
      </c>
      <c r="P133" s="1290"/>
      <c r="Q133" s="1290"/>
      <c r="R133" s="1290"/>
      <c r="S133" s="933"/>
      <c r="T133" s="933"/>
      <c r="U133" s="1329"/>
      <c r="V133" s="933"/>
      <c r="W133" s="933"/>
      <c r="X133" s="933"/>
      <c r="Y133" s="1290"/>
      <c r="Z133" s="933"/>
      <c r="AA133" s="933"/>
      <c r="AD133" s="1290"/>
    </row>
    <row r="134" customFormat="false" ht="15.75" hidden="false" customHeight="true" outlineLevel="1" collapsed="false">
      <c r="A134" s="1330" t="s">
        <v>2996</v>
      </c>
      <c r="B134" s="1280" t="s">
        <v>156</v>
      </c>
      <c r="C134" s="1190" t="n">
        <f aca="false">SQRT((E133-E124)*(E133-E124)+C133*C133)</f>
        <v>7.07106781186548</v>
      </c>
      <c r="D134" s="933" t="s">
        <v>1936</v>
      </c>
      <c r="E134" s="1023" t="s">
        <v>2997</v>
      </c>
      <c r="F134" s="1023" t="n">
        <f aca="false">(E133-E124)/C134</f>
        <v>0.707106781186547</v>
      </c>
      <c r="G134" s="933"/>
      <c r="H134" s="933"/>
      <c r="I134" s="933"/>
      <c r="J134" s="933" t="str">
        <f aca="false">I628</f>
        <v>длина фронтона 2</v>
      </c>
      <c r="K134" s="933"/>
      <c r="L134" s="933" t="n">
        <f aca="false">K628</f>
        <v>11.180339887499</v>
      </c>
      <c r="M134" s="933"/>
      <c r="N134" s="933"/>
      <c r="O134" s="933" t="n">
        <f aca="false">L628</f>
        <v>10</v>
      </c>
      <c r="P134" s="1290"/>
      <c r="Q134" s="1290"/>
      <c r="R134" s="1290"/>
      <c r="S134" s="933"/>
      <c r="T134" s="933"/>
      <c r="U134" s="1329"/>
      <c r="V134" s="933"/>
      <c r="W134" s="933"/>
      <c r="X134" s="933"/>
      <c r="Y134" s="1290"/>
      <c r="Z134" s="933"/>
      <c r="AA134" s="933"/>
      <c r="AD134" s="1290"/>
    </row>
    <row r="135" customFormat="false" ht="15.75" hidden="false" customHeight="true" outlineLevel="1" collapsed="false">
      <c r="A135" s="1330" t="s">
        <v>2998</v>
      </c>
      <c r="B135" s="1280" t="s">
        <v>159</v>
      </c>
      <c r="C135" s="1190" t="n">
        <f aca="false">CEILING(C133/G124,1)</f>
        <v>9</v>
      </c>
      <c r="D135" s="933" t="n">
        <f aca="false">CEILING(C135,1)</f>
        <v>9</v>
      </c>
      <c r="E135" s="1023"/>
      <c r="F135" s="1023"/>
      <c r="G135" s="933"/>
      <c r="H135" s="933"/>
      <c r="I135" s="933"/>
      <c r="J135" s="933" t="str">
        <f aca="false">I629</f>
        <v>длина фронтона1</v>
      </c>
      <c r="K135" s="933"/>
      <c r="L135" s="933" t="n">
        <f aca="false">K629</f>
        <v>11.180339887499</v>
      </c>
      <c r="M135" s="933"/>
      <c r="N135" s="933"/>
      <c r="O135" s="933" t="n">
        <f aca="false">L629</f>
        <v>10</v>
      </c>
      <c r="P135" s="1290"/>
      <c r="Q135" s="1290"/>
      <c r="R135" s="1290"/>
      <c r="S135" s="933"/>
      <c r="T135" s="933"/>
      <c r="U135" s="1329"/>
      <c r="V135" s="933"/>
      <c r="W135" s="933"/>
      <c r="X135" s="933"/>
      <c r="Y135" s="1290"/>
      <c r="Z135" s="933"/>
      <c r="AA135" s="933"/>
      <c r="AD135" s="1290"/>
    </row>
    <row r="136" customFormat="false" ht="15.75" hidden="false" customHeight="true" outlineLevel="1" collapsed="false">
      <c r="A136" s="1330" t="s">
        <v>2999</v>
      </c>
      <c r="B136" s="1280" t="s">
        <v>156</v>
      </c>
      <c r="C136" s="1190" t="n">
        <f aca="false">(E133-C125)/D135</f>
        <v>0.888888888888889</v>
      </c>
      <c r="D136" s="933"/>
      <c r="E136" s="1023"/>
      <c r="F136" s="1023"/>
      <c r="G136" s="933"/>
      <c r="H136" s="933"/>
      <c r="I136" s="933"/>
      <c r="J136" s="933" t="str">
        <f aca="false">I630</f>
        <v>кол во стоек 1</v>
      </c>
      <c r="K136" s="933"/>
      <c r="L136" s="933" t="n">
        <f aca="false">K630</f>
        <v>18</v>
      </c>
      <c r="M136" s="933"/>
      <c r="N136" s="933"/>
      <c r="O136" s="933"/>
      <c r="P136" s="1290"/>
      <c r="Q136" s="1290"/>
      <c r="R136" s="1290"/>
      <c r="S136" s="933"/>
      <c r="T136" s="933"/>
      <c r="U136" s="1329"/>
      <c r="V136" s="933"/>
      <c r="W136" s="933"/>
      <c r="X136" s="933"/>
      <c r="Y136" s="1290"/>
      <c r="Z136" s="933"/>
      <c r="AA136" s="933"/>
      <c r="AD136" s="1290"/>
    </row>
    <row r="137" customFormat="false" ht="15.75" hidden="false" customHeight="true" outlineLevel="1" collapsed="false">
      <c r="A137" s="1338" t="s">
        <v>3000</v>
      </c>
      <c r="B137" s="1339" t="s">
        <v>156</v>
      </c>
      <c r="C137" s="1222" t="n">
        <f aca="false">IF('Ввод данных'!A27=связи1!A132,C16/2,'Ввод данных'!C30)</f>
        <v>5</v>
      </c>
      <c r="D137" s="1220"/>
      <c r="E137" s="1234" t="n">
        <f aca="false">IF('Ввод данных'!A6=связи1!A94,'Ввод данных'!C14,0)+IF('Ввод данных'!A6=связи1!A97,'Ввод данных'!C14,0)</f>
        <v>8</v>
      </c>
      <c r="F137" s="1234"/>
      <c r="G137" s="1220" t="n">
        <f aca="false">'Ввод данных'!C1027</f>
        <v>0.6</v>
      </c>
      <c r="H137" s="1220"/>
      <c r="I137" s="933"/>
      <c r="J137" s="933" t="str">
        <f aca="false">I631</f>
        <v>кол во стоек 2</v>
      </c>
      <c r="K137" s="933"/>
      <c r="L137" s="933" t="n">
        <f aca="false">K631</f>
        <v>18</v>
      </c>
      <c r="M137" s="933"/>
      <c r="N137" s="933"/>
      <c r="O137" s="933"/>
      <c r="P137" s="1290"/>
      <c r="Q137" s="1290"/>
      <c r="R137" s="1290"/>
      <c r="S137" s="933"/>
      <c r="T137" s="933"/>
      <c r="U137" s="1329"/>
      <c r="V137" s="933"/>
      <c r="W137" s="933"/>
      <c r="X137" s="933"/>
      <c r="Y137" s="1290"/>
      <c r="Z137" s="933"/>
      <c r="AA137" s="933"/>
      <c r="AD137" s="1290"/>
    </row>
    <row r="138" customFormat="false" ht="15.75" hidden="false" customHeight="true" outlineLevel="1" collapsed="false">
      <c r="A138" s="1330" t="s">
        <v>3001</v>
      </c>
      <c r="B138" s="1280"/>
      <c r="C138" s="1190"/>
      <c r="D138" s="933"/>
      <c r="E138" s="1023"/>
      <c r="F138" s="1023" t="n">
        <f aca="false">SQRT(C137*C137+(E137-E124)*(E137-E124))</f>
        <v>7.07106781186548</v>
      </c>
      <c r="G138" s="933"/>
      <c r="H138" s="933"/>
      <c r="I138" s="933"/>
      <c r="J138" s="933" t="str">
        <f aca="false">I632</f>
        <v>разница 1</v>
      </c>
      <c r="K138" s="933"/>
      <c r="L138" s="933" t="n">
        <f aca="false">K632</f>
        <v>0.2</v>
      </c>
      <c r="M138" s="933"/>
      <c r="N138" s="933"/>
      <c r="O138" s="933"/>
      <c r="P138" s="1290"/>
      <c r="Q138" s="1290"/>
      <c r="R138" s="1290"/>
      <c r="S138" s="933"/>
      <c r="T138" s="933"/>
      <c r="U138" s="1329"/>
      <c r="V138" s="933"/>
      <c r="W138" s="933"/>
      <c r="X138" s="933"/>
      <c r="Y138" s="1290"/>
      <c r="Z138" s="933"/>
      <c r="AA138" s="933"/>
      <c r="AD138" s="1290"/>
    </row>
    <row r="139" customFormat="false" ht="15.75" hidden="false" customHeight="true" outlineLevel="1" collapsed="false">
      <c r="A139" s="1330" t="s">
        <v>3002</v>
      </c>
      <c r="B139" s="1340"/>
      <c r="C139" s="1341"/>
      <c r="D139" s="1216"/>
      <c r="E139" s="1342"/>
      <c r="F139" s="1342" t="n">
        <f aca="false">C137/G124</f>
        <v>8.33333333333333</v>
      </c>
      <c r="G139" s="1216" t="n">
        <f aca="false">CEILING(F139,1)</f>
        <v>9</v>
      </c>
      <c r="H139" s="1216"/>
      <c r="I139" s="933"/>
      <c r="J139" s="933" t="str">
        <f aca="false">I633</f>
        <v>разница 2</v>
      </c>
      <c r="K139" s="933"/>
      <c r="L139" s="933" t="n">
        <f aca="false">K633</f>
        <v>0.2</v>
      </c>
      <c r="M139" s="933"/>
      <c r="N139" s="933"/>
      <c r="O139" s="933"/>
      <c r="P139" s="1290"/>
      <c r="Q139" s="1290"/>
      <c r="R139" s="1290"/>
      <c r="S139" s="933"/>
      <c r="T139" s="933"/>
      <c r="U139" s="1329"/>
      <c r="V139" s="933"/>
      <c r="W139" s="933"/>
      <c r="X139" s="933"/>
      <c r="Y139" s="1290"/>
      <c r="Z139" s="933"/>
      <c r="AA139" s="933"/>
      <c r="AD139" s="1290"/>
    </row>
    <row r="140" customFormat="false" ht="15.75" hidden="false" customHeight="true" outlineLevel="1" collapsed="false">
      <c r="A140" s="1330" t="s">
        <v>3003</v>
      </c>
      <c r="B140" s="887"/>
      <c r="C140" s="887"/>
      <c r="D140" s="933"/>
      <c r="E140" s="1023"/>
      <c r="F140" s="1023" t="n">
        <f aca="false">(E133-C126)/G139</f>
        <v>0.888888888888889</v>
      </c>
      <c r="G140" s="933"/>
      <c r="H140" s="933"/>
      <c r="I140" s="933"/>
      <c r="J140" s="933"/>
      <c r="K140" s="933"/>
      <c r="L140" s="933"/>
      <c r="M140" s="933"/>
      <c r="N140" s="933"/>
      <c r="O140" s="933"/>
      <c r="P140" s="1290"/>
      <c r="Q140" s="1290"/>
      <c r="R140" s="1290"/>
      <c r="S140" s="933"/>
      <c r="T140" s="933"/>
      <c r="U140" s="1329"/>
      <c r="V140" s="933"/>
      <c r="W140" s="933"/>
      <c r="X140" s="933"/>
      <c r="Y140" s="1290"/>
      <c r="Z140" s="933"/>
      <c r="AA140" s="933"/>
      <c r="AD140" s="1290"/>
    </row>
    <row r="141" customFormat="false" ht="15.75" hidden="false" customHeight="true" outlineLevel="1" collapsed="false">
      <c r="A141" s="1215" t="s">
        <v>3004</v>
      </c>
      <c r="B141" s="887"/>
      <c r="C141" s="887"/>
      <c r="D141" s="933" t="n">
        <f aca="false">IF('Ввод данных'!A6=связи1!A94,1,0)+IF('Ввод данных'!A6=связи1!A97,1,0)</f>
        <v>1</v>
      </c>
      <c r="E141" s="1023"/>
      <c r="F141" s="1023"/>
      <c r="G141" s="933"/>
      <c r="H141" s="933"/>
      <c r="I141" s="933"/>
      <c r="J141" s="933"/>
      <c r="K141" s="933"/>
      <c r="L141" s="933"/>
      <c r="M141" s="933"/>
      <c r="N141" s="933"/>
      <c r="O141" s="933"/>
      <c r="P141" s="1290"/>
      <c r="Q141" s="1290"/>
      <c r="R141" s="1290"/>
      <c r="S141" s="933"/>
      <c r="T141" s="933"/>
      <c r="U141" s="1329"/>
      <c r="V141" s="933"/>
      <c r="W141" s="933"/>
      <c r="X141" s="933"/>
      <c r="Y141" s="1290"/>
      <c r="Z141" s="933"/>
      <c r="AA141" s="933"/>
      <c r="AD141" s="1290"/>
    </row>
    <row r="142" customFormat="false" ht="15.75" hidden="false" customHeight="true" outlineLevel="1" collapsed="false">
      <c r="A142" s="1343" t="s">
        <v>3005</v>
      </c>
      <c r="B142" s="1344" t="s">
        <v>120</v>
      </c>
      <c r="C142" s="980" t="s">
        <v>1800</v>
      </c>
      <c r="D142" s="980" t="s">
        <v>2975</v>
      </c>
      <c r="E142" s="1269" t="s">
        <v>3006</v>
      </c>
      <c r="F142" s="1269" t="s">
        <v>1802</v>
      </c>
      <c r="G142" s="980" t="s">
        <v>3007</v>
      </c>
      <c r="H142" s="980"/>
      <c r="I142" s="933"/>
      <c r="J142" s="933"/>
      <c r="K142" s="933"/>
      <c r="L142" s="933"/>
      <c r="M142" s="933"/>
      <c r="N142" s="933"/>
      <c r="O142" s="933"/>
      <c r="P142" s="1290"/>
      <c r="Q142" s="1290"/>
      <c r="R142" s="1290"/>
      <c r="S142" s="933"/>
      <c r="T142" s="933"/>
      <c r="U142" s="1329"/>
      <c r="V142" s="933"/>
      <c r="W142" s="933"/>
      <c r="X142" s="933"/>
      <c r="Y142" s="1290"/>
      <c r="Z142" s="933"/>
      <c r="AA142" s="933"/>
      <c r="AD142" s="1290"/>
    </row>
    <row r="143" customFormat="false" ht="15.75" hidden="false" customHeight="true" outlineLevel="1" collapsed="false">
      <c r="A143" s="1191" t="s">
        <v>3008</v>
      </c>
      <c r="B143" s="1269" t="s">
        <v>156</v>
      </c>
      <c r="C143" s="887" t="n">
        <f aca="false">VLOOKUP('Ввод данных'!A1031,связи1!I458:O488,6,0)</f>
        <v>0.15</v>
      </c>
      <c r="D143" s="933" t="n">
        <f aca="false">VLOOKUP('Ввод данных'!A1031,связи1!I458:O488,7,0)</f>
        <v>0.05</v>
      </c>
      <c r="E143" s="1023" t="n">
        <f aca="false">E124*(IF('Ввод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данных'!F194=связи1!A2,0,1)*(IF('Ввод данных'!A8=связи1!A150,1,0))</f>
        <v>0</v>
      </c>
      <c r="F143" s="1023" t="n">
        <f aca="false">CEILING(I124+I127,1)*IF('Ввод данных'!$F$237=связи1!$A$2,1,0)</f>
        <v>0</v>
      </c>
      <c r="G143" s="933" t="n">
        <f aca="false">C143*D143*E143*F143</f>
        <v>0</v>
      </c>
      <c r="H143" s="933"/>
      <c r="I143" s="933"/>
      <c r="J143" s="933"/>
      <c r="K143" s="933"/>
      <c r="L143" s="933"/>
      <c r="M143" s="933"/>
      <c r="N143" s="933"/>
      <c r="O143" s="933"/>
      <c r="P143" s="1290"/>
      <c r="Q143" s="1290"/>
      <c r="R143" s="1290"/>
      <c r="S143" s="933"/>
      <c r="T143" s="933"/>
      <c r="U143" s="1329"/>
      <c r="V143" s="933"/>
      <c r="W143" s="933"/>
      <c r="X143" s="933"/>
      <c r="Y143" s="1290"/>
      <c r="Z143" s="933"/>
      <c r="AA143" s="933"/>
      <c r="AD143" s="1290"/>
    </row>
    <row r="144" customFormat="false" ht="15.75" hidden="false" customHeight="true" outlineLevel="1" collapsed="false">
      <c r="A144" s="1191" t="s">
        <v>3009</v>
      </c>
      <c r="B144" s="1269" t="s">
        <v>156</v>
      </c>
      <c r="C144" s="887" t="n">
        <f aca="false">$C$143</f>
        <v>0.15</v>
      </c>
      <c r="D144" s="933" t="n">
        <f aca="false">D143</f>
        <v>0.05</v>
      </c>
      <c r="E144" s="1023" t="n">
        <f aca="false">E125*(IF('Ввод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</f>
        <v>0</v>
      </c>
      <c r="F144" s="1023" t="n">
        <f aca="false">CEILING(I125,1)*IF('Ввод данных'!$F$237=связи1!$A$2,1,0)</f>
        <v>0</v>
      </c>
      <c r="G144" s="933" t="n">
        <f aca="false">C144*D144*E144*F144</f>
        <v>0</v>
      </c>
      <c r="H144" s="933"/>
      <c r="I144" s="933"/>
      <c r="J144" s="933"/>
      <c r="K144" s="933"/>
      <c r="L144" s="933"/>
      <c r="M144" s="933"/>
      <c r="N144" s="933"/>
      <c r="O144" s="933"/>
      <c r="P144" s="1290"/>
      <c r="Q144" s="1290"/>
      <c r="R144" s="1290"/>
      <c r="S144" s="933"/>
      <c r="T144" s="933"/>
      <c r="U144" s="1329"/>
      <c r="V144" s="933"/>
      <c r="W144" s="933"/>
      <c r="X144" s="933"/>
      <c r="Y144" s="1290"/>
      <c r="Z144" s="933"/>
      <c r="AA144" s="933"/>
      <c r="AD144" s="1290"/>
    </row>
    <row r="145" customFormat="false" ht="15.75" hidden="false" customHeight="true" outlineLevel="1" collapsed="false">
      <c r="A145" s="1191" t="s">
        <v>3010</v>
      </c>
      <c r="B145" s="1269" t="s">
        <v>156</v>
      </c>
      <c r="C145" s="887" t="n">
        <f aca="false">$C$143</f>
        <v>0.15</v>
      </c>
      <c r="D145" s="933" t="n">
        <f aca="false">D143</f>
        <v>0.05</v>
      </c>
      <c r="E145" s="1023" t="n">
        <f aca="false">E126*(IF('Ввод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</f>
        <v>0</v>
      </c>
      <c r="F145" s="1023" t="n">
        <f aca="false">CEILING(I126,1)*IF('Ввод данных'!$F$237=связи1!$A$2,1,0)</f>
        <v>0</v>
      </c>
      <c r="G145" s="933" t="n">
        <f aca="false">C145*D145*E145*F145</f>
        <v>0</v>
      </c>
      <c r="H145" s="933"/>
      <c r="I145" s="933"/>
      <c r="J145" s="933"/>
      <c r="K145" s="933"/>
      <c r="L145" s="933"/>
      <c r="M145" s="933"/>
      <c r="N145" s="933"/>
      <c r="O145" s="933"/>
      <c r="P145" s="1290"/>
      <c r="Q145" s="1290"/>
      <c r="R145" s="1290"/>
      <c r="S145" s="933"/>
      <c r="T145" s="933"/>
      <c r="U145" s="1329"/>
      <c r="V145" s="933"/>
      <c r="W145" s="933"/>
      <c r="X145" s="933"/>
      <c r="Y145" s="1290"/>
      <c r="Z145" s="933"/>
      <c r="AA145" s="933"/>
      <c r="AD145" s="1290"/>
    </row>
    <row r="146" customFormat="false" ht="15.75" hidden="false" customHeight="true" outlineLevel="1" collapsed="false">
      <c r="A146" s="1191" t="s">
        <v>3011</v>
      </c>
      <c r="B146" s="1269" t="s">
        <v>156</v>
      </c>
      <c r="C146" s="887" t="n">
        <f aca="false">$C$143</f>
        <v>0.15</v>
      </c>
      <c r="D146" s="933" t="n">
        <f aca="false">D143</f>
        <v>0.05</v>
      </c>
      <c r="E146" s="1023" t="n">
        <f aca="false">E128*(IF('Ввод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данных'!F194=связи1!A2,0,1)*(IF('Ввод данных'!A8=связи1!A150,1,0))</f>
        <v>0</v>
      </c>
      <c r="F146" s="1023" t="n">
        <f aca="false">CEILING(I128,1)*IF('Ввод данных'!$F$237=связи1!$A$2,1,0)</f>
        <v>0</v>
      </c>
      <c r="G146" s="933" t="n">
        <f aca="false">C146*D146*E146*F146</f>
        <v>0</v>
      </c>
      <c r="H146" s="933"/>
      <c r="I146" s="933"/>
      <c r="J146" s="933"/>
      <c r="K146" s="933"/>
      <c r="L146" s="933"/>
      <c r="M146" s="933"/>
      <c r="N146" s="933"/>
      <c r="O146" s="933"/>
      <c r="P146" s="1290"/>
      <c r="Q146" s="1290"/>
      <c r="R146" s="1290"/>
      <c r="S146" s="933"/>
      <c r="T146" s="933"/>
      <c r="U146" s="1329"/>
      <c r="V146" s="933"/>
      <c r="W146" s="933"/>
      <c r="X146" s="933"/>
      <c r="Y146" s="1290"/>
      <c r="Z146" s="933"/>
      <c r="AA146" s="933"/>
      <c r="AD146" s="1290"/>
    </row>
    <row r="147" customFormat="false" ht="15.75" hidden="false" customHeight="true" outlineLevel="1" collapsed="false">
      <c r="A147" s="1191" t="s">
        <v>3012</v>
      </c>
      <c r="B147" s="1269" t="s">
        <v>156</v>
      </c>
      <c r="C147" s="887" t="n">
        <f aca="false">$C$143</f>
        <v>0.15</v>
      </c>
      <c r="D147" s="933" t="n">
        <f aca="false">D143</f>
        <v>0.05</v>
      </c>
      <c r="E147" s="1023" t="n">
        <f aca="false">E129*(IF('Ввод данных'!A6=связи1!A94,1,0)+IF('Ввод данных'!A6=связи1!A97,0,0)+IF('Ввод данных'!A6=связи1!A95,1,0)+IF('Ввод данных'!A6=связи1!A96,1,0)+IF('Ввод данных'!A6=связи1!A98,1,0))*IF('Ввод данных'!F194=связи1!A2,0,1)*(IF('Ввод данных'!A8=связи1!A150,1,0))</f>
        <v>0</v>
      </c>
      <c r="F147" s="1023" t="n">
        <f aca="false">CEILING(I129,1)*IF('Ввод данных'!$F$237=связи1!$A$2,1,0)</f>
        <v>0</v>
      </c>
      <c r="G147" s="933" t="n">
        <f aca="false">C147*D147*E147*F147</f>
        <v>0</v>
      </c>
      <c r="H147" s="933"/>
      <c r="I147" s="933"/>
      <c r="J147" s="933"/>
      <c r="K147" s="933"/>
      <c r="L147" s="933"/>
      <c r="M147" s="933"/>
      <c r="N147" s="933"/>
      <c r="O147" s="933"/>
      <c r="P147" s="1290"/>
      <c r="Q147" s="1290"/>
      <c r="R147" s="1290"/>
      <c r="S147" s="933"/>
      <c r="T147" s="933"/>
      <c r="U147" s="1329"/>
      <c r="V147" s="933"/>
      <c r="W147" s="933"/>
      <c r="X147" s="933"/>
      <c r="Y147" s="1290"/>
      <c r="Z147" s="933"/>
      <c r="AA147" s="933"/>
      <c r="AD147" s="1290"/>
    </row>
    <row r="148" customFormat="false" ht="15.75" hidden="false" customHeight="true" outlineLevel="1" collapsed="false">
      <c r="A148" s="1191"/>
      <c r="B148" s="1269"/>
      <c r="C148" s="887"/>
      <c r="D148" s="933"/>
      <c r="E148" s="1023"/>
      <c r="F148" s="1023"/>
      <c r="G148" s="933"/>
      <c r="H148" s="933"/>
      <c r="I148" s="933"/>
      <c r="J148" s="933"/>
      <c r="K148" s="933"/>
      <c r="L148" s="933"/>
      <c r="M148" s="933"/>
      <c r="N148" s="933"/>
      <c r="O148" s="933"/>
      <c r="P148" s="1290"/>
      <c r="Q148" s="1290"/>
      <c r="R148" s="1290"/>
      <c r="S148" s="933"/>
      <c r="T148" s="933"/>
      <c r="U148" s="1329"/>
      <c r="V148" s="933"/>
      <c r="W148" s="933"/>
      <c r="X148" s="933"/>
      <c r="Y148" s="1290"/>
      <c r="Z148" s="933"/>
      <c r="AA148" s="933"/>
      <c r="AD148" s="1290"/>
    </row>
    <row r="149" customFormat="false" ht="15.75" hidden="false" customHeight="true" outlineLevel="1" collapsed="false">
      <c r="A149" s="933" t="s">
        <v>3013</v>
      </c>
      <c r="B149" s="1269" t="s">
        <v>156</v>
      </c>
      <c r="C149" s="887" t="n">
        <f aca="false">$C$143</f>
        <v>0.15</v>
      </c>
      <c r="D149" s="933" t="n">
        <f aca="false">D143</f>
        <v>0.05</v>
      </c>
      <c r="E149" s="1023" t="n">
        <f aca="false">(P130+Q130)*IF('Ввод данных'!$F$237=связи1!$A$2,1,0)</f>
        <v>0</v>
      </c>
      <c r="F149" s="933" t="n">
        <f aca="false">1</f>
        <v>1</v>
      </c>
      <c r="G149" s="933" t="n">
        <f aca="false">C149*D149*E149</f>
        <v>0</v>
      </c>
      <c r="H149" s="933"/>
      <c r="I149" s="933"/>
      <c r="J149" s="933"/>
      <c r="K149" s="933"/>
      <c r="L149" s="933"/>
      <c r="M149" s="933"/>
      <c r="N149" s="933"/>
      <c r="O149" s="933"/>
      <c r="P149" s="1290"/>
      <c r="Q149" s="1290"/>
      <c r="R149" s="1290"/>
      <c r="S149" s="933"/>
      <c r="T149" s="933"/>
      <c r="U149" s="1329"/>
      <c r="V149" s="933"/>
      <c r="W149" s="933"/>
      <c r="X149" s="933"/>
      <c r="Y149" s="1290"/>
      <c r="Z149" s="933"/>
      <c r="AA149" s="933"/>
      <c r="AD149" s="1290"/>
    </row>
    <row r="150" customFormat="false" ht="15.75" hidden="false" customHeight="true" outlineLevel="1" collapsed="false">
      <c r="A150" s="933" t="s">
        <v>3014</v>
      </c>
      <c r="B150" s="1269" t="s">
        <v>156</v>
      </c>
      <c r="C150" s="887" t="n">
        <f aca="false">$C$143</f>
        <v>0.15</v>
      </c>
      <c r="D150" s="933" t="n">
        <f aca="false">D143</f>
        <v>0.05</v>
      </c>
      <c r="E150" s="1023" t="n">
        <f aca="false">R130*IF('Ввод данных'!$F$237=связи1!$A$2,1,0)</f>
        <v>0</v>
      </c>
      <c r="F150" s="933" t="n">
        <f aca="false">1</f>
        <v>1</v>
      </c>
      <c r="G150" s="933" t="n">
        <f aca="false">C150*D150*E150</f>
        <v>0</v>
      </c>
      <c r="H150" s="933"/>
      <c r="I150" s="933"/>
      <c r="J150" s="933"/>
      <c r="K150" s="933"/>
      <c r="L150" s="933"/>
      <c r="M150" s="933"/>
      <c r="N150" s="933"/>
      <c r="O150" s="933"/>
      <c r="P150" s="1290"/>
      <c r="Q150" s="1290"/>
      <c r="R150" s="1290"/>
      <c r="S150" s="933"/>
      <c r="T150" s="933"/>
      <c r="U150" s="1329"/>
      <c r="V150" s="933"/>
      <c r="W150" s="933"/>
      <c r="X150" s="933"/>
      <c r="Y150" s="1290"/>
      <c r="Z150" s="933"/>
      <c r="AA150" s="933"/>
      <c r="AD150" s="1290"/>
    </row>
    <row r="151" customFormat="false" ht="15.75" hidden="false" customHeight="true" outlineLevel="1" collapsed="false">
      <c r="A151" s="932" t="s">
        <v>3015</v>
      </c>
      <c r="B151" s="1344" t="s">
        <v>156</v>
      </c>
      <c r="C151" s="887" t="n">
        <f aca="false">VLOOKUP('Ввод данных'!A1033,связи1!I458:O488,6,0)</f>
        <v>0.12</v>
      </c>
      <c r="D151" s="933" t="n">
        <f aca="false">VLOOKUP('Ввод данных'!A1033,связи1!I458:O488,7,0)</f>
        <v>0.05</v>
      </c>
      <c r="E151" s="1023" t="n">
        <f aca="false">E375*(IF('Ввод данных'!A8=связи1!A150,1,0))</f>
        <v>0</v>
      </c>
      <c r="F151" s="933" t="n">
        <f aca="false">I379+I389</f>
        <v>0</v>
      </c>
      <c r="G151" s="933" t="n">
        <f aca="false">C151*D151*E151*F151</f>
        <v>0</v>
      </c>
      <c r="H151" s="933"/>
      <c r="I151" s="933"/>
      <c r="J151" s="933"/>
      <c r="K151" s="933"/>
      <c r="L151" s="933"/>
      <c r="M151" s="933"/>
      <c r="N151" s="933"/>
      <c r="O151" s="933"/>
      <c r="P151" s="1290"/>
      <c r="Q151" s="1290"/>
      <c r="R151" s="1290"/>
      <c r="S151" s="933"/>
      <c r="T151" s="933"/>
      <c r="U151" s="1329"/>
      <c r="V151" s="933"/>
      <c r="W151" s="933"/>
      <c r="X151" s="933"/>
      <c r="Y151" s="1290"/>
      <c r="Z151" s="933"/>
      <c r="AA151" s="933"/>
      <c r="AD151" s="1290"/>
    </row>
    <row r="152" customFormat="false" ht="15.75" hidden="false" customHeight="true" outlineLevel="1" collapsed="false">
      <c r="A152" s="932"/>
      <c r="B152" s="1344"/>
      <c r="C152" s="887"/>
      <c r="D152" s="933"/>
      <c r="E152" s="1023"/>
      <c r="F152" s="933"/>
      <c r="G152" s="933"/>
      <c r="H152" s="933"/>
      <c r="I152" s="933"/>
      <c r="J152" s="933"/>
      <c r="K152" s="933"/>
      <c r="L152" s="933"/>
      <c r="M152" s="933"/>
      <c r="N152" s="933"/>
      <c r="O152" s="933"/>
      <c r="P152" s="1290"/>
      <c r="Q152" s="1290"/>
      <c r="R152" s="1290"/>
      <c r="S152" s="933"/>
      <c r="T152" s="933"/>
      <c r="U152" s="1329"/>
      <c r="V152" s="933"/>
      <c r="W152" s="933"/>
      <c r="X152" s="933"/>
      <c r="Y152" s="1290"/>
      <c r="Z152" s="933"/>
      <c r="AA152" s="933"/>
      <c r="AD152" s="1290"/>
    </row>
    <row r="153" customFormat="false" ht="15.75" hidden="false" customHeight="true" outlineLevel="1" collapsed="false">
      <c r="A153" s="932"/>
      <c r="B153" s="1344"/>
      <c r="C153" s="887"/>
      <c r="D153" s="933"/>
      <c r="E153" s="1023"/>
      <c r="F153" s="933"/>
      <c r="G153" s="933"/>
      <c r="H153" s="933"/>
      <c r="I153" s="933"/>
      <c r="J153" s="933"/>
      <c r="K153" s="933"/>
      <c r="L153" s="933"/>
      <c r="M153" s="933"/>
      <c r="N153" s="933"/>
      <c r="O153" s="933"/>
      <c r="P153" s="1290"/>
      <c r="Q153" s="1290"/>
      <c r="R153" s="1290"/>
      <c r="S153" s="933"/>
      <c r="T153" s="933"/>
      <c r="U153" s="1329"/>
      <c r="V153" s="933"/>
      <c r="W153" s="933"/>
      <c r="X153" s="933"/>
      <c r="Y153" s="1290"/>
      <c r="Z153" s="933"/>
      <c r="AA153" s="933"/>
      <c r="AD153" s="1290"/>
    </row>
    <row r="154" customFormat="false" ht="15.75" hidden="false" customHeight="true" outlineLevel="1" collapsed="false">
      <c r="A154" s="932"/>
      <c r="B154" s="1344"/>
      <c r="C154" s="887"/>
      <c r="D154" s="933"/>
      <c r="E154" s="1023"/>
      <c r="F154" s="933"/>
      <c r="G154" s="933"/>
      <c r="H154" s="933"/>
      <c r="I154" s="933"/>
      <c r="J154" s="933"/>
      <c r="K154" s="933"/>
      <c r="L154" s="933"/>
      <c r="M154" s="933"/>
      <c r="N154" s="933"/>
      <c r="O154" s="933"/>
      <c r="P154" s="1290"/>
      <c r="Q154" s="1290"/>
      <c r="R154" s="1290"/>
      <c r="S154" s="933"/>
      <c r="T154" s="933"/>
      <c r="U154" s="1329"/>
      <c r="V154" s="933"/>
      <c r="W154" s="933"/>
      <c r="X154" s="933"/>
      <c r="Y154" s="1290"/>
      <c r="Z154" s="933"/>
      <c r="AA154" s="933"/>
      <c r="AD154" s="1290"/>
    </row>
    <row r="155" customFormat="false" ht="15.75" hidden="false" customHeight="true" outlineLevel="1" collapsed="false">
      <c r="A155" s="932"/>
      <c r="B155" s="1344"/>
      <c r="C155" s="887"/>
      <c r="D155" s="933"/>
      <c r="E155" s="1023"/>
      <c r="F155" s="933"/>
      <c r="G155" s="933"/>
      <c r="H155" s="933"/>
      <c r="I155" s="933"/>
      <c r="J155" s="933"/>
      <c r="K155" s="933"/>
      <c r="L155" s="933"/>
      <c r="M155" s="933"/>
      <c r="N155" s="933"/>
      <c r="O155" s="933"/>
      <c r="P155" s="1290"/>
      <c r="Q155" s="1290"/>
      <c r="R155" s="1290"/>
      <c r="S155" s="933"/>
      <c r="T155" s="933"/>
      <c r="U155" s="1329"/>
      <c r="V155" s="933"/>
      <c r="W155" s="933"/>
      <c r="X155" s="933"/>
      <c r="Y155" s="1290"/>
      <c r="Z155" s="933"/>
      <c r="AA155" s="933"/>
      <c r="AD155" s="1290"/>
    </row>
    <row r="156" customFormat="false" ht="15.75" hidden="false" customHeight="true" outlineLevel="1" collapsed="false">
      <c r="A156" s="932"/>
      <c r="B156" s="1344"/>
      <c r="C156" s="887"/>
      <c r="D156" s="933"/>
      <c r="E156" s="1023"/>
      <c r="F156" s="933"/>
      <c r="G156" s="933"/>
      <c r="H156" s="933"/>
      <c r="I156" s="933"/>
      <c r="J156" s="933"/>
      <c r="K156" s="933"/>
      <c r="L156" s="933"/>
      <c r="M156" s="933"/>
      <c r="N156" s="933"/>
      <c r="O156" s="933"/>
      <c r="P156" s="1290"/>
      <c r="Q156" s="1290"/>
      <c r="R156" s="1290"/>
      <c r="S156" s="933"/>
      <c r="T156" s="933"/>
      <c r="U156" s="1329"/>
      <c r="V156" s="933"/>
      <c r="W156" s="933"/>
      <c r="X156" s="933"/>
      <c r="Y156" s="1290"/>
      <c r="Z156" s="933"/>
      <c r="AA156" s="933"/>
      <c r="AD156" s="1290"/>
    </row>
    <row r="157" customFormat="false" ht="15.75" hidden="false" customHeight="true" outlineLevel="1" collapsed="false">
      <c r="A157" s="932"/>
      <c r="B157" s="1344"/>
      <c r="C157" s="887"/>
      <c r="D157" s="933"/>
      <c r="E157" s="1023"/>
      <c r="F157" s="933"/>
      <c r="G157" s="933"/>
      <c r="H157" s="933"/>
      <c r="I157" s="933"/>
      <c r="J157" s="933"/>
      <c r="K157" s="933"/>
      <c r="L157" s="933"/>
      <c r="M157" s="933"/>
      <c r="N157" s="933"/>
      <c r="O157" s="933"/>
      <c r="P157" s="1290"/>
      <c r="Q157" s="1290"/>
      <c r="R157" s="1290"/>
      <c r="S157" s="933"/>
      <c r="T157" s="933"/>
      <c r="U157" s="1329"/>
      <c r="V157" s="933"/>
      <c r="W157" s="933"/>
      <c r="X157" s="933"/>
      <c r="Y157" s="1290"/>
      <c r="Z157" s="933"/>
      <c r="AA157" s="933"/>
      <c r="AD157" s="1290"/>
    </row>
    <row r="158" customFormat="false" ht="15.75" hidden="false" customHeight="true" outlineLevel="1" collapsed="false">
      <c r="A158" s="932"/>
      <c r="B158" s="1344"/>
      <c r="C158" s="887"/>
      <c r="D158" s="933"/>
      <c r="E158" s="1023"/>
      <c r="F158" s="933"/>
      <c r="G158" s="933"/>
      <c r="H158" s="933"/>
      <c r="I158" s="933"/>
      <c r="J158" s="933"/>
      <c r="K158" s="933"/>
      <c r="L158" s="933"/>
      <c r="M158" s="933"/>
      <c r="N158" s="933"/>
      <c r="O158" s="933"/>
      <c r="P158" s="1290"/>
      <c r="Q158" s="1290"/>
      <c r="R158" s="1290"/>
      <c r="S158" s="933"/>
      <c r="T158" s="933"/>
      <c r="U158" s="1329"/>
      <c r="V158" s="933"/>
      <c r="W158" s="933"/>
      <c r="X158" s="933"/>
      <c r="Y158" s="1290"/>
      <c r="Z158" s="933"/>
      <c r="AA158" s="933"/>
      <c r="AD158" s="1290"/>
    </row>
    <row r="159" customFormat="false" ht="15.75" hidden="false" customHeight="true" outlineLevel="1" collapsed="false">
      <c r="A159" s="932"/>
      <c r="B159" s="1344"/>
      <c r="C159" s="887"/>
      <c r="D159" s="933"/>
      <c r="E159" s="1023"/>
      <c r="F159" s="933"/>
      <c r="G159" s="933"/>
      <c r="H159" s="933"/>
      <c r="I159" s="933"/>
      <c r="J159" s="933"/>
      <c r="K159" s="933"/>
      <c r="L159" s="933"/>
      <c r="M159" s="933"/>
      <c r="N159" s="933"/>
      <c r="O159" s="933"/>
      <c r="P159" s="1290"/>
      <c r="Q159" s="1290"/>
      <c r="R159" s="1290"/>
      <c r="S159" s="933"/>
      <c r="T159" s="933"/>
      <c r="U159" s="1329"/>
      <c r="V159" s="933"/>
      <c r="W159" s="933"/>
      <c r="X159" s="933"/>
      <c r="Y159" s="1290"/>
      <c r="Z159" s="933"/>
      <c r="AA159" s="933"/>
      <c r="AD159" s="1290"/>
    </row>
    <row r="160" customFormat="false" ht="15.75" hidden="false" customHeight="true" outlineLevel="1" collapsed="false">
      <c r="A160" s="932"/>
      <c r="B160" s="1344"/>
      <c r="C160" s="887"/>
      <c r="D160" s="933"/>
      <c r="E160" s="1023"/>
      <c r="F160" s="933"/>
      <c r="G160" s="933"/>
      <c r="H160" s="933"/>
      <c r="I160" s="933"/>
      <c r="J160" s="933"/>
      <c r="K160" s="933"/>
      <c r="L160" s="933"/>
      <c r="M160" s="933"/>
      <c r="N160" s="933"/>
      <c r="O160" s="933"/>
      <c r="P160" s="1290"/>
      <c r="Q160" s="1290"/>
      <c r="R160" s="1290"/>
      <c r="S160" s="933"/>
      <c r="T160" s="933"/>
      <c r="U160" s="1329"/>
      <c r="V160" s="933"/>
      <c r="W160" s="933"/>
      <c r="X160" s="933"/>
      <c r="Y160" s="1290"/>
      <c r="Z160" s="933"/>
      <c r="AA160" s="933"/>
      <c r="AD160" s="1290"/>
    </row>
    <row r="161" customFormat="false" ht="15.75" hidden="false" customHeight="true" outlineLevel="1" collapsed="false">
      <c r="A161" s="932"/>
      <c r="B161" s="1344"/>
      <c r="C161" s="887"/>
      <c r="D161" s="933"/>
      <c r="E161" s="1023"/>
      <c r="F161" s="933"/>
      <c r="G161" s="933"/>
      <c r="H161" s="933"/>
      <c r="I161" s="933"/>
      <c r="J161" s="933"/>
      <c r="K161" s="933"/>
      <c r="L161" s="933"/>
      <c r="M161" s="933"/>
      <c r="N161" s="933"/>
      <c r="O161" s="933"/>
      <c r="P161" s="1290"/>
      <c r="Q161" s="1290"/>
      <c r="R161" s="1290"/>
      <c r="S161" s="933"/>
      <c r="T161" s="933"/>
      <c r="U161" s="1329"/>
      <c r="V161" s="933"/>
      <c r="W161" s="933"/>
      <c r="X161" s="933"/>
      <c r="Y161" s="1290"/>
      <c r="Z161" s="933"/>
      <c r="AA161" s="933"/>
      <c r="AD161" s="1290"/>
    </row>
    <row r="162" customFormat="false" ht="15.75" hidden="false" customHeight="true" outlineLevel="1" collapsed="false">
      <c r="A162" s="932"/>
      <c r="B162" s="1344"/>
      <c r="C162" s="887"/>
      <c r="D162" s="933"/>
      <c r="E162" s="1023"/>
      <c r="F162" s="933"/>
      <c r="G162" s="933"/>
      <c r="H162" s="933"/>
      <c r="I162" s="933"/>
      <c r="J162" s="933"/>
      <c r="K162" s="933"/>
      <c r="L162" s="933"/>
      <c r="M162" s="933"/>
      <c r="N162" s="933"/>
      <c r="O162" s="933"/>
      <c r="P162" s="1290"/>
      <c r="Q162" s="1290"/>
      <c r="R162" s="1290"/>
      <c r="S162" s="933"/>
      <c r="T162" s="933"/>
      <c r="U162" s="1329"/>
      <c r="V162" s="933"/>
      <c r="W162" s="933"/>
      <c r="X162" s="933"/>
      <c r="Y162" s="1290"/>
      <c r="Z162" s="933"/>
      <c r="AA162" s="933"/>
      <c r="AD162" s="1290"/>
    </row>
    <row r="163" customFormat="false" ht="15.75" hidden="false" customHeight="true" outlineLevel="1" collapsed="false">
      <c r="A163" s="932"/>
      <c r="B163" s="1344"/>
      <c r="C163" s="887"/>
      <c r="D163" s="933"/>
      <c r="E163" s="1023"/>
      <c r="F163" s="933"/>
      <c r="G163" s="933"/>
      <c r="H163" s="933"/>
      <c r="I163" s="933"/>
      <c r="J163" s="933"/>
      <c r="K163" s="933"/>
      <c r="L163" s="933"/>
      <c r="M163" s="933"/>
      <c r="N163" s="933"/>
      <c r="O163" s="933"/>
      <c r="P163" s="1290"/>
      <c r="Q163" s="1290"/>
      <c r="R163" s="1290"/>
      <c r="S163" s="933"/>
      <c r="T163" s="933"/>
      <c r="U163" s="1329"/>
      <c r="V163" s="933"/>
      <c r="W163" s="933"/>
      <c r="X163" s="933"/>
      <c r="Y163" s="1290"/>
      <c r="Z163" s="933"/>
      <c r="AA163" s="933"/>
      <c r="AD163" s="1290"/>
    </row>
    <row r="164" customFormat="false" ht="15.75" hidden="false" customHeight="true" outlineLevel="1" collapsed="false">
      <c r="A164" s="932"/>
      <c r="B164" s="1344"/>
      <c r="C164" s="887"/>
      <c r="D164" s="933"/>
      <c r="E164" s="1023"/>
      <c r="F164" s="933"/>
      <c r="G164" s="933"/>
      <c r="H164" s="933"/>
      <c r="I164" s="933"/>
      <c r="J164" s="933"/>
      <c r="K164" s="933"/>
      <c r="L164" s="933"/>
      <c r="M164" s="933"/>
      <c r="N164" s="933"/>
      <c r="O164" s="933"/>
      <c r="P164" s="1290"/>
      <c r="Q164" s="1290"/>
      <c r="R164" s="1290"/>
      <c r="S164" s="933"/>
      <c r="T164" s="933"/>
      <c r="U164" s="1329"/>
      <c r="V164" s="933"/>
      <c r="W164" s="933"/>
      <c r="X164" s="933"/>
      <c r="Y164" s="1290"/>
      <c r="Z164" s="933"/>
      <c r="AA164" s="933"/>
      <c r="AD164" s="1290"/>
    </row>
    <row r="165" customFormat="false" ht="15.75" hidden="false" customHeight="true" outlineLevel="1" collapsed="false">
      <c r="A165" s="932"/>
      <c r="B165" s="1344"/>
      <c r="C165" s="887"/>
      <c r="D165" s="933"/>
      <c r="E165" s="1023"/>
      <c r="F165" s="933"/>
      <c r="G165" s="933"/>
      <c r="H165" s="933"/>
      <c r="I165" s="933"/>
      <c r="J165" s="933"/>
      <c r="K165" s="933"/>
      <c r="L165" s="933"/>
      <c r="M165" s="933"/>
      <c r="N165" s="933"/>
      <c r="O165" s="933"/>
      <c r="P165" s="1290"/>
      <c r="Q165" s="1290"/>
      <c r="R165" s="1290"/>
      <c r="S165" s="933"/>
      <c r="T165" s="933"/>
      <c r="U165" s="1329"/>
      <c r="V165" s="933"/>
      <c r="W165" s="933"/>
      <c r="X165" s="933"/>
      <c r="Y165" s="1290"/>
      <c r="Z165" s="933"/>
      <c r="AA165" s="933"/>
      <c r="AD165" s="1290"/>
    </row>
    <row r="166" customFormat="false" ht="15.75" hidden="false" customHeight="true" outlineLevel="1" collapsed="false">
      <c r="A166" s="932"/>
      <c r="B166" s="1344"/>
      <c r="C166" s="887"/>
      <c r="D166" s="933"/>
      <c r="E166" s="1023"/>
      <c r="F166" s="933"/>
      <c r="G166" s="933"/>
      <c r="H166" s="933"/>
      <c r="I166" s="933"/>
      <c r="J166" s="933"/>
      <c r="K166" s="933"/>
      <c r="L166" s="933"/>
      <c r="M166" s="933"/>
      <c r="N166" s="933"/>
      <c r="O166" s="933"/>
      <c r="P166" s="1290"/>
      <c r="Q166" s="1290"/>
      <c r="R166" s="1290"/>
      <c r="S166" s="933"/>
      <c r="T166" s="933"/>
      <c r="U166" s="1329"/>
      <c r="V166" s="933"/>
      <c r="W166" s="933"/>
      <c r="X166" s="933"/>
      <c r="Y166" s="1290"/>
      <c r="Z166" s="933"/>
      <c r="AA166" s="933"/>
      <c r="AD166" s="1290"/>
    </row>
    <row r="167" customFormat="false" ht="15.75" hidden="false" customHeight="true" outlineLevel="1" collapsed="false">
      <c r="A167" s="932"/>
      <c r="B167" s="1344"/>
      <c r="C167" s="887"/>
      <c r="D167" s="933"/>
      <c r="E167" s="1023"/>
      <c r="F167" s="933"/>
      <c r="G167" s="933"/>
      <c r="H167" s="933"/>
      <c r="I167" s="933"/>
      <c r="J167" s="933"/>
      <c r="K167" s="933"/>
      <c r="L167" s="933"/>
      <c r="M167" s="933"/>
      <c r="N167" s="933"/>
      <c r="O167" s="933"/>
      <c r="P167" s="1290"/>
      <c r="Q167" s="1290"/>
      <c r="R167" s="1290"/>
      <c r="S167" s="933"/>
      <c r="T167" s="933"/>
      <c r="U167" s="1329"/>
      <c r="V167" s="933"/>
      <c r="W167" s="933"/>
      <c r="X167" s="933"/>
      <c r="Y167" s="1290"/>
      <c r="Z167" s="933"/>
      <c r="AA167" s="933"/>
      <c r="AD167" s="1290"/>
    </row>
    <row r="168" customFormat="false" ht="15.75" hidden="false" customHeight="true" outlineLevel="1" collapsed="false">
      <c r="A168" s="932"/>
      <c r="B168" s="1344"/>
      <c r="C168" s="887"/>
      <c r="D168" s="933"/>
      <c r="E168" s="1023"/>
      <c r="F168" s="933"/>
      <c r="G168" s="933"/>
      <c r="H168" s="933"/>
      <c r="I168" s="933"/>
      <c r="J168" s="933"/>
      <c r="K168" s="933"/>
      <c r="L168" s="933"/>
      <c r="M168" s="933"/>
      <c r="N168" s="933"/>
      <c r="O168" s="933"/>
      <c r="P168" s="1290"/>
      <c r="Q168" s="1290"/>
      <c r="R168" s="1290"/>
      <c r="S168" s="933"/>
      <c r="T168" s="933"/>
      <c r="U168" s="1329"/>
      <c r="V168" s="933"/>
      <c r="W168" s="933"/>
      <c r="X168" s="933"/>
      <c r="Y168" s="1290"/>
      <c r="Z168" s="933"/>
      <c r="AA168" s="933"/>
      <c r="AD168" s="1290"/>
    </row>
    <row r="169" customFormat="false" ht="15.75" hidden="false" customHeight="true" outlineLevel="1" collapsed="false">
      <c r="A169" s="932"/>
      <c r="B169" s="1344"/>
      <c r="C169" s="887"/>
      <c r="D169" s="933"/>
      <c r="E169" s="1023"/>
      <c r="F169" s="933"/>
      <c r="G169" s="933"/>
      <c r="H169" s="933"/>
      <c r="I169" s="933"/>
      <c r="J169" s="933"/>
      <c r="K169" s="933"/>
      <c r="L169" s="933"/>
      <c r="M169" s="933"/>
      <c r="N169" s="933"/>
      <c r="O169" s="933"/>
      <c r="P169" s="1290"/>
      <c r="Q169" s="1290"/>
      <c r="R169" s="1290"/>
      <c r="S169" s="933"/>
      <c r="T169" s="933"/>
      <c r="U169" s="1329"/>
      <c r="V169" s="933"/>
      <c r="W169" s="933"/>
      <c r="X169" s="933"/>
      <c r="Y169" s="1290"/>
      <c r="Z169" s="933"/>
      <c r="AA169" s="933"/>
      <c r="AD169" s="1290"/>
    </row>
    <row r="170" customFormat="false" ht="15.75" hidden="false" customHeight="true" outlineLevel="1" collapsed="false">
      <c r="A170" s="932"/>
      <c r="B170" s="1344"/>
      <c r="C170" s="887"/>
      <c r="D170" s="933"/>
      <c r="E170" s="1023"/>
      <c r="F170" s="933"/>
      <c r="G170" s="933"/>
      <c r="H170" s="933"/>
      <c r="I170" s="933"/>
      <c r="J170" s="933"/>
      <c r="K170" s="933"/>
      <c r="L170" s="933"/>
      <c r="M170" s="933"/>
      <c r="N170" s="933"/>
      <c r="O170" s="933"/>
      <c r="P170" s="1290"/>
      <c r="Q170" s="1290"/>
      <c r="R170" s="1290"/>
      <c r="S170" s="933"/>
      <c r="T170" s="933"/>
      <c r="U170" s="1329"/>
      <c r="V170" s="933"/>
      <c r="W170" s="933"/>
      <c r="X170" s="933"/>
      <c r="Y170" s="1290"/>
      <c r="Z170" s="933"/>
      <c r="AA170" s="933"/>
      <c r="AD170" s="1290"/>
    </row>
    <row r="171" customFormat="false" ht="15.75" hidden="false" customHeight="true" outlineLevel="1" collapsed="false">
      <c r="A171" s="932"/>
      <c r="B171" s="1344"/>
      <c r="C171" s="887"/>
      <c r="D171" s="933"/>
      <c r="E171" s="1023"/>
      <c r="F171" s="933"/>
      <c r="G171" s="933"/>
      <c r="H171" s="933"/>
      <c r="I171" s="933"/>
      <c r="J171" s="933"/>
      <c r="K171" s="933"/>
      <c r="L171" s="933"/>
      <c r="M171" s="933"/>
      <c r="N171" s="933"/>
      <c r="O171" s="933"/>
      <c r="P171" s="1290"/>
      <c r="Q171" s="1290"/>
      <c r="R171" s="1290"/>
      <c r="S171" s="933"/>
      <c r="T171" s="933"/>
      <c r="U171" s="1329"/>
      <c r="V171" s="933"/>
      <c r="W171" s="933"/>
      <c r="X171" s="933"/>
      <c r="Y171" s="1290"/>
      <c r="Z171" s="933"/>
      <c r="AA171" s="933"/>
      <c r="AD171" s="1290"/>
    </row>
    <row r="172" customFormat="false" ht="15.75" hidden="false" customHeight="true" outlineLevel="1" collapsed="false">
      <c r="A172" s="932"/>
      <c r="B172" s="1344"/>
      <c r="C172" s="887"/>
      <c r="D172" s="933"/>
      <c r="E172" s="1023"/>
      <c r="F172" s="933"/>
      <c r="G172" s="933"/>
      <c r="H172" s="933"/>
      <c r="I172" s="933"/>
      <c r="J172" s="933"/>
      <c r="K172" s="933"/>
      <c r="L172" s="933"/>
      <c r="M172" s="933"/>
      <c r="N172" s="933"/>
      <c r="O172" s="933"/>
      <c r="P172" s="1290"/>
      <c r="Q172" s="1290"/>
      <c r="R172" s="1290"/>
      <c r="S172" s="933"/>
      <c r="T172" s="933"/>
      <c r="U172" s="1329"/>
      <c r="V172" s="933"/>
      <c r="W172" s="933"/>
      <c r="X172" s="933"/>
      <c r="Y172" s="1290"/>
      <c r="Z172" s="933"/>
      <c r="AA172" s="933"/>
      <c r="AD172" s="1290"/>
    </row>
    <row r="173" customFormat="false" ht="15.75" hidden="false" customHeight="true" outlineLevel="1" collapsed="false">
      <c r="A173" s="932"/>
      <c r="B173" s="1344"/>
      <c r="C173" s="887"/>
      <c r="D173" s="933"/>
      <c r="E173" s="1023"/>
      <c r="F173" s="933"/>
      <c r="G173" s="933"/>
      <c r="H173" s="933"/>
      <c r="I173" s="933"/>
      <c r="J173" s="933"/>
      <c r="K173" s="933"/>
      <c r="L173" s="933"/>
      <c r="M173" s="933"/>
      <c r="N173" s="933"/>
      <c r="O173" s="933"/>
      <c r="P173" s="1290"/>
      <c r="Q173" s="1290"/>
      <c r="R173" s="1290"/>
      <c r="S173" s="933"/>
      <c r="T173" s="933"/>
      <c r="U173" s="1329"/>
      <c r="V173" s="933"/>
      <c r="W173" s="933"/>
      <c r="X173" s="933"/>
      <c r="Y173" s="1290"/>
      <c r="Z173" s="933"/>
      <c r="AA173" s="933"/>
      <c r="AD173" s="1290"/>
    </row>
    <row r="174" customFormat="false" ht="15.75" hidden="false" customHeight="true" outlineLevel="1" collapsed="false">
      <c r="A174" s="932"/>
      <c r="B174" s="1344"/>
      <c r="C174" s="887"/>
      <c r="D174" s="933"/>
      <c r="E174" s="1023"/>
      <c r="F174" s="933"/>
      <c r="G174" s="933"/>
      <c r="H174" s="933"/>
      <c r="I174" s="933"/>
      <c r="J174" s="933"/>
      <c r="K174" s="933"/>
      <c r="L174" s="933"/>
      <c r="M174" s="933"/>
      <c r="N174" s="933"/>
      <c r="O174" s="933"/>
      <c r="P174" s="1290"/>
      <c r="Q174" s="1290"/>
      <c r="R174" s="1290"/>
      <c r="S174" s="933"/>
      <c r="T174" s="933"/>
      <c r="U174" s="1329"/>
      <c r="V174" s="933"/>
      <c r="W174" s="933"/>
      <c r="X174" s="933"/>
      <c r="Y174" s="1290"/>
      <c r="Z174" s="933"/>
      <c r="AA174" s="933"/>
      <c r="AD174" s="1290"/>
    </row>
    <row r="175" customFormat="false" ht="15.75" hidden="false" customHeight="true" outlineLevel="1" collapsed="false">
      <c r="A175" s="932"/>
      <c r="B175" s="1344"/>
      <c r="C175" s="887"/>
      <c r="D175" s="933"/>
      <c r="E175" s="1023"/>
      <c r="F175" s="933"/>
      <c r="G175" s="933"/>
      <c r="H175" s="933"/>
      <c r="I175" s="933"/>
      <c r="J175" s="933"/>
      <c r="K175" s="933"/>
      <c r="L175" s="933"/>
      <c r="M175" s="933"/>
      <c r="N175" s="933"/>
      <c r="O175" s="933"/>
      <c r="P175" s="1290"/>
      <c r="Q175" s="1290"/>
      <c r="R175" s="1290"/>
      <c r="S175" s="933"/>
      <c r="T175" s="933"/>
      <c r="U175" s="1329"/>
      <c r="V175" s="933"/>
      <c r="W175" s="933"/>
      <c r="X175" s="933"/>
      <c r="Y175" s="1290"/>
      <c r="Z175" s="933"/>
      <c r="AA175" s="933"/>
      <c r="AD175" s="1290"/>
    </row>
    <row r="176" customFormat="false" ht="15.75" hidden="false" customHeight="true" outlineLevel="1" collapsed="false">
      <c r="A176" s="932"/>
      <c r="B176" s="1344"/>
      <c r="C176" s="887"/>
      <c r="D176" s="933"/>
      <c r="E176" s="1023"/>
      <c r="F176" s="933"/>
      <c r="G176" s="933"/>
      <c r="H176" s="933"/>
      <c r="I176" s="933"/>
      <c r="J176" s="933"/>
      <c r="K176" s="933"/>
      <c r="L176" s="933"/>
      <c r="M176" s="933"/>
      <c r="N176" s="933"/>
      <c r="O176" s="933"/>
      <c r="P176" s="1290"/>
      <c r="Q176" s="1290"/>
      <c r="R176" s="1290"/>
      <c r="S176" s="933"/>
      <c r="T176" s="933"/>
      <c r="U176" s="1329"/>
      <c r="V176" s="933"/>
      <c r="W176" s="933"/>
      <c r="X176" s="933"/>
      <c r="Y176" s="1290"/>
      <c r="Z176" s="933"/>
      <c r="AA176" s="933"/>
      <c r="AD176" s="1290"/>
    </row>
    <row r="177" customFormat="false" ht="15.75" hidden="false" customHeight="true" outlineLevel="1" collapsed="false">
      <c r="A177" s="932"/>
      <c r="B177" s="1344"/>
      <c r="C177" s="887"/>
      <c r="D177" s="933"/>
      <c r="E177" s="1023"/>
      <c r="F177" s="933"/>
      <c r="G177" s="933"/>
      <c r="H177" s="933"/>
      <c r="I177" s="933"/>
      <c r="J177" s="933"/>
      <c r="K177" s="933"/>
      <c r="L177" s="933"/>
      <c r="M177" s="933"/>
      <c r="N177" s="933"/>
      <c r="O177" s="933"/>
      <c r="P177" s="1290"/>
      <c r="Q177" s="1290"/>
      <c r="R177" s="1290"/>
      <c r="S177" s="933"/>
      <c r="T177" s="933"/>
      <c r="U177" s="1329"/>
      <c r="V177" s="933"/>
      <c r="W177" s="933"/>
      <c r="X177" s="933"/>
      <c r="Y177" s="1290"/>
      <c r="Z177" s="933"/>
      <c r="AA177" s="933"/>
      <c r="AD177" s="1290"/>
    </row>
    <row r="178" customFormat="false" ht="15.75" hidden="false" customHeight="true" outlineLevel="1" collapsed="false">
      <c r="A178" s="932" t="s">
        <v>3016</v>
      </c>
      <c r="B178" s="1344" t="s">
        <v>156</v>
      </c>
      <c r="C178" s="887" t="n">
        <f aca="false">$C$151</f>
        <v>0.12</v>
      </c>
      <c r="D178" s="933" t="n">
        <f aca="false">VLOOKUP('Ввод данных'!A1033,связи1!I458:O488,7,0)</f>
        <v>0.05</v>
      </c>
      <c r="E178" s="1023" t="n">
        <f aca="false">P379+Q379+P389+Q389</f>
        <v>0</v>
      </c>
      <c r="F178" s="933" t="n">
        <f aca="false">1</f>
        <v>1</v>
      </c>
      <c r="G178" s="933" t="n">
        <f aca="false">C178*D178*E178*(IF('Ввод данных'!A8=связи1!A150,1,0))</f>
        <v>0</v>
      </c>
      <c r="H178" s="933"/>
      <c r="I178" s="933"/>
      <c r="J178" s="933"/>
      <c r="K178" s="933"/>
      <c r="L178" s="933"/>
      <c r="M178" s="933"/>
      <c r="N178" s="933"/>
      <c r="O178" s="933"/>
      <c r="P178" s="1290"/>
      <c r="Q178" s="1290"/>
      <c r="R178" s="1290"/>
      <c r="S178" s="933"/>
      <c r="T178" s="933"/>
      <c r="U178" s="1329"/>
      <c r="V178" s="933"/>
      <c r="W178" s="933"/>
      <c r="X178" s="933"/>
      <c r="Y178" s="1290"/>
      <c r="Z178" s="933"/>
      <c r="AA178" s="933"/>
      <c r="AD178" s="1290"/>
    </row>
    <row r="179" customFormat="false" ht="15.75" hidden="false" customHeight="true" outlineLevel="1" collapsed="false">
      <c r="A179" s="932" t="s">
        <v>3017</v>
      </c>
      <c r="B179" s="1344" t="s">
        <v>156</v>
      </c>
      <c r="C179" s="887" t="n">
        <f aca="false">$C$151</f>
        <v>0.12</v>
      </c>
      <c r="D179" s="933" t="n">
        <f aca="false">VLOOKUP('Ввод данных'!A1033,связи1!I458:O488,7,0)</f>
        <v>0.05</v>
      </c>
      <c r="E179" s="1023" t="n">
        <f aca="false">R379+R389</f>
        <v>0</v>
      </c>
      <c r="F179" s="933" t="n">
        <f aca="false">1</f>
        <v>1</v>
      </c>
      <c r="G179" s="933" t="n">
        <f aca="false">C179*D179*E179*(IF('Ввод данных'!A8=связи1!A150,1,0))</f>
        <v>0</v>
      </c>
      <c r="H179" s="933"/>
      <c r="I179" s="933"/>
      <c r="J179" s="933"/>
      <c r="K179" s="933"/>
      <c r="L179" s="933"/>
      <c r="M179" s="933"/>
      <c r="N179" s="933"/>
      <c r="O179" s="933"/>
      <c r="P179" s="1290"/>
      <c r="Q179" s="1290"/>
      <c r="R179" s="1290"/>
      <c r="S179" s="933"/>
      <c r="T179" s="933"/>
      <c r="U179" s="1329"/>
      <c r="V179" s="933"/>
      <c r="W179" s="933"/>
      <c r="X179" s="933"/>
      <c r="Y179" s="1290"/>
      <c r="Z179" s="933"/>
      <c r="AA179" s="933"/>
      <c r="AD179" s="1290"/>
    </row>
    <row r="180" customFormat="false" ht="15.75" hidden="false" customHeight="true" outlineLevel="1" collapsed="false">
      <c r="A180" s="932" t="s">
        <v>3018</v>
      </c>
      <c r="B180" s="1344" t="s">
        <v>156</v>
      </c>
      <c r="C180" s="887" t="n">
        <f aca="false">VLOOKUP('Ввод данных'!A1035,связи1!I458:O488,6,0)</f>
        <v>0.17</v>
      </c>
      <c r="D180" s="933" t="n">
        <f aca="false">VLOOKUP('Ввод данных'!A1035,связи1!I458:O488,7,0)</f>
        <v>0.05</v>
      </c>
      <c r="E180" s="1023" t="n">
        <f aca="false">E380</f>
        <v>3</v>
      </c>
      <c r="F180" s="933" t="n">
        <f aca="false">I384+I394</f>
        <v>0</v>
      </c>
      <c r="G180" s="933" t="n">
        <f aca="false">C180*D180*E180*F180*(IF('Ввод данных'!A8=связи1!A150,1,0))</f>
        <v>0</v>
      </c>
      <c r="H180" s="933"/>
      <c r="I180" s="933"/>
      <c r="J180" s="933"/>
      <c r="K180" s="933"/>
      <c r="L180" s="933"/>
      <c r="M180" s="933"/>
      <c r="N180" s="933"/>
      <c r="O180" s="933"/>
      <c r="P180" s="1290"/>
      <c r="Q180" s="1290"/>
      <c r="R180" s="1290"/>
      <c r="S180" s="933"/>
      <c r="T180" s="933"/>
      <c r="U180" s="1329"/>
      <c r="V180" s="933"/>
      <c r="W180" s="933"/>
      <c r="X180" s="933"/>
      <c r="Y180" s="1290"/>
      <c r="Z180" s="933"/>
      <c r="AA180" s="933"/>
      <c r="AD180" s="1290"/>
    </row>
    <row r="181" customFormat="false" ht="15.75" hidden="false" customHeight="true" outlineLevel="1" collapsed="false">
      <c r="A181" s="932" t="s">
        <v>3019</v>
      </c>
      <c r="B181" s="1344" t="s">
        <v>156</v>
      </c>
      <c r="C181" s="887" t="n">
        <f aca="false">$C$180</f>
        <v>0.17</v>
      </c>
      <c r="D181" s="933" t="n">
        <f aca="false">$D$180</f>
        <v>0.05</v>
      </c>
      <c r="E181" s="1023" t="n">
        <f aca="false">P384+Q384+P394+Q394</f>
        <v>0</v>
      </c>
      <c r="F181" s="933" t="n">
        <f aca="false">1</f>
        <v>1</v>
      </c>
      <c r="G181" s="933" t="n">
        <f aca="false">C181*D181*E181*(IF('Ввод данных'!A8=связи1!A150,1,0))</f>
        <v>0</v>
      </c>
      <c r="H181" s="933"/>
      <c r="I181" s="933"/>
      <c r="J181" s="933"/>
      <c r="K181" s="933"/>
      <c r="L181" s="933"/>
      <c r="M181" s="933"/>
      <c r="N181" s="933"/>
      <c r="O181" s="933"/>
      <c r="P181" s="1290"/>
      <c r="Q181" s="1290"/>
      <c r="R181" s="1290"/>
      <c r="S181" s="933"/>
      <c r="T181" s="933"/>
      <c r="U181" s="1329"/>
      <c r="V181" s="933"/>
      <c r="W181" s="933"/>
      <c r="X181" s="933"/>
      <c r="Y181" s="1290"/>
      <c r="Z181" s="933"/>
      <c r="AA181" s="933"/>
      <c r="AD181" s="1290"/>
    </row>
    <row r="182" customFormat="false" ht="15.75" hidden="false" customHeight="true" outlineLevel="1" collapsed="false">
      <c r="A182" s="1191" t="s">
        <v>3020</v>
      </c>
      <c r="B182" s="1344" t="s">
        <v>156</v>
      </c>
      <c r="C182" s="887" t="n">
        <f aca="false">$C$143</f>
        <v>0.15</v>
      </c>
      <c r="D182" s="933" t="n">
        <f aca="false">$D$143</f>
        <v>0.05</v>
      </c>
      <c r="E182" s="1023" t="n">
        <f aca="false">2</f>
        <v>2</v>
      </c>
      <c r="F182" s="1023" t="n">
        <f aca="false">16+12*D141</f>
        <v>28</v>
      </c>
      <c r="G182" s="933" t="n">
        <f aca="false">C182*D182*E182*F182*(IF('Ввод данных'!A8=связи1!A150,1,0))</f>
        <v>0</v>
      </c>
      <c r="H182" s="933"/>
      <c r="I182" s="933"/>
      <c r="J182" s="933"/>
      <c r="K182" s="933"/>
      <c r="L182" s="933"/>
      <c r="M182" s="933"/>
      <c r="N182" s="933"/>
      <c r="O182" s="933"/>
      <c r="P182" s="1290"/>
      <c r="Q182" s="1290"/>
      <c r="R182" s="1290"/>
      <c r="S182" s="933"/>
      <c r="T182" s="933"/>
      <c r="U182" s="1329"/>
      <c r="V182" s="933"/>
      <c r="W182" s="933"/>
      <c r="X182" s="933"/>
      <c r="Y182" s="1290"/>
      <c r="Z182" s="933"/>
      <c r="AA182" s="933"/>
      <c r="AD182" s="1290"/>
    </row>
    <row r="183" customFormat="false" ht="15.75" hidden="false" customHeight="true" outlineLevel="1" collapsed="false">
      <c r="A183" s="933" t="s">
        <v>3021</v>
      </c>
      <c r="B183" s="1344" t="s">
        <v>156</v>
      </c>
      <c r="C183" s="887" t="n">
        <f aca="false">$C$143</f>
        <v>0.15</v>
      </c>
      <c r="D183" s="933" t="n">
        <f aca="false">$D$143</f>
        <v>0.05</v>
      </c>
      <c r="E183" s="537" t="n">
        <f aca="false">IF('Ввод данных'!A6=связи1!A94,E133-C125+0.1,0)+IF('Ввод данных'!A6=связи1!A97,C125,0)</f>
        <v>8.1</v>
      </c>
      <c r="F183" s="537" t="n">
        <f aca="false">IF(E183&lt;($E$133+0.5),1,0)*$D$141*IF('Ввод данных'!$A$19=связи1!$A$128,2,2)*IF('Ввод данных'!$F$237=связи1!$A$2,1,0)</f>
        <v>0</v>
      </c>
      <c r="G183" s="933" t="n">
        <f aca="false">C183*D183*E183*F183*(IF('Ввод данных'!A8=связи1!A150,1,0))</f>
        <v>0</v>
      </c>
      <c r="H183" s="933"/>
      <c r="I183" s="933"/>
      <c r="J183" s="933"/>
      <c r="K183" s="933"/>
      <c r="L183" s="933"/>
      <c r="M183" s="933"/>
      <c r="N183" s="933"/>
      <c r="O183" s="933"/>
      <c r="P183" s="1290"/>
      <c r="Q183" s="1290"/>
      <c r="R183" s="1290"/>
      <c r="S183" s="933"/>
      <c r="T183" s="933"/>
      <c r="U183" s="1329"/>
      <c r="V183" s="933"/>
      <c r="W183" s="933"/>
      <c r="X183" s="933"/>
      <c r="Y183" s="1290"/>
      <c r="Z183" s="933"/>
      <c r="AA183" s="933"/>
      <c r="AD183" s="1290"/>
    </row>
    <row r="184" customFormat="false" ht="15.75" hidden="false" customHeight="true" outlineLevel="1" collapsed="false">
      <c r="A184" s="933" t="s">
        <v>3022</v>
      </c>
      <c r="B184" s="1269" t="s">
        <v>156</v>
      </c>
      <c r="C184" s="887" t="n">
        <f aca="false">$C$143</f>
        <v>0.15</v>
      </c>
      <c r="D184" s="933" t="n">
        <f aca="false">$D$143</f>
        <v>0.05</v>
      </c>
      <c r="E184" s="933" t="n">
        <f aca="false">IF('Ввод данных'!$A$6=связи1!$A$94,IF(дома!E183+0.05-дома!$C$136&lt;0,0,дома!E183+0.05-дома!$C$136),0)+IF(E183=0,0,IF('Ввод данных'!$A$6=связи1!$A$97,IF(дома!E183+0.05+дома!$C$136&gt;дома!$E$137+0.5,0,дома!E183+0.05+дома!$C$136),0))</f>
        <v>7.26111111111111</v>
      </c>
      <c r="F184" s="537" t="n">
        <f aca="false">IF(E184&lt;($E$133+0.5),1,0)*$D$141*IF('Ввод данных'!$A$19=связи1!$A$128,2,2)*IF('Ввод данных'!$F$237=связи1!$A$2,1,0)</f>
        <v>0</v>
      </c>
      <c r="G184" s="933" t="n">
        <f aca="false">C184*D184*E184*F184</f>
        <v>0</v>
      </c>
      <c r="H184" s="933"/>
      <c r="I184" s="933"/>
      <c r="J184" s="933"/>
      <c r="K184" s="933"/>
      <c r="L184" s="933"/>
      <c r="M184" s="933"/>
      <c r="N184" s="933"/>
      <c r="O184" s="933"/>
      <c r="P184" s="1290"/>
      <c r="Q184" s="1290"/>
      <c r="R184" s="1290"/>
      <c r="S184" s="933"/>
      <c r="T184" s="933"/>
      <c r="U184" s="1329"/>
      <c r="V184" s="933"/>
      <c r="W184" s="933"/>
      <c r="X184" s="933"/>
      <c r="Y184" s="1290"/>
      <c r="Z184" s="933"/>
      <c r="AA184" s="933"/>
      <c r="AD184" s="1290"/>
    </row>
    <row r="185" customFormat="false" ht="15.75" hidden="false" customHeight="true" outlineLevel="1" collapsed="false">
      <c r="A185" s="933" t="s">
        <v>3023</v>
      </c>
      <c r="B185" s="1269" t="s">
        <v>156</v>
      </c>
      <c r="C185" s="887" t="n">
        <f aca="false">$C$143</f>
        <v>0.15</v>
      </c>
      <c r="D185" s="933" t="n">
        <f aca="false">$D$143</f>
        <v>0.05</v>
      </c>
      <c r="E185" s="933" t="n">
        <f aca="false">IF('Ввод данных'!$A$6=связи1!$A$94,IF(дома!E184+0.05-дома!$C$136&lt;0,0,дома!E184+0.05-дома!$C$136),0)+IF(E184=0,0,IF('Ввод данных'!$A$6=связи1!$A$97,IF(дома!E184+0.05+дома!$C$136&gt;дома!$E$137+0.5,0,дома!E184+0.05+дома!$C$136),0))</f>
        <v>6.42222222222222</v>
      </c>
      <c r="F185" s="537" t="n">
        <f aca="false">IF(E185&lt;($E$133+0.5),1,0)*$D$141*IF('Ввод данных'!$A$19=связи1!$A$128,2,2)*IF('Ввод данных'!$F$237=связи1!$A$2,1,0)</f>
        <v>0</v>
      </c>
      <c r="G185" s="933" t="n">
        <f aca="false">C185*D185*E185*F185</f>
        <v>0</v>
      </c>
      <c r="H185" s="933"/>
      <c r="I185" s="933"/>
      <c r="J185" s="933"/>
      <c r="K185" s="933"/>
      <c r="L185" s="933"/>
      <c r="M185" s="933"/>
      <c r="N185" s="933"/>
      <c r="O185" s="933"/>
      <c r="P185" s="1290"/>
      <c r="Q185" s="1290"/>
      <c r="R185" s="1290"/>
      <c r="S185" s="933"/>
      <c r="T185" s="933"/>
      <c r="U185" s="1329"/>
      <c r="V185" s="933"/>
      <c r="W185" s="933"/>
      <c r="X185" s="933"/>
      <c r="Y185" s="1290"/>
      <c r="Z185" s="933"/>
      <c r="AA185" s="933"/>
      <c r="AD185" s="1290"/>
    </row>
    <row r="186" customFormat="false" ht="15.75" hidden="false" customHeight="true" outlineLevel="1" collapsed="false">
      <c r="A186" s="933" t="s">
        <v>3024</v>
      </c>
      <c r="B186" s="1269" t="s">
        <v>156</v>
      </c>
      <c r="C186" s="887" t="n">
        <f aca="false">$C$143</f>
        <v>0.15</v>
      </c>
      <c r="D186" s="933" t="n">
        <f aca="false">$D$143</f>
        <v>0.05</v>
      </c>
      <c r="E186" s="933" t="n">
        <f aca="false">IF('Ввод данных'!$A$6=связи1!$A$94,IF(дома!E185+0.05-дома!$C$136&lt;0,0,дома!E185+0.05-дома!$C$136),0)+IF(E185=0,0,IF('Ввод данных'!$A$6=связи1!$A$97,IF(дома!E185+0.05+дома!$C$136&gt;дома!$E$137+0.5,0,дома!E185+0.05+дома!$C$136),0))</f>
        <v>5.58333333333333</v>
      </c>
      <c r="F186" s="537" t="n">
        <f aca="false">IF(E186&lt;($E$133+0.5),1,0)*$D$141*IF('Ввод данных'!$A$19=связи1!$A$128,2,2)*IF('Ввод данных'!$F$237=связи1!$A$2,1,0)</f>
        <v>0</v>
      </c>
      <c r="G186" s="933" t="n">
        <f aca="false">C186*D186*E186*F186</f>
        <v>0</v>
      </c>
      <c r="H186" s="933"/>
      <c r="I186" s="933"/>
      <c r="J186" s="933"/>
      <c r="K186" s="933"/>
      <c r="L186" s="933"/>
      <c r="M186" s="933"/>
      <c r="N186" s="933"/>
      <c r="O186" s="933"/>
      <c r="P186" s="1290"/>
      <c r="Q186" s="1290"/>
      <c r="R186" s="1290"/>
      <c r="S186" s="933"/>
      <c r="T186" s="933"/>
      <c r="U186" s="1329"/>
      <c r="V186" s="933"/>
      <c r="W186" s="933"/>
      <c r="X186" s="933"/>
      <c r="Y186" s="1290"/>
      <c r="Z186" s="933"/>
      <c r="AA186" s="933"/>
      <c r="AD186" s="1290"/>
    </row>
    <row r="187" customFormat="false" ht="15.75" hidden="false" customHeight="true" outlineLevel="1" collapsed="false">
      <c r="A187" s="933" t="s">
        <v>3025</v>
      </c>
      <c r="B187" s="1269" t="s">
        <v>156</v>
      </c>
      <c r="C187" s="887" t="n">
        <f aca="false">$C$143</f>
        <v>0.15</v>
      </c>
      <c r="D187" s="933" t="n">
        <f aca="false">$D$143</f>
        <v>0.05</v>
      </c>
      <c r="E187" s="933" t="n">
        <f aca="false">IF('Ввод данных'!$A$6=связи1!$A$94,IF(дома!E186+0.05-дома!$C$136&lt;0,0,дома!E186+0.05-дома!$C$136),0)+IF(E186=0,0,IF('Ввод данных'!$A$6=связи1!$A$97,IF(дома!E186+0.05+дома!$C$136&gt;дома!$E$137+0.5,0,дома!E186+0.05+дома!$C$136),0))</f>
        <v>4.74444444444445</v>
      </c>
      <c r="F187" s="537" t="n">
        <f aca="false">IF(E187&lt;($E$133+0.5),1,0)*$D$141*IF('Ввод данных'!$A$19=связи1!$A$128,2,2)*IF('Ввод данных'!$F$237=связи1!$A$2,1,0)</f>
        <v>0</v>
      </c>
      <c r="G187" s="933" t="n">
        <f aca="false">C187*D187*E187*F187</f>
        <v>0</v>
      </c>
      <c r="H187" s="933"/>
      <c r="I187" s="933"/>
      <c r="J187" s="933"/>
      <c r="K187" s="933"/>
      <c r="L187" s="933"/>
      <c r="M187" s="933"/>
      <c r="N187" s="933"/>
      <c r="O187" s="933"/>
      <c r="P187" s="1290"/>
      <c r="Q187" s="1290"/>
      <c r="R187" s="1290"/>
      <c r="S187" s="933"/>
      <c r="T187" s="933"/>
      <c r="U187" s="1329"/>
      <c r="V187" s="933"/>
      <c r="W187" s="933"/>
      <c r="X187" s="933"/>
      <c r="Y187" s="1290"/>
      <c r="Z187" s="933"/>
      <c r="AA187" s="933"/>
      <c r="AD187" s="1290"/>
    </row>
    <row r="188" customFormat="false" ht="15.75" hidden="false" customHeight="true" outlineLevel="1" collapsed="false">
      <c r="A188" s="933" t="s">
        <v>3026</v>
      </c>
      <c r="B188" s="1269" t="s">
        <v>156</v>
      </c>
      <c r="C188" s="887" t="n">
        <f aca="false">$C$143</f>
        <v>0.15</v>
      </c>
      <c r="D188" s="933" t="n">
        <f aca="false">$D$143</f>
        <v>0.05</v>
      </c>
      <c r="E188" s="933" t="n">
        <f aca="false">IF('Ввод данных'!$A$6=связи1!$A$94,IF(дома!E187+0.05-дома!$C$136&lt;0,0,дома!E187+0.05-дома!$C$136),0)+IF(E187=0,0,IF('Ввод данных'!$A$6=связи1!$A$97,IF(дома!E187+0.05+дома!$C$136&gt;дома!$E$137+0.5,0,дома!E187+0.05+дома!$C$136),0))</f>
        <v>3.90555555555556</v>
      </c>
      <c r="F188" s="537" t="n">
        <f aca="false">IF(E188&lt;($E$133+0.5),1,0)*$D$141*IF('Ввод данных'!$A$19=связи1!$A$128,2,2)*IF('Ввод данных'!$F$237=связи1!$A$2,1,0)</f>
        <v>0</v>
      </c>
      <c r="G188" s="933" t="n">
        <f aca="false">C188*D188*E188*F188</f>
        <v>0</v>
      </c>
      <c r="H188" s="933"/>
      <c r="I188" s="933"/>
      <c r="J188" s="933"/>
      <c r="K188" s="933"/>
      <c r="L188" s="933"/>
      <c r="M188" s="933"/>
      <c r="N188" s="933"/>
      <c r="O188" s="933"/>
      <c r="P188" s="1290"/>
      <c r="Q188" s="1290"/>
      <c r="R188" s="1290"/>
      <c r="S188" s="933"/>
      <c r="T188" s="933"/>
      <c r="U188" s="1329"/>
      <c r="V188" s="933"/>
      <c r="W188" s="933"/>
      <c r="X188" s="933"/>
      <c r="Y188" s="1290"/>
      <c r="Z188" s="933"/>
      <c r="AA188" s="933"/>
      <c r="AD188" s="1290"/>
    </row>
    <row r="189" customFormat="false" ht="15.75" hidden="false" customHeight="true" outlineLevel="1" collapsed="false">
      <c r="A189" s="933" t="s">
        <v>3027</v>
      </c>
      <c r="B189" s="1269" t="s">
        <v>156</v>
      </c>
      <c r="C189" s="887" t="n">
        <f aca="false">$C$143</f>
        <v>0.15</v>
      </c>
      <c r="D189" s="933" t="n">
        <f aca="false">$D$143</f>
        <v>0.05</v>
      </c>
      <c r="E189" s="933" t="n">
        <f aca="false">IF('Ввод данных'!$A$6=связи1!$A$94,IF(дома!E188+0.05-дома!$C$136&lt;0,0,дома!E188+0.05-дома!$C$136),0)+IF(E188=0,0,IF('Ввод данных'!$A$6=связи1!$A$97,IF(дома!E188+0.05+дома!$C$136&gt;дома!$E$137+0.5,0,дома!E188+0.05+дома!$C$136),0))</f>
        <v>3.06666666666667</v>
      </c>
      <c r="F189" s="537" t="n">
        <f aca="false">IF(E189&lt;($E$133+0.5),1,0)*$D$141*IF('Ввод данных'!$A$19=связи1!$A$128,2,2)*IF('Ввод данных'!$F$237=связи1!$A$2,1,0)</f>
        <v>0</v>
      </c>
      <c r="G189" s="933" t="n">
        <f aca="false">C189*D189*E189*F189</f>
        <v>0</v>
      </c>
      <c r="H189" s="933"/>
      <c r="I189" s="933"/>
      <c r="J189" s="933"/>
      <c r="K189" s="933"/>
      <c r="L189" s="933"/>
      <c r="M189" s="933"/>
      <c r="N189" s="933"/>
      <c r="O189" s="933"/>
      <c r="P189" s="1290"/>
      <c r="Q189" s="1290"/>
      <c r="R189" s="1290"/>
      <c r="S189" s="933"/>
      <c r="T189" s="933"/>
      <c r="U189" s="1329"/>
      <c r="V189" s="933"/>
      <c r="W189" s="933"/>
      <c r="X189" s="933"/>
      <c r="Y189" s="1290"/>
      <c r="Z189" s="933"/>
      <c r="AA189" s="933"/>
      <c r="AD189" s="1290"/>
    </row>
    <row r="190" customFormat="false" ht="15.75" hidden="false" customHeight="true" outlineLevel="1" collapsed="false">
      <c r="A190" s="933" t="s">
        <v>3028</v>
      </c>
      <c r="B190" s="1269" t="s">
        <v>156</v>
      </c>
      <c r="C190" s="887" t="n">
        <f aca="false">$C$143</f>
        <v>0.15</v>
      </c>
      <c r="D190" s="933" t="n">
        <f aca="false">$D$143</f>
        <v>0.05</v>
      </c>
      <c r="E190" s="933" t="n">
        <f aca="false">IF('Ввод данных'!$A$6=связи1!$A$94,IF(дома!E189+0.05-дома!$C$136&lt;0,0,дома!E189+0.05-дома!$C$136),0)+IF(E189=0,0,IF('Ввод данных'!$A$6=связи1!$A$97,IF(дома!E189+0.05+дома!$C$136&gt;дома!$E$137+0.5,0,дома!E189+0.05+дома!$C$136),0))</f>
        <v>2.22777777777778</v>
      </c>
      <c r="F190" s="537" t="n">
        <f aca="false">IF(E190&lt;($E$133+0.5),1,0)*$D$141*IF('Ввод данных'!$A$19=связи1!$A$128,2,2)*IF('Ввод данных'!$F$237=связи1!$A$2,1,0)</f>
        <v>0</v>
      </c>
      <c r="G190" s="933" t="n">
        <f aca="false">C190*D190*E190*F190</f>
        <v>0</v>
      </c>
      <c r="H190" s="933"/>
      <c r="I190" s="933"/>
      <c r="J190" s="933"/>
      <c r="K190" s="933"/>
      <c r="L190" s="933"/>
      <c r="M190" s="933"/>
      <c r="N190" s="933"/>
      <c r="O190" s="933"/>
      <c r="P190" s="1290"/>
      <c r="Q190" s="1290"/>
      <c r="R190" s="1290"/>
      <c r="S190" s="933"/>
      <c r="T190" s="933"/>
      <c r="U190" s="1329"/>
      <c r="V190" s="933"/>
      <c r="W190" s="933"/>
      <c r="X190" s="933"/>
      <c r="Y190" s="1290"/>
      <c r="Z190" s="933"/>
      <c r="AA190" s="933"/>
      <c r="AD190" s="1290"/>
    </row>
    <row r="191" customFormat="false" ht="15.75" hidden="false" customHeight="true" outlineLevel="1" collapsed="false">
      <c r="A191" s="933" t="s">
        <v>3029</v>
      </c>
      <c r="B191" s="1269" t="s">
        <v>156</v>
      </c>
      <c r="C191" s="887" t="n">
        <f aca="false">$C$143</f>
        <v>0.15</v>
      </c>
      <c r="D191" s="933" t="n">
        <f aca="false">$D$143</f>
        <v>0.05</v>
      </c>
      <c r="E191" s="933" t="n">
        <f aca="false">IF('Ввод данных'!$A$6=связи1!$A$94,IF(дома!E190+0.05-дома!$C$136&lt;0,0,дома!E190+0.05-дома!$C$136),0)+IF(E190=0,0,IF('Ввод данных'!$A$6=связи1!$A$97,IF(дома!E190+0.05+дома!$C$136&gt;дома!$E$137+0.5,0,дома!E190+0.05+дома!$C$136),0))</f>
        <v>1.38888888888889</v>
      </c>
      <c r="F191" s="537" t="n">
        <f aca="false">IF(E191&lt;($E$133+0.5),1,0)*$D$141*IF('Ввод данных'!$A$19=связи1!$A$128,2,2)*IF('Ввод данных'!$F$237=связи1!$A$2,1,0)</f>
        <v>0</v>
      </c>
      <c r="G191" s="933" t="n">
        <f aca="false">C191*D191*E191*F191</f>
        <v>0</v>
      </c>
      <c r="H191" s="933"/>
      <c r="I191" s="933"/>
      <c r="J191" s="933"/>
      <c r="K191" s="933"/>
      <c r="L191" s="933"/>
      <c r="M191" s="933"/>
      <c r="N191" s="933"/>
      <c r="O191" s="933"/>
      <c r="P191" s="1290"/>
      <c r="Q191" s="1290"/>
      <c r="R191" s="1290"/>
      <c r="S191" s="933"/>
      <c r="T191" s="933"/>
      <c r="U191" s="1329"/>
      <c r="V191" s="933"/>
      <c r="W191" s="933"/>
      <c r="X191" s="933"/>
      <c r="Y191" s="1290"/>
      <c r="Z191" s="933"/>
      <c r="AA191" s="933"/>
      <c r="AD191" s="1290"/>
    </row>
    <row r="192" customFormat="false" ht="15.75" hidden="false" customHeight="true" outlineLevel="1" collapsed="false">
      <c r="A192" s="933" t="s">
        <v>3030</v>
      </c>
      <c r="B192" s="1269" t="s">
        <v>156</v>
      </c>
      <c r="C192" s="887" t="n">
        <f aca="false">$C$143</f>
        <v>0.15</v>
      </c>
      <c r="D192" s="933" t="n">
        <f aca="false">$D$143</f>
        <v>0.05</v>
      </c>
      <c r="E192" s="933" t="n">
        <f aca="false">IF('Ввод данных'!$A$6=связи1!$A$94,IF(дома!E191+0.05-дома!$C$136&lt;0,0,дома!E191+0.05-дома!$C$136),0)+IF(E191=0,0,IF('Ввод данных'!$A$6=связи1!$A$97,IF(дома!E191+0.05+дома!$C$136&gt;дома!$E$137+0.5,0,дома!E191+0.05+дома!$C$136),0))</f>
        <v>0.55</v>
      </c>
      <c r="F192" s="537" t="n">
        <f aca="false">IF(E192&lt;($E$133+0.5),1,0)*$D$141*IF('Ввод данных'!$A$19=связи1!$A$128,2,2)*IF('Ввод данных'!$F$237=связи1!$A$2,1,0)</f>
        <v>0</v>
      </c>
      <c r="G192" s="933" t="n">
        <f aca="false">C192*D192*E192*F192</f>
        <v>0</v>
      </c>
      <c r="H192" s="933"/>
      <c r="I192" s="933"/>
      <c r="J192" s="933"/>
      <c r="K192" s="933"/>
      <c r="L192" s="933"/>
      <c r="M192" s="933"/>
      <c r="N192" s="933"/>
      <c r="O192" s="933"/>
      <c r="P192" s="1290"/>
      <c r="Q192" s="1290"/>
      <c r="R192" s="1290"/>
      <c r="S192" s="933"/>
      <c r="T192" s="933"/>
      <c r="U192" s="1329"/>
      <c r="V192" s="933"/>
      <c r="W192" s="933"/>
      <c r="X192" s="933"/>
      <c r="Y192" s="1290"/>
      <c r="Z192" s="933"/>
      <c r="AA192" s="933"/>
      <c r="AD192" s="1290"/>
    </row>
    <row r="193" customFormat="false" ht="15.75" hidden="false" customHeight="true" outlineLevel="1" collapsed="false">
      <c r="A193" s="933" t="s">
        <v>3031</v>
      </c>
      <c r="B193" s="1269" t="s">
        <v>156</v>
      </c>
      <c r="C193" s="887" t="n">
        <f aca="false">$C$143</f>
        <v>0.15</v>
      </c>
      <c r="D193" s="933" t="n">
        <f aca="false">$D$143</f>
        <v>0.05</v>
      </c>
      <c r="E193" s="933" t="n">
        <f aca="false">IF('Ввод данных'!$A$6=связи1!$A$94,IF(дома!E192+0.05-дома!$C$136&lt;0,0,дома!E192+0.05-дома!$C$136),0)+IF(E192=0,0,IF('Ввод данных'!$A$6=связи1!$A$97,IF(дома!E192+0.05+дома!$C$136&gt;дома!$E$137+0.5,0,дома!E192+0.05+дома!$C$136),0))</f>
        <v>0</v>
      </c>
      <c r="F193" s="537" t="n">
        <f aca="false">IF(E193&lt;($E$133+0.5),1,0)*$D$141*IF('Ввод данных'!$A$19=связи1!$A$128,2,2)*IF('Ввод данных'!$F$237=связи1!$A$2,1,0)</f>
        <v>0</v>
      </c>
      <c r="G193" s="933" t="n">
        <f aca="false">C193*D193*E193*F193</f>
        <v>0</v>
      </c>
      <c r="H193" s="933"/>
      <c r="I193" s="933"/>
      <c r="J193" s="933"/>
      <c r="K193" s="933"/>
      <c r="L193" s="933"/>
      <c r="M193" s="933"/>
      <c r="N193" s="933"/>
      <c r="O193" s="933"/>
      <c r="P193" s="1290"/>
      <c r="Q193" s="1290"/>
      <c r="R193" s="1290"/>
      <c r="S193" s="933"/>
      <c r="T193" s="933"/>
      <c r="U193" s="1329"/>
      <c r="V193" s="933"/>
      <c r="W193" s="933"/>
      <c r="X193" s="933"/>
      <c r="Y193" s="1290"/>
      <c r="Z193" s="933"/>
      <c r="AA193" s="933"/>
      <c r="AD193" s="1290"/>
    </row>
    <row r="194" customFormat="false" ht="15.75" hidden="false" customHeight="true" outlineLevel="1" collapsed="false">
      <c r="A194" s="933" t="s">
        <v>3032</v>
      </c>
      <c r="B194" s="1269" t="s">
        <v>156</v>
      </c>
      <c r="C194" s="887" t="n">
        <f aca="false">$C$143</f>
        <v>0.15</v>
      </c>
      <c r="D194" s="933" t="n">
        <f aca="false">$D$143</f>
        <v>0.05</v>
      </c>
      <c r="E194" s="933" t="n">
        <f aca="false">IF('Ввод данных'!$A$6=связи1!$A$94,IF(дома!E193+0.05-дома!$C$136&lt;0,0,дома!E193+0.05-дома!$C$136),0)+IF(E193=0,0,IF('Ввод данных'!$A$6=связи1!$A$97,IF(дома!E193+0.05+дома!$C$136&gt;дома!$E$137+0.5,0,дома!E193+0.05+дома!$C$136),0))</f>
        <v>0</v>
      </c>
      <c r="F194" s="537" t="n">
        <f aca="false">IF(E194&lt;($E$133+0.5),1,0)*$D$141*IF('Ввод данных'!$A$19=связи1!$A$128,2,2)*IF('Ввод данных'!$F$237=связи1!$A$2,1,0)</f>
        <v>0</v>
      </c>
      <c r="G194" s="933" t="n">
        <f aca="false">C194*D194*E194*F194</f>
        <v>0</v>
      </c>
      <c r="H194" s="933"/>
      <c r="I194" s="933"/>
      <c r="J194" s="933"/>
      <c r="K194" s="933"/>
      <c r="L194" s="933"/>
      <c r="M194" s="933"/>
      <c r="N194" s="933"/>
      <c r="O194" s="933"/>
      <c r="P194" s="1290"/>
      <c r="Q194" s="1290"/>
      <c r="R194" s="1290"/>
      <c r="S194" s="933"/>
      <c r="T194" s="933"/>
      <c r="U194" s="1329"/>
      <c r="V194" s="933"/>
      <c r="W194" s="933"/>
      <c r="X194" s="933"/>
      <c r="Y194" s="1290"/>
      <c r="Z194" s="933"/>
      <c r="AA194" s="933"/>
      <c r="AD194" s="1290"/>
    </row>
    <row r="195" customFormat="false" ht="15.75" hidden="false" customHeight="true" outlineLevel="1" collapsed="false">
      <c r="A195" s="933" t="s">
        <v>3033</v>
      </c>
      <c r="B195" s="1269" t="s">
        <v>156</v>
      </c>
      <c r="C195" s="887" t="n">
        <f aca="false">$C$143</f>
        <v>0.15</v>
      </c>
      <c r="D195" s="933" t="n">
        <f aca="false">$D$143</f>
        <v>0.05</v>
      </c>
      <c r="E195" s="933" t="n">
        <f aca="false">IF('Ввод данных'!$A$6=связи1!$A$94,IF(дома!E194+0.05-дома!$C$136&lt;0,0,дома!E194+0.05-дома!$C$136),0)+IF(E194=0,0,IF('Ввод данных'!$A$6=связи1!$A$97,IF(дома!E194+0.05+дома!$C$136&gt;дома!$E$137+0.5,0,дома!E194+0.05+дома!$C$136),0))</f>
        <v>0</v>
      </c>
      <c r="F195" s="537" t="n">
        <f aca="false">IF(E195&lt;($E$133+0.5),1,0)*$D$141*IF('Ввод данных'!$A$19=связи1!$A$128,2,2)*IF('Ввод данных'!$F$237=связи1!$A$2,1,0)</f>
        <v>0</v>
      </c>
      <c r="G195" s="933" t="n">
        <f aca="false">C195*D195*E195*F195</f>
        <v>0</v>
      </c>
      <c r="H195" s="933"/>
      <c r="I195" s="933"/>
      <c r="J195" s="933"/>
      <c r="K195" s="933"/>
      <c r="L195" s="933"/>
      <c r="M195" s="933"/>
      <c r="N195" s="933"/>
      <c r="O195" s="933"/>
      <c r="P195" s="1290"/>
      <c r="Q195" s="1290"/>
      <c r="R195" s="1290"/>
      <c r="S195" s="933"/>
      <c r="T195" s="933"/>
      <c r="U195" s="1329"/>
      <c r="V195" s="933"/>
      <c r="W195" s="933"/>
      <c r="X195" s="933"/>
      <c r="Y195" s="1290"/>
      <c r="Z195" s="933"/>
      <c r="AA195" s="933"/>
      <c r="AD195" s="1290"/>
    </row>
    <row r="196" customFormat="false" ht="15.75" hidden="false" customHeight="true" outlineLevel="1" collapsed="false">
      <c r="A196" s="933" t="s">
        <v>3034</v>
      </c>
      <c r="B196" s="1269" t="s">
        <v>156</v>
      </c>
      <c r="C196" s="887" t="n">
        <f aca="false">$C$143</f>
        <v>0.15</v>
      </c>
      <c r="D196" s="933" t="n">
        <f aca="false">$D$143</f>
        <v>0.05</v>
      </c>
      <c r="E196" s="933" t="n">
        <f aca="false">IF('Ввод данных'!$A$6=связи1!$A$94,IF(дома!E195+0.05-дома!$C$136&lt;0,0,дома!E195+0.05-дома!$C$136),0)+IF(E195=0,0,IF('Ввод данных'!$A$6=связи1!$A$97,IF(дома!E195+0.05+дома!$C$136&gt;дома!$E$137+0.5,0,дома!E195+0.05+дома!$C$136),0))</f>
        <v>0</v>
      </c>
      <c r="F196" s="537" t="n">
        <f aca="false">IF(E196&lt;($E$133+0.5),1,0)*$D$141*IF('Ввод данных'!$A$19=связи1!$A$128,2,2)*IF('Ввод данных'!$F$237=связи1!$A$2,1,0)</f>
        <v>0</v>
      </c>
      <c r="G196" s="933" t="n">
        <f aca="false">C196*D196*E196*F196</f>
        <v>0</v>
      </c>
      <c r="H196" s="933"/>
      <c r="I196" s="933"/>
      <c r="J196" s="933"/>
      <c r="K196" s="933"/>
      <c r="L196" s="933"/>
      <c r="M196" s="933"/>
      <c r="N196" s="933"/>
      <c r="O196" s="933"/>
      <c r="P196" s="1290"/>
      <c r="Q196" s="1290"/>
      <c r="R196" s="1290"/>
      <c r="S196" s="933"/>
      <c r="T196" s="933"/>
      <c r="U196" s="1329"/>
      <c r="V196" s="933"/>
      <c r="W196" s="933"/>
      <c r="X196" s="933"/>
      <c r="Y196" s="1290"/>
      <c r="Z196" s="933"/>
      <c r="AA196" s="933"/>
      <c r="AD196" s="1290"/>
    </row>
    <row r="197" customFormat="false" ht="15.75" hidden="false" customHeight="true" outlineLevel="1" collapsed="false">
      <c r="A197" s="933" t="s">
        <v>3035</v>
      </c>
      <c r="B197" s="1269" t="s">
        <v>156</v>
      </c>
      <c r="C197" s="887" t="n">
        <f aca="false">$C$143</f>
        <v>0.15</v>
      </c>
      <c r="D197" s="933" t="n">
        <f aca="false">$D$143</f>
        <v>0.05</v>
      </c>
      <c r="E197" s="933" t="n">
        <f aca="false">IF('Ввод данных'!$A$6=связи1!$A$94,IF(дома!E196+0.05-дома!$C$136&lt;0,0,дома!E196+0.05-дома!$C$136),0)+IF(E196=0,0,IF('Ввод данных'!$A$6=связи1!$A$97,IF(дома!E196+0.05+дома!$C$136&gt;дома!$E$137+0.5,0,дома!E196+0.05+дома!$C$136),0))</f>
        <v>0</v>
      </c>
      <c r="F197" s="537" t="n">
        <f aca="false">IF(E197&lt;($E$133+0.5),1,0)*$D$141*IF('Ввод данных'!$A$19=связи1!$A$128,2,2)*IF('Ввод данных'!$F$237=связи1!$A$2,1,0)</f>
        <v>0</v>
      </c>
      <c r="G197" s="933" t="n">
        <f aca="false">C197*D197*E197*F197</f>
        <v>0</v>
      </c>
      <c r="H197" s="933"/>
      <c r="I197" s="933"/>
      <c r="J197" s="933"/>
      <c r="K197" s="933"/>
      <c r="L197" s="933"/>
      <c r="M197" s="933"/>
      <c r="N197" s="933"/>
      <c r="O197" s="933"/>
      <c r="P197" s="1290"/>
      <c r="Q197" s="1290"/>
      <c r="R197" s="1290"/>
      <c r="S197" s="933"/>
      <c r="T197" s="933"/>
      <c r="U197" s="1329"/>
      <c r="V197" s="933"/>
      <c r="W197" s="933"/>
      <c r="X197" s="933"/>
      <c r="Y197" s="1290"/>
      <c r="Z197" s="933"/>
      <c r="AA197" s="933"/>
      <c r="AD197" s="1290"/>
    </row>
    <row r="198" customFormat="false" ht="15.75" hidden="false" customHeight="true" outlineLevel="1" collapsed="false">
      <c r="A198" s="933" t="s">
        <v>3036</v>
      </c>
      <c r="B198" s="1269" t="s">
        <v>156</v>
      </c>
      <c r="C198" s="887" t="n">
        <f aca="false">$C$143</f>
        <v>0.15</v>
      </c>
      <c r="D198" s="933" t="n">
        <f aca="false">$D$143</f>
        <v>0.05</v>
      </c>
      <c r="E198" s="933" t="n">
        <f aca="false">IF('Ввод данных'!$A$6=связи1!$A$94,IF(дома!E197+0.05-дома!$C$136&lt;0,0,дома!E197+0.05-дома!$C$136),0)+IF(E197=0,0,IF('Ввод данных'!$A$6=связи1!$A$97,IF(дома!E197+0.05+дома!$C$136&gt;дома!$E$137+0.5,0,дома!E197+0.05+дома!$C$136),0))</f>
        <v>0</v>
      </c>
      <c r="F198" s="537" t="n">
        <f aca="false">IF(E198&lt;($E$133+0.5),1,0)*$D$141*IF('Ввод данных'!$A$19=связи1!$A$128,2,2)*IF('Ввод данных'!$F$237=связи1!$A$2,1,0)</f>
        <v>0</v>
      </c>
      <c r="G198" s="933" t="n">
        <f aca="false">C198*D198*E198*F198</f>
        <v>0</v>
      </c>
      <c r="H198" s="933"/>
      <c r="I198" s="933"/>
      <c r="J198" s="933"/>
      <c r="K198" s="933"/>
      <c r="L198" s="933"/>
      <c r="M198" s="933"/>
      <c r="N198" s="933"/>
      <c r="O198" s="933"/>
      <c r="P198" s="1290"/>
      <c r="Q198" s="1290"/>
      <c r="R198" s="1290"/>
      <c r="S198" s="933"/>
      <c r="T198" s="933"/>
      <c r="U198" s="1329"/>
      <c r="V198" s="933"/>
      <c r="W198" s="933"/>
      <c r="X198" s="933"/>
      <c r="Y198" s="1290"/>
      <c r="Z198" s="933"/>
      <c r="AA198" s="933"/>
      <c r="AD198" s="1290"/>
    </row>
    <row r="199" customFormat="false" ht="15.75" hidden="false" customHeight="true" outlineLevel="1" collapsed="false">
      <c r="A199" s="933" t="s">
        <v>3037</v>
      </c>
      <c r="B199" s="1269" t="s">
        <v>156</v>
      </c>
      <c r="C199" s="887" t="n">
        <f aca="false">$C$143</f>
        <v>0.15</v>
      </c>
      <c r="D199" s="933" t="n">
        <f aca="false">$D$143</f>
        <v>0.05</v>
      </c>
      <c r="E199" s="933" t="n">
        <f aca="false">IF('Ввод данных'!$A$6=связи1!$A$94,IF(дома!E198+0.05-дома!$C$136&lt;0,0,дома!E198+0.05-дома!$C$136),0)+IF(E198=0,0,IF('Ввод данных'!$A$6=связи1!$A$97,IF(дома!E198+0.05+дома!$C$136&gt;дома!$E$137+0.5,0,дома!E198+0.05+дома!$C$136),0))</f>
        <v>0</v>
      </c>
      <c r="F199" s="537" t="n">
        <f aca="false">IF(E199&lt;($E$133+0.5),1,0)*$D$141*IF('Ввод данных'!$A$19=связи1!$A$128,2,2)*IF('Ввод данных'!$F$237=связи1!$A$2,1,0)</f>
        <v>0</v>
      </c>
      <c r="G199" s="933" t="n">
        <f aca="false">C199*D199*E199*F199</f>
        <v>0</v>
      </c>
      <c r="H199" s="933"/>
      <c r="I199" s="933"/>
      <c r="J199" s="933"/>
      <c r="K199" s="933"/>
      <c r="L199" s="933"/>
      <c r="M199" s="933"/>
      <c r="N199" s="933"/>
      <c r="O199" s="933"/>
      <c r="P199" s="1290"/>
      <c r="Q199" s="1290"/>
      <c r="R199" s="1290"/>
      <c r="S199" s="933"/>
      <c r="T199" s="933"/>
      <c r="U199" s="1329"/>
      <c r="V199" s="933"/>
      <c r="W199" s="933"/>
      <c r="X199" s="933"/>
      <c r="Y199" s="1290"/>
      <c r="Z199" s="933"/>
      <c r="AA199" s="933"/>
      <c r="AD199" s="1290"/>
    </row>
    <row r="200" customFormat="false" ht="15.75" hidden="false" customHeight="true" outlineLevel="1" collapsed="false">
      <c r="A200" s="933" t="s">
        <v>3038</v>
      </c>
      <c r="B200" s="1269" t="s">
        <v>156</v>
      </c>
      <c r="C200" s="887" t="n">
        <f aca="false">$C$143</f>
        <v>0.15</v>
      </c>
      <c r="D200" s="933" t="n">
        <f aca="false">$D$143</f>
        <v>0.05</v>
      </c>
      <c r="E200" s="933" t="n">
        <f aca="false">IF('Ввод данных'!$A$6=связи1!$A$94,IF(дома!E199+0.05-дома!$C$136&lt;0,0,дома!E199+0.05-дома!$C$136),0)+IF(E199=0,0,IF('Ввод данных'!$A$6=связи1!$A$97,IF(дома!E199+0.05+дома!$C$136&gt;дома!$E$137+0.5,0,дома!E199+0.05+дома!$C$136),0))</f>
        <v>0</v>
      </c>
      <c r="F200" s="537" t="n">
        <f aca="false">IF(E200&lt;($E$133+0.5),1,0)*$D$141*IF('Ввод данных'!$A$19=связи1!$A$128,2,2)*IF('Ввод данных'!$F$237=связи1!$A$2,1,0)</f>
        <v>0</v>
      </c>
      <c r="G200" s="933" t="n">
        <f aca="false">C200*D200*E200*F200</f>
        <v>0</v>
      </c>
      <c r="H200" s="933"/>
      <c r="I200" s="933"/>
      <c r="J200" s="933"/>
      <c r="K200" s="933"/>
      <c r="L200" s="933"/>
      <c r="M200" s="933"/>
      <c r="N200" s="933"/>
      <c r="O200" s="933"/>
      <c r="P200" s="1290"/>
      <c r="Q200" s="1290"/>
      <c r="R200" s="1290"/>
      <c r="S200" s="933"/>
      <c r="T200" s="933"/>
      <c r="U200" s="1329"/>
      <c r="V200" s="933"/>
      <c r="W200" s="933"/>
      <c r="X200" s="933"/>
      <c r="Y200" s="1290"/>
      <c r="Z200" s="933"/>
      <c r="AA200" s="933"/>
      <c r="AD200" s="1290"/>
    </row>
    <row r="201" customFormat="false" ht="15.75" hidden="false" customHeight="true" outlineLevel="1" collapsed="false">
      <c r="A201" s="933" t="s">
        <v>3039</v>
      </c>
      <c r="B201" s="1269" t="s">
        <v>156</v>
      </c>
      <c r="C201" s="887" t="n">
        <f aca="false">$C$143</f>
        <v>0.15</v>
      </c>
      <c r="D201" s="933" t="n">
        <f aca="false">$D$143</f>
        <v>0.05</v>
      </c>
      <c r="E201" s="933" t="n">
        <f aca="false">IF('Ввод данных'!$A$6=связи1!$A$94,IF(дома!E200+0.05-дома!$C$136&lt;0,0,дома!E200+0.05-дома!$C$136),0)+IF(E200=0,0,IF('Ввод данных'!$A$6=связи1!$A$97,IF(дома!E200+0.05+дома!$C$136&gt;дома!$E$137+0.5,0,дома!E200+0.05+дома!$C$136),0))</f>
        <v>0</v>
      </c>
      <c r="F201" s="537" t="n">
        <f aca="false">IF(E201&lt;($E$133+0.5),1,0)*$D$141*IF('Ввод данных'!$A$19=связи1!$A$128,2,2)*IF('Ввод данных'!$F$237=связи1!$A$2,1,0)</f>
        <v>0</v>
      </c>
      <c r="G201" s="933" t="n">
        <f aca="false">C201*D201*E201*F201</f>
        <v>0</v>
      </c>
      <c r="H201" s="933"/>
      <c r="I201" s="933"/>
      <c r="J201" s="933"/>
      <c r="K201" s="933"/>
      <c r="L201" s="933"/>
      <c r="M201" s="933"/>
      <c r="N201" s="933"/>
      <c r="O201" s="933"/>
      <c r="P201" s="1290"/>
      <c r="Q201" s="1290"/>
      <c r="R201" s="1290"/>
      <c r="S201" s="933"/>
      <c r="T201" s="933"/>
      <c r="U201" s="1329"/>
      <c r="V201" s="933"/>
      <c r="W201" s="933"/>
      <c r="X201" s="933"/>
      <c r="Y201" s="1290"/>
      <c r="Z201" s="933"/>
      <c r="AA201" s="933"/>
      <c r="AD201" s="1290"/>
    </row>
    <row r="202" customFormat="false" ht="15.75" hidden="false" customHeight="true" outlineLevel="1" collapsed="false">
      <c r="A202" s="933" t="s">
        <v>3040</v>
      </c>
      <c r="B202" s="1269" t="s">
        <v>156</v>
      </c>
      <c r="C202" s="887" t="n">
        <f aca="false">$C$143</f>
        <v>0.15</v>
      </c>
      <c r="D202" s="933" t="n">
        <f aca="false">$D$143</f>
        <v>0.05</v>
      </c>
      <c r="E202" s="933" t="n">
        <f aca="false">IF('Ввод данных'!$A$6=связи1!$A$94,IF(дома!E201+0.05-дома!$C$136&lt;0,0,дома!E201+0.05-дома!$C$136),0)+IF(E201=0,0,IF('Ввод данных'!$A$6=связи1!$A$97,IF(дома!E201+0.05+дома!$C$136&gt;дома!$E$137+0.5,0,дома!E201+0.05+дома!$C$136),0))</f>
        <v>0</v>
      </c>
      <c r="F202" s="537" t="n">
        <f aca="false">IF(E202&lt;($E$133+0.5),1,0)*$D$141*IF('Ввод данных'!$A$19=связи1!$A$128,2,2)*IF('Ввод данных'!$F$237=связи1!$A$2,1,0)</f>
        <v>0</v>
      </c>
      <c r="G202" s="933" t="n">
        <f aca="false">C202*D202*E202*F202</f>
        <v>0</v>
      </c>
      <c r="H202" s="933"/>
      <c r="I202" s="933"/>
      <c r="J202" s="933"/>
      <c r="K202" s="933"/>
      <c r="L202" s="933"/>
      <c r="M202" s="933"/>
      <c r="N202" s="933"/>
      <c r="O202" s="933"/>
      <c r="P202" s="1290"/>
      <c r="Q202" s="1290"/>
      <c r="R202" s="1290"/>
      <c r="S202" s="933"/>
      <c r="T202" s="933"/>
      <c r="U202" s="1329"/>
      <c r="V202" s="933"/>
      <c r="W202" s="933"/>
      <c r="X202" s="933"/>
      <c r="Y202" s="1290"/>
      <c r="Z202" s="933"/>
      <c r="AA202" s="933"/>
      <c r="AD202" s="1290"/>
    </row>
    <row r="203" customFormat="false" ht="15.75" hidden="false" customHeight="true" outlineLevel="1" collapsed="false">
      <c r="A203" s="933" t="s">
        <v>3041</v>
      </c>
      <c r="B203" s="1269" t="s">
        <v>156</v>
      </c>
      <c r="C203" s="887" t="n">
        <f aca="false">$C$143</f>
        <v>0.15</v>
      </c>
      <c r="D203" s="933" t="n">
        <f aca="false">$D$143</f>
        <v>0.05</v>
      </c>
      <c r="E203" s="933" t="n">
        <f aca="false">IF('Ввод данных'!$A$6=связи1!$A$94,IF(дома!E202+0.05-дома!$C$136&lt;0,0,дома!E202+0.05-дома!$C$136),0)+IF(E202=0,0,IF('Ввод данных'!$A$6=связи1!$A$97,IF(дома!E202+0.05+дома!$C$136&gt;дома!$E$137+0.5,0,дома!E202+0.05+дома!$C$136),0))</f>
        <v>0</v>
      </c>
      <c r="F203" s="537" t="n">
        <f aca="false">IF(E203&lt;($E$133+0.5),1,0)*$D$141*IF('Ввод данных'!$A$19=связи1!$A$128,2,2)*IF('Ввод данных'!$F$237=связи1!$A$2,1,0)</f>
        <v>0</v>
      </c>
      <c r="G203" s="933" t="n">
        <f aca="false">C203*D203*E203*F203</f>
        <v>0</v>
      </c>
      <c r="H203" s="933"/>
      <c r="I203" s="933"/>
      <c r="J203" s="933"/>
      <c r="K203" s="933"/>
      <c r="L203" s="933"/>
      <c r="M203" s="933"/>
      <c r="N203" s="933"/>
      <c r="O203" s="933"/>
      <c r="P203" s="1290"/>
      <c r="Q203" s="1290"/>
      <c r="R203" s="1290"/>
      <c r="S203" s="933"/>
      <c r="T203" s="933"/>
      <c r="U203" s="1329"/>
      <c r="V203" s="933"/>
      <c r="W203" s="933"/>
      <c r="X203" s="933"/>
      <c r="Y203" s="1290"/>
      <c r="Z203" s="933"/>
      <c r="AA203" s="933"/>
      <c r="AD203" s="1290"/>
    </row>
    <row r="204" customFormat="false" ht="15.75" hidden="false" customHeight="true" outlineLevel="1" collapsed="false">
      <c r="A204" s="933" t="s">
        <v>3042</v>
      </c>
      <c r="B204" s="1269" t="s">
        <v>156</v>
      </c>
      <c r="C204" s="887" t="n">
        <f aca="false">$C$143</f>
        <v>0.15</v>
      </c>
      <c r="D204" s="933" t="n">
        <f aca="false">$D$143</f>
        <v>0.05</v>
      </c>
      <c r="E204" s="933" t="n">
        <f aca="false">IF('Ввод данных'!$A$6=связи1!$A$94,IF(дома!E203+0.05-дома!$C$136&lt;0,0,дома!E203+0.05-дома!$C$136),0)+IF(E203=0,0,IF('Ввод данных'!$A$6=связи1!$A$97,IF(дома!E203+0.05+дома!$C$136&gt;дома!$E$137+0.5,0,дома!E203+0.05+дома!$C$136),0))</f>
        <v>0</v>
      </c>
      <c r="F204" s="537" t="n">
        <f aca="false">IF(E204&lt;($E$133+0.5),1,0)*$D$141*IF('Ввод данных'!$A$19=связи1!$A$128,2,2)*IF('Ввод данных'!$F$237=связи1!$A$2,1,0)</f>
        <v>0</v>
      </c>
      <c r="G204" s="933" t="n">
        <f aca="false">C204*D204*E204*F204</f>
        <v>0</v>
      </c>
      <c r="H204" s="933"/>
      <c r="I204" s="933"/>
      <c r="J204" s="933"/>
      <c r="K204" s="933"/>
      <c r="L204" s="933"/>
      <c r="M204" s="933"/>
      <c r="N204" s="933"/>
      <c r="O204" s="933"/>
      <c r="P204" s="1290"/>
      <c r="Q204" s="1290"/>
      <c r="R204" s="1290"/>
      <c r="S204" s="933"/>
      <c r="T204" s="933"/>
      <c r="U204" s="1329"/>
      <c r="V204" s="933"/>
      <c r="W204" s="933"/>
      <c r="X204" s="933"/>
      <c r="Y204" s="1290"/>
      <c r="Z204" s="933"/>
      <c r="AA204" s="933"/>
      <c r="AD204" s="1290"/>
    </row>
    <row r="205" customFormat="false" ht="15.75" hidden="false" customHeight="true" outlineLevel="1" collapsed="false">
      <c r="A205" s="933" t="s">
        <v>3043</v>
      </c>
      <c r="B205" s="1269" t="s">
        <v>156</v>
      </c>
      <c r="C205" s="887" t="n">
        <f aca="false">$C$143</f>
        <v>0.15</v>
      </c>
      <c r="D205" s="933" t="n">
        <f aca="false">$D$143</f>
        <v>0.05</v>
      </c>
      <c r="E205" s="933" t="n">
        <f aca="false">IF('Ввод данных'!$A$6=связи1!$A$94,IF(дома!E204+0.05-дома!$C$136&lt;0,0,дома!E204+0.05-дома!$C$136),0)+IF(E204=0,0,IF('Ввод данных'!$A$6=связи1!$A$97,IF(дома!E204+0.05+дома!$C$136&gt;дома!$E$137+0.5,0,дома!E204+0.05+дома!$C$136),0))</f>
        <v>0</v>
      </c>
      <c r="F205" s="537" t="n">
        <f aca="false">IF(E205&lt;($E$133+0.5),1,0)*$D$141*IF('Ввод данных'!$A$19=связи1!$A$128,2,2)*IF('Ввод данных'!$F$237=связи1!$A$2,1,0)</f>
        <v>0</v>
      </c>
      <c r="G205" s="933" t="n">
        <f aca="false">C205*D205*E205*F205</f>
        <v>0</v>
      </c>
      <c r="H205" s="933"/>
      <c r="I205" s="933"/>
      <c r="J205" s="933"/>
      <c r="K205" s="933"/>
      <c r="L205" s="933"/>
      <c r="M205" s="933"/>
      <c r="N205" s="933"/>
      <c r="O205" s="933"/>
      <c r="P205" s="1290"/>
      <c r="Q205" s="1290"/>
      <c r="R205" s="1290"/>
      <c r="S205" s="933"/>
      <c r="T205" s="933"/>
      <c r="U205" s="1329"/>
      <c r="V205" s="933"/>
      <c r="W205" s="933"/>
      <c r="X205" s="933"/>
      <c r="Y205" s="1290"/>
      <c r="Z205" s="933"/>
      <c r="AA205" s="933"/>
      <c r="AD205" s="1290"/>
    </row>
    <row r="206" customFormat="false" ht="15.75" hidden="false" customHeight="true" outlineLevel="1" collapsed="false">
      <c r="A206" s="933" t="s">
        <v>3044</v>
      </c>
      <c r="B206" s="1269" t="s">
        <v>156</v>
      </c>
      <c r="C206" s="887" t="n">
        <f aca="false">$C$143</f>
        <v>0.15</v>
      </c>
      <c r="D206" s="933" t="n">
        <f aca="false">$D$143</f>
        <v>0.05</v>
      </c>
      <c r="E206" s="933" t="n">
        <f aca="false">IF('Ввод данных'!$A$6=связи1!$A$94,IF(дома!E205+0.05-дома!$C$136&lt;0,0,дома!E205+0.05-дома!$C$136),0)+IF(E205=0,0,IF('Ввод данных'!$A$6=связи1!$A$97,IF(дома!E205+0.05+дома!$C$136&gt;дома!$E$137+0.5,0,дома!E205+0.05+дома!$C$136),0))</f>
        <v>0</v>
      </c>
      <c r="F206" s="537" t="n">
        <f aca="false">IF(E206&lt;($E$133+0.5),1,0)*$D$141*IF('Ввод данных'!$A$19=связи1!$A$128,2,2)*IF('Ввод данных'!$F$237=связи1!$A$2,1,0)</f>
        <v>0</v>
      </c>
      <c r="G206" s="933" t="n">
        <f aca="false">C206*D206*E206*F206</f>
        <v>0</v>
      </c>
      <c r="H206" s="933"/>
      <c r="I206" s="933"/>
      <c r="J206" s="933"/>
      <c r="K206" s="933"/>
      <c r="L206" s="933"/>
      <c r="M206" s="933"/>
      <c r="N206" s="933"/>
      <c r="O206" s="933"/>
      <c r="P206" s="1290"/>
      <c r="Q206" s="1290"/>
      <c r="R206" s="1290"/>
      <c r="S206" s="933"/>
      <c r="T206" s="933"/>
      <c r="U206" s="1329"/>
      <c r="V206" s="933"/>
      <c r="W206" s="933"/>
      <c r="X206" s="933"/>
      <c r="Y206" s="1290"/>
      <c r="Z206" s="933"/>
      <c r="AA206" s="933"/>
      <c r="AD206" s="1290"/>
    </row>
    <row r="207" customFormat="false" ht="15.75" hidden="false" customHeight="true" outlineLevel="1" collapsed="false">
      <c r="A207" s="933" t="s">
        <v>3045</v>
      </c>
      <c r="B207" s="1269" t="s">
        <v>156</v>
      </c>
      <c r="C207" s="887" t="n">
        <f aca="false">$C$143</f>
        <v>0.15</v>
      </c>
      <c r="D207" s="933" t="n">
        <f aca="false">$D$143</f>
        <v>0.05</v>
      </c>
      <c r="E207" s="933" t="n">
        <f aca="false">IF('Ввод данных'!$A$6=связи1!$A$94,IF(дома!E206+0.05-дома!$C$136&lt;0,0,дома!E206+0.05-дома!$C$136),0)+IF(E206=0,0,IF('Ввод данных'!$A$6=связи1!$A$97,IF(дома!E206+0.05+дома!$C$136&gt;дома!$E$137+0.5,0,дома!E206+0.05+дома!$C$136),0))</f>
        <v>0</v>
      </c>
      <c r="F207" s="537" t="n">
        <f aca="false">IF(E207&lt;($E$133+0.5),1,0)*$D$141*IF('Ввод данных'!$A$19=связи1!$A$128,2,2)*IF('Ввод данных'!$F$237=связи1!$A$2,1,0)</f>
        <v>0</v>
      </c>
      <c r="G207" s="933" t="n">
        <f aca="false">C207*D207*E207*F207</f>
        <v>0</v>
      </c>
      <c r="H207" s="933"/>
      <c r="I207" s="933"/>
      <c r="J207" s="933"/>
      <c r="K207" s="933"/>
      <c r="L207" s="933"/>
      <c r="M207" s="933"/>
      <c r="N207" s="933"/>
      <c r="O207" s="933"/>
      <c r="P207" s="1290"/>
      <c r="Q207" s="1290"/>
      <c r="R207" s="1290"/>
      <c r="S207" s="933"/>
      <c r="T207" s="933"/>
      <c r="U207" s="1329"/>
      <c r="V207" s="933"/>
      <c r="W207" s="933"/>
      <c r="X207" s="933"/>
      <c r="Y207" s="1290"/>
      <c r="Z207" s="933"/>
      <c r="AA207" s="933"/>
      <c r="AD207" s="1290"/>
    </row>
    <row r="208" customFormat="false" ht="15.75" hidden="false" customHeight="true" outlineLevel="1" collapsed="false">
      <c r="A208" s="933" t="s">
        <v>3046</v>
      </c>
      <c r="B208" s="1269" t="s">
        <v>156</v>
      </c>
      <c r="C208" s="887" t="n">
        <f aca="false">$C$143</f>
        <v>0.15</v>
      </c>
      <c r="D208" s="933" t="n">
        <f aca="false">$D$143</f>
        <v>0.05</v>
      </c>
      <c r="E208" s="933" t="n">
        <f aca="false">IF('Ввод данных'!$A$6=связи1!$A$94,IF(дома!E207+0.05-дома!$C$136&lt;0,0,дома!E207+0.05-дома!$C$136),0)+IF(E207=0,0,IF('Ввод данных'!$A$6=связи1!$A$97,IF(дома!E207+0.05+дома!$C$136&gt;дома!$E$137+0.5,0,дома!E207+0.05+дома!$C$136),0))</f>
        <v>0</v>
      </c>
      <c r="F208" s="537" t="n">
        <f aca="false">IF(E208&lt;($E$133+0.5),1,0)*$D$141*IF('Ввод данных'!$A$19=связи1!$A$128,2,2)*IF('Ввод данных'!$F$237=связи1!$A$2,1,0)</f>
        <v>0</v>
      </c>
      <c r="G208" s="933" t="n">
        <f aca="false">C208*D208*E208*F208</f>
        <v>0</v>
      </c>
      <c r="H208" s="933"/>
      <c r="I208" s="933"/>
      <c r="J208" s="933"/>
      <c r="K208" s="933"/>
      <c r="L208" s="933"/>
      <c r="M208" s="933"/>
      <c r="N208" s="933"/>
      <c r="O208" s="933"/>
      <c r="P208" s="1290"/>
      <c r="Q208" s="1290"/>
      <c r="R208" s="1290"/>
      <c r="S208" s="933"/>
      <c r="T208" s="933"/>
      <c r="U208" s="1329"/>
      <c r="V208" s="933"/>
      <c r="W208" s="933"/>
      <c r="X208" s="933"/>
      <c r="Y208" s="1290"/>
      <c r="Z208" s="933"/>
      <c r="AA208" s="933"/>
      <c r="AD208" s="1290"/>
    </row>
    <row r="209" customFormat="false" ht="15.75" hidden="false" customHeight="true" outlineLevel="1" collapsed="false">
      <c r="A209" s="933" t="s">
        <v>3047</v>
      </c>
      <c r="B209" s="1269" t="s">
        <v>156</v>
      </c>
      <c r="C209" s="887" t="n">
        <f aca="false">$C$143</f>
        <v>0.15</v>
      </c>
      <c r="D209" s="933" t="n">
        <f aca="false">$D$143</f>
        <v>0.05</v>
      </c>
      <c r="E209" s="933" t="n">
        <f aca="false">IF('Ввод данных'!$A$6=связи1!$A$94,IF(дома!E208+0.05-дома!$C$136&lt;0,0,дома!E208+0.05-дома!$C$136),0)+IF(E208=0,0,IF('Ввод данных'!$A$6=связи1!$A$97,IF(дома!E208+0.05+дома!$C$136&gt;дома!$E$137+0.5,0,дома!E208+0.05+дома!$C$136),0))</f>
        <v>0</v>
      </c>
      <c r="F209" s="537" t="n">
        <f aca="false">IF(E209&lt;($E$133+0.5),1,0)*$D$141*IF('Ввод данных'!$A$19=связи1!$A$128,2,2)*IF('Ввод данных'!$F$237=связи1!$A$2,1,0)</f>
        <v>0</v>
      </c>
      <c r="G209" s="933" t="n">
        <f aca="false">C209*D209*E209*F209</f>
        <v>0</v>
      </c>
      <c r="H209" s="933"/>
      <c r="I209" s="933"/>
      <c r="J209" s="933"/>
      <c r="K209" s="933"/>
      <c r="L209" s="933"/>
      <c r="M209" s="933"/>
      <c r="N209" s="933"/>
      <c r="O209" s="933"/>
      <c r="P209" s="1290"/>
      <c r="Q209" s="1290"/>
      <c r="R209" s="1290"/>
      <c r="S209" s="933"/>
      <c r="T209" s="933"/>
      <c r="U209" s="1329"/>
      <c r="V209" s="933"/>
      <c r="W209" s="933"/>
      <c r="X209" s="933"/>
      <c r="Y209" s="1290"/>
      <c r="Z209" s="933"/>
      <c r="AA209" s="933"/>
      <c r="AD209" s="1290"/>
    </row>
    <row r="210" customFormat="false" ht="15.75" hidden="false" customHeight="true" outlineLevel="1" collapsed="false">
      <c r="A210" s="933" t="s">
        <v>3048</v>
      </c>
      <c r="B210" s="1269" t="s">
        <v>156</v>
      </c>
      <c r="C210" s="887" t="n">
        <f aca="false">$C$143</f>
        <v>0.15</v>
      </c>
      <c r="D210" s="933" t="n">
        <f aca="false">$D$143</f>
        <v>0.05</v>
      </c>
      <c r="E210" s="933" t="n">
        <f aca="false">IF('Ввод данных'!$A$6=связи1!$A$94,IF(дома!E209+0.05-дома!$C$136&lt;0,0,дома!E209+0.05-дома!$C$136),0)+IF(E209=0,0,IF('Ввод данных'!$A$6=связи1!$A$97,IF(дома!E209+0.05+дома!$C$136&gt;дома!$E$137+0.5,0,дома!E209+0.05+дома!$C$136),0))</f>
        <v>0</v>
      </c>
      <c r="F210" s="537" t="n">
        <f aca="false">IF(E210&lt;($E$133+0.5),1,0)*$D$141*IF('Ввод данных'!$A$19=связи1!$A$128,2,2)*IF('Ввод данных'!$F$237=связи1!$A$2,1,0)</f>
        <v>0</v>
      </c>
      <c r="G210" s="933" t="n">
        <f aca="false">C210*D210*E210*F210</f>
        <v>0</v>
      </c>
      <c r="H210" s="933"/>
      <c r="I210" s="933"/>
      <c r="J210" s="933"/>
      <c r="K210" s="933"/>
      <c r="L210" s="933"/>
      <c r="M210" s="933"/>
      <c r="N210" s="933"/>
      <c r="O210" s="933"/>
      <c r="P210" s="1290"/>
      <c r="Q210" s="1290"/>
      <c r="R210" s="1290"/>
      <c r="S210" s="933"/>
      <c r="T210" s="933"/>
      <c r="U210" s="1329"/>
      <c r="V210" s="933"/>
      <c r="W210" s="933"/>
      <c r="X210" s="933"/>
      <c r="Y210" s="1290"/>
      <c r="Z210" s="933"/>
      <c r="AA210" s="933"/>
      <c r="AD210" s="1290"/>
    </row>
    <row r="211" customFormat="false" ht="15.75" hidden="false" customHeight="true" outlineLevel="1" collapsed="false">
      <c r="A211" s="933" t="s">
        <v>3049</v>
      </c>
      <c r="B211" s="1269" t="s">
        <v>156</v>
      </c>
      <c r="C211" s="887" t="n">
        <f aca="false">$C$143</f>
        <v>0.15</v>
      </c>
      <c r="D211" s="933" t="n">
        <f aca="false">$D$143</f>
        <v>0.05</v>
      </c>
      <c r="E211" s="933" t="n">
        <f aca="false">IF('Ввод данных'!$A$6=связи1!$A$94,IF(дома!E210+0.05-дома!$C$136&lt;0,0,дома!E210+0.05-дома!$C$136),0)+IF(E210=0,0,IF('Ввод данных'!$A$6=связи1!$A$97,IF(дома!E210+0.05+дома!$C$136&gt;дома!$E$137+0.5,0,дома!E210+0.05+дома!$C$136),0))</f>
        <v>0</v>
      </c>
      <c r="F211" s="537" t="n">
        <f aca="false">IF(E211&lt;($E$133+0.5),1,0)*$D$141*IF('Ввод данных'!$A$19=связи1!$A$128,2,2)*IF('Ввод данных'!$F$237=связи1!$A$2,1,0)</f>
        <v>0</v>
      </c>
      <c r="G211" s="933" t="n">
        <f aca="false">C211*D211*E211*F211</f>
        <v>0</v>
      </c>
      <c r="H211" s="933"/>
      <c r="I211" s="933"/>
      <c r="J211" s="933"/>
      <c r="K211" s="933"/>
      <c r="L211" s="933"/>
      <c r="M211" s="933"/>
      <c r="N211" s="933"/>
      <c r="O211" s="933"/>
      <c r="P211" s="1290"/>
      <c r="Q211" s="1290"/>
      <c r="R211" s="1290"/>
      <c r="S211" s="933"/>
      <c r="T211" s="933"/>
      <c r="U211" s="1329"/>
      <c r="V211" s="933"/>
      <c r="W211" s="933"/>
      <c r="X211" s="933"/>
      <c r="Y211" s="1290"/>
      <c r="Z211" s="933"/>
      <c r="AA211" s="933"/>
      <c r="AD211" s="1290"/>
    </row>
    <row r="212" customFormat="false" ht="15.75" hidden="false" customHeight="true" outlineLevel="1" collapsed="false">
      <c r="A212" s="933" t="s">
        <v>3050</v>
      </c>
      <c r="B212" s="1269" t="s">
        <v>156</v>
      </c>
      <c r="C212" s="887" t="n">
        <f aca="false">$C$143</f>
        <v>0.15</v>
      </c>
      <c r="D212" s="933" t="n">
        <f aca="false">$D$143</f>
        <v>0.05</v>
      </c>
      <c r="E212" s="933" t="n">
        <f aca="false">IF('Ввод данных'!$A$6=связи1!$A$94,IF(дома!E211+0.05-дома!$C$136&lt;0,0,дома!E211+0.05-дома!$C$136),0)+IF(E211=0,0,IF('Ввод данных'!$A$6=связи1!$A$97,IF(дома!E211+0.05+дома!$C$136&gt;дома!$E$137+0.5,0,дома!E211+0.05+дома!$C$136),0))</f>
        <v>0</v>
      </c>
      <c r="F212" s="537" t="n">
        <f aca="false">IF(E212&lt;($E$133+0.5),1,0)*$D$141*IF('Ввод данных'!$A$19=связи1!$A$128,2,2)*IF('Ввод данных'!$F$237=связи1!$A$2,1,0)</f>
        <v>0</v>
      </c>
      <c r="G212" s="933" t="n">
        <f aca="false">C212*D212*E212*F212</f>
        <v>0</v>
      </c>
      <c r="H212" s="933"/>
      <c r="I212" s="933"/>
      <c r="J212" s="933"/>
      <c r="K212" s="933"/>
      <c r="L212" s="933"/>
      <c r="M212" s="933"/>
      <c r="N212" s="933"/>
      <c r="O212" s="933"/>
      <c r="P212" s="1290"/>
      <c r="Q212" s="1290"/>
      <c r="R212" s="1290"/>
      <c r="S212" s="933"/>
      <c r="T212" s="933"/>
      <c r="U212" s="1329"/>
      <c r="V212" s="933"/>
      <c r="W212" s="933"/>
      <c r="X212" s="933"/>
      <c r="Y212" s="1290"/>
      <c r="Z212" s="933"/>
      <c r="AA212" s="933"/>
      <c r="AD212" s="1290"/>
    </row>
    <row r="213" customFormat="false" ht="15.75" hidden="false" customHeight="true" outlineLevel="1" collapsed="false">
      <c r="A213" s="933" t="s">
        <v>3051</v>
      </c>
      <c r="B213" s="1269" t="s">
        <v>156</v>
      </c>
      <c r="C213" s="887" t="n">
        <f aca="false">$C$143</f>
        <v>0.15</v>
      </c>
      <c r="D213" s="933" t="n">
        <f aca="false">$D$143</f>
        <v>0.05</v>
      </c>
      <c r="E213" s="933" t="n">
        <f aca="false">IF('Ввод данных'!$A$6=связи1!$A$94,IF(дома!E212+0.05-дома!$C$136&lt;0,0,дома!E212+0.05-дома!$C$136),0)+IF(E212=0,0,IF('Ввод данных'!$A$6=связи1!$A$97,IF(дома!E212+0.05+дома!$C$136&gt;дома!$E$137+0.5,0,дома!E212+0.05+дома!$C$136),0))</f>
        <v>0</v>
      </c>
      <c r="F213" s="537" t="n">
        <f aca="false">IF(E213&lt;($E$133+0.5),1,0)*$D$141*IF('Ввод данных'!$A$19=связи1!$A$128,2,2)*IF('Ввод данных'!$F$237=связи1!$A$2,1,0)</f>
        <v>0</v>
      </c>
      <c r="G213" s="933" t="n">
        <f aca="false">C213*D213*E213*F213</f>
        <v>0</v>
      </c>
      <c r="H213" s="933"/>
      <c r="I213" s="933"/>
      <c r="J213" s="933"/>
      <c r="K213" s="933"/>
      <c r="L213" s="933"/>
      <c r="M213" s="933"/>
      <c r="N213" s="933"/>
      <c r="O213" s="933"/>
      <c r="P213" s="1290"/>
      <c r="Q213" s="1290"/>
      <c r="R213" s="1290"/>
      <c r="S213" s="933"/>
      <c r="T213" s="933"/>
      <c r="U213" s="1329"/>
      <c r="V213" s="933"/>
      <c r="W213" s="933"/>
      <c r="X213" s="933"/>
      <c r="Y213" s="1290"/>
      <c r="Z213" s="933"/>
      <c r="AA213" s="933"/>
      <c r="AD213" s="1290"/>
    </row>
    <row r="214" customFormat="false" ht="15.75" hidden="false" customHeight="true" outlineLevel="1" collapsed="false">
      <c r="A214" s="933" t="s">
        <v>3052</v>
      </c>
      <c r="B214" s="1269" t="s">
        <v>156</v>
      </c>
      <c r="C214" s="887" t="n">
        <f aca="false">$C$143</f>
        <v>0.15</v>
      </c>
      <c r="D214" s="933" t="n">
        <f aca="false">$D$143</f>
        <v>0.05</v>
      </c>
      <c r="E214" s="933" t="n">
        <f aca="false">C134*1.05*D141</f>
        <v>7.42462120245875</v>
      </c>
      <c r="F214" s="537" t="n">
        <f aca="false">IF(E214&lt;($E$133+0.5),1,0)*$D$141*IF('Ввод данных'!$A$19=связи1!$A$128,2,2)*IF('Ввод данных'!$F$237=связи1!$A$2,1,0)</f>
        <v>0</v>
      </c>
      <c r="G214" s="933" t="n">
        <f aca="false">C214*D214*E214*F214</f>
        <v>0</v>
      </c>
      <c r="H214" s="933"/>
      <c r="I214" s="933"/>
      <c r="J214" s="933"/>
      <c r="K214" s="933"/>
      <c r="L214" s="933"/>
      <c r="M214" s="933"/>
      <c r="N214" s="933"/>
      <c r="O214" s="933"/>
      <c r="P214" s="1290"/>
      <c r="Q214" s="1290"/>
      <c r="R214" s="1290"/>
      <c r="S214" s="933"/>
      <c r="T214" s="933"/>
      <c r="U214" s="1329"/>
      <c r="V214" s="933"/>
      <c r="W214" s="933"/>
      <c r="X214" s="933"/>
      <c r="Y214" s="1290"/>
      <c r="Z214" s="933"/>
      <c r="AA214" s="933"/>
      <c r="AD214" s="1290"/>
    </row>
    <row r="215" customFormat="false" ht="15.75" hidden="false" customHeight="true" outlineLevel="1" collapsed="false">
      <c r="A215" s="933" t="s">
        <v>3053</v>
      </c>
      <c r="B215" s="1269" t="s">
        <v>156</v>
      </c>
      <c r="C215" s="887" t="n">
        <f aca="false">$C$143</f>
        <v>0.15</v>
      </c>
      <c r="D215" s="933" t="n">
        <f aca="false">$D$143</f>
        <v>0.05</v>
      </c>
      <c r="E215" s="933" t="n">
        <f aca="false">C133*D141</f>
        <v>5</v>
      </c>
      <c r="F215" s="537" t="n">
        <f aca="false">IF(E215&lt;($E$133+0.5),1,0)*$D$141*IF('Ввод данных'!$A$19=связи1!$A$128,2,2)*IF('Ввод данных'!$F$237=связи1!$A$2,1,0)</f>
        <v>0</v>
      </c>
      <c r="G215" s="933" t="n">
        <f aca="false">C215*D215*E215*F215</f>
        <v>0</v>
      </c>
      <c r="H215" s="933"/>
      <c r="I215" s="933"/>
      <c r="J215" s="933"/>
      <c r="K215" s="933"/>
      <c r="L215" s="933"/>
      <c r="M215" s="933"/>
      <c r="N215" s="933"/>
      <c r="O215" s="933"/>
      <c r="P215" s="1290"/>
      <c r="Q215" s="1290"/>
      <c r="R215" s="1290"/>
      <c r="S215" s="933"/>
      <c r="T215" s="933"/>
      <c r="U215" s="1329"/>
      <c r="V215" s="933"/>
      <c r="W215" s="933"/>
      <c r="X215" s="933"/>
      <c r="Y215" s="1290"/>
      <c r="Z215" s="933"/>
      <c r="AA215" s="933"/>
      <c r="AD215" s="1290"/>
    </row>
    <row r="216" customFormat="false" ht="15.75" hidden="false" customHeight="true" outlineLevel="1" collapsed="false">
      <c r="A216" s="933" t="s">
        <v>3054</v>
      </c>
      <c r="B216" s="1269" t="s">
        <v>156</v>
      </c>
      <c r="C216" s="887" t="n">
        <f aca="false">$C$143</f>
        <v>0.15</v>
      </c>
      <c r="D216" s="933" t="n">
        <f aca="false">$D$143</f>
        <v>0.05</v>
      </c>
      <c r="E216" s="933" t="n">
        <f aca="false">E214*D141</f>
        <v>7.42462120245875</v>
      </c>
      <c r="F216" s="537" t="n">
        <f aca="false">IF(E216&lt;($E$133+0.5),1,0)*$D$141*IF('Ввод данных'!$A$19=связи1!$A$128,2,2)*IF('Ввод данных'!$F$237=связи1!$A$2,1,0)</f>
        <v>0</v>
      </c>
      <c r="G216" s="933" t="n">
        <f aca="false">C216*D216*E216*F216</f>
        <v>0</v>
      </c>
      <c r="H216" s="933"/>
      <c r="I216" s="933"/>
      <c r="J216" s="933"/>
      <c r="K216" s="933"/>
      <c r="L216" s="933"/>
      <c r="M216" s="933"/>
      <c r="N216" s="933"/>
      <c r="O216" s="933"/>
      <c r="P216" s="1290"/>
      <c r="Q216" s="1290"/>
      <c r="R216" s="1290"/>
      <c r="S216" s="933"/>
      <c r="T216" s="933"/>
      <c r="U216" s="1329"/>
      <c r="V216" s="933"/>
      <c r="W216" s="933"/>
      <c r="X216" s="933"/>
      <c r="Y216" s="1290"/>
      <c r="Z216" s="933"/>
      <c r="AA216" s="933"/>
      <c r="AD216" s="1290"/>
    </row>
    <row r="217" customFormat="false" ht="15.75" hidden="false" customHeight="true" outlineLevel="1" collapsed="false">
      <c r="A217" s="933" t="s">
        <v>3055</v>
      </c>
      <c r="B217" s="1269" t="s">
        <v>156</v>
      </c>
      <c r="C217" s="887" t="n">
        <f aca="false">$C$143</f>
        <v>0.15</v>
      </c>
      <c r="D217" s="933" t="n">
        <f aca="false">$D$143</f>
        <v>0.05</v>
      </c>
      <c r="E217" s="1023" t="n">
        <f aca="false">IF('Ввод данных'!A6=связи1!A94,E133-C125+0.1,0)+IF('Ввод данных'!A6=связи1!A97,C125,0)</f>
        <v>8.1</v>
      </c>
      <c r="F217" s="537" t="n">
        <f aca="false">IF(E217&lt;($E$133+0.5),1,0)*$D$141*IF('Ввод данных'!$A$19=связи1!$A$128,2,2)*IF('Ввод данных'!$F$237=связи1!$A$2,1,0)</f>
        <v>0</v>
      </c>
      <c r="G217" s="933" t="n">
        <f aca="false">C217*D217*E217*F217</f>
        <v>0</v>
      </c>
      <c r="H217" s="933"/>
      <c r="I217" s="933"/>
      <c r="J217" s="933"/>
      <c r="K217" s="933"/>
      <c r="L217" s="933"/>
      <c r="M217" s="933"/>
      <c r="N217" s="933"/>
      <c r="O217" s="933"/>
      <c r="P217" s="1290"/>
      <c r="Q217" s="1290"/>
      <c r="R217" s="1290"/>
      <c r="S217" s="933"/>
      <c r="T217" s="933"/>
      <c r="U217" s="1329"/>
      <c r="V217" s="933"/>
      <c r="W217" s="933"/>
      <c r="X217" s="933"/>
      <c r="Y217" s="1290"/>
      <c r="Z217" s="933"/>
      <c r="AA217" s="933"/>
      <c r="AD217" s="1290"/>
    </row>
    <row r="218" customFormat="false" ht="15.75" hidden="false" customHeight="true" outlineLevel="1" collapsed="false">
      <c r="A218" s="933" t="s">
        <v>3056</v>
      </c>
      <c r="B218" s="1269" t="s">
        <v>156</v>
      </c>
      <c r="C218" s="887" t="n">
        <f aca="false">$C$143</f>
        <v>0.15</v>
      </c>
      <c r="D218" s="933" t="n">
        <f aca="false">$D$143</f>
        <v>0.05</v>
      </c>
      <c r="E218" s="1023" t="n">
        <f aca="false">IF('Ввод данных'!$A$6=связи1!$A$94,IF(дома!E217+0.05-дома!$F$140&lt;0,0,дома!E217+0.05-дома!$F$140),0)+IF(E217=0,0,IF('Ввод данных'!$A$6=связи1!$A$97,IF(дома!E217+0.05+дома!$F$140&gt;дома!$E$137+0.2,0,дома!E217+0.05+дома!$F$140),0))</f>
        <v>7.26111111111111</v>
      </c>
      <c r="F218" s="537" t="n">
        <f aca="false">IF(E218&lt;($E$133+0.5),1,0)*$D$141*IF('Ввод данных'!$A$19=связи1!$A$128,2,2)*IF('Ввод данных'!$F$237=связи1!$A$2,1,0)</f>
        <v>0</v>
      </c>
      <c r="G218" s="933" t="n">
        <f aca="false">C218*D218*E218*F218</f>
        <v>0</v>
      </c>
      <c r="H218" s="933"/>
      <c r="I218" s="933"/>
      <c r="J218" s="933"/>
      <c r="K218" s="933"/>
      <c r="L218" s="933"/>
      <c r="M218" s="933"/>
      <c r="N218" s="933"/>
      <c r="O218" s="933"/>
      <c r="P218" s="1290"/>
      <c r="Q218" s="1290"/>
      <c r="R218" s="1290"/>
      <c r="S218" s="933"/>
      <c r="T218" s="933"/>
      <c r="U218" s="1329"/>
      <c r="V218" s="933"/>
      <c r="W218" s="933"/>
      <c r="X218" s="933"/>
      <c r="Y218" s="1290"/>
      <c r="Z218" s="933"/>
      <c r="AA218" s="933"/>
      <c r="AD218" s="1290"/>
    </row>
    <row r="219" customFormat="false" ht="15.75" hidden="false" customHeight="true" outlineLevel="1" collapsed="false">
      <c r="A219" s="933" t="s">
        <v>3057</v>
      </c>
      <c r="B219" s="1269" t="s">
        <v>156</v>
      </c>
      <c r="C219" s="887" t="n">
        <f aca="false">$C$143</f>
        <v>0.15</v>
      </c>
      <c r="D219" s="933" t="n">
        <f aca="false">$D$143</f>
        <v>0.05</v>
      </c>
      <c r="E219" s="1023" t="n">
        <f aca="false">IF('Ввод данных'!$A$6=связи1!$A$94,IF(дома!E218+0.05-дома!$F$140&lt;0,0,дома!E218+0.05-дома!$F$140),0)+IF(E218=0,0,IF('Ввод данных'!$A$6=связи1!$A$97,IF(дома!E218+0.05+дома!$F$140&gt;дома!$E$137+0.2,0,дома!E218+0.05+дома!$F$140),0))</f>
        <v>6.42222222222222</v>
      </c>
      <c r="F219" s="537" t="n">
        <f aca="false">IF(E219&lt;($E$133+0.5),1,0)*$D$141*IF('Ввод данных'!$A$19=связи1!$A$128,2,2)*IF('Ввод данных'!$F$237=связи1!$A$2,1,0)</f>
        <v>0</v>
      </c>
      <c r="G219" s="933" t="n">
        <f aca="false">C219*D219*E219*F219</f>
        <v>0</v>
      </c>
      <c r="H219" s="933"/>
      <c r="I219" s="933"/>
      <c r="J219" s="933"/>
      <c r="K219" s="933"/>
      <c r="L219" s="933"/>
      <c r="M219" s="933"/>
      <c r="N219" s="933"/>
      <c r="O219" s="933"/>
      <c r="P219" s="1290"/>
      <c r="Q219" s="1290"/>
      <c r="R219" s="1290"/>
      <c r="S219" s="933"/>
      <c r="T219" s="933"/>
      <c r="U219" s="1329"/>
      <c r="V219" s="933"/>
      <c r="W219" s="933"/>
      <c r="X219" s="933"/>
      <c r="Y219" s="1290"/>
      <c r="Z219" s="933"/>
      <c r="AA219" s="933"/>
      <c r="AD219" s="1290"/>
    </row>
    <row r="220" customFormat="false" ht="15.75" hidden="false" customHeight="true" outlineLevel="1" collapsed="false">
      <c r="A220" s="933" t="s">
        <v>3058</v>
      </c>
      <c r="B220" s="1269" t="s">
        <v>156</v>
      </c>
      <c r="C220" s="887" t="n">
        <f aca="false">$C$143</f>
        <v>0.15</v>
      </c>
      <c r="D220" s="933" t="n">
        <f aca="false">$D$143</f>
        <v>0.05</v>
      </c>
      <c r="E220" s="1023" t="n">
        <f aca="false">IF('Ввод данных'!$A$6=связи1!$A$94,IF(дома!E219+0.05-дома!$F$140&lt;0,0,дома!E219+0.05-дома!$F$140),0)+IF(E219=0,0,IF('Ввод данных'!$A$6=связи1!$A$97,IF(дома!E219+0.05+дома!$F$140&gt;дома!$E$137+0.2,0,дома!E219+0.05+дома!$F$140),0))</f>
        <v>5.58333333333333</v>
      </c>
      <c r="F220" s="537" t="n">
        <f aca="false">IF(E220&lt;($E$133+0.5),1,0)*$D$141*IF('Ввод данных'!$A$19=связи1!$A$128,2,2)*IF('Ввод данных'!$F$237=связи1!$A$2,1,0)</f>
        <v>0</v>
      </c>
      <c r="G220" s="933" t="n">
        <f aca="false">C220*D220*E220*F220</f>
        <v>0</v>
      </c>
      <c r="H220" s="933"/>
      <c r="I220" s="933"/>
      <c r="J220" s="933"/>
      <c r="K220" s="933"/>
      <c r="L220" s="933"/>
      <c r="M220" s="933"/>
      <c r="N220" s="933"/>
      <c r="O220" s="933"/>
      <c r="P220" s="1290"/>
      <c r="Q220" s="1290"/>
      <c r="R220" s="1290"/>
      <c r="S220" s="933"/>
      <c r="T220" s="933"/>
      <c r="U220" s="1329"/>
      <c r="V220" s="933"/>
      <c r="W220" s="933"/>
      <c r="X220" s="933"/>
      <c r="Y220" s="1290"/>
      <c r="Z220" s="933"/>
      <c r="AA220" s="933"/>
      <c r="AD220" s="1290"/>
    </row>
    <row r="221" customFormat="false" ht="15.75" hidden="false" customHeight="true" outlineLevel="1" collapsed="false">
      <c r="A221" s="933" t="s">
        <v>3059</v>
      </c>
      <c r="B221" s="1269" t="s">
        <v>156</v>
      </c>
      <c r="C221" s="887" t="n">
        <f aca="false">$C$143</f>
        <v>0.15</v>
      </c>
      <c r="D221" s="933" t="n">
        <f aca="false">$D$143</f>
        <v>0.05</v>
      </c>
      <c r="E221" s="1023" t="n">
        <f aca="false">IF('Ввод данных'!$A$6=связи1!$A$94,IF(дома!E220+0.05-дома!$F$140&lt;0,0,дома!E220+0.05-дома!$F$140),0)+IF(E220=0,0,IF('Ввод данных'!$A$6=связи1!$A$97,IF(дома!E220+0.05+дома!$F$140&gt;дома!$E$137+0.2,0,дома!E220+0.05+дома!$F$140),0))</f>
        <v>4.74444444444445</v>
      </c>
      <c r="F221" s="537" t="n">
        <f aca="false">IF(E221&lt;($E$133+0.5),1,0)*$D$141*IF('Ввод данных'!$A$19=связи1!$A$128,2,2)*IF('Ввод данных'!$F$237=связи1!$A$2,1,0)</f>
        <v>0</v>
      </c>
      <c r="G221" s="933" t="n">
        <f aca="false">C221*D221*E221*F221</f>
        <v>0</v>
      </c>
      <c r="H221" s="933"/>
      <c r="I221" s="933"/>
      <c r="J221" s="933"/>
      <c r="K221" s="933"/>
      <c r="L221" s="933"/>
      <c r="M221" s="933"/>
      <c r="N221" s="933"/>
      <c r="O221" s="933"/>
      <c r="P221" s="1290"/>
      <c r="Q221" s="1290"/>
      <c r="R221" s="1290"/>
      <c r="S221" s="933"/>
      <c r="T221" s="933"/>
      <c r="U221" s="1329"/>
      <c r="V221" s="933"/>
      <c r="W221" s="933"/>
      <c r="X221" s="933"/>
      <c r="Y221" s="1290"/>
      <c r="Z221" s="933"/>
      <c r="AA221" s="933"/>
      <c r="AD221" s="1290"/>
    </row>
    <row r="222" customFormat="false" ht="15.75" hidden="false" customHeight="true" outlineLevel="1" collapsed="false">
      <c r="A222" s="933" t="s">
        <v>3060</v>
      </c>
      <c r="B222" s="1269" t="s">
        <v>156</v>
      </c>
      <c r="C222" s="887" t="n">
        <f aca="false">$C$143</f>
        <v>0.15</v>
      </c>
      <c r="D222" s="933" t="n">
        <f aca="false">$D$143</f>
        <v>0.05</v>
      </c>
      <c r="E222" s="1023" t="n">
        <f aca="false">IF('Ввод данных'!$A$6=связи1!$A$94,IF(дома!E221+0.05-дома!$F$140&lt;0,0,дома!E221+0.05-дома!$F$140),0)+IF(E221=0,0,IF('Ввод данных'!$A$6=связи1!$A$97,IF(дома!E221+0.05+дома!$F$140&gt;дома!$E$137+0.2,0,дома!E221+0.05+дома!$F$140),0))</f>
        <v>3.90555555555556</v>
      </c>
      <c r="F222" s="537" t="n">
        <f aca="false">IF(E222&lt;($E$133+0.5),1,0)*$D$141*IF('Ввод данных'!$A$19=связи1!$A$128,2,2)*IF('Ввод данных'!$F$237=связи1!$A$2,1,0)</f>
        <v>0</v>
      </c>
      <c r="G222" s="933" t="n">
        <f aca="false">C222*D222*E222*F222</f>
        <v>0</v>
      </c>
      <c r="H222" s="933"/>
      <c r="I222" s="933"/>
      <c r="J222" s="933"/>
      <c r="K222" s="933"/>
      <c r="L222" s="933"/>
      <c r="M222" s="933"/>
      <c r="N222" s="933"/>
      <c r="O222" s="933"/>
      <c r="P222" s="1290"/>
      <c r="Q222" s="1290"/>
      <c r="R222" s="1290"/>
      <c r="S222" s="933"/>
      <c r="T222" s="933"/>
      <c r="U222" s="1329"/>
      <c r="V222" s="933"/>
      <c r="W222" s="933"/>
      <c r="X222" s="933"/>
      <c r="Y222" s="1290"/>
      <c r="Z222" s="933"/>
      <c r="AA222" s="933"/>
      <c r="AD222" s="1290"/>
    </row>
    <row r="223" customFormat="false" ht="15.75" hidden="false" customHeight="true" outlineLevel="1" collapsed="false">
      <c r="A223" s="933" t="s">
        <v>3061</v>
      </c>
      <c r="B223" s="1269" t="s">
        <v>156</v>
      </c>
      <c r="C223" s="887" t="n">
        <f aca="false">$C$143</f>
        <v>0.15</v>
      </c>
      <c r="D223" s="933" t="n">
        <f aca="false">$D$143</f>
        <v>0.05</v>
      </c>
      <c r="E223" s="1023" t="n">
        <f aca="false">IF('Ввод данных'!$A$6=связи1!$A$94,IF(дома!E222+0.05-дома!$F$140&lt;0,0,дома!E222+0.05-дома!$F$140),0)+IF(E222=0,0,IF('Ввод данных'!$A$6=связи1!$A$97,IF(дома!E222+0.05+дома!$F$140&gt;дома!$E$137+0.2,0,дома!E222+0.05+дома!$F$140),0))</f>
        <v>3.06666666666667</v>
      </c>
      <c r="F223" s="537" t="n">
        <f aca="false">IF(E223&lt;($E$133+0.5),1,0)*$D$141*IF('Ввод данных'!$A$19=связи1!$A$128,2,2)*IF('Ввод данных'!$F$237=связи1!$A$2,1,0)</f>
        <v>0</v>
      </c>
      <c r="G223" s="933" t="n">
        <f aca="false">C223*D223*E223*F223</f>
        <v>0</v>
      </c>
      <c r="H223" s="933"/>
      <c r="I223" s="933"/>
      <c r="J223" s="933"/>
      <c r="K223" s="933"/>
      <c r="L223" s="933"/>
      <c r="M223" s="933"/>
      <c r="N223" s="933"/>
      <c r="O223" s="933"/>
      <c r="P223" s="1290"/>
      <c r="Q223" s="1290"/>
      <c r="R223" s="1290"/>
      <c r="S223" s="933"/>
      <c r="T223" s="933"/>
      <c r="U223" s="1329"/>
      <c r="V223" s="933"/>
      <c r="W223" s="933"/>
      <c r="X223" s="933"/>
      <c r="Y223" s="1290"/>
      <c r="Z223" s="933"/>
      <c r="AA223" s="933"/>
      <c r="AD223" s="1290"/>
    </row>
    <row r="224" customFormat="false" ht="15.75" hidden="false" customHeight="true" outlineLevel="1" collapsed="false">
      <c r="A224" s="933" t="s">
        <v>3062</v>
      </c>
      <c r="B224" s="1269" t="s">
        <v>156</v>
      </c>
      <c r="C224" s="887" t="n">
        <f aca="false">$C$143</f>
        <v>0.15</v>
      </c>
      <c r="D224" s="933" t="n">
        <f aca="false">$D$143</f>
        <v>0.05</v>
      </c>
      <c r="E224" s="1023" t="n">
        <f aca="false">IF('Ввод данных'!$A$6=связи1!$A$94,IF(дома!E223+0.05-дома!$F$140&lt;0,0,дома!E223+0.05-дома!$F$140),0)+IF(E223=0,0,IF('Ввод данных'!$A$6=связи1!$A$97,IF(дома!E223+0.05+дома!$F$140&gt;дома!$E$137+0.2,0,дома!E223+0.05+дома!$F$140),0))</f>
        <v>2.22777777777778</v>
      </c>
      <c r="F224" s="537" t="n">
        <f aca="false">IF(E224&lt;($E$133+0.5),1,0)*$D$141*IF('Ввод данных'!$A$19=связи1!$A$128,2,2)*IF('Ввод данных'!$F$237=связи1!$A$2,1,0)</f>
        <v>0</v>
      </c>
      <c r="G224" s="933" t="n">
        <f aca="false">C224*D224*E224*F224</f>
        <v>0</v>
      </c>
      <c r="H224" s="933"/>
      <c r="I224" s="933"/>
      <c r="J224" s="933"/>
      <c r="K224" s="933"/>
      <c r="L224" s="933"/>
      <c r="M224" s="933"/>
      <c r="N224" s="933"/>
      <c r="O224" s="933"/>
      <c r="P224" s="1290"/>
      <c r="Q224" s="1290"/>
      <c r="R224" s="1290"/>
      <c r="S224" s="933"/>
      <c r="T224" s="933"/>
      <c r="U224" s="1329"/>
      <c r="V224" s="933"/>
      <c r="W224" s="933"/>
      <c r="X224" s="933"/>
      <c r="Y224" s="1290"/>
      <c r="Z224" s="933"/>
      <c r="AA224" s="933"/>
      <c r="AD224" s="1290"/>
    </row>
    <row r="225" customFormat="false" ht="15.75" hidden="false" customHeight="true" outlineLevel="1" collapsed="false">
      <c r="A225" s="933" t="s">
        <v>3063</v>
      </c>
      <c r="B225" s="1269" t="s">
        <v>156</v>
      </c>
      <c r="C225" s="887" t="n">
        <f aca="false">$C$143</f>
        <v>0.15</v>
      </c>
      <c r="D225" s="933" t="n">
        <f aca="false">$D$143</f>
        <v>0.05</v>
      </c>
      <c r="E225" s="1023" t="n">
        <f aca="false">IF('Ввод данных'!$A$6=связи1!$A$94,IF(дома!E224+0.05-дома!$F$140&lt;0,0,дома!E224+0.05-дома!$F$140),0)+IF(E224=0,0,IF('Ввод данных'!$A$6=связи1!$A$97,IF(дома!E224+0.05+дома!$F$140&gt;дома!$E$137+0.2,0,дома!E224+0.05+дома!$F$140),0))</f>
        <v>1.38888888888889</v>
      </c>
      <c r="F225" s="537" t="n">
        <f aca="false">IF(E225&lt;($E$133+0.5),1,0)*$D$141*IF('Ввод данных'!$A$19=связи1!$A$128,2,2)*IF('Ввод данных'!$F$237=связи1!$A$2,1,0)</f>
        <v>0</v>
      </c>
      <c r="G225" s="933" t="n">
        <f aca="false">C225*D225*E225*F225</f>
        <v>0</v>
      </c>
      <c r="H225" s="933"/>
      <c r="I225" s="933"/>
      <c r="J225" s="933"/>
      <c r="K225" s="933"/>
      <c r="L225" s="933"/>
      <c r="M225" s="933"/>
      <c r="N225" s="933"/>
      <c r="O225" s="933"/>
      <c r="P225" s="1290"/>
      <c r="Q225" s="1290"/>
      <c r="R225" s="1290"/>
      <c r="S225" s="933"/>
      <c r="T225" s="933"/>
      <c r="U225" s="1329"/>
      <c r="V225" s="933"/>
      <c r="W225" s="933"/>
      <c r="X225" s="933"/>
      <c r="Y225" s="1290"/>
      <c r="Z225" s="933"/>
      <c r="AA225" s="933"/>
      <c r="AD225" s="1290"/>
    </row>
    <row r="226" customFormat="false" ht="15.75" hidden="false" customHeight="true" outlineLevel="1" collapsed="false">
      <c r="A226" s="933" t="s">
        <v>3064</v>
      </c>
      <c r="B226" s="1269" t="s">
        <v>156</v>
      </c>
      <c r="C226" s="887" t="n">
        <f aca="false">$C$143</f>
        <v>0.15</v>
      </c>
      <c r="D226" s="933" t="n">
        <f aca="false">$D$143</f>
        <v>0.05</v>
      </c>
      <c r="E226" s="1023" t="n">
        <f aca="false">IF('Ввод данных'!$A$6=связи1!$A$94,IF(дома!E225+0.05-дома!$F$140&lt;0,0,дома!E225+0.05-дома!$F$140),0)+IF(E225=0,0,IF('Ввод данных'!$A$6=связи1!$A$97,IF(дома!E225+0.05+дома!$F$140&gt;дома!$E$137+0.2,0,дома!E225+0.05+дома!$F$140),0))</f>
        <v>0.55</v>
      </c>
      <c r="F226" s="537" t="n">
        <f aca="false">IF(E226&lt;($E$133+0.5),1,0)*$D$141*IF('Ввод данных'!$A$19=связи1!$A$128,2,2)*IF('Ввод данных'!$F$237=связи1!$A$2,1,0)</f>
        <v>0</v>
      </c>
      <c r="G226" s="933" t="n">
        <f aca="false">C226*D226*E226*F226</f>
        <v>0</v>
      </c>
      <c r="H226" s="933"/>
      <c r="I226" s="933"/>
      <c r="J226" s="933"/>
      <c r="K226" s="933"/>
      <c r="L226" s="933"/>
      <c r="M226" s="933"/>
      <c r="N226" s="933"/>
      <c r="O226" s="933"/>
      <c r="P226" s="1290"/>
      <c r="Q226" s="1290"/>
      <c r="R226" s="1290"/>
      <c r="S226" s="933"/>
      <c r="T226" s="933"/>
      <c r="U226" s="1329"/>
      <c r="V226" s="933"/>
      <c r="W226" s="933"/>
      <c r="X226" s="933"/>
      <c r="Y226" s="1290"/>
      <c r="Z226" s="933"/>
      <c r="AA226" s="933"/>
      <c r="AD226" s="1290"/>
    </row>
    <row r="227" customFormat="false" ht="15.75" hidden="false" customHeight="true" outlineLevel="1" collapsed="false">
      <c r="A227" s="933" t="s">
        <v>3065</v>
      </c>
      <c r="B227" s="1269" t="s">
        <v>156</v>
      </c>
      <c r="C227" s="887" t="n">
        <f aca="false">$C$143</f>
        <v>0.15</v>
      </c>
      <c r="D227" s="933" t="n">
        <f aca="false">$D$143</f>
        <v>0.05</v>
      </c>
      <c r="E227" s="1023" t="n">
        <f aca="false">IF('Ввод данных'!$A$6=связи1!$A$94,IF(дома!E226+0.05-дома!$F$140&lt;0,0,дома!E226+0.05-дома!$F$140),0)+IF(E226=0,0,IF('Ввод данных'!$A$6=связи1!$A$97,IF(дома!E226+0.05+дома!$F$140&gt;дома!$E$137+0.2,0,дома!E226+0.05+дома!$F$140),0))</f>
        <v>0</v>
      </c>
      <c r="F227" s="537" t="n">
        <f aca="false">IF(E227&lt;($E$133+0.5),1,0)*$D$141*IF('Ввод данных'!$A$19=связи1!$A$128,2,2)*IF('Ввод данных'!$F$237=связи1!$A$2,1,0)</f>
        <v>0</v>
      </c>
      <c r="G227" s="933" t="n">
        <f aca="false">C227*D227*E227*F227</f>
        <v>0</v>
      </c>
      <c r="H227" s="933"/>
      <c r="I227" s="933"/>
      <c r="J227" s="933"/>
      <c r="K227" s="933"/>
      <c r="L227" s="933"/>
      <c r="M227" s="933"/>
      <c r="N227" s="933"/>
      <c r="O227" s="933"/>
      <c r="P227" s="1290"/>
      <c r="Q227" s="1290"/>
      <c r="R227" s="1290"/>
      <c r="S227" s="933"/>
      <c r="T227" s="933"/>
      <c r="U227" s="1329"/>
      <c r="V227" s="933"/>
      <c r="W227" s="933"/>
      <c r="X227" s="933"/>
      <c r="Y227" s="1290"/>
      <c r="Z227" s="933"/>
      <c r="AA227" s="933"/>
      <c r="AD227" s="1290"/>
    </row>
    <row r="228" customFormat="false" ht="15.75" hidden="false" customHeight="true" outlineLevel="1" collapsed="false">
      <c r="A228" s="933" t="s">
        <v>3066</v>
      </c>
      <c r="B228" s="1269" t="s">
        <v>156</v>
      </c>
      <c r="C228" s="887" t="n">
        <f aca="false">$C$143</f>
        <v>0.15</v>
      </c>
      <c r="D228" s="933" t="n">
        <f aca="false">$D$143</f>
        <v>0.05</v>
      </c>
      <c r="E228" s="1023" t="n">
        <f aca="false">IF('Ввод данных'!$A$6=связи1!$A$94,IF(дома!E227+0.05-дома!$F$140&lt;0,0,дома!E227+0.05-дома!$F$140),0)+IF(E227=0,0,IF('Ввод данных'!$A$6=связи1!$A$97,IF(дома!E227+0.05+дома!$F$140&gt;дома!$E$137+0.2,0,дома!E227+0.05+дома!$F$140),0))</f>
        <v>0</v>
      </c>
      <c r="F228" s="537" t="n">
        <f aca="false">IF(E228&lt;($E$133+0.5),1,0)*$D$141*IF('Ввод данных'!$A$19=связи1!$A$128,2,2)*IF('Ввод данных'!$F$237=связи1!$A$2,1,0)</f>
        <v>0</v>
      </c>
      <c r="G228" s="933" t="n">
        <f aca="false">C228*D228*E228*F228</f>
        <v>0</v>
      </c>
      <c r="H228" s="933"/>
      <c r="I228" s="933"/>
      <c r="J228" s="933"/>
      <c r="K228" s="933"/>
      <c r="L228" s="933"/>
      <c r="M228" s="933"/>
      <c r="N228" s="933"/>
      <c r="O228" s="933"/>
      <c r="P228" s="1290"/>
      <c r="Q228" s="1290"/>
      <c r="R228" s="1290"/>
      <c r="S228" s="933"/>
      <c r="T228" s="933"/>
      <c r="U228" s="1329"/>
      <c r="V228" s="933"/>
      <c r="W228" s="933"/>
      <c r="X228" s="933"/>
      <c r="Y228" s="1290"/>
      <c r="Z228" s="933"/>
      <c r="AA228" s="933"/>
      <c r="AD228" s="1290"/>
    </row>
    <row r="229" customFormat="false" ht="15.75" hidden="false" customHeight="true" outlineLevel="1" collapsed="false">
      <c r="A229" s="933" t="s">
        <v>3067</v>
      </c>
      <c r="B229" s="1269" t="s">
        <v>156</v>
      </c>
      <c r="C229" s="887" t="n">
        <f aca="false">$C$143</f>
        <v>0.15</v>
      </c>
      <c r="D229" s="933" t="n">
        <f aca="false">$D$143</f>
        <v>0.05</v>
      </c>
      <c r="E229" s="1023" t="n">
        <f aca="false">IF('Ввод данных'!$A$6=связи1!$A$94,IF(дома!E228+0.05-дома!$F$140&lt;0,0,дома!E228+0.05-дома!$F$140),0)+IF(E228=0,0,IF('Ввод данных'!$A$6=связи1!$A$97,IF(дома!E228+0.05+дома!$F$140&gt;дома!$E$137+0.2,0,дома!E228+0.05+дома!$F$140),0))</f>
        <v>0</v>
      </c>
      <c r="F229" s="537" t="n">
        <f aca="false">IF(E229&lt;($E$133+0.5),1,0)*$D$141*IF('Ввод данных'!$A$19=связи1!$A$128,2,2)*IF('Ввод данных'!$F$237=связи1!$A$2,1,0)</f>
        <v>0</v>
      </c>
      <c r="G229" s="933" t="n">
        <f aca="false">C229*D229*E229*F229</f>
        <v>0</v>
      </c>
      <c r="H229" s="933"/>
      <c r="I229" s="933"/>
      <c r="J229" s="933"/>
      <c r="K229" s="933"/>
      <c r="L229" s="933"/>
      <c r="M229" s="933"/>
      <c r="N229" s="933"/>
      <c r="O229" s="933"/>
      <c r="P229" s="1290"/>
      <c r="Q229" s="1290"/>
      <c r="R229" s="1290"/>
      <c r="S229" s="933"/>
      <c r="T229" s="933"/>
      <c r="U229" s="1329"/>
      <c r="V229" s="933"/>
      <c r="W229" s="933"/>
      <c r="X229" s="933"/>
      <c r="Y229" s="1290"/>
      <c r="Z229" s="933"/>
      <c r="AA229" s="933"/>
      <c r="AD229" s="1290"/>
    </row>
    <row r="230" customFormat="false" ht="15.75" hidden="false" customHeight="true" outlineLevel="1" collapsed="false">
      <c r="A230" s="933" t="s">
        <v>3068</v>
      </c>
      <c r="B230" s="1269" t="s">
        <v>156</v>
      </c>
      <c r="C230" s="887" t="n">
        <f aca="false">$C$143</f>
        <v>0.15</v>
      </c>
      <c r="D230" s="933" t="n">
        <f aca="false">$D$143</f>
        <v>0.05</v>
      </c>
      <c r="E230" s="1023" t="n">
        <f aca="false">IF('Ввод данных'!$A$6=связи1!$A$94,IF(дома!E229+0.05-дома!$F$140&lt;0,0,дома!E229+0.05-дома!$F$140),0)+IF(E229=0,0,IF('Ввод данных'!$A$6=связи1!$A$97,IF(дома!E229+0.05+дома!$F$140&gt;дома!$E$137+0.2,0,дома!E229+0.05+дома!$F$140),0))</f>
        <v>0</v>
      </c>
      <c r="F230" s="537" t="n">
        <f aca="false">IF(E230&lt;($E$133+0.5),1,0)*$D$141*IF('Ввод данных'!$A$19=связи1!$A$128,2,2)*IF('Ввод данных'!$F$237=связи1!$A$2,1,0)</f>
        <v>0</v>
      </c>
      <c r="G230" s="933" t="n">
        <f aca="false">C230*D230*E230*F230</f>
        <v>0</v>
      </c>
      <c r="H230" s="933"/>
      <c r="I230" s="933"/>
      <c r="J230" s="933"/>
      <c r="K230" s="933"/>
      <c r="L230" s="933"/>
      <c r="M230" s="933"/>
      <c r="N230" s="933"/>
      <c r="O230" s="933"/>
      <c r="P230" s="1290"/>
      <c r="Q230" s="1290"/>
      <c r="R230" s="1290"/>
      <c r="S230" s="933"/>
      <c r="T230" s="933"/>
      <c r="U230" s="1329"/>
      <c r="V230" s="933"/>
      <c r="W230" s="933"/>
      <c r="X230" s="933"/>
      <c r="Y230" s="1290"/>
      <c r="Z230" s="933"/>
      <c r="AA230" s="933"/>
      <c r="AD230" s="1290"/>
    </row>
    <row r="231" customFormat="false" ht="15.75" hidden="false" customHeight="true" outlineLevel="1" collapsed="false">
      <c r="A231" s="933" t="s">
        <v>3069</v>
      </c>
      <c r="B231" s="1269" t="s">
        <v>156</v>
      </c>
      <c r="C231" s="887" t="n">
        <f aca="false">$C$143</f>
        <v>0.15</v>
      </c>
      <c r="D231" s="933" t="n">
        <f aca="false">$D$143</f>
        <v>0.05</v>
      </c>
      <c r="E231" s="1023" t="n">
        <f aca="false">IF('Ввод данных'!$A$6=связи1!$A$94,IF(дома!E230+0.05-дома!$F$140&lt;0,0,дома!E230+0.05-дома!$F$140),0)+IF(E230=0,0,IF('Ввод данных'!$A$6=связи1!$A$97,IF(дома!E230+0.05+дома!$F$140&gt;дома!$E$137+0.2,0,дома!E230+0.05+дома!$F$140),0))</f>
        <v>0</v>
      </c>
      <c r="F231" s="537" t="n">
        <f aca="false">IF(E231&lt;($E$133+0.5),1,0)*$D$141*IF('Ввод данных'!$A$19=связи1!$A$128,2,2)*IF('Ввод данных'!$F$237=связи1!$A$2,1,0)</f>
        <v>0</v>
      </c>
      <c r="G231" s="933" t="n">
        <f aca="false">C231*D231*E231*F231</f>
        <v>0</v>
      </c>
      <c r="H231" s="933"/>
      <c r="I231" s="933"/>
      <c r="J231" s="933"/>
      <c r="K231" s="933"/>
      <c r="L231" s="933"/>
      <c r="M231" s="933"/>
      <c r="N231" s="933"/>
      <c r="O231" s="933"/>
      <c r="P231" s="1290"/>
      <c r="Q231" s="1290"/>
      <c r="R231" s="1290"/>
      <c r="S231" s="933"/>
      <c r="T231" s="933"/>
      <c r="U231" s="1329"/>
      <c r="V231" s="933"/>
      <c r="W231" s="933"/>
      <c r="X231" s="933"/>
      <c r="Y231" s="1290"/>
      <c r="Z231" s="933"/>
      <c r="AA231" s="933"/>
      <c r="AD231" s="1290"/>
    </row>
    <row r="232" customFormat="false" ht="15.75" hidden="false" customHeight="true" outlineLevel="1" collapsed="false">
      <c r="A232" s="933" t="s">
        <v>3070</v>
      </c>
      <c r="B232" s="1269" t="s">
        <v>156</v>
      </c>
      <c r="C232" s="887" t="n">
        <f aca="false">$C$143</f>
        <v>0.15</v>
      </c>
      <c r="D232" s="933" t="n">
        <f aca="false">$D$143</f>
        <v>0.05</v>
      </c>
      <c r="E232" s="1023" t="n">
        <f aca="false">IF('Ввод данных'!$A$6=связи1!$A$94,IF(дома!E231+0.05-дома!$F$140&lt;0,0,дома!E231+0.05-дома!$F$140),0)+IF(E231=0,0,IF('Ввод данных'!$A$6=связи1!$A$97,IF(дома!E231+0.05+дома!$F$140&gt;дома!$E$137+0.2,0,дома!E231+0.05+дома!$F$140),0))</f>
        <v>0</v>
      </c>
      <c r="F232" s="537" t="n">
        <f aca="false">IF(E232&lt;($E$133+0.5),1,0)*$D$141*IF('Ввод данных'!$A$19=связи1!$A$128,2,2)*IF('Ввод данных'!$F$237=связи1!$A$2,1,0)</f>
        <v>0</v>
      </c>
      <c r="G232" s="933" t="n">
        <f aca="false">C232*D232*E232*F232</f>
        <v>0</v>
      </c>
      <c r="H232" s="933"/>
      <c r="I232" s="933"/>
      <c r="J232" s="933"/>
      <c r="K232" s="933"/>
      <c r="L232" s="933"/>
      <c r="M232" s="933"/>
      <c r="N232" s="933"/>
      <c r="O232" s="933"/>
      <c r="P232" s="1290"/>
      <c r="Q232" s="1290"/>
      <c r="R232" s="1290"/>
      <c r="S232" s="933"/>
      <c r="T232" s="933"/>
      <c r="U232" s="1329"/>
      <c r="V232" s="933"/>
      <c r="W232" s="933"/>
      <c r="X232" s="933"/>
      <c r="Y232" s="1290"/>
      <c r="Z232" s="933"/>
      <c r="AA232" s="933"/>
      <c r="AD232" s="1290"/>
    </row>
    <row r="233" customFormat="false" ht="15.75" hidden="false" customHeight="true" outlineLevel="1" collapsed="false">
      <c r="A233" s="933" t="s">
        <v>3071</v>
      </c>
      <c r="B233" s="1269" t="s">
        <v>156</v>
      </c>
      <c r="C233" s="887" t="n">
        <f aca="false">$C$143</f>
        <v>0.15</v>
      </c>
      <c r="D233" s="933" t="n">
        <f aca="false">$D$143</f>
        <v>0.05</v>
      </c>
      <c r="E233" s="1023" t="n">
        <f aca="false">IF('Ввод данных'!$A$6=связи1!$A$94,IF(дома!E232+0.05-дома!$F$140&lt;0,0,дома!E232+0.05-дома!$F$140),0)+IF(E232=0,0,IF('Ввод данных'!$A$6=связи1!$A$97,IF(дома!E232+0.05+дома!$F$140&gt;дома!$E$137+0.2,0,дома!E232+0.05+дома!$F$140),0))</f>
        <v>0</v>
      </c>
      <c r="F233" s="537" t="n">
        <f aca="false">IF(E233&lt;($E$133+0.5),1,0)*$D$141*IF('Ввод данных'!$A$19=связи1!$A$128,2,2)*IF('Ввод данных'!$F$237=связи1!$A$2,1,0)</f>
        <v>0</v>
      </c>
      <c r="G233" s="933" t="n">
        <f aca="false">C233*D233*E233*F233</f>
        <v>0</v>
      </c>
      <c r="H233" s="933"/>
      <c r="I233" s="933"/>
      <c r="J233" s="933"/>
      <c r="K233" s="933"/>
      <c r="L233" s="933"/>
      <c r="M233" s="933"/>
      <c r="N233" s="933"/>
      <c r="O233" s="933"/>
      <c r="P233" s="1290"/>
      <c r="Q233" s="1290"/>
      <c r="R233" s="1290"/>
      <c r="S233" s="933"/>
      <c r="T233" s="933"/>
      <c r="U233" s="1329"/>
      <c r="V233" s="933"/>
      <c r="W233" s="933"/>
      <c r="X233" s="933"/>
      <c r="Y233" s="1290"/>
      <c r="Z233" s="933"/>
      <c r="AA233" s="933"/>
      <c r="AD233" s="1290"/>
    </row>
    <row r="234" customFormat="false" ht="15.75" hidden="false" customHeight="true" outlineLevel="1" collapsed="false">
      <c r="A234" s="933" t="s">
        <v>3072</v>
      </c>
      <c r="B234" s="1269" t="s">
        <v>156</v>
      </c>
      <c r="C234" s="887" t="n">
        <f aca="false">$C$143</f>
        <v>0.15</v>
      </c>
      <c r="D234" s="933" t="n">
        <f aca="false">$D$143</f>
        <v>0.05</v>
      </c>
      <c r="E234" s="1023" t="n">
        <f aca="false">IF('Ввод данных'!$A$6=связи1!$A$94,IF(дома!E233+0.05-дома!$F$140&lt;0,0,дома!E233+0.05-дома!$F$140),0)+IF(E233=0,0,IF('Ввод данных'!$A$6=связи1!$A$97,IF(дома!E233+0.05+дома!$F$140&gt;дома!$E$137+0.2,0,дома!E233+0.05+дома!$F$140),0))</f>
        <v>0</v>
      </c>
      <c r="F234" s="537" t="n">
        <f aca="false">IF(E234&lt;($E$133+0.5),1,0)*$D$141*IF('Ввод данных'!$A$19=связи1!$A$128,2,2)*IF('Ввод данных'!$F$237=связи1!$A$2,1,0)</f>
        <v>0</v>
      </c>
      <c r="G234" s="933" t="n">
        <f aca="false">C234*D234*E234*F234</f>
        <v>0</v>
      </c>
      <c r="H234" s="933"/>
      <c r="I234" s="933"/>
      <c r="J234" s="933"/>
      <c r="K234" s="933"/>
      <c r="L234" s="933"/>
      <c r="M234" s="933"/>
      <c r="N234" s="933"/>
      <c r="O234" s="933"/>
      <c r="P234" s="1290"/>
      <c r="Q234" s="1290"/>
      <c r="R234" s="1290"/>
      <c r="S234" s="933"/>
      <c r="T234" s="933"/>
      <c r="U234" s="1329"/>
      <c r="V234" s="933"/>
      <c r="W234" s="933"/>
      <c r="X234" s="933"/>
      <c r="Y234" s="1290"/>
      <c r="Z234" s="933"/>
      <c r="AA234" s="933"/>
      <c r="AD234" s="1290"/>
    </row>
    <row r="235" customFormat="false" ht="15.75" hidden="false" customHeight="true" outlineLevel="1" collapsed="false">
      <c r="A235" s="933" t="s">
        <v>3073</v>
      </c>
      <c r="B235" s="1269" t="s">
        <v>156</v>
      </c>
      <c r="C235" s="887" t="n">
        <f aca="false">$C$143</f>
        <v>0.15</v>
      </c>
      <c r="D235" s="933" t="n">
        <f aca="false">$D$143</f>
        <v>0.05</v>
      </c>
      <c r="E235" s="1023" t="n">
        <f aca="false">IF('Ввод данных'!$A$6=связи1!$A$94,IF(дома!E234+0.05-дома!$F$140&lt;0,0,дома!E234+0.05-дома!$F$140),0)+IF(E234=0,0,IF('Ввод данных'!$A$6=связи1!$A$97,IF(дома!E234+0.05+дома!$F$140&gt;дома!$E$137+0.2,0,дома!E234+0.05+дома!$F$140),0))</f>
        <v>0</v>
      </c>
      <c r="F235" s="537" t="n">
        <f aca="false">IF(E235&lt;($E$133+0.5),1,0)*$D$141*IF('Ввод данных'!$A$19=связи1!$A$128,2,2)*IF('Ввод данных'!$F$237=связи1!$A$2,1,0)</f>
        <v>0</v>
      </c>
      <c r="G235" s="933" t="n">
        <f aca="false">C235*D235*E235*F235</f>
        <v>0</v>
      </c>
      <c r="H235" s="933"/>
      <c r="I235" s="933"/>
      <c r="J235" s="933"/>
      <c r="K235" s="933"/>
      <c r="L235" s="933"/>
      <c r="M235" s="933"/>
      <c r="N235" s="933"/>
      <c r="O235" s="933"/>
      <c r="P235" s="1290"/>
      <c r="Q235" s="1290"/>
      <c r="R235" s="1290"/>
      <c r="S235" s="933"/>
      <c r="T235" s="933"/>
      <c r="U235" s="1329"/>
      <c r="V235" s="933"/>
      <c r="W235" s="933"/>
      <c r="X235" s="933"/>
      <c r="Y235" s="1290"/>
      <c r="Z235" s="933"/>
      <c r="AA235" s="933"/>
      <c r="AD235" s="1290"/>
    </row>
    <row r="236" customFormat="false" ht="15.75" hidden="false" customHeight="true" outlineLevel="1" collapsed="false">
      <c r="A236" s="933" t="s">
        <v>3074</v>
      </c>
      <c r="B236" s="1269" t="s">
        <v>156</v>
      </c>
      <c r="C236" s="887" t="n">
        <f aca="false">$C$143</f>
        <v>0.15</v>
      </c>
      <c r="D236" s="933" t="n">
        <f aca="false">$D$143</f>
        <v>0.05</v>
      </c>
      <c r="E236" s="1023" t="n">
        <f aca="false">IF('Ввод данных'!$A$6=связи1!$A$94,IF(дома!E235+0.05-дома!$F$140&lt;0,0,дома!E235+0.05-дома!$F$140),0)+IF(E235=0,0,IF('Ввод данных'!$A$6=связи1!$A$97,IF(дома!E235+0.05+дома!$F$140&gt;дома!$E$137+0.2,0,дома!E235+0.05+дома!$F$140),0))</f>
        <v>0</v>
      </c>
      <c r="F236" s="537" t="n">
        <f aca="false">IF(E236&lt;($E$133+0.5),1,0)*$D$141*IF('Ввод данных'!$A$19=связи1!$A$128,2,2)*IF('Ввод данных'!$F$237=связи1!$A$2,1,0)</f>
        <v>0</v>
      </c>
      <c r="G236" s="933" t="n">
        <f aca="false">C236*D236*E236*F236</f>
        <v>0</v>
      </c>
      <c r="H236" s="933"/>
      <c r="I236" s="933"/>
      <c r="J236" s="933"/>
      <c r="K236" s="933"/>
      <c r="L236" s="933"/>
      <c r="M236" s="933"/>
      <c r="N236" s="933"/>
      <c r="O236" s="933"/>
      <c r="P236" s="1290"/>
      <c r="Q236" s="1290"/>
      <c r="R236" s="1290"/>
      <c r="S236" s="933"/>
      <c r="T236" s="933"/>
      <c r="U236" s="1329"/>
      <c r="V236" s="933"/>
      <c r="W236" s="933"/>
      <c r="X236" s="933"/>
      <c r="Y236" s="1290"/>
      <c r="Z236" s="933"/>
      <c r="AA236" s="933"/>
      <c r="AD236" s="1290"/>
    </row>
    <row r="237" customFormat="false" ht="15.75" hidden="false" customHeight="true" outlineLevel="1" collapsed="false">
      <c r="A237" s="933" t="s">
        <v>3075</v>
      </c>
      <c r="B237" s="1269" t="s">
        <v>156</v>
      </c>
      <c r="C237" s="887" t="n">
        <f aca="false">$C$143</f>
        <v>0.15</v>
      </c>
      <c r="D237" s="933" t="n">
        <f aca="false">$D$143</f>
        <v>0.05</v>
      </c>
      <c r="E237" s="1023" t="n">
        <f aca="false">IF('Ввод данных'!$A$6=связи1!$A$94,IF(дома!E236+0.05-дома!$F$140&lt;0,0,дома!E236+0.05-дома!$F$140),0)+IF(E236=0,0,IF('Ввод данных'!$A$6=связи1!$A$97,IF(дома!E236+0.05+дома!$F$140&gt;дома!$E$137+0.2,0,дома!E236+0.05+дома!$F$140),0))</f>
        <v>0</v>
      </c>
      <c r="F237" s="537" t="n">
        <f aca="false">IF(E237&lt;($E$133+0.5),1,0)*$D$141*IF('Ввод данных'!$A$19=связи1!$A$128,2,2)*IF('Ввод данных'!$F$237=связи1!$A$2,1,0)</f>
        <v>0</v>
      </c>
      <c r="G237" s="933" t="n">
        <f aca="false">C237*D237*E237*F237</f>
        <v>0</v>
      </c>
      <c r="H237" s="933"/>
      <c r="I237" s="933"/>
      <c r="J237" s="933"/>
      <c r="K237" s="933"/>
      <c r="L237" s="933"/>
      <c r="M237" s="933"/>
      <c r="N237" s="933"/>
      <c r="O237" s="933"/>
      <c r="P237" s="1290"/>
      <c r="Q237" s="1290"/>
      <c r="R237" s="1290"/>
      <c r="S237" s="933"/>
      <c r="T237" s="933"/>
      <c r="U237" s="1329"/>
      <c r="V237" s="933"/>
      <c r="W237" s="933"/>
      <c r="X237" s="933"/>
      <c r="Y237" s="1290"/>
      <c r="Z237" s="933"/>
      <c r="AA237" s="933"/>
      <c r="AD237" s="1290"/>
    </row>
    <row r="238" customFormat="false" ht="15.75" hidden="false" customHeight="true" outlineLevel="1" collapsed="false">
      <c r="A238" s="933" t="s">
        <v>3076</v>
      </c>
      <c r="B238" s="1269" t="s">
        <v>156</v>
      </c>
      <c r="C238" s="887" t="n">
        <f aca="false">$C$143</f>
        <v>0.15</v>
      </c>
      <c r="D238" s="933" t="n">
        <f aca="false">$D$143</f>
        <v>0.05</v>
      </c>
      <c r="E238" s="1023" t="n">
        <f aca="false">IF('Ввод данных'!$A$6=связи1!$A$94,IF(дома!E237+0.05-дома!$F$140&lt;0,0,дома!E237+0.05-дома!$F$140),0)+IF(E237=0,0,IF('Ввод данных'!$A$6=связи1!$A$97,IF(дома!E237+0.05+дома!$F$140&gt;дома!$E$137+0.2,0,дома!E237+0.05+дома!$F$140),0))</f>
        <v>0</v>
      </c>
      <c r="F238" s="537" t="n">
        <f aca="false">IF(E238&lt;($E$133+0.5),1,0)*$D$141*IF('Ввод данных'!$A$19=связи1!$A$128,2,2)*IF('Ввод данных'!$F$237=связи1!$A$2,1,0)</f>
        <v>0</v>
      </c>
      <c r="G238" s="933" t="n">
        <f aca="false">C238*D238*E238*F238</f>
        <v>0</v>
      </c>
      <c r="H238" s="933"/>
      <c r="I238" s="933"/>
      <c r="J238" s="933"/>
      <c r="K238" s="933"/>
      <c r="L238" s="933"/>
      <c r="M238" s="933"/>
      <c r="N238" s="933"/>
      <c r="O238" s="933"/>
      <c r="P238" s="1290"/>
      <c r="Q238" s="1290"/>
      <c r="R238" s="1290"/>
      <c r="S238" s="933"/>
      <c r="T238" s="933"/>
      <c r="U238" s="1329"/>
      <c r="V238" s="933"/>
      <c r="W238" s="933"/>
      <c r="X238" s="933"/>
      <c r="Y238" s="1290"/>
      <c r="Z238" s="933"/>
      <c r="AA238" s="933"/>
      <c r="AD238" s="1290"/>
    </row>
    <row r="239" customFormat="false" ht="15.75" hidden="false" customHeight="true" outlineLevel="1" collapsed="false">
      <c r="A239" s="933" t="s">
        <v>3077</v>
      </c>
      <c r="B239" s="1269" t="s">
        <v>156</v>
      </c>
      <c r="C239" s="887" t="n">
        <f aca="false">$C$143</f>
        <v>0.15</v>
      </c>
      <c r="D239" s="933" t="n">
        <f aca="false">$D$143</f>
        <v>0.05</v>
      </c>
      <c r="E239" s="1023" t="n">
        <f aca="false">IF('Ввод данных'!$A$6=связи1!$A$94,IF(дома!E238+0.05-дома!$F$140&lt;0,0,дома!E238+0.05-дома!$F$140),0)+IF(E238=0,0,IF('Ввод данных'!$A$6=связи1!$A$97,IF(дома!E238+0.05+дома!$F$140&gt;дома!$E$137+0.2,0,дома!E238+0.05+дома!$F$140),0))</f>
        <v>0</v>
      </c>
      <c r="F239" s="537" t="n">
        <f aca="false">IF(E239&lt;($E$133+0.5),1,0)*$D$141*IF('Ввод данных'!$A$19=связи1!$A$128,2,2)*IF('Ввод данных'!$F$237=связи1!$A$2,1,0)</f>
        <v>0</v>
      </c>
      <c r="G239" s="933" t="n">
        <f aca="false">C239*D239*E239*F239</f>
        <v>0</v>
      </c>
      <c r="H239" s="933"/>
      <c r="I239" s="933"/>
      <c r="J239" s="933"/>
      <c r="K239" s="933"/>
      <c r="L239" s="933"/>
      <c r="M239" s="933"/>
      <c r="N239" s="933"/>
      <c r="O239" s="933"/>
      <c r="P239" s="1290"/>
      <c r="Q239" s="1290"/>
      <c r="R239" s="1290"/>
      <c r="S239" s="933"/>
      <c r="T239" s="933"/>
      <c r="U239" s="1329"/>
      <c r="V239" s="933"/>
      <c r="W239" s="933"/>
      <c r="X239" s="933"/>
      <c r="Y239" s="1290"/>
      <c r="Z239" s="933"/>
      <c r="AA239" s="933"/>
      <c r="AD239" s="1290"/>
    </row>
    <row r="240" customFormat="false" ht="15.75" hidden="false" customHeight="true" outlineLevel="1" collapsed="false">
      <c r="A240" s="933" t="s">
        <v>3078</v>
      </c>
      <c r="B240" s="1269" t="s">
        <v>156</v>
      </c>
      <c r="C240" s="887" t="n">
        <f aca="false">$C$143</f>
        <v>0.15</v>
      </c>
      <c r="D240" s="933" t="n">
        <f aca="false">$D$143</f>
        <v>0.05</v>
      </c>
      <c r="E240" s="1023" t="n">
        <f aca="false">IF('Ввод данных'!$A$6=связи1!$A$94,IF(дома!E239+0.05-дома!$F$140&lt;0,0,дома!E239+0.05-дома!$F$140),0)+IF(E239=0,0,IF('Ввод данных'!$A$6=связи1!$A$97,IF(дома!E239+0.05+дома!$F$140&gt;дома!$E$137+0.2,0,дома!E239+0.05+дома!$F$140),0))</f>
        <v>0</v>
      </c>
      <c r="F240" s="537" t="n">
        <f aca="false">IF(E240&lt;($E$133+0.5),1,0)*$D$141*IF('Ввод данных'!$A$19=связи1!$A$128,2,2)*IF('Ввод данных'!$F$237=связи1!$A$2,1,0)</f>
        <v>0</v>
      </c>
      <c r="G240" s="933" t="n">
        <f aca="false">C240*D240*E240*F240</f>
        <v>0</v>
      </c>
      <c r="H240" s="933"/>
      <c r="I240" s="933"/>
      <c r="J240" s="933"/>
      <c r="K240" s="933"/>
      <c r="L240" s="933"/>
      <c r="M240" s="933"/>
      <c r="N240" s="933"/>
      <c r="O240" s="933"/>
      <c r="P240" s="1290"/>
      <c r="Q240" s="1290"/>
      <c r="R240" s="1290"/>
      <c r="S240" s="933"/>
      <c r="T240" s="933"/>
      <c r="U240" s="1329"/>
      <c r="V240" s="933"/>
      <c r="W240" s="933"/>
      <c r="X240" s="933"/>
      <c r="Y240" s="1290"/>
      <c r="Z240" s="933"/>
      <c r="AA240" s="933"/>
      <c r="AD240" s="1290"/>
    </row>
    <row r="241" customFormat="false" ht="15.75" hidden="false" customHeight="true" outlineLevel="1" collapsed="false">
      <c r="A241" s="933" t="s">
        <v>3079</v>
      </c>
      <c r="B241" s="1269" t="s">
        <v>156</v>
      </c>
      <c r="C241" s="887" t="n">
        <f aca="false">$C$143</f>
        <v>0.15</v>
      </c>
      <c r="D241" s="933" t="n">
        <f aca="false">$D$143</f>
        <v>0.05</v>
      </c>
      <c r="E241" s="1023" t="n">
        <f aca="false">IF('Ввод данных'!$A$6=связи1!$A$94,IF(дома!E240+0.05-дома!$F$140&lt;0,0,дома!E240+0.05-дома!$F$140),0)+IF(E240=0,0,IF('Ввод данных'!$A$6=связи1!$A$97,IF(дома!E240+0.05+дома!$F$140&gt;дома!$E$137+0.2,0,дома!E240+0.05+дома!$F$140),0))</f>
        <v>0</v>
      </c>
      <c r="F241" s="537" t="n">
        <f aca="false">IF(E241&lt;($E$133+0.5),1,0)*$D$141*IF('Ввод данных'!$A$19=связи1!$A$128,2,2)*IF('Ввод данных'!$F$237=связи1!$A$2,1,0)</f>
        <v>0</v>
      </c>
      <c r="G241" s="933" t="n">
        <f aca="false">C241*D241*E241*F241</f>
        <v>0</v>
      </c>
      <c r="H241" s="933"/>
      <c r="I241" s="933"/>
      <c r="J241" s="933"/>
      <c r="K241" s="933"/>
      <c r="L241" s="933"/>
      <c r="M241" s="933"/>
      <c r="N241" s="933"/>
      <c r="O241" s="933"/>
      <c r="P241" s="1290"/>
      <c r="Q241" s="1290"/>
      <c r="R241" s="1290"/>
      <c r="S241" s="933"/>
      <c r="T241" s="933"/>
      <c r="U241" s="1329"/>
      <c r="V241" s="933"/>
      <c r="W241" s="933"/>
      <c r="X241" s="933"/>
      <c r="Y241" s="1290"/>
      <c r="Z241" s="933"/>
      <c r="AA241" s="933"/>
      <c r="AD241" s="1290"/>
    </row>
    <row r="242" customFormat="false" ht="15.75" hidden="false" customHeight="true" outlineLevel="1" collapsed="false">
      <c r="A242" s="933" t="s">
        <v>3080</v>
      </c>
      <c r="B242" s="1269" t="s">
        <v>156</v>
      </c>
      <c r="C242" s="887" t="n">
        <f aca="false">$C$143</f>
        <v>0.15</v>
      </c>
      <c r="D242" s="933" t="n">
        <f aca="false">$D$143</f>
        <v>0.05</v>
      </c>
      <c r="E242" s="1023" t="n">
        <f aca="false">IF('Ввод данных'!$A$6=связи1!$A$94,IF(дома!E241+0.05-дома!$F$140&lt;0,0,дома!E241+0.05-дома!$F$140),0)+IF(E241=0,0,IF('Ввод данных'!$A$6=связи1!$A$97,IF(дома!E241+0.05+дома!$F$140&gt;дома!$E$137+0.2,0,дома!E241+0.05+дома!$F$140),0))</f>
        <v>0</v>
      </c>
      <c r="F242" s="537" t="n">
        <f aca="false">IF(E242&lt;($E$133+0.5),1,0)*$D$141*IF('Ввод данных'!$A$19=связи1!$A$128,2,2)*IF('Ввод данных'!$F$237=связи1!$A$2,1,0)</f>
        <v>0</v>
      </c>
      <c r="G242" s="933" t="n">
        <f aca="false">C242*D242*E242*F242</f>
        <v>0</v>
      </c>
      <c r="H242" s="933"/>
      <c r="I242" s="933"/>
      <c r="J242" s="933"/>
      <c r="K242" s="933"/>
      <c r="L242" s="933"/>
      <c r="M242" s="933"/>
      <c r="N242" s="933"/>
      <c r="O242" s="933"/>
      <c r="P242" s="1290"/>
      <c r="Q242" s="1290"/>
      <c r="R242" s="1290"/>
      <c r="S242" s="933"/>
      <c r="T242" s="933"/>
      <c r="U242" s="1329"/>
      <c r="V242" s="933"/>
      <c r="W242" s="933"/>
      <c r="X242" s="933"/>
      <c r="Y242" s="1290"/>
      <c r="Z242" s="933"/>
      <c r="AA242" s="933"/>
      <c r="AD242" s="1290"/>
    </row>
    <row r="243" customFormat="false" ht="15.75" hidden="false" customHeight="true" outlineLevel="1" collapsed="false">
      <c r="A243" s="933" t="s">
        <v>3081</v>
      </c>
      <c r="B243" s="1269" t="s">
        <v>156</v>
      </c>
      <c r="C243" s="887" t="n">
        <f aca="false">$C$143</f>
        <v>0.15</v>
      </c>
      <c r="D243" s="933" t="n">
        <f aca="false">$D$143</f>
        <v>0.05</v>
      </c>
      <c r="E243" s="1023" t="n">
        <f aca="false">IF('Ввод данных'!$A$6=связи1!$A$94,IF(дома!E242+0.05-дома!$F$140&lt;0,0,дома!E242+0.05-дома!$F$140),0)+IF(E242=0,0,IF('Ввод данных'!$A$6=связи1!$A$97,IF(дома!E242+0.05+дома!$F$140&gt;дома!$E$137+0.2,0,дома!E242+0.05+дома!$F$140),0))</f>
        <v>0</v>
      </c>
      <c r="F243" s="537" t="n">
        <f aca="false">IF(E243&lt;($E$133+0.5),1,0)*$D$141*IF('Ввод данных'!$A$19=связи1!$A$128,2,2)*IF('Ввод данных'!$F$237=связи1!$A$2,1,0)</f>
        <v>0</v>
      </c>
      <c r="G243" s="933" t="n">
        <f aca="false">C243*D243*E243*F243</f>
        <v>0</v>
      </c>
      <c r="H243" s="933"/>
      <c r="I243" s="933"/>
      <c r="J243" s="933"/>
      <c r="K243" s="933"/>
      <c r="L243" s="933"/>
      <c r="M243" s="933"/>
      <c r="N243" s="933"/>
      <c r="O243" s="933"/>
      <c r="P243" s="1290"/>
      <c r="Q243" s="1290"/>
      <c r="R243" s="1290"/>
      <c r="S243" s="933"/>
      <c r="T243" s="933"/>
      <c r="U243" s="1329"/>
      <c r="V243" s="933"/>
      <c r="W243" s="933"/>
      <c r="X243" s="933"/>
      <c r="Y243" s="1290"/>
      <c r="Z243" s="933"/>
      <c r="AA243" s="933"/>
      <c r="AD243" s="1290"/>
    </row>
    <row r="244" customFormat="false" ht="15.75" hidden="false" customHeight="true" outlineLevel="1" collapsed="false">
      <c r="A244" s="933" t="s">
        <v>3082</v>
      </c>
      <c r="B244" s="1269" t="s">
        <v>156</v>
      </c>
      <c r="C244" s="887" t="n">
        <f aca="false">$C$143</f>
        <v>0.15</v>
      </c>
      <c r="D244" s="933" t="n">
        <f aca="false">$D$143</f>
        <v>0.05</v>
      </c>
      <c r="E244" s="1023" t="n">
        <f aca="false">IF('Ввод данных'!$A$6=связи1!$A$94,IF(дома!E243+0.05-дома!$F$140&lt;0,0,дома!E243+0.05-дома!$F$140),0)+IF(E243=0,0,IF('Ввод данных'!$A$6=связи1!$A$97,IF(дома!E243+0.05+дома!$F$140&gt;дома!$E$137+0.2,0,дома!E243+0.05+дома!$F$140),0))</f>
        <v>0</v>
      </c>
      <c r="F244" s="537" t="n">
        <f aca="false">IF(E244&lt;($E$133+0.5),1,0)*$D$141*IF('Ввод данных'!$A$19=связи1!$A$128,2,2)*IF('Ввод данных'!$F$237=связи1!$A$2,1,0)</f>
        <v>0</v>
      </c>
      <c r="G244" s="933" t="n">
        <f aca="false">C244*D244*E244*F244</f>
        <v>0</v>
      </c>
      <c r="H244" s="933"/>
      <c r="I244" s="933"/>
      <c r="J244" s="933"/>
      <c r="K244" s="933"/>
      <c r="L244" s="933"/>
      <c r="M244" s="933"/>
      <c r="N244" s="933"/>
      <c r="O244" s="933"/>
      <c r="P244" s="1290"/>
      <c r="Q244" s="1290"/>
      <c r="R244" s="1290"/>
      <c r="S244" s="933"/>
      <c r="T244" s="933"/>
      <c r="U244" s="1329"/>
      <c r="V244" s="933"/>
      <c r="W244" s="933"/>
      <c r="X244" s="933"/>
      <c r="Y244" s="1290"/>
      <c r="Z244" s="933"/>
      <c r="AA244" s="933"/>
      <c r="AD244" s="1290"/>
    </row>
    <row r="245" customFormat="false" ht="15.75" hidden="false" customHeight="true" outlineLevel="1" collapsed="false">
      <c r="A245" s="933" t="s">
        <v>3083</v>
      </c>
      <c r="B245" s="1269" t="s">
        <v>156</v>
      </c>
      <c r="C245" s="887" t="n">
        <f aca="false">$C$143</f>
        <v>0.15</v>
      </c>
      <c r="D245" s="933" t="n">
        <f aca="false">$D$143</f>
        <v>0.05</v>
      </c>
      <c r="E245" s="1023" t="n">
        <f aca="false">IF('Ввод данных'!$A$6=связи1!$A$94,IF(дома!E244+0.05-дома!$F$140&lt;0,0,дома!E244+0.05-дома!$F$140),0)+IF(E244=0,0,IF('Ввод данных'!$A$6=связи1!$A$97,IF(дома!E244+0.05+дома!$F$140&gt;дома!$E$137+0.2,0,дома!E244+0.05+дома!$F$140),0))</f>
        <v>0</v>
      </c>
      <c r="F245" s="537" t="n">
        <f aca="false">IF(E245&lt;($E$133+0.5),1,0)*$D$141*IF('Ввод данных'!$A$19=связи1!$A$128,2,2)*IF('Ввод данных'!$F$237=связи1!$A$2,1,0)</f>
        <v>0</v>
      </c>
      <c r="G245" s="933" t="n">
        <f aca="false">C245*D245*E245*F245</f>
        <v>0</v>
      </c>
      <c r="H245" s="933"/>
      <c r="I245" s="933"/>
      <c r="J245" s="933"/>
      <c r="K245" s="933"/>
      <c r="L245" s="933"/>
      <c r="M245" s="933"/>
      <c r="N245" s="933"/>
      <c r="O245" s="933"/>
      <c r="P245" s="1290"/>
      <c r="Q245" s="1290"/>
      <c r="R245" s="1290"/>
      <c r="S245" s="933"/>
      <c r="T245" s="933"/>
      <c r="U245" s="1329"/>
      <c r="V245" s="933"/>
      <c r="W245" s="933"/>
      <c r="X245" s="933"/>
      <c r="Y245" s="1290"/>
      <c r="Z245" s="933"/>
      <c r="AA245" s="933"/>
      <c r="AD245" s="1290"/>
    </row>
    <row r="246" customFormat="false" ht="15.75" hidden="false" customHeight="true" outlineLevel="1" collapsed="false">
      <c r="A246" s="933" t="s">
        <v>3084</v>
      </c>
      <c r="B246" s="1269" t="s">
        <v>156</v>
      </c>
      <c r="C246" s="887" t="n">
        <f aca="false">$C$143</f>
        <v>0.15</v>
      </c>
      <c r="D246" s="933" t="n">
        <f aca="false">$D$143</f>
        <v>0.05</v>
      </c>
      <c r="E246" s="1023" t="n">
        <f aca="false">IF('Ввод данных'!$A$6=связи1!$A$94,IF(дома!E245+0.05-дома!$F$140&lt;0,0,дома!E245+0.05-дома!$F$140),0)+IF(E245=0,0,IF('Ввод данных'!$A$6=связи1!$A$97,IF(дома!E245+0.05+дома!$F$140&gt;дома!$E$137+0.2,0,дома!E245+0.05+дома!$F$140),0))</f>
        <v>0</v>
      </c>
      <c r="F246" s="537" t="n">
        <f aca="false">IF(E246&lt;($E$133+0.5),1,0)*$D$141*IF('Ввод данных'!$A$19=связи1!$A$128,2,2)*IF('Ввод данных'!$F$237=связи1!$A$2,1,0)</f>
        <v>0</v>
      </c>
      <c r="G246" s="933" t="n">
        <f aca="false">C246*D246*E246*F246</f>
        <v>0</v>
      </c>
      <c r="H246" s="933"/>
      <c r="I246" s="933"/>
      <c r="J246" s="933"/>
      <c r="K246" s="933"/>
      <c r="L246" s="933"/>
      <c r="M246" s="933"/>
      <c r="N246" s="933"/>
      <c r="O246" s="933"/>
      <c r="P246" s="1290"/>
      <c r="Q246" s="1290"/>
      <c r="R246" s="1290"/>
      <c r="S246" s="933"/>
      <c r="T246" s="933"/>
      <c r="U246" s="1329"/>
      <c r="V246" s="933"/>
      <c r="W246" s="933"/>
      <c r="X246" s="933"/>
      <c r="Y246" s="1290"/>
      <c r="Z246" s="933"/>
      <c r="AA246" s="933"/>
      <c r="AD246" s="1290"/>
    </row>
    <row r="247" customFormat="false" ht="15.75" hidden="false" customHeight="true" outlineLevel="1" collapsed="false">
      <c r="A247" s="933" t="s">
        <v>3085</v>
      </c>
      <c r="B247" s="1269" t="s">
        <v>156</v>
      </c>
      <c r="C247" s="887" t="n">
        <f aca="false">$C$143</f>
        <v>0.15</v>
      </c>
      <c r="D247" s="933" t="n">
        <f aca="false">$D$143</f>
        <v>0.05</v>
      </c>
      <c r="E247" s="1023" t="n">
        <f aca="false">IF('Ввод данных'!$A$6=связи1!$A$94,IF(дома!E246+0.05-дома!$F$140&lt;0,0,дома!E246+0.05-дома!$F$140),0)+IF(E246=0,0,IF('Ввод данных'!$A$6=связи1!$A$97,IF(дома!E246+0.05+дома!$F$140&gt;дома!$E$137+0.2,0,дома!E246+0.05+дома!$F$140),0))</f>
        <v>0</v>
      </c>
      <c r="F247" s="537" t="n">
        <f aca="false">IF(E247&lt;($E$133+0.5),1,0)*$D$141*IF('Ввод данных'!$A$19=связи1!$A$128,2,2)*IF('Ввод данных'!$F$237=связи1!$A$2,1,0)</f>
        <v>0</v>
      </c>
      <c r="G247" s="933" t="n">
        <f aca="false">C247*D247*E247*F247</f>
        <v>0</v>
      </c>
      <c r="H247" s="933"/>
      <c r="I247" s="933"/>
      <c r="J247" s="933"/>
      <c r="K247" s="933"/>
      <c r="L247" s="933"/>
      <c r="M247" s="933"/>
      <c r="N247" s="933"/>
      <c r="O247" s="933"/>
      <c r="P247" s="1290"/>
      <c r="Q247" s="1290"/>
      <c r="R247" s="1290"/>
      <c r="S247" s="933"/>
      <c r="T247" s="933"/>
      <c r="U247" s="1329"/>
      <c r="V247" s="933"/>
      <c r="W247" s="933"/>
      <c r="X247" s="933"/>
      <c r="Y247" s="1290"/>
      <c r="Z247" s="933"/>
      <c r="AA247" s="933"/>
      <c r="AD247" s="1290"/>
    </row>
    <row r="248" customFormat="false" ht="15.75" hidden="false" customHeight="true" outlineLevel="1" collapsed="false">
      <c r="A248" s="933" t="s">
        <v>3052</v>
      </c>
      <c r="B248" s="1269" t="s">
        <v>156</v>
      </c>
      <c r="C248" s="887" t="n">
        <f aca="false">$C$143</f>
        <v>0.15</v>
      </c>
      <c r="D248" s="933" t="n">
        <f aca="false">$D$143</f>
        <v>0.05</v>
      </c>
      <c r="E248" s="1023" t="n">
        <f aca="false">F138*1.05*D141</f>
        <v>7.42462120245875</v>
      </c>
      <c r="F248" s="537" t="n">
        <f aca="false">IF(E248&lt;($E$133+0.5),1,0)*$D$141*IF('Ввод данных'!$A$19=связи1!$A$128,2,2)*IF('Ввод данных'!$F$237=связи1!$A$2,1,0)</f>
        <v>0</v>
      </c>
      <c r="G248" s="933" t="n">
        <f aca="false">C248*D248*E248*F248</f>
        <v>0</v>
      </c>
      <c r="H248" s="933"/>
      <c r="I248" s="933"/>
      <c r="J248" s="933"/>
      <c r="K248" s="933"/>
      <c r="L248" s="933"/>
      <c r="M248" s="933"/>
      <c r="N248" s="933"/>
      <c r="O248" s="933"/>
      <c r="P248" s="1290"/>
      <c r="Q248" s="1290"/>
      <c r="R248" s="1290"/>
      <c r="S248" s="933"/>
      <c r="T248" s="933"/>
      <c r="U248" s="1329"/>
      <c r="V248" s="933"/>
      <c r="W248" s="933"/>
      <c r="X248" s="933"/>
      <c r="Y248" s="1290"/>
      <c r="Z248" s="933"/>
      <c r="AA248" s="933"/>
      <c r="AD248" s="1290"/>
    </row>
    <row r="249" customFormat="false" ht="15.75" hidden="false" customHeight="true" outlineLevel="1" collapsed="false">
      <c r="A249" s="933" t="s">
        <v>3053</v>
      </c>
      <c r="B249" s="1269" t="s">
        <v>156</v>
      </c>
      <c r="C249" s="887" t="n">
        <f aca="false">$C$143</f>
        <v>0.15</v>
      </c>
      <c r="D249" s="933" t="n">
        <f aca="false">$D$143</f>
        <v>0.05</v>
      </c>
      <c r="E249" s="1023" t="n">
        <f aca="false">C137*D141</f>
        <v>5</v>
      </c>
      <c r="F249" s="537" t="n">
        <f aca="false">IF(E249&lt;($E$133+0.5),1,0)*$D$141*IF('Ввод данных'!$A$19=связи1!$A$128,2,2)*IF('Ввод данных'!$F$237=связи1!$A$2,1,0)</f>
        <v>0</v>
      </c>
      <c r="G249" s="933" t="n">
        <f aca="false">C249*D249*E249*F249</f>
        <v>0</v>
      </c>
      <c r="H249" s="933"/>
      <c r="I249" s="933"/>
      <c r="J249" s="933"/>
      <c r="K249" s="933"/>
      <c r="L249" s="933"/>
      <c r="M249" s="933"/>
      <c r="N249" s="933"/>
      <c r="O249" s="933"/>
      <c r="P249" s="1290"/>
      <c r="Q249" s="1290"/>
      <c r="R249" s="1290"/>
      <c r="S249" s="933"/>
      <c r="T249" s="933"/>
      <c r="U249" s="1329"/>
      <c r="V249" s="933"/>
      <c r="W249" s="933"/>
      <c r="X249" s="933"/>
      <c r="Y249" s="1290"/>
      <c r="Z249" s="933"/>
      <c r="AA249" s="933"/>
      <c r="AD249" s="1290"/>
    </row>
    <row r="250" customFormat="false" ht="15.75" hidden="false" customHeight="true" outlineLevel="1" collapsed="false">
      <c r="A250" s="933" t="s">
        <v>3054</v>
      </c>
      <c r="B250" s="1269" t="s">
        <v>156</v>
      </c>
      <c r="C250" s="887" t="n">
        <f aca="false">$C$143</f>
        <v>0.15</v>
      </c>
      <c r="D250" s="933" t="n">
        <f aca="false">$D$143</f>
        <v>0.05</v>
      </c>
      <c r="E250" s="1023" t="n">
        <f aca="false">E248*D141</f>
        <v>7.42462120245875</v>
      </c>
      <c r="F250" s="537" t="n">
        <f aca="false">IF(E250&lt;($E$133+0.5),1,0)*$D$141*IF('Ввод данных'!$A$19=связи1!$A$128,2,2)*IF('Ввод данных'!$F$237=связи1!$A$2,1,0)</f>
        <v>0</v>
      </c>
      <c r="G250" s="933" t="n">
        <f aca="false">C250*D250*E250*F250</f>
        <v>0</v>
      </c>
      <c r="H250" s="933"/>
      <c r="I250" s="933"/>
      <c r="J250" s="933"/>
      <c r="K250" s="933"/>
      <c r="L250" s="933"/>
      <c r="M250" s="933"/>
      <c r="N250" s="933"/>
      <c r="O250" s="933"/>
      <c r="P250" s="1290"/>
      <c r="Q250" s="1290"/>
      <c r="R250" s="1290"/>
      <c r="S250" s="933"/>
      <c r="T250" s="933"/>
      <c r="U250" s="1329"/>
      <c r="V250" s="933"/>
      <c r="W250" s="933"/>
      <c r="X250" s="933"/>
      <c r="Y250" s="1290"/>
      <c r="Z250" s="933"/>
      <c r="AA250" s="933"/>
      <c r="AD250" s="1290"/>
    </row>
    <row r="251" customFormat="false" ht="15.75" hidden="false" customHeight="true" outlineLevel="1" collapsed="false">
      <c r="A251" s="1345" t="s">
        <v>3086</v>
      </c>
      <c r="B251" s="1299" t="s">
        <v>156</v>
      </c>
      <c r="C251" s="1346" t="n">
        <f aca="false">$C$143</f>
        <v>0.15</v>
      </c>
      <c r="D251" s="1347" t="n">
        <f aca="false">$D$143</f>
        <v>0.05</v>
      </c>
      <c r="E251" s="1348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251" s="1347" t="n">
        <f aca="false">CEILING(C128/G124+1,1)*IF('Ввод данных'!F312=связи1!A2,1,0)</f>
        <v>0</v>
      </c>
      <c r="G251" s="1347" t="n">
        <f aca="false">C251*D251*E251*F251</f>
        <v>0</v>
      </c>
      <c r="H251" s="1347"/>
      <c r="I251" s="933"/>
      <c r="J251" s="933"/>
      <c r="K251" s="933"/>
      <c r="L251" s="933"/>
      <c r="M251" s="933"/>
      <c r="N251" s="933"/>
      <c r="O251" s="933"/>
      <c r="P251" s="1290"/>
      <c r="Q251" s="1290"/>
      <c r="R251" s="1290"/>
      <c r="S251" s="933"/>
      <c r="T251" s="933"/>
      <c r="U251" s="1329"/>
      <c r="V251" s="933"/>
      <c r="W251" s="933"/>
      <c r="X251" s="933"/>
      <c r="Y251" s="1290"/>
      <c r="Z251" s="933"/>
      <c r="AA251" s="933"/>
      <c r="AD251" s="1290"/>
    </row>
    <row r="252" customFormat="false" ht="15.75" hidden="false" customHeight="true" outlineLevel="1" collapsed="false">
      <c r="A252" s="1345" t="s">
        <v>3087</v>
      </c>
      <c r="B252" s="1299" t="s">
        <v>156</v>
      </c>
      <c r="C252" s="1346" t="n">
        <f aca="false">$C$143</f>
        <v>0.15</v>
      </c>
      <c r="D252" s="1347" t="n">
        <f aca="false">$D$143</f>
        <v>0.05</v>
      </c>
      <c r="E252" s="1348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252" s="1347" t="n">
        <f aca="false">CEILING(C129/G129+1,1)*IF('Ввод данных'!F312=связи1!A2,1,0)</f>
        <v>0</v>
      </c>
      <c r="G252" s="1347" t="n">
        <f aca="false">C252*D252*E252*F252</f>
        <v>0</v>
      </c>
      <c r="H252" s="1347"/>
      <c r="I252" s="933"/>
      <c r="J252" s="933"/>
      <c r="K252" s="933"/>
      <c r="L252" s="933"/>
      <c r="M252" s="933"/>
      <c r="N252" s="933"/>
      <c r="O252" s="933"/>
      <c r="P252" s="1290"/>
      <c r="Q252" s="1290"/>
      <c r="R252" s="1290"/>
      <c r="S252" s="933"/>
      <c r="T252" s="933"/>
      <c r="U252" s="1329"/>
      <c r="V252" s="933"/>
      <c r="W252" s="933"/>
      <c r="X252" s="933"/>
      <c r="Y252" s="1290"/>
      <c r="Z252" s="933"/>
      <c r="AA252" s="933"/>
      <c r="AD252" s="1290"/>
    </row>
    <row r="253" customFormat="false" ht="15.75" hidden="false" customHeight="true" outlineLevel="1" collapsed="false">
      <c r="A253" s="1349" t="s">
        <v>3088</v>
      </c>
      <c r="B253" s="1299" t="s">
        <v>156</v>
      </c>
      <c r="C253" s="1346" t="n">
        <f aca="false">$C$143</f>
        <v>0.15</v>
      </c>
      <c r="D253" s="1347" t="n">
        <f aca="false">$D$143</f>
        <v>0.05</v>
      </c>
      <c r="E253" s="1348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253" s="1347" t="n">
        <f aca="false">4*IF('Ввод данных'!F312=связи1!A2,1,0)</f>
        <v>0</v>
      </c>
      <c r="G253" s="1347" t="n">
        <f aca="false">C253*D253*E253*F253</f>
        <v>0</v>
      </c>
      <c r="H253" s="1347"/>
      <c r="I253" s="933"/>
      <c r="J253" s="933"/>
      <c r="K253" s="933"/>
      <c r="L253" s="933"/>
      <c r="M253" s="933"/>
      <c r="N253" s="933"/>
      <c r="O253" s="933"/>
      <c r="P253" s="1290"/>
      <c r="Q253" s="1290"/>
      <c r="R253" s="1290"/>
      <c r="S253" s="933"/>
      <c r="T253" s="933"/>
      <c r="U253" s="1329"/>
      <c r="V253" s="933"/>
      <c r="W253" s="933"/>
      <c r="X253" s="933"/>
      <c r="Y253" s="1290"/>
      <c r="Z253" s="933"/>
      <c r="AA253" s="933"/>
      <c r="AD253" s="1290"/>
    </row>
    <row r="254" customFormat="false" ht="15.75" hidden="false" customHeight="true" outlineLevel="1" collapsed="false">
      <c r="A254" s="1349" t="s">
        <v>3089</v>
      </c>
      <c r="B254" s="1299" t="s">
        <v>156</v>
      </c>
      <c r="C254" s="1346" t="n">
        <f aca="false">$C$143</f>
        <v>0.15</v>
      </c>
      <c r="D254" s="1347" t="n">
        <f aca="false">$D$143</f>
        <v>0.05</v>
      </c>
      <c r="E254" s="1348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данных'!C13,0)</f>
        <v>3</v>
      </c>
      <c r="F254" s="1347" t="n">
        <f aca="false">CEILING(C124/G124,1)*IF('Ввод данных'!F312=связи1!A2,1,0)</f>
        <v>0</v>
      </c>
      <c r="G254" s="1347" t="n">
        <f aca="false">C254*D254*E254*F254</f>
        <v>0</v>
      </c>
      <c r="H254" s="1347"/>
      <c r="I254" s="933"/>
      <c r="J254" s="933"/>
      <c r="K254" s="933"/>
      <c r="L254" s="933"/>
      <c r="M254" s="933"/>
      <c r="N254" s="933"/>
      <c r="O254" s="933"/>
      <c r="P254" s="1290"/>
      <c r="Q254" s="1290"/>
      <c r="R254" s="1290"/>
      <c r="S254" s="933"/>
      <c r="T254" s="933"/>
      <c r="U254" s="1329"/>
      <c r="V254" s="933"/>
      <c r="W254" s="933"/>
      <c r="X254" s="933"/>
      <c r="Y254" s="1290"/>
      <c r="Z254" s="933"/>
      <c r="AA254" s="933"/>
      <c r="AD254" s="1290"/>
    </row>
    <row r="255" customFormat="false" ht="15.75" hidden="false" customHeight="true" outlineLevel="1" collapsed="false">
      <c r="A255" s="1349" t="s">
        <v>3090</v>
      </c>
      <c r="B255" s="1299" t="s">
        <v>156</v>
      </c>
      <c r="C255" s="1346" t="n">
        <f aca="false">$C$143</f>
        <v>0.15</v>
      </c>
      <c r="D255" s="1347" t="n">
        <f aca="false">$D$143</f>
        <v>0.05</v>
      </c>
      <c r="E255" s="1348" t="n">
        <f aca="false">C124+C127+C128+C129</f>
        <v>0</v>
      </c>
      <c r="F255" s="1347" t="n">
        <f aca="false">1*IF('Ввод данных'!F312=связи1!A2,1,0)</f>
        <v>0</v>
      </c>
      <c r="G255" s="1347" t="n">
        <f aca="false">C255*D255*E255*F255</f>
        <v>0</v>
      </c>
      <c r="H255" s="1347"/>
      <c r="I255" s="933"/>
      <c r="J255" s="933"/>
      <c r="K255" s="933"/>
      <c r="L255" s="933"/>
      <c r="M255" s="933"/>
      <c r="N255" s="933"/>
      <c r="O255" s="933"/>
      <c r="P255" s="1290"/>
      <c r="Q255" s="1290"/>
      <c r="R255" s="1290"/>
      <c r="S255" s="933"/>
      <c r="T255" s="933"/>
      <c r="U255" s="1329"/>
      <c r="V255" s="933"/>
      <c r="W255" s="933"/>
      <c r="X255" s="933"/>
      <c r="Y255" s="1290"/>
      <c r="Z255" s="933"/>
      <c r="AA255" s="933"/>
      <c r="AD255" s="1290"/>
    </row>
    <row r="256" customFormat="false" ht="15.75" hidden="false" customHeight="true" outlineLevel="1" collapsed="false">
      <c r="A256" s="1349" t="s">
        <v>3091</v>
      </c>
      <c r="B256" s="1299" t="s">
        <v>156</v>
      </c>
      <c r="C256" s="1346" t="n">
        <f aca="false">$C$143</f>
        <v>0.15</v>
      </c>
      <c r="D256" s="1347" t="n">
        <f aca="false">$D$143</f>
        <v>0.05</v>
      </c>
      <c r="E256" s="1348" t="n">
        <f aca="false">(J1158+J1167*2+C128+C129)*1.1</f>
        <v>20.954863183233</v>
      </c>
      <c r="F256" s="1347" t="n">
        <f aca="false">1*IF('Ввод данных'!F312=связи1!A2,1,0)</f>
        <v>0</v>
      </c>
      <c r="G256" s="1347" t="n">
        <f aca="false">C256*D256*E256*F256</f>
        <v>0</v>
      </c>
      <c r="H256" s="1347"/>
      <c r="I256" s="933"/>
      <c r="J256" s="933"/>
      <c r="K256" s="933"/>
      <c r="L256" s="933"/>
      <c r="M256" s="933"/>
      <c r="N256" s="933"/>
      <c r="O256" s="933"/>
      <c r="P256" s="1290"/>
      <c r="Q256" s="1290"/>
      <c r="R256" s="1290"/>
      <c r="S256" s="933"/>
      <c r="T256" s="933"/>
      <c r="U256" s="1329"/>
      <c r="V256" s="933"/>
      <c r="W256" s="933"/>
      <c r="X256" s="933"/>
      <c r="Y256" s="1290"/>
      <c r="Z256" s="933"/>
      <c r="AA256" s="933"/>
      <c r="AD256" s="1290"/>
    </row>
    <row r="257" customFormat="false" ht="15.75" hidden="false" customHeight="true" outlineLevel="1" collapsed="false">
      <c r="A257" s="1349" t="s">
        <v>3092</v>
      </c>
      <c r="B257" s="1299" t="s">
        <v>156</v>
      </c>
      <c r="C257" s="1346" t="n">
        <f aca="false">$C$143</f>
        <v>0.15</v>
      </c>
      <c r="D257" s="1347" t="n">
        <f aca="false">$D$143</f>
        <v>0.05</v>
      </c>
      <c r="E257" s="1348" t="n">
        <f aca="false">(J1158+J1167*2+C128+C129)*1.1</f>
        <v>20.954863183233</v>
      </c>
      <c r="F257" s="1347" t="n">
        <f aca="false">1*IF('Ввод данных'!F312=связи1!A2,1,0)</f>
        <v>0</v>
      </c>
      <c r="G257" s="1347" t="n">
        <f aca="false">C257*D257*E257*F257</f>
        <v>0</v>
      </c>
      <c r="H257" s="1347"/>
      <c r="I257" s="933"/>
      <c r="J257" s="933"/>
      <c r="K257" s="933"/>
      <c r="L257" s="933"/>
      <c r="M257" s="933"/>
      <c r="N257" s="933"/>
      <c r="O257" s="933"/>
      <c r="P257" s="1290"/>
      <c r="Q257" s="1290"/>
      <c r="R257" s="1290"/>
      <c r="S257" s="933"/>
      <c r="T257" s="933"/>
      <c r="U257" s="1329"/>
      <c r="V257" s="933"/>
      <c r="W257" s="933"/>
      <c r="X257" s="933"/>
      <c r="Y257" s="1290"/>
      <c r="Z257" s="933"/>
      <c r="AA257" s="933"/>
      <c r="AD257" s="1290"/>
    </row>
    <row r="258" customFormat="false" ht="15.75" hidden="false" customHeight="true" outlineLevel="1" collapsed="false">
      <c r="A258" s="1350" t="s">
        <v>3093</v>
      </c>
      <c r="B258" s="1269" t="s">
        <v>156</v>
      </c>
      <c r="C258" s="887" t="n">
        <f aca="false">$C$143</f>
        <v>0.15</v>
      </c>
      <c r="D258" s="933" t="n">
        <f aca="false">$D$143</f>
        <v>0.05</v>
      </c>
      <c r="E258" s="1023" t="n">
        <f aca="false">IF('Ввод данных'!A6=связи1!A97,(C124+C127+C128+C129)*1.1,0)+IF('Ввод данных'!A6=связи1!A94,(C124+C127+C128+C129+C128+C129+C124)*1.1,0)</f>
        <v>0</v>
      </c>
      <c r="F258" s="933" t="n">
        <f aca="false">1*IF('Ввод данных'!$F$194=связи1!$A$2,1,0)*IF('Ввод данных'!$B$155=связи1!$A$2,1,0)</f>
        <v>0</v>
      </c>
      <c r="G258" s="933" t="n">
        <f aca="false">C258*D258*E258*F258</f>
        <v>0</v>
      </c>
      <c r="H258" s="933"/>
      <c r="I258" s="933"/>
      <c r="J258" s="933"/>
      <c r="K258" s="933"/>
      <c r="L258" s="933"/>
      <c r="M258" s="933"/>
      <c r="N258" s="933"/>
      <c r="O258" s="933"/>
      <c r="P258" s="1290"/>
      <c r="Q258" s="1290"/>
      <c r="R258" s="1290"/>
      <c r="S258" s="933"/>
      <c r="T258" s="933"/>
      <c r="U258" s="1329"/>
      <c r="V258" s="933"/>
      <c r="W258" s="933"/>
      <c r="X258" s="933"/>
      <c r="Y258" s="1290"/>
      <c r="Z258" s="933"/>
      <c r="AA258" s="933"/>
      <c r="AD258" s="1290"/>
    </row>
    <row r="259" customFormat="false" ht="15.75" hidden="false" customHeight="true" outlineLevel="1" collapsed="false">
      <c r="A259" s="1350" t="s">
        <v>3094</v>
      </c>
      <c r="B259" s="1269" t="s">
        <v>156</v>
      </c>
      <c r="C259" s="887" t="n">
        <f aca="false">$C$143</f>
        <v>0.15</v>
      </c>
      <c r="D259" s="933" t="n">
        <f aca="false">$D$143</f>
        <v>0.05</v>
      </c>
      <c r="E259" s="1023" t="n">
        <f aca="false">IF('Ввод данных'!A6=связи1!A97,(C124+C127+L135*2)*1.1,0)+IF('Ввод данных'!A6=связи1!A94,(C124+C127+дома!C124+дома!C128+дома!C129+дома!L135*2)*1.1,0)</f>
        <v>24.5967477524977</v>
      </c>
      <c r="F259" s="933" t="n">
        <f aca="false">1*IF('Ввод данных'!$F$194=связи1!$A$2,1,0)*IF('Ввод данных'!$B$155=связи1!$A$2,1,0)</f>
        <v>0</v>
      </c>
      <c r="G259" s="933" t="n">
        <f aca="false">C259*D259*E259*F259</f>
        <v>0</v>
      </c>
      <c r="H259" s="933"/>
      <c r="I259" s="933"/>
      <c r="J259" s="933"/>
      <c r="K259" s="933"/>
      <c r="L259" s="933"/>
      <c r="M259" s="933"/>
      <c r="N259" s="933"/>
      <c r="O259" s="933"/>
      <c r="P259" s="1290"/>
      <c r="Q259" s="1290"/>
      <c r="R259" s="1290"/>
      <c r="S259" s="933"/>
      <c r="T259" s="933"/>
      <c r="U259" s="1329"/>
      <c r="V259" s="933"/>
      <c r="W259" s="933"/>
      <c r="X259" s="933"/>
      <c r="Y259" s="1290"/>
      <c r="Z259" s="933"/>
      <c r="AA259" s="933"/>
      <c r="AD259" s="1290"/>
    </row>
    <row r="260" customFormat="false" ht="15.75" hidden="false" customHeight="true" outlineLevel="1" collapsed="false">
      <c r="A260" s="1350" t="s">
        <v>3095</v>
      </c>
      <c r="B260" s="1269" t="s">
        <v>156</v>
      </c>
      <c r="C260" s="887" t="n">
        <f aca="false">$C$143</f>
        <v>0.15</v>
      </c>
      <c r="D260" s="933" t="n">
        <f aca="false">$D$143</f>
        <v>0.05</v>
      </c>
      <c r="E260" s="1023" t="n">
        <f aca="false">IF('Ввод данных'!A6=связи1!A97,(C124+C127+L135*2)*1.1,0)+IF('Ввод данных'!A6=связи1!A94,(C124+C127+дома!C124+дома!C128+дома!C129+дома!L135*2)*1.1,0)</f>
        <v>24.5967477524977</v>
      </c>
      <c r="F260" s="933" t="n">
        <f aca="false">1*IF('Ввод данных'!$F$194=связи1!$A$2,1,0)*IF('Ввод данных'!$B$155=связи1!$A$2,1,0)</f>
        <v>0</v>
      </c>
      <c r="G260" s="933" t="n">
        <f aca="false">C260*D260*E260*F260</f>
        <v>0</v>
      </c>
      <c r="H260" s="933"/>
      <c r="I260" s="933"/>
      <c r="J260" s="933"/>
      <c r="K260" s="933"/>
      <c r="L260" s="933"/>
      <c r="M260" s="933"/>
      <c r="N260" s="933"/>
      <c r="O260" s="933"/>
      <c r="P260" s="1290"/>
      <c r="Q260" s="1290"/>
      <c r="R260" s="1290"/>
      <c r="S260" s="933"/>
      <c r="T260" s="933"/>
      <c r="U260" s="1329"/>
      <c r="V260" s="933"/>
      <c r="W260" s="933"/>
      <c r="X260" s="933"/>
      <c r="Y260" s="1290"/>
      <c r="Z260" s="933"/>
      <c r="AA260" s="933"/>
      <c r="AD260" s="1290"/>
    </row>
    <row r="261" customFormat="false" ht="15.75" hidden="false" customHeight="true" outlineLevel="1" collapsed="false">
      <c r="A261" s="1351" t="s">
        <v>3096</v>
      </c>
      <c r="B261" s="1269" t="s">
        <v>156</v>
      </c>
      <c r="C261" s="887" t="n">
        <f aca="false">$C$143</f>
        <v>0.15</v>
      </c>
      <c r="D261" s="933" t="n">
        <f aca="false">$D$143</f>
        <v>0.05</v>
      </c>
      <c r="E261" s="1023" t="n">
        <f aca="false">IF('Ввод данных'!A6=связи1!A97,'Ввод данных'!C15,0)+IF('Ввод данных'!A6=связи1!A94,'Ввод данных'!C13,0)</f>
        <v>3</v>
      </c>
      <c r="F261" s="933" t="n">
        <f aca="false">CEILING(C124/G124+1,1)*IF('Ввод данных'!$F$194=связи1!$A$2,1,0)*IF('Ввод данных'!$B$155=связи1!$A$2,1,0)</f>
        <v>0</v>
      </c>
      <c r="G261" s="933" t="n">
        <f aca="false">C261*D261*E261*F261</f>
        <v>0</v>
      </c>
      <c r="H261" s="933"/>
      <c r="I261" s="933"/>
      <c r="J261" s="933"/>
      <c r="K261" s="933"/>
      <c r="L261" s="933"/>
      <c r="M261" s="933"/>
      <c r="N261" s="933"/>
      <c r="O261" s="933"/>
      <c r="P261" s="1290"/>
      <c r="Q261" s="1290"/>
      <c r="R261" s="1290"/>
      <c r="S261" s="933"/>
      <c r="T261" s="933"/>
      <c r="U261" s="1329"/>
      <c r="V261" s="933"/>
      <c r="W261" s="933"/>
      <c r="X261" s="933"/>
      <c r="Y261" s="1290"/>
      <c r="Z261" s="933"/>
      <c r="AA261" s="933"/>
      <c r="AD261" s="1290"/>
    </row>
    <row r="262" customFormat="false" ht="15.75" hidden="false" customHeight="true" outlineLevel="1" collapsed="false">
      <c r="A262" s="1351" t="s">
        <v>3097</v>
      </c>
      <c r="B262" s="1269" t="s">
        <v>156</v>
      </c>
      <c r="C262" s="887" t="n">
        <f aca="false">$C$143</f>
        <v>0.15</v>
      </c>
      <c r="D262" s="933" t="n">
        <f aca="false">$D$143</f>
        <v>0.05</v>
      </c>
      <c r="E262" s="1023" t="n">
        <f aca="false">IF('Ввод данных'!A6=связи1!A97,'Ввод данных'!C14,0)+IF('Ввод данных'!A6=связи1!A94,'Ввод данных'!C13,0)</f>
        <v>3</v>
      </c>
      <c r="F262" s="933" t="n">
        <f aca="false">CEILING(C124/G124+1,1)*IF('Ввод данных'!$F$194=связи1!$A$2,1,0)*IF('Ввод данных'!$B$155=связи1!$A$2,1,0)</f>
        <v>0</v>
      </c>
      <c r="G262" s="933" t="n">
        <f aca="false">C262*D262*E262*F262</f>
        <v>0</v>
      </c>
      <c r="H262" s="933"/>
      <c r="I262" s="933"/>
      <c r="J262" s="933"/>
      <c r="K262" s="933"/>
      <c r="L262" s="933"/>
      <c r="M262" s="933"/>
      <c r="N262" s="933"/>
      <c r="O262" s="933"/>
      <c r="P262" s="1290"/>
      <c r="Q262" s="1290"/>
      <c r="R262" s="1290"/>
      <c r="S262" s="933"/>
      <c r="T262" s="933"/>
      <c r="U262" s="1329"/>
      <c r="V262" s="933"/>
      <c r="W262" s="933"/>
      <c r="X262" s="933"/>
      <c r="Y262" s="1290"/>
      <c r="Z262" s="933"/>
      <c r="AA262" s="933"/>
      <c r="AD262" s="1290"/>
    </row>
    <row r="263" customFormat="false" ht="15.75" hidden="false" customHeight="true" outlineLevel="1" collapsed="false">
      <c r="A263" s="1351" t="s">
        <v>3098</v>
      </c>
      <c r="B263" s="1269" t="s">
        <v>156</v>
      </c>
      <c r="C263" s="887" t="n">
        <f aca="false">$C$143</f>
        <v>0.15</v>
      </c>
      <c r="D263" s="933" t="n">
        <f aca="false">$D$143</f>
        <v>0.05</v>
      </c>
      <c r="E263" s="1023" t="n">
        <f aca="false">IF('Ввод данных'!A6=связи1!A97,'Ввод данных'!C14,0)+IF('Ввод данных'!A6=связи1!A94,'Ввод данных'!C13,0)</f>
        <v>3</v>
      </c>
      <c r="F263" s="933" t="n">
        <f aca="false">IF('Ввод данных'!A6=связи1!A94,CEILING(дома!C128/дома!G128+1,1),0)*IF('Ввод данных'!$F$194=связи1!$A$2,1,0)*IF('Ввод данных'!$B$155=связи1!$A$2,1,0)</f>
        <v>0</v>
      </c>
      <c r="G263" s="933" t="n">
        <f aca="false">C263*D263*E263*F263</f>
        <v>0</v>
      </c>
      <c r="H263" s="933"/>
      <c r="I263" s="933"/>
      <c r="J263" s="933"/>
      <c r="K263" s="933"/>
      <c r="L263" s="933"/>
      <c r="M263" s="933"/>
      <c r="N263" s="933"/>
      <c r="O263" s="933"/>
      <c r="P263" s="1290"/>
      <c r="Q263" s="1290"/>
      <c r="R263" s="1290"/>
      <c r="S263" s="933"/>
      <c r="T263" s="933"/>
      <c r="U263" s="1329"/>
      <c r="V263" s="933"/>
      <c r="W263" s="933"/>
      <c r="X263" s="933"/>
      <c r="Y263" s="1290"/>
      <c r="Z263" s="933"/>
      <c r="AA263" s="933"/>
      <c r="AD263" s="1290"/>
    </row>
    <row r="264" customFormat="false" ht="15.75" hidden="false" customHeight="true" outlineLevel="1" collapsed="false">
      <c r="A264" s="1350" t="s">
        <v>3099</v>
      </c>
      <c r="B264" s="1269" t="s">
        <v>156</v>
      </c>
      <c r="C264" s="887" t="n">
        <f aca="false">$C$143</f>
        <v>0.15</v>
      </c>
      <c r="D264" s="933" t="n">
        <f aca="false">$D$143</f>
        <v>0.05</v>
      </c>
      <c r="E264" s="1150" t="n">
        <f aca="false">IF('Ввод данных'!A6=связи1!A97,'Ввод данных'!C14,0)+IF('Ввод данных'!A6=связи1!A94,'Ввод данных'!C14-'Ввод данных'!C13,0)</f>
        <v>5</v>
      </c>
      <c r="F264" s="933" t="n">
        <f aca="false">2*IF('Ввод данных'!$F$194=связи1!$A$2,1,0)*IF('Ввод данных'!$B$155=связи1!$A$2,1,0)</f>
        <v>0</v>
      </c>
      <c r="G264" s="933" t="n">
        <f aca="false">C264*D264*E265*F264</f>
        <v>0</v>
      </c>
      <c r="H264" s="933"/>
      <c r="I264" s="933"/>
      <c r="J264" s="933"/>
      <c r="K264" s="933"/>
      <c r="L264" s="933"/>
      <c r="M264" s="933"/>
      <c r="N264" s="933"/>
      <c r="O264" s="933"/>
      <c r="P264" s="1290"/>
      <c r="Q264" s="1290"/>
      <c r="R264" s="1290"/>
      <c r="S264" s="933"/>
      <c r="T264" s="933"/>
      <c r="U264" s="1329"/>
      <c r="V264" s="933"/>
      <c r="W264" s="933"/>
      <c r="X264" s="933"/>
      <c r="Y264" s="1290"/>
      <c r="Z264" s="933"/>
      <c r="AA264" s="933"/>
      <c r="AD264" s="1290"/>
    </row>
    <row r="265" customFormat="false" ht="15.75" hidden="false" customHeight="true" outlineLevel="1" collapsed="false">
      <c r="A265" s="1350" t="s">
        <v>3100</v>
      </c>
      <c r="B265" s="1269" t="s">
        <v>156</v>
      </c>
      <c r="C265" s="887" t="n">
        <f aca="false">$C$143</f>
        <v>0.15</v>
      </c>
      <c r="D265" s="933" t="n">
        <f aca="false">$D$143</f>
        <v>0.05</v>
      </c>
      <c r="E265" s="1023" t="n">
        <f aca="false">IF('Ввод данных'!$A$6=связи1!$A$97,IF(дома!E264&lt;'Ввод данных'!$C$15,0,дома!E264-дома!$L$138),0)+IF(E264=0,0,IF('Ввод данных'!$A$6=связи1!$A$94,IF(дома!E264&lt;0,0,дома!E264-дома!$L$138),0))</f>
        <v>4.8</v>
      </c>
      <c r="F265" s="933" t="n">
        <f aca="false">2*IF('Ввод данных'!$F$194=связи1!$A$2,1,0)*IF('Ввод данных'!$B$155=связи1!$A$2,1,0)</f>
        <v>0</v>
      </c>
      <c r="G265" s="933" t="n">
        <f aca="false">C265*D265*E266*F265</f>
        <v>0</v>
      </c>
      <c r="H265" s="933"/>
      <c r="I265" s="933"/>
      <c r="J265" s="933"/>
      <c r="K265" s="933"/>
      <c r="L265" s="933"/>
      <c r="M265" s="933"/>
      <c r="N265" s="933"/>
      <c r="O265" s="933"/>
      <c r="P265" s="1290"/>
      <c r="Q265" s="1290"/>
      <c r="R265" s="1290"/>
      <c r="S265" s="933"/>
      <c r="T265" s="933"/>
      <c r="U265" s="1329"/>
      <c r="V265" s="933"/>
      <c r="W265" s="933"/>
      <c r="X265" s="933"/>
      <c r="Y265" s="1290"/>
      <c r="Z265" s="933"/>
      <c r="AA265" s="933"/>
      <c r="AD265" s="1290"/>
    </row>
    <row r="266" customFormat="false" ht="15.75" hidden="false" customHeight="true" outlineLevel="1" collapsed="false">
      <c r="A266" s="1350" t="s">
        <v>3101</v>
      </c>
      <c r="B266" s="1269" t="s">
        <v>156</v>
      </c>
      <c r="C266" s="887" t="n">
        <f aca="false">$C$143</f>
        <v>0.15</v>
      </c>
      <c r="D266" s="933" t="n">
        <f aca="false">$D$143</f>
        <v>0.05</v>
      </c>
      <c r="E266" s="1023" t="n">
        <f aca="false">IF('Ввод данных'!$A$6=связи1!$A$97,IF(дома!E265&lt;'Ввод данных'!$C$15,0,дома!E265-дома!$L$138),0)+IF(E265=0,0,IF('Ввод данных'!$A$6=связи1!$A$94,IF(дома!E265&lt;0,0,дома!E265-дома!$L$138),0))</f>
        <v>4.6</v>
      </c>
      <c r="F266" s="933" t="n">
        <f aca="false">2*IF('Ввод данных'!$F$194=связи1!$A$2,1,0)*IF('Ввод данных'!$B$155=связи1!$A$2,1,0)</f>
        <v>0</v>
      </c>
      <c r="G266" s="933" t="n">
        <f aca="false">C266*D266*E266*F266</f>
        <v>0</v>
      </c>
      <c r="H266" s="933"/>
      <c r="I266" s="933"/>
      <c r="J266" s="933"/>
      <c r="K266" s="933"/>
      <c r="L266" s="933"/>
      <c r="M266" s="933"/>
      <c r="N266" s="933"/>
      <c r="O266" s="933"/>
      <c r="P266" s="1290"/>
      <c r="Q266" s="1290"/>
      <c r="R266" s="1290"/>
      <c r="S266" s="933"/>
      <c r="T266" s="933"/>
      <c r="U266" s="1329"/>
      <c r="V266" s="933"/>
      <c r="W266" s="933"/>
      <c r="X266" s="933"/>
      <c r="Y266" s="1290"/>
      <c r="Z266" s="933"/>
      <c r="AA266" s="933"/>
      <c r="AD266" s="1290"/>
    </row>
    <row r="267" customFormat="false" ht="15.75" hidden="false" customHeight="true" outlineLevel="1" collapsed="false">
      <c r="A267" s="1350" t="s">
        <v>3102</v>
      </c>
      <c r="B267" s="1269" t="s">
        <v>156</v>
      </c>
      <c r="C267" s="887" t="n">
        <f aca="false">$C$143</f>
        <v>0.15</v>
      </c>
      <c r="D267" s="933" t="n">
        <f aca="false">$D$143</f>
        <v>0.05</v>
      </c>
      <c r="E267" s="1023" t="n">
        <f aca="false">IF('Ввод данных'!$A$6=связи1!$A$97,IF(дома!E266&lt;'Ввод данных'!$C$15,0,дома!E266-дома!$L$138),0)+IF(E266=0,0,IF('Ввод данных'!$A$6=связи1!$A$94,IF(дома!E266&lt;0,0,дома!E266-дома!$L$138),0))</f>
        <v>4.4</v>
      </c>
      <c r="F267" s="933" t="n">
        <f aca="false">2*IF('Ввод данных'!$F$194=связи1!$A$2,1,0)*IF('Ввод данных'!$B$155=связи1!$A$2,1,0)</f>
        <v>0</v>
      </c>
      <c r="G267" s="933" t="n">
        <f aca="false">C267*D267*E267*F267</f>
        <v>0</v>
      </c>
      <c r="H267" s="933"/>
      <c r="I267" s="933"/>
      <c r="J267" s="933"/>
      <c r="K267" s="933"/>
      <c r="L267" s="933"/>
      <c r="M267" s="933"/>
      <c r="N267" s="933"/>
      <c r="O267" s="933"/>
      <c r="P267" s="1290"/>
      <c r="Q267" s="1290"/>
      <c r="R267" s="1290"/>
      <c r="S267" s="933"/>
      <c r="T267" s="933"/>
      <c r="U267" s="1329"/>
      <c r="V267" s="933"/>
      <c r="W267" s="933"/>
      <c r="X267" s="933"/>
      <c r="Y267" s="1290"/>
      <c r="Z267" s="933"/>
      <c r="AA267" s="933"/>
      <c r="AD267" s="1290"/>
    </row>
    <row r="268" customFormat="false" ht="15.75" hidden="false" customHeight="true" outlineLevel="1" collapsed="false">
      <c r="A268" s="1350" t="s">
        <v>3103</v>
      </c>
      <c r="B268" s="1269" t="s">
        <v>156</v>
      </c>
      <c r="C268" s="887" t="n">
        <f aca="false">$C$143</f>
        <v>0.15</v>
      </c>
      <c r="D268" s="933" t="n">
        <f aca="false">$D$143</f>
        <v>0.05</v>
      </c>
      <c r="E268" s="1023" t="n">
        <f aca="false">IF('Ввод данных'!$A$6=связи1!$A$97,IF(дома!E267&lt;'Ввод данных'!$C$15,0,дома!E267-дома!$L$138),0)+IF(E267=0,0,IF('Ввод данных'!$A$6=связи1!$A$94,IF(дома!E267&lt;0,0,дома!E267-дома!$L$138),0))</f>
        <v>4.2</v>
      </c>
      <c r="F268" s="933" t="n">
        <f aca="false">2*IF('Ввод данных'!$F$194=связи1!$A$2,1,0)*IF('Ввод данных'!$B$155=связи1!$A$2,1,0)</f>
        <v>0</v>
      </c>
      <c r="G268" s="933" t="n">
        <f aca="false">C268*D268*E268*F268</f>
        <v>0</v>
      </c>
      <c r="H268" s="933"/>
      <c r="I268" s="933"/>
      <c r="J268" s="933"/>
      <c r="K268" s="933"/>
      <c r="L268" s="933"/>
      <c r="M268" s="933"/>
      <c r="N268" s="933"/>
      <c r="O268" s="933"/>
      <c r="P268" s="1290"/>
      <c r="Q268" s="1290"/>
      <c r="R268" s="1290"/>
      <c r="S268" s="933"/>
      <c r="T268" s="933"/>
      <c r="U268" s="1329"/>
      <c r="V268" s="933"/>
      <c r="W268" s="933"/>
      <c r="X268" s="933"/>
      <c r="Y268" s="1290"/>
      <c r="Z268" s="933"/>
      <c r="AA268" s="933"/>
      <c r="AD268" s="1290"/>
    </row>
    <row r="269" customFormat="false" ht="15.75" hidden="false" customHeight="true" outlineLevel="1" collapsed="false">
      <c r="A269" s="1350" t="s">
        <v>3104</v>
      </c>
      <c r="B269" s="1269" t="s">
        <v>156</v>
      </c>
      <c r="C269" s="887" t="n">
        <f aca="false">$C$143</f>
        <v>0.15</v>
      </c>
      <c r="D269" s="933" t="n">
        <f aca="false">$D$143</f>
        <v>0.05</v>
      </c>
      <c r="E269" s="1023" t="n">
        <f aca="false">IF('Ввод данных'!$A$6=связи1!$A$97,IF(дома!E268&lt;'Ввод данных'!$C$15,0,дома!E268-дома!$L$138),0)+IF(E268=0,0,IF('Ввод данных'!$A$6=связи1!$A$94,IF(дома!E268&lt;0,0,дома!E268-дома!$L$138),0))</f>
        <v>4</v>
      </c>
      <c r="F269" s="933" t="n">
        <f aca="false">2*IF('Ввод данных'!$F$194=связи1!$A$2,1,0)*IF('Ввод данных'!$B$155=связи1!$A$2,1,0)</f>
        <v>0</v>
      </c>
      <c r="G269" s="933" t="n">
        <f aca="false">C269*D269*E269*F269</f>
        <v>0</v>
      </c>
      <c r="H269" s="933"/>
      <c r="I269" s="933"/>
      <c r="J269" s="933"/>
      <c r="K269" s="933"/>
      <c r="L269" s="933"/>
      <c r="M269" s="933"/>
      <c r="N269" s="933"/>
      <c r="O269" s="933"/>
      <c r="P269" s="1290"/>
      <c r="Q269" s="1290"/>
      <c r="R269" s="1290"/>
      <c r="S269" s="933"/>
      <c r="T269" s="933"/>
      <c r="U269" s="1329"/>
      <c r="V269" s="933"/>
      <c r="W269" s="933"/>
      <c r="X269" s="933"/>
      <c r="Y269" s="1290"/>
      <c r="Z269" s="933"/>
      <c r="AA269" s="933"/>
      <c r="AD269" s="1290"/>
    </row>
    <row r="270" customFormat="false" ht="15.75" hidden="false" customHeight="true" outlineLevel="1" collapsed="false">
      <c r="A270" s="1350" t="s">
        <v>3105</v>
      </c>
      <c r="B270" s="1269" t="s">
        <v>156</v>
      </c>
      <c r="C270" s="887" t="n">
        <f aca="false">$C$143</f>
        <v>0.15</v>
      </c>
      <c r="D270" s="933" t="n">
        <f aca="false">$D$143</f>
        <v>0.05</v>
      </c>
      <c r="E270" s="1023" t="n">
        <f aca="false">IF('Ввод данных'!$A$6=связи1!$A$97,IF(дома!E269&lt;'Ввод данных'!$C$15,0,дома!E269-дома!$L$138),0)+IF(E269=0,0,IF('Ввод данных'!$A$6=связи1!$A$94,IF(дома!E269&lt;0,0,дома!E269-дома!$L$138),0))</f>
        <v>3.8</v>
      </c>
      <c r="F270" s="933" t="n">
        <f aca="false">2*IF('Ввод данных'!$F$194=связи1!$A$2,1,0)*IF('Ввод данных'!$B$155=связи1!$A$2,1,0)</f>
        <v>0</v>
      </c>
      <c r="G270" s="933" t="n">
        <f aca="false">C270*D270*E270*F270</f>
        <v>0</v>
      </c>
      <c r="H270" s="933"/>
      <c r="I270" s="933"/>
      <c r="J270" s="933"/>
      <c r="K270" s="933"/>
      <c r="L270" s="933"/>
      <c r="M270" s="933"/>
      <c r="N270" s="933"/>
      <c r="O270" s="933"/>
      <c r="P270" s="1290"/>
      <c r="Q270" s="1290"/>
      <c r="R270" s="1290"/>
      <c r="S270" s="933"/>
      <c r="T270" s="933"/>
      <c r="U270" s="1329"/>
      <c r="V270" s="933"/>
      <c r="W270" s="933"/>
      <c r="X270" s="933"/>
      <c r="Y270" s="1290"/>
      <c r="Z270" s="933"/>
      <c r="AA270" s="933"/>
      <c r="AD270" s="1290"/>
    </row>
    <row r="271" customFormat="false" ht="15.75" hidden="false" customHeight="true" outlineLevel="1" collapsed="false">
      <c r="A271" s="1350" t="s">
        <v>3106</v>
      </c>
      <c r="B271" s="1269" t="s">
        <v>156</v>
      </c>
      <c r="C271" s="887" t="n">
        <f aca="false">$C$143</f>
        <v>0.15</v>
      </c>
      <c r="D271" s="933" t="n">
        <f aca="false">$D$143</f>
        <v>0.05</v>
      </c>
      <c r="E271" s="1023" t="n">
        <f aca="false">IF('Ввод данных'!$A$6=связи1!$A$97,IF(дома!E270&lt;'Ввод данных'!$C$15,0,дома!E270-дома!$L$138),0)+IF(E270=0,0,IF('Ввод данных'!$A$6=связи1!$A$94,IF(дома!E270&lt;0,0,дома!E270-дома!$L$138),0))</f>
        <v>3.6</v>
      </c>
      <c r="F271" s="933" t="n">
        <f aca="false">2*IF('Ввод данных'!$F$194=связи1!$A$2,1,0)*IF('Ввод данных'!$B$155=связи1!$A$2,1,0)</f>
        <v>0</v>
      </c>
      <c r="G271" s="933" t="n">
        <f aca="false">C271*D271*E271*F271</f>
        <v>0</v>
      </c>
      <c r="H271" s="933"/>
      <c r="I271" s="933"/>
      <c r="J271" s="933"/>
      <c r="K271" s="933"/>
      <c r="L271" s="933"/>
      <c r="M271" s="933"/>
      <c r="N271" s="933"/>
      <c r="O271" s="933"/>
      <c r="P271" s="1290"/>
      <c r="Q271" s="1290"/>
      <c r="R271" s="1290"/>
      <c r="S271" s="933"/>
      <c r="T271" s="933"/>
      <c r="U271" s="1329"/>
      <c r="V271" s="933"/>
      <c r="W271" s="933"/>
      <c r="X271" s="933"/>
      <c r="Y271" s="1290"/>
      <c r="Z271" s="933"/>
      <c r="AA271" s="933"/>
      <c r="AD271" s="1290"/>
    </row>
    <row r="272" customFormat="false" ht="15.75" hidden="false" customHeight="true" outlineLevel="1" collapsed="false">
      <c r="A272" s="1350" t="s">
        <v>3107</v>
      </c>
      <c r="B272" s="1269" t="s">
        <v>156</v>
      </c>
      <c r="C272" s="887" t="n">
        <f aca="false">$C$143</f>
        <v>0.15</v>
      </c>
      <c r="D272" s="933" t="n">
        <f aca="false">$D$143</f>
        <v>0.05</v>
      </c>
      <c r="E272" s="1023" t="n">
        <f aca="false">IF('Ввод данных'!$A$6=связи1!$A$97,IF(дома!E271&lt;'Ввод данных'!$C$15,0,дома!E271-дома!$L$138),0)+IF(E271=0,0,IF('Ввод данных'!$A$6=связи1!$A$94,IF(дома!E271&lt;0,0,дома!E271-дома!$L$138),0))</f>
        <v>3.4</v>
      </c>
      <c r="F272" s="933" t="n">
        <f aca="false">2*IF('Ввод данных'!$F$194=связи1!$A$2,1,0)*IF('Ввод данных'!$B$155=связи1!$A$2,1,0)</f>
        <v>0</v>
      </c>
      <c r="G272" s="933" t="n">
        <f aca="false">C272*D272*E272*F272</f>
        <v>0</v>
      </c>
      <c r="H272" s="933"/>
      <c r="I272" s="933"/>
      <c r="J272" s="933"/>
      <c r="K272" s="933"/>
      <c r="L272" s="933"/>
      <c r="M272" s="933"/>
      <c r="N272" s="933"/>
      <c r="O272" s="933"/>
      <c r="P272" s="1290"/>
      <c r="Q272" s="1290"/>
      <c r="R272" s="1290"/>
      <c r="S272" s="933"/>
      <c r="T272" s="933"/>
      <c r="U272" s="1329"/>
      <c r="V272" s="933"/>
      <c r="W272" s="933"/>
      <c r="X272" s="933"/>
      <c r="Y272" s="1290"/>
      <c r="Z272" s="933"/>
      <c r="AA272" s="933"/>
      <c r="AD272" s="1290"/>
    </row>
    <row r="273" customFormat="false" ht="15.75" hidden="false" customHeight="true" outlineLevel="1" collapsed="false">
      <c r="A273" s="1350" t="s">
        <v>3108</v>
      </c>
      <c r="B273" s="1269" t="s">
        <v>156</v>
      </c>
      <c r="C273" s="887" t="n">
        <f aca="false">$C$143</f>
        <v>0.15</v>
      </c>
      <c r="D273" s="933" t="n">
        <f aca="false">$D$143</f>
        <v>0.05</v>
      </c>
      <c r="E273" s="1023" t="n">
        <f aca="false">IF('Ввод данных'!$A$6=связи1!$A$97,IF(дома!E272&lt;'Ввод данных'!$C$15,0,дома!E272-дома!$L$138),0)+IF(E272=0,0,IF('Ввод данных'!$A$6=связи1!$A$94,IF(дома!E272&lt;0,0,дома!E272-дома!$L$138),0))</f>
        <v>3.2</v>
      </c>
      <c r="F273" s="933" t="n">
        <f aca="false">2*IF('Ввод данных'!$F$194=связи1!$A$2,1,0)*IF('Ввод данных'!$B$155=связи1!$A$2,1,0)</f>
        <v>0</v>
      </c>
      <c r="G273" s="933" t="n">
        <f aca="false">C273*D273*E273*F273</f>
        <v>0</v>
      </c>
      <c r="H273" s="933"/>
      <c r="I273" s="933"/>
      <c r="J273" s="933"/>
      <c r="K273" s="933"/>
      <c r="L273" s="933"/>
      <c r="M273" s="933"/>
      <c r="N273" s="933"/>
      <c r="O273" s="933"/>
      <c r="P273" s="1290"/>
      <c r="Q273" s="1290"/>
      <c r="R273" s="1290"/>
      <c r="S273" s="933"/>
      <c r="T273" s="933"/>
      <c r="U273" s="1329"/>
      <c r="V273" s="933"/>
      <c r="W273" s="933"/>
      <c r="X273" s="933"/>
      <c r="Y273" s="1290"/>
      <c r="Z273" s="933"/>
      <c r="AA273" s="933"/>
      <c r="AD273" s="1290"/>
    </row>
    <row r="274" customFormat="false" ht="15.75" hidden="false" customHeight="true" outlineLevel="1" collapsed="false">
      <c r="A274" s="1350" t="s">
        <v>3109</v>
      </c>
      <c r="B274" s="1269" t="s">
        <v>156</v>
      </c>
      <c r="C274" s="887" t="n">
        <f aca="false">$C$143</f>
        <v>0.15</v>
      </c>
      <c r="D274" s="933" t="n">
        <f aca="false">$D$143</f>
        <v>0.05</v>
      </c>
      <c r="E274" s="1023" t="n">
        <f aca="false">IF('Ввод данных'!$A$6=связи1!$A$97,IF(дома!E273&lt;'Ввод данных'!$C$15,0,дома!E273-дома!$L$138),0)+IF(E273=0,0,IF('Ввод данных'!$A$6=связи1!$A$94,IF(дома!E273&lt;0,0,дома!E273-дома!$L$138),0))</f>
        <v>3</v>
      </c>
      <c r="F274" s="933" t="n">
        <f aca="false">2*IF('Ввод данных'!$F$194=связи1!$A$2,1,0)*IF('Ввод данных'!$B$155=связи1!$A$2,1,0)</f>
        <v>0</v>
      </c>
      <c r="G274" s="933" t="n">
        <f aca="false">C274*D274*E274*F274</f>
        <v>0</v>
      </c>
      <c r="H274" s="933"/>
      <c r="I274" s="933"/>
      <c r="J274" s="933"/>
      <c r="K274" s="933"/>
      <c r="L274" s="933"/>
      <c r="M274" s="933"/>
      <c r="N274" s="933"/>
      <c r="O274" s="933"/>
      <c r="P274" s="1290"/>
      <c r="Q274" s="1290"/>
      <c r="R274" s="1290"/>
      <c r="S274" s="933"/>
      <c r="T274" s="933"/>
      <c r="U274" s="1329"/>
      <c r="V274" s="933"/>
      <c r="W274" s="933"/>
      <c r="X274" s="933"/>
      <c r="Y274" s="1290"/>
      <c r="Z274" s="933"/>
      <c r="AA274" s="933"/>
      <c r="AD274" s="1290"/>
    </row>
    <row r="275" customFormat="false" ht="15.75" hidden="false" customHeight="true" outlineLevel="1" collapsed="false">
      <c r="A275" s="1350" t="s">
        <v>3110</v>
      </c>
      <c r="B275" s="1269" t="s">
        <v>156</v>
      </c>
      <c r="C275" s="887" t="n">
        <f aca="false">$C$143</f>
        <v>0.15</v>
      </c>
      <c r="D275" s="933" t="n">
        <f aca="false">$D$143</f>
        <v>0.05</v>
      </c>
      <c r="E275" s="1023" t="n">
        <f aca="false">IF('Ввод данных'!$A$6=связи1!$A$97,IF(дома!E274&lt;'Ввод данных'!$C$15,0,дома!E274-дома!$L$138),0)+IF(E274=0,0,IF('Ввод данных'!$A$6=связи1!$A$94,IF(дома!E274&lt;0,0,дома!E274-дома!$L$138),0))</f>
        <v>2.8</v>
      </c>
      <c r="F275" s="933" t="n">
        <f aca="false">2*IF('Ввод данных'!$F$194=связи1!$A$2,1,0)*IF('Ввод данных'!$B$155=связи1!$A$2,1,0)</f>
        <v>0</v>
      </c>
      <c r="G275" s="933" t="n">
        <f aca="false">C275*D275*E275*F275</f>
        <v>0</v>
      </c>
      <c r="H275" s="933"/>
      <c r="I275" s="933"/>
      <c r="J275" s="933"/>
      <c r="K275" s="933"/>
      <c r="L275" s="933"/>
      <c r="M275" s="933"/>
      <c r="N275" s="933"/>
      <c r="O275" s="933"/>
      <c r="P275" s="1290"/>
      <c r="Q275" s="1290"/>
      <c r="R275" s="1290"/>
      <c r="S275" s="933"/>
      <c r="T275" s="933"/>
      <c r="U275" s="1329"/>
      <c r="V275" s="933"/>
      <c r="W275" s="933"/>
      <c r="X275" s="933"/>
      <c r="Y275" s="1290"/>
      <c r="Z275" s="933"/>
      <c r="AA275" s="933"/>
      <c r="AD275" s="1290"/>
    </row>
    <row r="276" customFormat="false" ht="15.75" hidden="false" customHeight="true" outlineLevel="1" collapsed="false">
      <c r="A276" s="1350" t="s">
        <v>3111</v>
      </c>
      <c r="B276" s="1269" t="s">
        <v>156</v>
      </c>
      <c r="C276" s="887" t="n">
        <f aca="false">$C$143</f>
        <v>0.15</v>
      </c>
      <c r="D276" s="933" t="n">
        <f aca="false">$D$143</f>
        <v>0.05</v>
      </c>
      <c r="E276" s="1023" t="n">
        <f aca="false">IF('Ввод данных'!$A$6=связи1!$A$97,IF(дома!E275&lt;'Ввод данных'!$C$15,0,дома!E275-дома!$L$138),0)+IF(E275=0,0,IF('Ввод данных'!$A$6=связи1!$A$94,IF(дома!E275&lt;0,0,дома!E275-дома!$L$138),0))</f>
        <v>2.6</v>
      </c>
      <c r="F276" s="933" t="n">
        <f aca="false">2*IF('Ввод данных'!$F$194=связи1!$A$2,1,0)*IF('Ввод данных'!$B$155=связи1!$A$2,1,0)</f>
        <v>0</v>
      </c>
      <c r="G276" s="933" t="n">
        <f aca="false">C276*D276*E276*F276</f>
        <v>0</v>
      </c>
      <c r="H276" s="933"/>
      <c r="I276" s="933"/>
      <c r="J276" s="933"/>
      <c r="K276" s="933"/>
      <c r="L276" s="933"/>
      <c r="M276" s="933"/>
      <c r="N276" s="933"/>
      <c r="O276" s="933"/>
      <c r="P276" s="1290"/>
      <c r="Q276" s="1290"/>
      <c r="R276" s="1290"/>
      <c r="S276" s="933"/>
      <c r="T276" s="933"/>
      <c r="U276" s="1329"/>
      <c r="V276" s="933"/>
      <c r="W276" s="933"/>
      <c r="X276" s="933"/>
      <c r="Y276" s="1290"/>
      <c r="Z276" s="933"/>
      <c r="AA276" s="933"/>
      <c r="AD276" s="1290"/>
    </row>
    <row r="277" customFormat="false" ht="15.75" hidden="false" customHeight="true" outlineLevel="1" collapsed="false">
      <c r="A277" s="1350" t="s">
        <v>3112</v>
      </c>
      <c r="B277" s="1269" t="s">
        <v>156</v>
      </c>
      <c r="C277" s="887" t="n">
        <f aca="false">$C$143</f>
        <v>0.15</v>
      </c>
      <c r="D277" s="933" t="n">
        <f aca="false">$D$143</f>
        <v>0.05</v>
      </c>
      <c r="E277" s="1023" t="n">
        <f aca="false">IF('Ввод данных'!$A$6=связи1!$A$97,IF(дома!E276&lt;'Ввод данных'!$C$15,0,дома!E276-дома!$L$138),0)+IF(E276=0,0,IF('Ввод данных'!$A$6=связи1!$A$94,IF(дома!E276&lt;0,0,дома!E276-дома!$L$138),0))</f>
        <v>2.4</v>
      </c>
      <c r="F277" s="933" t="n">
        <f aca="false">2*IF('Ввод данных'!$F$194=связи1!$A$2,1,0)*IF('Ввод данных'!$B$155=связи1!$A$2,1,0)</f>
        <v>0</v>
      </c>
      <c r="G277" s="933" t="n">
        <f aca="false">C277*D277*E277*F277</f>
        <v>0</v>
      </c>
      <c r="H277" s="933"/>
      <c r="I277" s="933"/>
      <c r="J277" s="933"/>
      <c r="K277" s="933"/>
      <c r="L277" s="933"/>
      <c r="M277" s="933"/>
      <c r="N277" s="933"/>
      <c r="O277" s="933"/>
      <c r="P277" s="1290"/>
      <c r="Q277" s="1290"/>
      <c r="R277" s="1290"/>
      <c r="S277" s="933"/>
      <c r="T277" s="933"/>
      <c r="U277" s="1329"/>
      <c r="V277" s="933"/>
      <c r="W277" s="933"/>
      <c r="X277" s="933"/>
      <c r="Y277" s="1290"/>
      <c r="Z277" s="933"/>
      <c r="AA277" s="933"/>
      <c r="AD277" s="1290"/>
    </row>
    <row r="278" customFormat="false" ht="15.75" hidden="false" customHeight="true" outlineLevel="1" collapsed="false">
      <c r="A278" s="1350" t="s">
        <v>3113</v>
      </c>
      <c r="B278" s="1269" t="s">
        <v>156</v>
      </c>
      <c r="C278" s="887" t="n">
        <f aca="false">$C$143</f>
        <v>0.15</v>
      </c>
      <c r="D278" s="933" t="n">
        <f aca="false">$D$143</f>
        <v>0.05</v>
      </c>
      <c r="E278" s="1023" t="n">
        <f aca="false">IF('Ввод данных'!$A$6=связи1!$A$97,IF(дома!E277&lt;'Ввод данных'!$C$15,0,дома!E277-дома!$L$138),0)+IF(E277=0,0,IF('Ввод данных'!$A$6=связи1!$A$94,IF(дома!E277&lt;0,0,дома!E277-дома!$L$138),0))</f>
        <v>2.2</v>
      </c>
      <c r="F278" s="933" t="n">
        <f aca="false">2*IF('Ввод данных'!$F$194=связи1!$A$2,1,0)*IF('Ввод данных'!$B$155=связи1!$A$2,1,0)</f>
        <v>0</v>
      </c>
      <c r="G278" s="933" t="n">
        <f aca="false">C278*D278*E278*F278</f>
        <v>0</v>
      </c>
      <c r="H278" s="933"/>
      <c r="I278" s="933"/>
      <c r="J278" s="933"/>
      <c r="K278" s="933"/>
      <c r="L278" s="933"/>
      <c r="M278" s="933"/>
      <c r="N278" s="933"/>
      <c r="O278" s="933"/>
      <c r="P278" s="1290"/>
      <c r="Q278" s="1290"/>
      <c r="R278" s="1290"/>
      <c r="S278" s="933"/>
      <c r="T278" s="933"/>
      <c r="U278" s="1329"/>
      <c r="V278" s="933"/>
      <c r="W278" s="933"/>
      <c r="X278" s="933"/>
      <c r="Y278" s="1290"/>
      <c r="Z278" s="933"/>
      <c r="AA278" s="933"/>
      <c r="AD278" s="1290"/>
    </row>
    <row r="279" customFormat="false" ht="15.75" hidden="false" customHeight="true" outlineLevel="1" collapsed="false">
      <c r="A279" s="1350" t="s">
        <v>3114</v>
      </c>
      <c r="B279" s="1269" t="s">
        <v>156</v>
      </c>
      <c r="C279" s="887" t="n">
        <f aca="false">$C$143</f>
        <v>0.15</v>
      </c>
      <c r="D279" s="933" t="n">
        <f aca="false">$D$143</f>
        <v>0.05</v>
      </c>
      <c r="E279" s="1023" t="n">
        <f aca="false">IF('Ввод данных'!$A$6=связи1!$A$97,IF(дома!E278&lt;'Ввод данных'!$C$15,0,дома!E278-дома!$L$138),0)+IF(E278=0,0,IF('Ввод данных'!$A$6=связи1!$A$94,IF(дома!E278&lt;0,0,дома!E278-дома!$L$138),0))</f>
        <v>2</v>
      </c>
      <c r="F279" s="933" t="n">
        <f aca="false">2*IF('Ввод данных'!$F$194=связи1!$A$2,1,0)*IF('Ввод данных'!$B$155=связи1!$A$2,1,0)</f>
        <v>0</v>
      </c>
      <c r="G279" s="933" t="n">
        <f aca="false">C279*D279*E279*F279</f>
        <v>0</v>
      </c>
      <c r="H279" s="933"/>
      <c r="I279" s="933"/>
      <c r="J279" s="933"/>
      <c r="K279" s="933"/>
      <c r="L279" s="933"/>
      <c r="M279" s="933"/>
      <c r="N279" s="933"/>
      <c r="O279" s="933"/>
      <c r="P279" s="1290"/>
      <c r="Q279" s="1290"/>
      <c r="R279" s="1290"/>
      <c r="S279" s="933"/>
      <c r="T279" s="933"/>
      <c r="U279" s="1329"/>
      <c r="V279" s="933"/>
      <c r="W279" s="933"/>
      <c r="X279" s="933"/>
      <c r="Y279" s="1290"/>
      <c r="Z279" s="933"/>
      <c r="AA279" s="933"/>
      <c r="AD279" s="1290"/>
    </row>
    <row r="280" customFormat="false" ht="15.75" hidden="false" customHeight="true" outlineLevel="1" collapsed="false">
      <c r="A280" s="1350" t="s">
        <v>3115</v>
      </c>
      <c r="B280" s="1269" t="s">
        <v>156</v>
      </c>
      <c r="C280" s="887" t="n">
        <f aca="false">$C$143</f>
        <v>0.15</v>
      </c>
      <c r="D280" s="933" t="n">
        <f aca="false">$D$143</f>
        <v>0.05</v>
      </c>
      <c r="E280" s="1023" t="n">
        <f aca="false">IF('Ввод данных'!$A$6=связи1!$A$97,IF(дома!E279&lt;'Ввод данных'!$C$15,0,дома!E279-дома!$L$138),0)+IF(E279=0,0,IF('Ввод данных'!$A$6=связи1!$A$94,IF(дома!E279&lt;0,0,дома!E279-дома!$L$138),0))</f>
        <v>1.8</v>
      </c>
      <c r="F280" s="933" t="n">
        <f aca="false">2*IF('Ввод данных'!$F$194=связи1!$A$2,1,0)*IF('Ввод данных'!$B$155=связи1!$A$2,1,0)</f>
        <v>0</v>
      </c>
      <c r="G280" s="933" t="n">
        <f aca="false">C280*D280*E280*F280</f>
        <v>0</v>
      </c>
      <c r="H280" s="933"/>
      <c r="I280" s="933"/>
      <c r="J280" s="933"/>
      <c r="K280" s="933"/>
      <c r="L280" s="933"/>
      <c r="M280" s="933"/>
      <c r="N280" s="933"/>
      <c r="O280" s="933"/>
      <c r="P280" s="1290"/>
      <c r="Q280" s="1290"/>
      <c r="R280" s="1290"/>
      <c r="S280" s="933"/>
      <c r="T280" s="933"/>
      <c r="U280" s="1329"/>
      <c r="V280" s="933"/>
      <c r="W280" s="933"/>
      <c r="X280" s="933"/>
      <c r="Y280" s="1290"/>
      <c r="Z280" s="933"/>
      <c r="AA280" s="933"/>
      <c r="AD280" s="1290"/>
    </row>
    <row r="281" customFormat="false" ht="15.75" hidden="false" customHeight="true" outlineLevel="1" collapsed="false">
      <c r="A281" s="1350" t="s">
        <v>3116</v>
      </c>
      <c r="B281" s="1269" t="s">
        <v>156</v>
      </c>
      <c r="C281" s="887" t="n">
        <f aca="false">$C$143</f>
        <v>0.15</v>
      </c>
      <c r="D281" s="933" t="n">
        <f aca="false">$D$143</f>
        <v>0.05</v>
      </c>
      <c r="E281" s="1023" t="n">
        <f aca="false">IF('Ввод данных'!$A$6=связи1!$A$97,IF(дома!E280&lt;'Ввод данных'!$C$15,0,дома!E280-дома!$L$138),0)+IF(E280=0,0,IF('Ввод данных'!$A$6=связи1!$A$94,IF(дома!E280&lt;0,0,дома!E280-дома!$L$138),0))</f>
        <v>1.6</v>
      </c>
      <c r="F281" s="933" t="n">
        <f aca="false">2*IF('Ввод данных'!$F$194=связи1!$A$2,1,0)*IF('Ввод данных'!$B$155=связи1!$A$2,1,0)</f>
        <v>0</v>
      </c>
      <c r="G281" s="933" t="n">
        <f aca="false">C281*D281*E281*F281</f>
        <v>0</v>
      </c>
      <c r="H281" s="933"/>
      <c r="I281" s="933"/>
      <c r="J281" s="933"/>
      <c r="K281" s="933"/>
      <c r="L281" s="933"/>
      <c r="M281" s="933"/>
      <c r="N281" s="933"/>
      <c r="O281" s="933"/>
      <c r="P281" s="1290"/>
      <c r="Q281" s="1290"/>
      <c r="R281" s="1290"/>
      <c r="S281" s="933"/>
      <c r="T281" s="933"/>
      <c r="U281" s="1329"/>
      <c r="V281" s="933"/>
      <c r="W281" s="933"/>
      <c r="X281" s="933"/>
      <c r="Y281" s="1290"/>
      <c r="Z281" s="933"/>
      <c r="AA281" s="933"/>
      <c r="AD281" s="1290"/>
    </row>
    <row r="282" customFormat="false" ht="15.75" hidden="false" customHeight="true" outlineLevel="1" collapsed="false">
      <c r="A282" s="1350" t="s">
        <v>3117</v>
      </c>
      <c r="B282" s="1269" t="s">
        <v>156</v>
      </c>
      <c r="C282" s="887" t="n">
        <f aca="false">$C$143</f>
        <v>0.15</v>
      </c>
      <c r="D282" s="933" t="n">
        <f aca="false">$D$143</f>
        <v>0.05</v>
      </c>
      <c r="E282" s="1023" t="n">
        <f aca="false">IF('Ввод данных'!$A$6=связи1!$A$97,IF(дома!E281&lt;'Ввод данных'!$C$15,0,дома!E281-дома!$L$138),0)+IF(E281=0,0,IF('Ввод данных'!$A$6=связи1!$A$94,IF(дома!E281&lt;0,0,дома!E281-дома!$L$138),0))</f>
        <v>1.4</v>
      </c>
      <c r="F282" s="933" t="n">
        <f aca="false">2*IF('Ввод данных'!$F$194=связи1!$A$2,1,0)*IF('Ввод данных'!$B$155=связи1!$A$2,1,0)</f>
        <v>0</v>
      </c>
      <c r="G282" s="933" t="n">
        <f aca="false">C282*D282*E282*F282</f>
        <v>0</v>
      </c>
      <c r="H282" s="933"/>
      <c r="I282" s="933"/>
      <c r="J282" s="933"/>
      <c r="K282" s="933"/>
      <c r="L282" s="933"/>
      <c r="M282" s="933"/>
      <c r="N282" s="933"/>
      <c r="O282" s="933"/>
      <c r="P282" s="1290"/>
      <c r="Q282" s="1290"/>
      <c r="R282" s="1290"/>
      <c r="S282" s="933"/>
      <c r="T282" s="933"/>
      <c r="U282" s="1329"/>
      <c r="V282" s="933"/>
      <c r="W282" s="933"/>
      <c r="X282" s="933"/>
      <c r="Y282" s="1290"/>
      <c r="Z282" s="933"/>
      <c r="AA282" s="933"/>
      <c r="AD282" s="1290"/>
    </row>
    <row r="283" customFormat="false" ht="15.75" hidden="false" customHeight="true" outlineLevel="1" collapsed="false">
      <c r="A283" s="1350" t="s">
        <v>3118</v>
      </c>
      <c r="B283" s="1269" t="s">
        <v>156</v>
      </c>
      <c r="C283" s="887" t="n">
        <f aca="false">$C$143</f>
        <v>0.15</v>
      </c>
      <c r="D283" s="933" t="n">
        <f aca="false">$D$143</f>
        <v>0.05</v>
      </c>
      <c r="E283" s="1023" t="n">
        <f aca="false">IF('Ввод данных'!$A$6=связи1!$A$97,IF(дома!E282&lt;'Ввод данных'!$C$15,0,дома!E282-дома!$L$138),0)+IF(E282=0,0,IF('Ввод данных'!$A$6=связи1!$A$94,IF(дома!E282&lt;0,0,дома!E282-дома!$L$138),0))</f>
        <v>1.2</v>
      </c>
      <c r="F283" s="933" t="n">
        <f aca="false">2*IF('Ввод данных'!$F$194=связи1!$A$2,1,0)*IF('Ввод данных'!$B$155=связи1!$A$2,1,0)</f>
        <v>0</v>
      </c>
      <c r="G283" s="933" t="n">
        <f aca="false">C283*D283*E283*F283</f>
        <v>0</v>
      </c>
      <c r="H283" s="933"/>
      <c r="I283" s="933"/>
      <c r="J283" s="933"/>
      <c r="K283" s="933"/>
      <c r="L283" s="933"/>
      <c r="M283" s="933"/>
      <c r="N283" s="933"/>
      <c r="O283" s="933"/>
      <c r="P283" s="1290"/>
      <c r="Q283" s="1290"/>
      <c r="R283" s="1290"/>
      <c r="S283" s="933"/>
      <c r="T283" s="933"/>
      <c r="U283" s="1329"/>
      <c r="V283" s="933"/>
      <c r="W283" s="933"/>
      <c r="X283" s="933"/>
      <c r="Y283" s="1290"/>
      <c r="Z283" s="933"/>
      <c r="AA283" s="933"/>
      <c r="AD283" s="1290"/>
    </row>
    <row r="284" customFormat="false" ht="15.75" hidden="false" customHeight="true" outlineLevel="1" collapsed="false">
      <c r="A284" s="1350" t="s">
        <v>3119</v>
      </c>
      <c r="B284" s="1269" t="s">
        <v>156</v>
      </c>
      <c r="C284" s="887" t="n">
        <f aca="false">$C$143</f>
        <v>0.15</v>
      </c>
      <c r="D284" s="933" t="n">
        <f aca="false">$D$143</f>
        <v>0.05</v>
      </c>
      <c r="E284" s="1023" t="n">
        <f aca="false">IF('Ввод данных'!$A$6=связи1!$A$97,IF(дома!E283&lt;'Ввод данных'!$C$15,0,дома!E283-дома!$L$138),0)+IF(E283=0,0,IF('Ввод данных'!$A$6=связи1!$A$94,IF(дома!E283&lt;0,0,дома!E283-дома!$L$138),0))</f>
        <v>0.999999999999998</v>
      </c>
      <c r="F284" s="933" t="n">
        <f aca="false">2*IF('Ввод данных'!$F$194=связи1!$A$2,1,0)*IF('Ввод данных'!$B$155=связи1!$A$2,1,0)</f>
        <v>0</v>
      </c>
      <c r="G284" s="933" t="n">
        <f aca="false">C284*D284*E284*F284</f>
        <v>0</v>
      </c>
      <c r="H284" s="933"/>
      <c r="I284" s="933"/>
      <c r="J284" s="933"/>
      <c r="K284" s="933"/>
      <c r="L284" s="933"/>
      <c r="M284" s="933"/>
      <c r="N284" s="933"/>
      <c r="O284" s="933"/>
      <c r="P284" s="1290"/>
      <c r="Q284" s="1290"/>
      <c r="R284" s="1290"/>
      <c r="S284" s="933"/>
      <c r="T284" s="933"/>
      <c r="U284" s="1329"/>
      <c r="V284" s="933"/>
      <c r="W284" s="933"/>
      <c r="X284" s="933"/>
      <c r="Y284" s="1290"/>
      <c r="Z284" s="933"/>
      <c r="AA284" s="933"/>
      <c r="AD284" s="1290"/>
    </row>
    <row r="285" customFormat="false" ht="15.75" hidden="false" customHeight="true" outlineLevel="1" collapsed="false">
      <c r="A285" s="1350" t="s">
        <v>3120</v>
      </c>
      <c r="B285" s="1269" t="s">
        <v>156</v>
      </c>
      <c r="C285" s="887" t="n">
        <f aca="false">$C$143</f>
        <v>0.15</v>
      </c>
      <c r="D285" s="933" t="n">
        <f aca="false">$D$143</f>
        <v>0.05</v>
      </c>
      <c r="E285" s="1023" t="n">
        <f aca="false">IF('Ввод данных'!$A$6=связи1!$A$97,IF(дома!E284&lt;'Ввод данных'!$C$15,0,дома!E284-дома!$L$138),0)+IF(E284=0,0,IF('Ввод данных'!$A$6=связи1!$A$94,IF(дома!E284&lt;0,0,дома!E284-дома!$L$138),0))</f>
        <v>0.799999999999998</v>
      </c>
      <c r="F285" s="933" t="n">
        <f aca="false">2*IF('Ввод данных'!$F$194=связи1!$A$2,1,0)*IF('Ввод данных'!$B$155=связи1!$A$2,1,0)</f>
        <v>0</v>
      </c>
      <c r="G285" s="933" t="n">
        <f aca="false">C285*D285*E285*F285</f>
        <v>0</v>
      </c>
      <c r="H285" s="933"/>
      <c r="I285" s="933"/>
      <c r="J285" s="933"/>
      <c r="K285" s="933"/>
      <c r="L285" s="933"/>
      <c r="M285" s="933"/>
      <c r="N285" s="933"/>
      <c r="O285" s="933"/>
      <c r="P285" s="1290"/>
      <c r="Q285" s="1290"/>
      <c r="R285" s="1290"/>
      <c r="S285" s="933"/>
      <c r="T285" s="933"/>
      <c r="U285" s="1329"/>
      <c r="V285" s="933"/>
      <c r="W285" s="933"/>
      <c r="X285" s="933"/>
      <c r="Y285" s="1290"/>
      <c r="Z285" s="933"/>
      <c r="AA285" s="933"/>
      <c r="AD285" s="1290"/>
    </row>
    <row r="286" customFormat="false" ht="15.75" hidden="false" customHeight="true" outlineLevel="1" collapsed="false">
      <c r="A286" s="1350" t="s">
        <v>3121</v>
      </c>
      <c r="B286" s="1269" t="s">
        <v>156</v>
      </c>
      <c r="C286" s="887" t="n">
        <f aca="false">$C$143</f>
        <v>0.15</v>
      </c>
      <c r="D286" s="933" t="n">
        <f aca="false">$D$143</f>
        <v>0.05</v>
      </c>
      <c r="E286" s="1023" t="n">
        <f aca="false">IF('Ввод данных'!$A$6=связи1!$A$97,IF(дома!E285&lt;'Ввод данных'!$C$15,0,дома!E285-дома!$L$138),0)+IF(E285=0,0,IF('Ввод данных'!$A$6=связи1!$A$94,IF(дома!E285&lt;0,0,дома!E285-дома!$L$138),0))</f>
        <v>0.599999999999998</v>
      </c>
      <c r="F286" s="933" t="n">
        <f aca="false">2*IF('Ввод данных'!$F$194=связи1!$A$2,1,0)*IF('Ввод данных'!$B$155=связи1!$A$2,1,0)</f>
        <v>0</v>
      </c>
      <c r="G286" s="933" t="n">
        <f aca="false">C286*D286*E286*F286</f>
        <v>0</v>
      </c>
      <c r="H286" s="933"/>
      <c r="I286" s="933"/>
      <c r="J286" s="933"/>
      <c r="K286" s="933"/>
      <c r="L286" s="933"/>
      <c r="M286" s="933"/>
      <c r="N286" s="933"/>
      <c r="O286" s="933"/>
      <c r="P286" s="1290"/>
      <c r="Q286" s="1290"/>
      <c r="R286" s="1290"/>
      <c r="S286" s="933"/>
      <c r="T286" s="933"/>
      <c r="U286" s="1329"/>
      <c r="V286" s="933"/>
      <c r="W286" s="933"/>
      <c r="X286" s="933"/>
      <c r="Y286" s="1290"/>
      <c r="Z286" s="933"/>
      <c r="AA286" s="933"/>
      <c r="AD286" s="1290"/>
    </row>
    <row r="287" customFormat="false" ht="15.75" hidden="false" customHeight="true" outlineLevel="1" collapsed="false">
      <c r="A287" s="1350" t="s">
        <v>3122</v>
      </c>
      <c r="B287" s="1269" t="s">
        <v>156</v>
      </c>
      <c r="C287" s="887" t="n">
        <f aca="false">$C$143</f>
        <v>0.15</v>
      </c>
      <c r="D287" s="933" t="n">
        <f aca="false">$D$143</f>
        <v>0.05</v>
      </c>
      <c r="E287" s="1023" t="n">
        <f aca="false">IF('Ввод данных'!$A$6=связи1!$A$97,IF(дома!E286&lt;'Ввод данных'!$C$15,0,дома!E286-дома!$L$138),0)+IF(E286=0,0,IF('Ввод данных'!$A$6=связи1!$A$94,IF(дома!E286&lt;0,0,дома!E286-дома!$L$138),0))</f>
        <v>0.399999999999998</v>
      </c>
      <c r="F287" s="933" t="n">
        <f aca="false">2*IF('Ввод данных'!$F$194=связи1!$A$2,1,0)*IF('Ввод данных'!$B$155=связи1!$A$2,1,0)</f>
        <v>0</v>
      </c>
      <c r="G287" s="933" t="n">
        <f aca="false">C287*D287*E287*F287</f>
        <v>0</v>
      </c>
      <c r="H287" s="933"/>
      <c r="I287" s="933"/>
      <c r="J287" s="933"/>
      <c r="K287" s="933"/>
      <c r="L287" s="933"/>
      <c r="M287" s="933"/>
      <c r="N287" s="933"/>
      <c r="O287" s="933"/>
      <c r="P287" s="1290"/>
      <c r="Q287" s="1290"/>
      <c r="R287" s="1290"/>
      <c r="S287" s="933"/>
      <c r="T287" s="933"/>
      <c r="U287" s="1329"/>
      <c r="V287" s="933"/>
      <c r="W287" s="933"/>
      <c r="X287" s="933"/>
      <c r="Y287" s="1290"/>
      <c r="Z287" s="933"/>
      <c r="AA287" s="933"/>
      <c r="AD287" s="1290"/>
    </row>
    <row r="288" customFormat="false" ht="15.75" hidden="false" customHeight="true" outlineLevel="1" collapsed="false">
      <c r="A288" s="1350" t="s">
        <v>3123</v>
      </c>
      <c r="B288" s="1269" t="s">
        <v>156</v>
      </c>
      <c r="C288" s="887" t="n">
        <f aca="false">$C$143</f>
        <v>0.15</v>
      </c>
      <c r="D288" s="933" t="n">
        <f aca="false">$D$143</f>
        <v>0.05</v>
      </c>
      <c r="E288" s="1023" t="n">
        <f aca="false">IF('Ввод данных'!$A$6=связи1!$A$97,IF(дома!E287&lt;'Ввод данных'!$C$15,0,дома!E287-дома!$L$138),0)+IF(E287=0,0,IF('Ввод данных'!$A$6=связи1!$A$94,IF(дома!E287&lt;0,0,дома!E287-дома!$L$138),0))</f>
        <v>0.199999999999998</v>
      </c>
      <c r="F288" s="933" t="n">
        <f aca="false">2*IF('Ввод данных'!$F$194=связи1!$A$2,1,0)*IF('Ввод данных'!$B$155=связи1!$A$2,1,0)</f>
        <v>0</v>
      </c>
      <c r="G288" s="933" t="n">
        <f aca="false">C288*D288*E288*F288</f>
        <v>0</v>
      </c>
      <c r="H288" s="933"/>
      <c r="I288" s="933"/>
      <c r="J288" s="933"/>
      <c r="K288" s="933"/>
      <c r="L288" s="933"/>
      <c r="M288" s="933"/>
      <c r="N288" s="933"/>
      <c r="O288" s="933"/>
      <c r="P288" s="1290"/>
      <c r="Q288" s="1290"/>
      <c r="R288" s="1290"/>
      <c r="S288" s="933"/>
      <c r="T288" s="933"/>
      <c r="U288" s="1329"/>
      <c r="V288" s="933"/>
      <c r="W288" s="933"/>
      <c r="X288" s="933"/>
      <c r="Y288" s="1290"/>
      <c r="Z288" s="933"/>
      <c r="AA288" s="933"/>
      <c r="AD288" s="1290"/>
    </row>
    <row r="289" customFormat="false" ht="15.75" hidden="false" customHeight="true" outlineLevel="1" collapsed="false">
      <c r="A289" s="1350" t="s">
        <v>3124</v>
      </c>
      <c r="B289" s="1269" t="s">
        <v>156</v>
      </c>
      <c r="C289" s="887" t="n">
        <f aca="false">$C$143</f>
        <v>0.15</v>
      </c>
      <c r="D289" s="933" t="n">
        <f aca="false">$D$143</f>
        <v>0.05</v>
      </c>
      <c r="E289" s="1023" t="n">
        <f aca="false">IF('Ввод данных'!$A$6=связи1!$A$97,IF(дома!E288&lt;'Ввод данных'!$C$15,0,дома!E288-дома!$L$138),0)+IF(E288=0,0,IF('Ввод данных'!$A$6=связи1!$A$94,IF(дома!E288&lt;0,0,дома!E288-дома!$L$138),0))</f>
        <v>-2.05391259555654E-015</v>
      </c>
      <c r="F289" s="933" t="n">
        <f aca="false">2*IF('Ввод данных'!$F$194=связи1!$A$2,1,0)*IF('Ввод данных'!$B$155=связи1!$A$2,1,0)</f>
        <v>0</v>
      </c>
      <c r="G289" s="933" t="n">
        <f aca="false">C289*D289*E289*F289</f>
        <v>-0</v>
      </c>
      <c r="H289" s="933"/>
      <c r="I289" s="933"/>
      <c r="J289" s="933"/>
      <c r="K289" s="933"/>
      <c r="L289" s="933"/>
      <c r="M289" s="933"/>
      <c r="N289" s="933"/>
      <c r="O289" s="933"/>
      <c r="P289" s="1290"/>
      <c r="Q289" s="1290"/>
      <c r="R289" s="1290"/>
      <c r="S289" s="933"/>
      <c r="T289" s="933"/>
      <c r="U289" s="1329"/>
      <c r="V289" s="933"/>
      <c r="W289" s="933"/>
      <c r="X289" s="933"/>
      <c r="Y289" s="1290"/>
      <c r="Z289" s="933"/>
      <c r="AA289" s="933"/>
      <c r="AD289" s="1290"/>
    </row>
    <row r="290" customFormat="false" ht="15.75" hidden="false" customHeight="true" outlineLevel="1" collapsed="false">
      <c r="A290" s="1350" t="s">
        <v>3125</v>
      </c>
      <c r="B290" s="1269" t="s">
        <v>156</v>
      </c>
      <c r="C290" s="887" t="n">
        <f aca="false">$C$143</f>
        <v>0.15</v>
      </c>
      <c r="D290" s="933" t="n">
        <f aca="false">$D$143</f>
        <v>0.05</v>
      </c>
      <c r="E290" s="1023" t="n">
        <f aca="false">IF('Ввод данных'!$A$6=связи1!$A$97,IF(дома!E289&lt;'Ввод данных'!$C$15,0,дома!E289-дома!$L$138),0)+IF(E289=0,0,IF('Ввод данных'!$A$6=связи1!$A$94,IF(дома!E289&lt;0,0,дома!E289-дома!$L$138),0))</f>
        <v>0</v>
      </c>
      <c r="F290" s="933" t="n">
        <f aca="false">2*IF('Ввод данных'!$F$194=связи1!$A$2,1,0)*IF('Ввод данных'!$B$155=связи1!$A$2,1,0)</f>
        <v>0</v>
      </c>
      <c r="G290" s="933" t="n">
        <f aca="false">C290*D290*E290*F290</f>
        <v>0</v>
      </c>
      <c r="H290" s="933"/>
      <c r="I290" s="933"/>
      <c r="J290" s="933"/>
      <c r="K290" s="933"/>
      <c r="L290" s="933"/>
      <c r="M290" s="933"/>
      <c r="N290" s="933"/>
      <c r="O290" s="933"/>
      <c r="P290" s="1290"/>
      <c r="Q290" s="1290"/>
      <c r="R290" s="1290"/>
      <c r="S290" s="933"/>
      <c r="T290" s="933"/>
      <c r="U290" s="1329"/>
      <c r="V290" s="933"/>
      <c r="W290" s="933"/>
      <c r="X290" s="933"/>
      <c r="Y290" s="1290"/>
      <c r="Z290" s="933"/>
      <c r="AA290" s="933"/>
      <c r="AD290" s="1290"/>
    </row>
    <row r="291" customFormat="false" ht="15.75" hidden="false" customHeight="true" outlineLevel="1" collapsed="false">
      <c r="A291" s="1350" t="s">
        <v>3126</v>
      </c>
      <c r="B291" s="1269" t="s">
        <v>156</v>
      </c>
      <c r="C291" s="887" t="n">
        <f aca="false">$C$143</f>
        <v>0.15</v>
      </c>
      <c r="D291" s="933" t="n">
        <f aca="false">$D$143</f>
        <v>0.05</v>
      </c>
      <c r="E291" s="1023" t="n">
        <f aca="false">IF('Ввод данных'!$A$6=связи1!$A$97,IF(дома!E290&lt;'Ввод данных'!$C$15,0,дома!E290-дома!$L$138),0)+IF(E290=0,0,IF('Ввод данных'!$A$6=связи1!$A$94,IF(дома!E290&lt;0,0,дома!E290-дома!$L$138),0))</f>
        <v>0</v>
      </c>
      <c r="F291" s="933" t="n">
        <f aca="false">2*IF('Ввод данных'!$F$194=связи1!$A$2,1,0)*IF('Ввод данных'!$B$155=связи1!$A$2,1,0)</f>
        <v>0</v>
      </c>
      <c r="G291" s="933" t="n">
        <f aca="false">C291*D291*E291*F291</f>
        <v>0</v>
      </c>
      <c r="H291" s="933"/>
      <c r="I291" s="933"/>
      <c r="J291" s="933"/>
      <c r="K291" s="933"/>
      <c r="L291" s="933"/>
      <c r="M291" s="933"/>
      <c r="N291" s="933"/>
      <c r="O291" s="933"/>
      <c r="P291" s="1290"/>
      <c r="Q291" s="1290"/>
      <c r="R291" s="1290"/>
      <c r="S291" s="933"/>
      <c r="T291" s="933"/>
      <c r="U291" s="1329"/>
      <c r="V291" s="933"/>
      <c r="W291" s="933"/>
      <c r="X291" s="933"/>
      <c r="Y291" s="1290"/>
      <c r="Z291" s="933"/>
      <c r="AA291" s="933"/>
      <c r="AD291" s="1290"/>
    </row>
    <row r="292" customFormat="false" ht="15.75" hidden="false" customHeight="true" outlineLevel="1" collapsed="false">
      <c r="A292" s="1350" t="s">
        <v>3127</v>
      </c>
      <c r="B292" s="1269" t="s">
        <v>156</v>
      </c>
      <c r="C292" s="887" t="n">
        <f aca="false">$C$143</f>
        <v>0.15</v>
      </c>
      <c r="D292" s="933" t="n">
        <f aca="false">$D$143</f>
        <v>0.05</v>
      </c>
      <c r="E292" s="1023" t="n">
        <f aca="false">IF('Ввод данных'!$A$6=связи1!$A$97,IF(дома!E291&lt;'Ввод данных'!$C$15,0,дома!E291-дома!$L$138),0)+IF(E291=0,0,IF('Ввод данных'!$A$6=связи1!$A$94,IF(дома!E291&lt;0,0,дома!E291-дома!$L$138),0))</f>
        <v>0</v>
      </c>
      <c r="F292" s="933" t="n">
        <f aca="false">2*IF('Ввод данных'!$F$194=связи1!$A$2,1,0)*IF('Ввод данных'!$B$155=связи1!$A$2,1,0)</f>
        <v>0</v>
      </c>
      <c r="G292" s="933" t="n">
        <f aca="false">C292*D292*E292*F292</f>
        <v>0</v>
      </c>
      <c r="H292" s="933"/>
      <c r="I292" s="933"/>
      <c r="J292" s="933"/>
      <c r="K292" s="933"/>
      <c r="L292" s="933"/>
      <c r="M292" s="933"/>
      <c r="N292" s="933"/>
      <c r="O292" s="933"/>
      <c r="P292" s="1290"/>
      <c r="Q292" s="1290"/>
      <c r="R292" s="1290"/>
      <c r="S292" s="933"/>
      <c r="T292" s="933"/>
      <c r="U292" s="1329"/>
      <c r="V292" s="933"/>
      <c r="W292" s="933"/>
      <c r="X292" s="933"/>
      <c r="Y292" s="1290"/>
      <c r="Z292" s="933"/>
      <c r="AA292" s="933"/>
      <c r="AD292" s="1290"/>
    </row>
    <row r="293" customFormat="false" ht="15.75" hidden="false" customHeight="true" outlineLevel="1" collapsed="false">
      <c r="A293" s="1350" t="s">
        <v>3128</v>
      </c>
      <c r="B293" s="1269" t="s">
        <v>156</v>
      </c>
      <c r="C293" s="887" t="n">
        <f aca="false">$C$143</f>
        <v>0.15</v>
      </c>
      <c r="D293" s="933" t="n">
        <f aca="false">$D$143</f>
        <v>0.05</v>
      </c>
      <c r="E293" s="1023" t="n">
        <f aca="false">IF('Ввод данных'!$A$6=связи1!$A$97,IF(дома!E292&lt;'Ввод данных'!$C$15,0,дома!E292-дома!$L$138),0)+IF(E292=0,0,IF('Ввод данных'!$A$6=связи1!$A$94,IF(дома!E292&lt;0,0,дома!E292-дома!$L$138),0))</f>
        <v>0</v>
      </c>
      <c r="F293" s="933" t="n">
        <f aca="false">2*IF('Ввод данных'!$F$194=связи1!$A$2,1,0)*IF('Ввод данных'!$B$155=связи1!$A$2,1,0)</f>
        <v>0</v>
      </c>
      <c r="G293" s="933" t="n">
        <f aca="false">C293*D293*E293*F293</f>
        <v>0</v>
      </c>
      <c r="H293" s="933"/>
      <c r="I293" s="933"/>
      <c r="J293" s="933"/>
      <c r="K293" s="933"/>
      <c r="L293" s="933"/>
      <c r="M293" s="933"/>
      <c r="N293" s="933"/>
      <c r="O293" s="933"/>
      <c r="P293" s="1290"/>
      <c r="Q293" s="1290"/>
      <c r="R293" s="1290"/>
      <c r="S293" s="933"/>
      <c r="T293" s="933"/>
      <c r="U293" s="1329"/>
      <c r="V293" s="933"/>
      <c r="W293" s="933"/>
      <c r="X293" s="933"/>
      <c r="Y293" s="1290"/>
      <c r="Z293" s="933"/>
      <c r="AA293" s="933"/>
      <c r="AD293" s="1290"/>
    </row>
    <row r="294" customFormat="false" ht="15.75" hidden="false" customHeight="true" outlineLevel="1" collapsed="false">
      <c r="A294" s="1350" t="s">
        <v>3129</v>
      </c>
      <c r="B294" s="1269" t="s">
        <v>156</v>
      </c>
      <c r="C294" s="887" t="n">
        <f aca="false">$C$143</f>
        <v>0.15</v>
      </c>
      <c r="D294" s="933" t="n">
        <f aca="false">$D$143</f>
        <v>0.05</v>
      </c>
      <c r="E294" s="1023" t="n">
        <f aca="false">IF('Ввод данных'!$A$6=связи1!$A$97,IF(дома!E293&lt;'Ввод данных'!$C$15,0,дома!E293-дома!$L$138),0)+IF(E293=0,0,IF('Ввод данных'!$A$6=связи1!$A$94,IF(дома!E293&lt;0,0,дома!E293-дома!$L$138),0))</f>
        <v>0</v>
      </c>
      <c r="F294" s="933" t="n">
        <f aca="false">2*IF('Ввод данных'!$F$194=связи1!$A$2,1,0)*IF('Ввод данных'!$B$155=связи1!$A$2,1,0)</f>
        <v>0</v>
      </c>
      <c r="G294" s="933" t="n">
        <f aca="false">C294*D294*E294*F294</f>
        <v>0</v>
      </c>
      <c r="H294" s="933"/>
      <c r="I294" s="933"/>
      <c r="J294" s="933"/>
      <c r="K294" s="933"/>
      <c r="L294" s="933"/>
      <c r="M294" s="933"/>
      <c r="N294" s="933"/>
      <c r="O294" s="933"/>
      <c r="P294" s="1290"/>
      <c r="Q294" s="1290"/>
      <c r="R294" s="1290"/>
      <c r="S294" s="933"/>
      <c r="T294" s="933"/>
      <c r="U294" s="1329"/>
      <c r="V294" s="933"/>
      <c r="W294" s="933"/>
      <c r="X294" s="933"/>
      <c r="Y294" s="1290"/>
      <c r="Z294" s="933"/>
      <c r="AA294" s="933"/>
      <c r="AD294" s="1290"/>
    </row>
    <row r="295" customFormat="false" ht="15.75" hidden="false" customHeight="true" outlineLevel="1" collapsed="false">
      <c r="A295" s="1350" t="s">
        <v>3130</v>
      </c>
      <c r="B295" s="1269" t="s">
        <v>156</v>
      </c>
      <c r="C295" s="887" t="n">
        <f aca="false">$C$143</f>
        <v>0.15</v>
      </c>
      <c r="D295" s="933" t="n">
        <f aca="false">$D$143</f>
        <v>0.05</v>
      </c>
      <c r="E295" s="1023" t="n">
        <f aca="false">IF('Ввод данных'!$A$6=связи1!$A$97,IF(дома!E294&lt;'Ввод данных'!$C$15,0,дома!E294-дома!$L$138),0)+IF(E294=0,0,IF('Ввод данных'!$A$6=связи1!$A$94,IF(дома!E294&lt;0,0,дома!E294-дома!$L$138),0))</f>
        <v>0</v>
      </c>
      <c r="F295" s="933" t="n">
        <f aca="false">2*IF('Ввод данных'!$F$194=связи1!$A$2,1,0)*IF('Ввод данных'!$B$155=связи1!$A$2,1,0)</f>
        <v>0</v>
      </c>
      <c r="G295" s="933" t="n">
        <f aca="false">C295*D295*E295*F295</f>
        <v>0</v>
      </c>
      <c r="H295" s="933"/>
      <c r="I295" s="933"/>
      <c r="J295" s="933"/>
      <c r="K295" s="933"/>
      <c r="L295" s="933"/>
      <c r="M295" s="933"/>
      <c r="N295" s="933"/>
      <c r="O295" s="933"/>
      <c r="P295" s="1290"/>
      <c r="Q295" s="1290"/>
      <c r="R295" s="1290"/>
      <c r="S295" s="933"/>
      <c r="T295" s="933"/>
      <c r="U295" s="1329"/>
      <c r="V295" s="933"/>
      <c r="W295" s="933"/>
      <c r="X295" s="933"/>
      <c r="Y295" s="1290"/>
      <c r="Z295" s="933"/>
      <c r="AA295" s="933"/>
      <c r="AD295" s="1290"/>
    </row>
    <row r="296" customFormat="false" ht="15.75" hidden="false" customHeight="true" outlineLevel="1" collapsed="false">
      <c r="A296" s="1350" t="s">
        <v>3131</v>
      </c>
      <c r="B296" s="1269" t="s">
        <v>156</v>
      </c>
      <c r="C296" s="887" t="n">
        <f aca="false">$C$143</f>
        <v>0.15</v>
      </c>
      <c r="D296" s="933" t="n">
        <f aca="false">$D$143</f>
        <v>0.05</v>
      </c>
      <c r="E296" s="1023" t="n">
        <f aca="false">IF('Ввод данных'!$A$6=связи1!$A$97,IF(дома!E295&lt;'Ввод данных'!$C$15,0,дома!E295-дома!$L$138),0)+IF(E295=0,0,IF('Ввод данных'!$A$6=связи1!$A$94,IF(дома!E295&lt;0,0,дома!E295-дома!$L$138),0))</f>
        <v>0</v>
      </c>
      <c r="F296" s="933" t="n">
        <f aca="false">2*IF('Ввод данных'!$F$194=связи1!$A$2,1,0)*IF('Ввод данных'!$B$155=связи1!$A$2,1,0)</f>
        <v>0</v>
      </c>
      <c r="G296" s="933" t="n">
        <f aca="false">C296*D296*E296*F296</f>
        <v>0</v>
      </c>
      <c r="H296" s="933"/>
      <c r="I296" s="933"/>
      <c r="J296" s="933"/>
      <c r="K296" s="933"/>
      <c r="L296" s="933"/>
      <c r="M296" s="933"/>
      <c r="N296" s="933"/>
      <c r="O296" s="933"/>
      <c r="P296" s="1290"/>
      <c r="Q296" s="1290"/>
      <c r="R296" s="1290"/>
      <c r="S296" s="933"/>
      <c r="T296" s="933"/>
      <c r="U296" s="1329"/>
      <c r="V296" s="933"/>
      <c r="W296" s="933"/>
      <c r="X296" s="933"/>
      <c r="Y296" s="1290"/>
      <c r="Z296" s="933"/>
      <c r="AA296" s="933"/>
      <c r="AD296" s="1290"/>
    </row>
    <row r="297" customFormat="false" ht="15.75" hidden="false" customHeight="true" outlineLevel="1" collapsed="false">
      <c r="A297" s="1350" t="s">
        <v>3132</v>
      </c>
      <c r="B297" s="1269" t="s">
        <v>156</v>
      </c>
      <c r="C297" s="887" t="n">
        <f aca="false">$C$143</f>
        <v>0.15</v>
      </c>
      <c r="D297" s="933" t="n">
        <f aca="false">$D$143</f>
        <v>0.05</v>
      </c>
      <c r="E297" s="1023" t="n">
        <f aca="false">IF('Ввод данных'!$A$6=связи1!$A$97,IF(дома!E296&lt;'Ввод данных'!$C$15,0,дома!E296-дома!$L$138),0)+IF(E296=0,0,IF('Ввод данных'!$A$6=связи1!$A$94,IF(дома!E296&lt;0,0,дома!E296-дома!$L$138),0))</f>
        <v>0</v>
      </c>
      <c r="F297" s="933" t="n">
        <f aca="false">2*IF('Ввод данных'!$F$194=связи1!$A$2,1,0)*IF('Ввод данных'!$B$155=связи1!$A$2,1,0)</f>
        <v>0</v>
      </c>
      <c r="G297" s="933" t="n">
        <f aca="false">C297*D297*E297*F297</f>
        <v>0</v>
      </c>
      <c r="H297" s="933"/>
      <c r="I297" s="933"/>
      <c r="J297" s="933"/>
      <c r="K297" s="933"/>
      <c r="L297" s="933"/>
      <c r="M297" s="933"/>
      <c r="N297" s="933"/>
      <c r="O297" s="933"/>
      <c r="P297" s="1290"/>
      <c r="Q297" s="1290"/>
      <c r="R297" s="1290"/>
      <c r="S297" s="933"/>
      <c r="T297" s="933"/>
      <c r="U297" s="1329"/>
      <c r="V297" s="933"/>
      <c r="W297" s="933"/>
      <c r="X297" s="933"/>
      <c r="Y297" s="1290"/>
      <c r="Z297" s="933"/>
      <c r="AA297" s="933"/>
      <c r="AD297" s="1290"/>
    </row>
    <row r="298" customFormat="false" ht="15.75" hidden="false" customHeight="true" outlineLevel="1" collapsed="false">
      <c r="A298" s="1350" t="s">
        <v>3133</v>
      </c>
      <c r="B298" s="1269" t="s">
        <v>156</v>
      </c>
      <c r="C298" s="887" t="n">
        <f aca="false">$C$143</f>
        <v>0.15</v>
      </c>
      <c r="D298" s="933" t="n">
        <f aca="false">$D$143</f>
        <v>0.05</v>
      </c>
      <c r="E298" s="1023" t="n">
        <f aca="false">IF('Ввод данных'!$A$6=связи1!$A$97,IF(дома!E297&lt;'Ввод данных'!$C$15,0,дома!E297-дома!$L$138),0)+IF(E297=0,0,IF('Ввод данных'!$A$6=связи1!$A$94,IF(дома!E297&lt;0,0,дома!E297-дома!$L$138),0))</f>
        <v>0</v>
      </c>
      <c r="F298" s="933" t="n">
        <f aca="false">2*IF('Ввод данных'!$F$194=связи1!$A$2,1,0)*IF('Ввод данных'!$B$155=связи1!$A$2,1,0)</f>
        <v>0</v>
      </c>
      <c r="G298" s="933" t="n">
        <f aca="false">C298*D298*E298*F298</f>
        <v>0</v>
      </c>
      <c r="H298" s="933"/>
      <c r="I298" s="933"/>
      <c r="J298" s="933"/>
      <c r="K298" s="933"/>
      <c r="L298" s="933"/>
      <c r="M298" s="933"/>
      <c r="N298" s="933"/>
      <c r="O298" s="933"/>
      <c r="P298" s="1290"/>
      <c r="Q298" s="1290"/>
      <c r="R298" s="1290"/>
      <c r="S298" s="933"/>
      <c r="T298" s="933"/>
      <c r="U298" s="1329"/>
      <c r="V298" s="933"/>
      <c r="W298" s="933"/>
      <c r="X298" s="933"/>
      <c r="Y298" s="1290"/>
      <c r="Z298" s="933"/>
      <c r="AA298" s="933"/>
      <c r="AD298" s="1290"/>
    </row>
    <row r="299" customFormat="false" ht="15.75" hidden="false" customHeight="true" outlineLevel="1" collapsed="false">
      <c r="A299" s="1350" t="s">
        <v>3134</v>
      </c>
      <c r="B299" s="1269" t="s">
        <v>156</v>
      </c>
      <c r="C299" s="887" t="n">
        <f aca="false">$C$143</f>
        <v>0.15</v>
      </c>
      <c r="D299" s="933" t="n">
        <f aca="false">$D$143</f>
        <v>0.05</v>
      </c>
      <c r="E299" s="1023" t="n">
        <f aca="false">IF('Ввод данных'!$A$6=связи1!$A$97,IF(дома!E298&lt;'Ввод данных'!$C$15,0,дома!E298-дома!$L$138),0)+IF(E298=0,0,IF('Ввод данных'!$A$6=связи1!$A$94,IF(дома!E298&lt;0,0,дома!E298-дома!$L$138),0))</f>
        <v>0</v>
      </c>
      <c r="F299" s="933" t="n">
        <f aca="false">2*IF('Ввод данных'!$F$194=связи1!$A$2,1,0)*IF('Ввод данных'!$B$155=связи1!$A$2,1,0)</f>
        <v>0</v>
      </c>
      <c r="G299" s="933" t="n">
        <f aca="false">C299*D299*E299*F299</f>
        <v>0</v>
      </c>
      <c r="H299" s="933"/>
      <c r="I299" s="933"/>
      <c r="J299" s="933"/>
      <c r="K299" s="933"/>
      <c r="L299" s="933"/>
      <c r="M299" s="933"/>
      <c r="N299" s="933"/>
      <c r="O299" s="933"/>
      <c r="P299" s="1290"/>
      <c r="Q299" s="1290"/>
      <c r="R299" s="1290"/>
      <c r="S299" s="933"/>
      <c r="T299" s="933"/>
      <c r="U299" s="1329"/>
      <c r="V299" s="933"/>
      <c r="W299" s="933"/>
      <c r="X299" s="933"/>
      <c r="Y299" s="1290"/>
      <c r="Z299" s="933"/>
      <c r="AA299" s="933"/>
      <c r="AD299" s="1290"/>
    </row>
    <row r="300" customFormat="false" ht="15.75" hidden="false" customHeight="true" outlineLevel="1" collapsed="false">
      <c r="A300" s="1350" t="s">
        <v>3135</v>
      </c>
      <c r="B300" s="1269" t="s">
        <v>156</v>
      </c>
      <c r="C300" s="887" t="n">
        <f aca="false">$C$143</f>
        <v>0.15</v>
      </c>
      <c r="D300" s="933" t="n">
        <f aca="false">$D$143</f>
        <v>0.05</v>
      </c>
      <c r="E300" s="1023" t="n">
        <f aca="false">IF('Ввод данных'!$A$6=связи1!$A$97,IF(дома!E299&lt;'Ввод данных'!$C$15,0,дома!E299-дома!$L$138),0)+IF(E299=0,0,IF('Ввод данных'!$A$6=связи1!$A$94,IF(дома!E299&lt;0,0,дома!E299-дома!$L$138),0))</f>
        <v>0</v>
      </c>
      <c r="F300" s="933" t="n">
        <f aca="false">2*IF('Ввод данных'!$F$194=связи1!$A$2,1,0)*IF('Ввод данных'!$B$155=связи1!$A$2,1,0)</f>
        <v>0</v>
      </c>
      <c r="G300" s="933" t="n">
        <f aca="false">C300*D300*E300*F300</f>
        <v>0</v>
      </c>
      <c r="H300" s="933"/>
      <c r="I300" s="933"/>
      <c r="J300" s="933"/>
      <c r="K300" s="933"/>
      <c r="L300" s="933"/>
      <c r="M300" s="933"/>
      <c r="N300" s="933"/>
      <c r="O300" s="933"/>
      <c r="P300" s="1290"/>
      <c r="Q300" s="1290"/>
      <c r="R300" s="1290"/>
      <c r="S300" s="933"/>
      <c r="T300" s="933"/>
      <c r="U300" s="1329"/>
      <c r="V300" s="933"/>
      <c r="W300" s="933"/>
      <c r="X300" s="933"/>
      <c r="Y300" s="1290"/>
      <c r="Z300" s="933"/>
      <c r="AA300" s="933"/>
      <c r="AD300" s="1290"/>
    </row>
    <row r="301" customFormat="false" ht="15.75" hidden="false" customHeight="true" outlineLevel="1" collapsed="false">
      <c r="A301" s="1350" t="s">
        <v>3136</v>
      </c>
      <c r="B301" s="1269" t="s">
        <v>156</v>
      </c>
      <c r="C301" s="887" t="n">
        <f aca="false">$C$143</f>
        <v>0.15</v>
      </c>
      <c r="D301" s="933" t="n">
        <f aca="false">$D$143</f>
        <v>0.05</v>
      </c>
      <c r="E301" s="1023" t="n">
        <f aca="false">IF('Ввод данных'!$A$6=связи1!$A$97,IF(дома!E300&lt;'Ввод данных'!$C$15,0,дома!E300-дома!$L$138),0)+IF(E300=0,0,IF('Ввод данных'!$A$6=связи1!$A$94,IF(дома!E300&lt;0,0,дома!E300-дома!$L$138),0))</f>
        <v>0</v>
      </c>
      <c r="F301" s="933" t="n">
        <f aca="false">2*IF('Ввод данных'!$F$194=связи1!$A$2,1,0)*IF('Ввод данных'!$B$155=связи1!$A$2,1,0)</f>
        <v>0</v>
      </c>
      <c r="G301" s="933" t="n">
        <f aca="false">C301*D301*E301*F301</f>
        <v>0</v>
      </c>
      <c r="H301" s="933"/>
      <c r="I301" s="933"/>
      <c r="J301" s="933"/>
      <c r="K301" s="933"/>
      <c r="L301" s="933"/>
      <c r="M301" s="933"/>
      <c r="N301" s="933"/>
      <c r="O301" s="933"/>
      <c r="P301" s="1290"/>
      <c r="Q301" s="1290"/>
      <c r="R301" s="1290"/>
      <c r="S301" s="933"/>
      <c r="T301" s="933"/>
      <c r="U301" s="1329"/>
      <c r="V301" s="933"/>
      <c r="W301" s="933"/>
      <c r="X301" s="933"/>
      <c r="Y301" s="1290"/>
      <c r="Z301" s="933"/>
      <c r="AA301" s="933"/>
      <c r="AD301" s="1290"/>
    </row>
    <row r="302" customFormat="false" ht="15.75" hidden="false" customHeight="true" outlineLevel="1" collapsed="false">
      <c r="A302" s="1350" t="s">
        <v>3137</v>
      </c>
      <c r="B302" s="1269" t="s">
        <v>156</v>
      </c>
      <c r="C302" s="887" t="n">
        <f aca="false">$C$143</f>
        <v>0.15</v>
      </c>
      <c r="D302" s="933" t="n">
        <f aca="false">$D$143</f>
        <v>0.05</v>
      </c>
      <c r="E302" s="1023" t="n">
        <f aca="false">IF('Ввод данных'!$A$6=связи1!$A$97,IF(дома!E301&lt;'Ввод данных'!$C$15,0,дома!E301-дома!$L$138),0)+IF(E301=0,0,IF('Ввод данных'!$A$6=связи1!$A$94,IF(дома!E301&lt;0,0,дома!E301-дома!$L$138),0))</f>
        <v>0</v>
      </c>
      <c r="F302" s="933" t="n">
        <f aca="false">2*IF('Ввод данных'!$F$194=связи1!$A$2,1,0)*IF('Ввод данных'!$B$155=связи1!$A$2,1,0)</f>
        <v>0</v>
      </c>
      <c r="G302" s="933" t="n">
        <f aca="false">C302*D302*E302*F302</f>
        <v>0</v>
      </c>
      <c r="H302" s="933"/>
      <c r="I302" s="933"/>
      <c r="J302" s="933"/>
      <c r="K302" s="933"/>
      <c r="L302" s="933"/>
      <c r="M302" s="933"/>
      <c r="N302" s="933"/>
      <c r="O302" s="933"/>
      <c r="P302" s="1290"/>
      <c r="Q302" s="1290"/>
      <c r="R302" s="1290"/>
      <c r="S302" s="933"/>
      <c r="T302" s="933"/>
      <c r="U302" s="1329"/>
      <c r="V302" s="933"/>
      <c r="W302" s="933"/>
      <c r="X302" s="933"/>
      <c r="Y302" s="1290"/>
      <c r="Z302" s="933"/>
      <c r="AA302" s="933"/>
      <c r="AD302" s="1290"/>
    </row>
    <row r="303" customFormat="false" ht="15.75" hidden="false" customHeight="true" outlineLevel="1" collapsed="false">
      <c r="A303" s="1350" t="s">
        <v>3138</v>
      </c>
      <c r="B303" s="1269" t="s">
        <v>156</v>
      </c>
      <c r="C303" s="887" t="n">
        <f aca="false">$C$143</f>
        <v>0.15</v>
      </c>
      <c r="D303" s="933" t="n">
        <f aca="false">$D$143</f>
        <v>0.05</v>
      </c>
      <c r="E303" s="1023" t="n">
        <f aca="false">IF('Ввод данных'!$A$6=связи1!$A$97,IF(дома!E302&lt;'Ввод данных'!$C$15,0,дома!E302-дома!$L$138),0)+IF(E302=0,0,IF('Ввод данных'!$A$6=связи1!$A$94,IF(дома!E302&lt;0,0,дома!E302-дома!$L$138),0))</f>
        <v>0</v>
      </c>
      <c r="F303" s="933" t="n">
        <f aca="false">2*IF('Ввод данных'!$F$194=связи1!$A$2,1,0)*IF('Ввод данных'!$B$155=связи1!$A$2,1,0)</f>
        <v>0</v>
      </c>
      <c r="G303" s="933" t="n">
        <f aca="false">C303*D303*E303*F303</f>
        <v>0</v>
      </c>
      <c r="H303" s="933"/>
      <c r="I303" s="933"/>
      <c r="J303" s="933"/>
      <c r="K303" s="933"/>
      <c r="L303" s="933"/>
      <c r="M303" s="933"/>
      <c r="N303" s="933"/>
      <c r="O303" s="933"/>
      <c r="P303" s="1290"/>
      <c r="Q303" s="1290"/>
      <c r="R303" s="1290"/>
      <c r="S303" s="933"/>
      <c r="T303" s="933"/>
      <c r="U303" s="1329"/>
      <c r="V303" s="933"/>
      <c r="W303" s="933"/>
      <c r="X303" s="933"/>
      <c r="Y303" s="1290"/>
      <c r="Z303" s="933"/>
      <c r="AA303" s="933"/>
      <c r="AD303" s="1290"/>
    </row>
    <row r="304" customFormat="false" ht="15.75" hidden="false" customHeight="true" outlineLevel="1" collapsed="false">
      <c r="A304" s="1350" t="s">
        <v>3139</v>
      </c>
      <c r="B304" s="1269" t="s">
        <v>156</v>
      </c>
      <c r="C304" s="887" t="n">
        <f aca="false">$C$143</f>
        <v>0.15</v>
      </c>
      <c r="D304" s="933" t="n">
        <f aca="false">$D$143</f>
        <v>0.05</v>
      </c>
      <c r="E304" s="1023" t="n">
        <f aca="false">IF('Ввод данных'!$A$6=связи1!$A$97,IF(дома!E303&lt;'Ввод данных'!$C$15,0,дома!E303-дома!$L$138),0)+IF(E303=0,0,IF('Ввод данных'!$A$6=связи1!$A$94,IF(дома!E303&lt;0,0,дома!E303-дома!$L$138),0))</f>
        <v>0</v>
      </c>
      <c r="F304" s="933" t="n">
        <f aca="false">2*IF('Ввод данных'!$F$194=связи1!$A$2,1,0)*IF('Ввод данных'!$B$155=связи1!$A$2,1,0)</f>
        <v>0</v>
      </c>
      <c r="G304" s="933" t="n">
        <f aca="false">C304*D304*E304*F304</f>
        <v>0</v>
      </c>
      <c r="H304" s="933"/>
      <c r="I304" s="933"/>
      <c r="J304" s="933"/>
      <c r="K304" s="933"/>
      <c r="L304" s="933"/>
      <c r="M304" s="933"/>
      <c r="N304" s="933"/>
      <c r="O304" s="933"/>
      <c r="P304" s="1290"/>
      <c r="Q304" s="1290"/>
      <c r="R304" s="1290"/>
      <c r="S304" s="933"/>
      <c r="T304" s="933"/>
      <c r="U304" s="1329"/>
      <c r="V304" s="933"/>
      <c r="W304" s="933"/>
      <c r="X304" s="933"/>
      <c r="Y304" s="1290"/>
      <c r="Z304" s="933"/>
      <c r="AA304" s="933"/>
      <c r="AD304" s="1290"/>
    </row>
    <row r="305" customFormat="false" ht="15.75" hidden="false" customHeight="true" outlineLevel="1" collapsed="false">
      <c r="A305" s="1350" t="s">
        <v>3140</v>
      </c>
      <c r="B305" s="1269" t="s">
        <v>156</v>
      </c>
      <c r="C305" s="887" t="n">
        <f aca="false">$C$143</f>
        <v>0.15</v>
      </c>
      <c r="D305" s="933" t="n">
        <f aca="false">$D$143</f>
        <v>0.05</v>
      </c>
      <c r="E305" s="1023" t="n">
        <f aca="false">IF('Ввод данных'!$A$6=связи1!$A$97,IF(дома!E304&lt;'Ввод данных'!$C$15,0,дома!E304-дома!$L$138),0)+IF(E304=0,0,IF('Ввод данных'!$A$6=связи1!$A$94,IF(дома!E304&lt;0,0,дома!E304-дома!$L$138),0))</f>
        <v>0</v>
      </c>
      <c r="F305" s="933" t="n">
        <f aca="false">2*IF('Ввод данных'!$F$194=связи1!$A$2,1,0)*IF('Ввод данных'!$B$155=связи1!$A$2,1,0)</f>
        <v>0</v>
      </c>
      <c r="G305" s="933" t="n">
        <f aca="false">C305*D305*E305*F305</f>
        <v>0</v>
      </c>
      <c r="H305" s="933"/>
      <c r="I305" s="933"/>
      <c r="J305" s="933"/>
      <c r="K305" s="933"/>
      <c r="L305" s="933"/>
      <c r="M305" s="933"/>
      <c r="N305" s="933"/>
      <c r="O305" s="933"/>
      <c r="P305" s="1290"/>
      <c r="Q305" s="1290"/>
      <c r="R305" s="1290"/>
      <c r="S305" s="933"/>
      <c r="T305" s="933"/>
      <c r="U305" s="1329"/>
      <c r="V305" s="933"/>
      <c r="W305" s="933"/>
      <c r="X305" s="933"/>
      <c r="Y305" s="1290"/>
      <c r="Z305" s="933"/>
      <c r="AA305" s="933"/>
      <c r="AD305" s="1290"/>
    </row>
    <row r="306" customFormat="false" ht="15.75" hidden="false" customHeight="true" outlineLevel="1" collapsed="false">
      <c r="A306" s="1349" t="s">
        <v>3093</v>
      </c>
      <c r="B306" s="1269" t="s">
        <v>156</v>
      </c>
      <c r="C306" s="887" t="n">
        <f aca="false">$C$143</f>
        <v>0.15</v>
      </c>
      <c r="D306" s="933" t="n">
        <f aca="false">$D$143</f>
        <v>0.05</v>
      </c>
      <c r="E306" s="1023" t="n">
        <f aca="false">IF('Ввод данных'!A6=связи1!A97,(C124+C127+C128+C129)*1.1,0)+IF('Ввод данных'!A6=связи1!A94,(дома!C124+дома!C127+дома!C128+дома!C129+дома!C128+дома!C129)*1.1,0)</f>
        <v>0</v>
      </c>
      <c r="F306" s="933" t="n">
        <f aca="false">1*IF('Ввод данных'!$F$194=связи1!$A$2,1,0)*IF('Ввод данных'!$C$155=связи1!$A$2,1,0)</f>
        <v>0</v>
      </c>
      <c r="G306" s="933" t="n">
        <f aca="false">C306*D306*E306*F306</f>
        <v>0</v>
      </c>
      <c r="H306" s="933"/>
      <c r="I306" s="933"/>
      <c r="J306" s="933"/>
      <c r="K306" s="933"/>
      <c r="L306" s="933"/>
      <c r="M306" s="933"/>
      <c r="N306" s="933"/>
      <c r="O306" s="933"/>
      <c r="P306" s="1290"/>
      <c r="Q306" s="1290"/>
      <c r="R306" s="1290"/>
      <c r="S306" s="933"/>
      <c r="T306" s="933"/>
      <c r="U306" s="1329"/>
      <c r="V306" s="933"/>
      <c r="W306" s="933"/>
      <c r="X306" s="933"/>
      <c r="Y306" s="1290"/>
      <c r="Z306" s="933"/>
      <c r="AA306" s="933"/>
      <c r="AD306" s="1290"/>
    </row>
    <row r="307" customFormat="false" ht="15.75" hidden="false" customHeight="true" outlineLevel="1" collapsed="false">
      <c r="A307" s="1349" t="s">
        <v>3094</v>
      </c>
      <c r="B307" s="1269" t="s">
        <v>156</v>
      </c>
      <c r="C307" s="887" t="n">
        <f aca="false">$C$143</f>
        <v>0.15</v>
      </c>
      <c r="D307" s="933" t="n">
        <f aca="false">$D$143</f>
        <v>0.05</v>
      </c>
      <c r="E307" s="1023" t="n">
        <f aca="false">IF('Ввод данных'!A6=связи1!A97,(C128+C129+L134*2)*1.1,0)+IF('Ввод данных'!A6=связи1!A94,(C124+C127+C128+C129+C128+L134*2)*1.1,0)</f>
        <v>24.5967477524977</v>
      </c>
      <c r="F307" s="933" t="n">
        <f aca="false">1*IF('Ввод данных'!$F$194=связи1!$A$2,1,0)*IF('Ввод данных'!$C$155=связи1!$A$2,1,0)</f>
        <v>0</v>
      </c>
      <c r="G307" s="933" t="n">
        <f aca="false">C307*D307*E307*F307</f>
        <v>0</v>
      </c>
      <c r="H307" s="933"/>
      <c r="I307" s="933"/>
      <c r="J307" s="933"/>
      <c r="K307" s="933"/>
      <c r="L307" s="933"/>
      <c r="M307" s="933"/>
      <c r="N307" s="933"/>
      <c r="O307" s="933"/>
      <c r="P307" s="1290"/>
      <c r="Q307" s="1290"/>
      <c r="R307" s="1290"/>
      <c r="S307" s="933"/>
      <c r="T307" s="933"/>
      <c r="U307" s="1329"/>
      <c r="V307" s="933"/>
      <c r="W307" s="933"/>
      <c r="X307" s="933"/>
      <c r="Y307" s="1290"/>
      <c r="Z307" s="933"/>
      <c r="AA307" s="933"/>
      <c r="AD307" s="1290"/>
    </row>
    <row r="308" customFormat="false" ht="15.75" hidden="false" customHeight="true" outlineLevel="1" collapsed="false">
      <c r="A308" s="1349" t="s">
        <v>3095</v>
      </c>
      <c r="B308" s="1269" t="s">
        <v>156</v>
      </c>
      <c r="C308" s="887" t="n">
        <f aca="false">$C$143</f>
        <v>0.15</v>
      </c>
      <c r="D308" s="933" t="n">
        <f aca="false">$D$143</f>
        <v>0.05</v>
      </c>
      <c r="E308" s="1023" t="n">
        <f aca="false">IF('Ввод данных'!A6=связи1!A97,(C128+C129+L134*2)*1.1,0)+IF('Ввод данных'!A6=связи1!A94,(C124+C127+C128+C129+C128+L134*2)*1.1,0)</f>
        <v>24.5967477524977</v>
      </c>
      <c r="F308" s="933" t="n">
        <f aca="false">1*IF('Ввод данных'!$F$194=связи1!$A$2,1,0)*IF('Ввод данных'!$C$155=связи1!$A$2,1,0)</f>
        <v>0</v>
      </c>
      <c r="G308" s="933" t="n">
        <f aca="false">C308*D308*E308*F308</f>
        <v>0</v>
      </c>
      <c r="H308" s="933"/>
      <c r="I308" s="933"/>
      <c r="J308" s="933"/>
      <c r="K308" s="933"/>
      <c r="L308" s="933"/>
      <c r="M308" s="933"/>
      <c r="N308" s="933"/>
      <c r="O308" s="933"/>
      <c r="P308" s="1290"/>
      <c r="Q308" s="1290"/>
      <c r="R308" s="1290"/>
      <c r="S308" s="933"/>
      <c r="T308" s="933"/>
      <c r="U308" s="1329"/>
      <c r="V308" s="933"/>
      <c r="W308" s="933"/>
      <c r="X308" s="933"/>
      <c r="Y308" s="1290"/>
      <c r="Z308" s="933"/>
      <c r="AA308" s="933"/>
      <c r="AD308" s="1290"/>
    </row>
    <row r="309" customFormat="false" ht="15.75" hidden="false" customHeight="true" outlineLevel="1" collapsed="false">
      <c r="A309" s="1345" t="s">
        <v>3141</v>
      </c>
      <c r="B309" s="1269" t="s">
        <v>156</v>
      </c>
      <c r="C309" s="887" t="n">
        <f aca="false">$C$143</f>
        <v>0.15</v>
      </c>
      <c r="D309" s="933" t="n">
        <f aca="false">$D$143</f>
        <v>0.05</v>
      </c>
      <c r="E309" s="1023" t="n">
        <f aca="false">IF('Ввод данных'!A6=связи1!A97,'Ввод данных'!C15,0)+IF('Ввод данных'!A6=связи1!A94,'Ввод данных'!C13,0)</f>
        <v>3</v>
      </c>
      <c r="F309" s="933" t="n">
        <f aca="false">CEILING(C128/G128+1,1)*IF('Ввод данных'!$F$194=связи1!$A$2,1,0)*IF('Ввод данных'!$C$155=связи1!$A$2,1,0)</f>
        <v>0</v>
      </c>
      <c r="G309" s="933" t="n">
        <f aca="false">C309*D309*E309*F309</f>
        <v>0</v>
      </c>
      <c r="H309" s="933"/>
      <c r="I309" s="933"/>
      <c r="J309" s="933"/>
      <c r="K309" s="933"/>
      <c r="L309" s="933"/>
      <c r="M309" s="933"/>
      <c r="N309" s="933"/>
      <c r="O309" s="933"/>
      <c r="P309" s="1290"/>
      <c r="Q309" s="1290"/>
      <c r="R309" s="1290"/>
      <c r="S309" s="933"/>
      <c r="T309" s="933"/>
      <c r="U309" s="1329"/>
      <c r="V309" s="933"/>
      <c r="W309" s="933"/>
      <c r="X309" s="933"/>
      <c r="Y309" s="1290"/>
      <c r="Z309" s="933"/>
      <c r="AA309" s="933"/>
      <c r="AD309" s="1290"/>
    </row>
    <row r="310" customFormat="false" ht="15.75" hidden="false" customHeight="true" outlineLevel="1" collapsed="false">
      <c r="A310" s="1345" t="s">
        <v>3142</v>
      </c>
      <c r="B310" s="1269" t="s">
        <v>156</v>
      </c>
      <c r="C310" s="887" t="n">
        <f aca="false">$C$143</f>
        <v>0.15</v>
      </c>
      <c r="D310" s="933" t="n">
        <f aca="false">$D$143</f>
        <v>0.05</v>
      </c>
      <c r="E310" s="1023" t="n">
        <f aca="false">IF('Ввод данных'!A6=связи1!A94,'Ввод данных'!C13,0)+IF('Ввод данных'!A6=связи1!A95,'Ввод данных'!C13,0)+IF('Ввод данных'!A6=связи1!A96,'Ввод данных'!C13,0)+IF('Ввод данных'!A6=связи1!A98,'Ввод данных'!C13,0)+IF('Ввод данных'!A6=связи1!A97,'Ввод данных'!C15,0)</f>
        <v>3</v>
      </c>
      <c r="F310" s="933" t="n">
        <f aca="false">CEILING(C128/G128+1,1)*IF('Ввод данных'!$F$194=связи1!$A$2,1,0)*IF('Ввод данных'!$C$155=связи1!$A$2,1,0)</f>
        <v>0</v>
      </c>
      <c r="G310" s="933" t="n">
        <f aca="false">C310*D310*E310*F310</f>
        <v>0</v>
      </c>
      <c r="H310" s="933"/>
      <c r="I310" s="933"/>
      <c r="J310" s="933"/>
      <c r="K310" s="933"/>
      <c r="L310" s="933"/>
      <c r="M310" s="933"/>
      <c r="N310" s="933"/>
      <c r="O310" s="933"/>
      <c r="P310" s="1290"/>
      <c r="Q310" s="1290"/>
      <c r="R310" s="1290"/>
      <c r="S310" s="933"/>
      <c r="T310" s="933"/>
      <c r="U310" s="1329"/>
      <c r="V310" s="933"/>
      <c r="W310" s="933"/>
      <c r="X310" s="933"/>
      <c r="Y310" s="1290"/>
      <c r="Z310" s="933"/>
      <c r="AA310" s="933"/>
      <c r="AD310" s="1290"/>
    </row>
    <row r="311" customFormat="false" ht="15.75" hidden="false" customHeight="true" outlineLevel="1" collapsed="false">
      <c r="A311" s="1345" t="s">
        <v>3143</v>
      </c>
      <c r="B311" s="1269" t="s">
        <v>156</v>
      </c>
      <c r="C311" s="887" t="n">
        <f aca="false">$C$143</f>
        <v>0.15</v>
      </c>
      <c r="D311" s="933" t="n">
        <f aca="false">$D$143</f>
        <v>0.05</v>
      </c>
      <c r="E311" s="1023" t="n">
        <f aca="false">IF('Ввод данных'!A6=связи1!A97,'Ввод данных'!C14,0)+IF('Ввод данных'!A6=связи1!A94,'Ввод данных'!C13,0)</f>
        <v>3</v>
      </c>
      <c r="F311" s="933" t="n">
        <f aca="false">IF('Ввод данных'!A6=связи1!A94,CEILING(дома!C124/дома!G124+1,1),0)*IF('Ввод данных'!$F$194=связи1!$A$2,1,0)*IF('Ввод данных'!$C$155=связи1!$A$2,1,0)</f>
        <v>0</v>
      </c>
      <c r="G311" s="933" t="n">
        <f aca="false">C311*D311*E311*F311</f>
        <v>0</v>
      </c>
      <c r="H311" s="933"/>
      <c r="I311" s="933"/>
      <c r="J311" s="933"/>
      <c r="K311" s="933"/>
      <c r="L311" s="933"/>
      <c r="M311" s="933"/>
      <c r="N311" s="933"/>
      <c r="O311" s="933"/>
      <c r="P311" s="1290"/>
      <c r="Q311" s="1290"/>
      <c r="R311" s="1290"/>
      <c r="S311" s="933"/>
      <c r="T311" s="933"/>
      <c r="U311" s="1329"/>
      <c r="V311" s="933"/>
      <c r="W311" s="933"/>
      <c r="X311" s="933"/>
      <c r="Y311" s="1290"/>
      <c r="Z311" s="933"/>
      <c r="AA311" s="933"/>
      <c r="AD311" s="1290"/>
    </row>
    <row r="312" customFormat="false" ht="15.75" hidden="false" customHeight="true" outlineLevel="1" collapsed="false">
      <c r="A312" s="1349" t="s">
        <v>3099</v>
      </c>
      <c r="B312" s="1269" t="s">
        <v>156</v>
      </c>
      <c r="C312" s="887" t="n">
        <f aca="false">$C$143</f>
        <v>0.15</v>
      </c>
      <c r="D312" s="933" t="n">
        <f aca="false">$D$143</f>
        <v>0.05</v>
      </c>
      <c r="E312" s="1023" t="n">
        <f aca="false">IF('Ввод данных'!A6=связи1!A97,'Ввод данных'!C14,0)+IF('Ввод данных'!A6=связи1!A94,'Ввод данных'!C14-'Ввод данных'!C13,0)</f>
        <v>5</v>
      </c>
      <c r="F312" s="933" t="n">
        <f aca="false">2*IF('Ввод данных'!$F$194=связи1!$A$2,1,0)*IF('Ввод данных'!$C$155=связи1!$A$2,1,0)</f>
        <v>0</v>
      </c>
      <c r="G312" s="933" t="n">
        <f aca="false">C312*D312*E312*F312</f>
        <v>0</v>
      </c>
      <c r="H312" s="933"/>
      <c r="I312" s="933"/>
      <c r="J312" s="933"/>
      <c r="K312" s="933"/>
      <c r="L312" s="933"/>
      <c r="M312" s="933"/>
      <c r="N312" s="933"/>
      <c r="O312" s="933"/>
      <c r="P312" s="1290"/>
      <c r="Q312" s="1290"/>
      <c r="R312" s="1290"/>
      <c r="S312" s="933"/>
      <c r="T312" s="933"/>
      <c r="U312" s="1329"/>
      <c r="V312" s="933"/>
      <c r="W312" s="933"/>
      <c r="X312" s="933"/>
      <c r="Y312" s="1290"/>
      <c r="Z312" s="933"/>
      <c r="AA312" s="933"/>
      <c r="AD312" s="1290"/>
    </row>
    <row r="313" customFormat="false" ht="15.75" hidden="false" customHeight="true" outlineLevel="1" collapsed="false">
      <c r="A313" s="1349" t="s">
        <v>3100</v>
      </c>
      <c r="B313" s="1269" t="s">
        <v>156</v>
      </c>
      <c r="C313" s="887" t="n">
        <f aca="false">$C$143</f>
        <v>0.15</v>
      </c>
      <c r="D313" s="933" t="n">
        <f aca="false">$D$143</f>
        <v>0.05</v>
      </c>
      <c r="E313" s="1023" t="n">
        <f aca="false">IF('Ввод данных'!$A$6=связи1!$A$97,IF(дома!E312&lt;'Ввод данных'!$C$15,0,дома!E312-дома!$L$139),0)+IF(дома!E312=0,0,IF('Ввод данных'!$A$6=связи1!$A$94,IF(дома!E312&lt;0,0,дома!E312-дома!$L$139),0))</f>
        <v>4.8</v>
      </c>
      <c r="F313" s="933" t="n">
        <f aca="false">2*IF('Ввод данных'!$F$194=связи1!$A$2,1,0)*IF('Ввод данных'!$C$155=связи1!$A$2,1,0)</f>
        <v>0</v>
      </c>
      <c r="G313" s="933" t="n">
        <f aca="false">C313*D313*E313*F313</f>
        <v>0</v>
      </c>
      <c r="H313" s="933"/>
      <c r="I313" s="933"/>
      <c r="J313" s="933"/>
      <c r="K313" s="933"/>
      <c r="L313" s="933"/>
      <c r="M313" s="933"/>
      <c r="N313" s="933"/>
      <c r="O313" s="933"/>
      <c r="P313" s="1290"/>
      <c r="Q313" s="1290"/>
      <c r="R313" s="1290"/>
      <c r="S313" s="933"/>
      <c r="T313" s="933"/>
      <c r="U313" s="1329"/>
      <c r="V313" s="933"/>
      <c r="W313" s="933"/>
      <c r="X313" s="933"/>
      <c r="Y313" s="1290"/>
      <c r="Z313" s="933"/>
      <c r="AA313" s="933"/>
      <c r="AD313" s="1290"/>
    </row>
    <row r="314" customFormat="false" ht="15.75" hidden="false" customHeight="true" outlineLevel="1" collapsed="false">
      <c r="A314" s="1349" t="s">
        <v>3101</v>
      </c>
      <c r="B314" s="1269" t="s">
        <v>156</v>
      </c>
      <c r="C314" s="887" t="n">
        <f aca="false">$C$143</f>
        <v>0.15</v>
      </c>
      <c r="D314" s="933" t="n">
        <f aca="false">$D$143</f>
        <v>0.05</v>
      </c>
      <c r="E314" s="1023" t="n">
        <f aca="false">IF('Ввод данных'!$A$6=связи1!$A$97,IF(дома!E313&lt;'Ввод данных'!$C$15,0,дома!E313-дома!$L$139),0)+IF(дома!E313=0,0,IF('Ввод данных'!$A$6=связи1!$A$94,IF(дома!E313&lt;0,0,дома!E313-дома!$L$139),0))</f>
        <v>4.6</v>
      </c>
      <c r="F314" s="933" t="n">
        <f aca="false">2*IF('Ввод данных'!$F$194=связи1!$A$2,1,0)*IF('Ввод данных'!$C$155=связи1!$A$2,1,0)</f>
        <v>0</v>
      </c>
      <c r="G314" s="933" t="n">
        <f aca="false">C314*D314*E314*F314</f>
        <v>0</v>
      </c>
      <c r="H314" s="933"/>
      <c r="I314" s="933"/>
      <c r="J314" s="933"/>
      <c r="K314" s="933"/>
      <c r="L314" s="933"/>
      <c r="M314" s="933"/>
      <c r="N314" s="933"/>
      <c r="O314" s="933"/>
      <c r="P314" s="1290"/>
      <c r="Q314" s="1290"/>
      <c r="R314" s="1290"/>
      <c r="S314" s="933"/>
      <c r="T314" s="933"/>
      <c r="U314" s="1329"/>
      <c r="V314" s="933"/>
      <c r="W314" s="933"/>
      <c r="X314" s="933"/>
      <c r="Y314" s="1290"/>
      <c r="Z314" s="933"/>
      <c r="AA314" s="933"/>
      <c r="AD314" s="1290"/>
    </row>
    <row r="315" customFormat="false" ht="15.75" hidden="false" customHeight="true" outlineLevel="1" collapsed="false">
      <c r="A315" s="1349" t="s">
        <v>3102</v>
      </c>
      <c r="B315" s="1269" t="s">
        <v>156</v>
      </c>
      <c r="C315" s="887" t="n">
        <f aca="false">$C$143</f>
        <v>0.15</v>
      </c>
      <c r="D315" s="933" t="n">
        <f aca="false">$D$143</f>
        <v>0.05</v>
      </c>
      <c r="E315" s="1023" t="n">
        <f aca="false">IF('Ввод данных'!$A$6=связи1!$A$97,IF(дома!E314&lt;'Ввод данных'!$C$15,0,дома!E314-дома!$L$139),0)+IF(дома!E314=0,0,IF('Ввод данных'!$A$6=связи1!$A$94,IF(дома!E314&lt;0,0,дома!E314-дома!$L$139),0))</f>
        <v>4.4</v>
      </c>
      <c r="F315" s="933" t="n">
        <f aca="false">2*IF('Ввод данных'!$F$194=связи1!$A$2,1,0)*IF('Ввод данных'!$C$155=связи1!$A$2,1,0)</f>
        <v>0</v>
      </c>
      <c r="G315" s="933" t="n">
        <f aca="false">C315*D315*E315*F315</f>
        <v>0</v>
      </c>
      <c r="H315" s="933"/>
      <c r="I315" s="933"/>
      <c r="J315" s="933"/>
      <c r="K315" s="933"/>
      <c r="L315" s="933"/>
      <c r="M315" s="933"/>
      <c r="N315" s="933"/>
      <c r="O315" s="933"/>
      <c r="P315" s="1290"/>
      <c r="Q315" s="1290"/>
      <c r="R315" s="1290"/>
      <c r="S315" s="933"/>
      <c r="T315" s="933"/>
      <c r="U315" s="1329"/>
      <c r="V315" s="933"/>
      <c r="W315" s="933"/>
      <c r="X315" s="933"/>
      <c r="Y315" s="1290"/>
      <c r="Z315" s="933"/>
      <c r="AA315" s="933"/>
      <c r="AD315" s="1290"/>
    </row>
    <row r="316" customFormat="false" ht="15.75" hidden="false" customHeight="true" outlineLevel="1" collapsed="false">
      <c r="A316" s="1349" t="s">
        <v>3103</v>
      </c>
      <c r="B316" s="1269" t="s">
        <v>156</v>
      </c>
      <c r="C316" s="887" t="n">
        <f aca="false">$C$143</f>
        <v>0.15</v>
      </c>
      <c r="D316" s="933" t="n">
        <f aca="false">$D$143</f>
        <v>0.05</v>
      </c>
      <c r="E316" s="1023" t="n">
        <f aca="false">IF('Ввод данных'!$A$6=связи1!$A$97,IF(дома!E315&lt;'Ввод данных'!$C$15,0,дома!E315-дома!$L$139),0)+IF(дома!E315=0,0,IF('Ввод данных'!$A$6=связи1!$A$94,IF(дома!E315&lt;0,0,дома!E315-дома!$L$139),0))</f>
        <v>4.2</v>
      </c>
      <c r="F316" s="933" t="n">
        <f aca="false">2*IF('Ввод данных'!$F$194=связи1!$A$2,1,0)*IF('Ввод данных'!$C$155=связи1!$A$2,1,0)</f>
        <v>0</v>
      </c>
      <c r="G316" s="933" t="n">
        <f aca="false">C316*D316*E316*F316</f>
        <v>0</v>
      </c>
      <c r="H316" s="933"/>
      <c r="I316" s="933"/>
      <c r="J316" s="933"/>
      <c r="K316" s="933"/>
      <c r="L316" s="933"/>
      <c r="M316" s="933"/>
      <c r="N316" s="933"/>
      <c r="O316" s="933"/>
      <c r="P316" s="1290"/>
      <c r="Q316" s="1290"/>
      <c r="R316" s="1290"/>
      <c r="S316" s="933"/>
      <c r="T316" s="933"/>
      <c r="U316" s="1329"/>
      <c r="V316" s="933"/>
      <c r="W316" s="933"/>
      <c r="X316" s="933"/>
      <c r="Y316" s="1290"/>
      <c r="Z316" s="933"/>
      <c r="AA316" s="933"/>
      <c r="AD316" s="1290"/>
    </row>
    <row r="317" customFormat="false" ht="15.75" hidden="false" customHeight="true" outlineLevel="1" collapsed="false">
      <c r="A317" s="1349" t="s">
        <v>3104</v>
      </c>
      <c r="B317" s="1269" t="s">
        <v>156</v>
      </c>
      <c r="C317" s="887" t="n">
        <f aca="false">$C$143</f>
        <v>0.15</v>
      </c>
      <c r="D317" s="933" t="n">
        <f aca="false">$D$143</f>
        <v>0.05</v>
      </c>
      <c r="E317" s="1023" t="n">
        <f aca="false">IF('Ввод данных'!$A$6=связи1!$A$97,IF(дома!E316&lt;'Ввод данных'!$C$15,0,дома!E316-дома!$L$139),0)+IF(дома!E316=0,0,IF('Ввод данных'!$A$6=связи1!$A$94,IF(дома!E316&lt;0,0,дома!E316-дома!$L$139),0))</f>
        <v>4</v>
      </c>
      <c r="F317" s="933" t="n">
        <f aca="false">2*IF('Ввод данных'!$F$194=связи1!$A$2,1,0)*IF('Ввод данных'!$C$155=связи1!$A$2,1,0)</f>
        <v>0</v>
      </c>
      <c r="G317" s="933" t="n">
        <f aca="false">C317*D317*E317*F317</f>
        <v>0</v>
      </c>
      <c r="H317" s="933"/>
      <c r="I317" s="933"/>
      <c r="J317" s="933"/>
      <c r="K317" s="933"/>
      <c r="L317" s="933"/>
      <c r="M317" s="933"/>
      <c r="N317" s="933"/>
      <c r="O317" s="933"/>
      <c r="P317" s="1290"/>
      <c r="Q317" s="1290"/>
      <c r="R317" s="1290"/>
      <c r="S317" s="933"/>
      <c r="T317" s="933"/>
      <c r="U317" s="1329"/>
      <c r="V317" s="933"/>
      <c r="W317" s="933"/>
      <c r="X317" s="933"/>
      <c r="Y317" s="1290"/>
      <c r="Z317" s="933"/>
      <c r="AA317" s="933"/>
      <c r="AD317" s="1290"/>
    </row>
    <row r="318" customFormat="false" ht="15.75" hidden="false" customHeight="true" outlineLevel="1" collapsed="false">
      <c r="A318" s="1349" t="s">
        <v>3105</v>
      </c>
      <c r="B318" s="1269" t="s">
        <v>156</v>
      </c>
      <c r="C318" s="887" t="n">
        <f aca="false">$C$143</f>
        <v>0.15</v>
      </c>
      <c r="D318" s="933" t="n">
        <f aca="false">$D$143</f>
        <v>0.05</v>
      </c>
      <c r="E318" s="1023" t="n">
        <f aca="false">IF('Ввод данных'!$A$6=связи1!$A$97,IF(дома!E317&lt;'Ввод данных'!$C$15,0,дома!E317-дома!$L$139),0)+IF(дома!E317=0,0,IF('Ввод данных'!$A$6=связи1!$A$94,IF(дома!E317&lt;0,0,дома!E317-дома!$L$139),0))</f>
        <v>3.8</v>
      </c>
      <c r="F318" s="933" t="n">
        <f aca="false">2*IF('Ввод данных'!$F$194=связи1!$A$2,1,0)*IF('Ввод данных'!$C$155=связи1!$A$2,1,0)</f>
        <v>0</v>
      </c>
      <c r="G318" s="933" t="n">
        <f aca="false">C318*D318*E318*F318</f>
        <v>0</v>
      </c>
      <c r="H318" s="933"/>
      <c r="I318" s="933"/>
      <c r="J318" s="933"/>
      <c r="K318" s="933"/>
      <c r="L318" s="933"/>
      <c r="M318" s="933"/>
      <c r="N318" s="933"/>
      <c r="O318" s="933"/>
      <c r="P318" s="1290"/>
      <c r="Q318" s="1290"/>
      <c r="R318" s="1290"/>
      <c r="S318" s="933"/>
      <c r="T318" s="933"/>
      <c r="U318" s="1329"/>
      <c r="V318" s="933"/>
      <c r="W318" s="933"/>
      <c r="X318" s="933"/>
      <c r="Y318" s="1290"/>
      <c r="Z318" s="933"/>
      <c r="AA318" s="933"/>
      <c r="AD318" s="1290"/>
    </row>
    <row r="319" customFormat="false" ht="15.75" hidden="false" customHeight="true" outlineLevel="1" collapsed="false">
      <c r="A319" s="1349" t="s">
        <v>3106</v>
      </c>
      <c r="B319" s="1269" t="s">
        <v>156</v>
      </c>
      <c r="C319" s="887" t="n">
        <f aca="false">$C$143</f>
        <v>0.15</v>
      </c>
      <c r="D319" s="933" t="n">
        <f aca="false">$D$143</f>
        <v>0.05</v>
      </c>
      <c r="E319" s="1023" t="n">
        <f aca="false">IF('Ввод данных'!$A$6=связи1!$A$97,IF(дома!E318&lt;'Ввод данных'!$C$15,0,дома!E318-дома!$L$139),0)+IF(дома!E318=0,0,IF('Ввод данных'!$A$6=связи1!$A$94,IF(дома!E318&lt;0,0,дома!E318-дома!$L$139),0))</f>
        <v>3.6</v>
      </c>
      <c r="F319" s="933" t="n">
        <f aca="false">2*IF('Ввод данных'!$F$194=связи1!$A$2,1,0)*IF('Ввод данных'!$C$155=связи1!$A$2,1,0)</f>
        <v>0</v>
      </c>
      <c r="G319" s="933" t="n">
        <f aca="false">C319*D319*E319*F319</f>
        <v>0</v>
      </c>
      <c r="H319" s="933"/>
      <c r="I319" s="933"/>
      <c r="J319" s="933"/>
      <c r="K319" s="933"/>
      <c r="L319" s="933"/>
      <c r="M319" s="933"/>
      <c r="N319" s="933"/>
      <c r="O319" s="933"/>
      <c r="P319" s="1290"/>
      <c r="Q319" s="1290"/>
      <c r="R319" s="1290"/>
      <c r="S319" s="933"/>
      <c r="T319" s="933"/>
      <c r="U319" s="1329"/>
      <c r="V319" s="933"/>
      <c r="W319" s="933"/>
      <c r="X319" s="933"/>
      <c r="Y319" s="1290"/>
      <c r="Z319" s="933"/>
      <c r="AA319" s="933"/>
      <c r="AD319" s="1290"/>
    </row>
    <row r="320" customFormat="false" ht="15.75" hidden="false" customHeight="true" outlineLevel="1" collapsed="false">
      <c r="A320" s="1349" t="s">
        <v>3107</v>
      </c>
      <c r="B320" s="1269" t="s">
        <v>156</v>
      </c>
      <c r="C320" s="887" t="n">
        <f aca="false">$C$143</f>
        <v>0.15</v>
      </c>
      <c r="D320" s="933" t="n">
        <f aca="false">$D$143</f>
        <v>0.05</v>
      </c>
      <c r="E320" s="1023" t="n">
        <f aca="false">IF('Ввод данных'!$A$6=связи1!$A$97,IF(дома!E319&lt;'Ввод данных'!$C$15,0,дома!E319-дома!$L$139),0)+IF(дома!E319=0,0,IF('Ввод данных'!$A$6=связи1!$A$94,IF(дома!E319&lt;0,0,дома!E319-дома!$L$139),0))</f>
        <v>3.4</v>
      </c>
      <c r="F320" s="933" t="n">
        <f aca="false">2*IF('Ввод данных'!$F$194=связи1!$A$2,1,0)*IF('Ввод данных'!$C$155=связи1!$A$2,1,0)</f>
        <v>0</v>
      </c>
      <c r="G320" s="933" t="n">
        <f aca="false">C320*D320*E320*F320</f>
        <v>0</v>
      </c>
      <c r="H320" s="933"/>
      <c r="I320" s="933"/>
      <c r="J320" s="933"/>
      <c r="K320" s="933"/>
      <c r="L320" s="933"/>
      <c r="M320" s="933"/>
      <c r="N320" s="933"/>
      <c r="O320" s="933"/>
      <c r="P320" s="1290"/>
      <c r="Q320" s="1290"/>
      <c r="R320" s="1290"/>
      <c r="S320" s="933"/>
      <c r="T320" s="933"/>
      <c r="U320" s="1329"/>
      <c r="V320" s="933"/>
      <c r="W320" s="933"/>
      <c r="X320" s="933"/>
      <c r="Y320" s="1290"/>
      <c r="Z320" s="933"/>
      <c r="AA320" s="933"/>
      <c r="AD320" s="1290"/>
    </row>
    <row r="321" customFormat="false" ht="15.75" hidden="false" customHeight="true" outlineLevel="1" collapsed="false">
      <c r="A321" s="1349" t="s">
        <v>3108</v>
      </c>
      <c r="B321" s="1269" t="s">
        <v>156</v>
      </c>
      <c r="C321" s="887" t="n">
        <f aca="false">$C$143</f>
        <v>0.15</v>
      </c>
      <c r="D321" s="933" t="n">
        <f aca="false">$D$143</f>
        <v>0.05</v>
      </c>
      <c r="E321" s="1023" t="n">
        <f aca="false">IF('Ввод данных'!$A$6=связи1!$A$97,IF(дома!E320&lt;'Ввод данных'!$C$15,0,дома!E320-дома!$L$139),0)+IF(дома!E320=0,0,IF('Ввод данных'!$A$6=связи1!$A$94,IF(дома!E320&lt;0,0,дома!E320-дома!$L$139),0))</f>
        <v>3.2</v>
      </c>
      <c r="F321" s="933" t="n">
        <f aca="false">2*IF('Ввод данных'!$F$194=связи1!$A$2,1,0)*IF('Ввод данных'!$C$155=связи1!$A$2,1,0)</f>
        <v>0</v>
      </c>
      <c r="G321" s="933" t="n">
        <f aca="false">C321*D321*E321*F321</f>
        <v>0</v>
      </c>
      <c r="H321" s="933"/>
      <c r="I321" s="933"/>
      <c r="J321" s="933"/>
      <c r="K321" s="933"/>
      <c r="L321" s="933"/>
      <c r="M321" s="933"/>
      <c r="N321" s="933"/>
      <c r="O321" s="933"/>
      <c r="P321" s="1290"/>
      <c r="Q321" s="1290"/>
      <c r="R321" s="1290"/>
      <c r="S321" s="933"/>
      <c r="T321" s="933"/>
      <c r="U321" s="1329"/>
      <c r="V321" s="933"/>
      <c r="W321" s="933"/>
      <c r="X321" s="933"/>
      <c r="Y321" s="1290"/>
      <c r="Z321" s="933"/>
      <c r="AA321" s="933"/>
      <c r="AD321" s="1290"/>
    </row>
    <row r="322" customFormat="false" ht="15.75" hidden="false" customHeight="true" outlineLevel="1" collapsed="false">
      <c r="A322" s="1349" t="s">
        <v>3109</v>
      </c>
      <c r="B322" s="1269" t="s">
        <v>156</v>
      </c>
      <c r="C322" s="887" t="n">
        <f aca="false">$C$143</f>
        <v>0.15</v>
      </c>
      <c r="D322" s="933" t="n">
        <f aca="false">$D$143</f>
        <v>0.05</v>
      </c>
      <c r="E322" s="1023" t="n">
        <f aca="false">IF('Ввод данных'!$A$6=связи1!$A$97,IF(дома!E321&lt;'Ввод данных'!$C$15,0,дома!E321-дома!$L$139),0)+IF(дома!E321=0,0,IF('Ввод данных'!$A$6=связи1!$A$94,IF(дома!E321&lt;0,0,дома!E321-дома!$L$139),0))</f>
        <v>3</v>
      </c>
      <c r="F322" s="933" t="n">
        <f aca="false">2*IF('Ввод данных'!$F$194=связи1!$A$2,1,0)*IF('Ввод данных'!$C$155=связи1!$A$2,1,0)</f>
        <v>0</v>
      </c>
      <c r="G322" s="933" t="n">
        <f aca="false">C322*D322*E322*F322</f>
        <v>0</v>
      </c>
      <c r="H322" s="933"/>
      <c r="I322" s="933"/>
      <c r="J322" s="933"/>
      <c r="K322" s="933"/>
      <c r="L322" s="933"/>
      <c r="M322" s="933"/>
      <c r="N322" s="933"/>
      <c r="O322" s="933"/>
      <c r="P322" s="1290"/>
      <c r="Q322" s="1290"/>
      <c r="R322" s="1290"/>
      <c r="S322" s="933"/>
      <c r="T322" s="933"/>
      <c r="U322" s="1329"/>
      <c r="V322" s="933"/>
      <c r="W322" s="933"/>
      <c r="X322" s="933"/>
      <c r="Y322" s="1290"/>
      <c r="Z322" s="933"/>
      <c r="AA322" s="933"/>
      <c r="AD322" s="1290"/>
    </row>
    <row r="323" customFormat="false" ht="15.75" hidden="false" customHeight="true" outlineLevel="1" collapsed="false">
      <c r="A323" s="1349" t="s">
        <v>3110</v>
      </c>
      <c r="B323" s="1269" t="s">
        <v>156</v>
      </c>
      <c r="C323" s="887" t="n">
        <f aca="false">$C$143</f>
        <v>0.15</v>
      </c>
      <c r="D323" s="933" t="n">
        <f aca="false">$D$143</f>
        <v>0.05</v>
      </c>
      <c r="E323" s="1023" t="n">
        <f aca="false">IF('Ввод данных'!$A$6=связи1!$A$97,IF(дома!E322&lt;'Ввод данных'!$C$15,0,дома!E322-дома!$L$139),0)+IF(дома!E322=0,0,IF('Ввод данных'!$A$6=связи1!$A$94,IF(дома!E322&lt;0,0,дома!E322-дома!$L$139),0))</f>
        <v>2.8</v>
      </c>
      <c r="F323" s="933" t="n">
        <f aca="false">2*IF('Ввод данных'!$F$194=связи1!$A$2,1,0)*IF('Ввод данных'!$C$155=связи1!$A$2,1,0)</f>
        <v>0</v>
      </c>
      <c r="G323" s="933" t="n">
        <f aca="false">C323*D323*E323*F323</f>
        <v>0</v>
      </c>
      <c r="H323" s="933"/>
      <c r="I323" s="933"/>
      <c r="J323" s="933"/>
      <c r="K323" s="933"/>
      <c r="L323" s="933"/>
      <c r="M323" s="933"/>
      <c r="N323" s="933"/>
      <c r="O323" s="933"/>
      <c r="P323" s="1290"/>
      <c r="Q323" s="1290"/>
      <c r="R323" s="1290"/>
      <c r="S323" s="933"/>
      <c r="T323" s="933"/>
      <c r="U323" s="1329"/>
      <c r="V323" s="933"/>
      <c r="W323" s="933"/>
      <c r="X323" s="933"/>
      <c r="Y323" s="1290"/>
      <c r="Z323" s="933"/>
      <c r="AA323" s="933"/>
      <c r="AD323" s="1290"/>
    </row>
    <row r="324" customFormat="false" ht="15.75" hidden="false" customHeight="true" outlineLevel="1" collapsed="false">
      <c r="A324" s="1349" t="s">
        <v>3111</v>
      </c>
      <c r="B324" s="1269" t="s">
        <v>156</v>
      </c>
      <c r="C324" s="887" t="n">
        <f aca="false">$C$143</f>
        <v>0.15</v>
      </c>
      <c r="D324" s="933" t="n">
        <f aca="false">$D$143</f>
        <v>0.05</v>
      </c>
      <c r="E324" s="1023" t="n">
        <f aca="false">IF('Ввод данных'!$A$6=связи1!$A$97,IF(дома!E323&lt;'Ввод данных'!$C$15,0,дома!E323-дома!$L$139),0)+IF(дома!E323=0,0,IF('Ввод данных'!$A$6=связи1!$A$94,IF(дома!E323&lt;0,0,дома!E323-дома!$L$139),0))</f>
        <v>2.6</v>
      </c>
      <c r="F324" s="933" t="n">
        <f aca="false">2*IF('Ввод данных'!$F$194=связи1!$A$2,1,0)*IF('Ввод данных'!$C$155=связи1!$A$2,1,0)</f>
        <v>0</v>
      </c>
      <c r="G324" s="933" t="n">
        <f aca="false">C324*D324*E324*F324</f>
        <v>0</v>
      </c>
      <c r="H324" s="933"/>
      <c r="I324" s="933"/>
      <c r="J324" s="933"/>
      <c r="K324" s="933"/>
      <c r="L324" s="933"/>
      <c r="M324" s="933"/>
      <c r="N324" s="933"/>
      <c r="O324" s="933"/>
      <c r="P324" s="1290"/>
      <c r="Q324" s="1290"/>
      <c r="R324" s="1290"/>
      <c r="S324" s="933"/>
      <c r="T324" s="933"/>
      <c r="U324" s="1329"/>
      <c r="V324" s="933"/>
      <c r="W324" s="933"/>
      <c r="X324" s="933"/>
      <c r="Y324" s="1290"/>
      <c r="Z324" s="933"/>
      <c r="AA324" s="933"/>
      <c r="AD324" s="1290"/>
    </row>
    <row r="325" customFormat="false" ht="15.75" hidden="false" customHeight="true" outlineLevel="1" collapsed="false">
      <c r="A325" s="1349" t="s">
        <v>3112</v>
      </c>
      <c r="B325" s="1269" t="s">
        <v>156</v>
      </c>
      <c r="C325" s="887" t="n">
        <f aca="false">$C$143</f>
        <v>0.15</v>
      </c>
      <c r="D325" s="933" t="n">
        <f aca="false">$D$143</f>
        <v>0.05</v>
      </c>
      <c r="E325" s="1023" t="n">
        <f aca="false">IF('Ввод данных'!$A$6=связи1!$A$97,IF(дома!E324&lt;'Ввод данных'!$C$15,0,дома!E324-дома!$L$139),0)+IF(дома!E324=0,0,IF('Ввод данных'!$A$6=связи1!$A$94,IF(дома!E324&lt;0,0,дома!E324-дома!$L$139),0))</f>
        <v>2.4</v>
      </c>
      <c r="F325" s="933" t="n">
        <f aca="false">2*IF('Ввод данных'!$F$194=связи1!$A$2,1,0)*IF('Ввод данных'!$C$155=связи1!$A$2,1,0)</f>
        <v>0</v>
      </c>
      <c r="G325" s="933" t="n">
        <f aca="false">C325*D325*E325*F325</f>
        <v>0</v>
      </c>
      <c r="H325" s="933"/>
      <c r="I325" s="933"/>
      <c r="J325" s="933"/>
      <c r="K325" s="933"/>
      <c r="L325" s="933"/>
      <c r="M325" s="933"/>
      <c r="N325" s="933"/>
      <c r="O325" s="933"/>
      <c r="P325" s="1290"/>
      <c r="Q325" s="1290"/>
      <c r="R325" s="1290"/>
      <c r="S325" s="933"/>
      <c r="T325" s="933"/>
      <c r="U325" s="1329"/>
      <c r="V325" s="933"/>
      <c r="W325" s="933"/>
      <c r="X325" s="933"/>
      <c r="Y325" s="1290"/>
      <c r="Z325" s="933"/>
      <c r="AA325" s="933"/>
      <c r="AD325" s="1290"/>
    </row>
    <row r="326" customFormat="false" ht="15.75" hidden="false" customHeight="true" outlineLevel="1" collapsed="false">
      <c r="A326" s="1349" t="s">
        <v>3113</v>
      </c>
      <c r="B326" s="1269" t="s">
        <v>156</v>
      </c>
      <c r="C326" s="887" t="n">
        <f aca="false">$C$143</f>
        <v>0.15</v>
      </c>
      <c r="D326" s="933" t="n">
        <f aca="false">$D$143</f>
        <v>0.05</v>
      </c>
      <c r="E326" s="1023" t="n">
        <f aca="false">IF('Ввод данных'!$A$6=связи1!$A$97,IF(дома!E325&lt;'Ввод данных'!$C$15,0,дома!E325-дома!$L$139),0)+IF(дома!E325=0,0,IF('Ввод данных'!$A$6=связи1!$A$94,IF(дома!E325&lt;0,0,дома!E325-дома!$L$139),0))</f>
        <v>2.2</v>
      </c>
      <c r="F326" s="933" t="n">
        <f aca="false">2*IF('Ввод данных'!$F$194=связи1!$A$2,1,0)*IF('Ввод данных'!$C$155=связи1!$A$2,1,0)</f>
        <v>0</v>
      </c>
      <c r="G326" s="933" t="n">
        <f aca="false">C326*D326*E326*F326</f>
        <v>0</v>
      </c>
      <c r="H326" s="933"/>
      <c r="I326" s="933"/>
      <c r="J326" s="933"/>
      <c r="K326" s="933"/>
      <c r="L326" s="933"/>
      <c r="M326" s="933"/>
      <c r="N326" s="933"/>
      <c r="O326" s="933"/>
      <c r="P326" s="1290"/>
      <c r="Q326" s="1290"/>
      <c r="R326" s="1290"/>
      <c r="S326" s="933"/>
      <c r="T326" s="933"/>
      <c r="U326" s="1329"/>
      <c r="V326" s="933"/>
      <c r="W326" s="933"/>
      <c r="X326" s="933"/>
      <c r="Y326" s="1290"/>
      <c r="Z326" s="933"/>
      <c r="AA326" s="933"/>
      <c r="AD326" s="1290"/>
    </row>
    <row r="327" customFormat="false" ht="15.75" hidden="false" customHeight="true" outlineLevel="1" collapsed="false">
      <c r="A327" s="1349" t="s">
        <v>3114</v>
      </c>
      <c r="B327" s="1269" t="s">
        <v>156</v>
      </c>
      <c r="C327" s="887" t="n">
        <f aca="false">$C$143</f>
        <v>0.15</v>
      </c>
      <c r="D327" s="933" t="n">
        <f aca="false">$D$143</f>
        <v>0.05</v>
      </c>
      <c r="E327" s="1023" t="n">
        <f aca="false">IF('Ввод данных'!$A$6=связи1!$A$97,IF(дома!E326&lt;'Ввод данных'!$C$15,0,дома!E326-дома!$L$139),0)+IF(дома!E326=0,0,IF('Ввод данных'!$A$6=связи1!$A$94,IF(дома!E326&lt;0,0,дома!E326-дома!$L$139),0))</f>
        <v>2</v>
      </c>
      <c r="F327" s="933" t="n">
        <f aca="false">2*IF('Ввод данных'!$F$194=связи1!$A$2,1,0)*IF('Ввод данных'!$C$155=связи1!$A$2,1,0)</f>
        <v>0</v>
      </c>
      <c r="G327" s="933" t="n">
        <f aca="false">C327*D327*E327*F327</f>
        <v>0</v>
      </c>
      <c r="H327" s="933"/>
      <c r="I327" s="933"/>
      <c r="J327" s="933"/>
      <c r="K327" s="933"/>
      <c r="L327" s="933"/>
      <c r="M327" s="933"/>
      <c r="N327" s="933"/>
      <c r="O327" s="933"/>
      <c r="P327" s="1290"/>
      <c r="Q327" s="1290"/>
      <c r="R327" s="1290"/>
      <c r="S327" s="933"/>
      <c r="T327" s="933"/>
      <c r="U327" s="1329"/>
      <c r="V327" s="933"/>
      <c r="W327" s="933"/>
      <c r="X327" s="933"/>
      <c r="Y327" s="1290"/>
      <c r="Z327" s="933"/>
      <c r="AA327" s="933"/>
      <c r="AD327" s="1290"/>
    </row>
    <row r="328" customFormat="false" ht="15.75" hidden="false" customHeight="true" outlineLevel="1" collapsed="false">
      <c r="A328" s="1349" t="s">
        <v>3115</v>
      </c>
      <c r="B328" s="1269" t="s">
        <v>156</v>
      </c>
      <c r="C328" s="887" t="n">
        <f aca="false">$C$143</f>
        <v>0.15</v>
      </c>
      <c r="D328" s="933" t="n">
        <f aca="false">$D$143</f>
        <v>0.05</v>
      </c>
      <c r="E328" s="1023" t="n">
        <f aca="false">IF('Ввод данных'!$A$6=связи1!$A$97,IF(дома!E327&lt;'Ввод данных'!$C$15,0,дома!E327-дома!$L$139),0)+IF(дома!E327=0,0,IF('Ввод данных'!$A$6=связи1!$A$94,IF(дома!E327&lt;0,0,дома!E327-дома!$L$139),0))</f>
        <v>1.8</v>
      </c>
      <c r="F328" s="933" t="n">
        <f aca="false">2*IF('Ввод данных'!$F$194=связи1!$A$2,1,0)*IF('Ввод данных'!$C$155=связи1!$A$2,1,0)</f>
        <v>0</v>
      </c>
      <c r="G328" s="933" t="n">
        <f aca="false">C328*D328*E328*F328</f>
        <v>0</v>
      </c>
      <c r="H328" s="933"/>
      <c r="I328" s="933"/>
      <c r="J328" s="933"/>
      <c r="K328" s="933"/>
      <c r="L328" s="933"/>
      <c r="M328" s="933"/>
      <c r="N328" s="933"/>
      <c r="O328" s="933"/>
      <c r="P328" s="1290"/>
      <c r="Q328" s="1290"/>
      <c r="R328" s="1290"/>
      <c r="S328" s="933"/>
      <c r="T328" s="933"/>
      <c r="U328" s="1329"/>
      <c r="V328" s="933"/>
      <c r="W328" s="933"/>
      <c r="X328" s="933"/>
      <c r="Y328" s="1290"/>
      <c r="Z328" s="933"/>
      <c r="AA328" s="933"/>
      <c r="AD328" s="1290"/>
    </row>
    <row r="329" customFormat="false" ht="15.75" hidden="false" customHeight="true" outlineLevel="1" collapsed="false">
      <c r="A329" s="1349" t="s">
        <v>3116</v>
      </c>
      <c r="B329" s="1269" t="s">
        <v>156</v>
      </c>
      <c r="C329" s="887" t="n">
        <f aca="false">$C$143</f>
        <v>0.15</v>
      </c>
      <c r="D329" s="933" t="n">
        <f aca="false">$D$143</f>
        <v>0.05</v>
      </c>
      <c r="E329" s="1023" t="n">
        <f aca="false">IF('Ввод данных'!$A$6=связи1!$A$97,IF(дома!E328&lt;'Ввод данных'!$C$15,0,дома!E328-дома!$L$139),0)+IF(дома!E328=0,0,IF('Ввод данных'!$A$6=связи1!$A$94,IF(дома!E328&lt;0,0,дома!E328-дома!$L$139),0))</f>
        <v>1.6</v>
      </c>
      <c r="F329" s="933" t="n">
        <f aca="false">2*IF('Ввод данных'!$F$194=связи1!$A$2,1,0)*IF('Ввод данных'!$C$155=связи1!$A$2,1,0)</f>
        <v>0</v>
      </c>
      <c r="G329" s="933" t="n">
        <f aca="false">C329*D329*E329*F329</f>
        <v>0</v>
      </c>
      <c r="H329" s="933"/>
      <c r="I329" s="933"/>
      <c r="J329" s="933"/>
      <c r="K329" s="933"/>
      <c r="L329" s="933"/>
      <c r="M329" s="933"/>
      <c r="N329" s="933"/>
      <c r="O329" s="933"/>
      <c r="P329" s="1290"/>
      <c r="Q329" s="1290"/>
      <c r="R329" s="1290"/>
      <c r="S329" s="933"/>
      <c r="T329" s="933"/>
      <c r="U329" s="1329"/>
      <c r="V329" s="933"/>
      <c r="W329" s="933"/>
      <c r="X329" s="933"/>
      <c r="Y329" s="1290"/>
      <c r="Z329" s="933"/>
      <c r="AA329" s="933"/>
      <c r="AD329" s="1290"/>
    </row>
    <row r="330" customFormat="false" ht="15.75" hidden="false" customHeight="true" outlineLevel="1" collapsed="false">
      <c r="A330" s="1349" t="s">
        <v>3117</v>
      </c>
      <c r="B330" s="1269" t="s">
        <v>156</v>
      </c>
      <c r="C330" s="887" t="n">
        <f aca="false">$C$143</f>
        <v>0.15</v>
      </c>
      <c r="D330" s="933" t="n">
        <f aca="false">$D$143</f>
        <v>0.05</v>
      </c>
      <c r="E330" s="1023" t="n">
        <f aca="false">IF('Ввод данных'!$A$6=связи1!$A$97,IF(дома!E329&lt;'Ввод данных'!$C$15,0,дома!E329-дома!$L$139),0)+IF(дома!E329=0,0,IF('Ввод данных'!$A$6=связи1!$A$94,IF(дома!E329&lt;0,0,дома!E329-дома!$L$139),0))</f>
        <v>1.4</v>
      </c>
      <c r="F330" s="933" t="n">
        <f aca="false">2*IF('Ввод данных'!$F$194=связи1!$A$2,1,0)*IF('Ввод данных'!$C$155=связи1!$A$2,1,0)</f>
        <v>0</v>
      </c>
      <c r="G330" s="933" t="n">
        <f aca="false">C330*D330*E330*F330</f>
        <v>0</v>
      </c>
      <c r="H330" s="933"/>
      <c r="I330" s="933"/>
      <c r="J330" s="933"/>
      <c r="K330" s="933"/>
      <c r="L330" s="933"/>
      <c r="M330" s="933"/>
      <c r="N330" s="933"/>
      <c r="O330" s="933"/>
      <c r="P330" s="1290"/>
      <c r="Q330" s="1290"/>
      <c r="R330" s="1290"/>
      <c r="S330" s="933"/>
      <c r="T330" s="933"/>
      <c r="U330" s="1329"/>
      <c r="V330" s="933"/>
      <c r="W330" s="933"/>
      <c r="X330" s="933"/>
      <c r="Y330" s="1290"/>
      <c r="Z330" s="933"/>
      <c r="AA330" s="933"/>
      <c r="AD330" s="1290"/>
    </row>
    <row r="331" customFormat="false" ht="15.75" hidden="false" customHeight="true" outlineLevel="1" collapsed="false">
      <c r="A331" s="1349" t="s">
        <v>3118</v>
      </c>
      <c r="B331" s="1269" t="s">
        <v>156</v>
      </c>
      <c r="C331" s="887" t="n">
        <f aca="false">$C$143</f>
        <v>0.15</v>
      </c>
      <c r="D331" s="933" t="n">
        <f aca="false">$D$143</f>
        <v>0.05</v>
      </c>
      <c r="E331" s="1023" t="n">
        <f aca="false">IF('Ввод данных'!$A$6=связи1!$A$97,IF(дома!E330&lt;'Ввод данных'!$C$15,0,дома!E330-дома!$L$139),0)+IF(дома!E330=0,0,IF('Ввод данных'!$A$6=связи1!$A$94,IF(дома!E330&lt;0,0,дома!E330-дома!$L$139),0))</f>
        <v>1.2</v>
      </c>
      <c r="F331" s="933" t="n">
        <f aca="false">2*IF('Ввод данных'!$F$194=связи1!$A$2,1,0)*IF('Ввод данных'!$C$155=связи1!$A$2,1,0)</f>
        <v>0</v>
      </c>
      <c r="G331" s="933" t="n">
        <f aca="false">C331*D331*E331*F331</f>
        <v>0</v>
      </c>
      <c r="H331" s="933"/>
      <c r="I331" s="933"/>
      <c r="J331" s="933"/>
      <c r="K331" s="933"/>
      <c r="L331" s="933"/>
      <c r="M331" s="933"/>
      <c r="N331" s="933"/>
      <c r="O331" s="933"/>
      <c r="P331" s="1290"/>
      <c r="Q331" s="1290"/>
      <c r="R331" s="1290"/>
      <c r="S331" s="933"/>
      <c r="T331" s="933"/>
      <c r="U331" s="1329"/>
      <c r="V331" s="933"/>
      <c r="W331" s="933"/>
      <c r="X331" s="933"/>
      <c r="Y331" s="1290"/>
      <c r="Z331" s="933"/>
      <c r="AA331" s="933"/>
      <c r="AD331" s="1290"/>
    </row>
    <row r="332" customFormat="false" ht="15.75" hidden="false" customHeight="true" outlineLevel="1" collapsed="false">
      <c r="A332" s="1349" t="s">
        <v>3119</v>
      </c>
      <c r="B332" s="1269" t="s">
        <v>156</v>
      </c>
      <c r="C332" s="887" t="n">
        <f aca="false">$C$143</f>
        <v>0.15</v>
      </c>
      <c r="D332" s="933" t="n">
        <f aca="false">$D$143</f>
        <v>0.05</v>
      </c>
      <c r="E332" s="1023" t="n">
        <f aca="false">IF('Ввод данных'!$A$6=связи1!$A$97,IF(дома!E331&lt;'Ввод данных'!$C$15,0,дома!E331-дома!$L$139),0)+IF(дома!E331=0,0,IF('Ввод данных'!$A$6=связи1!$A$94,IF(дома!E331&lt;0,0,дома!E331-дома!$L$139),0))</f>
        <v>0.999999999999998</v>
      </c>
      <c r="F332" s="933" t="n">
        <f aca="false">2*IF('Ввод данных'!$F$194=связи1!$A$2,1,0)*IF('Ввод данных'!$C$155=связи1!$A$2,1,0)</f>
        <v>0</v>
      </c>
      <c r="G332" s="933" t="n">
        <f aca="false">C332*D332*E332*F332</f>
        <v>0</v>
      </c>
      <c r="H332" s="933"/>
      <c r="I332" s="933"/>
      <c r="J332" s="933"/>
      <c r="K332" s="933"/>
      <c r="L332" s="933"/>
      <c r="M332" s="933"/>
      <c r="N332" s="933"/>
      <c r="O332" s="933"/>
      <c r="P332" s="1290"/>
      <c r="Q332" s="1290"/>
      <c r="R332" s="1290"/>
      <c r="S332" s="933"/>
      <c r="T332" s="933"/>
      <c r="U332" s="1329"/>
      <c r="V332" s="933"/>
      <c r="W332" s="933"/>
      <c r="X332" s="933"/>
      <c r="Y332" s="1290"/>
      <c r="Z332" s="933"/>
      <c r="AA332" s="933"/>
      <c r="AD332" s="1290"/>
    </row>
    <row r="333" customFormat="false" ht="15.75" hidden="false" customHeight="true" outlineLevel="1" collapsed="false">
      <c r="A333" s="1349" t="s">
        <v>3120</v>
      </c>
      <c r="B333" s="1269" t="s">
        <v>156</v>
      </c>
      <c r="C333" s="887" t="n">
        <f aca="false">$C$143</f>
        <v>0.15</v>
      </c>
      <c r="D333" s="933" t="n">
        <f aca="false">$D$143</f>
        <v>0.05</v>
      </c>
      <c r="E333" s="1023" t="n">
        <f aca="false">IF('Ввод данных'!$A$6=связи1!$A$97,IF(дома!E332&lt;'Ввод данных'!$C$15,0,дома!E332-дома!$L$139),0)+IF(дома!E332=0,0,IF('Ввод данных'!$A$6=связи1!$A$94,IF(дома!E332&lt;0,0,дома!E332-дома!$L$139),0))</f>
        <v>0.799999999999998</v>
      </c>
      <c r="F333" s="933" t="n">
        <f aca="false">2*IF('Ввод данных'!$F$194=связи1!$A$2,1,0)*IF('Ввод данных'!$C$155=связи1!$A$2,1,0)</f>
        <v>0</v>
      </c>
      <c r="G333" s="933" t="n">
        <f aca="false">C333*D333*E333*F333</f>
        <v>0</v>
      </c>
      <c r="H333" s="933"/>
      <c r="I333" s="933"/>
      <c r="J333" s="933"/>
      <c r="K333" s="933"/>
      <c r="L333" s="933"/>
      <c r="M333" s="933"/>
      <c r="N333" s="933"/>
      <c r="O333" s="933"/>
      <c r="P333" s="1290"/>
      <c r="Q333" s="1290"/>
      <c r="R333" s="1290"/>
      <c r="S333" s="933"/>
      <c r="T333" s="933"/>
      <c r="U333" s="1329"/>
      <c r="V333" s="933"/>
      <c r="W333" s="933"/>
      <c r="X333" s="933"/>
      <c r="Y333" s="1290"/>
      <c r="Z333" s="933"/>
      <c r="AA333" s="933"/>
      <c r="AD333" s="1290"/>
    </row>
    <row r="334" customFormat="false" ht="15.75" hidden="false" customHeight="true" outlineLevel="1" collapsed="false">
      <c r="A334" s="1349" t="s">
        <v>3121</v>
      </c>
      <c r="B334" s="1269" t="s">
        <v>156</v>
      </c>
      <c r="C334" s="887" t="n">
        <f aca="false">$C$143</f>
        <v>0.15</v>
      </c>
      <c r="D334" s="933" t="n">
        <f aca="false">$D$143</f>
        <v>0.05</v>
      </c>
      <c r="E334" s="1023" t="n">
        <f aca="false">IF('Ввод данных'!$A$6=связи1!$A$97,IF(дома!E333&lt;'Ввод данных'!$C$15,0,дома!E333-дома!$L$139),0)+IF(дома!E333=0,0,IF('Ввод данных'!$A$6=связи1!$A$94,IF(дома!E333&lt;0,0,дома!E333-дома!$L$139),0))</f>
        <v>0.599999999999998</v>
      </c>
      <c r="F334" s="933" t="n">
        <f aca="false">2*IF('Ввод данных'!$F$194=связи1!$A$2,1,0)*IF('Ввод данных'!$C$155=связи1!$A$2,1,0)</f>
        <v>0</v>
      </c>
      <c r="G334" s="933" t="n">
        <f aca="false">C334*D334*E334*F334</f>
        <v>0</v>
      </c>
      <c r="H334" s="933"/>
      <c r="I334" s="933"/>
      <c r="J334" s="933"/>
      <c r="K334" s="933"/>
      <c r="L334" s="933"/>
      <c r="M334" s="933"/>
      <c r="N334" s="933"/>
      <c r="O334" s="933"/>
      <c r="P334" s="1290"/>
      <c r="Q334" s="1290"/>
      <c r="R334" s="1290"/>
      <c r="S334" s="933"/>
      <c r="T334" s="933"/>
      <c r="U334" s="1329"/>
      <c r="V334" s="933"/>
      <c r="W334" s="933"/>
      <c r="X334" s="933"/>
      <c r="Y334" s="1290"/>
      <c r="Z334" s="933"/>
      <c r="AA334" s="933"/>
      <c r="AD334" s="1290"/>
    </row>
    <row r="335" customFormat="false" ht="15.75" hidden="false" customHeight="true" outlineLevel="1" collapsed="false">
      <c r="A335" s="1349" t="s">
        <v>3122</v>
      </c>
      <c r="B335" s="1269" t="s">
        <v>156</v>
      </c>
      <c r="C335" s="887" t="n">
        <f aca="false">$C$143</f>
        <v>0.15</v>
      </c>
      <c r="D335" s="933" t="n">
        <f aca="false">$D$143</f>
        <v>0.05</v>
      </c>
      <c r="E335" s="1023" t="n">
        <f aca="false">IF('Ввод данных'!$A$6=связи1!$A$97,IF(дома!E334&lt;'Ввод данных'!$C$15,0,дома!E334-дома!$L$139),0)+IF(дома!E334=0,0,IF('Ввод данных'!$A$6=связи1!$A$94,IF(дома!E334&lt;0,0,дома!E334-дома!$L$139),0))</f>
        <v>0.399999999999998</v>
      </c>
      <c r="F335" s="933" t="n">
        <f aca="false">2*IF('Ввод данных'!$F$194=связи1!$A$2,1,0)*IF('Ввод данных'!$C$155=связи1!$A$2,1,0)</f>
        <v>0</v>
      </c>
      <c r="G335" s="933" t="n">
        <f aca="false">C335*D335*E335*F335</f>
        <v>0</v>
      </c>
      <c r="H335" s="933"/>
      <c r="I335" s="933"/>
      <c r="J335" s="933"/>
      <c r="K335" s="933"/>
      <c r="L335" s="933"/>
      <c r="M335" s="933"/>
      <c r="N335" s="933"/>
      <c r="O335" s="933"/>
      <c r="P335" s="1290"/>
      <c r="Q335" s="1290"/>
      <c r="R335" s="1290"/>
      <c r="S335" s="933"/>
      <c r="T335" s="933"/>
      <c r="U335" s="1329"/>
      <c r="V335" s="933"/>
      <c r="W335" s="933"/>
      <c r="X335" s="933"/>
      <c r="Y335" s="1290"/>
      <c r="Z335" s="933"/>
      <c r="AA335" s="933"/>
      <c r="AD335" s="1290"/>
    </row>
    <row r="336" customFormat="false" ht="15.75" hidden="false" customHeight="true" outlineLevel="1" collapsed="false">
      <c r="A336" s="1349" t="s">
        <v>3123</v>
      </c>
      <c r="B336" s="1269" t="s">
        <v>156</v>
      </c>
      <c r="C336" s="887" t="n">
        <f aca="false">$C$143</f>
        <v>0.15</v>
      </c>
      <c r="D336" s="933" t="n">
        <f aca="false">$D$143</f>
        <v>0.05</v>
      </c>
      <c r="E336" s="1023" t="n">
        <f aca="false">IF('Ввод данных'!$A$6=связи1!$A$97,IF(дома!E335&lt;'Ввод данных'!$C$15,0,дома!E335-дома!$L$139),0)+IF(дома!E335=0,0,IF('Ввод данных'!$A$6=связи1!$A$94,IF(дома!E335&lt;0,0,дома!E335-дома!$L$139),0))</f>
        <v>0.199999999999998</v>
      </c>
      <c r="F336" s="933" t="n">
        <f aca="false">2*IF('Ввод данных'!$F$194=связи1!$A$2,1,0)*IF('Ввод данных'!$C$155=связи1!$A$2,1,0)</f>
        <v>0</v>
      </c>
      <c r="G336" s="933" t="n">
        <f aca="false">C336*D336*E336*F336</f>
        <v>0</v>
      </c>
      <c r="H336" s="933"/>
      <c r="I336" s="933"/>
      <c r="J336" s="933"/>
      <c r="K336" s="933"/>
      <c r="L336" s="933"/>
      <c r="M336" s="933"/>
      <c r="N336" s="933"/>
      <c r="O336" s="933"/>
      <c r="P336" s="1290"/>
      <c r="Q336" s="1290"/>
      <c r="R336" s="1290"/>
      <c r="S336" s="933"/>
      <c r="T336" s="933"/>
      <c r="U336" s="1329"/>
      <c r="V336" s="933"/>
      <c r="W336" s="933"/>
      <c r="X336" s="933"/>
      <c r="Y336" s="1290"/>
      <c r="Z336" s="933"/>
      <c r="AA336" s="933"/>
      <c r="AD336" s="1290"/>
    </row>
    <row r="337" customFormat="false" ht="15.75" hidden="false" customHeight="true" outlineLevel="1" collapsed="false">
      <c r="A337" s="1349" t="s">
        <v>3124</v>
      </c>
      <c r="B337" s="1269" t="s">
        <v>156</v>
      </c>
      <c r="C337" s="887" t="n">
        <f aca="false">$C$143</f>
        <v>0.15</v>
      </c>
      <c r="D337" s="933" t="n">
        <f aca="false">$D$143</f>
        <v>0.05</v>
      </c>
      <c r="E337" s="1023" t="n">
        <f aca="false">IF('Ввод данных'!$A$6=связи1!$A$97,IF(дома!E336&lt;'Ввод данных'!$C$15,0,дома!E336-дома!$L$139),0)+IF(дома!E336=0,0,IF('Ввод данных'!$A$6=связи1!$A$94,IF(дома!E336&lt;0,0,дома!E336-дома!$L$139),0))</f>
        <v>-2.05391259555654E-015</v>
      </c>
      <c r="F337" s="933" t="n">
        <f aca="false">2*IF('Ввод данных'!$F$194=связи1!$A$2,1,0)*IF('Ввод данных'!$C$155=связи1!$A$2,1,0)</f>
        <v>0</v>
      </c>
      <c r="G337" s="933" t="n">
        <f aca="false">C337*D337*E337*F337</f>
        <v>-0</v>
      </c>
      <c r="H337" s="933"/>
      <c r="I337" s="933"/>
      <c r="J337" s="933"/>
      <c r="K337" s="933"/>
      <c r="L337" s="933"/>
      <c r="M337" s="933"/>
      <c r="N337" s="933"/>
      <c r="O337" s="933"/>
      <c r="P337" s="1290"/>
      <c r="Q337" s="1290"/>
      <c r="R337" s="1290"/>
      <c r="S337" s="933"/>
      <c r="T337" s="933"/>
      <c r="U337" s="1329"/>
      <c r="V337" s="933"/>
      <c r="W337" s="933"/>
      <c r="X337" s="933"/>
      <c r="Y337" s="1290"/>
      <c r="Z337" s="933"/>
      <c r="AA337" s="933"/>
      <c r="AD337" s="1290"/>
    </row>
    <row r="338" customFormat="false" ht="15.75" hidden="false" customHeight="true" outlineLevel="1" collapsed="false">
      <c r="A338" s="1349" t="s">
        <v>3125</v>
      </c>
      <c r="B338" s="1269" t="s">
        <v>156</v>
      </c>
      <c r="C338" s="887" t="n">
        <f aca="false">$C$143</f>
        <v>0.15</v>
      </c>
      <c r="D338" s="933" t="n">
        <f aca="false">$D$143</f>
        <v>0.05</v>
      </c>
      <c r="E338" s="1023" t="n">
        <f aca="false">IF('Ввод данных'!$A$6=связи1!$A$97,IF(дома!E337&lt;'Ввод данных'!$C$15,0,дома!E337-дома!$L$139),0)+IF(дома!E337=0,0,IF('Ввод данных'!$A$6=связи1!$A$94,IF(дома!E337&lt;0,0,дома!E337-дома!$L$139),0))</f>
        <v>0</v>
      </c>
      <c r="F338" s="933" t="n">
        <f aca="false">2*IF('Ввод данных'!$F$194=связи1!$A$2,1,0)*IF('Ввод данных'!$C$155=связи1!$A$2,1,0)</f>
        <v>0</v>
      </c>
      <c r="G338" s="933" t="n">
        <f aca="false">C338*D338*E338*F338</f>
        <v>0</v>
      </c>
      <c r="H338" s="933"/>
      <c r="I338" s="933"/>
      <c r="J338" s="933"/>
      <c r="K338" s="933"/>
      <c r="L338" s="933"/>
      <c r="M338" s="933"/>
      <c r="N338" s="933"/>
      <c r="O338" s="933"/>
      <c r="P338" s="1290"/>
      <c r="Q338" s="1290"/>
      <c r="R338" s="1290"/>
      <c r="S338" s="933"/>
      <c r="T338" s="933"/>
      <c r="U338" s="1329"/>
      <c r="V338" s="933"/>
      <c r="W338" s="933"/>
      <c r="X338" s="933"/>
      <c r="Y338" s="1290"/>
      <c r="Z338" s="933"/>
      <c r="AA338" s="933"/>
      <c r="AD338" s="1290"/>
    </row>
    <row r="339" customFormat="false" ht="15.75" hidden="false" customHeight="true" outlineLevel="1" collapsed="false">
      <c r="A339" s="1349" t="s">
        <v>3126</v>
      </c>
      <c r="B339" s="1269" t="s">
        <v>156</v>
      </c>
      <c r="C339" s="887" t="n">
        <f aca="false">$C$143</f>
        <v>0.15</v>
      </c>
      <c r="D339" s="933" t="n">
        <f aca="false">$D$143</f>
        <v>0.05</v>
      </c>
      <c r="E339" s="1023" t="n">
        <f aca="false">IF('Ввод данных'!$A$6=связи1!$A$97,IF(дома!E338&lt;'Ввод данных'!$C$15,0,дома!E338-дома!$L$139),0)+IF(дома!E338=0,0,IF('Ввод данных'!$A$6=связи1!$A$94,IF(дома!E338&lt;0,0,дома!E338-дома!$L$139),0))</f>
        <v>0</v>
      </c>
      <c r="F339" s="933" t="n">
        <f aca="false">2*IF('Ввод данных'!$F$194=связи1!$A$2,1,0)*IF('Ввод данных'!$C$155=связи1!$A$2,1,0)</f>
        <v>0</v>
      </c>
      <c r="G339" s="933" t="n">
        <f aca="false">C339*D339*E339*F339</f>
        <v>0</v>
      </c>
      <c r="H339" s="933"/>
      <c r="I339" s="933"/>
      <c r="J339" s="933"/>
      <c r="K339" s="933"/>
      <c r="L339" s="933"/>
      <c r="M339" s="933"/>
      <c r="N339" s="933"/>
      <c r="O339" s="933"/>
      <c r="P339" s="1290"/>
      <c r="Q339" s="1290"/>
      <c r="R339" s="1290"/>
      <c r="S339" s="933"/>
      <c r="T339" s="933"/>
      <c r="U339" s="1329"/>
      <c r="V339" s="933"/>
      <c r="W339" s="933"/>
      <c r="X339" s="933"/>
      <c r="Y339" s="1290"/>
      <c r="Z339" s="933"/>
      <c r="AA339" s="933"/>
      <c r="AD339" s="1290"/>
    </row>
    <row r="340" customFormat="false" ht="15.75" hidden="false" customHeight="true" outlineLevel="1" collapsed="false">
      <c r="A340" s="1349" t="s">
        <v>3127</v>
      </c>
      <c r="B340" s="1269" t="s">
        <v>156</v>
      </c>
      <c r="C340" s="887" t="n">
        <f aca="false">$C$143</f>
        <v>0.15</v>
      </c>
      <c r="D340" s="933" t="n">
        <f aca="false">$D$143</f>
        <v>0.05</v>
      </c>
      <c r="E340" s="1023" t="n">
        <f aca="false">IF('Ввод данных'!$A$6=связи1!$A$97,IF(дома!E339&lt;'Ввод данных'!$C$15,0,дома!E339-дома!$L$139),0)+IF(дома!E339=0,0,IF('Ввод данных'!$A$6=связи1!$A$94,IF(дома!E339&lt;0,0,дома!E339-дома!$L$139),0))</f>
        <v>0</v>
      </c>
      <c r="F340" s="933" t="n">
        <f aca="false">2*IF('Ввод данных'!$F$194=связи1!$A$2,1,0)*IF('Ввод данных'!$C$155=связи1!$A$2,1,0)</f>
        <v>0</v>
      </c>
      <c r="G340" s="933" t="n">
        <f aca="false">C340*D340*E340*F340</f>
        <v>0</v>
      </c>
      <c r="H340" s="933"/>
      <c r="I340" s="933"/>
      <c r="J340" s="933"/>
      <c r="K340" s="933"/>
      <c r="L340" s="933"/>
      <c r="M340" s="933"/>
      <c r="N340" s="933"/>
      <c r="O340" s="933"/>
      <c r="P340" s="1290"/>
      <c r="Q340" s="1290"/>
      <c r="R340" s="1290"/>
      <c r="S340" s="933"/>
      <c r="T340" s="933"/>
      <c r="U340" s="1329"/>
      <c r="V340" s="933"/>
      <c r="W340" s="933"/>
      <c r="X340" s="933"/>
      <c r="Y340" s="1290"/>
      <c r="Z340" s="933"/>
      <c r="AA340" s="933"/>
      <c r="AD340" s="1290"/>
    </row>
    <row r="341" customFormat="false" ht="15.75" hidden="false" customHeight="true" outlineLevel="1" collapsed="false">
      <c r="A341" s="1349" t="s">
        <v>3128</v>
      </c>
      <c r="B341" s="1269" t="s">
        <v>156</v>
      </c>
      <c r="C341" s="887" t="n">
        <f aca="false">$C$143</f>
        <v>0.15</v>
      </c>
      <c r="D341" s="933" t="n">
        <f aca="false">$D$143</f>
        <v>0.05</v>
      </c>
      <c r="E341" s="1023" t="n">
        <f aca="false">IF('Ввод данных'!$A$6=связи1!$A$97,IF(дома!E340&lt;'Ввод данных'!$C$15,0,дома!E340-дома!$L$139),0)+IF(дома!E340=0,0,IF('Ввод данных'!$A$6=связи1!$A$94,IF(дома!E340&lt;0,0,дома!E340-дома!$L$139),0))</f>
        <v>0</v>
      </c>
      <c r="F341" s="933" t="n">
        <f aca="false">2*IF('Ввод данных'!$F$194=связи1!$A$2,1,0)*IF('Ввод данных'!$C$155=связи1!$A$2,1,0)</f>
        <v>0</v>
      </c>
      <c r="G341" s="933" t="n">
        <f aca="false">C341*D341*E341*F341</f>
        <v>0</v>
      </c>
      <c r="H341" s="933"/>
      <c r="I341" s="933"/>
      <c r="J341" s="933"/>
      <c r="K341" s="933"/>
      <c r="L341" s="933"/>
      <c r="M341" s="933"/>
      <c r="N341" s="933"/>
      <c r="O341" s="933"/>
      <c r="P341" s="1290"/>
      <c r="Q341" s="1290"/>
      <c r="R341" s="1290"/>
      <c r="S341" s="933"/>
      <c r="T341" s="933"/>
      <c r="U341" s="1329"/>
      <c r="V341" s="933"/>
      <c r="W341" s="933"/>
      <c r="X341" s="933"/>
      <c r="Y341" s="1290"/>
      <c r="Z341" s="933"/>
      <c r="AA341" s="933"/>
      <c r="AD341" s="1290"/>
    </row>
    <row r="342" customFormat="false" ht="15.75" hidden="false" customHeight="true" outlineLevel="1" collapsed="false">
      <c r="A342" s="1349" t="s">
        <v>3129</v>
      </c>
      <c r="B342" s="1269" t="s">
        <v>156</v>
      </c>
      <c r="C342" s="887" t="n">
        <f aca="false">$C$143</f>
        <v>0.15</v>
      </c>
      <c r="D342" s="933" t="n">
        <f aca="false">$D$143</f>
        <v>0.05</v>
      </c>
      <c r="E342" s="1023" t="n">
        <f aca="false">IF('Ввод данных'!$A$6=связи1!$A$97,IF(дома!E341&lt;'Ввод данных'!$C$15,0,дома!E341-дома!$L$139),0)+IF(дома!E341=0,0,IF('Ввод данных'!$A$6=связи1!$A$94,IF(дома!E341&lt;0,0,дома!E341-дома!$L$139),0))</f>
        <v>0</v>
      </c>
      <c r="F342" s="933" t="n">
        <f aca="false">2*IF('Ввод данных'!$F$194=связи1!$A$2,1,0)*IF('Ввод данных'!$C$155=связи1!$A$2,1,0)</f>
        <v>0</v>
      </c>
      <c r="G342" s="933" t="n">
        <f aca="false">C342*D342*E342*F342</f>
        <v>0</v>
      </c>
      <c r="H342" s="933"/>
      <c r="I342" s="933"/>
      <c r="J342" s="933"/>
      <c r="K342" s="933"/>
      <c r="L342" s="933"/>
      <c r="M342" s="933"/>
      <c r="N342" s="933"/>
      <c r="O342" s="933"/>
      <c r="P342" s="1290"/>
      <c r="Q342" s="1290"/>
      <c r="R342" s="1290"/>
      <c r="S342" s="933"/>
      <c r="T342" s="933"/>
      <c r="U342" s="1329"/>
      <c r="V342" s="933"/>
      <c r="W342" s="933"/>
      <c r="X342" s="933"/>
      <c r="Y342" s="1290"/>
      <c r="Z342" s="933"/>
      <c r="AA342" s="933"/>
      <c r="AD342" s="1290"/>
    </row>
    <row r="343" customFormat="false" ht="15.75" hidden="false" customHeight="true" outlineLevel="1" collapsed="false">
      <c r="A343" s="1349" t="s">
        <v>3130</v>
      </c>
      <c r="B343" s="1269" t="s">
        <v>156</v>
      </c>
      <c r="C343" s="887" t="n">
        <f aca="false">$C$143</f>
        <v>0.15</v>
      </c>
      <c r="D343" s="933" t="n">
        <f aca="false">$D$143</f>
        <v>0.05</v>
      </c>
      <c r="E343" s="1023" t="n">
        <f aca="false">IF('Ввод данных'!$A$6=связи1!$A$97,IF(дома!E342&lt;'Ввод данных'!$C$15,0,дома!E342-дома!$L$139),0)+IF(дома!E342=0,0,IF('Ввод данных'!$A$6=связи1!$A$94,IF(дома!E342&lt;0,0,дома!E342-дома!$L$139),0))</f>
        <v>0</v>
      </c>
      <c r="F343" s="933" t="n">
        <f aca="false">2*IF('Ввод данных'!$F$194=связи1!$A$2,1,0)*IF('Ввод данных'!$C$155=связи1!$A$2,1,0)</f>
        <v>0</v>
      </c>
      <c r="G343" s="933" t="n">
        <f aca="false">C343*D343*E343*F343</f>
        <v>0</v>
      </c>
      <c r="H343" s="933"/>
      <c r="I343" s="933"/>
      <c r="J343" s="933"/>
      <c r="K343" s="933"/>
      <c r="L343" s="933"/>
      <c r="M343" s="933"/>
      <c r="N343" s="933"/>
      <c r="O343" s="933"/>
      <c r="P343" s="1290"/>
      <c r="Q343" s="1290"/>
      <c r="R343" s="1290"/>
      <c r="S343" s="933"/>
      <c r="T343" s="933"/>
      <c r="U343" s="1329"/>
      <c r="V343" s="933"/>
      <c r="W343" s="933"/>
      <c r="X343" s="933"/>
      <c r="Y343" s="1290"/>
      <c r="Z343" s="933"/>
      <c r="AA343" s="933"/>
      <c r="AD343" s="1290"/>
    </row>
    <row r="344" customFormat="false" ht="15.75" hidden="false" customHeight="true" outlineLevel="1" collapsed="false">
      <c r="A344" s="1349" t="s">
        <v>3131</v>
      </c>
      <c r="B344" s="1269" t="s">
        <v>156</v>
      </c>
      <c r="C344" s="887" t="n">
        <f aca="false">$C$143</f>
        <v>0.15</v>
      </c>
      <c r="D344" s="933" t="n">
        <f aca="false">$D$143</f>
        <v>0.05</v>
      </c>
      <c r="E344" s="1023" t="n">
        <f aca="false">IF('Ввод данных'!$A$6=связи1!$A$97,IF(дома!E343&lt;'Ввод данных'!$C$15,0,дома!E343-дома!$L$139),0)+IF(дома!E343=0,0,IF('Ввод данных'!$A$6=связи1!$A$94,IF(дома!E343&lt;0,0,дома!E343-дома!$L$139),0))</f>
        <v>0</v>
      </c>
      <c r="F344" s="933" t="n">
        <f aca="false">2*IF('Ввод данных'!$F$194=связи1!$A$2,1,0)*IF('Ввод данных'!$C$155=связи1!$A$2,1,0)</f>
        <v>0</v>
      </c>
      <c r="G344" s="933" t="n">
        <f aca="false">C344*D344*E344*F344</f>
        <v>0</v>
      </c>
      <c r="H344" s="933"/>
      <c r="I344" s="933"/>
      <c r="J344" s="933"/>
      <c r="K344" s="933"/>
      <c r="L344" s="933"/>
      <c r="M344" s="933"/>
      <c r="N344" s="933"/>
      <c r="O344" s="933"/>
      <c r="P344" s="1290"/>
      <c r="Q344" s="1290"/>
      <c r="R344" s="1290"/>
      <c r="S344" s="933"/>
      <c r="T344" s="933"/>
      <c r="U344" s="1329"/>
      <c r="V344" s="933"/>
      <c r="W344" s="933"/>
      <c r="X344" s="933"/>
      <c r="Y344" s="1290"/>
      <c r="Z344" s="933"/>
      <c r="AA344" s="933"/>
      <c r="AD344" s="1290"/>
    </row>
    <row r="345" customFormat="false" ht="15.75" hidden="false" customHeight="true" outlineLevel="1" collapsed="false">
      <c r="A345" s="1349" t="s">
        <v>3132</v>
      </c>
      <c r="B345" s="1269" t="s">
        <v>156</v>
      </c>
      <c r="C345" s="887" t="n">
        <f aca="false">$C$143</f>
        <v>0.15</v>
      </c>
      <c r="D345" s="933" t="n">
        <f aca="false">$D$143</f>
        <v>0.05</v>
      </c>
      <c r="E345" s="1023" t="n">
        <f aca="false">IF('Ввод данных'!$A$6=связи1!$A$97,IF(дома!E344&lt;'Ввод данных'!$C$15,0,дома!E344-дома!$L$139),0)+IF(дома!E344=0,0,IF('Ввод данных'!$A$6=связи1!$A$94,IF(дома!E344&lt;0,0,дома!E344-дома!$L$139),0))</f>
        <v>0</v>
      </c>
      <c r="F345" s="933" t="n">
        <f aca="false">2*IF('Ввод данных'!$F$194=связи1!$A$2,1,0)*IF('Ввод данных'!$C$155=связи1!$A$2,1,0)</f>
        <v>0</v>
      </c>
      <c r="G345" s="933" t="n">
        <f aca="false">C345*D345*E345*F345</f>
        <v>0</v>
      </c>
      <c r="H345" s="933"/>
      <c r="I345" s="933"/>
      <c r="J345" s="933"/>
      <c r="K345" s="933"/>
      <c r="L345" s="933"/>
      <c r="M345" s="933"/>
      <c r="N345" s="933"/>
      <c r="O345" s="933"/>
      <c r="P345" s="1290"/>
      <c r="Q345" s="1290"/>
      <c r="R345" s="1290"/>
      <c r="S345" s="933"/>
      <c r="T345" s="933"/>
      <c r="U345" s="1329"/>
      <c r="V345" s="933"/>
      <c r="W345" s="933"/>
      <c r="X345" s="933"/>
      <c r="Y345" s="1290"/>
      <c r="Z345" s="933"/>
      <c r="AA345" s="933"/>
      <c r="AD345" s="1290"/>
    </row>
    <row r="346" customFormat="false" ht="15.75" hidden="false" customHeight="true" outlineLevel="1" collapsed="false">
      <c r="A346" s="1349" t="s">
        <v>3133</v>
      </c>
      <c r="B346" s="1269" t="s">
        <v>156</v>
      </c>
      <c r="C346" s="887" t="n">
        <f aca="false">$C$143</f>
        <v>0.15</v>
      </c>
      <c r="D346" s="933" t="n">
        <f aca="false">$D$143</f>
        <v>0.05</v>
      </c>
      <c r="E346" s="1023" t="n">
        <f aca="false">IF('Ввод данных'!$A$6=связи1!$A$97,IF(дома!E345&lt;'Ввод данных'!$C$15,0,дома!E345-дома!$L$139),0)+IF(дома!E345=0,0,IF('Ввод данных'!$A$6=связи1!$A$94,IF(дома!E345&lt;0,0,дома!E345-дома!$L$139),0))</f>
        <v>0</v>
      </c>
      <c r="F346" s="933" t="n">
        <f aca="false">2*IF('Ввод данных'!$F$194=связи1!$A$2,1,0)*IF('Ввод данных'!$C$155=связи1!$A$2,1,0)</f>
        <v>0</v>
      </c>
      <c r="G346" s="933" t="n">
        <f aca="false">C346*D346*E346*F346</f>
        <v>0</v>
      </c>
      <c r="H346" s="933"/>
      <c r="I346" s="933"/>
      <c r="J346" s="933"/>
      <c r="K346" s="933"/>
      <c r="L346" s="933"/>
      <c r="M346" s="933"/>
      <c r="N346" s="933"/>
      <c r="O346" s="933"/>
      <c r="P346" s="1290"/>
      <c r="Q346" s="1290"/>
      <c r="R346" s="1290"/>
      <c r="S346" s="933"/>
      <c r="T346" s="933"/>
      <c r="U346" s="1329"/>
      <c r="V346" s="933"/>
      <c r="W346" s="933"/>
      <c r="X346" s="933"/>
      <c r="Y346" s="1290"/>
      <c r="Z346" s="933"/>
      <c r="AA346" s="933"/>
      <c r="AD346" s="1290"/>
    </row>
    <row r="347" customFormat="false" ht="15.75" hidden="false" customHeight="true" outlineLevel="1" collapsed="false">
      <c r="A347" s="1349" t="s">
        <v>3134</v>
      </c>
      <c r="B347" s="1269" t="s">
        <v>156</v>
      </c>
      <c r="C347" s="887" t="n">
        <f aca="false">$C$143</f>
        <v>0.15</v>
      </c>
      <c r="D347" s="933" t="n">
        <f aca="false">$D$143</f>
        <v>0.05</v>
      </c>
      <c r="E347" s="1023" t="n">
        <f aca="false">IF('Ввод данных'!$A$6=связи1!$A$97,IF(дома!E346&lt;'Ввод данных'!$C$15,0,дома!E346-дома!$L$139),0)+IF(дома!E346=0,0,IF('Ввод данных'!$A$6=связи1!$A$94,IF(дома!E346&lt;0,0,дома!E346-дома!$L$139),0))</f>
        <v>0</v>
      </c>
      <c r="F347" s="933" t="n">
        <f aca="false">2*IF('Ввод данных'!$F$194=связи1!$A$2,1,0)*IF('Ввод данных'!$C$155=связи1!$A$2,1,0)</f>
        <v>0</v>
      </c>
      <c r="G347" s="933" t="n">
        <f aca="false">C347*D347*E347*F347</f>
        <v>0</v>
      </c>
      <c r="H347" s="933"/>
      <c r="I347" s="933"/>
      <c r="J347" s="933"/>
      <c r="K347" s="933"/>
      <c r="L347" s="933"/>
      <c r="M347" s="933"/>
      <c r="N347" s="933"/>
      <c r="O347" s="933"/>
      <c r="P347" s="1290"/>
      <c r="Q347" s="1290"/>
      <c r="R347" s="1290"/>
      <c r="S347" s="933"/>
      <c r="T347" s="933"/>
      <c r="U347" s="1329"/>
      <c r="V347" s="933"/>
      <c r="W347" s="933"/>
      <c r="X347" s="933"/>
      <c r="Y347" s="1290"/>
      <c r="Z347" s="933"/>
      <c r="AA347" s="933"/>
      <c r="AD347" s="1290"/>
    </row>
    <row r="348" customFormat="false" ht="15.75" hidden="false" customHeight="true" outlineLevel="1" collapsed="false">
      <c r="A348" s="1349" t="s">
        <v>3135</v>
      </c>
      <c r="B348" s="1269" t="s">
        <v>156</v>
      </c>
      <c r="C348" s="887" t="n">
        <f aca="false">$C$143</f>
        <v>0.15</v>
      </c>
      <c r="D348" s="933" t="n">
        <f aca="false">$D$143</f>
        <v>0.05</v>
      </c>
      <c r="E348" s="1023" t="n">
        <f aca="false">IF('Ввод данных'!$A$6=связи1!$A$97,IF(дома!E347&lt;'Ввод данных'!$C$15,0,дома!E347-дома!$L$139),0)+IF(дома!E347=0,0,IF('Ввод данных'!$A$6=связи1!$A$94,IF(дома!E347&lt;0,0,дома!E347-дома!$L$139),0))</f>
        <v>0</v>
      </c>
      <c r="F348" s="933" t="n">
        <f aca="false">2*IF('Ввод данных'!$F$194=связи1!$A$2,1,0)*IF('Ввод данных'!$C$155=связи1!$A$2,1,0)</f>
        <v>0</v>
      </c>
      <c r="G348" s="933" t="n">
        <f aca="false">C348*D348*E348*F348</f>
        <v>0</v>
      </c>
      <c r="H348" s="933"/>
      <c r="I348" s="933"/>
      <c r="J348" s="933"/>
      <c r="K348" s="933"/>
      <c r="L348" s="933"/>
      <c r="M348" s="933"/>
      <c r="N348" s="933"/>
      <c r="O348" s="933"/>
      <c r="P348" s="1290"/>
      <c r="Q348" s="1290"/>
      <c r="R348" s="1290"/>
      <c r="S348" s="933"/>
      <c r="T348" s="933"/>
      <c r="U348" s="1329"/>
      <c r="V348" s="933"/>
      <c r="W348" s="933"/>
      <c r="X348" s="933"/>
      <c r="Y348" s="1290"/>
      <c r="Z348" s="933"/>
      <c r="AA348" s="933"/>
      <c r="AD348" s="1290"/>
    </row>
    <row r="349" customFormat="false" ht="15.75" hidden="false" customHeight="true" outlineLevel="1" collapsed="false">
      <c r="A349" s="1349" t="s">
        <v>3136</v>
      </c>
      <c r="B349" s="1269" t="s">
        <v>156</v>
      </c>
      <c r="C349" s="887" t="n">
        <f aca="false">$C$143</f>
        <v>0.15</v>
      </c>
      <c r="D349" s="933" t="n">
        <f aca="false">$D$143</f>
        <v>0.05</v>
      </c>
      <c r="E349" s="1023" t="n">
        <f aca="false">IF('Ввод данных'!$A$6=связи1!$A$97,IF(дома!E348&lt;'Ввод данных'!$C$15,0,дома!E348-дома!$L$139),0)+IF(дома!E348=0,0,IF('Ввод данных'!$A$6=связи1!$A$94,IF(дома!E348&lt;0,0,дома!E348-дома!$L$139),0))</f>
        <v>0</v>
      </c>
      <c r="F349" s="933" t="n">
        <f aca="false">2*IF('Ввод данных'!$F$194=связи1!$A$2,1,0)*IF('Ввод данных'!$C$155=связи1!$A$2,1,0)</f>
        <v>0</v>
      </c>
      <c r="G349" s="933" t="n">
        <f aca="false">C349*D349*E349*F349</f>
        <v>0</v>
      </c>
      <c r="H349" s="933"/>
      <c r="I349" s="933"/>
      <c r="J349" s="933"/>
      <c r="K349" s="933"/>
      <c r="L349" s="933"/>
      <c r="M349" s="933"/>
      <c r="N349" s="933"/>
      <c r="O349" s="933"/>
      <c r="P349" s="1290"/>
      <c r="Q349" s="1290"/>
      <c r="R349" s="1290"/>
      <c r="S349" s="933"/>
      <c r="T349" s="933"/>
      <c r="U349" s="1329"/>
      <c r="V349" s="933"/>
      <c r="W349" s="933"/>
      <c r="X349" s="933"/>
      <c r="Y349" s="1290"/>
      <c r="Z349" s="933"/>
      <c r="AA349" s="933"/>
      <c r="AD349" s="1290"/>
    </row>
    <row r="350" customFormat="false" ht="15.75" hidden="false" customHeight="true" outlineLevel="1" collapsed="false">
      <c r="A350" s="1349" t="s">
        <v>3137</v>
      </c>
      <c r="B350" s="1269" t="s">
        <v>156</v>
      </c>
      <c r="C350" s="887" t="n">
        <f aca="false">$C$143</f>
        <v>0.15</v>
      </c>
      <c r="D350" s="933" t="n">
        <f aca="false">$D$143</f>
        <v>0.05</v>
      </c>
      <c r="E350" s="1023" t="n">
        <f aca="false">IF('Ввод данных'!$A$6=связи1!$A$97,IF(дома!E349&lt;'Ввод данных'!$C$15,0,дома!E349-дома!$L$139),0)+IF(дома!E349=0,0,IF('Ввод данных'!$A$6=связи1!$A$94,IF(дома!E349&lt;0,0,дома!E349-дома!$L$139),0))</f>
        <v>0</v>
      </c>
      <c r="F350" s="933" t="n">
        <f aca="false">2*IF('Ввод данных'!$F$194=связи1!$A$2,1,0)*IF('Ввод данных'!$C$155=связи1!$A$2,1,0)</f>
        <v>0</v>
      </c>
      <c r="G350" s="933" t="n">
        <f aca="false">C350*D350*E350*F350</f>
        <v>0</v>
      </c>
      <c r="H350" s="933"/>
      <c r="I350" s="933"/>
      <c r="J350" s="933"/>
      <c r="K350" s="933"/>
      <c r="L350" s="933"/>
      <c r="M350" s="933"/>
      <c r="N350" s="933"/>
      <c r="O350" s="933"/>
      <c r="P350" s="1290"/>
      <c r="Q350" s="1290"/>
      <c r="R350" s="1290"/>
      <c r="S350" s="933"/>
      <c r="T350" s="933"/>
      <c r="U350" s="1329"/>
      <c r="V350" s="933"/>
      <c r="W350" s="933"/>
      <c r="X350" s="933"/>
      <c r="Y350" s="1290"/>
      <c r="Z350" s="933"/>
      <c r="AA350" s="933"/>
      <c r="AD350" s="1290"/>
    </row>
    <row r="351" customFormat="false" ht="15.75" hidden="false" customHeight="true" outlineLevel="1" collapsed="false">
      <c r="A351" s="1349" t="s">
        <v>3138</v>
      </c>
      <c r="B351" s="1269" t="s">
        <v>156</v>
      </c>
      <c r="C351" s="887" t="n">
        <f aca="false">$C$143</f>
        <v>0.15</v>
      </c>
      <c r="D351" s="933" t="n">
        <f aca="false">$D$143</f>
        <v>0.05</v>
      </c>
      <c r="E351" s="1023" t="n">
        <f aca="false">IF('Ввод данных'!$A$6=связи1!$A$97,IF(дома!E350&lt;'Ввод данных'!$C$15,0,дома!E350-дома!$L$139),0)+IF(дома!E350=0,0,IF('Ввод данных'!$A$6=связи1!$A$94,IF(дома!E350&lt;0,0,дома!E350-дома!$L$139),0))</f>
        <v>0</v>
      </c>
      <c r="F351" s="933" t="n">
        <f aca="false">2*IF('Ввод данных'!$F$194=связи1!$A$2,1,0)*IF('Ввод данных'!$C$155=связи1!$A$2,1,0)</f>
        <v>0</v>
      </c>
      <c r="G351" s="933" t="n">
        <f aca="false">C351*D351*E351*F351</f>
        <v>0</v>
      </c>
      <c r="H351" s="933"/>
      <c r="I351" s="933"/>
      <c r="J351" s="933"/>
      <c r="K351" s="933"/>
      <c r="L351" s="933"/>
      <c r="M351" s="933"/>
      <c r="N351" s="933"/>
      <c r="O351" s="933"/>
      <c r="P351" s="1290"/>
      <c r="Q351" s="1290"/>
      <c r="R351" s="1290"/>
      <c r="S351" s="933"/>
      <c r="T351" s="933"/>
      <c r="U351" s="1329"/>
      <c r="V351" s="933"/>
      <c r="W351" s="933"/>
      <c r="X351" s="933"/>
      <c r="Y351" s="1290"/>
      <c r="Z351" s="933"/>
      <c r="AA351" s="933"/>
      <c r="AD351" s="1290"/>
    </row>
    <row r="352" customFormat="false" ht="15.75" hidden="false" customHeight="true" outlineLevel="1" collapsed="false">
      <c r="A352" s="1349" t="s">
        <v>3139</v>
      </c>
      <c r="B352" s="1269" t="s">
        <v>156</v>
      </c>
      <c r="C352" s="887" t="n">
        <f aca="false">$C$143</f>
        <v>0.15</v>
      </c>
      <c r="D352" s="933" t="n">
        <f aca="false">$D$143</f>
        <v>0.05</v>
      </c>
      <c r="E352" s="1023" t="n">
        <f aca="false">IF('Ввод данных'!$A$6=связи1!$A$97,IF(дома!E351&lt;'Ввод данных'!$C$15,0,дома!E351-дома!$L$139),0)+IF(дома!E351=0,0,IF('Ввод данных'!$A$6=связи1!$A$94,IF(дома!E351&lt;0,0,дома!E351-дома!$L$139),0))</f>
        <v>0</v>
      </c>
      <c r="F352" s="933" t="n">
        <f aca="false">2*IF('Ввод данных'!$F$194=связи1!$A$2,1,0)*IF('Ввод данных'!$C$155=связи1!$A$2,1,0)</f>
        <v>0</v>
      </c>
      <c r="G352" s="933" t="n">
        <f aca="false">C352*D352*E352*F352</f>
        <v>0</v>
      </c>
      <c r="H352" s="933"/>
      <c r="I352" s="933"/>
      <c r="J352" s="933"/>
      <c r="K352" s="933"/>
      <c r="L352" s="933"/>
      <c r="M352" s="933"/>
      <c r="N352" s="933"/>
      <c r="O352" s="933"/>
      <c r="P352" s="1290"/>
      <c r="Q352" s="1290"/>
      <c r="R352" s="1290"/>
      <c r="S352" s="933"/>
      <c r="T352" s="933"/>
      <c r="U352" s="1329"/>
      <c r="V352" s="933"/>
      <c r="W352" s="933"/>
      <c r="X352" s="933"/>
      <c r="Y352" s="1290"/>
      <c r="Z352" s="933"/>
      <c r="AA352" s="933"/>
      <c r="AD352" s="1290"/>
    </row>
    <row r="353" customFormat="false" ht="15.75" hidden="false" customHeight="true" outlineLevel="1" collapsed="false">
      <c r="A353" s="1349" t="s">
        <v>3140</v>
      </c>
      <c r="B353" s="1269" t="s">
        <v>156</v>
      </c>
      <c r="C353" s="887" t="n">
        <f aca="false">$C$143</f>
        <v>0.15</v>
      </c>
      <c r="D353" s="933" t="n">
        <f aca="false">$D$143</f>
        <v>0.05</v>
      </c>
      <c r="E353" s="1023" t="n">
        <f aca="false">IF('Ввод данных'!$A$6=связи1!$A$97,IF(дома!E352&lt;'Ввод данных'!$C$15,0,дома!E352-дома!$L$139),0)+IF(дома!E352=0,0,IF('Ввод данных'!$A$6=связи1!$A$94,IF(дома!E352&lt;0,0,дома!E352-дома!$L$139),0))</f>
        <v>0</v>
      </c>
      <c r="F353" s="933" t="n">
        <f aca="false">2*IF('Ввод данных'!$F$194=связи1!$A$2,1,0)*IF('Ввод данных'!$C$155=связи1!$A$2,1,0)</f>
        <v>0</v>
      </c>
      <c r="G353" s="933" t="n">
        <f aca="false">C353*D353*E353*F353</f>
        <v>0</v>
      </c>
      <c r="H353" s="933"/>
      <c r="I353" s="933"/>
      <c r="J353" s="933"/>
      <c r="K353" s="933"/>
      <c r="L353" s="933"/>
      <c r="M353" s="933"/>
      <c r="N353" s="933"/>
      <c r="O353" s="933"/>
      <c r="P353" s="1290"/>
      <c r="Q353" s="1290"/>
      <c r="R353" s="1290"/>
      <c r="S353" s="933"/>
      <c r="T353" s="933"/>
      <c r="U353" s="1329"/>
      <c r="V353" s="933"/>
      <c r="W353" s="933"/>
      <c r="X353" s="933"/>
      <c r="Y353" s="1290"/>
      <c r="Z353" s="933"/>
      <c r="AA353" s="933"/>
      <c r="AD353" s="1290"/>
    </row>
    <row r="354" customFormat="false" ht="15.75" hidden="false" customHeight="true" outlineLevel="1" collapsed="false">
      <c r="A354" s="1189" t="s">
        <v>3144</v>
      </c>
      <c r="B354" s="1269" t="s">
        <v>156</v>
      </c>
      <c r="C354" s="887" t="n">
        <f aca="false">$C$143</f>
        <v>0.15</v>
      </c>
      <c r="D354" s="933" t="n">
        <f aca="false">$D$143</f>
        <v>0.05</v>
      </c>
      <c r="E354" s="929" t="n">
        <f aca="false">E124+E125</f>
        <v>3</v>
      </c>
      <c r="F354" s="929" t="n">
        <f aca="false">U130*(IF('Ввод данных'!A8=связи1!A150,1,0))</f>
        <v>0</v>
      </c>
      <c r="G354" s="1219" t="n">
        <f aca="false">C354*D354*E354*F354</f>
        <v>0</v>
      </c>
      <c r="H354" s="1219" t="s">
        <v>853</v>
      </c>
      <c r="I354" s="933"/>
      <c r="J354" s="933"/>
      <c r="K354" s="933"/>
      <c r="L354" s="933"/>
      <c r="M354" s="933"/>
      <c r="N354" s="933"/>
      <c r="O354" s="933"/>
      <c r="P354" s="1290"/>
      <c r="Q354" s="1290"/>
      <c r="R354" s="1290"/>
      <c r="S354" s="933"/>
      <c r="T354" s="933"/>
      <c r="U354" s="1329"/>
      <c r="V354" s="933"/>
      <c r="W354" s="933"/>
      <c r="X354" s="933"/>
      <c r="Y354" s="1290"/>
      <c r="Z354" s="933"/>
      <c r="AA354" s="933"/>
      <c r="AD354" s="1290"/>
    </row>
    <row r="355" customFormat="false" ht="15.75" hidden="false" customHeight="true" outlineLevel="1" collapsed="false">
      <c r="A355" s="1233" t="s">
        <v>3145</v>
      </c>
      <c r="B355" s="1269" t="s">
        <v>156</v>
      </c>
      <c r="C355" s="887" t="n">
        <f aca="false">$C$143</f>
        <v>0.15</v>
      </c>
      <c r="D355" s="933" t="n">
        <f aca="false">$D$143</f>
        <v>0.05</v>
      </c>
      <c r="E355" s="929" t="n">
        <f aca="false">W124</f>
        <v>1</v>
      </c>
      <c r="F355" s="929" t="n">
        <f aca="false">2*(IF('Ввод данных'!A8=связи1!A150,1,0))</f>
        <v>0</v>
      </c>
      <c r="G355" s="1219" t="n">
        <f aca="false">C355*D355*E355*F355</f>
        <v>0</v>
      </c>
      <c r="H355" s="1219" t="n">
        <f aca="false">E355*F355</f>
        <v>0</v>
      </c>
      <c r="I355" s="933"/>
      <c r="J355" s="933"/>
      <c r="K355" s="933"/>
      <c r="L355" s="933"/>
      <c r="M355" s="933"/>
      <c r="N355" s="933"/>
      <c r="O355" s="933"/>
      <c r="P355" s="1290"/>
      <c r="Q355" s="1290"/>
      <c r="R355" s="1290"/>
      <c r="S355" s="933"/>
      <c r="T355" s="933"/>
      <c r="U355" s="1329"/>
      <c r="V355" s="933"/>
      <c r="W355" s="933"/>
      <c r="X355" s="933"/>
      <c r="Y355" s="1290"/>
      <c r="Z355" s="933"/>
      <c r="AA355" s="933"/>
      <c r="AD355" s="1290"/>
    </row>
    <row r="356" customFormat="false" ht="15.75" hidden="false" customHeight="true" outlineLevel="1" collapsed="false">
      <c r="A356" s="1233" t="s">
        <v>3146</v>
      </c>
      <c r="B356" s="1269" t="s">
        <v>156</v>
      </c>
      <c r="C356" s="887" t="n">
        <f aca="false">$C$143</f>
        <v>0.15</v>
      </c>
      <c r="D356" s="933" t="n">
        <f aca="false">$D$143</f>
        <v>0.05</v>
      </c>
      <c r="E356" s="929" t="n">
        <f aca="false">W125</f>
        <v>0</v>
      </c>
      <c r="F356" s="929" t="n">
        <f aca="false">2*(IF('Ввод данных'!A8=связи1!A150,1,0))</f>
        <v>0</v>
      </c>
      <c r="G356" s="1219" t="n">
        <f aca="false">C356*D356*E356*F356</f>
        <v>0</v>
      </c>
      <c r="H356" s="1219" t="n">
        <f aca="false">E356*F356</f>
        <v>0</v>
      </c>
      <c r="I356" s="933"/>
      <c r="J356" s="933"/>
      <c r="K356" s="933"/>
      <c r="L356" s="933"/>
      <c r="M356" s="933"/>
      <c r="N356" s="933"/>
      <c r="O356" s="933"/>
      <c r="P356" s="1290"/>
      <c r="Q356" s="1290"/>
      <c r="R356" s="1290"/>
      <c r="S356" s="933"/>
      <c r="T356" s="933"/>
      <c r="U356" s="1329"/>
      <c r="V356" s="933"/>
      <c r="W356" s="933"/>
      <c r="X356" s="933"/>
      <c r="Y356" s="1290"/>
      <c r="Z356" s="933"/>
      <c r="AA356" s="933"/>
      <c r="AD356" s="1290"/>
    </row>
    <row r="357" customFormat="false" ht="15.75" hidden="false" customHeight="true" outlineLevel="1" collapsed="false">
      <c r="A357" s="1233" t="s">
        <v>3147</v>
      </c>
      <c r="B357" s="1269" t="s">
        <v>156</v>
      </c>
      <c r="C357" s="887" t="n">
        <f aca="false">$C$143</f>
        <v>0.15</v>
      </c>
      <c r="D357" s="933" t="n">
        <f aca="false">$D$143</f>
        <v>0.05</v>
      </c>
      <c r="E357" s="929" t="n">
        <f aca="false">W126</f>
        <v>0</v>
      </c>
      <c r="F357" s="929" t="n">
        <f aca="false">2*(IF('Ввод данных'!A8=связи1!A150,1,0))</f>
        <v>0</v>
      </c>
      <c r="G357" s="1219" t="n">
        <f aca="false">C357*D357*E357*F357</f>
        <v>0</v>
      </c>
      <c r="H357" s="1219" t="n">
        <f aca="false">E357*F357</f>
        <v>0</v>
      </c>
      <c r="I357" s="933"/>
      <c r="J357" s="933"/>
      <c r="K357" s="933"/>
      <c r="L357" s="933"/>
      <c r="M357" s="933"/>
      <c r="N357" s="933"/>
      <c r="O357" s="933"/>
      <c r="P357" s="1290"/>
      <c r="Q357" s="1290"/>
      <c r="R357" s="1290"/>
      <c r="S357" s="933"/>
      <c r="T357" s="933"/>
      <c r="U357" s="1329"/>
      <c r="V357" s="933"/>
      <c r="W357" s="933"/>
      <c r="X357" s="933"/>
      <c r="Y357" s="1290"/>
      <c r="Z357" s="933"/>
      <c r="AA357" s="933"/>
      <c r="AD357" s="1290"/>
    </row>
    <row r="358" customFormat="false" ht="15.75" hidden="false" customHeight="true" outlineLevel="1" collapsed="false">
      <c r="A358" s="1233" t="s">
        <v>3148</v>
      </c>
      <c r="B358" s="1269" t="s">
        <v>156</v>
      </c>
      <c r="C358" s="887" t="n">
        <f aca="false">$C$143</f>
        <v>0.15</v>
      </c>
      <c r="D358" s="933" t="n">
        <f aca="false">$D$143</f>
        <v>0.05</v>
      </c>
      <c r="E358" s="929" t="n">
        <f aca="false">W127</f>
        <v>0.6</v>
      </c>
      <c r="F358" s="929" t="n">
        <f aca="false">2*(IF('Ввод данных'!A8=связи1!A150,1,0))</f>
        <v>0</v>
      </c>
      <c r="G358" s="1219" t="n">
        <f aca="false">C358*D358*E358*F358</f>
        <v>0</v>
      </c>
      <c r="H358" s="1219" t="n">
        <f aca="false">E358*F358</f>
        <v>0</v>
      </c>
      <c r="I358" s="933"/>
      <c r="J358" s="933"/>
      <c r="K358" s="933"/>
      <c r="L358" s="933"/>
      <c r="M358" s="933"/>
      <c r="N358" s="933"/>
      <c r="O358" s="933"/>
      <c r="P358" s="1290"/>
      <c r="Q358" s="1290"/>
      <c r="R358" s="1290"/>
      <c r="S358" s="933"/>
      <c r="T358" s="933"/>
      <c r="U358" s="1329"/>
      <c r="V358" s="933"/>
      <c r="W358" s="933"/>
      <c r="X358" s="933"/>
      <c r="Y358" s="1290"/>
      <c r="Z358" s="933"/>
      <c r="AA358" s="933"/>
      <c r="AD358" s="1290"/>
    </row>
    <row r="359" customFormat="false" ht="15.75" hidden="false" customHeight="true" outlineLevel="1" collapsed="false">
      <c r="A359" s="1233" t="s">
        <v>3149</v>
      </c>
      <c r="B359" s="1269" t="s">
        <v>156</v>
      </c>
      <c r="C359" s="887" t="n">
        <f aca="false">$C$143</f>
        <v>0.15</v>
      </c>
      <c r="D359" s="933" t="n">
        <f aca="false">$D$143</f>
        <v>0.05</v>
      </c>
      <c r="E359" s="929" t="n">
        <f aca="false">W128</f>
        <v>1</v>
      </c>
      <c r="F359" s="929" t="n">
        <f aca="false">2*(IF('Ввод данных'!A8=связи1!A150,1,0))</f>
        <v>0</v>
      </c>
      <c r="G359" s="1219" t="n">
        <f aca="false">C359*D359*E359*F359</f>
        <v>0</v>
      </c>
      <c r="H359" s="1219" t="n">
        <f aca="false">E359*F359</f>
        <v>0</v>
      </c>
      <c r="I359" s="933"/>
      <c r="J359" s="933"/>
      <c r="K359" s="933"/>
      <c r="L359" s="933"/>
      <c r="M359" s="933"/>
      <c r="N359" s="933"/>
      <c r="O359" s="933"/>
      <c r="P359" s="1290"/>
      <c r="Q359" s="1290"/>
      <c r="R359" s="1290"/>
      <c r="S359" s="933"/>
      <c r="T359" s="933"/>
      <c r="U359" s="1329"/>
      <c r="V359" s="933"/>
      <c r="W359" s="933"/>
      <c r="X359" s="933"/>
      <c r="Y359" s="1290"/>
      <c r="Z359" s="933"/>
      <c r="AA359" s="933"/>
      <c r="AD359" s="1290"/>
    </row>
    <row r="360" customFormat="false" ht="15.75" hidden="false" customHeight="true" outlineLevel="1" collapsed="false">
      <c r="A360" s="1189" t="s">
        <v>3150</v>
      </c>
      <c r="B360" s="1269" t="s">
        <v>156</v>
      </c>
      <c r="C360" s="887" t="n">
        <f aca="false">$C$143</f>
        <v>0.15</v>
      </c>
      <c r="D360" s="933" t="n">
        <f aca="false">$D$143</f>
        <v>0.05</v>
      </c>
      <c r="E360" s="929" t="n">
        <f aca="false">E124+E125</f>
        <v>3</v>
      </c>
      <c r="F360" s="929" t="n">
        <f aca="false">Z130*(IF('Ввод данных'!A8=связи1!A150,1,0))</f>
        <v>0</v>
      </c>
      <c r="G360" s="1219" t="n">
        <f aca="false">C360*D360*E360*F360</f>
        <v>0</v>
      </c>
      <c r="H360" s="1219"/>
      <c r="I360" s="933"/>
      <c r="J360" s="933"/>
      <c r="K360" s="933"/>
      <c r="L360" s="933"/>
      <c r="M360" s="933"/>
      <c r="N360" s="933"/>
      <c r="O360" s="933"/>
      <c r="P360" s="1290"/>
      <c r="Q360" s="1290"/>
      <c r="R360" s="1290"/>
      <c r="S360" s="933"/>
      <c r="T360" s="933"/>
      <c r="U360" s="1329"/>
      <c r="V360" s="933"/>
      <c r="W360" s="933"/>
      <c r="X360" s="933"/>
      <c r="Y360" s="1290"/>
      <c r="Z360" s="933"/>
      <c r="AA360" s="933"/>
      <c r="AD360" s="1290"/>
    </row>
    <row r="361" customFormat="false" ht="15.75" hidden="false" customHeight="true" outlineLevel="1" collapsed="false">
      <c r="A361" s="1189" t="s">
        <v>3151</v>
      </c>
      <c r="B361" s="1269" t="s">
        <v>156</v>
      </c>
      <c r="C361" s="887" t="n">
        <f aca="false">$C$143</f>
        <v>0.15</v>
      </c>
      <c r="D361" s="933" t="n">
        <f aca="false">$D$143</f>
        <v>0.05</v>
      </c>
      <c r="E361" s="929" t="n">
        <f aca="false">AB124</f>
        <v>0.8</v>
      </c>
      <c r="F361" s="929" t="n">
        <f aca="false">1*(IF('Ввод данных'!A8=связи1!A150,1,0))</f>
        <v>0</v>
      </c>
      <c r="G361" s="1219" t="n">
        <f aca="false">C361*D361*E361*F361</f>
        <v>0</v>
      </c>
      <c r="H361" s="1219" t="n">
        <f aca="false">E361*F361</f>
        <v>0</v>
      </c>
      <c r="I361" s="933"/>
      <c r="J361" s="933"/>
      <c r="K361" s="933"/>
      <c r="L361" s="933"/>
      <c r="M361" s="933"/>
      <c r="N361" s="933"/>
      <c r="O361" s="933"/>
      <c r="P361" s="1290"/>
      <c r="Q361" s="1290"/>
      <c r="R361" s="1290"/>
      <c r="S361" s="933"/>
      <c r="T361" s="933"/>
      <c r="U361" s="1329"/>
      <c r="V361" s="933"/>
      <c r="W361" s="933"/>
      <c r="X361" s="933"/>
      <c r="Y361" s="1290"/>
      <c r="Z361" s="933"/>
      <c r="AA361" s="933"/>
      <c r="AD361" s="1290"/>
    </row>
    <row r="362" customFormat="false" ht="15.75" hidden="false" customHeight="true" outlineLevel="1" collapsed="false">
      <c r="A362" s="1189" t="s">
        <v>3152</v>
      </c>
      <c r="B362" s="1269" t="s">
        <v>156</v>
      </c>
      <c r="C362" s="887" t="n">
        <f aca="false">$C$143</f>
        <v>0.15</v>
      </c>
      <c r="D362" s="933" t="n">
        <f aca="false">$D$143</f>
        <v>0.05</v>
      </c>
      <c r="E362" s="929" t="n">
        <f aca="false">AB125</f>
        <v>0</v>
      </c>
      <c r="F362" s="929" t="n">
        <f aca="false">1*(IF('Ввод данных'!A8=связи1!A150,1,0))</f>
        <v>0</v>
      </c>
      <c r="G362" s="1219" t="n">
        <f aca="false">C362*D362*E362*F362</f>
        <v>0</v>
      </c>
      <c r="H362" s="1219" t="n">
        <f aca="false">E362*F362</f>
        <v>0</v>
      </c>
      <c r="I362" s="933"/>
      <c r="J362" s="933"/>
      <c r="K362" s="933"/>
      <c r="L362" s="933"/>
      <c r="M362" s="933"/>
      <c r="N362" s="933"/>
      <c r="O362" s="933"/>
      <c r="P362" s="1290"/>
      <c r="Q362" s="1290"/>
      <c r="R362" s="1290"/>
      <c r="S362" s="933"/>
      <c r="T362" s="933"/>
      <c r="U362" s="1329"/>
      <c r="V362" s="933"/>
      <c r="W362" s="933"/>
      <c r="X362" s="933"/>
      <c r="Y362" s="1290"/>
      <c r="Z362" s="933"/>
      <c r="AA362" s="933"/>
      <c r="AD362" s="1290"/>
    </row>
    <row r="363" customFormat="false" ht="15.75" hidden="false" customHeight="true" outlineLevel="1" collapsed="false">
      <c r="A363" s="1189" t="s">
        <v>3153</v>
      </c>
      <c r="B363" s="1269" t="s">
        <v>156</v>
      </c>
      <c r="C363" s="887" t="n">
        <f aca="false">$C$143</f>
        <v>0.15</v>
      </c>
      <c r="D363" s="933" t="n">
        <f aca="false">$D$143</f>
        <v>0.05</v>
      </c>
      <c r="E363" s="929" t="n">
        <f aca="false">AB126</f>
        <v>0</v>
      </c>
      <c r="F363" s="929" t="n">
        <f aca="false">1*(IF('Ввод данных'!A8=связи1!A150,1,0))</f>
        <v>0</v>
      </c>
      <c r="G363" s="1219" t="n">
        <f aca="false">C363*D363*E363*F363</f>
        <v>0</v>
      </c>
      <c r="H363" s="1219" t="n">
        <f aca="false">E363*F363</f>
        <v>0</v>
      </c>
      <c r="I363" s="933"/>
      <c r="J363" s="933"/>
      <c r="K363" s="933"/>
      <c r="L363" s="933"/>
      <c r="M363" s="933"/>
      <c r="N363" s="933"/>
      <c r="O363" s="933"/>
      <c r="P363" s="1290"/>
      <c r="Q363" s="1290"/>
      <c r="R363" s="1290"/>
      <c r="S363" s="933"/>
      <c r="T363" s="933"/>
      <c r="U363" s="1329"/>
      <c r="V363" s="933"/>
      <c r="W363" s="933"/>
      <c r="X363" s="933"/>
      <c r="Y363" s="1290"/>
      <c r="Z363" s="933"/>
      <c r="AA363" s="933"/>
      <c r="AD363" s="1290"/>
    </row>
    <row r="364" customFormat="false" ht="15.75" hidden="false" customHeight="true" outlineLevel="1" collapsed="false">
      <c r="A364" s="1189" t="s">
        <v>3154</v>
      </c>
      <c r="B364" s="1269" t="s">
        <v>156</v>
      </c>
      <c r="C364" s="887" t="n">
        <f aca="false">$C$143</f>
        <v>0.15</v>
      </c>
      <c r="D364" s="933" t="n">
        <f aca="false">$D$143</f>
        <v>0.05</v>
      </c>
      <c r="E364" s="929" t="n">
        <f aca="false">AB127</f>
        <v>0.9</v>
      </c>
      <c r="F364" s="929" t="n">
        <f aca="false">1*(IF('Ввод данных'!A8=связи1!A150,1,0))</f>
        <v>0</v>
      </c>
      <c r="G364" s="1219" t="n">
        <f aca="false">C364*D364*E364*F364</f>
        <v>0</v>
      </c>
      <c r="H364" s="1219" t="n">
        <f aca="false">E364*F364</f>
        <v>0</v>
      </c>
      <c r="I364" s="933"/>
      <c r="J364" s="933"/>
      <c r="K364" s="933"/>
      <c r="L364" s="933"/>
      <c r="M364" s="933"/>
      <c r="N364" s="933"/>
      <c r="O364" s="933"/>
      <c r="P364" s="1290"/>
      <c r="Q364" s="1290"/>
      <c r="R364" s="1290"/>
      <c r="S364" s="933"/>
      <c r="T364" s="933"/>
      <c r="U364" s="1329"/>
      <c r="V364" s="933"/>
      <c r="W364" s="933"/>
      <c r="X364" s="933"/>
      <c r="Y364" s="1290"/>
      <c r="Z364" s="933"/>
      <c r="AA364" s="933"/>
      <c r="AD364" s="1290"/>
    </row>
    <row r="365" customFormat="false" ht="15.75" hidden="false" customHeight="true" outlineLevel="1" collapsed="false">
      <c r="A365" s="1189" t="s">
        <v>3155</v>
      </c>
      <c r="B365" s="1269" t="s">
        <v>156</v>
      </c>
      <c r="C365" s="887" t="n">
        <f aca="false">$C$143</f>
        <v>0.15</v>
      </c>
      <c r="D365" s="933" t="n">
        <f aca="false">$D$143</f>
        <v>0.05</v>
      </c>
      <c r="E365" s="929" t="n">
        <f aca="false">AB128</f>
        <v>1</v>
      </c>
      <c r="F365" s="929" t="n">
        <f aca="false">1*(IF('Ввод данных'!A8=связи1!A150,1,0))</f>
        <v>0</v>
      </c>
      <c r="G365" s="1219" t="n">
        <f aca="false">C365*D365*E365*F365</f>
        <v>0</v>
      </c>
      <c r="H365" s="1219" t="n">
        <f aca="false">E365*F365</f>
        <v>0</v>
      </c>
      <c r="I365" s="933"/>
      <c r="J365" s="933"/>
      <c r="K365" s="933"/>
      <c r="L365" s="933"/>
      <c r="M365" s="933"/>
      <c r="N365" s="933"/>
      <c r="O365" s="933"/>
      <c r="P365" s="1290"/>
      <c r="Q365" s="1290"/>
      <c r="R365" s="1290"/>
      <c r="S365" s="933"/>
      <c r="T365" s="933"/>
      <c r="U365" s="1329"/>
      <c r="V365" s="933"/>
      <c r="W365" s="933"/>
      <c r="X365" s="933"/>
      <c r="Y365" s="1290"/>
      <c r="Z365" s="933"/>
      <c r="AA365" s="933"/>
      <c r="AD365" s="1290"/>
    </row>
    <row r="366" customFormat="false" ht="15.75" hidden="false" customHeight="true" outlineLevel="1" collapsed="false">
      <c r="A366" s="1189" t="s">
        <v>3156</v>
      </c>
      <c r="B366" s="1269" t="s">
        <v>156</v>
      </c>
      <c r="C366" s="887" t="n">
        <f aca="false">$C$143</f>
        <v>0.15</v>
      </c>
      <c r="D366" s="933" t="n">
        <f aca="false">$D$143</f>
        <v>0.05</v>
      </c>
      <c r="E366" s="929" t="n">
        <f aca="false">$E$375</f>
        <v>3</v>
      </c>
      <c r="F366" s="929" t="n">
        <f aca="false">2*(IF('Ввод данных'!A8=связи1!A150,1,0))</f>
        <v>0</v>
      </c>
      <c r="G366" s="1219" t="n">
        <f aca="false">C366*D366*E366*F366</f>
        <v>0</v>
      </c>
      <c r="H366" s="1219"/>
      <c r="I366" s="933"/>
      <c r="J366" s="933"/>
      <c r="K366" s="933"/>
      <c r="L366" s="933"/>
      <c r="M366" s="933"/>
      <c r="N366" s="933"/>
      <c r="O366" s="933"/>
      <c r="P366" s="1290"/>
      <c r="Q366" s="1290"/>
      <c r="R366" s="1290"/>
      <c r="S366" s="933"/>
      <c r="T366" s="933"/>
      <c r="U366" s="1329"/>
      <c r="V366" s="933"/>
      <c r="W366" s="933"/>
      <c r="X366" s="933"/>
      <c r="Y366" s="1290"/>
      <c r="Z366" s="933"/>
      <c r="AA366" s="933"/>
      <c r="AD366" s="1290"/>
    </row>
    <row r="367" customFormat="false" ht="15.75" hidden="false" customHeight="true" outlineLevel="1" collapsed="false">
      <c r="A367" s="1189" t="s">
        <v>3157</v>
      </c>
      <c r="B367" s="1269" t="s">
        <v>156</v>
      </c>
      <c r="C367" s="887" t="n">
        <f aca="false">$K$375</f>
        <v>0.12</v>
      </c>
      <c r="D367" s="1219" t="n">
        <f aca="false">$J$375</f>
        <v>0.05</v>
      </c>
      <c r="E367" s="929" t="n">
        <f aca="false">AB375</f>
        <v>0.8</v>
      </c>
      <c r="F367" s="929" t="n">
        <f aca="false">1*(IF('Ввод данных'!A8=связи1!A150,1,0))</f>
        <v>0</v>
      </c>
      <c r="G367" s="1219" t="n">
        <f aca="false">C367*D367*E367*F367</f>
        <v>0</v>
      </c>
      <c r="H367" s="1219" t="n">
        <f aca="false">E367*F367</f>
        <v>0</v>
      </c>
      <c r="I367" s="933"/>
      <c r="J367" s="933"/>
      <c r="K367" s="933"/>
      <c r="L367" s="933"/>
      <c r="M367" s="933"/>
      <c r="N367" s="933"/>
      <c r="O367" s="933"/>
      <c r="P367" s="1290"/>
      <c r="Q367" s="1290"/>
      <c r="R367" s="1290"/>
      <c r="S367" s="933"/>
      <c r="T367" s="933"/>
      <c r="U367" s="1329"/>
      <c r="V367" s="933"/>
      <c r="W367" s="933"/>
      <c r="X367" s="933"/>
      <c r="Y367" s="1290"/>
      <c r="Z367" s="933"/>
      <c r="AA367" s="933"/>
      <c r="AD367" s="1290"/>
    </row>
    <row r="368" customFormat="false" ht="15.75" hidden="false" customHeight="true" outlineLevel="1" collapsed="false">
      <c r="A368" s="1189" t="s">
        <v>3158</v>
      </c>
      <c r="B368" s="1269" t="s">
        <v>156</v>
      </c>
      <c r="C368" s="887" t="n">
        <f aca="false">$K$375</f>
        <v>0.12</v>
      </c>
      <c r="D368" s="1219" t="n">
        <f aca="false">$J$375</f>
        <v>0.05</v>
      </c>
      <c r="E368" s="929" t="n">
        <f aca="false">AB376</f>
        <v>0.6</v>
      </c>
      <c r="F368" s="929" t="n">
        <f aca="false">1*(IF('Ввод данных'!A8=связи1!A150,1,0))</f>
        <v>0</v>
      </c>
      <c r="G368" s="1219" t="n">
        <f aca="false">C368*D368*E368*F368</f>
        <v>0</v>
      </c>
      <c r="H368" s="1219" t="n">
        <f aca="false">E368*F368</f>
        <v>0</v>
      </c>
      <c r="I368" s="933"/>
      <c r="J368" s="933"/>
      <c r="K368" s="933"/>
      <c r="L368" s="933"/>
      <c r="M368" s="933"/>
      <c r="N368" s="933"/>
      <c r="O368" s="933"/>
      <c r="P368" s="1290"/>
      <c r="Q368" s="1290"/>
      <c r="R368" s="1290"/>
      <c r="S368" s="933"/>
      <c r="T368" s="933"/>
      <c r="U368" s="1329"/>
      <c r="V368" s="933"/>
      <c r="W368" s="933"/>
      <c r="X368" s="933"/>
      <c r="Y368" s="1290"/>
      <c r="Z368" s="933"/>
      <c r="AA368" s="933"/>
      <c r="AD368" s="1290"/>
    </row>
    <row r="369" customFormat="false" ht="15.75" hidden="false" customHeight="true" outlineLevel="1" collapsed="false">
      <c r="A369" s="1189" t="s">
        <v>3159</v>
      </c>
      <c r="B369" s="1269" t="s">
        <v>156</v>
      </c>
      <c r="C369" s="887" t="n">
        <f aca="false">$K$375</f>
        <v>0.12</v>
      </c>
      <c r="D369" s="1219" t="n">
        <f aca="false">$J$375</f>
        <v>0.05</v>
      </c>
      <c r="E369" s="929" t="n">
        <f aca="false">AB377</f>
        <v>0.9</v>
      </c>
      <c r="F369" s="929" t="n">
        <f aca="false">1*(IF('Ввод данных'!A8=связи1!A150,1,0))</f>
        <v>0</v>
      </c>
      <c r="G369" s="1219" t="n">
        <f aca="false">C369*D369*E369*F369</f>
        <v>0</v>
      </c>
      <c r="H369" s="1219" t="n">
        <f aca="false">E369*F369</f>
        <v>0</v>
      </c>
      <c r="I369" s="933"/>
      <c r="J369" s="933"/>
      <c r="K369" s="933"/>
      <c r="L369" s="933"/>
      <c r="M369" s="933"/>
      <c r="N369" s="933"/>
      <c r="O369" s="933"/>
      <c r="P369" s="1290"/>
      <c r="Q369" s="1290"/>
      <c r="R369" s="1290"/>
      <c r="S369" s="933"/>
      <c r="T369" s="933"/>
      <c r="U369" s="1329"/>
      <c r="V369" s="933"/>
      <c r="W369" s="933"/>
      <c r="X369" s="933"/>
      <c r="Y369" s="1290"/>
      <c r="Z369" s="933"/>
      <c r="AA369" s="933"/>
      <c r="AD369" s="1290"/>
    </row>
    <row r="370" customFormat="false" ht="15.75" hidden="false" customHeight="true" outlineLevel="1" collapsed="false">
      <c r="A370" s="1189" t="s">
        <v>3160</v>
      </c>
      <c r="B370" s="1269" t="s">
        <v>156</v>
      </c>
      <c r="C370" s="887" t="n">
        <f aca="false">$K$375</f>
        <v>0.12</v>
      </c>
      <c r="D370" s="1219" t="n">
        <f aca="false">$J$375</f>
        <v>0.05</v>
      </c>
      <c r="E370" s="929" t="n">
        <f aca="false">AB378</f>
        <v>0</v>
      </c>
      <c r="F370" s="929" t="n">
        <f aca="false">1*(IF('Ввод данных'!A8=связи1!A150,1,0))</f>
        <v>0</v>
      </c>
      <c r="G370" s="1219" t="n">
        <f aca="false">C370*D370*E370*F370</f>
        <v>0</v>
      </c>
      <c r="H370" s="1219" t="n">
        <f aca="false">E370*F370</f>
        <v>0</v>
      </c>
      <c r="I370" s="933"/>
      <c r="J370" s="933"/>
      <c r="K370" s="933"/>
      <c r="L370" s="933"/>
      <c r="M370" s="933"/>
      <c r="N370" s="933"/>
      <c r="O370" s="933"/>
      <c r="P370" s="1290"/>
      <c r="Q370" s="1290"/>
      <c r="R370" s="1290"/>
      <c r="S370" s="933"/>
      <c r="T370" s="933"/>
      <c r="U370" s="1329"/>
      <c r="V370" s="933"/>
      <c r="W370" s="933"/>
      <c r="X370" s="933"/>
      <c r="Y370" s="1290"/>
      <c r="Z370" s="933"/>
      <c r="AA370" s="933"/>
      <c r="AD370" s="1290"/>
    </row>
    <row r="371" customFormat="false" ht="15.75" hidden="false" customHeight="true" outlineLevel="1" collapsed="false">
      <c r="A371" s="1189" t="s">
        <v>3161</v>
      </c>
      <c r="B371" s="1269" t="s">
        <v>156</v>
      </c>
      <c r="C371" s="887" t="n">
        <f aca="false">$K$375</f>
        <v>0.12</v>
      </c>
      <c r="D371" s="1219" t="n">
        <f aca="false">$J$375</f>
        <v>0.05</v>
      </c>
      <c r="E371" s="929" t="n">
        <f aca="false">U387</f>
        <v>0</v>
      </c>
      <c r="F371" s="929" t="n">
        <f aca="false">2*(IF('Ввод данных'!A8=связи1!A150,1,0))</f>
        <v>0</v>
      </c>
      <c r="G371" s="1219" t="n">
        <f aca="false">C371*D371*E371*F371</f>
        <v>0</v>
      </c>
      <c r="H371" s="1219"/>
      <c r="I371" s="933"/>
      <c r="J371" s="933"/>
      <c r="K371" s="933"/>
      <c r="L371" s="933"/>
      <c r="M371" s="933"/>
      <c r="N371" s="933"/>
      <c r="O371" s="933"/>
      <c r="P371" s="1290"/>
      <c r="Q371" s="1290"/>
      <c r="R371" s="1290"/>
      <c r="S371" s="933"/>
      <c r="T371" s="933"/>
      <c r="U371" s="1329"/>
      <c r="V371" s="933"/>
      <c r="W371" s="933"/>
      <c r="X371" s="933"/>
      <c r="Y371" s="1290"/>
      <c r="Z371" s="933"/>
      <c r="AA371" s="933"/>
      <c r="AD371" s="1290"/>
    </row>
    <row r="372" customFormat="false" ht="15.75" hidden="false" customHeight="true" outlineLevel="1" collapsed="false">
      <c r="A372" s="1189" t="s">
        <v>3162</v>
      </c>
      <c r="B372" s="1269" t="s">
        <v>156</v>
      </c>
      <c r="C372" s="887" t="n">
        <f aca="false">$K$375</f>
        <v>0.12</v>
      </c>
      <c r="D372" s="1219" t="n">
        <f aca="false">$J$375</f>
        <v>0.05</v>
      </c>
      <c r="E372" s="929" t="n">
        <f aca="false">W385</f>
        <v>2</v>
      </c>
      <c r="F372" s="929" t="n">
        <f aca="false">1*(IF('Ввод данных'!A8=связи1!A150,1,0))</f>
        <v>0</v>
      </c>
      <c r="G372" s="1219" t="n">
        <f aca="false">C372*D372*E372*F372</f>
        <v>0</v>
      </c>
      <c r="H372" s="1219" t="n">
        <f aca="false">E372*F372</f>
        <v>0</v>
      </c>
      <c r="I372" s="933"/>
      <c r="J372" s="933"/>
      <c r="K372" s="933"/>
      <c r="L372" s="933"/>
      <c r="M372" s="933"/>
      <c r="N372" s="933"/>
      <c r="O372" s="933"/>
      <c r="P372" s="1290"/>
      <c r="Q372" s="1290"/>
      <c r="R372" s="1290"/>
      <c r="S372" s="933"/>
      <c r="T372" s="933"/>
      <c r="U372" s="1329"/>
      <c r="V372" s="933"/>
      <c r="W372" s="933"/>
      <c r="X372" s="933"/>
      <c r="Y372" s="1290"/>
      <c r="Z372" s="933"/>
      <c r="AA372" s="933"/>
      <c r="AD372" s="1290"/>
    </row>
    <row r="373" customFormat="false" ht="15.75" hidden="false" customHeight="true" outlineLevel="1" collapsed="false">
      <c r="A373" s="1189" t="s">
        <v>3163</v>
      </c>
      <c r="B373" s="1269" t="s">
        <v>156</v>
      </c>
      <c r="C373" s="887" t="n">
        <f aca="false">$K$375</f>
        <v>0.12</v>
      </c>
      <c r="D373" s="1219" t="n">
        <f aca="false">$J$375</f>
        <v>0.05</v>
      </c>
      <c r="E373" s="929" t="n">
        <f aca="false">W386</f>
        <v>0</v>
      </c>
      <c r="F373" s="929" t="n">
        <f aca="false">1*(IF('Ввод данных'!A8=связи1!A150,1,0))</f>
        <v>0</v>
      </c>
      <c r="G373" s="1219" t="n">
        <f aca="false">C373*D373*E373*F373</f>
        <v>0</v>
      </c>
      <c r="H373" s="1219" t="n">
        <f aca="false">E373*F373</f>
        <v>0</v>
      </c>
      <c r="I373" s="933"/>
      <c r="J373" s="933"/>
      <c r="K373" s="933"/>
      <c r="L373" s="933"/>
      <c r="M373" s="933"/>
      <c r="N373" s="933"/>
      <c r="O373" s="933"/>
      <c r="P373" s="1290"/>
      <c r="Q373" s="1290"/>
      <c r="R373" s="1290"/>
      <c r="S373" s="933"/>
      <c r="T373" s="933"/>
      <c r="U373" s="1329"/>
      <c r="V373" s="933"/>
      <c r="W373" s="933"/>
      <c r="X373" s="933"/>
      <c r="Y373" s="1290"/>
      <c r="Z373" s="933"/>
      <c r="AA373" s="933"/>
      <c r="AD373" s="1290"/>
    </row>
    <row r="374" customFormat="false" ht="15.75" hidden="false" customHeight="true" outlineLevel="1" collapsed="false">
      <c r="A374" s="1330"/>
      <c r="B374" s="1280" t="s">
        <v>120</v>
      </c>
      <c r="C374" s="1307" t="s">
        <v>853</v>
      </c>
      <c r="D374" s="980" t="s">
        <v>1802</v>
      </c>
      <c r="E374" s="1269" t="s">
        <v>293</v>
      </c>
      <c r="F374" s="1269" t="s">
        <v>2974</v>
      </c>
      <c r="G374" s="980" t="n">
        <f aca="false">SUM(G143:G373)</f>
        <v>0</v>
      </c>
      <c r="H374" s="980"/>
      <c r="I374" s="980" t="s">
        <v>2807</v>
      </c>
      <c r="J374" s="980" t="s">
        <v>2975</v>
      </c>
      <c r="K374" s="980" t="s">
        <v>1800</v>
      </c>
      <c r="L374" s="980"/>
      <c r="M374" s="980"/>
      <c r="N374" s="980"/>
      <c r="O374" s="1220" t="s">
        <v>2976</v>
      </c>
      <c r="P374" s="1328" t="s">
        <v>2977</v>
      </c>
      <c r="Q374" s="1328" t="s">
        <v>2978</v>
      </c>
      <c r="R374" s="1328" t="s">
        <v>2979</v>
      </c>
      <c r="S374" s="933" t="s">
        <v>2572</v>
      </c>
      <c r="T374" s="1220" t="s">
        <v>2980</v>
      </c>
      <c r="U374" s="1329" t="n">
        <f aca="false">'Ввод данных'!E77</f>
        <v>0</v>
      </c>
      <c r="V374" s="1220"/>
      <c r="W374" s="933" t="n">
        <f aca="false">'Ввод данных'!C77</f>
        <v>0.6</v>
      </c>
      <c r="X374" s="933" t="n">
        <v>2</v>
      </c>
      <c r="Y374" s="1284"/>
      <c r="Z374" s="933" t="s">
        <v>3164</v>
      </c>
      <c r="AA374" s="1220"/>
      <c r="AD374" s="1332" t="n">
        <f aca="false">(AB124*Z124+AB127*Z127+AB128*Z128)*R131</f>
        <v>0</v>
      </c>
    </row>
    <row r="375" s="1357" customFormat="true" ht="15.75" hidden="false" customHeight="true" outlineLevel="1" collapsed="false">
      <c r="A375" s="1352" t="s">
        <v>3165</v>
      </c>
      <c r="B375" s="1353" t="s">
        <v>156</v>
      </c>
      <c r="C375" s="1207" t="n">
        <f aca="false">'Ввод данных'!C112*(IF('Ввод данных'!A8=связи1!A150,1,0))</f>
        <v>0</v>
      </c>
      <c r="D375" s="1211" t="n">
        <f aca="false">'Ввод данных'!D112</f>
        <v>2</v>
      </c>
      <c r="E375" s="1206" t="n">
        <f aca="false">($E$124+$E$125)</f>
        <v>3</v>
      </c>
      <c r="F375" s="1206" t="n">
        <f aca="false">C375*D375*E375</f>
        <v>0</v>
      </c>
      <c r="G375" s="1211" t="n">
        <f aca="false">'Ввод данных'!C1028</f>
        <v>0.6</v>
      </c>
      <c r="H375" s="1211"/>
      <c r="I375" s="1211" t="n">
        <f aca="false">IF(C375=0,0,C375/G375+1)</f>
        <v>0</v>
      </c>
      <c r="J375" s="1211" t="n">
        <f aca="false">VLOOKUP('Ввод данных'!A1033,связи1!I458:O488,7,0)</f>
        <v>0.05</v>
      </c>
      <c r="K375" s="1211" t="n">
        <f aca="false">$C$151</f>
        <v>0.12</v>
      </c>
      <c r="L375" s="1211" t="n">
        <f aca="false">CEILING(C375/G375+1,1)</f>
        <v>1</v>
      </c>
      <c r="M375" s="1211"/>
      <c r="N375" s="1211"/>
      <c r="O375" s="1220" t="n">
        <f aca="false">E375*I375*J375*K375</f>
        <v>0</v>
      </c>
      <c r="P375" s="1354" t="n">
        <f aca="false">C375</f>
        <v>0</v>
      </c>
      <c r="Q375" s="1354" t="n">
        <f aca="false">C375</f>
        <v>0</v>
      </c>
      <c r="R375" s="1354" t="n">
        <f aca="false">C375</f>
        <v>0</v>
      </c>
      <c r="S375" s="1355" t="n">
        <f aca="false">C375*D375</f>
        <v>0</v>
      </c>
      <c r="T375" s="1220" t="n">
        <f aca="false">(P375+Q375+R375)*J375*K375</f>
        <v>0</v>
      </c>
      <c r="U375" s="1329" t="n">
        <f aca="false">'Ввод данных'!E78</f>
        <v>0</v>
      </c>
      <c r="V375" s="1220" t="n">
        <f aca="false">U375*E375*J375*$K$124</f>
        <v>0</v>
      </c>
      <c r="W375" s="933" t="n">
        <f aca="false">'Ввод данных'!C78</f>
        <v>0.8</v>
      </c>
      <c r="X375" s="1211" t="n">
        <v>2</v>
      </c>
      <c r="Y375" s="1284" t="n">
        <f aca="false">W375*$K$124*J375*X375</f>
        <v>0.012</v>
      </c>
      <c r="Z375" s="1355" t="n">
        <f aca="false">'Ввод данных'!E91</f>
        <v>0</v>
      </c>
      <c r="AA375" s="1220" t="n">
        <f aca="false">Z375*E375*J375*K375*2</f>
        <v>0</v>
      </c>
      <c r="AB375" s="1356" t="n">
        <f aca="false">'Ввод данных'!C91</f>
        <v>0.8</v>
      </c>
      <c r="AC375" s="1356"/>
      <c r="AD375" s="1284" t="n">
        <f aca="false">AB375*K375*J375</f>
        <v>0.0048</v>
      </c>
    </row>
    <row r="376" s="1357" customFormat="true" ht="15.75" hidden="false" customHeight="true" outlineLevel="1" collapsed="false">
      <c r="A376" s="1352"/>
      <c r="B376" s="1353" t="s">
        <v>156</v>
      </c>
      <c r="C376" s="1207" t="n">
        <f aca="false">'Ввод данных'!C113*(IF('Ввод данных'!A8=связи1!A150,1,0))</f>
        <v>0</v>
      </c>
      <c r="D376" s="1211" t="n">
        <f aca="false">'Ввод данных'!D113</f>
        <v>1</v>
      </c>
      <c r="E376" s="1206" t="n">
        <f aca="false">$E$124+$E$125</f>
        <v>3</v>
      </c>
      <c r="F376" s="1206" t="n">
        <f aca="false">C376*D376*E376</f>
        <v>0</v>
      </c>
      <c r="G376" s="1211" t="n">
        <f aca="false">'Ввод данных'!C1028</f>
        <v>0.6</v>
      </c>
      <c r="H376" s="1211"/>
      <c r="I376" s="1211" t="n">
        <f aca="false">IF(C376=0,0,C376/G376+1)</f>
        <v>0</v>
      </c>
      <c r="J376" s="1211" t="n">
        <f aca="false">VLOOKUP('Ввод данных'!A1033,связи1!I458:O488,7,0)</f>
        <v>0.05</v>
      </c>
      <c r="K376" s="1211" t="n">
        <f aca="false">$C$151</f>
        <v>0.12</v>
      </c>
      <c r="L376" s="1211" t="n">
        <f aca="false">CEILING(C376/G376+1,1)</f>
        <v>1</v>
      </c>
      <c r="M376" s="1211"/>
      <c r="N376" s="1211"/>
      <c r="O376" s="1220" t="n">
        <f aca="false">E376*I376*J376*K376</f>
        <v>0</v>
      </c>
      <c r="P376" s="1354" t="n">
        <f aca="false">C376</f>
        <v>0</v>
      </c>
      <c r="Q376" s="1354" t="n">
        <f aca="false">C376</f>
        <v>0</v>
      </c>
      <c r="R376" s="1354" t="n">
        <f aca="false">C376</f>
        <v>0</v>
      </c>
      <c r="S376" s="1355" t="n">
        <f aca="false">C376*D376</f>
        <v>0</v>
      </c>
      <c r="T376" s="1220" t="n">
        <f aca="false">(P376+Q376+R376)*J376*K376</f>
        <v>0</v>
      </c>
      <c r="U376" s="1329" t="n">
        <f aca="false">'Ввод данных'!E79</f>
        <v>0</v>
      </c>
      <c r="V376" s="1220" t="n">
        <f aca="false">U376*E376*J376*$K$124</f>
        <v>0</v>
      </c>
      <c r="W376" s="933" t="n">
        <f aca="false">'Ввод данных'!C79</f>
        <v>1</v>
      </c>
      <c r="X376" s="1211" t="n">
        <v>2</v>
      </c>
      <c r="Y376" s="1284" t="n">
        <f aca="false">W376*$K$124*J376*X376</f>
        <v>0.015</v>
      </c>
      <c r="Z376" s="1355" t="n">
        <f aca="false">'Ввод данных'!E92</f>
        <v>0</v>
      </c>
      <c r="AA376" s="1220" t="n">
        <f aca="false">Z376*E376*J376*K376</f>
        <v>0</v>
      </c>
      <c r="AB376" s="1356" t="n">
        <f aca="false">'Ввод данных'!C92</f>
        <v>0.6</v>
      </c>
      <c r="AC376" s="1356"/>
      <c r="AD376" s="1284" t="n">
        <f aca="false">AB376*K376*J376</f>
        <v>0.0036</v>
      </c>
    </row>
    <row r="377" s="1357" customFormat="true" ht="15.75" hidden="false" customHeight="true" outlineLevel="1" collapsed="false">
      <c r="A377" s="1352"/>
      <c r="B377" s="1353" t="s">
        <v>156</v>
      </c>
      <c r="C377" s="1207" t="n">
        <f aca="false">'Ввод данных'!C114*(IF('Ввод данных'!A8=связи1!A150,1,0))</f>
        <v>0</v>
      </c>
      <c r="D377" s="1211" t="n">
        <f aca="false">'Ввод данных'!D114</f>
        <v>0</v>
      </c>
      <c r="E377" s="1206" t="n">
        <f aca="false">$E$124+$E$125</f>
        <v>3</v>
      </c>
      <c r="F377" s="1206" t="n">
        <f aca="false">C377*D377*E377</f>
        <v>0</v>
      </c>
      <c r="G377" s="1211" t="n">
        <f aca="false">'Ввод данных'!C1028</f>
        <v>0.6</v>
      </c>
      <c r="H377" s="1211"/>
      <c r="I377" s="1211" t="n">
        <f aca="false">IF(C377=0,0,C377/G377+1)</f>
        <v>0</v>
      </c>
      <c r="J377" s="1211" t="n">
        <f aca="false">VLOOKUP('Ввод данных'!A1033,связи1!I458:O488,7,0)</f>
        <v>0.05</v>
      </c>
      <c r="K377" s="1211" t="n">
        <f aca="false">$C$151</f>
        <v>0.12</v>
      </c>
      <c r="L377" s="1211" t="n">
        <f aca="false">CEILING(C377/G377+1,1)</f>
        <v>1</v>
      </c>
      <c r="M377" s="1211"/>
      <c r="N377" s="1211"/>
      <c r="O377" s="1220" t="n">
        <f aca="false">E377*I377*J377*K377</f>
        <v>0</v>
      </c>
      <c r="P377" s="1354" t="n">
        <f aca="false">C377</f>
        <v>0</v>
      </c>
      <c r="Q377" s="1354" t="n">
        <f aca="false">C377</f>
        <v>0</v>
      </c>
      <c r="R377" s="1354" t="n">
        <f aca="false">C377</f>
        <v>0</v>
      </c>
      <c r="S377" s="1355" t="n">
        <f aca="false">C377*D377</f>
        <v>0</v>
      </c>
      <c r="T377" s="1220" t="n">
        <f aca="false">(P377+Q377+R377)*J377*K377</f>
        <v>0</v>
      </c>
      <c r="U377" s="1329" t="n">
        <f aca="false">'Ввод данных'!E80</f>
        <v>0</v>
      </c>
      <c r="V377" s="1220" t="n">
        <f aca="false">U377*E377*J377*$K$124</f>
        <v>0</v>
      </c>
      <c r="W377" s="933" t="n">
        <f aca="false">'Ввод данных'!C80</f>
        <v>5</v>
      </c>
      <c r="X377" s="1211" t="n">
        <v>2</v>
      </c>
      <c r="Y377" s="1284" t="n">
        <f aca="false">W377*$K$124*J377*X377</f>
        <v>0.075</v>
      </c>
      <c r="Z377" s="1355" t="n">
        <f aca="false">'Ввод данных'!E95</f>
        <v>0</v>
      </c>
      <c r="AA377" s="1220" t="n">
        <f aca="false">Z377*E377*J377*K377</f>
        <v>0</v>
      </c>
      <c r="AB377" s="1356" t="n">
        <f aca="false">'Ввод данных'!C95</f>
        <v>0.9</v>
      </c>
      <c r="AC377" s="1356"/>
      <c r="AD377" s="1284" t="n">
        <f aca="false">AB377*K377*J377</f>
        <v>0.0054</v>
      </c>
    </row>
    <row r="378" s="1357" customFormat="true" ht="15.75" hidden="false" customHeight="true" outlineLevel="1" collapsed="false">
      <c r="A378" s="1352"/>
      <c r="B378" s="1353" t="s">
        <v>156</v>
      </c>
      <c r="C378" s="1207" t="n">
        <f aca="false">'Ввод данных'!C115*(IF('Ввод данных'!A8=связи1!A150,1,0))</f>
        <v>0</v>
      </c>
      <c r="D378" s="1211" t="n">
        <f aca="false">'Ввод данных'!D115</f>
        <v>0</v>
      </c>
      <c r="E378" s="1206" t="n">
        <f aca="false">$E$124+$E$125</f>
        <v>3</v>
      </c>
      <c r="F378" s="1206" t="n">
        <f aca="false">C378*D378*E378</f>
        <v>0</v>
      </c>
      <c r="G378" s="1211" t="n">
        <f aca="false">'Ввод данных'!C1028</f>
        <v>0.6</v>
      </c>
      <c r="H378" s="1211"/>
      <c r="I378" s="1211" t="n">
        <f aca="false">IF(C378=0,0,C378/G378+1)</f>
        <v>0</v>
      </c>
      <c r="J378" s="1211" t="n">
        <f aca="false">VLOOKUP('Ввод данных'!A1033,связи1!I458:O488,7,0)</f>
        <v>0.05</v>
      </c>
      <c r="K378" s="1211" t="n">
        <f aca="false">$C$151</f>
        <v>0.12</v>
      </c>
      <c r="L378" s="1211" t="n">
        <f aca="false">CEILING(C378/G378+1,1)</f>
        <v>1</v>
      </c>
      <c r="M378" s="1211"/>
      <c r="N378" s="1211"/>
      <c r="O378" s="1220" t="n">
        <f aca="false">E378*I378*J378*K378</f>
        <v>0</v>
      </c>
      <c r="P378" s="1354" t="n">
        <f aca="false">C378</f>
        <v>0</v>
      </c>
      <c r="Q378" s="1354" t="n">
        <f aca="false">C378</f>
        <v>0</v>
      </c>
      <c r="R378" s="1354" t="n">
        <f aca="false">C378</f>
        <v>0</v>
      </c>
      <c r="S378" s="1355" t="n">
        <f aca="false">C378*D378</f>
        <v>0</v>
      </c>
      <c r="T378" s="1220" t="n">
        <f aca="false">(P378+Q378+R378)*J378*K378</f>
        <v>0</v>
      </c>
      <c r="U378" s="1329" t="n">
        <f aca="false">'Ввод данных'!E81</f>
        <v>0</v>
      </c>
      <c r="V378" s="1220" t="n">
        <f aca="false">U378*E378*J378*$K$124</f>
        <v>0</v>
      </c>
      <c r="W378" s="933" t="n">
        <f aca="false">'Ввод данных'!C81</f>
        <v>6</v>
      </c>
      <c r="X378" s="1211" t="n">
        <v>2</v>
      </c>
      <c r="Y378" s="1284" t="n">
        <f aca="false">W378*$K$124*J378*X378</f>
        <v>0.09</v>
      </c>
      <c r="Z378" s="1211"/>
      <c r="AA378" s="1220"/>
      <c r="AB378" s="1211"/>
      <c r="AC378" s="1211"/>
      <c r="AD378" s="1220"/>
    </row>
    <row r="379" s="1357" customFormat="true" ht="15.75" hidden="false" customHeight="true" outlineLevel="1" collapsed="false">
      <c r="A379" s="1358"/>
      <c r="B379" s="1353"/>
      <c r="C379" s="1207"/>
      <c r="D379" s="1211"/>
      <c r="E379" s="1206" t="n">
        <f aca="false">$E$124+$E$125</f>
        <v>3</v>
      </c>
      <c r="F379" s="1206"/>
      <c r="G379" s="1211"/>
      <c r="H379" s="1211"/>
      <c r="I379" s="1211" t="n">
        <f aca="false">CEILING(SUM(I375:I378),1)</f>
        <v>0</v>
      </c>
      <c r="J379" s="1211"/>
      <c r="K379" s="1211"/>
      <c r="L379" s="1211"/>
      <c r="M379" s="1211"/>
      <c r="N379" s="1211"/>
      <c r="O379" s="1332" t="n">
        <f aca="false">связи1!F188</f>
        <v>0.3</v>
      </c>
      <c r="P379" s="1354" t="n">
        <f aca="false">SUM(P375:P378)</f>
        <v>0</v>
      </c>
      <c r="Q379" s="1354" t="n">
        <f aca="false">SUM(Q375:Q378)</f>
        <v>0</v>
      </c>
      <c r="R379" s="1357" t="n">
        <f aca="false">SUM(R375:R378)</f>
        <v>0</v>
      </c>
      <c r="S379" s="1331" t="n">
        <f aca="false">SUM(S375:S378)</f>
        <v>0</v>
      </c>
      <c r="T379" s="1331" t="n">
        <f aca="false">O379*S379</f>
        <v>0</v>
      </c>
      <c r="U379" s="1359" t="n">
        <f aca="false">SUM(U374:U378)</f>
        <v>0</v>
      </c>
      <c r="V379" s="1220"/>
      <c r="W379" s="1211"/>
      <c r="X379" s="1211"/>
      <c r="Y379" s="1284"/>
      <c r="Z379" s="1211"/>
      <c r="AA379" s="1220" t="n">
        <f aca="false">O379</f>
        <v>0.3</v>
      </c>
      <c r="AB379" s="1211"/>
      <c r="AC379" s="1211"/>
      <c r="AD379" s="1331" t="n">
        <f aca="false">(Z375*AB375+Z376*AB376+Z377*AB377)*AA379</f>
        <v>0</v>
      </c>
    </row>
    <row r="380" customFormat="false" ht="15.75" hidden="false" customHeight="true" outlineLevel="1" collapsed="false">
      <c r="A380" s="1178" t="s">
        <v>3166</v>
      </c>
      <c r="B380" s="1280" t="s">
        <v>156</v>
      </c>
      <c r="C380" s="1190" t="n">
        <f aca="false">'Ввод данных'!C116*(IF('Ввод данных'!A8=связи1!A150,1,0))</f>
        <v>0</v>
      </c>
      <c r="D380" s="933" t="n">
        <f aca="false">'Ввод данных'!D116</f>
        <v>1</v>
      </c>
      <c r="E380" s="1206" t="n">
        <f aca="false">$E$124+$E$125</f>
        <v>3</v>
      </c>
      <c r="F380" s="1023" t="n">
        <f aca="false">C380*D380*E380</f>
        <v>0</v>
      </c>
      <c r="G380" s="933" t="n">
        <f aca="false">'Ввод данных'!C1029</f>
        <v>0.6</v>
      </c>
      <c r="H380" s="933"/>
      <c r="I380" s="933" t="n">
        <f aca="false">IF(C380=0,0,C380/G380+1)</f>
        <v>0</v>
      </c>
      <c r="J380" s="933" t="n">
        <f aca="false">$D$180</f>
        <v>0.05</v>
      </c>
      <c r="K380" s="933" t="n">
        <f aca="false">$C$180</f>
        <v>0.17</v>
      </c>
      <c r="L380" s="1211" t="n">
        <f aca="false">CEILING(C380/G380+1,1)</f>
        <v>1</v>
      </c>
      <c r="M380" s="1211"/>
      <c r="N380" s="1211"/>
      <c r="O380" s="1220" t="n">
        <f aca="false">E380*I380*J380*K380</f>
        <v>0</v>
      </c>
      <c r="P380" s="1290" t="n">
        <f aca="false">C380</f>
        <v>0</v>
      </c>
      <c r="Q380" s="1290" t="n">
        <f aca="false">C380</f>
        <v>0</v>
      </c>
      <c r="R380" s="1290" t="n">
        <f aca="false">SUM(P380:Q380)</f>
        <v>0</v>
      </c>
      <c r="S380" s="933" t="n">
        <f aca="false">C380*D380</f>
        <v>0</v>
      </c>
      <c r="T380" s="1220" t="n">
        <f aca="false">(P380+Q380+R380)*J380*K380</f>
        <v>0</v>
      </c>
      <c r="U380" s="1329" t="n">
        <f aca="false">'Ввод данных'!E80*2</f>
        <v>0</v>
      </c>
      <c r="V380" s="1220" t="n">
        <f aca="false">U380*E380*J380*$K$124</f>
        <v>0</v>
      </c>
      <c r="W380" s="933" t="n">
        <f aca="false">'Ввод данных'!C80</f>
        <v>5</v>
      </c>
      <c r="X380" s="933" t="n">
        <v>2</v>
      </c>
      <c r="Y380" s="1284" t="n">
        <f aca="false">W380*$K$124*J380*X380</f>
        <v>0.075</v>
      </c>
      <c r="Z380" s="933"/>
      <c r="AA380" s="1220"/>
      <c r="AB380" s="933"/>
      <c r="AC380" s="933"/>
      <c r="AD380" s="1220"/>
    </row>
    <row r="381" customFormat="false" ht="15.75" hidden="false" customHeight="true" outlineLevel="1" collapsed="false">
      <c r="A381" s="1178"/>
      <c r="B381" s="1280" t="s">
        <v>156</v>
      </c>
      <c r="C381" s="1190" t="n">
        <f aca="false">'Ввод данных'!C117*(IF('Ввод данных'!A8=связи1!A150,1,0))</f>
        <v>0</v>
      </c>
      <c r="D381" s="933" t="n">
        <f aca="false">'Ввод данных'!D117</f>
        <v>0</v>
      </c>
      <c r="E381" s="1206" t="n">
        <f aca="false">$E$124+$E$125</f>
        <v>3</v>
      </c>
      <c r="F381" s="1023" t="n">
        <f aca="false">C381*D381*E381</f>
        <v>0</v>
      </c>
      <c r="G381" s="933" t="n">
        <f aca="false">'Ввод данных'!C1029</f>
        <v>0.6</v>
      </c>
      <c r="H381" s="933"/>
      <c r="I381" s="933" t="n">
        <f aca="false">IF(C381=0,0,C381/G381+1)</f>
        <v>0</v>
      </c>
      <c r="J381" s="933" t="n">
        <f aca="false">$D$180</f>
        <v>0.05</v>
      </c>
      <c r="K381" s="933" t="n">
        <f aca="false">$C$180</f>
        <v>0.17</v>
      </c>
      <c r="L381" s="1211" t="n">
        <f aca="false">CEILING(C381/G381+1,1)</f>
        <v>1</v>
      </c>
      <c r="M381" s="1211"/>
      <c r="N381" s="1211"/>
      <c r="O381" s="1220" t="n">
        <f aca="false">E381*I381*J381*K381</f>
        <v>0</v>
      </c>
      <c r="P381" s="1290" t="n">
        <f aca="false">C381</f>
        <v>0</v>
      </c>
      <c r="Q381" s="1290" t="n">
        <f aca="false">C381</f>
        <v>0</v>
      </c>
      <c r="R381" s="1290" t="n">
        <f aca="false">SUM(P381:Q381)</f>
        <v>0</v>
      </c>
      <c r="S381" s="933" t="n">
        <f aca="false">C381*D381</f>
        <v>0</v>
      </c>
      <c r="T381" s="1220" t="n">
        <f aca="false">(P381+Q381+R381)*J381*K381</f>
        <v>0</v>
      </c>
      <c r="U381" s="1329" t="n">
        <f aca="false">'Ввод данных'!E81*2</f>
        <v>0</v>
      </c>
      <c r="V381" s="1220" t="n">
        <f aca="false">U381*E381*J381*$K$124</f>
        <v>0</v>
      </c>
      <c r="W381" s="933" t="n">
        <f aca="false">'Ввод данных'!C81</f>
        <v>6</v>
      </c>
      <c r="X381" s="933" t="n">
        <v>2</v>
      </c>
      <c r="Y381" s="1284" t="n">
        <f aca="false">W381*$K$124*J381</f>
        <v>0.045</v>
      </c>
      <c r="Z381" s="933"/>
      <c r="AA381" s="1220"/>
      <c r="AB381" s="933"/>
      <c r="AC381" s="933"/>
      <c r="AD381" s="1220"/>
    </row>
    <row r="382" customFormat="false" ht="15.75" hidden="false" customHeight="true" outlineLevel="1" collapsed="false">
      <c r="A382" s="1178"/>
      <c r="B382" s="1280" t="s">
        <v>156</v>
      </c>
      <c r="C382" s="1190" t="n">
        <f aca="false">'Ввод данных'!C118*(IF('Ввод данных'!A8=связи1!A150,1,0))</f>
        <v>0</v>
      </c>
      <c r="D382" s="933" t="n">
        <f aca="false">'Ввод данных'!D118</f>
        <v>0</v>
      </c>
      <c r="E382" s="1206" t="n">
        <f aca="false">$E$124+$E$125</f>
        <v>3</v>
      </c>
      <c r="F382" s="1023" t="n">
        <f aca="false">C382*D382*E382</f>
        <v>0</v>
      </c>
      <c r="G382" s="933" t="n">
        <f aca="false">'Ввод данных'!C1029</f>
        <v>0.6</v>
      </c>
      <c r="H382" s="933"/>
      <c r="I382" s="933" t="n">
        <f aca="false">IF(C382=0,0,C382/G382+1)</f>
        <v>0</v>
      </c>
      <c r="J382" s="933" t="n">
        <f aca="false">$D$180</f>
        <v>0.05</v>
      </c>
      <c r="K382" s="933" t="n">
        <f aca="false">$C$180</f>
        <v>0.17</v>
      </c>
      <c r="L382" s="1211" t="n">
        <f aca="false">CEILING(C382/G382+1,1)</f>
        <v>1</v>
      </c>
      <c r="M382" s="1211"/>
      <c r="N382" s="1211"/>
      <c r="O382" s="1220" t="n">
        <f aca="false">E382*I382*J382*K382</f>
        <v>0</v>
      </c>
      <c r="P382" s="1290" t="n">
        <f aca="false">C382</f>
        <v>0</v>
      </c>
      <c r="Q382" s="1290" t="n">
        <f aca="false">C382</f>
        <v>0</v>
      </c>
      <c r="R382" s="1290" t="n">
        <f aca="false">SUM(P382:Q382)</f>
        <v>0</v>
      </c>
      <c r="S382" s="933" t="n">
        <f aca="false">C382*D382</f>
        <v>0</v>
      </c>
      <c r="T382" s="1220" t="n">
        <f aca="false">(P382+Q382+R382)*J382*K382</f>
        <v>0</v>
      </c>
      <c r="U382" s="1329" t="n">
        <f aca="false">'Ввод данных'!E73*2</f>
        <v>0</v>
      </c>
      <c r="V382" s="1220" t="n">
        <f aca="false">U382*E382*J382*$K$124</f>
        <v>0</v>
      </c>
      <c r="W382" s="933" t="n">
        <f aca="false">'Ввод данных'!C73</f>
        <v>0.8</v>
      </c>
      <c r="X382" s="933" t="n">
        <v>2</v>
      </c>
      <c r="Y382" s="1284" t="n">
        <f aca="false">W382*$K$124*J382</f>
        <v>0.006</v>
      </c>
      <c r="Z382" s="933"/>
      <c r="AA382" s="1220"/>
      <c r="AB382" s="933"/>
      <c r="AC382" s="933"/>
      <c r="AD382" s="1220"/>
    </row>
    <row r="383" customFormat="false" ht="15.75" hidden="false" customHeight="true" outlineLevel="1" collapsed="false">
      <c r="A383" s="1178"/>
      <c r="B383" s="1280" t="s">
        <v>156</v>
      </c>
      <c r="C383" s="1190" t="n">
        <f aca="false">'Ввод данных'!C119*(IF('Ввод данных'!A8=связи1!A150,1,0))</f>
        <v>0</v>
      </c>
      <c r="D383" s="933" t="n">
        <f aca="false">'Ввод данных'!D119</f>
        <v>0</v>
      </c>
      <c r="E383" s="1206" t="n">
        <f aca="false">$E$124+$E$125</f>
        <v>3</v>
      </c>
      <c r="F383" s="1023" t="n">
        <f aca="false">C383*D383*E383</f>
        <v>0</v>
      </c>
      <c r="G383" s="933" t="n">
        <f aca="false">'Ввод данных'!C1029</f>
        <v>0.6</v>
      </c>
      <c r="H383" s="933"/>
      <c r="I383" s="933" t="n">
        <f aca="false">IF(C383=0,0,C383/G383+1)</f>
        <v>0</v>
      </c>
      <c r="J383" s="933" t="n">
        <f aca="false">$D$180</f>
        <v>0.05</v>
      </c>
      <c r="K383" s="933" t="n">
        <f aca="false">$C$180</f>
        <v>0.17</v>
      </c>
      <c r="L383" s="1211" t="n">
        <f aca="false">CEILING(C383/G383+1,1)</f>
        <v>1</v>
      </c>
      <c r="M383" s="1211"/>
      <c r="N383" s="1211"/>
      <c r="O383" s="1220" t="n">
        <f aca="false">E383*I383*J383*K383</f>
        <v>0</v>
      </c>
      <c r="P383" s="1290" t="n">
        <f aca="false">C383</f>
        <v>0</v>
      </c>
      <c r="Q383" s="1290" t="n">
        <f aca="false">C383</f>
        <v>0</v>
      </c>
      <c r="R383" s="1290" t="n">
        <f aca="false">SUM(P383:Q383)</f>
        <v>0</v>
      </c>
      <c r="S383" s="933" t="n">
        <f aca="false">C383*D383</f>
        <v>0</v>
      </c>
      <c r="T383" s="1220" t="n">
        <f aca="false">(P383+Q383+R383)*J383*K383</f>
        <v>0</v>
      </c>
      <c r="U383" s="1329" t="n">
        <f aca="false">'Ввод данных'!E82*2</f>
        <v>0</v>
      </c>
      <c r="V383" s="1220" t="n">
        <f aca="false">U383*E383*J383*$K$124</f>
        <v>0</v>
      </c>
      <c r="W383" s="933" t="n">
        <f aca="false">'Ввод данных'!C82</f>
        <v>0.8</v>
      </c>
      <c r="X383" s="933" t="n">
        <v>2</v>
      </c>
      <c r="Y383" s="1284" t="n">
        <f aca="false">W383*$K$124*J383</f>
        <v>0.006</v>
      </c>
      <c r="Z383" s="933"/>
      <c r="AA383" s="1220"/>
      <c r="AB383" s="933"/>
      <c r="AC383" s="933"/>
      <c r="AD383" s="1220"/>
    </row>
    <row r="384" customFormat="false" ht="15.75" hidden="false" customHeight="true" outlineLevel="1" collapsed="false">
      <c r="A384" s="1360"/>
      <c r="B384" s="1280"/>
      <c r="C384" s="1190"/>
      <c r="D384" s="933"/>
      <c r="E384" s="1206" t="n">
        <f aca="false">$E$124+$E$125</f>
        <v>3</v>
      </c>
      <c r="F384" s="1023"/>
      <c r="G384" s="933"/>
      <c r="H384" s="933"/>
      <c r="I384" s="933" t="n">
        <f aca="false">CEILING(SUM(I380:I383),1)</f>
        <v>0</v>
      </c>
      <c r="J384" s="933"/>
      <c r="K384" s="933"/>
      <c r="L384" s="933"/>
      <c r="M384" s="933"/>
      <c r="N384" s="933"/>
      <c r="O384" s="1332" t="n">
        <f aca="false">связи1!F189</f>
        <v>0.2</v>
      </c>
      <c r="P384" s="1290" t="n">
        <f aca="false">SUM(P380:P383)</f>
        <v>0</v>
      </c>
      <c r="Q384" s="1290" t="n">
        <f aca="false">SUM(Q380:Q383)</f>
        <v>0</v>
      </c>
      <c r="R384" s="1150" t="n">
        <f aca="false">SUM(P384:Q384)</f>
        <v>0</v>
      </c>
      <c r="S384" s="1331" t="n">
        <f aca="false">SUM(S380:S383)</f>
        <v>0</v>
      </c>
      <c r="T384" s="1331" t="n">
        <f aca="false">O384*S384</f>
        <v>0</v>
      </c>
      <c r="U384" s="1329"/>
      <c r="V384" s="1220"/>
      <c r="W384" s="933"/>
      <c r="X384" s="933"/>
      <c r="Y384" s="1284"/>
      <c r="Z384" s="933"/>
      <c r="AA384" s="1220"/>
      <c r="AB384" s="933"/>
      <c r="AC384" s="933"/>
      <c r="AD384" s="1220"/>
    </row>
    <row r="385" s="1357" customFormat="true" ht="15.75" hidden="false" customHeight="true" outlineLevel="1" collapsed="false">
      <c r="A385" s="1352" t="s">
        <v>3167</v>
      </c>
      <c r="B385" s="1353"/>
      <c r="C385" s="1207" t="n">
        <f aca="false">'Ввод данных'!C120*(IF('Ввод данных'!A8=связи1!A150,1,0))</f>
        <v>0</v>
      </c>
      <c r="D385" s="1211" t="n">
        <f aca="false">'Ввод данных'!D120</f>
        <v>0</v>
      </c>
      <c r="E385" s="1206"/>
      <c r="F385" s="1206" t="n">
        <f aca="false">C385*D385*E385</f>
        <v>0</v>
      </c>
      <c r="G385" s="1211" t="n">
        <f aca="false">'Ввод данных'!C1028</f>
        <v>0.6</v>
      </c>
      <c r="H385" s="1211"/>
      <c r="I385" s="1211" t="n">
        <f aca="false">IF(C385=0,0,C385/G385+1)</f>
        <v>0</v>
      </c>
      <c r="J385" s="1211" t="n">
        <f aca="false">$J$375</f>
        <v>0.05</v>
      </c>
      <c r="K385" s="1211" t="n">
        <f aca="false">$C$151</f>
        <v>0.12</v>
      </c>
      <c r="L385" s="1211"/>
      <c r="M385" s="1211"/>
      <c r="N385" s="1211"/>
      <c r="O385" s="1220" t="n">
        <f aca="false">E385*I385*J385*K385</f>
        <v>0</v>
      </c>
      <c r="P385" s="1354" t="n">
        <f aca="false">C385</f>
        <v>0</v>
      </c>
      <c r="Q385" s="1354" t="n">
        <f aca="false">C385</f>
        <v>0</v>
      </c>
      <c r="R385" s="1354" t="n">
        <f aca="false">C385</f>
        <v>0</v>
      </c>
      <c r="S385" s="1355" t="n">
        <f aca="false">C385*D385</f>
        <v>0</v>
      </c>
      <c r="T385" s="1220" t="n">
        <f aca="false">(P385+Q385+R385)*J385*K385</f>
        <v>0</v>
      </c>
      <c r="U385" s="1359" t="n">
        <f aca="false">'Ввод данных'!E74*2</f>
        <v>0</v>
      </c>
      <c r="V385" s="1220" t="n">
        <f aca="false">U385*E385*J385*$K$124</f>
        <v>0</v>
      </c>
      <c r="W385" s="1211" t="n">
        <f aca="false">'Ввод данных'!C74</f>
        <v>2</v>
      </c>
      <c r="X385" s="1211" t="n">
        <v>2</v>
      </c>
      <c r="Y385" s="1284" t="n">
        <f aca="false">W385*$K$124*J385*X385</f>
        <v>0.03</v>
      </c>
      <c r="Z385" s="1355" t="n">
        <f aca="false">'Ввод данных'!E93</f>
        <v>0</v>
      </c>
      <c r="AA385" s="1220" t="n">
        <f aca="false">Z385*E385*J385*K385</f>
        <v>0</v>
      </c>
      <c r="AB385" s="1356" t="n">
        <f aca="false">'Ввод данных'!C93</f>
        <v>2</v>
      </c>
      <c r="AC385" s="1356"/>
      <c r="AD385" s="1284"/>
    </row>
    <row r="386" s="1357" customFormat="true" ht="15.75" hidden="false" customHeight="true" outlineLevel="1" collapsed="false">
      <c r="A386" s="1352"/>
      <c r="B386" s="1353"/>
      <c r="C386" s="1207" t="n">
        <f aca="false">'Ввод данных'!C121*(IF('Ввод данных'!A8=связи1!A150,1,0))</f>
        <v>0</v>
      </c>
      <c r="D386" s="1211" t="n">
        <f aca="false">'Ввод данных'!D121</f>
        <v>0</v>
      </c>
      <c r="E386" s="1206" t="n">
        <f aca="false">$E$124+$E$125</f>
        <v>3</v>
      </c>
      <c r="F386" s="1206" t="n">
        <f aca="false">C386*D386*E386</f>
        <v>0</v>
      </c>
      <c r="G386" s="1211" t="n">
        <f aca="false">'Ввод данных'!C1028</f>
        <v>0.6</v>
      </c>
      <c r="H386" s="1211"/>
      <c r="I386" s="1211" t="n">
        <f aca="false">IF(C386=0,0,C386/G386+1)</f>
        <v>0</v>
      </c>
      <c r="J386" s="1211" t="n">
        <f aca="false">$J$375</f>
        <v>0.05</v>
      </c>
      <c r="K386" s="1211" t="n">
        <f aca="false">$C$151</f>
        <v>0.12</v>
      </c>
      <c r="L386" s="1211"/>
      <c r="M386" s="1211"/>
      <c r="N386" s="1211"/>
      <c r="O386" s="1220" t="n">
        <f aca="false">E386*I386*J386*K386</f>
        <v>0</v>
      </c>
      <c r="P386" s="1354" t="n">
        <f aca="false">C386</f>
        <v>0</v>
      </c>
      <c r="Q386" s="1354" t="n">
        <f aca="false">C386</f>
        <v>0</v>
      </c>
      <c r="R386" s="1354" t="n">
        <f aca="false">C386</f>
        <v>0</v>
      </c>
      <c r="S386" s="1355" t="n">
        <f aca="false">C386*D386</f>
        <v>0</v>
      </c>
      <c r="T386" s="1220" t="n">
        <f aca="false">(P386+Q386+R386)*J386*K386</f>
        <v>0</v>
      </c>
      <c r="U386" s="1359" t="n">
        <f aca="false">'Ввод данных'!E75*2</f>
        <v>0</v>
      </c>
      <c r="V386" s="1220" t="n">
        <f aca="false">U386*E386*J386*$K$124</f>
        <v>0</v>
      </c>
      <c r="W386" s="1211" t="n">
        <f aca="false">'Ввод данных'!C75</f>
        <v>0</v>
      </c>
      <c r="X386" s="1211" t="n">
        <v>2</v>
      </c>
      <c r="Y386" s="1284" t="n">
        <f aca="false">W386*$K$124*J386*X386</f>
        <v>0</v>
      </c>
      <c r="Z386" s="1355" t="n">
        <f aca="false">'Ввод данных'!E97</f>
        <v>0</v>
      </c>
      <c r="AA386" s="1220" t="n">
        <f aca="false">Z386*E386*J386*K386</f>
        <v>0</v>
      </c>
      <c r="AB386" s="1356" t="n">
        <f aca="false">'Ввод данных'!C97</f>
        <v>1.4</v>
      </c>
      <c r="AC386" s="1356"/>
      <c r="AD386" s="1284"/>
    </row>
    <row r="387" s="1357" customFormat="true" ht="15.75" hidden="false" customHeight="true" outlineLevel="1" collapsed="false">
      <c r="A387" s="1352"/>
      <c r="B387" s="1353"/>
      <c r="C387" s="1207" t="n">
        <f aca="false">'Ввод данных'!C122*(IF('Ввод данных'!A8=связи1!A150,1,0))</f>
        <v>0</v>
      </c>
      <c r="D387" s="1211" t="n">
        <f aca="false">'Ввод данных'!D122</f>
        <v>0</v>
      </c>
      <c r="E387" s="1206" t="n">
        <f aca="false">$E$124+$E$125</f>
        <v>3</v>
      </c>
      <c r="F387" s="1206" t="n">
        <f aca="false">C387*D387*E387</f>
        <v>0</v>
      </c>
      <c r="G387" s="1211" t="n">
        <f aca="false">'Ввод данных'!C1028</f>
        <v>0.6</v>
      </c>
      <c r="H387" s="1211"/>
      <c r="I387" s="1211" t="n">
        <f aca="false">IF(C387=0,0,C387/G387+1)</f>
        <v>0</v>
      </c>
      <c r="J387" s="1211" t="n">
        <f aca="false">$J$375</f>
        <v>0.05</v>
      </c>
      <c r="K387" s="1211" t="n">
        <f aca="false">$C$151</f>
        <v>0.12</v>
      </c>
      <c r="L387" s="1211"/>
      <c r="M387" s="1211"/>
      <c r="N387" s="1211"/>
      <c r="O387" s="1220" t="n">
        <f aca="false">E387*I387*J387*K387</f>
        <v>0</v>
      </c>
      <c r="P387" s="1354" t="n">
        <f aca="false">C387</f>
        <v>0</v>
      </c>
      <c r="Q387" s="1354" t="n">
        <f aca="false">C387</f>
        <v>0</v>
      </c>
      <c r="R387" s="1354" t="n">
        <f aca="false">C387</f>
        <v>0</v>
      </c>
      <c r="S387" s="1355" t="n">
        <f aca="false">C387*D387</f>
        <v>0</v>
      </c>
      <c r="T387" s="1220" t="n">
        <f aca="false">(P387+Q387+R387)*J387*K387</f>
        <v>0</v>
      </c>
      <c r="U387" s="1359" t="n">
        <f aca="false">SUM(U385:U386)</f>
        <v>0</v>
      </c>
      <c r="V387" s="1220"/>
      <c r="W387" s="1211"/>
      <c r="X387" s="1211"/>
      <c r="Y387" s="1284"/>
      <c r="Z387" s="1211"/>
      <c r="AA387" s="1220"/>
      <c r="AB387" s="1211"/>
      <c r="AC387" s="1211"/>
      <c r="AD387" s="1220"/>
    </row>
    <row r="388" s="1357" customFormat="true" ht="15.75" hidden="false" customHeight="true" outlineLevel="1" collapsed="false">
      <c r="A388" s="1352"/>
      <c r="B388" s="1353"/>
      <c r="C388" s="1207" t="n">
        <f aca="false">'Ввод данных'!C123*(IF('Ввод данных'!A8=связи1!A150,1,0))</f>
        <v>0</v>
      </c>
      <c r="D388" s="1211" t="n">
        <f aca="false">'Ввод данных'!D123</f>
        <v>0</v>
      </c>
      <c r="E388" s="1206" t="n">
        <f aca="false">$E$124+$E$125</f>
        <v>3</v>
      </c>
      <c r="F388" s="1206" t="n">
        <f aca="false">C388*D388*E388</f>
        <v>0</v>
      </c>
      <c r="G388" s="1211" t="n">
        <f aca="false">'Ввод данных'!C1028</f>
        <v>0.6</v>
      </c>
      <c r="H388" s="1211"/>
      <c r="I388" s="1211" t="n">
        <f aca="false">IF(C388=0,0,C388/G388+1)</f>
        <v>0</v>
      </c>
      <c r="J388" s="1211" t="n">
        <f aca="false">$J$375</f>
        <v>0.05</v>
      </c>
      <c r="K388" s="1211" t="n">
        <f aca="false">$C$151</f>
        <v>0.12</v>
      </c>
      <c r="L388" s="1211"/>
      <c r="M388" s="1211"/>
      <c r="N388" s="1211"/>
      <c r="O388" s="1220" t="n">
        <f aca="false">E388*I388*J388*K388</f>
        <v>0</v>
      </c>
      <c r="P388" s="1354" t="n">
        <f aca="false">C388</f>
        <v>0</v>
      </c>
      <c r="Q388" s="1354" t="n">
        <f aca="false">C388</f>
        <v>0</v>
      </c>
      <c r="R388" s="1354" t="n">
        <f aca="false">C388</f>
        <v>0</v>
      </c>
      <c r="S388" s="1355" t="n">
        <f aca="false">C388*D388</f>
        <v>0</v>
      </c>
      <c r="T388" s="1220" t="n">
        <f aca="false">(P388+Q388+R388)*J388*K388</f>
        <v>0</v>
      </c>
      <c r="U388" s="1359"/>
      <c r="V388" s="1220"/>
      <c r="W388" s="1211"/>
      <c r="X388" s="1211"/>
      <c r="Y388" s="1284"/>
      <c r="Z388" s="1211"/>
      <c r="AA388" s="1220"/>
      <c r="AB388" s="1211"/>
      <c r="AC388" s="1211"/>
      <c r="AD388" s="1220"/>
    </row>
    <row r="389" s="1357" customFormat="true" ht="15.75" hidden="false" customHeight="true" outlineLevel="1" collapsed="false">
      <c r="A389" s="1358"/>
      <c r="B389" s="1353"/>
      <c r="C389" s="1207"/>
      <c r="D389" s="1211"/>
      <c r="E389" s="1206" t="n">
        <f aca="false">$E$124+$E$125</f>
        <v>3</v>
      </c>
      <c r="F389" s="1206"/>
      <c r="G389" s="1211"/>
      <c r="H389" s="1211"/>
      <c r="I389" s="1211" t="n">
        <f aca="false">CEILING(SUM(I385:I388),1)</f>
        <v>0</v>
      </c>
      <c r="J389" s="1211"/>
      <c r="K389" s="1211"/>
      <c r="L389" s="1211"/>
      <c r="M389" s="1211"/>
      <c r="N389" s="1211"/>
      <c r="O389" s="1332" t="n">
        <f aca="false">связи1!F188</f>
        <v>0.3</v>
      </c>
      <c r="P389" s="1354" t="n">
        <f aca="false">SUM(P385:P388)</f>
        <v>0</v>
      </c>
      <c r="Q389" s="1354" t="n">
        <f aca="false">SUM(Q385:Q388)</f>
        <v>0</v>
      </c>
      <c r="R389" s="1357" t="n">
        <f aca="false">SUM(R385:R388)</f>
        <v>0</v>
      </c>
      <c r="S389" s="1331" t="n">
        <f aca="false">SUM(S385:S388)</f>
        <v>0</v>
      </c>
      <c r="T389" s="1331" t="n">
        <f aca="false">O389*S389</f>
        <v>0</v>
      </c>
      <c r="U389" s="1359"/>
      <c r="V389" s="1220"/>
      <c r="W389" s="1211"/>
      <c r="X389" s="1211"/>
      <c r="Y389" s="1284"/>
      <c r="Z389" s="1211"/>
      <c r="AA389" s="1220"/>
      <c r="AB389" s="1211"/>
      <c r="AC389" s="1211"/>
      <c r="AD389" s="1331" t="n">
        <f aca="false">(Z385*AB385+Z386*AB386)*AA379</f>
        <v>0</v>
      </c>
    </row>
    <row r="390" customFormat="false" ht="15.75" hidden="false" customHeight="true" outlineLevel="1" collapsed="false">
      <c r="A390" s="1178" t="s">
        <v>3168</v>
      </c>
      <c r="B390" s="1280"/>
      <c r="C390" s="1190" t="n">
        <f aca="false">'Ввод данных'!C124*(IF('Ввод данных'!A8=связи1!A150,1,0))</f>
        <v>0</v>
      </c>
      <c r="D390" s="933" t="n">
        <f aca="false">'Ввод данных'!D124</f>
        <v>2</v>
      </c>
      <c r="E390" s="1206" t="n">
        <f aca="false">$E$124+$E$125</f>
        <v>3</v>
      </c>
      <c r="F390" s="1023" t="n">
        <f aca="false">C390*D390*E390</f>
        <v>0</v>
      </c>
      <c r="G390" s="933" t="n">
        <f aca="false">'Ввод данных'!C1029</f>
        <v>0.6</v>
      </c>
      <c r="H390" s="933"/>
      <c r="I390" s="933" t="n">
        <f aca="false">IF(C390=0,0,C390/G390+1)</f>
        <v>0</v>
      </c>
      <c r="J390" s="933" t="n">
        <f aca="false">$D$180</f>
        <v>0.05</v>
      </c>
      <c r="K390" s="933" t="n">
        <f aca="false">$C$180</f>
        <v>0.17</v>
      </c>
      <c r="L390" s="933"/>
      <c r="M390" s="933"/>
      <c r="N390" s="933"/>
      <c r="O390" s="1220" t="n">
        <f aca="false">E390*I390*J390*K390</f>
        <v>0</v>
      </c>
      <c r="P390" s="1290" t="n">
        <f aca="false">C390</f>
        <v>0</v>
      </c>
      <c r="Q390" s="1290" t="n">
        <f aca="false">C390</f>
        <v>0</v>
      </c>
      <c r="R390" s="1290"/>
      <c r="S390" s="933" t="n">
        <f aca="false">C390*D390</f>
        <v>0</v>
      </c>
      <c r="T390" s="1220" t="n">
        <f aca="false">(P390+Q390+R390)*J390*K390</f>
        <v>0</v>
      </c>
      <c r="U390" s="1329"/>
      <c r="V390" s="1220"/>
      <c r="W390" s="933"/>
      <c r="X390" s="933"/>
      <c r="Y390" s="1284"/>
      <c r="Z390" s="933"/>
      <c r="AA390" s="1220"/>
      <c r="AB390" s="933"/>
      <c r="AC390" s="933"/>
      <c r="AD390" s="1220"/>
    </row>
    <row r="391" customFormat="false" ht="15.75" hidden="false" customHeight="true" outlineLevel="1" collapsed="false">
      <c r="A391" s="1178"/>
      <c r="B391" s="1280"/>
      <c r="C391" s="1190" t="n">
        <f aca="false">'Ввод данных'!C125*(IF('Ввод данных'!A8=связи1!A150,1,0))</f>
        <v>0</v>
      </c>
      <c r="D391" s="933" t="n">
        <f aca="false">'Ввод данных'!D125</f>
        <v>0</v>
      </c>
      <c r="E391" s="1206" t="n">
        <f aca="false">$E$124+$E$125</f>
        <v>3</v>
      </c>
      <c r="F391" s="1023" t="n">
        <f aca="false">C391*D391*E391</f>
        <v>0</v>
      </c>
      <c r="G391" s="933" t="n">
        <f aca="false">'Ввод данных'!C1029</f>
        <v>0.6</v>
      </c>
      <c r="H391" s="933"/>
      <c r="I391" s="933" t="n">
        <f aca="false">IF(C391=0,0,C391/G391+1)</f>
        <v>0</v>
      </c>
      <c r="J391" s="933" t="n">
        <f aca="false">$D$180</f>
        <v>0.05</v>
      </c>
      <c r="K391" s="933" t="n">
        <f aca="false">$C$180</f>
        <v>0.17</v>
      </c>
      <c r="L391" s="933"/>
      <c r="M391" s="933"/>
      <c r="N391" s="933"/>
      <c r="O391" s="1220" t="n">
        <f aca="false">E391*I391*J391*K391</f>
        <v>0</v>
      </c>
      <c r="P391" s="1290" t="n">
        <f aca="false">C391</f>
        <v>0</v>
      </c>
      <c r="Q391" s="1290" t="n">
        <f aca="false">C391</f>
        <v>0</v>
      </c>
      <c r="R391" s="1290"/>
      <c r="S391" s="933" t="n">
        <f aca="false">C391*D391</f>
        <v>0</v>
      </c>
      <c r="T391" s="1220" t="n">
        <f aca="false">(P391+Q391+R391)*J391*K391</f>
        <v>0</v>
      </c>
      <c r="U391" s="1329"/>
      <c r="V391" s="1220"/>
      <c r="W391" s="933"/>
      <c r="X391" s="933"/>
      <c r="Y391" s="1284"/>
      <c r="Z391" s="933"/>
      <c r="AA391" s="1220"/>
      <c r="AB391" s="933"/>
      <c r="AC391" s="933"/>
      <c r="AD391" s="1220"/>
    </row>
    <row r="392" customFormat="false" ht="15.75" hidden="false" customHeight="true" outlineLevel="1" collapsed="false">
      <c r="A392" s="1178"/>
      <c r="B392" s="1280"/>
      <c r="C392" s="1190" t="n">
        <f aca="false">'Ввод данных'!C126*(IF('Ввод данных'!A8=связи1!A150,1,0))</f>
        <v>0</v>
      </c>
      <c r="D392" s="933" t="n">
        <f aca="false">'Ввод данных'!D126</f>
        <v>0</v>
      </c>
      <c r="E392" s="1206" t="n">
        <f aca="false">$E$124+$E$125</f>
        <v>3</v>
      </c>
      <c r="F392" s="1023" t="n">
        <f aca="false">C392*D392*E392</f>
        <v>0</v>
      </c>
      <c r="G392" s="933" t="n">
        <f aca="false">'Ввод данных'!C1029</f>
        <v>0.6</v>
      </c>
      <c r="H392" s="933"/>
      <c r="I392" s="933" t="n">
        <f aca="false">IF(C392=0,0,C392/G392+1)</f>
        <v>0</v>
      </c>
      <c r="J392" s="933" t="n">
        <f aca="false">$D$180</f>
        <v>0.05</v>
      </c>
      <c r="K392" s="933" t="n">
        <f aca="false">$C$180</f>
        <v>0.17</v>
      </c>
      <c r="L392" s="933"/>
      <c r="M392" s="933"/>
      <c r="N392" s="933"/>
      <c r="O392" s="1220" t="n">
        <f aca="false">E392*I392*J392*K392</f>
        <v>0</v>
      </c>
      <c r="P392" s="1290" t="n">
        <f aca="false">C392</f>
        <v>0</v>
      </c>
      <c r="Q392" s="1290" t="n">
        <f aca="false">C392</f>
        <v>0</v>
      </c>
      <c r="R392" s="1290"/>
      <c r="S392" s="933" t="n">
        <f aca="false">C392*D392</f>
        <v>0</v>
      </c>
      <c r="T392" s="1220" t="n">
        <f aca="false">(P392+Q392+R392)*J392*K392</f>
        <v>0</v>
      </c>
      <c r="U392" s="1329"/>
      <c r="V392" s="1220"/>
      <c r="W392" s="933"/>
      <c r="X392" s="933"/>
      <c r="Y392" s="1284"/>
      <c r="Z392" s="933"/>
      <c r="AA392" s="1220"/>
      <c r="AB392" s="933"/>
      <c r="AC392" s="933"/>
      <c r="AD392" s="1220"/>
    </row>
    <row r="393" customFormat="false" ht="15.75" hidden="false" customHeight="true" outlineLevel="1" collapsed="false">
      <c r="A393" s="1178"/>
      <c r="B393" s="1280"/>
      <c r="C393" s="1190" t="n">
        <f aca="false">'Ввод данных'!C127*(IF('Ввод данных'!A8=связи1!A150,1,0))</f>
        <v>0</v>
      </c>
      <c r="D393" s="933" t="n">
        <f aca="false">'Ввод данных'!D127</f>
        <v>0</v>
      </c>
      <c r="E393" s="1206" t="n">
        <f aca="false">$E$124+$E$125</f>
        <v>3</v>
      </c>
      <c r="F393" s="1023" t="n">
        <f aca="false">C393*D393*E393</f>
        <v>0</v>
      </c>
      <c r="G393" s="933" t="n">
        <f aca="false">'Ввод данных'!C1029</f>
        <v>0.6</v>
      </c>
      <c r="H393" s="933"/>
      <c r="I393" s="933" t="n">
        <f aca="false">IF(C393=0,0,C393/G393+1)</f>
        <v>0</v>
      </c>
      <c r="J393" s="933" t="n">
        <f aca="false">$D$180</f>
        <v>0.05</v>
      </c>
      <c r="K393" s="933" t="n">
        <f aca="false">$C$180</f>
        <v>0.17</v>
      </c>
      <c r="L393" s="933"/>
      <c r="M393" s="933"/>
      <c r="N393" s="933"/>
      <c r="O393" s="1220" t="n">
        <f aca="false">E393*I393*J393*K393</f>
        <v>0</v>
      </c>
      <c r="P393" s="1290" t="n">
        <f aca="false">C393</f>
        <v>0</v>
      </c>
      <c r="Q393" s="1290" t="n">
        <f aca="false">C393</f>
        <v>0</v>
      </c>
      <c r="R393" s="1290"/>
      <c r="S393" s="933" t="n">
        <f aca="false">C393*D393</f>
        <v>0</v>
      </c>
      <c r="T393" s="1220" t="n">
        <f aca="false">(P393+Q393+R393)*J393*K393</f>
        <v>0</v>
      </c>
      <c r="U393" s="1329"/>
      <c r="V393" s="1220"/>
      <c r="W393" s="933"/>
      <c r="X393" s="933"/>
      <c r="Y393" s="1284"/>
      <c r="Z393" s="933"/>
      <c r="AA393" s="1220"/>
      <c r="AB393" s="933"/>
      <c r="AC393" s="933"/>
      <c r="AD393" s="1220"/>
    </row>
    <row r="394" customFormat="false" ht="15.75" hidden="false" customHeight="true" outlineLevel="1" collapsed="false">
      <c r="A394" s="1361"/>
      <c r="B394" s="1280"/>
      <c r="C394" s="1190"/>
      <c r="D394" s="933"/>
      <c r="E394" s="1023"/>
      <c r="F394" s="1023"/>
      <c r="G394" s="933"/>
      <c r="H394" s="933"/>
      <c r="I394" s="933" t="n">
        <f aca="false">CEILING(SUM(I390:I393),1)</f>
        <v>0</v>
      </c>
      <c r="J394" s="933"/>
      <c r="K394" s="933"/>
      <c r="L394" s="933"/>
      <c r="M394" s="933"/>
      <c r="N394" s="933"/>
      <c r="O394" s="1332" t="n">
        <f aca="false">связи1!F189</f>
        <v>0.2</v>
      </c>
      <c r="P394" s="1290" t="n">
        <f aca="false">SUM(P390:P393)</f>
        <v>0</v>
      </c>
      <c r="Q394" s="1290" t="n">
        <f aca="false">SUM(Q390:Q393)</f>
        <v>0</v>
      </c>
      <c r="S394" s="1331" t="n">
        <f aca="false">SUM(S390:S393)</f>
        <v>0</v>
      </c>
      <c r="T394" s="1331" t="n">
        <f aca="false">O394*S394</f>
        <v>0</v>
      </c>
      <c r="U394" s="1329"/>
      <c r="V394" s="1220"/>
      <c r="W394" s="933"/>
      <c r="X394" s="933"/>
      <c r="Y394" s="1284"/>
      <c r="Z394" s="933"/>
      <c r="AA394" s="1220"/>
      <c r="AB394" s="933"/>
      <c r="AC394" s="933"/>
      <c r="AD394" s="1220"/>
    </row>
    <row r="395" s="1357" customFormat="true" ht="15.75" hidden="false" customHeight="true" outlineLevel="1" collapsed="false">
      <c r="A395" s="1362" t="s">
        <v>3169</v>
      </c>
      <c r="B395" s="1353"/>
      <c r="C395" s="1207" t="n">
        <f aca="false">'Ввод данных'!C427*VLOOKUP('Ввод данных'!F458,связи1!A2:B3,2,0)</f>
        <v>0</v>
      </c>
      <c r="D395" s="1211"/>
      <c r="E395" s="1206" t="n">
        <f aca="false">C1241</f>
        <v>3.2</v>
      </c>
      <c r="F395" s="1206" t="n">
        <f aca="false">C395*E395</f>
        <v>0</v>
      </c>
      <c r="G395" s="1211" t="n">
        <f aca="false">G124</f>
        <v>0.6</v>
      </c>
      <c r="H395" s="1211"/>
      <c r="I395" s="1211" t="n">
        <f aca="false">IF(C395=0,0,C395/G395+1)</f>
        <v>0</v>
      </c>
      <c r="J395" s="1211" t="n">
        <f aca="false">$D$143</f>
        <v>0.05</v>
      </c>
      <c r="K395" s="1211" t="n">
        <f aca="false">$C$143</f>
        <v>0.15</v>
      </c>
      <c r="L395" s="1211"/>
      <c r="M395" s="1211"/>
      <c r="N395" s="1211"/>
      <c r="O395" s="1220" t="n">
        <f aca="false">E395*I395*J395*K395</f>
        <v>0</v>
      </c>
      <c r="P395" s="1354" t="n">
        <f aca="false">C395</f>
        <v>0</v>
      </c>
      <c r="Q395" s="1354" t="n">
        <f aca="false">C395</f>
        <v>0</v>
      </c>
      <c r="R395" s="1354" t="n">
        <f aca="false">C395</f>
        <v>0</v>
      </c>
      <c r="S395" s="1355" t="n">
        <f aca="false">C395</f>
        <v>0</v>
      </c>
      <c r="T395" s="1220" t="n">
        <f aca="false">(P395+Q395+R395)*J395*K395</f>
        <v>0</v>
      </c>
      <c r="U395" s="1359"/>
      <c r="V395" s="1220"/>
      <c r="W395" s="1211"/>
      <c r="X395" s="1211"/>
      <c r="Y395" s="1284"/>
      <c r="Z395" s="1211"/>
      <c r="AA395" s="1220"/>
      <c r="AB395" s="1211"/>
      <c r="AC395" s="1211"/>
      <c r="AD395" s="1220"/>
    </row>
    <row r="396" s="1357" customFormat="true" ht="15.75" hidden="false" customHeight="true" outlineLevel="1" collapsed="false">
      <c r="A396" s="1362" t="s">
        <v>3170</v>
      </c>
      <c r="B396" s="1353"/>
      <c r="C396" s="1207" t="n">
        <f aca="false">'Ввод данных'!C428*VLOOKUP('Ввод данных'!F458,связи1!A2:B3,2,0)</f>
        <v>0</v>
      </c>
      <c r="D396" s="1211"/>
      <c r="E396" s="1206" t="n">
        <f aca="false">C1241</f>
        <v>3.2</v>
      </c>
      <c r="F396" s="1206" t="n">
        <f aca="false">C396*E396</f>
        <v>0</v>
      </c>
      <c r="G396" s="1211" t="n">
        <f aca="false">G124</f>
        <v>0.6</v>
      </c>
      <c r="H396" s="1211"/>
      <c r="I396" s="1211" t="n">
        <f aca="false">IF(C396=0,0,C396/G396+1)</f>
        <v>0</v>
      </c>
      <c r="J396" s="1211" t="n">
        <f aca="false">$D$143</f>
        <v>0.05</v>
      </c>
      <c r="K396" s="1211" t="n">
        <f aca="false">$C$143</f>
        <v>0.15</v>
      </c>
      <c r="L396" s="1211"/>
      <c r="M396" s="1211"/>
      <c r="N396" s="1211"/>
      <c r="O396" s="1220" t="n">
        <f aca="false">E396*I396*J396*K396</f>
        <v>0</v>
      </c>
      <c r="P396" s="1354" t="n">
        <f aca="false">C396</f>
        <v>0</v>
      </c>
      <c r="Q396" s="1354" t="n">
        <f aca="false">C396</f>
        <v>0</v>
      </c>
      <c r="R396" s="1354" t="n">
        <f aca="false">C396</f>
        <v>0</v>
      </c>
      <c r="S396" s="1355" t="n">
        <f aca="false">C396</f>
        <v>0</v>
      </c>
      <c r="T396" s="1220" t="n">
        <f aca="false">(P396+Q396+R396)*J396*K396</f>
        <v>0</v>
      </c>
      <c r="U396" s="1359"/>
      <c r="V396" s="1220"/>
      <c r="W396" s="1211"/>
      <c r="X396" s="1211"/>
      <c r="Y396" s="1284"/>
      <c r="Z396" s="1211"/>
      <c r="AA396" s="1220"/>
      <c r="AB396" s="1211"/>
      <c r="AC396" s="1211"/>
      <c r="AD396" s="1220"/>
    </row>
    <row r="397" s="1357" customFormat="true" ht="15.75" hidden="false" customHeight="true" outlineLevel="1" collapsed="false">
      <c r="A397" s="1362" t="s">
        <v>3171</v>
      </c>
      <c r="B397" s="1353"/>
      <c r="C397" s="1207" t="n">
        <f aca="false">C1239*VLOOKUP('Ввод данных'!F458,связи1!A2:B3,2,0)</f>
        <v>0</v>
      </c>
      <c r="D397" s="1211"/>
      <c r="E397" s="1206" t="n">
        <f aca="false">C1241</f>
        <v>3.2</v>
      </c>
      <c r="F397" s="1206" t="n">
        <f aca="false">C397*E397</f>
        <v>0</v>
      </c>
      <c r="G397" s="1211" t="n">
        <f aca="false">G124</f>
        <v>0.6</v>
      </c>
      <c r="H397" s="1211"/>
      <c r="I397" s="1211" t="n">
        <f aca="false">IF(C397=0,0,C397/G397+1)</f>
        <v>0</v>
      </c>
      <c r="J397" s="1211" t="n">
        <f aca="false">$D$143</f>
        <v>0.05</v>
      </c>
      <c r="K397" s="1211" t="n">
        <f aca="false">$C$143</f>
        <v>0.15</v>
      </c>
      <c r="L397" s="1211"/>
      <c r="M397" s="1211"/>
      <c r="N397" s="1211"/>
      <c r="O397" s="1220" t="n">
        <f aca="false">E397*I397*J397*K397</f>
        <v>0</v>
      </c>
      <c r="P397" s="1354" t="n">
        <f aca="false">C397</f>
        <v>0</v>
      </c>
      <c r="Q397" s="1354" t="n">
        <f aca="false">C397</f>
        <v>0</v>
      </c>
      <c r="R397" s="1354" t="n">
        <f aca="false">C397</f>
        <v>0</v>
      </c>
      <c r="S397" s="1355" t="n">
        <f aca="false">C397</f>
        <v>0</v>
      </c>
      <c r="T397" s="1220" t="n">
        <f aca="false">(P397+Q397+R397)*J397*K397</f>
        <v>0</v>
      </c>
      <c r="U397" s="1359"/>
      <c r="V397" s="1220"/>
      <c r="W397" s="1211"/>
      <c r="X397" s="1211"/>
      <c r="Y397" s="1284"/>
      <c r="Z397" s="1211"/>
      <c r="AA397" s="1220"/>
      <c r="AB397" s="1211"/>
      <c r="AC397" s="1211"/>
      <c r="AD397" s="1220"/>
    </row>
    <row r="398" s="1357" customFormat="true" ht="15.75" hidden="false" customHeight="true" outlineLevel="1" collapsed="false">
      <c r="A398" s="1362"/>
      <c r="B398" s="1363" t="n">
        <f aca="false">связи1!F187</f>
        <v>0.4</v>
      </c>
      <c r="C398" s="1364" t="n">
        <f aca="false">SUM(C395:C397)</f>
        <v>0</v>
      </c>
      <c r="D398" s="1331" t="n">
        <f aca="false">B398*C398</f>
        <v>0</v>
      </c>
      <c r="E398" s="1206"/>
      <c r="F398" s="1206"/>
      <c r="G398" s="1211"/>
      <c r="H398" s="1211"/>
      <c r="I398" s="1211"/>
      <c r="J398" s="1211" t="n">
        <f aca="false">$D$143</f>
        <v>0.05</v>
      </c>
      <c r="K398" s="1211" t="n">
        <f aca="false">$C$143</f>
        <v>0.15</v>
      </c>
      <c r="L398" s="1211"/>
      <c r="M398" s="1211"/>
      <c r="N398" s="1211"/>
      <c r="O398" s="1331" t="n">
        <f aca="false">O379</f>
        <v>0.3</v>
      </c>
      <c r="P398" s="1354" t="n">
        <f aca="false">SUM(P395:P397)</f>
        <v>0</v>
      </c>
      <c r="Q398" s="1354" t="n">
        <f aca="false">SUM(Q395:Q397)</f>
        <v>0</v>
      </c>
      <c r="R398" s="1354" t="n">
        <f aca="false">SUM(R395:R397)</f>
        <v>0</v>
      </c>
      <c r="S398" s="1355" t="n">
        <f aca="false">SUM(S395:S397)</f>
        <v>0</v>
      </c>
      <c r="T398" s="1331" t="n">
        <f aca="false">O398*S398</f>
        <v>0</v>
      </c>
      <c r="U398" s="1359"/>
      <c r="V398" s="1220"/>
      <c r="W398" s="1211"/>
      <c r="X398" s="1211"/>
      <c r="Y398" s="1284"/>
      <c r="Z398" s="1211"/>
      <c r="AA398" s="1220"/>
      <c r="AB398" s="1211"/>
      <c r="AC398" s="1211"/>
      <c r="AD398" s="1220"/>
    </row>
    <row r="399" s="1371" customFormat="true" ht="15.75" hidden="false" customHeight="true" outlineLevel="1" collapsed="false">
      <c r="A399" s="1365" t="s">
        <v>3172</v>
      </c>
      <c r="B399" s="1366" t="s">
        <v>1590</v>
      </c>
      <c r="C399" s="1367" t="n">
        <f aca="false">пристройка!C34*VLOOKUP('Ввод данных'!F416,связи1!A2:B3,2,0)*связи1!C550</f>
        <v>0</v>
      </c>
      <c r="D399" s="1368" t="n">
        <f aca="false">пристройка!C16+пристройка!H16+пристройка!M16</f>
        <v>0</v>
      </c>
      <c r="E399" s="1368" t="n">
        <f aca="false">IF('Ввод данных'!A360=связи1!A107,IF('Ввод данных'!A361=связи1!A94,связи1!C553,0)+IF('Ввод данных'!A361=связи1!A95,связи1!C553,0)+IF('Ввод данных'!A361=связи1!A96,связи1!C553,0)+IF('Ввод данных'!A361=связи1!A97,связи1!C554,0)+IF('Ввод данных'!A361=связи1!A98,связи1!C553,0),0)+IF('Ввод данных'!A360=связи1!A106,IF('Ввод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данных'!A361=связи1!A98,связи1!C553,0),0)+IF('Ввод данных'!A360=связи1!A108,IF('Ввод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</f>
        <v>5</v>
      </c>
      <c r="F399" s="1369" t="n">
        <f aca="false">C399*E399</f>
        <v>0</v>
      </c>
      <c r="G399" s="1368" t="n">
        <f aca="false">G124</f>
        <v>0.6</v>
      </c>
      <c r="H399" s="1368"/>
      <c r="I399" s="1368" t="n">
        <f aca="false">IF(C399=0,0,C399/G399+1)</f>
        <v>0</v>
      </c>
      <c r="J399" s="1368" t="n">
        <f aca="false">$D$143</f>
        <v>0.05</v>
      </c>
      <c r="K399" s="1368" t="n">
        <f aca="false">$C$143</f>
        <v>0.15</v>
      </c>
      <c r="L399" s="1368" t="n">
        <f aca="false">CEILING(C399/G399+1,1)*VLOOKUP('Ввод данных'!F416,связи1!A2:B3,2,0)*связи1!C550</f>
        <v>0</v>
      </c>
      <c r="M399" s="1368"/>
      <c r="N399" s="1368"/>
      <c r="O399" s="1368" t="n">
        <f aca="false">E399*I399*J399*K399</f>
        <v>0</v>
      </c>
      <c r="P399" s="1314" t="n">
        <f aca="false">C399</f>
        <v>0</v>
      </c>
      <c r="Q399" s="1314" t="n">
        <f aca="false">C399</f>
        <v>0</v>
      </c>
      <c r="R399" s="1314" t="n">
        <f aca="false">C399</f>
        <v>0</v>
      </c>
      <c r="S399" s="1368" t="n">
        <f aca="false">C399</f>
        <v>0</v>
      </c>
      <c r="T399" s="1368" t="n">
        <f aca="false">(P399+Q399+R399)*J399*K399</f>
        <v>0</v>
      </c>
      <c r="U399" s="1370"/>
      <c r="V399" s="1368"/>
      <c r="W399" s="1368"/>
      <c r="X399" s="1368"/>
      <c r="Y399" s="1314"/>
      <c r="Z399" s="1368"/>
      <c r="AA399" s="1368"/>
      <c r="AB399" s="1368"/>
      <c r="AC399" s="1368"/>
      <c r="AD399" s="1368"/>
    </row>
    <row r="400" s="1371" customFormat="true" ht="15.75" hidden="false" customHeight="true" outlineLevel="1" collapsed="false">
      <c r="A400" s="1365" t="s">
        <v>3173</v>
      </c>
      <c r="B400" s="1366" t="s">
        <v>1582</v>
      </c>
      <c r="C400" s="1367" t="n">
        <f aca="false">пристройка!C33*VLOOKUP('Ввод данных'!F416,связи1!A2:B3,2,0)*связи1!C550</f>
        <v>0</v>
      </c>
      <c r="D400" s="1368" t="n">
        <f aca="false">пристройка!C17+пристройка!H17+пристройка!M17</f>
        <v>0</v>
      </c>
      <c r="E400" s="1368" t="n">
        <f aca="false">IF('Ввод данных'!A360=связи1!A107,IF('Ввод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данных'!A361=связи1!A98,связи1!C553,0),0)+IF('Ввод данных'!A360=связи1!A106,IF('Ввод данных'!A361=связи1!A94,связи1!C553,0)+IF('Ввод данных'!A361=связи1!A95,связи1!C553,0)+IF('Ввод данных'!A361=связи1!A96,связи1!C553,0)+IF('Ввод данных'!A361=связи1!A97,связи1!C554,0)+IF('Ввод данных'!A361=связи1!A98,связи1!C553,0),0)+IF('Ввод данных'!A360=связи1!A108,IF('Ввод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</f>
        <v>1.2</v>
      </c>
      <c r="F400" s="1369" t="n">
        <f aca="false">C400*E400</f>
        <v>0</v>
      </c>
      <c r="G400" s="1368" t="n">
        <f aca="false">G124</f>
        <v>0.6</v>
      </c>
      <c r="H400" s="1368"/>
      <c r="I400" s="1368" t="n">
        <f aca="false">IF(C400=0,0,C400/G400+1)</f>
        <v>0</v>
      </c>
      <c r="J400" s="1368" t="n">
        <f aca="false">$D$143</f>
        <v>0.05</v>
      </c>
      <c r="K400" s="1368" t="n">
        <f aca="false">$C$143</f>
        <v>0.15</v>
      </c>
      <c r="L400" s="1368" t="n">
        <f aca="false">CEILING(C400/G400+1,1)*VLOOKUP('Ввод данных'!F416,связи1!A2:B3,2,0)*связи1!C550</f>
        <v>0</v>
      </c>
      <c r="M400" s="1368"/>
      <c r="N400" s="1368"/>
      <c r="O400" s="1368" t="n">
        <f aca="false">E400*I400*J400*K400</f>
        <v>0</v>
      </c>
      <c r="P400" s="1314" t="n">
        <f aca="false">C400</f>
        <v>0</v>
      </c>
      <c r="Q400" s="1314" t="n">
        <f aca="false">C400</f>
        <v>0</v>
      </c>
      <c r="R400" s="1314" t="n">
        <f aca="false">C400</f>
        <v>0</v>
      </c>
      <c r="S400" s="1368" t="n">
        <f aca="false">C400</f>
        <v>0</v>
      </c>
      <c r="T400" s="1368" t="n">
        <f aca="false">(P400+Q400+R400)*J400*K400</f>
        <v>0</v>
      </c>
      <c r="U400" s="1370"/>
      <c r="V400" s="1368"/>
      <c r="W400" s="1368"/>
      <c r="X400" s="1368"/>
      <c r="Y400" s="1314"/>
      <c r="Z400" s="1368"/>
      <c r="AA400" s="1368"/>
      <c r="AB400" s="1368"/>
      <c r="AC400" s="1368"/>
      <c r="AD400" s="1368"/>
    </row>
    <row r="401" s="1371" customFormat="true" ht="15.75" hidden="false" customHeight="true" outlineLevel="1" collapsed="false">
      <c r="A401" s="1365" t="s">
        <v>3174</v>
      </c>
      <c r="B401" s="1366"/>
      <c r="C401" s="1367" t="n">
        <f aca="false">пристройка!C33*VLOOKUP('Ввод данных'!F416,связи1!A2:B3,2,0)*связи1!C550</f>
        <v>0</v>
      </c>
      <c r="D401" s="1368"/>
      <c r="E401" s="1368" t="n">
        <f aca="false">IF('Ввод данных'!A360=связи1!A107,IF('Ввод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данных'!A361=связи1!A98,связи1!C553,0),0)+IF('Ввод данных'!A360=связи1!A106,IF('Ввод данных'!A361=связи1!A94,связи1!C553,0)+IF('Ввод данных'!A361=связи1!A95,связи1!C553,0)+IF('Ввод данных'!A361=связи1!A96,связи1!C553,0)+IF('Ввод данных'!A361=связи1!A97,связи1!C554,0)+IF('Ввод данных'!A361=связи1!A98,связи1!C553,0),0)+IF('Ввод данных'!A360=связи1!A108,IF('Ввод данных'!A361=связи1!A94,связи1!C553,0)+IF('Ввод данных'!A361=связи1!A95,связи1!C553,0)+IF('Ввод данных'!A361=связи1!A96,связи1!C553,0)+IF('Ввод данных'!A361=связи1!A97,связи1!C555,0)+IF('Ввод данных'!A361=связи1!A98,связи1!C553,0),0)</f>
        <v>1.2</v>
      </c>
      <c r="F401" s="1369" t="n">
        <f aca="false">C401*E401</f>
        <v>0</v>
      </c>
      <c r="G401" s="1368" t="n">
        <f aca="false">G124</f>
        <v>0.6</v>
      </c>
      <c r="H401" s="1368"/>
      <c r="I401" s="1368" t="n">
        <f aca="false">IF(C401=0,0,C401/G401+1)</f>
        <v>0</v>
      </c>
      <c r="J401" s="1368" t="n">
        <f aca="false">$D$143</f>
        <v>0.05</v>
      </c>
      <c r="K401" s="1368" t="n">
        <f aca="false">$C$143</f>
        <v>0.15</v>
      </c>
      <c r="L401" s="1368" t="n">
        <f aca="false">CEILING(C401/G401+1,1)*VLOOKUP('Ввод данных'!F416,связи1!A2:B3,2,0)*связи1!C550</f>
        <v>0</v>
      </c>
      <c r="M401" s="1368"/>
      <c r="N401" s="1368"/>
      <c r="O401" s="1368" t="n">
        <f aca="false">E401*I401*J401*K401</f>
        <v>0</v>
      </c>
      <c r="P401" s="1314" t="n">
        <f aca="false">C401</f>
        <v>0</v>
      </c>
      <c r="Q401" s="1314" t="n">
        <f aca="false">C401</f>
        <v>0</v>
      </c>
      <c r="R401" s="1314" t="n">
        <f aca="false">C401</f>
        <v>0</v>
      </c>
      <c r="S401" s="1368" t="n">
        <f aca="false">C401</f>
        <v>0</v>
      </c>
      <c r="T401" s="1368" t="n">
        <f aca="false">(P401+Q401+R401)*J401*K401</f>
        <v>0</v>
      </c>
      <c r="U401" s="1370"/>
      <c r="V401" s="1368"/>
      <c r="W401" s="1368"/>
      <c r="X401" s="1368"/>
      <c r="Y401" s="1314"/>
      <c r="Z401" s="1314"/>
      <c r="AA401" s="1368"/>
      <c r="AB401" s="1368"/>
      <c r="AC401" s="1368"/>
      <c r="AD401" s="1368"/>
    </row>
    <row r="402" customFormat="false" ht="15.75" hidden="false" customHeight="true" outlineLevel="1" collapsed="false">
      <c r="A402" s="1372"/>
      <c r="B402" s="1373" t="n">
        <f aca="false">связи1!F187</f>
        <v>0.4</v>
      </c>
      <c r="C402" s="1374" t="n">
        <f aca="false">SUM(C399:C401)</f>
        <v>0</v>
      </c>
      <c r="D402" s="1331" t="n">
        <f aca="false">B402*C402*(пристройка!C32+пристройка!H32+пристройка!M32)</f>
        <v>0</v>
      </c>
      <c r="E402" s="933"/>
      <c r="F402" s="1023"/>
      <c r="G402" s="933"/>
      <c r="H402" s="933"/>
      <c r="I402" s="933"/>
      <c r="J402" s="1211" t="n">
        <f aca="false">$D$143</f>
        <v>0.05</v>
      </c>
      <c r="K402" s="1211" t="n">
        <f aca="false">$C$143</f>
        <v>0.15</v>
      </c>
      <c r="L402" s="933"/>
      <c r="M402" s="933"/>
      <c r="N402" s="933"/>
      <c r="O402" s="1331" t="n">
        <f aca="false">O398</f>
        <v>0.3</v>
      </c>
      <c r="P402" s="1290" t="n">
        <f aca="false">SUM(P399:P401)</f>
        <v>0</v>
      </c>
      <c r="Q402" s="1290" t="n">
        <f aca="false">SUM(Q399:Q401)</f>
        <v>0</v>
      </c>
      <c r="R402" s="1290" t="n">
        <f aca="false">SUM(R399:R401)</f>
        <v>0</v>
      </c>
      <c r="S402" s="933" t="n">
        <f aca="false">SUM(S399:S401)</f>
        <v>0</v>
      </c>
      <c r="T402" s="1331" t="n">
        <f aca="false">O402*S402</f>
        <v>0</v>
      </c>
      <c r="U402" s="1329"/>
      <c r="V402" s="1220"/>
      <c r="W402" s="933"/>
      <c r="X402" s="933"/>
      <c r="Y402" s="1284"/>
      <c r="Z402" s="1290"/>
      <c r="AA402" s="1220"/>
      <c r="AB402" s="933"/>
      <c r="AC402" s="933"/>
      <c r="AD402" s="1220"/>
    </row>
    <row r="403" customFormat="false" ht="15.75" hidden="false" customHeight="true" outlineLevel="1" collapsed="false">
      <c r="A403" s="1372" t="s">
        <v>3172</v>
      </c>
      <c r="B403" s="1375" t="s">
        <v>1590</v>
      </c>
      <c r="C403" s="887" t="n">
        <f aca="false">пристройка!D34*VLOOKUP('Ввод данных'!F416,связи1!A2:B3,2,0)*связи1!D550</f>
        <v>0</v>
      </c>
      <c r="D403" s="933" t="n">
        <f aca="false">пристройка!D16+пристройка!I16+пристройка!N16</f>
        <v>0</v>
      </c>
      <c r="E403" s="933" t="n">
        <f aca="false">IF('Ввод данных'!A364=связи1!A107,IF('Ввод данных'!A365=связи1!A94,связи1!D553,0)+IF('Ввод данных'!A365=связи1!A95,связи1!D553,0)+IF('Ввод данных'!A365=связи1!A96,связи1!D553,0)+IF('Ввод данных'!A365=связи1!A97,связи1!D554,0)+IF('Ввод данных'!A365=связи1!A98,связи1!D553,0),0)+IF('Ввод данных'!A364=связи1!A106,IF('Ввод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данных'!A365=связи1!A98,связи1!D553,0),0)+IF('Ввод данных'!A364=связи1!A108,IF('Ввод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</f>
        <v>2.9</v>
      </c>
      <c r="F403" s="1023" t="n">
        <f aca="false">C403*E403</f>
        <v>0</v>
      </c>
      <c r="G403" s="933" t="n">
        <f aca="false">G399</f>
        <v>0.6</v>
      </c>
      <c r="H403" s="933"/>
      <c r="I403" s="933" t="n">
        <f aca="false">IF(C403=0,0,C403/G403+1)</f>
        <v>0</v>
      </c>
      <c r="J403" s="1211" t="n">
        <f aca="false">$D$143</f>
        <v>0.05</v>
      </c>
      <c r="K403" s="1211" t="n">
        <f aca="false">$C$143</f>
        <v>0.15</v>
      </c>
      <c r="L403" s="1368" t="n">
        <f aca="false">CEILING(C403/G403+1,1)*VLOOKUP('Ввод данных'!F416,связи1!A2:B3,2,0)*связи1!D550</f>
        <v>0</v>
      </c>
      <c r="M403" s="1368"/>
      <c r="N403" s="1368"/>
      <c r="O403" s="1220" t="n">
        <f aca="false">E403*I403*J403*K403</f>
        <v>0</v>
      </c>
      <c r="P403" s="1290" t="n">
        <f aca="false">C403</f>
        <v>0</v>
      </c>
      <c r="Q403" s="1290" t="n">
        <f aca="false">C403</f>
        <v>0</v>
      </c>
      <c r="R403" s="1290" t="n">
        <f aca="false">C403</f>
        <v>0</v>
      </c>
      <c r="S403" s="933" t="n">
        <f aca="false">C403</f>
        <v>0</v>
      </c>
      <c r="T403" s="1220" t="n">
        <f aca="false">(P403+Q403+R403)*J403*K403</f>
        <v>0</v>
      </c>
      <c r="U403" s="1329"/>
      <c r="V403" s="933"/>
      <c r="W403" s="933"/>
      <c r="X403" s="933"/>
      <c r="Y403" s="1290"/>
      <c r="Z403" s="1290"/>
      <c r="AA403" s="933"/>
      <c r="AB403" s="933"/>
      <c r="AC403" s="933"/>
      <c r="AD403" s="933"/>
    </row>
    <row r="404" customFormat="false" ht="15.75" hidden="false" customHeight="true" outlineLevel="1" collapsed="false">
      <c r="A404" s="1372" t="s">
        <v>3173</v>
      </c>
      <c r="B404" s="1375" t="s">
        <v>1582</v>
      </c>
      <c r="C404" s="887" t="n">
        <f aca="false">пристройка!D33*VLOOKUP('Ввод данных'!F416,связи1!A2:B3,2,0)*связи1!D550</f>
        <v>0</v>
      </c>
      <c r="D404" s="933" t="n">
        <f aca="false">пристройка!D17+пристройка!I17+пристройка!N17</f>
        <v>0</v>
      </c>
      <c r="E404" s="933" t="n">
        <f aca="false">IF('Ввод данных'!A364=связи1!A107,IF('Ввод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данных'!A365=связи1!A98,связи1!D553,0),0)+IF('Ввод данных'!A364=связи1!A106,IF('Ввод данных'!A365=связи1!A94,связи1!D553,0)+IF('Ввод данных'!A365=связи1!A95,связи1!D553,0)+IF('Ввод данных'!A365=связи1!A96,связи1!D553,0)+IF('Ввод данных'!A365=связи1!A97,связи1!D554,0)+IF('Ввод данных'!A365=связи1!A98,связи1!D553,0),0)+IF('Ввод данных'!A364=связи1!A108,IF('Ввод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</f>
        <v>2.9</v>
      </c>
      <c r="F404" s="1023" t="n">
        <f aca="false">C404*E404</f>
        <v>0</v>
      </c>
      <c r="G404" s="933" t="n">
        <f aca="false">G399</f>
        <v>0.6</v>
      </c>
      <c r="H404" s="933"/>
      <c r="I404" s="933" t="n">
        <f aca="false">IF(C404=0,0,C404/G404+1)</f>
        <v>0</v>
      </c>
      <c r="J404" s="1211" t="n">
        <f aca="false">$D$143</f>
        <v>0.05</v>
      </c>
      <c r="K404" s="1211" t="n">
        <f aca="false">$C$143</f>
        <v>0.15</v>
      </c>
      <c r="L404" s="1368" t="n">
        <f aca="false">CEILING(C404/G404+1,1)*VLOOKUP('Ввод данных'!F416,связи1!A2:B3,2,0)*связи1!D550</f>
        <v>0</v>
      </c>
      <c r="M404" s="1368"/>
      <c r="N404" s="1368"/>
      <c r="O404" s="1220" t="n">
        <f aca="false">E404*I404*J404*K404</f>
        <v>0</v>
      </c>
      <c r="P404" s="1290" t="n">
        <f aca="false">C404</f>
        <v>0</v>
      </c>
      <c r="Q404" s="1290" t="n">
        <f aca="false">C404</f>
        <v>0</v>
      </c>
      <c r="R404" s="1290" t="n">
        <f aca="false">C404</f>
        <v>0</v>
      </c>
      <c r="S404" s="933" t="n">
        <f aca="false">C404</f>
        <v>0</v>
      </c>
      <c r="T404" s="1220" t="n">
        <f aca="false">(P404+Q404+R404)*J404*K404</f>
        <v>0</v>
      </c>
      <c r="U404" s="1329"/>
      <c r="V404" s="933"/>
      <c r="W404" s="933"/>
      <c r="X404" s="933"/>
      <c r="Y404" s="1290"/>
      <c r="Z404" s="1290"/>
      <c r="AA404" s="933"/>
      <c r="AB404" s="933"/>
      <c r="AC404" s="933"/>
      <c r="AD404" s="933"/>
    </row>
    <row r="405" customFormat="false" ht="15.75" hidden="false" customHeight="true" outlineLevel="1" collapsed="false">
      <c r="A405" s="1372" t="s">
        <v>3174</v>
      </c>
      <c r="B405" s="1375"/>
      <c r="C405" s="887" t="n">
        <f aca="false">пристройка!D33*VLOOKUP('Ввод данных'!F416,связи1!A2:B3,2,0)*связи1!D550</f>
        <v>0</v>
      </c>
      <c r="D405" s="933"/>
      <c r="E405" s="933" t="n">
        <f aca="false">IF('Ввод данных'!A364=связи1!A107,IF('Ввод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данных'!A365=связи1!A98,связи1!D553,0),0)+IF('Ввод данных'!A364=связи1!A106,IF('Ввод данных'!A365=связи1!A94,связи1!D553,0)+IF('Ввод данных'!A365=связи1!A95,связи1!D553,0)+IF('Ввод данных'!A365=связи1!A96,связи1!D553,0)+IF('Ввод данных'!A365=связи1!A97,связи1!D554,0)+IF('Ввод данных'!A365=связи1!A98,связи1!D553,0),0)+IF('Ввод данных'!A364=связи1!A108,IF('Ввод данных'!A365=связи1!A94,связи1!D553,0)+IF('Ввод данных'!A365=связи1!A95,связи1!D553,0)+IF('Ввод данных'!A365=связи1!A96,связи1!D553,0)+IF('Ввод данных'!A365=связи1!A97,связи1!D555,0)+IF('Ввод данных'!A365=связи1!A98,связи1!D553,0),0)</f>
        <v>2.9</v>
      </c>
      <c r="F405" s="1023" t="n">
        <f aca="false">C405*E405</f>
        <v>0</v>
      </c>
      <c r="G405" s="933" t="n">
        <f aca="false">G399</f>
        <v>0.6</v>
      </c>
      <c r="H405" s="933"/>
      <c r="I405" s="933" t="n">
        <f aca="false">IF(C405=0,0,C405/G405+1)</f>
        <v>0</v>
      </c>
      <c r="J405" s="1211" t="n">
        <f aca="false">$D$143</f>
        <v>0.05</v>
      </c>
      <c r="K405" s="1211" t="n">
        <f aca="false">$C$143</f>
        <v>0.15</v>
      </c>
      <c r="L405" s="1368" t="n">
        <f aca="false">CEILING(C405/G405+1,1)*VLOOKUP('Ввод данных'!F416,связи1!A2:B3,2,0)*связи1!D550</f>
        <v>0</v>
      </c>
      <c r="M405" s="1368"/>
      <c r="N405" s="1368"/>
      <c r="O405" s="1220" t="n">
        <f aca="false">E405*I405*J405*K405</f>
        <v>0</v>
      </c>
      <c r="P405" s="1290" t="n">
        <f aca="false">C405</f>
        <v>0</v>
      </c>
      <c r="Q405" s="1290" t="n">
        <f aca="false">C405</f>
        <v>0</v>
      </c>
      <c r="R405" s="1290" t="n">
        <f aca="false">C405</f>
        <v>0</v>
      </c>
      <c r="S405" s="933" t="n">
        <f aca="false">C405</f>
        <v>0</v>
      </c>
      <c r="T405" s="1220" t="n">
        <f aca="false">(P405+Q405+R405)*J405*K405</f>
        <v>0</v>
      </c>
      <c r="U405" s="1329"/>
      <c r="V405" s="933"/>
      <c r="W405" s="933"/>
      <c r="X405" s="933"/>
      <c r="Y405" s="1290"/>
      <c r="Z405" s="1290"/>
      <c r="AA405" s="933"/>
      <c r="AB405" s="933"/>
      <c r="AC405" s="933"/>
      <c r="AD405" s="933"/>
    </row>
    <row r="406" customFormat="false" ht="15.75" hidden="false" customHeight="true" outlineLevel="1" collapsed="false">
      <c r="A406" s="1372"/>
      <c r="B406" s="1373" t="n">
        <f aca="false">B402</f>
        <v>0.4</v>
      </c>
      <c r="C406" s="1374" t="n">
        <f aca="false">SUM(C403:C405)</f>
        <v>0</v>
      </c>
      <c r="D406" s="1331" t="n">
        <f aca="false">B406*C406*(пристройка!I32+пристройка!D32+пристройка!N32)</f>
        <v>0</v>
      </c>
      <c r="E406" s="933"/>
      <c r="F406" s="1023"/>
      <c r="G406" s="933"/>
      <c r="H406" s="933"/>
      <c r="I406" s="933"/>
      <c r="J406" s="1211" t="n">
        <f aca="false">$D$143</f>
        <v>0.05</v>
      </c>
      <c r="K406" s="1211" t="n">
        <f aca="false">$C$143</f>
        <v>0.15</v>
      </c>
      <c r="L406" s="933"/>
      <c r="M406" s="933"/>
      <c r="N406" s="933"/>
      <c r="O406" s="1331" t="n">
        <f aca="false">O398</f>
        <v>0.3</v>
      </c>
      <c r="P406" s="1290" t="n">
        <f aca="false">SUM(P403:P405)</f>
        <v>0</v>
      </c>
      <c r="Q406" s="1290" t="n">
        <f aca="false">SUM(Q403:Q405)</f>
        <v>0</v>
      </c>
      <c r="R406" s="1290" t="n">
        <f aca="false">SUM(R403:R405)</f>
        <v>0</v>
      </c>
      <c r="S406" s="933" t="n">
        <f aca="false">SUM(S403:S405)</f>
        <v>0</v>
      </c>
      <c r="T406" s="1331" t="n">
        <f aca="false">(P406+Q406+R406)*J406*K406</f>
        <v>0</v>
      </c>
      <c r="U406" s="1329"/>
      <c r="V406" s="933"/>
      <c r="W406" s="933"/>
      <c r="X406" s="933"/>
      <c r="Y406" s="1290"/>
      <c r="Z406" s="1290"/>
      <c r="AA406" s="933"/>
      <c r="AB406" s="933"/>
      <c r="AC406" s="933"/>
      <c r="AD406" s="933"/>
    </row>
    <row r="407" customFormat="false" ht="15.75" hidden="false" customHeight="true" outlineLevel="1" collapsed="false">
      <c r="A407" s="1372" t="s">
        <v>3172</v>
      </c>
      <c r="B407" s="1375" t="s">
        <v>1590</v>
      </c>
      <c r="C407" s="887" t="n">
        <f aca="false">пристройка!E34*VLOOKUP('Ввод данных'!F416,связи1!A2:B3,2,0)*связи1!E550</f>
        <v>0</v>
      </c>
      <c r="D407" s="933" t="n">
        <f aca="false">пристройка!E16+пристройка!J16+пристройка!O16</f>
        <v>0</v>
      </c>
      <c r="E407" s="933" t="n">
        <f aca="false">IF('Ввод данных'!A368=связи1!A107,IF('Ввод данных'!A369=связи1!A94,связи1!E553,0)+IF('Ввод данных'!A369=связи1!A95,связи1!E553,0)+IF('Ввод данных'!A369=связи1!A96,связи1!E553,0)+IF('Ввод данных'!A369=связи1!A97,связи1!E554,0)+IF('Ввод данных'!A369=связи1!A98,связи1!E553,0),0)+IF('Ввод данных'!A368=связи1!A106,IF('Ввод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данных'!A369=связи1!A98,связи1!E553,0),0)+IF('Ввод данных'!A368=связи1!A108,IF('Ввод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</f>
        <v>2.9</v>
      </c>
      <c r="F407" s="1023" t="n">
        <f aca="false">C407*E407</f>
        <v>0</v>
      </c>
      <c r="G407" s="933" t="n">
        <f aca="false">G399</f>
        <v>0.6</v>
      </c>
      <c r="H407" s="933"/>
      <c r="I407" s="933" t="n">
        <f aca="false">IF(C407=0,0,C407/G407+1)</f>
        <v>0</v>
      </c>
      <c r="J407" s="1211" t="n">
        <f aca="false">$D$143</f>
        <v>0.05</v>
      </c>
      <c r="K407" s="1211" t="n">
        <f aca="false">$C$143</f>
        <v>0.15</v>
      </c>
      <c r="L407" s="1368" t="n">
        <f aca="false">CEILING(C407/G407+1,1)*VLOOKUP('Ввод данных'!F416,связи1!A2:B3,2,0)*связи1!E550</f>
        <v>0</v>
      </c>
      <c r="M407" s="1368"/>
      <c r="N407" s="1368"/>
      <c r="O407" s="1220" t="n">
        <f aca="false">E407*I407*J407*K407</f>
        <v>0</v>
      </c>
      <c r="P407" s="1290" t="n">
        <f aca="false">C407</f>
        <v>0</v>
      </c>
      <c r="Q407" s="1290" t="n">
        <f aca="false">C407</f>
        <v>0</v>
      </c>
      <c r="R407" s="1290" t="n">
        <f aca="false">C407</f>
        <v>0</v>
      </c>
      <c r="S407" s="933" t="n">
        <f aca="false">C407</f>
        <v>0</v>
      </c>
      <c r="T407" s="1220" t="n">
        <f aca="false">(P407+Q407+R407)*J407*K407</f>
        <v>0</v>
      </c>
      <c r="U407" s="1329"/>
      <c r="V407" s="933"/>
      <c r="W407" s="933"/>
      <c r="X407" s="933"/>
      <c r="Y407" s="1290"/>
      <c r="Z407" s="1290"/>
      <c r="AA407" s="933"/>
      <c r="AB407" s="933"/>
      <c r="AC407" s="933"/>
      <c r="AD407" s="933"/>
    </row>
    <row r="408" customFormat="false" ht="15.75" hidden="false" customHeight="true" outlineLevel="1" collapsed="false">
      <c r="A408" s="1372" t="s">
        <v>3173</v>
      </c>
      <c r="B408" s="1375" t="s">
        <v>1582</v>
      </c>
      <c r="C408" s="887" t="n">
        <f aca="false">пристройка!E33*VLOOKUP('Ввод данных'!F416,связи1!A2:B3,2,0)*связи1!E550</f>
        <v>0</v>
      </c>
      <c r="D408" s="933" t="n">
        <f aca="false">пристройка!E17+пристройка!J17+пристройка!O17</f>
        <v>0</v>
      </c>
      <c r="E408" s="933" t="n">
        <f aca="false">IF('Ввод данных'!A368=связи1!A107,IF('Ввод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данных'!A369=связи1!A98,связи1!E553,0),0)+IF('Ввод данных'!A368=связи1!A106,IF('Ввод данных'!A369=связи1!A94,связи1!E553,0)+IF('Ввод данных'!A369=связи1!A95,связи1!E553,0)+IF('Ввод данных'!A369=связи1!A96,связи1!E553,0)+IF('Ввод данных'!A369=связи1!A97,связи1!E554,0)+IF('Ввод данных'!A369=связи1!A98,связи1!E553,0),0)+IF('Ввод данных'!A368=связи1!A108,IF('Ввод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</f>
        <v>2.9</v>
      </c>
      <c r="F408" s="1023" t="n">
        <f aca="false">C408*E408</f>
        <v>0</v>
      </c>
      <c r="G408" s="933" t="n">
        <f aca="false">G399</f>
        <v>0.6</v>
      </c>
      <c r="H408" s="933"/>
      <c r="I408" s="933" t="n">
        <f aca="false">IF(C408=0,0,C408/G408+1)</f>
        <v>0</v>
      </c>
      <c r="J408" s="1211" t="n">
        <f aca="false">$D$143</f>
        <v>0.05</v>
      </c>
      <c r="K408" s="1211" t="n">
        <f aca="false">$C$143</f>
        <v>0.15</v>
      </c>
      <c r="L408" s="1368" t="n">
        <f aca="false">CEILING(C408/G408+1,1)*VLOOKUP('Ввод данных'!F416,связи1!A2:B3,2,0)*связи1!E550</f>
        <v>0</v>
      </c>
      <c r="M408" s="1368"/>
      <c r="N408" s="1368"/>
      <c r="O408" s="1220" t="n">
        <f aca="false">E408*I408*J408*K408</f>
        <v>0</v>
      </c>
      <c r="P408" s="1290" t="n">
        <f aca="false">C408</f>
        <v>0</v>
      </c>
      <c r="Q408" s="1290" t="n">
        <f aca="false">C408</f>
        <v>0</v>
      </c>
      <c r="R408" s="1290" t="n">
        <f aca="false">C408</f>
        <v>0</v>
      </c>
      <c r="S408" s="933" t="n">
        <f aca="false">C408</f>
        <v>0</v>
      </c>
      <c r="T408" s="1220" t="n">
        <f aca="false">(P408+Q408+R408)*J408*K408</f>
        <v>0</v>
      </c>
      <c r="U408" s="1329"/>
      <c r="V408" s="933"/>
      <c r="W408" s="933"/>
      <c r="X408" s="933"/>
      <c r="Y408" s="1290"/>
      <c r="Z408" s="1290"/>
      <c r="AA408" s="933"/>
      <c r="AB408" s="933"/>
      <c r="AC408" s="933"/>
      <c r="AD408" s="933"/>
    </row>
    <row r="409" customFormat="false" ht="15.75" hidden="false" customHeight="true" outlineLevel="1" collapsed="false">
      <c r="A409" s="1372" t="s">
        <v>3174</v>
      </c>
      <c r="B409" s="1375"/>
      <c r="C409" s="887" t="n">
        <f aca="false">пристройка!E33*VLOOKUP('Ввод данных'!F416,связи1!A2:B3,2,0)*связи1!E550</f>
        <v>0</v>
      </c>
      <c r="D409" s="933"/>
      <c r="E409" s="933" t="n">
        <f aca="false">IF('Ввод данных'!A368=связи1!A107,IF('Ввод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данных'!A369=связи1!A98,связи1!E553,0),0)+IF('Ввод данных'!A368=связи1!A106,IF('Ввод данных'!A369=связи1!A94,связи1!E553,0)+IF('Ввод данных'!A369=связи1!A95,связи1!E553,0)+IF('Ввод данных'!A369=связи1!A96,связи1!E553,0)+IF('Ввод данных'!A369=связи1!A97,связи1!E554,0)+IF('Ввод данных'!A369=связи1!A98,связи1!E553,0),0)+IF('Ввод данных'!A368=связи1!A108,IF('Ввод данных'!A369=связи1!A94,связи1!E553,0)+IF('Ввод данных'!A369=связи1!A95,связи1!E553,0)+IF('Ввод данных'!A369=связи1!A96,связи1!E553,0)+IF('Ввод данных'!A369=связи1!A97,связи1!E555,0)+IF('Ввод данных'!A369=связи1!A98,связи1!E553,0),0)</f>
        <v>2.9</v>
      </c>
      <c r="F409" s="1023" t="n">
        <f aca="false">C409*E409</f>
        <v>0</v>
      </c>
      <c r="G409" s="933" t="n">
        <f aca="false">G399</f>
        <v>0.6</v>
      </c>
      <c r="H409" s="933"/>
      <c r="I409" s="933" t="n">
        <f aca="false">IF(C409=0,0,C409/G409+1)</f>
        <v>0</v>
      </c>
      <c r="J409" s="1211" t="n">
        <f aca="false">$D$143</f>
        <v>0.05</v>
      </c>
      <c r="K409" s="1211" t="n">
        <f aca="false">$C$143</f>
        <v>0.15</v>
      </c>
      <c r="L409" s="1368" t="n">
        <f aca="false">CEILING(C409/G409+1,1)*VLOOKUP('Ввод данных'!F416,связи1!A2:B3,2,0)*связи1!E550</f>
        <v>0</v>
      </c>
      <c r="M409" s="1368"/>
      <c r="N409" s="1368"/>
      <c r="O409" s="1220" t="n">
        <f aca="false">E409*I409*J409*K409</f>
        <v>0</v>
      </c>
      <c r="P409" s="1290" t="n">
        <f aca="false">C409</f>
        <v>0</v>
      </c>
      <c r="Q409" s="1290" t="n">
        <f aca="false">C409</f>
        <v>0</v>
      </c>
      <c r="R409" s="1290" t="n">
        <f aca="false">C409</f>
        <v>0</v>
      </c>
      <c r="S409" s="933" t="n">
        <f aca="false">C409</f>
        <v>0</v>
      </c>
      <c r="T409" s="1220" t="n">
        <f aca="false">(P409+Q409+R409)*J409*K409</f>
        <v>0</v>
      </c>
      <c r="U409" s="1329"/>
      <c r="V409" s="933"/>
      <c r="W409" s="933"/>
      <c r="X409" s="933"/>
      <c r="Y409" s="1290"/>
      <c r="Z409" s="1290"/>
      <c r="AA409" s="933"/>
      <c r="AB409" s="933"/>
      <c r="AC409" s="933"/>
      <c r="AD409" s="933"/>
    </row>
    <row r="410" customFormat="false" ht="15.75" hidden="false" customHeight="true" outlineLevel="1" collapsed="false">
      <c r="A410" s="1372"/>
      <c r="B410" s="1373" t="n">
        <f aca="false">B402</f>
        <v>0.4</v>
      </c>
      <c r="C410" s="1374" t="n">
        <f aca="false">SUM(C407:C409)</f>
        <v>0</v>
      </c>
      <c r="D410" s="1331" t="n">
        <f aca="false">B410*C410*(пристройка!E32+пристройка!J32+пристройка!O32)</f>
        <v>0</v>
      </c>
      <c r="E410" s="933"/>
      <c r="F410" s="1023"/>
      <c r="G410" s="933"/>
      <c r="H410" s="933"/>
      <c r="I410" s="933"/>
      <c r="J410" s="1211" t="n">
        <f aca="false">$D$143</f>
        <v>0.05</v>
      </c>
      <c r="K410" s="1211" t="n">
        <f aca="false">$C$143</f>
        <v>0.15</v>
      </c>
      <c r="L410" s="933"/>
      <c r="M410" s="933"/>
      <c r="N410" s="933"/>
      <c r="O410" s="1331" t="n">
        <f aca="false">O398</f>
        <v>0.3</v>
      </c>
      <c r="P410" s="1290" t="n">
        <f aca="false">SUM(P407:P409)</f>
        <v>0</v>
      </c>
      <c r="Q410" s="1290" t="n">
        <f aca="false">SUM(Q407:Q409)</f>
        <v>0</v>
      </c>
      <c r="R410" s="1290" t="n">
        <f aca="false">SUM(R407:R409)</f>
        <v>0</v>
      </c>
      <c r="S410" s="1290" t="n">
        <f aca="false">SUM(S407:S409)</f>
        <v>0</v>
      </c>
      <c r="T410" s="1331"/>
      <c r="U410" s="1329"/>
      <c r="V410" s="933"/>
      <c r="W410" s="933"/>
      <c r="X410" s="933"/>
      <c r="Y410" s="1290"/>
      <c r="Z410" s="1290"/>
      <c r="AA410" s="933"/>
      <c r="AB410" s="933"/>
      <c r="AC410" s="933"/>
      <c r="AD410" s="933"/>
    </row>
    <row r="411" customFormat="false" ht="15.75" hidden="false" customHeight="true" outlineLevel="1" collapsed="false">
      <c r="A411" s="1372" t="s">
        <v>3172</v>
      </c>
      <c r="B411" s="1375" t="s">
        <v>1590</v>
      </c>
      <c r="C411" s="887" t="n">
        <f aca="false">пристройка!F34*VLOOKUP('Ввод данных'!F416,связи1!A2:B3,2,0)*связи1!F550</f>
        <v>0</v>
      </c>
      <c r="D411" s="933" t="n">
        <f aca="false">пристройка!F16+пристройка!K16+пристройка!P16</f>
        <v>0</v>
      </c>
      <c r="E411" s="933" t="n">
        <f aca="false">IF('Ввод данных'!A372=связи1!A107,IF('Ввод данных'!A373=связи1!A94,связи1!F553,0)+IF('Ввод данных'!A373=связи1!A95,связи1!F553,0)+IF('Ввод данных'!A373=связи1!A96,связи1!F553,0)+IF('Ввод данных'!A373=связи1!A97,связи1!F554,0)+IF('Ввод данных'!A373=связи1!A98,связи1!F553,0),0)+IF('Ввод данных'!A372=связи1!A106,IF('Ввод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данных'!A373=связи1!A98,связи1!F553,0),0)+IF('Ввод данных'!A372=связи1!A108,IF('Ввод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</f>
        <v>3</v>
      </c>
      <c r="F411" s="1023" t="n">
        <f aca="false">C411*E411</f>
        <v>0</v>
      </c>
      <c r="G411" s="933" t="n">
        <f aca="false">G399</f>
        <v>0.6</v>
      </c>
      <c r="H411" s="933"/>
      <c r="I411" s="933" t="n">
        <f aca="false">IF(C411=0,0,C411/G411+1)</f>
        <v>0</v>
      </c>
      <c r="J411" s="1211" t="n">
        <f aca="false">$D$143</f>
        <v>0.05</v>
      </c>
      <c r="K411" s="1211" t="n">
        <f aca="false">$C$143</f>
        <v>0.15</v>
      </c>
      <c r="L411" s="1368" t="n">
        <f aca="false">CEILING(C411/G411+1,1)*VLOOKUP('Ввод данных'!F416,связи1!A2:B3,2,0)*связи1!F550</f>
        <v>0</v>
      </c>
      <c r="M411" s="1368"/>
      <c r="N411" s="1368"/>
      <c r="O411" s="1220" t="n">
        <f aca="false">E411*I411*J411*K411</f>
        <v>0</v>
      </c>
      <c r="P411" s="1290" t="n">
        <f aca="false">C411</f>
        <v>0</v>
      </c>
      <c r="Q411" s="1290" t="n">
        <f aca="false">C411</f>
        <v>0</v>
      </c>
      <c r="R411" s="1290" t="n">
        <f aca="false">C411</f>
        <v>0</v>
      </c>
      <c r="S411" s="933" t="n">
        <f aca="false">C411</f>
        <v>0</v>
      </c>
      <c r="T411" s="1220" t="n">
        <f aca="false">(P411+Q411+R411)*J411*K411</f>
        <v>0</v>
      </c>
      <c r="U411" s="1329"/>
      <c r="V411" s="933"/>
      <c r="W411" s="933"/>
      <c r="X411" s="933"/>
      <c r="Y411" s="1290"/>
      <c r="Z411" s="1290"/>
      <c r="AA411" s="933"/>
      <c r="AB411" s="933"/>
      <c r="AC411" s="933"/>
      <c r="AD411" s="933"/>
    </row>
    <row r="412" customFormat="false" ht="15.75" hidden="false" customHeight="true" outlineLevel="1" collapsed="false">
      <c r="A412" s="1372" t="s">
        <v>3173</v>
      </c>
      <c r="B412" s="1375" t="s">
        <v>1582</v>
      </c>
      <c r="C412" s="887" t="n">
        <f aca="false">пристройка!F33*VLOOKUP('Ввод данных'!F416,связи1!A2:B3,2,0)*связи1!F550</f>
        <v>0</v>
      </c>
      <c r="D412" s="933" t="n">
        <f aca="false">пристройка!F17+пристройка!K17+пристройка!P17</f>
        <v>0</v>
      </c>
      <c r="E412" s="933" t="n">
        <f aca="false">IF('Ввод данных'!A372=связи1!A107,IF('Ввод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данных'!A373=связи1!A98,связи1!F553,0),0)+IF('Ввод данных'!A372=связи1!A106,IF('Ввод данных'!A373=связи1!A94,связи1!F553,0)+IF('Ввод данных'!A373=связи1!A95,связи1!F553,0)+IF('Ввод данных'!A373=связи1!A96,связи1!F553,0)+IF('Ввод данных'!A373=связи1!A97,связи1!F554,0)+IF('Ввод данных'!A373=связи1!A98,связи1!F553,0),0)+IF('Ввод данных'!A372=связи1!A108,IF('Ввод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</f>
        <v>3</v>
      </c>
      <c r="F412" s="1023" t="n">
        <f aca="false">C412*E412</f>
        <v>0</v>
      </c>
      <c r="G412" s="933" t="n">
        <f aca="false">G399</f>
        <v>0.6</v>
      </c>
      <c r="H412" s="933"/>
      <c r="I412" s="933" t="n">
        <f aca="false">IF(C412=0,0,C412/G412+1)</f>
        <v>0</v>
      </c>
      <c r="J412" s="1211" t="n">
        <f aca="false">$D$143</f>
        <v>0.05</v>
      </c>
      <c r="K412" s="1211" t="n">
        <f aca="false">$C$143</f>
        <v>0.15</v>
      </c>
      <c r="L412" s="1368" t="n">
        <f aca="false">CEILING(C412/G412+1,1)*VLOOKUP('Ввод данных'!F416,связи1!A2:B3,2,0)*связи1!F550</f>
        <v>0</v>
      </c>
      <c r="M412" s="1368"/>
      <c r="N412" s="1368"/>
      <c r="O412" s="1220" t="n">
        <f aca="false">E412*I412*J412*K412</f>
        <v>0</v>
      </c>
      <c r="P412" s="1290" t="n">
        <f aca="false">C412</f>
        <v>0</v>
      </c>
      <c r="Q412" s="1290" t="n">
        <f aca="false">C412</f>
        <v>0</v>
      </c>
      <c r="R412" s="1290" t="n">
        <f aca="false">C412</f>
        <v>0</v>
      </c>
      <c r="S412" s="933" t="n">
        <f aca="false">C412</f>
        <v>0</v>
      </c>
      <c r="T412" s="1220" t="n">
        <f aca="false">(P412+Q412+R412)*J412*K412</f>
        <v>0</v>
      </c>
      <c r="U412" s="1329"/>
      <c r="V412" s="933"/>
      <c r="W412" s="933"/>
      <c r="X412" s="933"/>
      <c r="Y412" s="1290"/>
      <c r="Z412" s="1290"/>
      <c r="AA412" s="933"/>
      <c r="AB412" s="933"/>
      <c r="AC412" s="933"/>
      <c r="AD412" s="933"/>
    </row>
    <row r="413" customFormat="false" ht="15.75" hidden="false" customHeight="true" outlineLevel="1" collapsed="false">
      <c r="A413" s="1372" t="s">
        <v>3174</v>
      </c>
      <c r="B413" s="1375"/>
      <c r="C413" s="887" t="n">
        <f aca="false">пристройка!F33*VLOOKUP('Ввод данных'!F416,связи1!A2:B3,2,0)*связи1!F550</f>
        <v>0</v>
      </c>
      <c r="D413" s="933"/>
      <c r="E413" s="933" t="n">
        <f aca="false">IF('Ввод данных'!A372=связи1!A107,IF('Ввод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данных'!A373=связи1!A98,связи1!F553,0),0)+IF('Ввод данных'!A372=связи1!A106,IF('Ввод данных'!A373=связи1!A94,связи1!F553,0)+IF('Ввод данных'!A373=связи1!A95,связи1!F553,0)+IF('Ввод данных'!A373=связи1!A96,связи1!F553,0)+IF('Ввод данных'!A373=связи1!A97,связи1!F554,0)+IF('Ввод данных'!A373=связи1!A98,связи1!F553,0),0)+IF('Ввод данных'!A372=связи1!A108,IF('Ввод данных'!A373=связи1!A94,связи1!F553,0)+IF('Ввод данных'!A373=связи1!A95,связи1!F553,0)+IF('Ввод данных'!A373=связи1!A96,связи1!F553,0)+IF('Ввод данных'!A373=связи1!A97,связи1!F555,0)+IF('Ввод данных'!A373=связи1!A98,связи1!F553,0),0)</f>
        <v>3</v>
      </c>
      <c r="F413" s="1023" t="n">
        <f aca="false">C413*E413</f>
        <v>0</v>
      </c>
      <c r="G413" s="933" t="n">
        <f aca="false">G399</f>
        <v>0.6</v>
      </c>
      <c r="H413" s="933"/>
      <c r="I413" s="933" t="n">
        <f aca="false">IF(C413=0,0,C413/G413+1)</f>
        <v>0</v>
      </c>
      <c r="J413" s="1211" t="n">
        <f aca="false">$D$143</f>
        <v>0.05</v>
      </c>
      <c r="K413" s="1211" t="n">
        <f aca="false">$C$143</f>
        <v>0.15</v>
      </c>
      <c r="L413" s="1368" t="n">
        <f aca="false">CEILING(C413/G413+1,1)*VLOOKUP('Ввод данных'!F416,связи1!A2:B3,2,0)*связи1!F550</f>
        <v>0</v>
      </c>
      <c r="M413" s="1368"/>
      <c r="N413" s="1368"/>
      <c r="O413" s="1220" t="n">
        <f aca="false">E413*I413*J413*K413</f>
        <v>0</v>
      </c>
      <c r="P413" s="1290" t="n">
        <f aca="false">C413</f>
        <v>0</v>
      </c>
      <c r="Q413" s="1290" t="n">
        <f aca="false">C413</f>
        <v>0</v>
      </c>
      <c r="R413" s="1290" t="n">
        <f aca="false">C413</f>
        <v>0</v>
      </c>
      <c r="S413" s="933" t="n">
        <f aca="false">C413</f>
        <v>0</v>
      </c>
      <c r="T413" s="1220" t="n">
        <f aca="false">(P413+Q413+R413)*J413*K413</f>
        <v>0</v>
      </c>
      <c r="U413" s="1329"/>
      <c r="V413" s="933"/>
      <c r="W413" s="933"/>
      <c r="X413" s="933"/>
      <c r="Y413" s="1290"/>
      <c r="Z413" s="1290"/>
      <c r="AA413" s="933"/>
      <c r="AB413" s="933"/>
      <c r="AC413" s="933"/>
      <c r="AD413" s="933"/>
    </row>
    <row r="414" customFormat="false" ht="15.75" hidden="false" customHeight="true" outlineLevel="1" collapsed="false">
      <c r="A414" s="1372"/>
      <c r="B414" s="1373" t="n">
        <f aca="false">B402</f>
        <v>0.4</v>
      </c>
      <c r="C414" s="1374" t="n">
        <f aca="false">SUM(C411:C413)</f>
        <v>0</v>
      </c>
      <c r="D414" s="1331" t="n">
        <f aca="false">B414*C414*(пристройка!F32+пристройка!K32+пристройка!P32)</f>
        <v>0</v>
      </c>
      <c r="E414" s="933"/>
      <c r="F414" s="1023"/>
      <c r="G414" s="933"/>
      <c r="H414" s="933"/>
      <c r="I414" s="933"/>
      <c r="J414" s="933"/>
      <c r="K414" s="933"/>
      <c r="L414" s="933"/>
      <c r="M414" s="933"/>
      <c r="N414" s="933"/>
      <c r="O414" s="933" t="n">
        <f aca="false">O398</f>
        <v>0.3</v>
      </c>
      <c r="P414" s="1290" t="n">
        <f aca="false">SUM(P411:P413)</f>
        <v>0</v>
      </c>
      <c r="Q414" s="1290" t="n">
        <f aca="false">SUM(Q411:Q413)</f>
        <v>0</v>
      </c>
      <c r="R414" s="1290" t="n">
        <f aca="false">SUM(R411:R413)</f>
        <v>0</v>
      </c>
      <c r="S414" s="1290" t="n">
        <f aca="false">SUM(S411:S413)</f>
        <v>0</v>
      </c>
      <c r="T414" s="933"/>
      <c r="U414" s="1329"/>
      <c r="V414" s="933"/>
      <c r="W414" s="933"/>
      <c r="X414" s="933"/>
      <c r="Y414" s="1290"/>
      <c r="Z414" s="1290"/>
      <c r="AA414" s="933"/>
      <c r="AB414" s="933"/>
      <c r="AC414" s="933"/>
      <c r="AD414" s="933"/>
    </row>
    <row r="415" customFormat="false" ht="15.75" hidden="false" customHeight="true" outlineLevel="1" collapsed="false">
      <c r="A415" s="1372" t="s">
        <v>3175</v>
      </c>
      <c r="B415" s="887" t="s">
        <v>156</v>
      </c>
      <c r="C415" s="1376" t="n">
        <f aca="false">IF('Ввод данных'!A361=связи1!A94,связи1!C554-связи1!C553,0)+IF('Ввод данных'!A361=связи1!A97,связи1!C554,0)</f>
        <v>5</v>
      </c>
      <c r="D415" s="933"/>
      <c r="E415" s="933"/>
      <c r="F415" s="1023"/>
      <c r="G415" s="933"/>
      <c r="H415" s="933"/>
      <c r="I415" s="933"/>
      <c r="J415" s="933"/>
      <c r="K415" s="933"/>
      <c r="L415" s="933"/>
      <c r="M415" s="933"/>
      <c r="N415" s="933"/>
      <c r="O415" s="933"/>
      <c r="P415" s="1290"/>
      <c r="Q415" s="1290"/>
      <c r="R415" s="1290"/>
      <c r="S415" s="933"/>
      <c r="T415" s="933"/>
      <c r="U415" s="1329"/>
      <c r="V415" s="933"/>
      <c r="W415" s="933"/>
      <c r="X415" s="933"/>
      <c r="Y415" s="1290"/>
      <c r="Z415" s="1290"/>
      <c r="AA415" s="933"/>
      <c r="AB415" s="933"/>
      <c r="AC415" s="933"/>
      <c r="AD415" s="933"/>
    </row>
    <row r="416" customFormat="false" ht="15.75" hidden="false" customHeight="true" outlineLevel="1" collapsed="false">
      <c r="A416" s="1372" t="s">
        <v>3176</v>
      </c>
      <c r="B416" s="887"/>
      <c r="C416" s="1376" t="n">
        <f aca="false">IF('Ввод данных'!A361=связи1!A94,1,0)+IF('Ввод данных'!A361=связи1!A97,1,0)</f>
        <v>1</v>
      </c>
      <c r="D416" s="933" t="n">
        <f aca="false">IF('Ввод данных'!A365=связи1!A94,1,0)+IF('Ввод данных'!A365=связи1!A97,1,0)</f>
        <v>0</v>
      </c>
      <c r="E416" s="933" t="n">
        <f aca="false">IF('Ввод данных'!A369=связи1!A94,1,0)+IF('Ввод данных'!A369=связи1!A97,1,0)</f>
        <v>0</v>
      </c>
      <c r="F416" s="1023"/>
      <c r="G416" s="933"/>
      <c r="H416" s="933"/>
      <c r="I416" s="933"/>
      <c r="J416" s="933"/>
      <c r="K416" s="933"/>
      <c r="L416" s="933"/>
      <c r="M416" s="933"/>
      <c r="N416" s="933"/>
      <c r="O416" s="933"/>
      <c r="P416" s="1290"/>
      <c r="Q416" s="1290"/>
      <c r="R416" s="1290"/>
      <c r="S416" s="933"/>
      <c r="T416" s="933"/>
      <c r="U416" s="1329"/>
      <c r="V416" s="933"/>
      <c r="W416" s="933"/>
      <c r="X416" s="933"/>
      <c r="Y416" s="1290"/>
      <c r="Z416" s="1290"/>
      <c r="AA416" s="933"/>
      <c r="AB416" s="933"/>
      <c r="AC416" s="933"/>
      <c r="AD416" s="933"/>
    </row>
    <row r="417" customFormat="false" ht="15.75" hidden="false" customHeight="true" outlineLevel="1" collapsed="false">
      <c r="A417" s="1372" t="s">
        <v>3177</v>
      </c>
      <c r="B417" s="887" t="s">
        <v>156</v>
      </c>
      <c r="C417" s="1376" t="n">
        <f aca="false">C404</f>
        <v>0</v>
      </c>
      <c r="D417" s="933"/>
      <c r="E417" s="933"/>
      <c r="F417" s="1023"/>
      <c r="G417" s="933"/>
      <c r="H417" s="933"/>
      <c r="I417" s="933"/>
      <c r="J417" s="933"/>
      <c r="K417" s="933"/>
      <c r="L417" s="933"/>
      <c r="M417" s="933"/>
      <c r="N417" s="933"/>
      <c r="O417" s="933"/>
      <c r="P417" s="1290"/>
      <c r="Q417" s="1290"/>
      <c r="R417" s="1290"/>
      <c r="S417" s="933"/>
      <c r="T417" s="933"/>
      <c r="U417" s="1329"/>
      <c r="V417" s="933"/>
      <c r="W417" s="933"/>
      <c r="X417" s="933"/>
      <c r="Y417" s="1290"/>
      <c r="Z417" s="1290"/>
      <c r="AA417" s="933"/>
      <c r="AB417" s="933"/>
      <c r="AC417" s="933"/>
      <c r="AD417" s="933"/>
    </row>
    <row r="418" customFormat="false" ht="15.75" hidden="false" customHeight="true" outlineLevel="1" collapsed="false">
      <c r="A418" s="1372" t="s">
        <v>3178</v>
      </c>
      <c r="B418" s="887" t="s">
        <v>159</v>
      </c>
      <c r="C418" s="1376" t="n">
        <f aca="false">CEILING(IF('Ввод данных'!A360=связи1!A106,L400,0)+IF('Ввод данных'!A360=связи1!A107,дома!C399/2/дома!G399,0)+IF('Ввод данных'!A360=связи1!A108,дома!L400,0),1)</f>
        <v>0</v>
      </c>
      <c r="D418" s="933" t="n">
        <f aca="false">CEILING(IF('Ввод данных'!A364=связи1!A106,L404,0)+IF('Ввод данных'!A364=связи1!A107,дома!C403/2/дома!G403,0)+IF('Ввод данных'!A364=связи1!A108,дома!L404,0),1)</f>
        <v>0</v>
      </c>
      <c r="E418" s="933" t="n">
        <f aca="false">CEILING(IF('Ввод данных'!A368=связи1!A106,L408,0)+IF('Ввод данных'!A368=связи1!A107,дома!C407/2/дома!G407,0)+IF('Ввод данных'!A368=связи1!A108,дома!L408,0),1)</f>
        <v>0</v>
      </c>
      <c r="F418" s="1023" t="n">
        <f aca="false">CEILING(IF('Ввод данных'!A372=связи1!A106,L412,0)+IF('Ввод данных'!A372=связи1!A107,дома!C411/2/дома!G411,0)+IF('Ввод данных'!A372=связи1!A108,дома!L412,0),1)</f>
        <v>0</v>
      </c>
      <c r="G418" s="933"/>
      <c r="H418" s="933"/>
      <c r="I418" s="933"/>
      <c r="J418" s="933"/>
      <c r="K418" s="933"/>
      <c r="L418" s="933"/>
      <c r="M418" s="933"/>
      <c r="N418" s="933"/>
      <c r="O418" s="933"/>
      <c r="P418" s="1290"/>
      <c r="Q418" s="1290"/>
      <c r="R418" s="1290"/>
      <c r="S418" s="933"/>
      <c r="T418" s="933"/>
      <c r="U418" s="1329"/>
      <c r="V418" s="933"/>
      <c r="W418" s="933"/>
      <c r="X418" s="933"/>
      <c r="Y418" s="1290"/>
      <c r="Z418" s="1290"/>
      <c r="AA418" s="933"/>
      <c r="AB418" s="933"/>
      <c r="AC418" s="933"/>
      <c r="AD418" s="933"/>
    </row>
    <row r="419" customFormat="false" ht="15.75" hidden="false" customHeight="true" outlineLevel="1" collapsed="false">
      <c r="A419" s="1372" t="s">
        <v>3179</v>
      </c>
      <c r="B419" s="887" t="s">
        <v>156</v>
      </c>
      <c r="C419" s="1376" t="n">
        <f aca="false">(IF('Ввод данных'!A361=связи1!A94,(связи1!C554-связи1!C553)/IF(C418=0,1,C418),0)+IF('Ввод данных'!A361=связи1!A97,(связи1!C554-связи1!C553)/IF(C418=0,1,C418),0))*IF(C418=0,0,1)</f>
        <v>0</v>
      </c>
      <c r="D419" s="1376" t="n">
        <f aca="false">(IF('Ввод данных'!A365=связи1!A94,(связи1!D554-связи1!D553)/IF(D418=0,1,D418),0)+IF('Ввод данных'!A365=связи1!A97,(связи1!D554-связи1!D553)/IF(D418=0,1,D418),0))*IF(D418=0,0,1)</f>
        <v>0</v>
      </c>
      <c r="E419" s="933" t="n">
        <f aca="false">((IF('Ввод данных'!A369=связи1!A94,(связи1!E554-связи1!E553)/IF(E418=0,1,E418),0)+IF('Ввод данных'!A369=связи1!A97,(связи1!E554-связи1!E553)/IF(E418=0,1,E418),0)))*IF(E418=0,0,1)</f>
        <v>0</v>
      </c>
      <c r="F419" s="1023" t="n">
        <f aca="false">(IF('Ввод данных'!A373=связи1!A94,(связи1!F554-связи1!F553)/IF(F418=0,1,F418),0)+IF('Ввод данных'!A373=связи1!A97,(связи1!F554-связи1!F553)/IF(F418=0,1,F418),0))*IF(F418=0,0,1)</f>
        <v>0</v>
      </c>
      <c r="G419" s="933"/>
      <c r="H419" s="933"/>
      <c r="I419" s="933"/>
      <c r="J419" s="933"/>
      <c r="K419" s="933"/>
      <c r="L419" s="933"/>
      <c r="M419" s="933"/>
      <c r="N419" s="933"/>
      <c r="O419" s="933"/>
      <c r="P419" s="1290"/>
      <c r="Q419" s="1290"/>
      <c r="R419" s="1290"/>
      <c r="S419" s="933"/>
      <c r="T419" s="933"/>
      <c r="U419" s="1329"/>
      <c r="V419" s="933"/>
      <c r="W419" s="933"/>
      <c r="X419" s="933"/>
      <c r="Y419" s="1290"/>
      <c r="Z419" s="1290"/>
      <c r="AA419" s="933"/>
      <c r="AB419" s="933"/>
      <c r="AC419" s="933"/>
      <c r="AD419" s="933"/>
    </row>
    <row r="420" customFormat="false" ht="15.75" hidden="false" customHeight="true" outlineLevel="1" collapsed="false">
      <c r="A420" s="1372" t="s">
        <v>3180</v>
      </c>
      <c r="B420" s="887"/>
      <c r="C420" s="933"/>
      <c r="D420" s="933"/>
      <c r="E420" s="933"/>
      <c r="F420" s="1023"/>
      <c r="G420" s="933"/>
      <c r="H420" s="933"/>
      <c r="I420" s="933"/>
      <c r="J420" s="933"/>
      <c r="K420" s="933"/>
      <c r="L420" s="933"/>
      <c r="M420" s="933"/>
      <c r="N420" s="933"/>
      <c r="O420" s="933"/>
      <c r="P420" s="1290"/>
      <c r="Q420" s="1290"/>
      <c r="R420" s="1290"/>
      <c r="S420" s="933"/>
      <c r="T420" s="933"/>
      <c r="U420" s="1329"/>
      <c r="V420" s="933"/>
      <c r="W420" s="933"/>
      <c r="X420" s="933"/>
      <c r="Y420" s="1290"/>
      <c r="Z420" s="1290"/>
      <c r="AA420" s="933"/>
      <c r="AB420" s="933"/>
      <c r="AC420" s="933"/>
      <c r="AD420" s="933"/>
    </row>
    <row r="421" customFormat="false" ht="15.75" hidden="false" customHeight="true" outlineLevel="1" collapsed="false">
      <c r="A421" s="1372" t="s">
        <v>3181</v>
      </c>
      <c r="B421" s="887"/>
      <c r="C421" s="933"/>
      <c r="D421" s="933"/>
      <c r="E421" s="933"/>
      <c r="F421" s="1023"/>
      <c r="G421" s="933"/>
      <c r="H421" s="933"/>
      <c r="I421" s="933"/>
      <c r="J421" s="933"/>
      <c r="K421" s="933"/>
      <c r="L421" s="933"/>
      <c r="M421" s="933"/>
      <c r="N421" s="933"/>
      <c r="O421" s="933"/>
      <c r="P421" s="1290"/>
      <c r="Q421" s="1290"/>
      <c r="R421" s="1290"/>
      <c r="S421" s="933"/>
      <c r="T421" s="933"/>
      <c r="U421" s="1329"/>
      <c r="V421" s="933"/>
      <c r="W421" s="933"/>
      <c r="X421" s="933"/>
      <c r="Y421" s="1290"/>
      <c r="Z421" s="1290"/>
      <c r="AA421" s="933"/>
      <c r="AB421" s="933"/>
      <c r="AC421" s="933"/>
      <c r="AD421" s="933"/>
    </row>
    <row r="422" customFormat="false" ht="15.75" hidden="false" customHeight="true" outlineLevel="1" collapsed="false">
      <c r="A422" s="1372" t="s">
        <v>3182</v>
      </c>
      <c r="B422" s="887"/>
      <c r="C422" s="933"/>
      <c r="D422" s="933"/>
      <c r="E422" s="933"/>
      <c r="F422" s="1023"/>
      <c r="G422" s="933"/>
      <c r="H422" s="933"/>
      <c r="I422" s="933"/>
      <c r="J422" s="933"/>
      <c r="K422" s="933"/>
      <c r="L422" s="933"/>
      <c r="M422" s="933"/>
      <c r="N422" s="933"/>
      <c r="O422" s="933"/>
      <c r="P422" s="1290"/>
      <c r="Q422" s="1290"/>
      <c r="R422" s="1290"/>
      <c r="S422" s="933"/>
      <c r="T422" s="933"/>
      <c r="U422" s="1329"/>
      <c r="V422" s="933"/>
      <c r="W422" s="933"/>
      <c r="X422" s="933"/>
      <c r="Y422" s="1290"/>
      <c r="Z422" s="1290"/>
      <c r="AA422" s="933"/>
      <c r="AB422" s="933"/>
      <c r="AC422" s="933"/>
      <c r="AD422" s="933"/>
    </row>
    <row r="423" customFormat="false" ht="15.75" hidden="false" customHeight="true" outlineLevel="1" collapsed="false">
      <c r="A423" s="1377" t="s">
        <v>3183</v>
      </c>
      <c r="B423" s="1378" t="s">
        <v>120</v>
      </c>
      <c r="C423" s="1379" t="s">
        <v>1800</v>
      </c>
      <c r="D423" s="1380" t="s">
        <v>2975</v>
      </c>
      <c r="E423" s="1380" t="s">
        <v>293</v>
      </c>
      <c r="F423" s="1381" t="s">
        <v>1802</v>
      </c>
      <c r="G423" s="933"/>
      <c r="H423" s="933"/>
      <c r="I423" s="933"/>
      <c r="J423" s="933"/>
      <c r="K423" s="933"/>
      <c r="L423" s="933"/>
      <c r="M423" s="933"/>
      <c r="N423" s="933"/>
      <c r="O423" s="933"/>
      <c r="P423" s="1290"/>
      <c r="Q423" s="1290"/>
      <c r="R423" s="1290"/>
      <c r="S423" s="933"/>
      <c r="T423" s="933"/>
      <c r="U423" s="1329"/>
      <c r="V423" s="933"/>
      <c r="W423" s="933"/>
      <c r="X423" s="933"/>
      <c r="Y423" s="1290"/>
      <c r="Z423" s="1290"/>
      <c r="AA423" s="933"/>
      <c r="AB423" s="933"/>
      <c r="AC423" s="933"/>
      <c r="AD423" s="933"/>
    </row>
    <row r="424" customFormat="false" ht="15.75" hidden="false" customHeight="true" outlineLevel="1" collapsed="false">
      <c r="A424" s="1191" t="s">
        <v>3184</v>
      </c>
      <c r="B424" s="1269" t="s">
        <v>156</v>
      </c>
      <c r="C424" s="887" t="n">
        <f aca="false">$B$402</f>
        <v>0.4</v>
      </c>
      <c r="D424" s="933" t="n">
        <f aca="false">$J$399</f>
        <v>0.05</v>
      </c>
      <c r="E424" s="933" t="n">
        <f aca="false">связи1!C553</f>
        <v>2.9</v>
      </c>
      <c r="F424" s="1023" t="n">
        <f aca="false">L399</f>
        <v>0</v>
      </c>
      <c r="G424" s="933" t="n">
        <f aca="false">C424*D424*E424*F424</f>
        <v>0</v>
      </c>
      <c r="H424" s="933"/>
      <c r="I424" s="933"/>
      <c r="J424" s="933"/>
      <c r="K424" s="933"/>
      <c r="L424" s="933"/>
      <c r="M424" s="933"/>
      <c r="N424" s="933"/>
      <c r="O424" s="933"/>
      <c r="P424" s="1290"/>
      <c r="Q424" s="1290"/>
      <c r="R424" s="1290"/>
      <c r="S424" s="933"/>
      <c r="T424" s="933"/>
      <c r="U424" s="1329"/>
      <c r="V424" s="933"/>
      <c r="W424" s="933"/>
      <c r="X424" s="933"/>
      <c r="Y424" s="1290"/>
      <c r="Z424" s="1290"/>
      <c r="AA424" s="933"/>
      <c r="AB424" s="933"/>
      <c r="AC424" s="933"/>
      <c r="AD424" s="933"/>
    </row>
    <row r="425" customFormat="false" ht="15.75" hidden="false" customHeight="true" outlineLevel="1" collapsed="false">
      <c r="A425" s="1191" t="s">
        <v>3009</v>
      </c>
      <c r="B425" s="1269" t="s">
        <v>156</v>
      </c>
      <c r="C425" s="887" t="n">
        <f aca="false">$B$402</f>
        <v>0.4</v>
      </c>
      <c r="D425" s="933" t="n">
        <f aca="false">$J$399</f>
        <v>0.05</v>
      </c>
      <c r="E425" s="933" t="n">
        <f aca="false">$E$400*IF('Ввод данных'!A361=связи1!A97,IF('Ввод данных'!A360=связи1!A106,0,1),1)</f>
        <v>1.2</v>
      </c>
      <c r="F425" s="1023" t="n">
        <f aca="false">L400</f>
        <v>0</v>
      </c>
      <c r="G425" s="933" t="n">
        <f aca="false">C425*D425*E425*F425</f>
        <v>0</v>
      </c>
      <c r="H425" s="933"/>
      <c r="I425" s="933"/>
      <c r="J425" s="933"/>
      <c r="K425" s="933"/>
      <c r="L425" s="933"/>
      <c r="M425" s="933"/>
      <c r="N425" s="933"/>
      <c r="O425" s="933"/>
      <c r="P425" s="1290"/>
      <c r="Q425" s="1290"/>
      <c r="R425" s="1290"/>
      <c r="S425" s="933"/>
      <c r="T425" s="933"/>
      <c r="U425" s="1329"/>
      <c r="V425" s="933"/>
      <c r="W425" s="933"/>
      <c r="X425" s="933"/>
      <c r="Y425" s="1290"/>
      <c r="Z425" s="1290"/>
      <c r="AA425" s="933"/>
      <c r="AB425" s="933"/>
      <c r="AC425" s="933"/>
      <c r="AD425" s="933"/>
    </row>
    <row r="426" customFormat="false" ht="15.75" hidden="false" customHeight="true" outlineLevel="1" collapsed="false">
      <c r="A426" s="1191" t="s">
        <v>3010</v>
      </c>
      <c r="B426" s="1269" t="s">
        <v>156</v>
      </c>
      <c r="C426" s="887" t="n">
        <f aca="false">$B$402</f>
        <v>0.4</v>
      </c>
      <c r="D426" s="933" t="n">
        <f aca="false">$J$399</f>
        <v>0.05</v>
      </c>
      <c r="E426" s="933" t="n">
        <f aca="false">$E$400*IF('Ввод данных'!A361=связи1!A97,IF('Ввод данных'!A360=связи1!A106,0,1),1)</f>
        <v>1.2</v>
      </c>
      <c r="F426" s="1023" t="n">
        <f aca="false">L401</f>
        <v>0</v>
      </c>
      <c r="G426" s="933" t="n">
        <f aca="false">C426*D426*E426*F426</f>
        <v>0</v>
      </c>
      <c r="H426" s="933"/>
      <c r="I426" s="933"/>
      <c r="J426" s="933"/>
      <c r="K426" s="933"/>
      <c r="L426" s="933"/>
      <c r="M426" s="933"/>
      <c r="N426" s="933"/>
      <c r="O426" s="933"/>
      <c r="P426" s="1290"/>
      <c r="Q426" s="1290"/>
      <c r="R426" s="1290"/>
      <c r="S426" s="933"/>
      <c r="T426" s="933"/>
      <c r="U426" s="1329"/>
      <c r="V426" s="933"/>
      <c r="W426" s="933"/>
      <c r="X426" s="933"/>
      <c r="Y426" s="1290"/>
      <c r="Z426" s="1290"/>
      <c r="AA426" s="933"/>
      <c r="AB426" s="933"/>
      <c r="AC426" s="933"/>
      <c r="AD426" s="933"/>
    </row>
    <row r="427" customFormat="false" ht="15.75" hidden="false" customHeight="true" outlineLevel="1" collapsed="false">
      <c r="A427" s="933" t="s">
        <v>3013</v>
      </c>
      <c r="B427" s="1269" t="s">
        <v>156</v>
      </c>
      <c r="C427" s="887" t="n">
        <f aca="false">$B$402</f>
        <v>0.4</v>
      </c>
      <c r="D427" s="933" t="n">
        <f aca="false">$J$399</f>
        <v>0.05</v>
      </c>
      <c r="E427" s="933"/>
      <c r="F427" s="1023" t="n">
        <f aca="false">(P402+Q402)</f>
        <v>0</v>
      </c>
      <c r="G427" s="933" t="n">
        <f aca="false">C427*D427*E427*F427</f>
        <v>0</v>
      </c>
      <c r="H427" s="933"/>
      <c r="I427" s="933"/>
      <c r="J427" s="933"/>
      <c r="K427" s="933"/>
      <c r="L427" s="933"/>
      <c r="M427" s="933"/>
      <c r="N427" s="933"/>
      <c r="O427" s="933"/>
      <c r="P427" s="1290"/>
      <c r="Q427" s="1290"/>
      <c r="R427" s="1290"/>
      <c r="S427" s="933"/>
      <c r="T427" s="933"/>
      <c r="U427" s="1329"/>
      <c r="V427" s="933"/>
      <c r="W427" s="933"/>
      <c r="X427" s="933"/>
      <c r="Y427" s="1290"/>
      <c r="Z427" s="1290"/>
      <c r="AA427" s="933"/>
      <c r="AB427" s="933"/>
      <c r="AC427" s="933"/>
      <c r="AD427" s="933"/>
    </row>
    <row r="428" customFormat="false" ht="15.75" hidden="false" customHeight="true" outlineLevel="1" collapsed="false">
      <c r="A428" s="933" t="s">
        <v>3014</v>
      </c>
      <c r="B428" s="1269" t="s">
        <v>156</v>
      </c>
      <c r="C428" s="887" t="n">
        <f aca="false">$B$402</f>
        <v>0.4</v>
      </c>
      <c r="D428" s="933" t="n">
        <f aca="false">$J$399</f>
        <v>0.05</v>
      </c>
      <c r="E428" s="933"/>
      <c r="F428" s="1023" t="n">
        <f aca="false">R402</f>
        <v>0</v>
      </c>
      <c r="G428" s="933" t="n">
        <f aca="false">C428*D428*E428*F428</f>
        <v>0</v>
      </c>
      <c r="H428" s="933"/>
      <c r="I428" s="933"/>
      <c r="J428" s="933"/>
      <c r="K428" s="933"/>
      <c r="L428" s="933"/>
      <c r="M428" s="933"/>
      <c r="N428" s="933"/>
      <c r="O428" s="933"/>
      <c r="P428" s="1290"/>
      <c r="Q428" s="1290"/>
      <c r="R428" s="1290"/>
      <c r="S428" s="933"/>
      <c r="T428" s="933"/>
      <c r="U428" s="1329"/>
      <c r="V428" s="933"/>
      <c r="W428" s="933"/>
      <c r="X428" s="933"/>
      <c r="Y428" s="1290"/>
      <c r="Z428" s="1290"/>
      <c r="AA428" s="933"/>
      <c r="AB428" s="933"/>
      <c r="AC428" s="933"/>
      <c r="AD428" s="933"/>
    </row>
    <row r="429" customFormat="false" ht="15.75" hidden="false" customHeight="true" outlineLevel="1" collapsed="false">
      <c r="A429" s="1191" t="s">
        <v>3020</v>
      </c>
      <c r="B429" s="1269" t="s">
        <v>156</v>
      </c>
      <c r="C429" s="887" t="n">
        <f aca="false">$B$402</f>
        <v>0.4</v>
      </c>
      <c r="D429" s="933" t="n">
        <f aca="false">$J$399</f>
        <v>0.05</v>
      </c>
      <c r="E429" s="933" t="n">
        <f aca="false">1.5*VLOOKUP('Ввод данных'!F416,связи1!A2:B3,2,0)*связи1!C550</f>
        <v>0</v>
      </c>
      <c r="F429" s="1023" t="n">
        <f aca="false">8</f>
        <v>8</v>
      </c>
      <c r="G429" s="933" t="n">
        <f aca="false">C429*D429*E429*F429</f>
        <v>0</v>
      </c>
      <c r="H429" s="933"/>
      <c r="I429" s="933"/>
      <c r="J429" s="933"/>
      <c r="K429" s="933"/>
      <c r="L429" s="933"/>
      <c r="M429" s="933"/>
      <c r="N429" s="933"/>
      <c r="O429" s="933"/>
      <c r="P429" s="1290"/>
      <c r="Q429" s="1290"/>
      <c r="R429" s="1290"/>
      <c r="S429" s="933"/>
      <c r="T429" s="933"/>
      <c r="U429" s="1329"/>
      <c r="V429" s="933"/>
      <c r="W429" s="933"/>
      <c r="X429" s="933"/>
      <c r="Y429" s="1290"/>
      <c r="Z429" s="1290"/>
      <c r="AA429" s="933"/>
      <c r="AB429" s="933"/>
      <c r="AC429" s="933"/>
      <c r="AD429" s="933"/>
    </row>
    <row r="430" customFormat="false" ht="15.75" hidden="false" customHeight="true" outlineLevel="1" collapsed="false">
      <c r="A430" s="1382" t="s">
        <v>3185</v>
      </c>
      <c r="B430" s="1383" t="s">
        <v>156</v>
      </c>
      <c r="C430" s="1384" t="n">
        <f aca="false">$B$402</f>
        <v>0.4</v>
      </c>
      <c r="D430" s="1382" t="n">
        <f aca="false">$J$399</f>
        <v>0.05</v>
      </c>
      <c r="E430" s="1382" t="n">
        <f aca="false">IF('Ввод данных'!A360=связи1!A106,IF('Ввод данных'!A361=связи1!A94,связи1!C554-связи1!C553,0)+IF('Ввод данных'!A361=связи1!A95,0,0)+IF('Ввод данных'!A361=связи1!A96,0,0)+IF('Ввод данных'!A361=связи1!A97,связи1!C554,0)+IF('Ввод данных'!A361=связи1!A98,0,0),0)</f>
        <v>0</v>
      </c>
      <c r="F430" s="1385" t="n">
        <f aca="false">2</f>
        <v>2</v>
      </c>
      <c r="G430" s="933" t="n">
        <f aca="false">C430*D430*E430*F430</f>
        <v>0</v>
      </c>
      <c r="H430" s="933"/>
      <c r="I430" s="933"/>
      <c r="J430" s="933"/>
      <c r="K430" s="933"/>
      <c r="L430" s="933"/>
      <c r="M430" s="933"/>
      <c r="N430" s="933"/>
      <c r="O430" s="933"/>
      <c r="P430" s="1290"/>
      <c r="Q430" s="1290"/>
      <c r="R430" s="1290"/>
      <c r="S430" s="933"/>
      <c r="T430" s="933"/>
      <c r="U430" s="1329"/>
      <c r="V430" s="933"/>
      <c r="W430" s="933"/>
      <c r="X430" s="933"/>
      <c r="Y430" s="1290"/>
      <c r="Z430" s="1290"/>
      <c r="AA430" s="933"/>
      <c r="AB430" s="933"/>
      <c r="AC430" s="933"/>
      <c r="AD430" s="933"/>
    </row>
    <row r="431" customFormat="false" ht="15.75" hidden="false" customHeight="true" outlineLevel="1" collapsed="false">
      <c r="A431" s="1382" t="s">
        <v>3186</v>
      </c>
      <c r="B431" s="1383" t="s">
        <v>156</v>
      </c>
      <c r="C431" s="1384" t="n">
        <f aca="false">$B$402</f>
        <v>0.4</v>
      </c>
      <c r="D431" s="1382" t="n">
        <f aca="false">$J$399</f>
        <v>0.05</v>
      </c>
      <c r="E431" s="1382" t="n">
        <f aca="false">IF('Ввод данных'!$A$361=связи1!$A$97,IF(дома!E430&lt;связи1!$C$553,0,дома!E430-$C$419),0)+IF(E430=0,0,IF('Ввод данных'!$A$361=связи1!$A$94,IF(дома!E430&lt;0,0,E430-$C$419),0))</f>
        <v>0</v>
      </c>
      <c r="F431" s="1385" t="n">
        <f aca="false">2</f>
        <v>2</v>
      </c>
      <c r="G431" s="933" t="n">
        <f aca="false">C431*D431*E431*F431</f>
        <v>0</v>
      </c>
      <c r="H431" s="933"/>
      <c r="I431" s="933"/>
      <c r="J431" s="933"/>
      <c r="K431" s="933"/>
      <c r="L431" s="933"/>
      <c r="M431" s="933"/>
      <c r="N431" s="933"/>
      <c r="O431" s="933"/>
      <c r="P431" s="1290"/>
      <c r="Q431" s="1290"/>
      <c r="R431" s="1290"/>
      <c r="S431" s="933"/>
      <c r="T431" s="933"/>
      <c r="U431" s="1329"/>
      <c r="V431" s="933"/>
      <c r="W431" s="933"/>
      <c r="X431" s="933"/>
      <c r="Y431" s="1290"/>
      <c r="Z431" s="1290"/>
      <c r="AA431" s="933"/>
      <c r="AB431" s="933"/>
      <c r="AC431" s="933"/>
      <c r="AD431" s="933"/>
    </row>
    <row r="432" customFormat="false" ht="15.75" hidden="false" customHeight="true" outlineLevel="1" collapsed="false">
      <c r="A432" s="1382" t="s">
        <v>3187</v>
      </c>
      <c r="B432" s="1383" t="s">
        <v>156</v>
      </c>
      <c r="C432" s="1384" t="n">
        <f aca="false">$B$402</f>
        <v>0.4</v>
      </c>
      <c r="D432" s="1382" t="n">
        <f aca="false">$J$399</f>
        <v>0.05</v>
      </c>
      <c r="E432" s="1382" t="n">
        <f aca="false">IF('Ввод данных'!$A$361=связи1!$A$97,IF(дома!E431&lt;связи1!$C$553,0,дома!E431-$C$419),0)+IF(E431=0,0,IF('Ввод данных'!$A$361=связи1!$A$94,IF(дома!E431&lt;0,0,E431-$C$419),0))</f>
        <v>0</v>
      </c>
      <c r="F432" s="1385" t="n">
        <f aca="false">2</f>
        <v>2</v>
      </c>
      <c r="G432" s="933" t="n">
        <f aca="false">C432*D432*E432*F432</f>
        <v>0</v>
      </c>
      <c r="H432" s="933"/>
      <c r="I432" s="933"/>
      <c r="J432" s="933"/>
      <c r="K432" s="933"/>
      <c r="L432" s="933"/>
      <c r="M432" s="933"/>
      <c r="N432" s="933"/>
      <c r="O432" s="933"/>
      <c r="P432" s="1290"/>
      <c r="Q432" s="1290"/>
      <c r="R432" s="1290"/>
      <c r="S432" s="933"/>
      <c r="T432" s="933"/>
      <c r="U432" s="1329"/>
      <c r="V432" s="933"/>
      <c r="W432" s="933"/>
      <c r="X432" s="933"/>
      <c r="Y432" s="1290"/>
      <c r="Z432" s="1290"/>
      <c r="AA432" s="933"/>
      <c r="AB432" s="933"/>
      <c r="AC432" s="933"/>
      <c r="AD432" s="933"/>
    </row>
    <row r="433" customFormat="false" ht="15.75" hidden="false" customHeight="true" outlineLevel="1" collapsed="false">
      <c r="A433" s="1382" t="s">
        <v>3188</v>
      </c>
      <c r="B433" s="1383" t="s">
        <v>156</v>
      </c>
      <c r="C433" s="1384" t="n">
        <f aca="false">$B$402</f>
        <v>0.4</v>
      </c>
      <c r="D433" s="1382" t="n">
        <f aca="false">$J$399</f>
        <v>0.05</v>
      </c>
      <c r="E433" s="1382" t="n">
        <f aca="false">IF('Ввод данных'!$A$361=связи1!$A$97,IF(дома!E432&lt;связи1!$C$553,0,дома!E432-$C$419),0)+IF(E432=0,0,IF('Ввод данных'!$A$361=связи1!$A$94,IF(дома!E432&lt;0,0,E432-$C$419),0))</f>
        <v>0</v>
      </c>
      <c r="F433" s="1385" t="n">
        <f aca="false">2</f>
        <v>2</v>
      </c>
      <c r="G433" s="933" t="n">
        <f aca="false">C433*D433*E433*F433</f>
        <v>0</v>
      </c>
      <c r="H433" s="933"/>
      <c r="I433" s="933"/>
      <c r="J433" s="933"/>
      <c r="K433" s="933"/>
      <c r="L433" s="933"/>
      <c r="M433" s="933"/>
      <c r="N433" s="933"/>
      <c r="O433" s="933"/>
      <c r="P433" s="1290"/>
      <c r="Q433" s="1290"/>
      <c r="R433" s="1290"/>
      <c r="S433" s="933"/>
      <c r="T433" s="933"/>
      <c r="U433" s="1329"/>
      <c r="V433" s="933"/>
      <c r="W433" s="933"/>
      <c r="X433" s="933"/>
      <c r="Y433" s="1290"/>
      <c r="Z433" s="1290"/>
      <c r="AA433" s="933"/>
      <c r="AB433" s="933"/>
      <c r="AC433" s="933"/>
      <c r="AD433" s="933"/>
    </row>
    <row r="434" customFormat="false" ht="15.75" hidden="false" customHeight="true" outlineLevel="1" collapsed="false">
      <c r="A434" s="1382" t="s">
        <v>3189</v>
      </c>
      <c r="B434" s="1383" t="s">
        <v>156</v>
      </c>
      <c r="C434" s="1384" t="n">
        <f aca="false">$B$402</f>
        <v>0.4</v>
      </c>
      <c r="D434" s="1382" t="n">
        <f aca="false">$J$399</f>
        <v>0.05</v>
      </c>
      <c r="E434" s="1382" t="n">
        <f aca="false">IF('Ввод данных'!$A$361=связи1!$A$97,IF(дома!E433&lt;связи1!$C$553,0,дома!E433-$C$419),0)+IF(E433=0,0,IF('Ввод данных'!$A$361=связи1!$A$94,IF(дома!E433&lt;0,0,E433-$C$419),0))</f>
        <v>0</v>
      </c>
      <c r="F434" s="1385" t="n">
        <f aca="false">2</f>
        <v>2</v>
      </c>
      <c r="G434" s="933" t="n">
        <f aca="false">C434*D434*E434*F434</f>
        <v>0</v>
      </c>
      <c r="H434" s="933"/>
      <c r="I434" s="933"/>
      <c r="J434" s="933"/>
      <c r="K434" s="933"/>
      <c r="L434" s="933"/>
      <c r="M434" s="933"/>
      <c r="N434" s="933"/>
      <c r="O434" s="933"/>
      <c r="P434" s="1290"/>
      <c r="Q434" s="1290"/>
      <c r="R434" s="1290"/>
      <c r="S434" s="933"/>
      <c r="T434" s="933"/>
      <c r="U434" s="1329"/>
      <c r="V434" s="933"/>
      <c r="W434" s="933"/>
      <c r="X434" s="933"/>
      <c r="Y434" s="1290"/>
      <c r="Z434" s="1290"/>
      <c r="AA434" s="933"/>
      <c r="AB434" s="933"/>
      <c r="AC434" s="933"/>
      <c r="AD434" s="933"/>
    </row>
    <row r="435" customFormat="false" ht="15.75" hidden="false" customHeight="true" outlineLevel="1" collapsed="false">
      <c r="A435" s="1382" t="s">
        <v>3190</v>
      </c>
      <c r="B435" s="1383" t="s">
        <v>156</v>
      </c>
      <c r="C435" s="1384" t="n">
        <f aca="false">$B$402</f>
        <v>0.4</v>
      </c>
      <c r="D435" s="1382" t="n">
        <f aca="false">$J$399</f>
        <v>0.05</v>
      </c>
      <c r="E435" s="1382" t="n">
        <f aca="false">IF('Ввод данных'!$A$361=связи1!$A$97,IF(дома!E434&lt;связи1!$C$553,0,дома!E434-$C$419),0)+IF(E434=0,0,IF('Ввод данных'!$A$361=связи1!$A$94,IF(дома!E434&lt;0,0,E434-$C$419),0))</f>
        <v>0</v>
      </c>
      <c r="F435" s="1385" t="n">
        <f aca="false">2</f>
        <v>2</v>
      </c>
      <c r="G435" s="933" t="n">
        <f aca="false">C435*D435*E435*F435</f>
        <v>0</v>
      </c>
      <c r="H435" s="933"/>
      <c r="I435" s="933"/>
      <c r="J435" s="933"/>
      <c r="K435" s="933"/>
      <c r="L435" s="933"/>
      <c r="M435" s="933"/>
      <c r="N435" s="933"/>
      <c r="O435" s="933"/>
      <c r="P435" s="1290"/>
      <c r="Q435" s="1290"/>
      <c r="R435" s="1290"/>
      <c r="S435" s="933"/>
      <c r="T435" s="933"/>
      <c r="U435" s="1329"/>
      <c r="V435" s="933"/>
      <c r="W435" s="933"/>
      <c r="X435" s="933"/>
      <c r="Y435" s="1290"/>
      <c r="Z435" s="1290"/>
      <c r="AA435" s="933"/>
      <c r="AB435" s="933"/>
      <c r="AC435" s="933"/>
      <c r="AD435" s="933"/>
    </row>
    <row r="436" customFormat="false" ht="15.75" hidden="false" customHeight="true" outlineLevel="1" collapsed="false">
      <c r="A436" s="1382" t="s">
        <v>3191</v>
      </c>
      <c r="B436" s="1383" t="s">
        <v>156</v>
      </c>
      <c r="C436" s="1384" t="n">
        <f aca="false">$B$402</f>
        <v>0.4</v>
      </c>
      <c r="D436" s="1382" t="n">
        <f aca="false">$J$399</f>
        <v>0.05</v>
      </c>
      <c r="E436" s="1382" t="n">
        <f aca="false">IF('Ввод данных'!$A$361=связи1!$A$97,IF(дома!E435&lt;связи1!$C$553,0,дома!E435-$C$419),0)+IF(E435=0,0,IF('Ввод данных'!$A$361=связи1!$A$94,IF(дома!E435&lt;0,0,E435-$C$419),0))</f>
        <v>0</v>
      </c>
      <c r="F436" s="1385" t="n">
        <f aca="false">2</f>
        <v>2</v>
      </c>
      <c r="G436" s="933" t="n">
        <f aca="false">C436*D436*E436*F436</f>
        <v>0</v>
      </c>
      <c r="H436" s="933"/>
      <c r="I436" s="933"/>
      <c r="J436" s="933"/>
      <c r="K436" s="933"/>
      <c r="L436" s="933"/>
      <c r="M436" s="933"/>
      <c r="N436" s="933"/>
      <c r="O436" s="933"/>
      <c r="P436" s="1290"/>
      <c r="Q436" s="1290"/>
      <c r="R436" s="1290"/>
      <c r="S436" s="933"/>
      <c r="T436" s="933"/>
      <c r="U436" s="1329"/>
      <c r="V436" s="933"/>
      <c r="W436" s="933"/>
      <c r="X436" s="933"/>
      <c r="Y436" s="1290"/>
      <c r="Z436" s="1290"/>
      <c r="AA436" s="933"/>
      <c r="AB436" s="933"/>
      <c r="AC436" s="933"/>
      <c r="AD436" s="933"/>
    </row>
    <row r="437" customFormat="false" ht="15.75" hidden="false" customHeight="true" outlineLevel="1" collapsed="false">
      <c r="A437" s="1382" t="s">
        <v>3192</v>
      </c>
      <c r="B437" s="1383" t="s">
        <v>156</v>
      </c>
      <c r="C437" s="1384" t="n">
        <f aca="false">$B$402</f>
        <v>0.4</v>
      </c>
      <c r="D437" s="1382" t="n">
        <f aca="false">$J$399</f>
        <v>0.05</v>
      </c>
      <c r="E437" s="1382" t="n">
        <f aca="false">IF('Ввод данных'!$A$361=связи1!$A$97,IF(дома!E436&lt;связи1!$C$553,0,дома!E436-$C$419),0)+IF(E436=0,0,IF('Ввод данных'!$A$361=связи1!$A$94,IF(дома!E436&lt;0,0,E436-$C$419),0))</f>
        <v>0</v>
      </c>
      <c r="F437" s="1385" t="n">
        <f aca="false">2</f>
        <v>2</v>
      </c>
      <c r="G437" s="933" t="n">
        <f aca="false">C437*D437*E437*F437</f>
        <v>0</v>
      </c>
      <c r="H437" s="933"/>
      <c r="I437" s="933"/>
      <c r="J437" s="933"/>
      <c r="K437" s="933"/>
      <c r="L437" s="933"/>
      <c r="M437" s="933"/>
      <c r="N437" s="933"/>
      <c r="O437" s="933"/>
      <c r="P437" s="1290"/>
      <c r="Q437" s="1290"/>
      <c r="R437" s="1290"/>
      <c r="S437" s="933"/>
      <c r="T437" s="933"/>
      <c r="U437" s="1329"/>
      <c r="V437" s="933"/>
      <c r="W437" s="933"/>
      <c r="X437" s="933"/>
      <c r="Y437" s="1290"/>
      <c r="Z437" s="1290"/>
      <c r="AA437" s="933"/>
      <c r="AB437" s="933"/>
      <c r="AC437" s="933"/>
      <c r="AD437" s="933"/>
    </row>
    <row r="438" customFormat="false" ht="15.75" hidden="false" customHeight="true" outlineLevel="1" collapsed="false">
      <c r="A438" s="1382" t="s">
        <v>3193</v>
      </c>
      <c r="B438" s="1383" t="s">
        <v>156</v>
      </c>
      <c r="C438" s="1384" t="n">
        <f aca="false">$B$402</f>
        <v>0.4</v>
      </c>
      <c r="D438" s="1382" t="n">
        <f aca="false">$J$399</f>
        <v>0.05</v>
      </c>
      <c r="E438" s="1382" t="n">
        <f aca="false">IF('Ввод данных'!$A$361=связи1!$A$97,IF(дома!E437&lt;связи1!$C$553,0,дома!E437-$C$419),0)+IF(E437=0,0,IF('Ввод данных'!$A$361=связи1!$A$94,IF(дома!E437&lt;0,0,E437-$C$419),0))</f>
        <v>0</v>
      </c>
      <c r="F438" s="1385" t="n">
        <f aca="false">2</f>
        <v>2</v>
      </c>
      <c r="G438" s="933" t="n">
        <f aca="false">C438*D438*E438*F438</f>
        <v>0</v>
      </c>
      <c r="H438" s="933"/>
      <c r="I438" s="933"/>
      <c r="J438" s="933"/>
      <c r="K438" s="933"/>
      <c r="L438" s="933"/>
      <c r="M438" s="933"/>
      <c r="N438" s="933"/>
      <c r="O438" s="933"/>
      <c r="P438" s="1290"/>
      <c r="Q438" s="1290"/>
      <c r="R438" s="1290"/>
      <c r="S438" s="933"/>
      <c r="T438" s="933"/>
      <c r="U438" s="1329"/>
      <c r="V438" s="933"/>
      <c r="W438" s="933"/>
      <c r="X438" s="933"/>
      <c r="Y438" s="1290"/>
      <c r="Z438" s="1290"/>
      <c r="AA438" s="933"/>
      <c r="AB438" s="933"/>
      <c r="AC438" s="933"/>
      <c r="AD438" s="933"/>
    </row>
    <row r="439" customFormat="false" ht="15.75" hidden="false" customHeight="true" outlineLevel="1" collapsed="false">
      <c r="A439" s="1382" t="s">
        <v>3194</v>
      </c>
      <c r="B439" s="1383" t="s">
        <v>156</v>
      </c>
      <c r="C439" s="1384" t="n">
        <f aca="false">$B$402</f>
        <v>0.4</v>
      </c>
      <c r="D439" s="1382" t="n">
        <f aca="false">$J$399</f>
        <v>0.05</v>
      </c>
      <c r="E439" s="1382" t="n">
        <f aca="false">IF('Ввод данных'!$A$361=связи1!$A$97,IF(дома!E438&lt;связи1!$C$553,0,дома!E438-$C$419),0)+IF(E438=0,0,IF('Ввод данных'!$A$361=связи1!$A$94,IF(дома!E438&lt;0,0,E438-$C$419),0))</f>
        <v>0</v>
      </c>
      <c r="F439" s="1385" t="n">
        <f aca="false">2</f>
        <v>2</v>
      </c>
      <c r="G439" s="933" t="n">
        <f aca="false">C439*D439*E439*F439</f>
        <v>0</v>
      </c>
      <c r="H439" s="933"/>
      <c r="I439" s="933"/>
      <c r="J439" s="933"/>
      <c r="K439" s="933"/>
      <c r="L439" s="933"/>
      <c r="M439" s="933"/>
      <c r="N439" s="933"/>
      <c r="O439" s="933"/>
      <c r="P439" s="1290"/>
      <c r="Q439" s="1290"/>
      <c r="R439" s="1290"/>
      <c r="S439" s="933"/>
      <c r="T439" s="933"/>
      <c r="U439" s="1329"/>
      <c r="V439" s="933"/>
      <c r="W439" s="933"/>
      <c r="X439" s="933"/>
      <c r="Y439" s="1290"/>
      <c r="Z439" s="1290"/>
      <c r="AA439" s="933"/>
      <c r="AB439" s="933"/>
      <c r="AC439" s="933"/>
      <c r="AD439" s="933"/>
    </row>
    <row r="440" customFormat="false" ht="15.75" hidden="false" customHeight="true" outlineLevel="1" collapsed="false">
      <c r="A440" s="1382" t="s">
        <v>3195</v>
      </c>
      <c r="B440" s="1383" t="s">
        <v>156</v>
      </c>
      <c r="C440" s="1384" t="n">
        <f aca="false">$B$402</f>
        <v>0.4</v>
      </c>
      <c r="D440" s="1382" t="n">
        <f aca="false">$J$399</f>
        <v>0.05</v>
      </c>
      <c r="E440" s="1382" t="n">
        <f aca="false">IF('Ввод данных'!$A$361=связи1!$A$97,IF(дома!E439&lt;связи1!$C$553,0,дома!E439-$C$419),0)+IF(E439=0,0,IF('Ввод данных'!$A$361=связи1!$A$94,IF(дома!E439&lt;0,0,E439-$C$419),0))</f>
        <v>0</v>
      </c>
      <c r="F440" s="1385" t="n">
        <f aca="false">2</f>
        <v>2</v>
      </c>
      <c r="G440" s="933" t="n">
        <f aca="false">C440*D440*E440*F440</f>
        <v>0</v>
      </c>
      <c r="H440" s="933"/>
      <c r="I440" s="933"/>
      <c r="J440" s="933"/>
      <c r="K440" s="933"/>
      <c r="L440" s="933"/>
      <c r="M440" s="933"/>
      <c r="N440" s="933"/>
      <c r="O440" s="933"/>
      <c r="P440" s="1290"/>
      <c r="Q440" s="1290"/>
      <c r="R440" s="1290"/>
      <c r="S440" s="933"/>
      <c r="T440" s="933"/>
      <c r="U440" s="1329"/>
      <c r="V440" s="933"/>
      <c r="W440" s="933"/>
      <c r="X440" s="933"/>
      <c r="Y440" s="1290"/>
      <c r="Z440" s="1290"/>
      <c r="AA440" s="933"/>
      <c r="AB440" s="933"/>
      <c r="AC440" s="933"/>
      <c r="AD440" s="933"/>
    </row>
    <row r="441" customFormat="false" ht="15.75" hidden="false" customHeight="true" outlineLevel="1" collapsed="false">
      <c r="A441" s="1382" t="s">
        <v>3196</v>
      </c>
      <c r="B441" s="1383" t="s">
        <v>156</v>
      </c>
      <c r="C441" s="1384" t="n">
        <f aca="false">$B$402</f>
        <v>0.4</v>
      </c>
      <c r="D441" s="1382" t="n">
        <f aca="false">$J$399</f>
        <v>0.05</v>
      </c>
      <c r="E441" s="1382" t="n">
        <f aca="false">IF('Ввод данных'!$A$361=связи1!$A$97,IF(дома!E440&lt;связи1!$C$553,0,дома!E440-$C$419),0)+IF(E440=0,0,IF('Ввод данных'!$A$361=связи1!$A$94,IF(дома!E440&lt;0,0,E440-$C$419),0))</f>
        <v>0</v>
      </c>
      <c r="F441" s="1385" t="n">
        <f aca="false">2</f>
        <v>2</v>
      </c>
      <c r="G441" s="933" t="n">
        <f aca="false">C441*D441*E441*F441</f>
        <v>0</v>
      </c>
      <c r="H441" s="933"/>
      <c r="I441" s="933"/>
      <c r="J441" s="933"/>
      <c r="K441" s="933"/>
      <c r="L441" s="933"/>
      <c r="M441" s="933"/>
      <c r="N441" s="933"/>
      <c r="O441" s="933"/>
      <c r="P441" s="1290"/>
      <c r="Q441" s="1290"/>
      <c r="R441" s="1290"/>
      <c r="S441" s="933"/>
      <c r="T441" s="933"/>
      <c r="U441" s="1329"/>
      <c r="V441" s="933"/>
      <c r="W441" s="933"/>
      <c r="X441" s="933"/>
      <c r="Y441" s="1290"/>
      <c r="Z441" s="1290"/>
      <c r="AA441" s="933"/>
      <c r="AB441" s="933"/>
      <c r="AC441" s="933"/>
      <c r="AD441" s="933"/>
    </row>
    <row r="442" customFormat="false" ht="15.75" hidden="false" customHeight="true" outlineLevel="1" collapsed="false">
      <c r="A442" s="1382" t="s">
        <v>3197</v>
      </c>
      <c r="B442" s="1383" t="s">
        <v>156</v>
      </c>
      <c r="C442" s="1384" t="n">
        <f aca="false">$B$402</f>
        <v>0.4</v>
      </c>
      <c r="D442" s="1382" t="n">
        <f aca="false">$J$399</f>
        <v>0.05</v>
      </c>
      <c r="E442" s="1382" t="n">
        <f aca="false">IF('Ввод данных'!$A$361=связи1!$A$97,IF(дома!E441&lt;связи1!$C$553,0,дома!E441-$C$419),0)+IF(E441=0,0,IF('Ввод данных'!$A$361=связи1!$A$94,IF(дома!E441&lt;0,0,E441-$C$419),0))</f>
        <v>0</v>
      </c>
      <c r="F442" s="1385" t="n">
        <f aca="false">2</f>
        <v>2</v>
      </c>
      <c r="G442" s="933" t="n">
        <f aca="false">C442*D442*E442*F442</f>
        <v>0</v>
      </c>
      <c r="H442" s="933"/>
      <c r="I442" s="933"/>
      <c r="J442" s="933"/>
      <c r="K442" s="933"/>
      <c r="L442" s="933"/>
      <c r="M442" s="933"/>
      <c r="N442" s="933"/>
      <c r="O442" s="933"/>
      <c r="P442" s="1290"/>
      <c r="Q442" s="1290"/>
      <c r="R442" s="1290"/>
      <c r="S442" s="933"/>
      <c r="T442" s="933"/>
      <c r="U442" s="1329"/>
      <c r="V442" s="933"/>
      <c r="W442" s="933"/>
      <c r="X442" s="933"/>
      <c r="Y442" s="1290"/>
      <c r="Z442" s="1290"/>
      <c r="AA442" s="933"/>
      <c r="AB442" s="933"/>
      <c r="AC442" s="933"/>
      <c r="AD442" s="933"/>
    </row>
    <row r="443" customFormat="false" ht="15.75" hidden="false" customHeight="true" outlineLevel="1" collapsed="false">
      <c r="A443" s="1382" t="s">
        <v>3198</v>
      </c>
      <c r="B443" s="1383" t="s">
        <v>156</v>
      </c>
      <c r="C443" s="1384" t="n">
        <f aca="false">$B$402</f>
        <v>0.4</v>
      </c>
      <c r="D443" s="1382" t="n">
        <f aca="false">$J$399</f>
        <v>0.05</v>
      </c>
      <c r="E443" s="1382" t="n">
        <f aca="false">IF('Ввод данных'!$A$361=связи1!$A$97,IF(дома!E442&lt;связи1!$C$553,0,дома!E442-$C$419),0)+IF(E442=0,0,IF('Ввод данных'!$A$361=связи1!$A$94,IF(дома!E442&lt;0,0,E442-$C$419),0))</f>
        <v>0</v>
      </c>
      <c r="F443" s="1385" t="n">
        <f aca="false">2</f>
        <v>2</v>
      </c>
      <c r="G443" s="933" t="n">
        <f aca="false">C443*D443*E443*F443</f>
        <v>0</v>
      </c>
      <c r="H443" s="933"/>
      <c r="I443" s="933"/>
      <c r="J443" s="933"/>
      <c r="K443" s="933"/>
      <c r="L443" s="933"/>
      <c r="M443" s="933"/>
      <c r="N443" s="933"/>
      <c r="O443" s="933"/>
      <c r="P443" s="1290"/>
      <c r="Q443" s="1290"/>
      <c r="R443" s="1290"/>
      <c r="S443" s="933"/>
      <c r="T443" s="933"/>
      <c r="U443" s="1329"/>
      <c r="V443" s="933"/>
      <c r="W443" s="933"/>
      <c r="X443" s="933"/>
      <c r="Y443" s="1290"/>
      <c r="Z443" s="1290"/>
      <c r="AA443" s="933"/>
      <c r="AB443" s="933"/>
      <c r="AC443" s="933"/>
      <c r="AD443" s="933"/>
    </row>
    <row r="444" customFormat="false" ht="15.75" hidden="false" customHeight="true" outlineLevel="1" collapsed="false">
      <c r="A444" s="1382" t="s">
        <v>3199</v>
      </c>
      <c r="B444" s="1383" t="s">
        <v>156</v>
      </c>
      <c r="C444" s="1384" t="n">
        <f aca="false">$B$402</f>
        <v>0.4</v>
      </c>
      <c r="D444" s="1382" t="n">
        <f aca="false">$J$399</f>
        <v>0.05</v>
      </c>
      <c r="E444" s="1382" t="n">
        <f aca="false">IF('Ввод данных'!$A$361=связи1!$A$97,IF(дома!E443&lt;связи1!$C$553,0,дома!E443-$C$419),0)+IF(E443=0,0,IF('Ввод данных'!$A$361=связи1!$A$94,IF(дома!E443&lt;0,0,E443-$C$419),0))</f>
        <v>0</v>
      </c>
      <c r="F444" s="1385" t="n">
        <f aca="false">2</f>
        <v>2</v>
      </c>
      <c r="G444" s="933" t="n">
        <f aca="false">C444*D444*E444*F444</f>
        <v>0</v>
      </c>
      <c r="H444" s="933"/>
      <c r="I444" s="933"/>
      <c r="J444" s="933"/>
      <c r="K444" s="933"/>
      <c r="L444" s="933"/>
      <c r="M444" s="933"/>
      <c r="N444" s="933"/>
      <c r="O444" s="933"/>
      <c r="P444" s="1290"/>
      <c r="Q444" s="1290"/>
      <c r="R444" s="1290"/>
      <c r="S444" s="933"/>
      <c r="T444" s="933"/>
      <c r="U444" s="1329"/>
      <c r="V444" s="933"/>
      <c r="W444" s="933"/>
      <c r="X444" s="933"/>
      <c r="Y444" s="1290"/>
      <c r="Z444" s="1290"/>
      <c r="AA444" s="933"/>
      <c r="AB444" s="933"/>
      <c r="AC444" s="933"/>
      <c r="AD444" s="933"/>
    </row>
    <row r="445" customFormat="false" ht="15.75" hidden="false" customHeight="true" outlineLevel="1" collapsed="false">
      <c r="A445" s="1382" t="s">
        <v>3200</v>
      </c>
      <c r="B445" s="1383" t="s">
        <v>156</v>
      </c>
      <c r="C445" s="1384" t="n">
        <f aca="false">$B$402</f>
        <v>0.4</v>
      </c>
      <c r="D445" s="1382" t="n">
        <f aca="false">$J$399</f>
        <v>0.05</v>
      </c>
      <c r="E445" s="1382" t="n">
        <f aca="false">IF('Ввод данных'!$A$360=связи1!$A$106,IF(дома!E444&lt;связи1!$C$553,0,дома!E444-$C$419),0)</f>
        <v>0</v>
      </c>
      <c r="F445" s="1385" t="n">
        <f aca="false">2</f>
        <v>2</v>
      </c>
      <c r="G445" s="933" t="n">
        <f aca="false">C445*D445*E445*F445</f>
        <v>0</v>
      </c>
      <c r="H445" s="933"/>
      <c r="I445" s="933"/>
      <c r="J445" s="933"/>
      <c r="K445" s="933"/>
      <c r="L445" s="933"/>
      <c r="M445" s="933"/>
      <c r="N445" s="933"/>
      <c r="O445" s="933"/>
      <c r="P445" s="1290"/>
      <c r="Q445" s="1290"/>
      <c r="R445" s="1290"/>
      <c r="S445" s="933"/>
      <c r="T445" s="933"/>
      <c r="U445" s="1329"/>
      <c r="V445" s="933"/>
      <c r="W445" s="933"/>
      <c r="X445" s="933"/>
      <c r="Y445" s="1290"/>
      <c r="Z445" s="1290"/>
      <c r="AA445" s="933"/>
      <c r="AB445" s="933"/>
      <c r="AC445" s="933"/>
      <c r="AD445" s="933"/>
    </row>
    <row r="446" customFormat="false" ht="15.75" hidden="false" customHeight="true" outlineLevel="1" collapsed="false">
      <c r="A446" s="1382" t="s">
        <v>3201</v>
      </c>
      <c r="B446" s="1383" t="s">
        <v>156</v>
      </c>
      <c r="C446" s="1384" t="n">
        <f aca="false">$B$402</f>
        <v>0.4</v>
      </c>
      <c r="D446" s="1382" t="n">
        <f aca="false">$J$399</f>
        <v>0.05</v>
      </c>
      <c r="E446" s="1382" t="n">
        <f aca="false">IF('Ввод данных'!$A$360=связи1!$A$106,IF(дома!E445&lt;связи1!$C$553,0,дома!E445-$C$419),0)</f>
        <v>0</v>
      </c>
      <c r="F446" s="1385" t="n">
        <f aca="false">2</f>
        <v>2</v>
      </c>
      <c r="G446" s="933" t="n">
        <f aca="false">C446*D446*E446*F446</f>
        <v>0</v>
      </c>
      <c r="H446" s="933"/>
      <c r="I446" s="933"/>
      <c r="J446" s="933"/>
      <c r="K446" s="933"/>
      <c r="L446" s="933"/>
      <c r="M446" s="933"/>
      <c r="N446" s="933"/>
      <c r="O446" s="933"/>
      <c r="P446" s="1290"/>
      <c r="Q446" s="1290"/>
      <c r="R446" s="1290"/>
      <c r="S446" s="933"/>
      <c r="T446" s="933"/>
      <c r="U446" s="1329"/>
      <c r="V446" s="933"/>
      <c r="W446" s="933"/>
      <c r="X446" s="933"/>
      <c r="Y446" s="1290"/>
      <c r="Z446" s="1290"/>
      <c r="AA446" s="933"/>
      <c r="AB446" s="933"/>
      <c r="AC446" s="933"/>
      <c r="AD446" s="933"/>
    </row>
    <row r="447" customFormat="false" ht="15.75" hidden="false" customHeight="true" outlineLevel="1" collapsed="false">
      <c r="A447" s="957" t="s">
        <v>3202</v>
      </c>
      <c r="B447" s="1212" t="s">
        <v>156</v>
      </c>
      <c r="C447" s="1213" t="n">
        <f aca="false">$B$402</f>
        <v>0.4</v>
      </c>
      <c r="D447" s="957" t="n">
        <f aca="false">$J$399</f>
        <v>0.05</v>
      </c>
      <c r="E447" s="957" t="n">
        <f aca="false">IF('Ввод данных'!A360=связи1!A107,IF('Ввод данных'!A361=связи1!A94,связи1!C554-связи1!C553,0)+IF('Ввод данных'!A361=связи1!A95,0,0)+IF('Ввод данных'!A361=связи1!A96,0,0)+IF('Ввод данных'!A360=связи1!A107,IF('Ввод данных'!A361=связи1!A97,связи1!C554,0),0)+IF('Ввод данных'!A361=связи1!A98,0,0),0)</f>
        <v>5</v>
      </c>
      <c r="F447" s="1209" t="n">
        <f aca="false">2</f>
        <v>2</v>
      </c>
      <c r="G447" s="933" t="n">
        <f aca="false">C447*D447*E447*F447</f>
        <v>0.2</v>
      </c>
      <c r="H447" s="933"/>
      <c r="I447" s="933"/>
      <c r="J447" s="933"/>
      <c r="K447" s="933"/>
      <c r="L447" s="933"/>
      <c r="M447" s="933"/>
      <c r="N447" s="933"/>
      <c r="O447" s="933"/>
      <c r="P447" s="1290"/>
      <c r="Q447" s="1290"/>
      <c r="R447" s="1290"/>
      <c r="S447" s="933"/>
      <c r="T447" s="933"/>
      <c r="U447" s="1329"/>
      <c r="V447" s="933"/>
      <c r="W447" s="933"/>
      <c r="X447" s="933"/>
      <c r="Y447" s="1290"/>
      <c r="Z447" s="1290"/>
      <c r="AA447" s="933"/>
      <c r="AB447" s="933"/>
      <c r="AC447" s="933"/>
      <c r="AD447" s="933"/>
    </row>
    <row r="448" customFormat="false" ht="15.75" hidden="false" customHeight="true" outlineLevel="1" collapsed="false">
      <c r="A448" s="957" t="s">
        <v>3203</v>
      </c>
      <c r="B448" s="1212" t="s">
        <v>156</v>
      </c>
      <c r="C448" s="1213" t="n">
        <f aca="false">$B$402</f>
        <v>0.4</v>
      </c>
      <c r="D448" s="957" t="n">
        <f aca="false">$J$399</f>
        <v>0.05</v>
      </c>
      <c r="E448" s="957" t="n">
        <f aca="false">IF('Ввод данных'!$A$361=связи1!$A$97,IF(дома!E447&lt;связи1!$C$553,0,дома!E447-$C$419),0)+IF(дома!E447=0,0,IF('Ввод данных'!$A$361=связи1!$A$94,IF(дома!E447&lt;0,0,дома!E447-$C$419),0))</f>
        <v>5</v>
      </c>
      <c r="F448" s="1209" t="n">
        <f aca="false">2</f>
        <v>2</v>
      </c>
      <c r="G448" s="933" t="n">
        <f aca="false">C448*D448*E448*F448</f>
        <v>0.2</v>
      </c>
      <c r="H448" s="933"/>
      <c r="I448" s="933"/>
      <c r="J448" s="933"/>
      <c r="K448" s="933"/>
      <c r="L448" s="933"/>
      <c r="M448" s="933"/>
      <c r="N448" s="933"/>
      <c r="O448" s="933"/>
      <c r="P448" s="1290"/>
      <c r="Q448" s="1290"/>
      <c r="R448" s="1290"/>
      <c r="S448" s="933"/>
      <c r="T448" s="933"/>
      <c r="U448" s="1329"/>
      <c r="V448" s="933"/>
      <c r="W448" s="933"/>
      <c r="X448" s="933"/>
      <c r="Y448" s="1290"/>
      <c r="Z448" s="1290"/>
      <c r="AA448" s="933"/>
      <c r="AB448" s="933"/>
      <c r="AC448" s="933"/>
      <c r="AD448" s="933"/>
    </row>
    <row r="449" customFormat="false" ht="15.75" hidden="false" customHeight="true" outlineLevel="1" collapsed="false">
      <c r="A449" s="957" t="s">
        <v>3204</v>
      </c>
      <c r="B449" s="1212" t="s">
        <v>156</v>
      </c>
      <c r="C449" s="1213" t="n">
        <f aca="false">$B$402</f>
        <v>0.4</v>
      </c>
      <c r="D449" s="957" t="n">
        <f aca="false">$J$399</f>
        <v>0.05</v>
      </c>
      <c r="E449" s="957" t="n">
        <f aca="false">IF('Ввод данных'!$A$361=связи1!$A$97,IF(дома!E448&lt;связи1!$C$553,0,дома!E448-$C$419),0)+IF(дома!E448=0,0,IF('Ввод данных'!$A$361=связи1!$A$94,IF(дома!E448&lt;0,0,дома!E448-$C$419),0))</f>
        <v>5</v>
      </c>
      <c r="F449" s="1209" t="n">
        <f aca="false">2</f>
        <v>2</v>
      </c>
      <c r="G449" s="933" t="n">
        <f aca="false">C449*D449*E449*F449</f>
        <v>0.2</v>
      </c>
      <c r="H449" s="933"/>
      <c r="I449" s="933"/>
      <c r="J449" s="933"/>
      <c r="K449" s="933"/>
      <c r="L449" s="933"/>
      <c r="M449" s="933"/>
      <c r="N449" s="933"/>
      <c r="O449" s="933"/>
      <c r="P449" s="1290"/>
      <c r="Q449" s="1290"/>
      <c r="R449" s="1290"/>
      <c r="S449" s="933"/>
      <c r="T449" s="933"/>
      <c r="U449" s="1329"/>
      <c r="V449" s="933"/>
      <c r="W449" s="933"/>
      <c r="X449" s="933"/>
      <c r="Y449" s="1290"/>
      <c r="Z449" s="1290"/>
      <c r="AA449" s="933"/>
      <c r="AB449" s="933"/>
      <c r="AC449" s="933"/>
      <c r="AD449" s="933"/>
    </row>
    <row r="450" customFormat="false" ht="15.75" hidden="false" customHeight="true" outlineLevel="1" collapsed="false">
      <c r="A450" s="957" t="s">
        <v>3205</v>
      </c>
      <c r="B450" s="1212" t="s">
        <v>156</v>
      </c>
      <c r="C450" s="1213" t="n">
        <f aca="false">$B$402</f>
        <v>0.4</v>
      </c>
      <c r="D450" s="957" t="n">
        <f aca="false">$J$399</f>
        <v>0.05</v>
      </c>
      <c r="E450" s="957" t="n">
        <f aca="false">IF('Ввод данных'!$A$361=связи1!$A$97,IF(дома!E449&lt;связи1!$C$553,0,дома!E449-$C$419),0)+IF(дома!E449=0,0,IF('Ввод данных'!$A$361=связи1!$A$94,IF(дома!E449&lt;0,0,дома!E449-$C$419),0))</f>
        <v>5</v>
      </c>
      <c r="F450" s="1209" t="n">
        <f aca="false">2</f>
        <v>2</v>
      </c>
      <c r="G450" s="933" t="n">
        <f aca="false">C450*D450*E450*F450</f>
        <v>0.2</v>
      </c>
      <c r="H450" s="933"/>
      <c r="I450" s="933"/>
      <c r="J450" s="933"/>
      <c r="K450" s="933"/>
      <c r="L450" s="933"/>
      <c r="M450" s="933"/>
      <c r="N450" s="933"/>
      <c r="O450" s="933"/>
      <c r="P450" s="1290"/>
      <c r="Q450" s="1290"/>
      <c r="R450" s="1290"/>
      <c r="S450" s="933"/>
      <c r="T450" s="933"/>
      <c r="U450" s="1329"/>
      <c r="V450" s="933"/>
      <c r="W450" s="933"/>
      <c r="X450" s="933"/>
      <c r="Y450" s="1290"/>
      <c r="Z450" s="1290"/>
      <c r="AA450" s="933"/>
      <c r="AB450" s="933"/>
      <c r="AC450" s="933"/>
      <c r="AD450" s="933"/>
    </row>
    <row r="451" customFormat="false" ht="15.75" hidden="false" customHeight="true" outlineLevel="1" collapsed="false">
      <c r="A451" s="957" t="s">
        <v>3206</v>
      </c>
      <c r="B451" s="1212" t="s">
        <v>156</v>
      </c>
      <c r="C451" s="1213" t="n">
        <f aca="false">$B$402</f>
        <v>0.4</v>
      </c>
      <c r="D451" s="957" t="n">
        <f aca="false">$J$399</f>
        <v>0.05</v>
      </c>
      <c r="E451" s="957" t="n">
        <f aca="false">IF('Ввод данных'!$A$361=связи1!$A$97,IF(дома!E450&lt;связи1!$C$553,0,дома!E450-$C$419),0)+IF(дома!E450=0,0,IF('Ввод данных'!$A$361=связи1!$A$94,IF(дома!E450&lt;0,0,дома!E450-$C$419),0))</f>
        <v>5</v>
      </c>
      <c r="F451" s="1209" t="n">
        <f aca="false">2</f>
        <v>2</v>
      </c>
      <c r="G451" s="933" t="n">
        <f aca="false">C451*D451*E451*F451</f>
        <v>0.2</v>
      </c>
      <c r="H451" s="933"/>
      <c r="I451" s="933"/>
      <c r="J451" s="933"/>
      <c r="K451" s="933"/>
      <c r="L451" s="933"/>
      <c r="M451" s="933"/>
      <c r="N451" s="933"/>
      <c r="O451" s="933"/>
      <c r="P451" s="1290"/>
      <c r="Q451" s="1290"/>
      <c r="R451" s="1290"/>
      <c r="S451" s="933"/>
      <c r="T451" s="933"/>
      <c r="U451" s="1329"/>
      <c r="V451" s="933"/>
      <c r="W451" s="933"/>
      <c r="X451" s="933"/>
      <c r="Y451" s="1290"/>
      <c r="Z451" s="1290"/>
      <c r="AA451" s="933"/>
      <c r="AB451" s="933"/>
      <c r="AC451" s="933"/>
      <c r="AD451" s="933"/>
    </row>
    <row r="452" customFormat="false" ht="15.75" hidden="false" customHeight="true" outlineLevel="1" collapsed="false">
      <c r="A452" s="957" t="s">
        <v>3207</v>
      </c>
      <c r="B452" s="1212" t="s">
        <v>156</v>
      </c>
      <c r="C452" s="1213" t="n">
        <f aca="false">$B$402</f>
        <v>0.4</v>
      </c>
      <c r="D452" s="957" t="n">
        <f aca="false">$J$399</f>
        <v>0.05</v>
      </c>
      <c r="E452" s="957" t="n">
        <f aca="false">IF('Ввод данных'!$A$361=связи1!$A$97,IF(дома!E451&lt;связи1!$C$553,0,дома!E451-$C$419),0)+IF(дома!E451=0,0,IF('Ввод данных'!$A$361=связи1!$A$94,IF(дома!E451&lt;0,0,дома!E451-$C$419),0))</f>
        <v>5</v>
      </c>
      <c r="F452" s="1209" t="n">
        <f aca="false">2</f>
        <v>2</v>
      </c>
      <c r="G452" s="933" t="n">
        <f aca="false">C452*D452*E452*F452</f>
        <v>0.2</v>
      </c>
      <c r="H452" s="933"/>
      <c r="I452" s="933"/>
      <c r="J452" s="933"/>
      <c r="K452" s="933"/>
      <c r="L452" s="933"/>
      <c r="M452" s="933"/>
      <c r="N452" s="933"/>
      <c r="O452" s="933"/>
      <c r="P452" s="1290"/>
      <c r="Q452" s="1290"/>
      <c r="R452" s="1290"/>
      <c r="S452" s="933"/>
      <c r="T452" s="933"/>
      <c r="U452" s="1329"/>
      <c r="V452" s="933"/>
      <c r="W452" s="933"/>
      <c r="X452" s="933"/>
      <c r="Y452" s="1290"/>
      <c r="Z452" s="1290"/>
      <c r="AA452" s="933"/>
      <c r="AB452" s="933"/>
      <c r="AC452" s="933"/>
      <c r="AD452" s="933"/>
    </row>
    <row r="453" customFormat="false" ht="15.75" hidden="false" customHeight="true" outlineLevel="1" collapsed="false">
      <c r="A453" s="957" t="s">
        <v>3208</v>
      </c>
      <c r="B453" s="1212" t="s">
        <v>156</v>
      </c>
      <c r="C453" s="1213" t="n">
        <f aca="false">$B$402</f>
        <v>0.4</v>
      </c>
      <c r="D453" s="957" t="n">
        <f aca="false">$J$399</f>
        <v>0.05</v>
      </c>
      <c r="E453" s="957" t="n">
        <f aca="false">IF('Ввод данных'!$A$361=связи1!$A$97,IF(дома!E452&lt;связи1!$C$553,0,дома!E452-$C$419),0)+IF(дома!E452=0,0,IF('Ввод данных'!$A$361=связи1!$A$94,IF(дома!E452&lt;0,0,дома!E452-$C$419),0))</f>
        <v>5</v>
      </c>
      <c r="F453" s="1209" t="n">
        <f aca="false">2</f>
        <v>2</v>
      </c>
      <c r="G453" s="933" t="n">
        <f aca="false">C453*D453*E453*F453</f>
        <v>0.2</v>
      </c>
      <c r="H453" s="933"/>
      <c r="I453" s="933"/>
      <c r="J453" s="933"/>
      <c r="K453" s="933"/>
      <c r="L453" s="933"/>
      <c r="M453" s="933"/>
      <c r="N453" s="933"/>
      <c r="O453" s="933"/>
      <c r="P453" s="1290"/>
      <c r="Q453" s="1290"/>
      <c r="R453" s="1290"/>
      <c r="S453" s="933"/>
      <c r="T453" s="933"/>
      <c r="U453" s="1329"/>
      <c r="V453" s="933"/>
      <c r="W453" s="933"/>
      <c r="X453" s="933"/>
      <c r="Y453" s="1290"/>
      <c r="Z453" s="1290"/>
      <c r="AA453" s="933"/>
      <c r="AB453" s="933"/>
      <c r="AC453" s="933"/>
      <c r="AD453" s="933"/>
    </row>
    <row r="454" customFormat="false" ht="15.75" hidden="false" customHeight="true" outlineLevel="1" collapsed="false">
      <c r="A454" s="957" t="s">
        <v>3209</v>
      </c>
      <c r="B454" s="1212" t="s">
        <v>156</v>
      </c>
      <c r="C454" s="1213" t="n">
        <f aca="false">$B$402</f>
        <v>0.4</v>
      </c>
      <c r="D454" s="957" t="n">
        <f aca="false">$J$399</f>
        <v>0.05</v>
      </c>
      <c r="E454" s="957" t="n">
        <f aca="false">IF('Ввод данных'!$A$361=связи1!$A$97,IF(дома!E453&lt;связи1!$C$553,0,дома!E453-$C$419),0)+IF(дома!E453=0,0,IF('Ввод данных'!$A$361=связи1!$A$94,IF(дома!E453&lt;0,0,дома!E453-$C$419),0))</f>
        <v>5</v>
      </c>
      <c r="F454" s="1209" t="n">
        <f aca="false">2</f>
        <v>2</v>
      </c>
      <c r="G454" s="933" t="n">
        <f aca="false">C454*D454*E454*F454</f>
        <v>0.2</v>
      </c>
      <c r="H454" s="933"/>
      <c r="I454" s="933"/>
      <c r="J454" s="933"/>
      <c r="K454" s="933"/>
      <c r="L454" s="933"/>
      <c r="M454" s="933"/>
      <c r="N454" s="933"/>
      <c r="O454" s="933"/>
      <c r="P454" s="1290"/>
      <c r="Q454" s="1290"/>
      <c r="R454" s="1290"/>
      <c r="S454" s="933"/>
      <c r="T454" s="933"/>
      <c r="U454" s="1329"/>
      <c r="V454" s="933"/>
      <c r="W454" s="933"/>
      <c r="X454" s="933"/>
      <c r="Y454" s="1290"/>
      <c r="Z454" s="1290"/>
      <c r="AA454" s="933"/>
      <c r="AB454" s="933"/>
      <c r="AC454" s="933"/>
      <c r="AD454" s="933"/>
    </row>
    <row r="455" customFormat="false" ht="15.75" hidden="false" customHeight="true" outlineLevel="1" collapsed="false">
      <c r="A455" s="957" t="s">
        <v>3210</v>
      </c>
      <c r="B455" s="1212" t="s">
        <v>156</v>
      </c>
      <c r="C455" s="1213" t="n">
        <f aca="false">$B$402</f>
        <v>0.4</v>
      </c>
      <c r="D455" s="957" t="n">
        <f aca="false">$J$399</f>
        <v>0.05</v>
      </c>
      <c r="E455" s="957" t="n">
        <f aca="false">IF('Ввод данных'!$A$361=связи1!$A$97,IF(дома!E454&lt;связи1!$C$553,0,дома!E454-$C$419),0)+IF(дома!E454=0,0,IF('Ввод данных'!$A$361=связи1!$A$94,IF(дома!E454&lt;0,0,дома!E454-$C$419),0))</f>
        <v>5</v>
      </c>
      <c r="F455" s="1209" t="n">
        <f aca="false">2</f>
        <v>2</v>
      </c>
      <c r="G455" s="933" t="n">
        <f aca="false">C455*D455*E455*F455</f>
        <v>0.2</v>
      </c>
      <c r="H455" s="933"/>
      <c r="I455" s="933"/>
      <c r="J455" s="933"/>
      <c r="K455" s="933"/>
      <c r="L455" s="933"/>
      <c r="M455" s="933"/>
      <c r="N455" s="933"/>
      <c r="O455" s="933"/>
      <c r="P455" s="1290"/>
      <c r="Q455" s="1290"/>
      <c r="R455" s="1290"/>
      <c r="S455" s="933"/>
      <c r="T455" s="933"/>
      <c r="U455" s="1329"/>
      <c r="V455" s="933"/>
      <c r="W455" s="933"/>
      <c r="X455" s="933"/>
      <c r="Y455" s="1290"/>
      <c r="Z455" s="1290"/>
      <c r="AA455" s="933"/>
      <c r="AB455" s="933"/>
      <c r="AC455" s="933"/>
      <c r="AD455" s="933"/>
    </row>
    <row r="456" customFormat="false" ht="15.75" hidden="false" customHeight="true" outlineLevel="1" collapsed="false">
      <c r="A456" s="957" t="s">
        <v>3211</v>
      </c>
      <c r="B456" s="1212" t="s">
        <v>156</v>
      </c>
      <c r="C456" s="1213" t="n">
        <f aca="false">$B$402</f>
        <v>0.4</v>
      </c>
      <c r="D456" s="957" t="n">
        <f aca="false">$J$399</f>
        <v>0.05</v>
      </c>
      <c r="E456" s="957" t="n">
        <f aca="false">IF('Ввод данных'!$A$361=связи1!$A$97,IF(дома!E455&lt;связи1!$C$553,0,дома!E455-$C$419),0)+IF(дома!E455=0,0,IF('Ввод данных'!$A$361=связи1!$A$94,IF(дома!E455&lt;0,0,дома!E455-$C$419),0))</f>
        <v>5</v>
      </c>
      <c r="F456" s="1209" t="n">
        <f aca="false">2</f>
        <v>2</v>
      </c>
      <c r="G456" s="933" t="n">
        <f aca="false">C456*D456*E456*F456</f>
        <v>0.2</v>
      </c>
      <c r="H456" s="933"/>
      <c r="I456" s="933"/>
      <c r="J456" s="933"/>
      <c r="K456" s="933"/>
      <c r="L456" s="933"/>
      <c r="M456" s="933"/>
      <c r="N456" s="933"/>
      <c r="O456" s="933"/>
      <c r="P456" s="1290"/>
      <c r="Q456" s="1290"/>
      <c r="R456" s="1290"/>
      <c r="S456" s="933"/>
      <c r="T456" s="933"/>
      <c r="U456" s="1329"/>
      <c r="V456" s="933"/>
      <c r="W456" s="933"/>
      <c r="X456" s="933"/>
      <c r="Y456" s="1290"/>
      <c r="Z456" s="1290"/>
      <c r="AA456" s="933"/>
      <c r="AB456" s="933"/>
      <c r="AC456" s="933"/>
      <c r="AD456" s="933"/>
    </row>
    <row r="457" customFormat="false" ht="15.75" hidden="false" customHeight="true" outlineLevel="1" collapsed="false">
      <c r="A457" s="957" t="s">
        <v>3212</v>
      </c>
      <c r="B457" s="1212" t="s">
        <v>156</v>
      </c>
      <c r="C457" s="1213" t="n">
        <f aca="false">$B$402</f>
        <v>0.4</v>
      </c>
      <c r="D457" s="957" t="n">
        <f aca="false">$J$399</f>
        <v>0.05</v>
      </c>
      <c r="E457" s="957" t="n">
        <f aca="false">IF('Ввод данных'!$A$361=связи1!$A$97,IF(дома!E456&lt;связи1!$C$553,0,дома!E456-$C$419),0)+IF(дома!E456=0,0,IF('Ввод данных'!$A$361=связи1!$A$94,IF(дома!E456&lt;0,0,дома!E456-$C$419),0))</f>
        <v>5</v>
      </c>
      <c r="F457" s="1209" t="n">
        <f aca="false">2</f>
        <v>2</v>
      </c>
      <c r="G457" s="933" t="n">
        <f aca="false">C457*D457*E457*F457</f>
        <v>0.2</v>
      </c>
      <c r="H457" s="933"/>
      <c r="I457" s="933"/>
      <c r="J457" s="933"/>
      <c r="K457" s="933"/>
      <c r="L457" s="933"/>
      <c r="M457" s="933"/>
      <c r="N457" s="933"/>
      <c r="O457" s="933"/>
      <c r="P457" s="1290"/>
      <c r="Q457" s="1290"/>
      <c r="R457" s="1290"/>
      <c r="S457" s="933"/>
      <c r="T457" s="933"/>
      <c r="U457" s="1329"/>
      <c r="V457" s="933"/>
      <c r="W457" s="933"/>
      <c r="X457" s="933"/>
      <c r="Y457" s="1290"/>
      <c r="Z457" s="1290"/>
      <c r="AA457" s="933"/>
      <c r="AB457" s="933"/>
      <c r="AC457" s="933"/>
      <c r="AD457" s="933"/>
    </row>
    <row r="458" customFormat="false" ht="15.75" hidden="false" customHeight="true" outlineLevel="1" collapsed="false">
      <c r="A458" s="957" t="s">
        <v>3213</v>
      </c>
      <c r="B458" s="1212" t="s">
        <v>156</v>
      </c>
      <c r="C458" s="1213" t="n">
        <f aca="false">$B$402</f>
        <v>0.4</v>
      </c>
      <c r="D458" s="957" t="n">
        <f aca="false">$J$399</f>
        <v>0.05</v>
      </c>
      <c r="E458" s="957" t="n">
        <f aca="false">IF('Ввод данных'!$A$361=связи1!$A$97,IF(дома!E457&lt;связи1!$C$553,0,дома!E457-$C$419),0)+IF(дома!E457=0,0,IF('Ввод данных'!$A$361=связи1!$A$94,IF(дома!E457&lt;0,0,дома!E457-$C$419),0))</f>
        <v>5</v>
      </c>
      <c r="F458" s="1209" t="n">
        <f aca="false">2</f>
        <v>2</v>
      </c>
      <c r="G458" s="933" t="n">
        <f aca="false">C458*D458*E458*F458</f>
        <v>0.2</v>
      </c>
      <c r="H458" s="933"/>
      <c r="I458" s="933"/>
      <c r="J458" s="933"/>
      <c r="K458" s="933"/>
      <c r="L458" s="933"/>
      <c r="M458" s="933"/>
      <c r="N458" s="933"/>
      <c r="O458" s="933"/>
      <c r="P458" s="1290"/>
      <c r="Q458" s="1290"/>
      <c r="R458" s="1290"/>
      <c r="S458" s="933"/>
      <c r="T458" s="933"/>
      <c r="U458" s="1329"/>
      <c r="V458" s="933"/>
      <c r="W458" s="933"/>
      <c r="X458" s="933"/>
      <c r="Y458" s="1290"/>
      <c r="Z458" s="1290"/>
      <c r="AA458" s="933"/>
      <c r="AB458" s="933"/>
      <c r="AC458" s="933"/>
      <c r="AD458" s="933"/>
    </row>
    <row r="459" customFormat="false" ht="15.75" hidden="false" customHeight="true" outlineLevel="1" collapsed="false">
      <c r="A459" s="957" t="s">
        <v>3214</v>
      </c>
      <c r="B459" s="1212" t="s">
        <v>156</v>
      </c>
      <c r="C459" s="1213" t="n">
        <f aca="false">$B$402</f>
        <v>0.4</v>
      </c>
      <c r="D459" s="957" t="n">
        <f aca="false">$J$399</f>
        <v>0.05</v>
      </c>
      <c r="E459" s="957" t="n">
        <f aca="false">IF('Ввод данных'!$A$361=связи1!$A$97,IF(дома!E458&lt;связи1!$C$553,0,дома!E458-$C$419),0)+IF(дома!E458=0,0,IF('Ввод данных'!$A$361=связи1!$A$94,IF(дома!E458&lt;0,0,дома!E458-$C$419),0))</f>
        <v>5</v>
      </c>
      <c r="F459" s="1209" t="n">
        <f aca="false">2</f>
        <v>2</v>
      </c>
      <c r="G459" s="933" t="n">
        <f aca="false">C459*D459*E459*F459</f>
        <v>0.2</v>
      </c>
      <c r="H459" s="933"/>
      <c r="I459" s="933"/>
      <c r="J459" s="933"/>
      <c r="K459" s="933"/>
      <c r="L459" s="933"/>
      <c r="M459" s="933"/>
      <c r="N459" s="933"/>
      <c r="O459" s="933"/>
      <c r="P459" s="1290"/>
      <c r="Q459" s="1290"/>
      <c r="R459" s="1290"/>
      <c r="S459" s="933"/>
      <c r="T459" s="933"/>
      <c r="U459" s="1329"/>
      <c r="V459" s="933"/>
      <c r="W459" s="933"/>
      <c r="X459" s="933"/>
      <c r="Y459" s="1290"/>
      <c r="Z459" s="1290"/>
      <c r="AA459" s="933"/>
      <c r="AB459" s="933"/>
      <c r="AC459" s="933"/>
      <c r="AD459" s="933"/>
    </row>
    <row r="460" customFormat="false" ht="15.75" hidden="false" customHeight="true" outlineLevel="1" collapsed="false">
      <c r="A460" s="957" t="s">
        <v>3215</v>
      </c>
      <c r="B460" s="1212" t="s">
        <v>156</v>
      </c>
      <c r="C460" s="1213" t="n">
        <f aca="false">$B$402</f>
        <v>0.4</v>
      </c>
      <c r="D460" s="957" t="n">
        <f aca="false">$J$399</f>
        <v>0.05</v>
      </c>
      <c r="E460" s="957" t="n">
        <f aca="false">IF('Ввод данных'!$A$361=связи1!$A$97,IF(дома!E459&lt;связи1!$C$553,0,дома!E459-$C$419),0)+IF(дома!E459=0,0,IF('Ввод данных'!$A$361=связи1!$A$94,IF(дома!E459&lt;0,0,дома!E459-$C$419),0))</f>
        <v>5</v>
      </c>
      <c r="F460" s="1209" t="n">
        <f aca="false">2</f>
        <v>2</v>
      </c>
      <c r="G460" s="933" t="n">
        <f aca="false">C460*D460*E460*F460</f>
        <v>0.2</v>
      </c>
      <c r="H460" s="933"/>
      <c r="I460" s="933"/>
      <c r="J460" s="933"/>
      <c r="K460" s="933"/>
      <c r="L460" s="933"/>
      <c r="M460" s="933"/>
      <c r="N460" s="933"/>
      <c r="O460" s="933"/>
      <c r="P460" s="1290"/>
      <c r="Q460" s="1290"/>
      <c r="R460" s="1290"/>
      <c r="S460" s="933"/>
      <c r="T460" s="933"/>
      <c r="U460" s="1329"/>
      <c r="V460" s="933"/>
      <c r="W460" s="933"/>
      <c r="X460" s="933"/>
      <c r="Y460" s="1290"/>
      <c r="Z460" s="1290"/>
      <c r="AA460" s="933"/>
      <c r="AB460" s="933"/>
      <c r="AC460" s="933"/>
      <c r="AD460" s="933"/>
    </row>
    <row r="461" customFormat="false" ht="15.75" hidden="false" customHeight="true" outlineLevel="1" collapsed="false">
      <c r="A461" s="957" t="s">
        <v>3216</v>
      </c>
      <c r="B461" s="1212" t="s">
        <v>156</v>
      </c>
      <c r="C461" s="1213" t="n">
        <f aca="false">$B$402</f>
        <v>0.4</v>
      </c>
      <c r="D461" s="957" t="n">
        <f aca="false">$J$399</f>
        <v>0.05</v>
      </c>
      <c r="E461" s="957" t="n">
        <f aca="false">IF('Ввод данных'!$A$361=связи1!$A$97,IF(дома!E460&lt;связи1!$C$553,0,дома!E460-$C$419),0)+IF(дома!E460=0,0,IF('Ввод данных'!$A$361=связи1!$A$94,IF(дома!E460&lt;0,0,дома!E460-$C$419),0))</f>
        <v>5</v>
      </c>
      <c r="F461" s="1209" t="n">
        <f aca="false">2</f>
        <v>2</v>
      </c>
      <c r="G461" s="933" t="n">
        <f aca="false">C461*D461*E461*F461</f>
        <v>0.2</v>
      </c>
      <c r="H461" s="933"/>
      <c r="I461" s="933"/>
      <c r="J461" s="933"/>
      <c r="K461" s="933"/>
      <c r="L461" s="933"/>
      <c r="M461" s="933"/>
      <c r="N461" s="933"/>
      <c r="O461" s="933"/>
      <c r="P461" s="1290"/>
      <c r="Q461" s="1290"/>
      <c r="R461" s="1290"/>
      <c r="S461" s="933"/>
      <c r="T461" s="933"/>
      <c r="U461" s="1329"/>
      <c r="V461" s="933"/>
      <c r="W461" s="933"/>
      <c r="X461" s="933"/>
      <c r="Y461" s="1290"/>
      <c r="Z461" s="1290"/>
      <c r="AA461" s="933"/>
      <c r="AB461" s="933"/>
      <c r="AC461" s="933"/>
      <c r="AD461" s="933"/>
    </row>
    <row r="462" customFormat="false" ht="15.75" hidden="false" customHeight="true" outlineLevel="1" collapsed="false">
      <c r="A462" s="957" t="s">
        <v>3217</v>
      </c>
      <c r="B462" s="1212" t="s">
        <v>156</v>
      </c>
      <c r="C462" s="1213" t="n">
        <f aca="false">$B$402</f>
        <v>0.4</v>
      </c>
      <c r="D462" s="957" t="n">
        <f aca="false">$J$399</f>
        <v>0.05</v>
      </c>
      <c r="E462" s="957" t="n">
        <f aca="false">IF('Ввод данных'!$A$361=связи1!$A$97,IF(дома!E461&lt;связи1!$C$553,0,дома!E461-$C$419),0)+IF(дома!E461=0,0,IF('Ввод данных'!$A$361=связи1!$A$94,IF(дома!E461&lt;0,0,дома!E461-$C$419),0))</f>
        <v>5</v>
      </c>
      <c r="F462" s="1209" t="n">
        <f aca="false">2</f>
        <v>2</v>
      </c>
      <c r="G462" s="933" t="n">
        <f aca="false">C462*D462*E462*F462</f>
        <v>0.2</v>
      </c>
      <c r="H462" s="933"/>
      <c r="I462" s="933"/>
      <c r="J462" s="933"/>
      <c r="K462" s="933"/>
      <c r="L462" s="933"/>
      <c r="M462" s="933"/>
      <c r="N462" s="933"/>
      <c r="O462" s="933"/>
      <c r="P462" s="1290"/>
      <c r="Q462" s="1290"/>
      <c r="R462" s="1290"/>
      <c r="S462" s="933"/>
      <c r="T462" s="933"/>
      <c r="U462" s="1329"/>
      <c r="V462" s="933"/>
      <c r="W462" s="933"/>
      <c r="X462" s="933"/>
      <c r="Y462" s="1290"/>
      <c r="Z462" s="1290"/>
      <c r="AA462" s="933"/>
      <c r="AB462" s="933"/>
      <c r="AC462" s="933"/>
      <c r="AD462" s="933"/>
    </row>
    <row r="463" customFormat="false" ht="15.75" hidden="false" customHeight="true" outlineLevel="1" collapsed="false">
      <c r="A463" s="957" t="s">
        <v>3218</v>
      </c>
      <c r="B463" s="1212" t="s">
        <v>156</v>
      </c>
      <c r="C463" s="1213" t="n">
        <f aca="false">$B$402</f>
        <v>0.4</v>
      </c>
      <c r="D463" s="957" t="n">
        <f aca="false">$J$399</f>
        <v>0.05</v>
      </c>
      <c r="E463" s="957" t="n">
        <f aca="false">IF('Ввод данных'!$A$361=связи1!$A$97,IF(дома!E462&lt;связи1!$C$553,0,дома!E462-$C$419),0)+IF(дома!E462=0,0,IF('Ввод данных'!$A$361=связи1!$A$94,IF(дома!E462&lt;0,0,дома!E462-$C$419),0))</f>
        <v>5</v>
      </c>
      <c r="F463" s="1209" t="n">
        <f aca="false">2</f>
        <v>2</v>
      </c>
      <c r="G463" s="933" t="n">
        <f aca="false">C463*D463*E463*F463</f>
        <v>0.2</v>
      </c>
      <c r="H463" s="933"/>
      <c r="I463" s="933"/>
      <c r="J463" s="933"/>
      <c r="K463" s="933"/>
      <c r="L463" s="933"/>
      <c r="M463" s="933"/>
      <c r="N463" s="933"/>
      <c r="O463" s="933"/>
      <c r="P463" s="1290"/>
      <c r="Q463" s="1290"/>
      <c r="R463" s="1290"/>
      <c r="S463" s="933"/>
      <c r="T463" s="933"/>
      <c r="U463" s="1329"/>
      <c r="V463" s="933"/>
      <c r="W463" s="933"/>
      <c r="X463" s="933"/>
      <c r="Y463" s="1290"/>
      <c r="Z463" s="1290"/>
      <c r="AA463" s="933"/>
      <c r="AB463" s="933"/>
      <c r="AC463" s="933"/>
      <c r="AD463" s="933"/>
    </row>
    <row r="464" customFormat="false" ht="15.75" hidden="false" customHeight="true" outlineLevel="1" collapsed="false">
      <c r="A464" s="1372"/>
      <c r="B464" s="1375"/>
      <c r="C464" s="887"/>
      <c r="D464" s="933"/>
      <c r="E464" s="933"/>
      <c r="F464" s="1023"/>
      <c r="G464" s="933" t="n">
        <f aca="false">C464*D464*E464*F464</f>
        <v>0</v>
      </c>
      <c r="H464" s="933"/>
      <c r="I464" s="933"/>
      <c r="J464" s="933"/>
      <c r="K464" s="933"/>
      <c r="L464" s="933"/>
      <c r="M464" s="933"/>
      <c r="N464" s="933"/>
      <c r="O464" s="933"/>
      <c r="P464" s="1290"/>
      <c r="Q464" s="1290"/>
      <c r="R464" s="1290"/>
      <c r="S464" s="933"/>
      <c r="T464" s="933"/>
      <c r="U464" s="1329"/>
      <c r="V464" s="933"/>
      <c r="W464" s="933"/>
      <c r="X464" s="933"/>
      <c r="Y464" s="1290"/>
      <c r="Z464" s="1290"/>
      <c r="AA464" s="933"/>
      <c r="AB464" s="933"/>
      <c r="AC464" s="933"/>
      <c r="AD464" s="933"/>
    </row>
    <row r="465" customFormat="false" ht="15.75" hidden="false" customHeight="true" outlineLevel="1" collapsed="false">
      <c r="A465" s="1377" t="s">
        <v>3219</v>
      </c>
      <c r="B465" s="1379" t="str">
        <f aca="false">B423</f>
        <v>ед.изм</v>
      </c>
      <c r="C465" s="1377" t="str">
        <f aca="false">C423</f>
        <v>ширина</v>
      </c>
      <c r="D465" s="1377" t="str">
        <f aca="false">D423</f>
        <v>толщина</v>
      </c>
      <c r="E465" s="1377" t="str">
        <f aca="false">E423</f>
        <v>высота</v>
      </c>
      <c r="F465" s="1377" t="str">
        <f aca="false">F423</f>
        <v>кол-во</v>
      </c>
      <c r="G465" s="933"/>
      <c r="H465" s="933"/>
      <c r="I465" s="933"/>
      <c r="J465" s="933"/>
      <c r="K465" s="933"/>
      <c r="L465" s="933"/>
      <c r="M465" s="933"/>
      <c r="N465" s="933"/>
      <c r="O465" s="933"/>
      <c r="P465" s="1290"/>
      <c r="Q465" s="1290"/>
      <c r="R465" s="1290"/>
      <c r="S465" s="933"/>
      <c r="T465" s="933"/>
      <c r="U465" s="1329"/>
      <c r="V465" s="933"/>
      <c r="W465" s="933"/>
      <c r="X465" s="933"/>
      <c r="Y465" s="1290"/>
      <c r="Z465" s="1290"/>
      <c r="AA465" s="933"/>
      <c r="AB465" s="933"/>
      <c r="AC465" s="933"/>
      <c r="AD465" s="933"/>
    </row>
    <row r="466" customFormat="false" ht="15.75" hidden="false" customHeight="true" outlineLevel="1" collapsed="false">
      <c r="A466" s="1372" t="str">
        <f aca="false">A424</f>
        <v>Стойки каркаса передней стены 1 эт</v>
      </c>
      <c r="B466" s="887" t="str">
        <f aca="false">B424</f>
        <v>м.п.</v>
      </c>
      <c r="C466" s="1372" t="n">
        <f aca="false">C424</f>
        <v>0.4</v>
      </c>
      <c r="D466" s="1372" t="n">
        <f aca="false">D424</f>
        <v>0.05</v>
      </c>
      <c r="E466" s="1219" t="n">
        <f aca="false">связи1!D553</f>
        <v>2.9</v>
      </c>
      <c r="F466" s="1219" t="n">
        <f aca="false">L403</f>
        <v>0</v>
      </c>
      <c r="G466" s="933" t="n">
        <f aca="false">C466*D466*E466*F466</f>
        <v>0</v>
      </c>
      <c r="H466" s="933"/>
      <c r="I466" s="933"/>
      <c r="J466" s="933"/>
      <c r="K466" s="933"/>
      <c r="L466" s="933"/>
      <c r="M466" s="933"/>
      <c r="N466" s="933"/>
      <c r="O466" s="933"/>
      <c r="P466" s="1290"/>
      <c r="Q466" s="1290"/>
      <c r="R466" s="1290"/>
      <c r="S466" s="933"/>
      <c r="T466" s="933"/>
      <c r="U466" s="1329"/>
      <c r="V466" s="933"/>
      <c r="W466" s="933"/>
      <c r="X466" s="933"/>
      <c r="Y466" s="1290"/>
      <c r="Z466" s="1290"/>
      <c r="AA466" s="933"/>
      <c r="AB466" s="933"/>
      <c r="AC466" s="933"/>
      <c r="AD466" s="933"/>
    </row>
    <row r="467" customFormat="false" ht="15.75" hidden="false" customHeight="true" outlineLevel="1" collapsed="false">
      <c r="A467" s="1372" t="str">
        <f aca="false">A425</f>
        <v>Стойки каркаса, левая сторона 1 эт</v>
      </c>
      <c r="B467" s="887" t="str">
        <f aca="false">B425</f>
        <v>м.п.</v>
      </c>
      <c r="C467" s="1372" t="n">
        <f aca="false">C425</f>
        <v>0.4</v>
      </c>
      <c r="D467" s="1372" t="n">
        <f aca="false">D425</f>
        <v>0.05</v>
      </c>
      <c r="E467" s="1219" t="n">
        <f aca="false">E404*IF('Ввод данных'!A365=связи1!A97,IF('Ввод данных'!A364=связи1!A106,0,1),1)</f>
        <v>2.9</v>
      </c>
      <c r="F467" s="1219" t="n">
        <f aca="false">L404</f>
        <v>0</v>
      </c>
      <c r="G467" s="933" t="n">
        <f aca="false">C467*D467*E467*F467</f>
        <v>0</v>
      </c>
      <c r="H467" s="933"/>
      <c r="I467" s="933"/>
      <c r="J467" s="933"/>
      <c r="K467" s="933"/>
      <c r="L467" s="933"/>
      <c r="M467" s="933"/>
      <c r="N467" s="933"/>
      <c r="O467" s="933"/>
      <c r="P467" s="1290"/>
      <c r="Q467" s="1290"/>
      <c r="R467" s="1290"/>
      <c r="S467" s="933"/>
      <c r="T467" s="933"/>
      <c r="U467" s="1329"/>
      <c r="V467" s="933"/>
      <c r="W467" s="933"/>
      <c r="X467" s="933"/>
      <c r="Y467" s="1290"/>
      <c r="Z467" s="1290"/>
      <c r="AA467" s="933"/>
      <c r="AB467" s="933"/>
      <c r="AC467" s="933"/>
      <c r="AD467" s="933"/>
    </row>
    <row r="468" customFormat="false" ht="15.75" hidden="false" customHeight="true" outlineLevel="1" collapsed="false">
      <c r="A468" s="1372" t="str">
        <f aca="false">A426</f>
        <v>Стойки каркаса, правая сторона, 1 эт</v>
      </c>
      <c r="B468" s="887" t="str">
        <f aca="false">B426</f>
        <v>м.п.</v>
      </c>
      <c r="C468" s="1372" t="n">
        <f aca="false">C426</f>
        <v>0.4</v>
      </c>
      <c r="D468" s="1372" t="n">
        <f aca="false">D426</f>
        <v>0.05</v>
      </c>
      <c r="E468" s="1219" t="n">
        <f aca="false">E405*IF('Ввод данных'!A365=связи1!A97,IF('Ввод данных'!A364=связи1!A106,0,1),1)</f>
        <v>2.9</v>
      </c>
      <c r="F468" s="1219" t="n">
        <f aca="false">L405</f>
        <v>0</v>
      </c>
      <c r="G468" s="933" t="n">
        <f aca="false">C468*D468*E468*F468</f>
        <v>0</v>
      </c>
      <c r="H468" s="933"/>
      <c r="I468" s="933"/>
      <c r="J468" s="933"/>
      <c r="K468" s="933"/>
      <c r="L468" s="933"/>
      <c r="M468" s="933"/>
      <c r="N468" s="933"/>
      <c r="O468" s="933"/>
      <c r="P468" s="1290"/>
      <c r="Q468" s="1290"/>
      <c r="R468" s="1290"/>
      <c r="S468" s="933"/>
      <c r="T468" s="933"/>
      <c r="U468" s="1329"/>
      <c r="V468" s="933"/>
      <c r="W468" s="933"/>
      <c r="X468" s="933"/>
      <c r="Y468" s="1290"/>
      <c r="Z468" s="1290"/>
      <c r="AA468" s="933"/>
      <c r="AB468" s="933"/>
      <c r="AC468" s="933"/>
      <c r="AD468" s="933"/>
    </row>
    <row r="469" customFormat="false" ht="15.75" hidden="false" customHeight="true" outlineLevel="1" collapsed="false">
      <c r="A469" s="1372" t="str">
        <f aca="false">A427</f>
        <v>Обвязка каркаса верхняя/нижняя наружние стены 1 эт</v>
      </c>
      <c r="B469" s="887" t="str">
        <f aca="false">B427</f>
        <v>м.п.</v>
      </c>
      <c r="C469" s="1372" t="n">
        <f aca="false">C427</f>
        <v>0.4</v>
      </c>
      <c r="D469" s="1372" t="n">
        <f aca="false">D427</f>
        <v>0.05</v>
      </c>
      <c r="E469" s="1219"/>
      <c r="F469" s="1219" t="n">
        <f aca="false">P406+Q406</f>
        <v>0</v>
      </c>
      <c r="G469" s="933" t="n">
        <f aca="false">C469*D469*E469*F469</f>
        <v>0</v>
      </c>
      <c r="H469" s="933"/>
      <c r="I469" s="933"/>
      <c r="J469" s="933"/>
      <c r="K469" s="933"/>
      <c r="L469" s="933"/>
      <c r="M469" s="933"/>
      <c r="N469" s="933"/>
      <c r="O469" s="933"/>
      <c r="P469" s="1290"/>
      <c r="Q469" s="1290"/>
      <c r="R469" s="1290"/>
      <c r="S469" s="933"/>
      <c r="T469" s="933"/>
      <c r="U469" s="1329"/>
      <c r="V469" s="933"/>
      <c r="W469" s="933"/>
      <c r="X469" s="933"/>
      <c r="Y469" s="1290"/>
      <c r="Z469" s="1290"/>
      <c r="AA469" s="933"/>
      <c r="AB469" s="933"/>
      <c r="AC469" s="933"/>
      <c r="AD469" s="933"/>
    </row>
    <row r="470" customFormat="false" ht="15.75" hidden="false" customHeight="true" outlineLevel="1" collapsed="false">
      <c r="A470" s="1372" t="str">
        <f aca="false">A428</f>
        <v>Ригель каркаса наружние стены 1 эт</v>
      </c>
      <c r="B470" s="887" t="str">
        <f aca="false">B428</f>
        <v>м.п.</v>
      </c>
      <c r="C470" s="1372" t="n">
        <f aca="false">C428</f>
        <v>0.4</v>
      </c>
      <c r="D470" s="1372" t="n">
        <f aca="false">D428</f>
        <v>0.05</v>
      </c>
      <c r="E470" s="1219"/>
      <c r="F470" s="1219" t="n">
        <f aca="false">F428</f>
        <v>0</v>
      </c>
      <c r="G470" s="933" t="n">
        <f aca="false">C470*D470*E470*F470</f>
        <v>0</v>
      </c>
      <c r="H470" s="933"/>
      <c r="I470" s="933"/>
      <c r="J470" s="933"/>
      <c r="K470" s="933"/>
      <c r="L470" s="933"/>
      <c r="M470" s="933"/>
      <c r="N470" s="933"/>
      <c r="O470" s="933"/>
      <c r="P470" s="1290"/>
      <c r="Q470" s="1290"/>
      <c r="R470" s="1290"/>
      <c r="S470" s="933"/>
      <c r="T470" s="933"/>
      <c r="U470" s="1329"/>
      <c r="V470" s="933"/>
      <c r="W470" s="933"/>
      <c r="X470" s="933"/>
      <c r="Y470" s="1290"/>
      <c r="Z470" s="1290"/>
      <c r="AA470" s="933"/>
      <c r="AB470" s="933"/>
      <c r="AC470" s="933"/>
      <c r="AD470" s="933"/>
    </row>
    <row r="471" customFormat="false" ht="15.75" hidden="false" customHeight="true" outlineLevel="1" collapsed="false">
      <c r="A471" s="1372" t="str">
        <f aca="false">A429</f>
        <v>Укосина наружних стен, усиление 1 этаж</v>
      </c>
      <c r="B471" s="887" t="str">
        <f aca="false">B429</f>
        <v>м.п.</v>
      </c>
      <c r="C471" s="1372" t="n">
        <f aca="false">C429</f>
        <v>0.4</v>
      </c>
      <c r="D471" s="1372" t="n">
        <f aca="false">D429</f>
        <v>0.05</v>
      </c>
      <c r="E471" s="1219" t="n">
        <f aca="false">1.5*VLOOKUP('Ввод данных'!F416,связи1!A2:B3,2,0)*связи1!D550</f>
        <v>0</v>
      </c>
      <c r="F471" s="1219" t="n">
        <v>8</v>
      </c>
      <c r="G471" s="933" t="n">
        <f aca="false">C471*D471*E471*F471</f>
        <v>0</v>
      </c>
      <c r="H471" s="933"/>
      <c r="I471" s="933"/>
      <c r="J471" s="933"/>
      <c r="K471" s="933"/>
      <c r="L471" s="933"/>
      <c r="M471" s="933"/>
      <c r="N471" s="933"/>
      <c r="O471" s="933"/>
      <c r="P471" s="1290"/>
      <c r="Q471" s="1290"/>
      <c r="R471" s="1290"/>
      <c r="S471" s="933"/>
      <c r="T471" s="933"/>
      <c r="U471" s="1329"/>
      <c r="V471" s="933"/>
      <c r="W471" s="933"/>
      <c r="X471" s="933"/>
      <c r="Y471" s="1290"/>
      <c r="Z471" s="1290"/>
      <c r="AA471" s="933"/>
      <c r="AB471" s="933"/>
      <c r="AC471" s="933"/>
      <c r="AD471" s="933"/>
    </row>
    <row r="472" customFormat="false" ht="15.75" hidden="false" customHeight="true" outlineLevel="1" collapsed="false">
      <c r="A472" s="1386" t="str">
        <f aca="false">A430</f>
        <v>Стойка каркаса по фронтону, 1 этаж, односкатная кровля, №1</v>
      </c>
      <c r="B472" s="1387" t="str">
        <f aca="false">B430</f>
        <v>м.п.</v>
      </c>
      <c r="C472" s="1386" t="n">
        <f aca="false">C430</f>
        <v>0.4</v>
      </c>
      <c r="D472" s="1386" t="n">
        <f aca="false">D430</f>
        <v>0.05</v>
      </c>
      <c r="E472" s="1388" t="n">
        <f aca="false">IF('Ввод данных'!A364=связи1!A106,IF('Ввод данных'!A365=связи1!A94,связи1!D554-связи1!D553,0)+IF('Ввод данных'!A365=связи1!A95,0,0)+IF('Ввод данных'!A365=связи1!A96,0,0)+IF('Ввод данных'!A364=связи1!A106,IF('Ввод данных'!A365=связи1!A97,связи1!D554,0),0)+IF('Ввод данных'!A365=связи1!A98,0,0),0)</f>
        <v>0</v>
      </c>
      <c r="F472" s="1388" t="n">
        <f aca="false">F430</f>
        <v>2</v>
      </c>
      <c r="G472" s="933" t="n">
        <f aca="false">C472*D472*E472*F472</f>
        <v>0</v>
      </c>
      <c r="H472" s="933"/>
      <c r="I472" s="933"/>
      <c r="J472" s="933"/>
      <c r="K472" s="933"/>
      <c r="L472" s="933"/>
      <c r="M472" s="933"/>
      <c r="N472" s="933"/>
      <c r="O472" s="933"/>
      <c r="P472" s="1290"/>
      <c r="Q472" s="1290"/>
      <c r="R472" s="1290"/>
      <c r="S472" s="933"/>
      <c r="T472" s="933"/>
      <c r="U472" s="1329"/>
      <c r="V472" s="933"/>
      <c r="W472" s="933"/>
      <c r="X472" s="933"/>
      <c r="Y472" s="1290"/>
      <c r="Z472" s="1290"/>
      <c r="AA472" s="933"/>
      <c r="AB472" s="933"/>
      <c r="AC472" s="933"/>
      <c r="AD472" s="933"/>
    </row>
    <row r="473" customFormat="false" ht="15.75" hidden="false" customHeight="true" outlineLevel="1" collapsed="false">
      <c r="A473" s="1386" t="str">
        <f aca="false">A431</f>
        <v>Стойка каркаса по фронтону, 1 этаж, односкатная кровля, №2</v>
      </c>
      <c r="B473" s="1387" t="str">
        <f aca="false">B431</f>
        <v>м.п.</v>
      </c>
      <c r="C473" s="1386" t="n">
        <f aca="false">C431</f>
        <v>0.4</v>
      </c>
      <c r="D473" s="1386" t="n">
        <f aca="false">D431</f>
        <v>0.05</v>
      </c>
      <c r="E473" s="1388" t="n">
        <f aca="false">IF('Ввод данных'!$A$365=связи1!$A$97,IF(дома!E472&lt;связи1!$D$553,0,дома!E472-$D$419),0)+IF(дома!E472=0,0,IF('Ввод данных'!$A$365=связи1!$A$94,IF(дома!E472&lt;0,0,дома!E472-$D$419),0))</f>
        <v>0</v>
      </c>
      <c r="F473" s="1388" t="n">
        <f aca="false">F431</f>
        <v>2</v>
      </c>
      <c r="G473" s="933" t="n">
        <f aca="false">C473*D473*E473*F473</f>
        <v>0</v>
      </c>
      <c r="H473" s="933"/>
      <c r="I473" s="933"/>
      <c r="J473" s="933"/>
      <c r="K473" s="933"/>
      <c r="L473" s="933"/>
      <c r="M473" s="933"/>
      <c r="N473" s="933"/>
      <c r="O473" s="933"/>
      <c r="P473" s="1290"/>
      <c r="Q473" s="1290"/>
      <c r="R473" s="1290"/>
      <c r="S473" s="933"/>
      <c r="T473" s="933"/>
      <c r="U473" s="1329"/>
      <c r="V473" s="933"/>
      <c r="W473" s="933"/>
      <c r="X473" s="933"/>
      <c r="Y473" s="1290"/>
      <c r="Z473" s="1290"/>
      <c r="AA473" s="933"/>
      <c r="AB473" s="933"/>
      <c r="AC473" s="933"/>
      <c r="AD473" s="933"/>
    </row>
    <row r="474" customFormat="false" ht="15.75" hidden="false" customHeight="true" outlineLevel="1" collapsed="false">
      <c r="A474" s="1386" t="str">
        <f aca="false">A432</f>
        <v>Стойка каркаса по фронтону, 1 этаж, односкатная кровля, №3</v>
      </c>
      <c r="B474" s="1387" t="str">
        <f aca="false">B432</f>
        <v>м.п.</v>
      </c>
      <c r="C474" s="1386" t="n">
        <f aca="false">C432</f>
        <v>0.4</v>
      </c>
      <c r="D474" s="1386" t="n">
        <f aca="false">D432</f>
        <v>0.05</v>
      </c>
      <c r="E474" s="1388" t="n">
        <f aca="false">IF('Ввод данных'!$A$365=связи1!$A$97,IF(дома!E473&lt;связи1!$D$553,0,дома!E473-$D$419),0)+IF(дома!E473=0,0,IF('Ввод данных'!$A$365=связи1!$A$94,IF(дома!E473&lt;0,0,дома!E473-$D$419),0))</f>
        <v>0</v>
      </c>
      <c r="F474" s="1388" t="n">
        <f aca="false">F432</f>
        <v>2</v>
      </c>
      <c r="G474" s="933" t="n">
        <f aca="false">C474*D474*E474*F474</f>
        <v>0</v>
      </c>
      <c r="H474" s="933"/>
      <c r="I474" s="933"/>
      <c r="J474" s="933"/>
      <c r="K474" s="933"/>
      <c r="L474" s="933"/>
      <c r="M474" s="933"/>
      <c r="N474" s="933"/>
      <c r="O474" s="933"/>
      <c r="P474" s="1290"/>
      <c r="Q474" s="1290"/>
      <c r="R474" s="1290"/>
      <c r="S474" s="933"/>
      <c r="T474" s="933"/>
      <c r="U474" s="1329"/>
      <c r="V474" s="933"/>
      <c r="W474" s="933"/>
      <c r="X474" s="933"/>
      <c r="Y474" s="1290"/>
      <c r="Z474" s="1290"/>
      <c r="AA474" s="933"/>
      <c r="AB474" s="933"/>
      <c r="AC474" s="933"/>
      <c r="AD474" s="933"/>
    </row>
    <row r="475" customFormat="false" ht="15.75" hidden="false" customHeight="true" outlineLevel="1" collapsed="false">
      <c r="A475" s="1386" t="str">
        <f aca="false">A433</f>
        <v>Стойка каркаса по фронтону, 1 этаж, односкатная кровля, №4</v>
      </c>
      <c r="B475" s="1387" t="str">
        <f aca="false">B433</f>
        <v>м.п.</v>
      </c>
      <c r="C475" s="1386" t="n">
        <f aca="false">C433</f>
        <v>0.4</v>
      </c>
      <c r="D475" s="1386" t="n">
        <f aca="false">D433</f>
        <v>0.05</v>
      </c>
      <c r="E475" s="1388" t="n">
        <f aca="false">IF('Ввод данных'!$A$365=связи1!$A$97,IF(дома!E474&lt;связи1!$D$553,0,дома!E474-$D$419),0)+IF(дома!E474=0,0,IF('Ввод данных'!$A$365=связи1!$A$94,IF(дома!E474&lt;0,0,дома!E474-$D$419),0))</f>
        <v>0</v>
      </c>
      <c r="F475" s="1388" t="n">
        <f aca="false">F433</f>
        <v>2</v>
      </c>
      <c r="G475" s="933" t="n">
        <f aca="false">C475*D475*E475*F475</f>
        <v>0</v>
      </c>
      <c r="H475" s="933"/>
      <c r="I475" s="933"/>
      <c r="J475" s="933"/>
      <c r="K475" s="933"/>
      <c r="L475" s="933"/>
      <c r="M475" s="933"/>
      <c r="N475" s="933"/>
      <c r="O475" s="933"/>
      <c r="P475" s="1290"/>
      <c r="Q475" s="1290"/>
      <c r="R475" s="1290"/>
      <c r="S475" s="933"/>
      <c r="T475" s="933"/>
      <c r="U475" s="1329"/>
      <c r="V475" s="933"/>
      <c r="W475" s="933"/>
      <c r="X475" s="933"/>
      <c r="Y475" s="1290"/>
      <c r="Z475" s="1290"/>
      <c r="AA475" s="933"/>
      <c r="AB475" s="933"/>
      <c r="AC475" s="933"/>
      <c r="AD475" s="933"/>
    </row>
    <row r="476" customFormat="false" ht="15.75" hidden="false" customHeight="true" outlineLevel="1" collapsed="false">
      <c r="A476" s="1386" t="str">
        <f aca="false">A434</f>
        <v>Стойка каркаса по фронтону, 1 этаж, односкатная кровля, №5</v>
      </c>
      <c r="B476" s="1387" t="str">
        <f aca="false">B434</f>
        <v>м.п.</v>
      </c>
      <c r="C476" s="1386" t="n">
        <f aca="false">C434</f>
        <v>0.4</v>
      </c>
      <c r="D476" s="1386" t="n">
        <f aca="false">D434</f>
        <v>0.05</v>
      </c>
      <c r="E476" s="1388" t="n">
        <f aca="false">IF('Ввод данных'!$A$365=связи1!$A$97,IF(дома!E475&lt;связи1!$D$553,0,дома!E475-$D$419),0)+IF(дома!E475=0,0,IF('Ввод данных'!$A$365=связи1!$A$94,IF(дома!E475&lt;0,0,дома!E475-$D$419),0))</f>
        <v>0</v>
      </c>
      <c r="F476" s="1388" t="n">
        <f aca="false">F434</f>
        <v>2</v>
      </c>
      <c r="G476" s="933" t="n">
        <f aca="false">C476*D476*E476*F476</f>
        <v>0</v>
      </c>
      <c r="H476" s="933"/>
      <c r="I476" s="933"/>
      <c r="J476" s="933"/>
      <c r="K476" s="933"/>
      <c r="L476" s="933"/>
      <c r="M476" s="933"/>
      <c r="N476" s="933"/>
      <c r="O476" s="933"/>
      <c r="P476" s="1290"/>
      <c r="Q476" s="1290"/>
      <c r="R476" s="1290"/>
      <c r="S476" s="933"/>
      <c r="T476" s="933"/>
      <c r="U476" s="1329"/>
      <c r="V476" s="933"/>
      <c r="W476" s="933"/>
      <c r="X476" s="933"/>
      <c r="Y476" s="1290"/>
      <c r="Z476" s="1290"/>
      <c r="AA476" s="933"/>
      <c r="AB476" s="933"/>
      <c r="AC476" s="933"/>
      <c r="AD476" s="933"/>
    </row>
    <row r="477" customFormat="false" ht="15.75" hidden="false" customHeight="true" outlineLevel="1" collapsed="false">
      <c r="A477" s="1386" t="str">
        <f aca="false">A435</f>
        <v>Стойка каркаса по фронтону, 1 этаж, односкатная кровля, №6</v>
      </c>
      <c r="B477" s="1387" t="str">
        <f aca="false">B435</f>
        <v>м.п.</v>
      </c>
      <c r="C477" s="1386" t="n">
        <f aca="false">C435</f>
        <v>0.4</v>
      </c>
      <c r="D477" s="1386" t="n">
        <f aca="false">D435</f>
        <v>0.05</v>
      </c>
      <c r="E477" s="1388" t="n">
        <f aca="false">IF('Ввод данных'!$A$365=связи1!$A$97,IF(дома!E476&lt;связи1!$D$553,0,дома!E476-$D$419),0)+IF(дома!E476=0,0,IF('Ввод данных'!$A$365=связи1!$A$94,IF(дома!E476&lt;0,0,дома!E476-$D$419),0))</f>
        <v>0</v>
      </c>
      <c r="F477" s="1388" t="n">
        <f aca="false">F435</f>
        <v>2</v>
      </c>
      <c r="G477" s="933" t="n">
        <f aca="false">C477*D477*E477*F477</f>
        <v>0</v>
      </c>
      <c r="H477" s="933"/>
      <c r="I477" s="933"/>
      <c r="J477" s="933"/>
      <c r="K477" s="933"/>
      <c r="L477" s="933"/>
      <c r="M477" s="933"/>
      <c r="N477" s="933"/>
      <c r="O477" s="933"/>
      <c r="P477" s="1290"/>
      <c r="Q477" s="1290"/>
      <c r="R477" s="1290"/>
      <c r="S477" s="933"/>
      <c r="T477" s="933"/>
      <c r="U477" s="1329"/>
      <c r="V477" s="933"/>
      <c r="W477" s="933"/>
      <c r="X477" s="933"/>
      <c r="Y477" s="1290"/>
      <c r="Z477" s="1290"/>
      <c r="AA477" s="933"/>
      <c r="AB477" s="933"/>
      <c r="AC477" s="933"/>
      <c r="AD477" s="933"/>
    </row>
    <row r="478" customFormat="false" ht="15.75" hidden="false" customHeight="true" outlineLevel="1" collapsed="false">
      <c r="A478" s="1386" t="str">
        <f aca="false">A436</f>
        <v>Стойка каркаса по фронтону, 1 этаж, односкатная кровля, №7</v>
      </c>
      <c r="B478" s="1387" t="str">
        <f aca="false">B436</f>
        <v>м.п.</v>
      </c>
      <c r="C478" s="1386" t="n">
        <f aca="false">C436</f>
        <v>0.4</v>
      </c>
      <c r="D478" s="1386" t="n">
        <f aca="false">D436</f>
        <v>0.05</v>
      </c>
      <c r="E478" s="1388" t="n">
        <f aca="false">IF('Ввод данных'!$A$365=связи1!$A$97,IF(дома!E477&lt;связи1!$D$553,0,дома!E477-$D$419),0)+IF(дома!E477=0,0,IF('Ввод данных'!$A$365=связи1!$A$94,IF(дома!E477&lt;0,0,дома!E477-$D$419),0))</f>
        <v>0</v>
      </c>
      <c r="F478" s="1388" t="n">
        <f aca="false">F436</f>
        <v>2</v>
      </c>
      <c r="G478" s="933" t="n">
        <f aca="false">C478*D478*E478*F478</f>
        <v>0</v>
      </c>
      <c r="H478" s="933"/>
      <c r="I478" s="933"/>
      <c r="J478" s="933"/>
      <c r="K478" s="933"/>
      <c r="L478" s="933"/>
      <c r="M478" s="933"/>
      <c r="N478" s="933"/>
      <c r="O478" s="933"/>
      <c r="P478" s="1290"/>
      <c r="Q478" s="1290"/>
      <c r="R478" s="1290"/>
      <c r="S478" s="933"/>
      <c r="T478" s="933"/>
      <c r="U478" s="1329"/>
      <c r="V478" s="933"/>
      <c r="W478" s="933"/>
      <c r="X478" s="933"/>
      <c r="Y478" s="1290"/>
      <c r="Z478" s="1290"/>
      <c r="AA478" s="933"/>
      <c r="AB478" s="933"/>
      <c r="AC478" s="933"/>
      <c r="AD478" s="933"/>
    </row>
    <row r="479" customFormat="false" ht="15.75" hidden="false" customHeight="true" outlineLevel="1" collapsed="false">
      <c r="A479" s="1386" t="str">
        <f aca="false">A437</f>
        <v>Стойка каркаса по фронтону, 1 этаж, односкатная кровля, №8</v>
      </c>
      <c r="B479" s="1387" t="str">
        <f aca="false">B437</f>
        <v>м.п.</v>
      </c>
      <c r="C479" s="1386" t="n">
        <f aca="false">C437</f>
        <v>0.4</v>
      </c>
      <c r="D479" s="1386" t="n">
        <f aca="false">D437</f>
        <v>0.05</v>
      </c>
      <c r="E479" s="1388" t="n">
        <f aca="false">IF('Ввод данных'!$A$365=связи1!$A$97,IF(дома!E478&lt;связи1!$D$553,0,дома!E478-$D$419),0)+IF(дома!E478=0,0,IF('Ввод данных'!$A$365=связи1!$A$94,IF(дома!E478&lt;0,0,дома!E478-$D$419),0))</f>
        <v>0</v>
      </c>
      <c r="F479" s="1388" t="n">
        <f aca="false">F437</f>
        <v>2</v>
      </c>
      <c r="G479" s="933" t="n">
        <f aca="false">C479*D479*E479*F479</f>
        <v>0</v>
      </c>
      <c r="H479" s="933"/>
      <c r="I479" s="933"/>
      <c r="J479" s="933"/>
      <c r="K479" s="933"/>
      <c r="L479" s="933"/>
      <c r="M479" s="933"/>
      <c r="N479" s="933"/>
      <c r="O479" s="933"/>
      <c r="P479" s="1290"/>
      <c r="Q479" s="1290"/>
      <c r="R479" s="1290"/>
      <c r="S479" s="933"/>
      <c r="T479" s="933"/>
      <c r="U479" s="1329"/>
      <c r="V479" s="933"/>
      <c r="W479" s="933"/>
      <c r="X479" s="933"/>
      <c r="Y479" s="1290"/>
      <c r="Z479" s="1290"/>
      <c r="AA479" s="933"/>
      <c r="AB479" s="933"/>
      <c r="AC479" s="933"/>
      <c r="AD479" s="933"/>
    </row>
    <row r="480" customFormat="false" ht="15.75" hidden="false" customHeight="true" outlineLevel="1" collapsed="false">
      <c r="A480" s="1386" t="str">
        <f aca="false">A438</f>
        <v>Стойка каркаса по фронтону, 1 этаж, односкатная кровля, №9</v>
      </c>
      <c r="B480" s="1387" t="str">
        <f aca="false">B438</f>
        <v>м.п.</v>
      </c>
      <c r="C480" s="1386" t="n">
        <f aca="false">C438</f>
        <v>0.4</v>
      </c>
      <c r="D480" s="1386" t="n">
        <f aca="false">D438</f>
        <v>0.05</v>
      </c>
      <c r="E480" s="1388" t="n">
        <f aca="false">IF('Ввод данных'!$A$365=связи1!$A$97,IF(дома!E479&lt;связи1!$D$553,0,дома!E479-$D$419),0)+IF(дома!E479=0,0,IF('Ввод данных'!$A$365=связи1!$A$94,IF(дома!E479&lt;0,0,дома!E479-$D$419),0))</f>
        <v>0</v>
      </c>
      <c r="F480" s="1388" t="n">
        <f aca="false">F438</f>
        <v>2</v>
      </c>
      <c r="G480" s="933" t="n">
        <f aca="false">C480*D480*E480*F480</f>
        <v>0</v>
      </c>
      <c r="H480" s="933"/>
      <c r="I480" s="933"/>
      <c r="J480" s="933"/>
      <c r="K480" s="933"/>
      <c r="L480" s="933"/>
      <c r="M480" s="933"/>
      <c r="N480" s="933"/>
      <c r="O480" s="933"/>
      <c r="P480" s="1290"/>
      <c r="Q480" s="1290"/>
      <c r="R480" s="1290"/>
      <c r="S480" s="933"/>
      <c r="T480" s="933"/>
      <c r="U480" s="1329"/>
      <c r="V480" s="933"/>
      <c r="W480" s="933"/>
      <c r="X480" s="933"/>
      <c r="Y480" s="1290"/>
      <c r="Z480" s="1290"/>
      <c r="AA480" s="933"/>
      <c r="AB480" s="933"/>
      <c r="AC480" s="933"/>
      <c r="AD480" s="933"/>
    </row>
    <row r="481" customFormat="false" ht="15.75" hidden="false" customHeight="true" outlineLevel="1" collapsed="false">
      <c r="A481" s="1386" t="str">
        <f aca="false">A439</f>
        <v>Стойка каркаса по фронтону, 1 этаж, односкатная кровля, №10</v>
      </c>
      <c r="B481" s="1387" t="str">
        <f aca="false">B439</f>
        <v>м.п.</v>
      </c>
      <c r="C481" s="1386" t="n">
        <f aca="false">C439</f>
        <v>0.4</v>
      </c>
      <c r="D481" s="1386" t="n">
        <f aca="false">D439</f>
        <v>0.05</v>
      </c>
      <c r="E481" s="1388" t="n">
        <f aca="false">IF('Ввод данных'!$A$365=связи1!$A$97,IF(дома!E480&lt;связи1!$D$553,0,дома!E480-$D$419),0)+IF(дома!E480=0,0,IF('Ввод данных'!$A$365=связи1!$A$94,IF(дома!E480&lt;0,0,дома!E480-$D$419),0))</f>
        <v>0</v>
      </c>
      <c r="F481" s="1388" t="n">
        <f aca="false">F439</f>
        <v>2</v>
      </c>
      <c r="G481" s="933" t="n">
        <f aca="false">C481*D481*E481*F481</f>
        <v>0</v>
      </c>
      <c r="H481" s="933"/>
      <c r="I481" s="933"/>
      <c r="J481" s="933"/>
      <c r="K481" s="933"/>
      <c r="L481" s="933"/>
      <c r="M481" s="933"/>
      <c r="N481" s="933"/>
      <c r="O481" s="933"/>
      <c r="P481" s="1290"/>
      <c r="Q481" s="1290"/>
      <c r="R481" s="1290"/>
      <c r="S481" s="933"/>
      <c r="T481" s="933"/>
      <c r="U481" s="1329"/>
      <c r="V481" s="933"/>
      <c r="W481" s="933"/>
      <c r="X481" s="933"/>
      <c r="Y481" s="1290"/>
      <c r="Z481" s="1290"/>
      <c r="AA481" s="933"/>
      <c r="AB481" s="933"/>
      <c r="AC481" s="933"/>
      <c r="AD481" s="933"/>
    </row>
    <row r="482" customFormat="false" ht="15.75" hidden="false" customHeight="true" outlineLevel="1" collapsed="false">
      <c r="A482" s="1386" t="str">
        <f aca="false">A440</f>
        <v>Стойка каркаса по фронтону, 1 этаж, односкатная кровля, №11</v>
      </c>
      <c r="B482" s="1387" t="str">
        <f aca="false">B440</f>
        <v>м.п.</v>
      </c>
      <c r="C482" s="1386" t="n">
        <f aca="false">C440</f>
        <v>0.4</v>
      </c>
      <c r="D482" s="1386" t="n">
        <f aca="false">D440</f>
        <v>0.05</v>
      </c>
      <c r="E482" s="1388" t="n">
        <f aca="false">IF('Ввод данных'!$A$365=связи1!$A$97,IF(дома!E481&lt;связи1!$D$553,0,дома!E481-$D$419),0)+IF(дома!E481=0,0,IF('Ввод данных'!$A$365=связи1!$A$94,IF(дома!E481&lt;0,0,дома!E481-$D$419),0))</f>
        <v>0</v>
      </c>
      <c r="F482" s="1388" t="n">
        <f aca="false">F440</f>
        <v>2</v>
      </c>
      <c r="G482" s="933" t="n">
        <f aca="false">C482*D482*E482*F482</f>
        <v>0</v>
      </c>
      <c r="H482" s="933"/>
      <c r="I482" s="933"/>
      <c r="J482" s="933"/>
      <c r="K482" s="933"/>
      <c r="L482" s="933"/>
      <c r="M482" s="933"/>
      <c r="N482" s="933"/>
      <c r="O482" s="933"/>
      <c r="P482" s="1290"/>
      <c r="Q482" s="1290"/>
      <c r="R482" s="1290"/>
      <c r="S482" s="933"/>
      <c r="T482" s="933"/>
      <c r="U482" s="1329"/>
      <c r="V482" s="933"/>
      <c r="W482" s="933"/>
      <c r="X482" s="933"/>
      <c r="Y482" s="1290"/>
      <c r="Z482" s="1290"/>
      <c r="AA482" s="933"/>
      <c r="AB482" s="933"/>
      <c r="AC482" s="933"/>
      <c r="AD482" s="933"/>
    </row>
    <row r="483" customFormat="false" ht="15.75" hidden="false" customHeight="true" outlineLevel="1" collapsed="false">
      <c r="A483" s="1386" t="str">
        <f aca="false">A441</f>
        <v>Стойка каркаса по фронтону, 1 этаж, односкатная кровля, №12</v>
      </c>
      <c r="B483" s="1387" t="str">
        <f aca="false">B441</f>
        <v>м.п.</v>
      </c>
      <c r="C483" s="1386" t="n">
        <f aca="false">C441</f>
        <v>0.4</v>
      </c>
      <c r="D483" s="1386" t="n">
        <f aca="false">D441</f>
        <v>0.05</v>
      </c>
      <c r="E483" s="1388" t="n">
        <f aca="false">IF('Ввод данных'!$A$365=связи1!$A$97,IF(дома!E482&lt;связи1!$D$553,0,дома!E482-$D$419),0)+IF(дома!E482=0,0,IF('Ввод данных'!$A$365=связи1!$A$94,IF(дома!E482&lt;0,0,дома!E482-$D$419),0))</f>
        <v>0</v>
      </c>
      <c r="F483" s="1388" t="n">
        <f aca="false">F441</f>
        <v>2</v>
      </c>
      <c r="G483" s="933" t="n">
        <f aca="false">C483*D483*E483*F483</f>
        <v>0</v>
      </c>
      <c r="H483" s="933"/>
      <c r="I483" s="933"/>
      <c r="J483" s="933"/>
      <c r="K483" s="933"/>
      <c r="L483" s="933"/>
      <c r="M483" s="933"/>
      <c r="N483" s="933"/>
      <c r="O483" s="933"/>
      <c r="P483" s="1290"/>
      <c r="Q483" s="1290"/>
      <c r="R483" s="1290"/>
      <c r="S483" s="933"/>
      <c r="T483" s="933"/>
      <c r="U483" s="1329"/>
      <c r="V483" s="933"/>
      <c r="W483" s="933"/>
      <c r="X483" s="933"/>
      <c r="Y483" s="1290"/>
      <c r="Z483" s="1290"/>
      <c r="AA483" s="933"/>
      <c r="AB483" s="933"/>
      <c r="AC483" s="933"/>
      <c r="AD483" s="933"/>
    </row>
    <row r="484" customFormat="false" ht="15.75" hidden="false" customHeight="true" outlineLevel="1" collapsed="false">
      <c r="A484" s="1386" t="str">
        <f aca="false">A442</f>
        <v>Стойка каркаса по фронтону, 1 этаж, односкатная кровля, №13</v>
      </c>
      <c r="B484" s="1387" t="str">
        <f aca="false">B442</f>
        <v>м.п.</v>
      </c>
      <c r="C484" s="1386" t="n">
        <f aca="false">C442</f>
        <v>0.4</v>
      </c>
      <c r="D484" s="1386" t="n">
        <f aca="false">D442</f>
        <v>0.05</v>
      </c>
      <c r="E484" s="1388" t="n">
        <f aca="false">IF('Ввод данных'!$A$365=связи1!$A$97,IF(дома!E483&lt;связи1!$D$553,0,дома!E483-$D$419),0)+IF(дома!E483=0,0,IF('Ввод данных'!$A$365=связи1!$A$94,IF(дома!E483&lt;0,0,дома!E483-$D$419),0))</f>
        <v>0</v>
      </c>
      <c r="F484" s="1388" t="n">
        <f aca="false">F442</f>
        <v>2</v>
      </c>
      <c r="G484" s="933" t="n">
        <f aca="false">C484*D484*E484*F484</f>
        <v>0</v>
      </c>
      <c r="H484" s="933"/>
      <c r="I484" s="933"/>
      <c r="J484" s="933"/>
      <c r="K484" s="933"/>
      <c r="L484" s="933"/>
      <c r="M484" s="933"/>
      <c r="N484" s="933"/>
      <c r="O484" s="933"/>
      <c r="P484" s="1290"/>
      <c r="Q484" s="1290"/>
      <c r="R484" s="1290"/>
      <c r="S484" s="933"/>
      <c r="T484" s="933"/>
      <c r="U484" s="1329"/>
      <c r="V484" s="933"/>
      <c r="W484" s="933"/>
      <c r="X484" s="933"/>
      <c r="Y484" s="1290"/>
      <c r="Z484" s="1290"/>
      <c r="AA484" s="933"/>
      <c r="AB484" s="933"/>
      <c r="AC484" s="933"/>
      <c r="AD484" s="933"/>
    </row>
    <row r="485" customFormat="false" ht="15.75" hidden="false" customHeight="true" outlineLevel="1" collapsed="false">
      <c r="A485" s="1386" t="str">
        <f aca="false">A443</f>
        <v>Стойка каркаса по фронтону, 1 этаж, односкатная кровля, №14</v>
      </c>
      <c r="B485" s="1387" t="str">
        <f aca="false">B443</f>
        <v>м.п.</v>
      </c>
      <c r="C485" s="1386" t="n">
        <f aca="false">C443</f>
        <v>0.4</v>
      </c>
      <c r="D485" s="1386" t="n">
        <f aca="false">D443</f>
        <v>0.05</v>
      </c>
      <c r="E485" s="1388" t="n">
        <f aca="false">IF('Ввод данных'!$A$365=связи1!$A$97,IF(дома!E484&lt;связи1!$D$553,0,дома!E484-$D$419),0)+IF(дома!E484=0,0,IF('Ввод данных'!$A$365=связи1!$A$94,IF(дома!E484&lt;0,0,дома!E484-$D$419),0))</f>
        <v>0</v>
      </c>
      <c r="F485" s="1388" t="n">
        <f aca="false">F443</f>
        <v>2</v>
      </c>
      <c r="G485" s="933" t="n">
        <f aca="false">C485*D485*E485*F485</f>
        <v>0</v>
      </c>
      <c r="H485" s="933"/>
      <c r="I485" s="933"/>
      <c r="J485" s="933"/>
      <c r="K485" s="933"/>
      <c r="L485" s="933"/>
      <c r="M485" s="933"/>
      <c r="N485" s="933"/>
      <c r="O485" s="933"/>
      <c r="P485" s="1290"/>
      <c r="Q485" s="1290"/>
      <c r="R485" s="1290"/>
      <c r="S485" s="933"/>
      <c r="T485" s="933"/>
      <c r="U485" s="1329"/>
      <c r="V485" s="933"/>
      <c r="W485" s="933"/>
      <c r="X485" s="933"/>
      <c r="Y485" s="1290"/>
      <c r="Z485" s="1290"/>
      <c r="AA485" s="933"/>
      <c r="AB485" s="933"/>
      <c r="AC485" s="933"/>
      <c r="AD485" s="933"/>
    </row>
    <row r="486" customFormat="false" ht="15.75" hidden="false" customHeight="true" outlineLevel="1" collapsed="false">
      <c r="A486" s="1386" t="str">
        <f aca="false">A444</f>
        <v>Стойка каркаса по фронтону, 1 этаж, односкатная кровля, №15</v>
      </c>
      <c r="B486" s="1387" t="str">
        <f aca="false">B444</f>
        <v>м.п.</v>
      </c>
      <c r="C486" s="1386" t="n">
        <f aca="false">C444</f>
        <v>0.4</v>
      </c>
      <c r="D486" s="1386" t="n">
        <f aca="false">D444</f>
        <v>0.05</v>
      </c>
      <c r="E486" s="1388" t="n">
        <f aca="false">IF('Ввод данных'!$A$365=связи1!$A$97,IF(дома!E485&lt;связи1!$D$553,0,дома!E485-$D$419),0)+IF(дома!E485=0,0,IF('Ввод данных'!$A$365=связи1!$A$94,IF(дома!E485&lt;0,0,дома!E485-$D$419),0))</f>
        <v>0</v>
      </c>
      <c r="F486" s="1388" t="n">
        <f aca="false">F444</f>
        <v>2</v>
      </c>
      <c r="G486" s="933" t="n">
        <f aca="false">C486*D486*E486*F486</f>
        <v>0</v>
      </c>
      <c r="H486" s="933"/>
      <c r="I486" s="933"/>
      <c r="J486" s="933"/>
      <c r="K486" s="933"/>
      <c r="L486" s="933"/>
      <c r="M486" s="933"/>
      <c r="N486" s="933"/>
      <c r="O486" s="933"/>
      <c r="P486" s="1290"/>
      <c r="Q486" s="1290"/>
      <c r="R486" s="1290"/>
      <c r="S486" s="933"/>
      <c r="T486" s="933"/>
      <c r="U486" s="1329"/>
      <c r="V486" s="933"/>
      <c r="W486" s="933"/>
      <c r="X486" s="933"/>
      <c r="Y486" s="1290"/>
      <c r="Z486" s="1290"/>
      <c r="AA486" s="933"/>
      <c r="AB486" s="933"/>
      <c r="AC486" s="933"/>
      <c r="AD486" s="933"/>
    </row>
    <row r="487" customFormat="false" ht="15.75" hidden="false" customHeight="true" outlineLevel="1" collapsed="false">
      <c r="A487" s="1386" t="str">
        <f aca="false">A445</f>
        <v>Стойка каркаса по фронтону, 1 этаж, односкатная кровля, №16</v>
      </c>
      <c r="B487" s="1387" t="str">
        <f aca="false">B445</f>
        <v>м.п.</v>
      </c>
      <c r="C487" s="1386" t="n">
        <f aca="false">C445</f>
        <v>0.4</v>
      </c>
      <c r="D487" s="1386" t="n">
        <f aca="false">D445</f>
        <v>0.05</v>
      </c>
      <c r="E487" s="1388" t="n">
        <f aca="false">IF('Ввод данных'!$A$365=связи1!$A$97,IF(дома!E486&lt;связи1!$D$553,0,дома!E486-$D$419),0)+IF(дома!E486=0,0,IF('Ввод данных'!$A$365=связи1!$A$94,IF(дома!E486&lt;0,0,дома!E486-$D$419),0))</f>
        <v>0</v>
      </c>
      <c r="F487" s="1388" t="n">
        <f aca="false">F445</f>
        <v>2</v>
      </c>
      <c r="G487" s="933" t="n">
        <f aca="false">C487*D487*E487*F487</f>
        <v>0</v>
      </c>
      <c r="H487" s="933"/>
      <c r="I487" s="933"/>
      <c r="J487" s="933"/>
      <c r="K487" s="933"/>
      <c r="L487" s="933"/>
      <c r="M487" s="933"/>
      <c r="N487" s="933"/>
      <c r="O487" s="933"/>
      <c r="P487" s="1290"/>
      <c r="Q487" s="1290"/>
      <c r="R487" s="1290"/>
      <c r="S487" s="933"/>
      <c r="T487" s="933"/>
      <c r="U487" s="1329"/>
      <c r="V487" s="933"/>
      <c r="W487" s="933"/>
      <c r="X487" s="933"/>
      <c r="Y487" s="1290"/>
      <c r="Z487" s="1290"/>
      <c r="AA487" s="933"/>
      <c r="AB487" s="933"/>
      <c r="AC487" s="933"/>
      <c r="AD487" s="933"/>
    </row>
    <row r="488" customFormat="false" ht="15.75" hidden="false" customHeight="true" outlineLevel="1" collapsed="false">
      <c r="A488" s="1386" t="str">
        <f aca="false">A446</f>
        <v>Стойка каркаса по фронтону, 1 этаж, односкатная кровля, №17</v>
      </c>
      <c r="B488" s="1387" t="str">
        <f aca="false">B446</f>
        <v>м.п.</v>
      </c>
      <c r="C488" s="1386" t="n">
        <f aca="false">C446</f>
        <v>0.4</v>
      </c>
      <c r="D488" s="1386" t="n">
        <f aca="false">D446</f>
        <v>0.05</v>
      </c>
      <c r="E488" s="1388" t="n">
        <f aca="false">IF('Ввод данных'!$A$365=связи1!$A$97,IF(дома!E487&lt;связи1!$D$553,0,дома!E487-$D$419),0)+IF(дома!E487=0,0,IF('Ввод данных'!$A$365=связи1!$A$94,IF(дома!E487&lt;0,0,дома!E487-$D$419),0))</f>
        <v>0</v>
      </c>
      <c r="F488" s="1388" t="n">
        <f aca="false">F446</f>
        <v>2</v>
      </c>
      <c r="G488" s="933" t="n">
        <f aca="false">C488*D488*E488*F488</f>
        <v>0</v>
      </c>
      <c r="H488" s="933"/>
      <c r="I488" s="933"/>
      <c r="J488" s="933"/>
      <c r="K488" s="933"/>
      <c r="L488" s="933"/>
      <c r="M488" s="933"/>
      <c r="N488" s="933"/>
      <c r="O488" s="933"/>
      <c r="P488" s="1290"/>
      <c r="Q488" s="1290"/>
      <c r="R488" s="1290"/>
      <c r="S488" s="933"/>
      <c r="T488" s="933"/>
      <c r="U488" s="1329"/>
      <c r="V488" s="933"/>
      <c r="W488" s="933"/>
      <c r="X488" s="933"/>
      <c r="Y488" s="1290"/>
      <c r="Z488" s="1290"/>
      <c r="AA488" s="933"/>
      <c r="AB488" s="933"/>
      <c r="AC488" s="933"/>
      <c r="AD488" s="933"/>
    </row>
    <row r="489" customFormat="false" ht="15.75" hidden="false" customHeight="true" outlineLevel="1" collapsed="false">
      <c r="A489" s="1389" t="str">
        <f aca="false">A447</f>
        <v>Стойка каркаса по фронтону, 1 этаж, двускатная кровля, №1</v>
      </c>
      <c r="B489" s="1390" t="str">
        <f aca="false">B447</f>
        <v>м.п.</v>
      </c>
      <c r="C489" s="1389" t="n">
        <f aca="false">C447</f>
        <v>0.4</v>
      </c>
      <c r="D489" s="1389" t="n">
        <f aca="false">D447</f>
        <v>0.05</v>
      </c>
      <c r="E489" s="1391" t="n">
        <f aca="false">IF('Ввод данных'!A364=связи1!A107,IF('Ввод данных'!A365=связи1!A94,связи1!D554-связи1!D553,0)+IF('Ввод данных'!A365=связи1!A95,0,0)+IF('Ввод данных'!A365=связи1!A96,0,0)+IF('Ввод данных'!A364=связи1!A107,IF('Ввод данных'!A365=связи1!A97,связи1!D554,0),0)+IF('Ввод данных'!A365=связи1!A98,0,0),0)</f>
        <v>0</v>
      </c>
      <c r="F489" s="1391" t="n">
        <f aca="false">F447</f>
        <v>2</v>
      </c>
      <c r="G489" s="933" t="n">
        <f aca="false">C489*D489*E489*F489</f>
        <v>0</v>
      </c>
      <c r="H489" s="933"/>
      <c r="I489" s="933"/>
      <c r="J489" s="933"/>
      <c r="K489" s="933"/>
      <c r="L489" s="933"/>
      <c r="M489" s="933"/>
      <c r="N489" s="933"/>
      <c r="O489" s="933"/>
      <c r="P489" s="1290"/>
      <c r="Q489" s="1290"/>
      <c r="R489" s="1290"/>
      <c r="S489" s="933"/>
      <c r="T489" s="933"/>
      <c r="U489" s="1329"/>
      <c r="V489" s="933"/>
      <c r="W489" s="933"/>
      <c r="X489" s="933"/>
      <c r="Y489" s="1290"/>
      <c r="Z489" s="1290"/>
      <c r="AA489" s="933"/>
      <c r="AB489" s="933"/>
      <c r="AC489" s="933"/>
      <c r="AD489" s="933"/>
    </row>
    <row r="490" customFormat="false" ht="15.75" hidden="false" customHeight="true" outlineLevel="1" collapsed="false">
      <c r="A490" s="1389" t="str">
        <f aca="false">A448</f>
        <v>Стойка каркаса по фронтону, 1 этаж, двускатная кровля, №2</v>
      </c>
      <c r="B490" s="1390" t="str">
        <f aca="false">B448</f>
        <v>м.п.</v>
      </c>
      <c r="C490" s="1389" t="n">
        <f aca="false">C448</f>
        <v>0.4</v>
      </c>
      <c r="D490" s="1389" t="n">
        <f aca="false">D448</f>
        <v>0.05</v>
      </c>
      <c r="E490" s="1391" t="n">
        <f aca="false">IF('Ввод данных'!$A$365=связи1!$A$97,IF(дома!E489&lt;связи1!$D$553,0,дома!E489-$D$419),0)+IF(дома!E489&lt;=0,0,IF('Ввод данных'!$A$365=связи1!$A$94,IF(дома!E489&lt;0,0,дома!E489-$D$419),0))</f>
        <v>0</v>
      </c>
      <c r="F490" s="1391" t="n">
        <f aca="false">F448</f>
        <v>2</v>
      </c>
      <c r="G490" s="933" t="n">
        <f aca="false">C490*D490*E490*F490</f>
        <v>0</v>
      </c>
      <c r="H490" s="933"/>
      <c r="I490" s="933"/>
      <c r="J490" s="933"/>
      <c r="K490" s="933"/>
      <c r="L490" s="933"/>
      <c r="M490" s="933"/>
      <c r="N490" s="933"/>
      <c r="O490" s="933"/>
      <c r="P490" s="1290"/>
      <c r="Q490" s="1290"/>
      <c r="R490" s="1290"/>
      <c r="S490" s="933"/>
      <c r="T490" s="933"/>
      <c r="U490" s="1329"/>
      <c r="V490" s="933"/>
      <c r="W490" s="933"/>
      <c r="X490" s="933"/>
      <c r="Y490" s="1290"/>
      <c r="Z490" s="1290"/>
      <c r="AA490" s="933"/>
      <c r="AB490" s="933"/>
      <c r="AC490" s="933"/>
      <c r="AD490" s="933"/>
    </row>
    <row r="491" customFormat="false" ht="15.75" hidden="false" customHeight="true" outlineLevel="1" collapsed="false">
      <c r="A491" s="1389" t="str">
        <f aca="false">A449</f>
        <v>Стойка каркаса по фронтону, 1 этаж, двускатная кровля, №3</v>
      </c>
      <c r="B491" s="1390" t="str">
        <f aca="false">B449</f>
        <v>м.п.</v>
      </c>
      <c r="C491" s="1389" t="n">
        <f aca="false">C449</f>
        <v>0.4</v>
      </c>
      <c r="D491" s="1389" t="n">
        <f aca="false">D449</f>
        <v>0.05</v>
      </c>
      <c r="E491" s="1391" t="n">
        <f aca="false">IF('Ввод данных'!$A$365=связи1!$A$97,IF(дома!E490&lt;связи1!$D$553,0,дома!E490-$D$419),0)+IF(дома!E490&lt;=0,0,IF('Ввод данных'!$A$365=связи1!$A$94,IF(дома!E490&lt;0,0,дома!E490-$D$419),0))</f>
        <v>0</v>
      </c>
      <c r="F491" s="1391" t="n">
        <f aca="false">F449</f>
        <v>2</v>
      </c>
      <c r="G491" s="933" t="n">
        <f aca="false">C491*D491*E491*F491</f>
        <v>0</v>
      </c>
      <c r="H491" s="933"/>
      <c r="I491" s="933"/>
      <c r="J491" s="933"/>
      <c r="K491" s="933"/>
      <c r="L491" s="933"/>
      <c r="M491" s="933"/>
      <c r="N491" s="933"/>
      <c r="O491" s="933"/>
      <c r="P491" s="1290"/>
      <c r="Q491" s="1290"/>
      <c r="R491" s="1290"/>
      <c r="S491" s="933"/>
      <c r="T491" s="933"/>
      <c r="U491" s="1329"/>
      <c r="V491" s="933"/>
      <c r="W491" s="933"/>
      <c r="X491" s="933"/>
      <c r="Y491" s="1290"/>
      <c r="Z491" s="1290"/>
      <c r="AA491" s="933"/>
      <c r="AB491" s="933"/>
      <c r="AC491" s="933"/>
      <c r="AD491" s="933"/>
    </row>
    <row r="492" customFormat="false" ht="15.75" hidden="false" customHeight="true" outlineLevel="1" collapsed="false">
      <c r="A492" s="1389" t="str">
        <f aca="false">A450</f>
        <v>Стойка каркаса по фронтону, 1 этаж, двускатная кровля, №4</v>
      </c>
      <c r="B492" s="1390" t="str">
        <f aca="false">B450</f>
        <v>м.п.</v>
      </c>
      <c r="C492" s="1389" t="n">
        <f aca="false">C450</f>
        <v>0.4</v>
      </c>
      <c r="D492" s="1389" t="n">
        <f aca="false">D450</f>
        <v>0.05</v>
      </c>
      <c r="E492" s="1391" t="n">
        <f aca="false">IF('Ввод данных'!$A$365=связи1!$A$97,IF(дома!E491&lt;связи1!$D$553,0,дома!E491-$D$419),0)+IF(дома!E491&lt;=0,0,IF('Ввод данных'!$A$365=связи1!$A$94,IF(дома!E491&lt;0,0,дома!E491-$D$419),0))</f>
        <v>0</v>
      </c>
      <c r="F492" s="1391" t="n">
        <f aca="false">F450</f>
        <v>2</v>
      </c>
      <c r="G492" s="933" t="n">
        <f aca="false">C492*D492*E492*F492</f>
        <v>0</v>
      </c>
      <c r="H492" s="933"/>
      <c r="I492" s="933"/>
      <c r="J492" s="933"/>
      <c r="K492" s="933"/>
      <c r="L492" s="933"/>
      <c r="M492" s="933"/>
      <c r="N492" s="933"/>
      <c r="O492" s="933"/>
      <c r="P492" s="1290"/>
      <c r="Q492" s="1290"/>
      <c r="R492" s="1290"/>
      <c r="S492" s="933"/>
      <c r="T492" s="933"/>
      <c r="U492" s="1329"/>
      <c r="V492" s="933"/>
      <c r="W492" s="933"/>
      <c r="X492" s="933"/>
      <c r="Y492" s="1290"/>
      <c r="Z492" s="1290"/>
      <c r="AA492" s="933"/>
      <c r="AB492" s="933"/>
      <c r="AC492" s="933"/>
      <c r="AD492" s="933"/>
    </row>
    <row r="493" customFormat="false" ht="15.75" hidden="false" customHeight="true" outlineLevel="1" collapsed="false">
      <c r="A493" s="1389" t="str">
        <f aca="false">A451</f>
        <v>Стойка каркаса по фронтону, 1 этаж, двускатная кровля, №5</v>
      </c>
      <c r="B493" s="1390" t="str">
        <f aca="false">B451</f>
        <v>м.п.</v>
      </c>
      <c r="C493" s="1389" t="n">
        <f aca="false">C451</f>
        <v>0.4</v>
      </c>
      <c r="D493" s="1389" t="n">
        <f aca="false">D451</f>
        <v>0.05</v>
      </c>
      <c r="E493" s="1391" t="n">
        <f aca="false">IF('Ввод данных'!$A$365=связи1!$A$97,IF(дома!E492&lt;связи1!$D$553,0,дома!E492-$D$419),0)+IF(дома!E492&lt;=0,0,IF('Ввод данных'!$A$365=связи1!$A$94,IF(дома!E492&lt;0,0,дома!E492-$D$419),0))</f>
        <v>0</v>
      </c>
      <c r="F493" s="1391" t="n">
        <f aca="false">F451</f>
        <v>2</v>
      </c>
      <c r="G493" s="933" t="n">
        <f aca="false">C493*D493*E493*F493</f>
        <v>0</v>
      </c>
      <c r="H493" s="933"/>
      <c r="I493" s="933"/>
      <c r="J493" s="933"/>
      <c r="K493" s="933"/>
      <c r="L493" s="933"/>
      <c r="M493" s="933"/>
      <c r="N493" s="933"/>
      <c r="O493" s="933"/>
      <c r="P493" s="1290"/>
      <c r="Q493" s="1290"/>
      <c r="R493" s="1290"/>
      <c r="S493" s="933"/>
      <c r="T493" s="933"/>
      <c r="U493" s="1329"/>
      <c r="V493" s="933"/>
      <c r="W493" s="933"/>
      <c r="X493" s="933"/>
      <c r="Y493" s="1290"/>
      <c r="Z493" s="1290"/>
      <c r="AA493" s="933"/>
      <c r="AB493" s="933"/>
      <c r="AC493" s="933"/>
      <c r="AD493" s="933"/>
    </row>
    <row r="494" customFormat="false" ht="15.75" hidden="false" customHeight="true" outlineLevel="1" collapsed="false">
      <c r="A494" s="1389" t="str">
        <f aca="false">A452</f>
        <v>Стойка каркаса по фронтону, 1 этаж, двускатная кровля, №6</v>
      </c>
      <c r="B494" s="1390" t="str">
        <f aca="false">B452</f>
        <v>м.п.</v>
      </c>
      <c r="C494" s="1389" t="n">
        <f aca="false">C452</f>
        <v>0.4</v>
      </c>
      <c r="D494" s="1389" t="n">
        <f aca="false">D452</f>
        <v>0.05</v>
      </c>
      <c r="E494" s="1391" t="n">
        <f aca="false">IF('Ввод данных'!$A$365=связи1!$A$97,IF(дома!E493&lt;связи1!$D$553,0,дома!E493-$D$419),0)+IF(дома!E493&lt;=0,0,IF('Ввод данных'!$A$365=связи1!$A$94,IF(дома!E493&lt;0,0,дома!E493-$D$419),0))</f>
        <v>0</v>
      </c>
      <c r="F494" s="1391" t="n">
        <f aca="false">F452</f>
        <v>2</v>
      </c>
      <c r="G494" s="933" t="n">
        <f aca="false">C494*D494*E494*F494</f>
        <v>0</v>
      </c>
      <c r="H494" s="933"/>
      <c r="I494" s="933"/>
      <c r="J494" s="933"/>
      <c r="K494" s="933"/>
      <c r="L494" s="933"/>
      <c r="M494" s="933"/>
      <c r="N494" s="933"/>
      <c r="O494" s="933"/>
      <c r="P494" s="1290"/>
      <c r="Q494" s="1290"/>
      <c r="R494" s="1290"/>
      <c r="S494" s="933"/>
      <c r="T494" s="933"/>
      <c r="U494" s="1329"/>
      <c r="V494" s="933"/>
      <c r="W494" s="933"/>
      <c r="X494" s="933"/>
      <c r="Y494" s="1290"/>
      <c r="Z494" s="1290"/>
      <c r="AA494" s="933"/>
      <c r="AB494" s="933"/>
      <c r="AC494" s="933"/>
      <c r="AD494" s="933"/>
    </row>
    <row r="495" customFormat="false" ht="15.75" hidden="false" customHeight="true" outlineLevel="1" collapsed="false">
      <c r="A495" s="1389" t="str">
        <f aca="false">A453</f>
        <v>Стойка каркаса по фронтону, 1 этаж, двускатная кровля, №7</v>
      </c>
      <c r="B495" s="1390" t="str">
        <f aca="false">B453</f>
        <v>м.п.</v>
      </c>
      <c r="C495" s="1389" t="n">
        <f aca="false">C453</f>
        <v>0.4</v>
      </c>
      <c r="D495" s="1389" t="n">
        <f aca="false">D453</f>
        <v>0.05</v>
      </c>
      <c r="E495" s="1391" t="n">
        <f aca="false">IF('Ввод данных'!$A$365=связи1!$A$97,IF(дома!E494&lt;связи1!$D$553,0,дома!E494-$D$419),0)+IF(дома!E494&lt;=0,0,IF('Ввод данных'!$A$365=связи1!$A$94,IF(дома!E494&lt;0,0,дома!E494-$D$419),0))</f>
        <v>0</v>
      </c>
      <c r="F495" s="1391" t="n">
        <f aca="false">F453</f>
        <v>2</v>
      </c>
      <c r="G495" s="933" t="n">
        <f aca="false">C495*D495*E495*F495</f>
        <v>0</v>
      </c>
      <c r="H495" s="933"/>
      <c r="I495" s="933"/>
      <c r="J495" s="933"/>
      <c r="K495" s="933"/>
      <c r="L495" s="933"/>
      <c r="M495" s="933"/>
      <c r="N495" s="933"/>
      <c r="O495" s="933"/>
      <c r="P495" s="1290"/>
      <c r="Q495" s="1290"/>
      <c r="R495" s="1290"/>
      <c r="S495" s="933"/>
      <c r="T495" s="933"/>
      <c r="U495" s="1329"/>
      <c r="V495" s="933"/>
      <c r="W495" s="933"/>
      <c r="X495" s="933"/>
      <c r="Y495" s="1290"/>
      <c r="Z495" s="1290"/>
      <c r="AA495" s="933"/>
      <c r="AB495" s="933"/>
      <c r="AC495" s="933"/>
      <c r="AD495" s="933"/>
    </row>
    <row r="496" customFormat="false" ht="15.75" hidden="false" customHeight="true" outlineLevel="1" collapsed="false">
      <c r="A496" s="1389" t="str">
        <f aca="false">A454</f>
        <v>Стойка каркаса по фронтону, 1 этаж, двускатная кровля, №8</v>
      </c>
      <c r="B496" s="1390" t="str">
        <f aca="false">B454</f>
        <v>м.п.</v>
      </c>
      <c r="C496" s="1389" t="n">
        <f aca="false">C454</f>
        <v>0.4</v>
      </c>
      <c r="D496" s="1389" t="n">
        <f aca="false">D454</f>
        <v>0.05</v>
      </c>
      <c r="E496" s="1391" t="n">
        <f aca="false">IF('Ввод данных'!$A$365=связи1!$A$97,IF(дома!E495&lt;связи1!$D$553,0,дома!E495-$D$419),0)+IF(дома!E495&lt;=0,0,IF('Ввод данных'!$A$365=связи1!$A$94,IF(дома!E495&lt;0,0,дома!E495-$D$419),0))</f>
        <v>0</v>
      </c>
      <c r="F496" s="1391" t="n">
        <f aca="false">F454</f>
        <v>2</v>
      </c>
      <c r="G496" s="933" t="n">
        <f aca="false">C496*D496*E496*F496</f>
        <v>0</v>
      </c>
      <c r="H496" s="933"/>
      <c r="I496" s="933"/>
      <c r="J496" s="933"/>
      <c r="K496" s="933"/>
      <c r="L496" s="933"/>
      <c r="M496" s="933"/>
      <c r="N496" s="933"/>
      <c r="O496" s="933"/>
      <c r="P496" s="1290"/>
      <c r="Q496" s="1290"/>
      <c r="R496" s="1290"/>
      <c r="S496" s="933"/>
      <c r="T496" s="933"/>
      <c r="U496" s="1329"/>
      <c r="V496" s="933"/>
      <c r="W496" s="933"/>
      <c r="X496" s="933"/>
      <c r="Y496" s="1290"/>
      <c r="Z496" s="1290"/>
      <c r="AA496" s="933"/>
      <c r="AB496" s="933"/>
      <c r="AC496" s="933"/>
      <c r="AD496" s="933"/>
    </row>
    <row r="497" customFormat="false" ht="15.75" hidden="false" customHeight="true" outlineLevel="1" collapsed="false">
      <c r="A497" s="1389" t="str">
        <f aca="false">A455</f>
        <v>Стойка каркаса по фронтону, 1 этаж, двускатная кровля, №9</v>
      </c>
      <c r="B497" s="1390" t="str">
        <f aca="false">B455</f>
        <v>м.п.</v>
      </c>
      <c r="C497" s="1389" t="n">
        <f aca="false">C455</f>
        <v>0.4</v>
      </c>
      <c r="D497" s="1389" t="n">
        <f aca="false">D455</f>
        <v>0.05</v>
      </c>
      <c r="E497" s="1391" t="n">
        <f aca="false">IF('Ввод данных'!$A$365=связи1!$A$97,IF(дома!E496&lt;связи1!$D$553,0,дома!E496-$D$419),0)+IF(дома!E496&lt;=0,0,IF('Ввод данных'!$A$365=связи1!$A$94,IF(дома!E496&lt;0,0,дома!E496-$D$419),0))</f>
        <v>0</v>
      </c>
      <c r="F497" s="1391" t="n">
        <f aca="false">F455</f>
        <v>2</v>
      </c>
      <c r="G497" s="933" t="n">
        <f aca="false">C497*D497*E497*F497</f>
        <v>0</v>
      </c>
      <c r="H497" s="933"/>
      <c r="I497" s="933"/>
      <c r="J497" s="933"/>
      <c r="K497" s="933"/>
      <c r="L497" s="933"/>
      <c r="M497" s="933"/>
      <c r="N497" s="933"/>
      <c r="O497" s="933"/>
      <c r="P497" s="1290"/>
      <c r="Q497" s="1290"/>
      <c r="R497" s="1290"/>
      <c r="S497" s="933"/>
      <c r="T497" s="933"/>
      <c r="U497" s="1329"/>
      <c r="V497" s="933"/>
      <c r="W497" s="933"/>
      <c r="X497" s="933"/>
      <c r="Y497" s="1290"/>
      <c r="Z497" s="1290"/>
      <c r="AA497" s="933"/>
      <c r="AB497" s="933"/>
      <c r="AC497" s="933"/>
      <c r="AD497" s="933"/>
    </row>
    <row r="498" customFormat="false" ht="15.75" hidden="false" customHeight="true" outlineLevel="1" collapsed="false">
      <c r="A498" s="1389" t="str">
        <f aca="false">A456</f>
        <v>Стойка каркаса по фронтону, 1 этаж, двускатная кровля, №10</v>
      </c>
      <c r="B498" s="1390" t="str">
        <f aca="false">B456</f>
        <v>м.п.</v>
      </c>
      <c r="C498" s="1389" t="n">
        <f aca="false">C456</f>
        <v>0.4</v>
      </c>
      <c r="D498" s="1389" t="n">
        <f aca="false">D456</f>
        <v>0.05</v>
      </c>
      <c r="E498" s="1391" t="n">
        <f aca="false">IF('Ввод данных'!$A$365=связи1!$A$97,IF(дома!E497&lt;связи1!$D$553,0,дома!E497-$D$419),0)+IF(дома!E497&lt;=0,0,IF('Ввод данных'!$A$365=связи1!$A$94,IF(дома!E497&lt;0,0,дома!E497-$D$419),0))</f>
        <v>0</v>
      </c>
      <c r="F498" s="1391" t="n">
        <f aca="false">F456</f>
        <v>2</v>
      </c>
      <c r="G498" s="933" t="n">
        <f aca="false">C498*D498*E498*F498</f>
        <v>0</v>
      </c>
      <c r="H498" s="933"/>
      <c r="I498" s="933"/>
      <c r="J498" s="933"/>
      <c r="K498" s="933"/>
      <c r="L498" s="933"/>
      <c r="M498" s="933"/>
      <c r="N498" s="933"/>
      <c r="O498" s="933"/>
      <c r="P498" s="1290"/>
      <c r="Q498" s="1290"/>
      <c r="R498" s="1290"/>
      <c r="S498" s="933"/>
      <c r="T498" s="933"/>
      <c r="U498" s="1329"/>
      <c r="V498" s="933"/>
      <c r="W498" s="933"/>
      <c r="X498" s="933"/>
      <c r="Y498" s="1290"/>
      <c r="Z498" s="1290"/>
      <c r="AA498" s="933"/>
      <c r="AB498" s="933"/>
      <c r="AC498" s="933"/>
      <c r="AD498" s="933"/>
    </row>
    <row r="499" customFormat="false" ht="15.75" hidden="false" customHeight="true" outlineLevel="1" collapsed="false">
      <c r="A499" s="1389" t="str">
        <f aca="false">A457</f>
        <v>Стойка каркаса по фронтону, 1 этаж, двускатная кровля, №11</v>
      </c>
      <c r="B499" s="1390" t="str">
        <f aca="false">B457</f>
        <v>м.п.</v>
      </c>
      <c r="C499" s="1389" t="n">
        <f aca="false">C457</f>
        <v>0.4</v>
      </c>
      <c r="D499" s="1389" t="n">
        <f aca="false">D457</f>
        <v>0.05</v>
      </c>
      <c r="E499" s="1391" t="n">
        <f aca="false">IF('Ввод данных'!$A$365=связи1!$A$97,IF(дома!E498&lt;связи1!$D$553,0,дома!E498-$D$419),0)+IF(дома!E498&lt;=0,0,IF('Ввод данных'!$A$365=связи1!$A$94,IF(дома!E498&lt;0,0,дома!E498-$D$419),0))</f>
        <v>0</v>
      </c>
      <c r="F499" s="1391" t="n">
        <f aca="false">F457</f>
        <v>2</v>
      </c>
      <c r="G499" s="933" t="n">
        <f aca="false">C499*D499*E499*F499</f>
        <v>0</v>
      </c>
      <c r="H499" s="933"/>
      <c r="I499" s="933"/>
      <c r="J499" s="933"/>
      <c r="K499" s="933"/>
      <c r="L499" s="933"/>
      <c r="M499" s="933"/>
      <c r="N499" s="933"/>
      <c r="O499" s="933"/>
      <c r="P499" s="1290"/>
      <c r="Q499" s="1290"/>
      <c r="R499" s="1290"/>
      <c r="S499" s="933"/>
      <c r="T499" s="933"/>
      <c r="U499" s="1329"/>
      <c r="V499" s="933"/>
      <c r="W499" s="933"/>
      <c r="X499" s="933"/>
      <c r="Y499" s="1290"/>
      <c r="Z499" s="1290"/>
      <c r="AA499" s="933"/>
      <c r="AB499" s="933"/>
      <c r="AC499" s="933"/>
      <c r="AD499" s="933"/>
    </row>
    <row r="500" customFormat="false" ht="15.75" hidden="false" customHeight="true" outlineLevel="1" collapsed="false">
      <c r="A500" s="1389" t="str">
        <f aca="false">A458</f>
        <v>Стойка каркаса по фронтону, 1 этаж, двускатная кровля, №12</v>
      </c>
      <c r="B500" s="1390" t="str">
        <f aca="false">B458</f>
        <v>м.п.</v>
      </c>
      <c r="C500" s="1389" t="n">
        <f aca="false">C458</f>
        <v>0.4</v>
      </c>
      <c r="D500" s="1389" t="n">
        <f aca="false">D458</f>
        <v>0.05</v>
      </c>
      <c r="E500" s="1391" t="n">
        <f aca="false">IF('Ввод данных'!$A$365=связи1!$A$97,IF(дома!E499&lt;связи1!$D$553,0,дома!E499-$D$419),0)+IF(дома!E499&lt;=0,0,IF('Ввод данных'!$A$365=связи1!$A$94,IF(дома!E499&lt;0,0,дома!E499-$D$419),0))</f>
        <v>0</v>
      </c>
      <c r="F500" s="1391" t="n">
        <f aca="false">F458</f>
        <v>2</v>
      </c>
      <c r="G500" s="933" t="n">
        <f aca="false">C500*D500*E500*F500</f>
        <v>0</v>
      </c>
      <c r="H500" s="933"/>
      <c r="I500" s="933"/>
      <c r="J500" s="933"/>
      <c r="K500" s="933"/>
      <c r="L500" s="933"/>
      <c r="M500" s="933"/>
      <c r="N500" s="933"/>
      <c r="O500" s="933"/>
      <c r="P500" s="1290"/>
      <c r="Q500" s="1290"/>
      <c r="R500" s="1290"/>
      <c r="S500" s="933"/>
      <c r="T500" s="933"/>
      <c r="U500" s="1329"/>
      <c r="V500" s="933"/>
      <c r="W500" s="933"/>
      <c r="X500" s="933"/>
      <c r="Y500" s="1290"/>
      <c r="Z500" s="1290"/>
      <c r="AA500" s="933"/>
      <c r="AB500" s="933"/>
      <c r="AC500" s="933"/>
      <c r="AD500" s="933"/>
    </row>
    <row r="501" customFormat="false" ht="15.75" hidden="false" customHeight="true" outlineLevel="1" collapsed="false">
      <c r="A501" s="1389" t="str">
        <f aca="false">A459</f>
        <v>Стойка каркаса по фронтону, 1 этаж, двускатная кровля, №13</v>
      </c>
      <c r="B501" s="1390" t="str">
        <f aca="false">B459</f>
        <v>м.п.</v>
      </c>
      <c r="C501" s="1389" t="n">
        <f aca="false">C459</f>
        <v>0.4</v>
      </c>
      <c r="D501" s="1389" t="n">
        <f aca="false">D459</f>
        <v>0.05</v>
      </c>
      <c r="E501" s="1391" t="n">
        <f aca="false">IF('Ввод данных'!$A$365=связи1!$A$97,IF(дома!E500&lt;связи1!$D$553,0,дома!E500-$D$419),0)+IF(дома!E500&lt;=0,0,IF('Ввод данных'!$A$365=связи1!$A$94,IF(дома!E500&lt;0,0,дома!E500-$D$419),0))</f>
        <v>0</v>
      </c>
      <c r="F501" s="1391" t="n">
        <f aca="false">F459</f>
        <v>2</v>
      </c>
      <c r="G501" s="933" t="n">
        <f aca="false">C501*D501*E501*F501</f>
        <v>0</v>
      </c>
      <c r="H501" s="933"/>
      <c r="I501" s="933"/>
      <c r="J501" s="933"/>
      <c r="K501" s="933"/>
      <c r="L501" s="933"/>
      <c r="M501" s="933"/>
      <c r="N501" s="933"/>
      <c r="O501" s="933"/>
      <c r="P501" s="1290"/>
      <c r="Q501" s="1290"/>
      <c r="R501" s="1290"/>
      <c r="S501" s="933"/>
      <c r="T501" s="933"/>
      <c r="U501" s="1329"/>
      <c r="V501" s="933"/>
      <c r="W501" s="933"/>
      <c r="X501" s="933"/>
      <c r="Y501" s="1290"/>
      <c r="Z501" s="1290"/>
      <c r="AA501" s="933"/>
      <c r="AB501" s="933"/>
      <c r="AC501" s="933"/>
      <c r="AD501" s="933"/>
    </row>
    <row r="502" customFormat="false" ht="15.75" hidden="false" customHeight="true" outlineLevel="1" collapsed="false">
      <c r="A502" s="1389" t="str">
        <f aca="false">A460</f>
        <v>Стойка каркаса по фронтону, 1 этаж, двускатная кровля, №14</v>
      </c>
      <c r="B502" s="1390" t="str">
        <f aca="false">B460</f>
        <v>м.п.</v>
      </c>
      <c r="C502" s="1389" t="n">
        <f aca="false">C460</f>
        <v>0.4</v>
      </c>
      <c r="D502" s="1389" t="n">
        <f aca="false">D460</f>
        <v>0.05</v>
      </c>
      <c r="E502" s="1391" t="n">
        <f aca="false">IF('Ввод данных'!$A$365=связи1!$A$97,IF(дома!E501&lt;связи1!$D$553,0,дома!E501-$D$419),0)+IF(дома!E501&lt;=0,0,IF('Ввод данных'!$A$365=связи1!$A$94,IF(дома!E501&lt;0,0,дома!E501-$D$419),0))</f>
        <v>0</v>
      </c>
      <c r="F502" s="1391" t="n">
        <f aca="false">F460</f>
        <v>2</v>
      </c>
      <c r="G502" s="933" t="n">
        <f aca="false">C502*D502*E502*F502</f>
        <v>0</v>
      </c>
      <c r="H502" s="933"/>
      <c r="I502" s="933"/>
      <c r="J502" s="933"/>
      <c r="K502" s="933"/>
      <c r="L502" s="933"/>
      <c r="M502" s="933"/>
      <c r="N502" s="933"/>
      <c r="O502" s="933"/>
      <c r="P502" s="1290"/>
      <c r="Q502" s="1290"/>
      <c r="R502" s="1290"/>
      <c r="S502" s="933"/>
      <c r="T502" s="933"/>
      <c r="U502" s="1329"/>
      <c r="V502" s="933"/>
      <c r="W502" s="933"/>
      <c r="X502" s="933"/>
      <c r="Y502" s="1290"/>
      <c r="Z502" s="1290"/>
      <c r="AA502" s="933"/>
      <c r="AB502" s="933"/>
      <c r="AC502" s="933"/>
      <c r="AD502" s="933"/>
    </row>
    <row r="503" customFormat="false" ht="15.75" hidden="false" customHeight="true" outlineLevel="1" collapsed="false">
      <c r="A503" s="1389" t="str">
        <f aca="false">A461</f>
        <v>Стойка каркаса по фронтону, 1 этаж, двускатная кровля, №15</v>
      </c>
      <c r="B503" s="1390" t="str">
        <f aca="false">B461</f>
        <v>м.п.</v>
      </c>
      <c r="C503" s="1389" t="n">
        <f aca="false">C461</f>
        <v>0.4</v>
      </c>
      <c r="D503" s="1389" t="n">
        <f aca="false">D461</f>
        <v>0.05</v>
      </c>
      <c r="E503" s="1391" t="n">
        <f aca="false">IF('Ввод данных'!$A$365=связи1!$A$97,IF(дома!E502&lt;связи1!$D$553,0,дома!E502-$D$419),0)+IF(дома!E502&lt;=0,0,IF('Ввод данных'!$A$365=связи1!$A$94,IF(дома!E502&lt;0,0,дома!E502-$D$419),0))</f>
        <v>0</v>
      </c>
      <c r="F503" s="1391" t="n">
        <f aca="false">F461</f>
        <v>2</v>
      </c>
      <c r="G503" s="933" t="n">
        <f aca="false">C503*D503*E503*F503</f>
        <v>0</v>
      </c>
      <c r="H503" s="933"/>
      <c r="I503" s="933"/>
      <c r="J503" s="933"/>
      <c r="K503" s="933"/>
      <c r="L503" s="933"/>
      <c r="M503" s="933"/>
      <c r="N503" s="933"/>
      <c r="O503" s="933"/>
      <c r="P503" s="1290"/>
      <c r="Q503" s="1290"/>
      <c r="R503" s="1290"/>
      <c r="S503" s="933"/>
      <c r="T503" s="933"/>
      <c r="U503" s="1329"/>
      <c r="V503" s="933"/>
      <c r="W503" s="933"/>
      <c r="X503" s="933"/>
      <c r="Y503" s="1290"/>
      <c r="Z503" s="1290"/>
      <c r="AA503" s="933"/>
      <c r="AB503" s="933"/>
      <c r="AC503" s="933"/>
      <c r="AD503" s="933"/>
    </row>
    <row r="504" customFormat="false" ht="15.75" hidden="false" customHeight="true" outlineLevel="1" collapsed="false">
      <c r="A504" s="1389" t="str">
        <f aca="false">A462</f>
        <v>Стойка каркаса по фронтону, 1 этаж, двускатная кровля, №16</v>
      </c>
      <c r="B504" s="1390" t="str">
        <f aca="false">B462</f>
        <v>м.п.</v>
      </c>
      <c r="C504" s="1389" t="n">
        <f aca="false">C462</f>
        <v>0.4</v>
      </c>
      <c r="D504" s="1389" t="n">
        <f aca="false">D462</f>
        <v>0.05</v>
      </c>
      <c r="E504" s="1391" t="n">
        <f aca="false">IF('Ввод данных'!$A$365=связи1!$A$97,IF(дома!E503&lt;связи1!$D$553,0,дома!E503-$D$419),0)+IF(дома!E503&lt;=0,0,IF('Ввод данных'!$A$365=связи1!$A$94,IF(дома!E503&lt;0,0,дома!E503-$D$419),0))</f>
        <v>0</v>
      </c>
      <c r="F504" s="1391" t="n">
        <f aca="false">F462</f>
        <v>2</v>
      </c>
      <c r="G504" s="933" t="n">
        <f aca="false">C504*D504*E504*F504</f>
        <v>0</v>
      </c>
      <c r="H504" s="933"/>
      <c r="I504" s="933"/>
      <c r="J504" s="933"/>
      <c r="K504" s="933"/>
      <c r="L504" s="933"/>
      <c r="M504" s="933"/>
      <c r="N504" s="933"/>
      <c r="O504" s="933"/>
      <c r="P504" s="1290"/>
      <c r="Q504" s="1290"/>
      <c r="R504" s="1290"/>
      <c r="S504" s="933"/>
      <c r="T504" s="933"/>
      <c r="U504" s="1329"/>
      <c r="V504" s="933"/>
      <c r="W504" s="933"/>
      <c r="X504" s="933"/>
      <c r="Y504" s="1290"/>
      <c r="Z504" s="1290"/>
      <c r="AA504" s="933"/>
      <c r="AB504" s="933"/>
      <c r="AC504" s="933"/>
      <c r="AD504" s="933"/>
    </row>
    <row r="505" customFormat="false" ht="15.75" hidden="false" customHeight="true" outlineLevel="1" collapsed="false">
      <c r="A505" s="1389" t="str">
        <f aca="false">A463</f>
        <v>Стойка каркаса по фронтону, 1 этаж, двускатная кровля, №17</v>
      </c>
      <c r="B505" s="1390" t="str">
        <f aca="false">B463</f>
        <v>м.п.</v>
      </c>
      <c r="C505" s="1389" t="n">
        <f aca="false">C463</f>
        <v>0.4</v>
      </c>
      <c r="D505" s="1389" t="n">
        <f aca="false">D463</f>
        <v>0.05</v>
      </c>
      <c r="E505" s="1391" t="n">
        <f aca="false">IF('Ввод данных'!$A$365=связи1!$A$97,IF(дома!E504&lt;связи1!$D$553,0,дома!E504-$D$419),0)+IF(дома!E504&lt;=0,0,IF('Ввод данных'!$A$365=связи1!$A$94,IF(дома!E504&lt;0,0,дома!E504-$D$419),0))</f>
        <v>0</v>
      </c>
      <c r="F505" s="1391" t="n">
        <f aca="false">F463</f>
        <v>2</v>
      </c>
      <c r="G505" s="933" t="n">
        <f aca="false">C505*D505*E505*F505</f>
        <v>0</v>
      </c>
      <c r="H505" s="933"/>
      <c r="I505" s="933"/>
      <c r="J505" s="933"/>
      <c r="K505" s="933"/>
      <c r="L505" s="933"/>
      <c r="M505" s="933"/>
      <c r="N505" s="933"/>
      <c r="O505" s="933"/>
      <c r="P505" s="1290"/>
      <c r="Q505" s="1290"/>
      <c r="R505" s="1290"/>
      <c r="S505" s="933"/>
      <c r="T505" s="933"/>
      <c r="U505" s="1329"/>
      <c r="V505" s="933"/>
      <c r="W505" s="933"/>
      <c r="X505" s="933"/>
      <c r="Y505" s="1290"/>
      <c r="Z505" s="1290"/>
      <c r="AA505" s="933"/>
      <c r="AB505" s="933"/>
      <c r="AC505" s="933"/>
      <c r="AD505" s="933"/>
    </row>
    <row r="506" customFormat="false" ht="15.75" hidden="false" customHeight="true" outlineLevel="1" collapsed="false">
      <c r="A506" s="1372"/>
      <c r="B506" s="887"/>
      <c r="C506" s="1372"/>
      <c r="D506" s="1372"/>
      <c r="E506" s="1372"/>
      <c r="F506" s="1372"/>
      <c r="G506" s="933" t="n">
        <f aca="false">C506*D506*E506*F506</f>
        <v>0</v>
      </c>
      <c r="H506" s="933"/>
      <c r="I506" s="933"/>
      <c r="J506" s="933"/>
      <c r="K506" s="933"/>
      <c r="L506" s="933"/>
      <c r="M506" s="933"/>
      <c r="N506" s="933"/>
      <c r="O506" s="933"/>
      <c r="P506" s="1290"/>
      <c r="Q506" s="1290"/>
      <c r="R506" s="1290"/>
      <c r="S506" s="933"/>
      <c r="T506" s="933"/>
      <c r="U506" s="1329"/>
      <c r="V506" s="933"/>
      <c r="W506" s="933"/>
      <c r="X506" s="933"/>
      <c r="Y506" s="1290"/>
      <c r="Z506" s="1290"/>
      <c r="AA506" s="933"/>
      <c r="AB506" s="933"/>
      <c r="AC506" s="933"/>
      <c r="AD506" s="933"/>
    </row>
    <row r="507" customFormat="false" ht="15.75" hidden="false" customHeight="true" outlineLevel="1" collapsed="false">
      <c r="A507" s="1377" t="s">
        <v>3220</v>
      </c>
      <c r="B507" s="1379" t="str">
        <f aca="false">B465</f>
        <v>ед.изм</v>
      </c>
      <c r="C507" s="1377" t="str">
        <f aca="false">C465</f>
        <v>ширина</v>
      </c>
      <c r="D507" s="1377" t="str">
        <f aca="false">D465</f>
        <v>толщина</v>
      </c>
      <c r="E507" s="1377" t="str">
        <f aca="false">E465</f>
        <v>высота</v>
      </c>
      <c r="F507" s="1377" t="str">
        <f aca="false">F465</f>
        <v>кол-во</v>
      </c>
      <c r="G507" s="933"/>
      <c r="H507" s="933"/>
      <c r="I507" s="933"/>
      <c r="J507" s="933"/>
      <c r="K507" s="933"/>
      <c r="L507" s="933"/>
      <c r="M507" s="933"/>
      <c r="N507" s="933"/>
      <c r="O507" s="933"/>
      <c r="P507" s="1290"/>
      <c r="Q507" s="1290"/>
      <c r="R507" s="1290"/>
      <c r="S507" s="933"/>
      <c r="T507" s="933"/>
      <c r="U507" s="1329"/>
      <c r="V507" s="933"/>
      <c r="W507" s="933"/>
      <c r="X507" s="933"/>
      <c r="Y507" s="1290"/>
      <c r="Z507" s="1290"/>
      <c r="AA507" s="933"/>
      <c r="AB507" s="933"/>
      <c r="AC507" s="933"/>
      <c r="AD507" s="933"/>
    </row>
    <row r="508" customFormat="false" ht="15.75" hidden="false" customHeight="true" outlineLevel="1" collapsed="false">
      <c r="A508" s="1372" t="str">
        <f aca="false">A466</f>
        <v>Стойки каркаса передней стены 1 эт</v>
      </c>
      <c r="B508" s="887" t="str">
        <f aca="false">B466</f>
        <v>м.п.</v>
      </c>
      <c r="C508" s="1372" t="n">
        <f aca="false">C466</f>
        <v>0.4</v>
      </c>
      <c r="D508" s="1372" t="n">
        <f aca="false">D466</f>
        <v>0.05</v>
      </c>
      <c r="E508" s="1372" t="n">
        <f aca="false">связи1!E553</f>
        <v>2.9</v>
      </c>
      <c r="F508" s="1372" t="n">
        <f aca="false">L407</f>
        <v>0</v>
      </c>
      <c r="G508" s="933" t="n">
        <f aca="false">C508*D508*E508*F508</f>
        <v>0</v>
      </c>
      <c r="H508" s="933"/>
      <c r="I508" s="933"/>
      <c r="J508" s="933"/>
      <c r="K508" s="933"/>
      <c r="L508" s="933"/>
      <c r="M508" s="933"/>
      <c r="N508" s="933"/>
      <c r="O508" s="933"/>
      <c r="P508" s="1290"/>
      <c r="Q508" s="1290"/>
      <c r="R508" s="1290"/>
      <c r="S508" s="933"/>
      <c r="T508" s="933"/>
      <c r="U508" s="1329"/>
      <c r="V508" s="933"/>
      <c r="W508" s="933"/>
      <c r="X508" s="933"/>
      <c r="Y508" s="1290"/>
      <c r="Z508" s="1290"/>
      <c r="AA508" s="933"/>
      <c r="AB508" s="933"/>
      <c r="AC508" s="933"/>
      <c r="AD508" s="933"/>
    </row>
    <row r="509" customFormat="false" ht="15.75" hidden="false" customHeight="true" outlineLevel="1" collapsed="false">
      <c r="A509" s="1372" t="str">
        <f aca="false">A467</f>
        <v>Стойки каркаса, левая сторона 1 эт</v>
      </c>
      <c r="B509" s="887" t="str">
        <f aca="false">B467</f>
        <v>м.п.</v>
      </c>
      <c r="C509" s="1372" t="n">
        <f aca="false">C467</f>
        <v>0.4</v>
      </c>
      <c r="D509" s="1372" t="n">
        <f aca="false">D467</f>
        <v>0.05</v>
      </c>
      <c r="E509" s="1372" t="n">
        <f aca="false">$E$408*IF('Ввод данных'!A361=связи1!A97,IF('Ввод данных'!A360=связи1!A106,0,1),1)</f>
        <v>2.9</v>
      </c>
      <c r="F509" s="1372" t="n">
        <f aca="false">L408</f>
        <v>0</v>
      </c>
      <c r="G509" s="933" t="n">
        <f aca="false">C509*D509*E509*F509</f>
        <v>0</v>
      </c>
      <c r="H509" s="933"/>
      <c r="I509" s="933"/>
      <c r="J509" s="933"/>
      <c r="K509" s="933"/>
      <c r="L509" s="933"/>
      <c r="M509" s="933"/>
      <c r="N509" s="933"/>
      <c r="O509" s="933"/>
      <c r="P509" s="1290"/>
      <c r="Q509" s="1290"/>
      <c r="R509" s="1290"/>
      <c r="S509" s="933"/>
      <c r="T509" s="933"/>
      <c r="U509" s="1329"/>
      <c r="V509" s="933"/>
      <c r="W509" s="933"/>
      <c r="X509" s="933"/>
      <c r="Y509" s="1290"/>
      <c r="Z509" s="1290"/>
      <c r="AA509" s="933"/>
      <c r="AB509" s="933"/>
      <c r="AC509" s="933"/>
      <c r="AD509" s="933"/>
    </row>
    <row r="510" customFormat="false" ht="15.75" hidden="false" customHeight="true" outlineLevel="1" collapsed="false">
      <c r="A510" s="1372" t="str">
        <f aca="false">A468</f>
        <v>Стойки каркаса, правая сторона, 1 эт</v>
      </c>
      <c r="B510" s="887" t="str">
        <f aca="false">B468</f>
        <v>м.п.</v>
      </c>
      <c r="C510" s="1372" t="n">
        <f aca="false">C468</f>
        <v>0.4</v>
      </c>
      <c r="D510" s="1372" t="n">
        <f aca="false">D468</f>
        <v>0.05</v>
      </c>
      <c r="E510" s="1372" t="n">
        <f aca="false">$E$408*IF('Ввод данных'!A361=связи1!A97,IF('Ввод данных'!A360=связи1!A106,0,1),1)</f>
        <v>2.9</v>
      </c>
      <c r="F510" s="1372" t="n">
        <f aca="false">L409</f>
        <v>0</v>
      </c>
      <c r="G510" s="933" t="n">
        <f aca="false">C510*D510*E510*F510</f>
        <v>0</v>
      </c>
      <c r="H510" s="933"/>
      <c r="I510" s="933"/>
      <c r="J510" s="933"/>
      <c r="K510" s="933"/>
      <c r="L510" s="933"/>
      <c r="M510" s="933"/>
      <c r="N510" s="933"/>
      <c r="O510" s="933"/>
      <c r="P510" s="1290"/>
      <c r="Q510" s="1290"/>
      <c r="R510" s="1290"/>
      <c r="S510" s="933"/>
      <c r="T510" s="933"/>
      <c r="U510" s="1329"/>
      <c r="V510" s="933"/>
      <c r="W510" s="933"/>
      <c r="X510" s="933"/>
      <c r="Y510" s="1290"/>
      <c r="Z510" s="1290"/>
      <c r="AA510" s="933"/>
      <c r="AB510" s="933"/>
      <c r="AC510" s="933"/>
      <c r="AD510" s="933"/>
    </row>
    <row r="511" customFormat="false" ht="15.75" hidden="false" customHeight="true" outlineLevel="1" collapsed="false">
      <c r="A511" s="1372" t="str">
        <f aca="false">A469</f>
        <v>Обвязка каркаса верхняя/нижняя наружние стены 1 эт</v>
      </c>
      <c r="B511" s="887" t="str">
        <f aca="false">B469</f>
        <v>м.п.</v>
      </c>
      <c r="C511" s="1372" t="n">
        <f aca="false">C469</f>
        <v>0.4</v>
      </c>
      <c r="D511" s="1372" t="n">
        <f aca="false">D469</f>
        <v>0.05</v>
      </c>
      <c r="E511" s="1372" t="n">
        <f aca="false">E469</f>
        <v>0</v>
      </c>
      <c r="F511" s="1372" t="n">
        <f aca="false">P410+Q410</f>
        <v>0</v>
      </c>
      <c r="G511" s="933" t="n">
        <f aca="false">C511*D511*E511*F511</f>
        <v>0</v>
      </c>
      <c r="H511" s="933"/>
      <c r="I511" s="933"/>
      <c r="J511" s="933"/>
      <c r="K511" s="933"/>
      <c r="L511" s="933"/>
      <c r="M511" s="933"/>
      <c r="N511" s="933"/>
      <c r="O511" s="933"/>
      <c r="P511" s="1290"/>
      <c r="Q511" s="1290"/>
      <c r="R511" s="1290"/>
      <c r="S511" s="933"/>
      <c r="T511" s="933"/>
      <c r="U511" s="1329"/>
      <c r="V511" s="933"/>
      <c r="W511" s="933"/>
      <c r="X511" s="933"/>
      <c r="Y511" s="1290"/>
      <c r="Z511" s="1290"/>
      <c r="AA511" s="933"/>
      <c r="AB511" s="933"/>
      <c r="AC511" s="933"/>
      <c r="AD511" s="933"/>
    </row>
    <row r="512" customFormat="false" ht="15.75" hidden="false" customHeight="true" outlineLevel="1" collapsed="false">
      <c r="A512" s="1372" t="str">
        <f aca="false">A470</f>
        <v>Ригель каркаса наружние стены 1 эт</v>
      </c>
      <c r="B512" s="887" t="str">
        <f aca="false">B470</f>
        <v>м.п.</v>
      </c>
      <c r="C512" s="1372" t="n">
        <f aca="false">C470</f>
        <v>0.4</v>
      </c>
      <c r="D512" s="1372" t="n">
        <f aca="false">D470</f>
        <v>0.05</v>
      </c>
      <c r="E512" s="1372" t="n">
        <f aca="false">E470</f>
        <v>0</v>
      </c>
      <c r="F512" s="1372" t="n">
        <f aca="false">R410</f>
        <v>0</v>
      </c>
      <c r="G512" s="933" t="n">
        <f aca="false">C512*D512*E512*F512</f>
        <v>0</v>
      </c>
      <c r="H512" s="933"/>
      <c r="I512" s="933"/>
      <c r="J512" s="933"/>
      <c r="K512" s="933"/>
      <c r="L512" s="933"/>
      <c r="M512" s="933"/>
      <c r="N512" s="933"/>
      <c r="O512" s="933"/>
      <c r="P512" s="1290"/>
      <c r="Q512" s="1290"/>
      <c r="R512" s="1290"/>
      <c r="S512" s="933"/>
      <c r="T512" s="933"/>
      <c r="U512" s="1329"/>
      <c r="V512" s="933"/>
      <c r="W512" s="933"/>
      <c r="X512" s="933"/>
      <c r="Y512" s="1290"/>
      <c r="Z512" s="1290"/>
      <c r="AA512" s="933"/>
      <c r="AB512" s="933"/>
      <c r="AC512" s="933"/>
      <c r="AD512" s="933"/>
    </row>
    <row r="513" customFormat="false" ht="15.75" hidden="false" customHeight="true" outlineLevel="1" collapsed="false">
      <c r="A513" s="1372" t="str">
        <f aca="false">A471</f>
        <v>Укосина наружних стен, усиление 1 этаж</v>
      </c>
      <c r="B513" s="887" t="str">
        <f aca="false">B471</f>
        <v>м.п.</v>
      </c>
      <c r="C513" s="1372" t="n">
        <f aca="false">C471</f>
        <v>0.4</v>
      </c>
      <c r="D513" s="1372" t="n">
        <f aca="false">D471</f>
        <v>0.05</v>
      </c>
      <c r="E513" s="1372" t="n">
        <f aca="false">E471*VLOOKUP('Ввод данных'!F416,связи1!A2:B3,2,0)*связи1!E550</f>
        <v>0</v>
      </c>
      <c r="F513" s="1372" t="n">
        <f aca="false">F471</f>
        <v>8</v>
      </c>
      <c r="G513" s="933" t="n">
        <f aca="false">C513*D513*E513*F513</f>
        <v>0</v>
      </c>
      <c r="H513" s="933"/>
      <c r="I513" s="933"/>
      <c r="J513" s="933"/>
      <c r="K513" s="933"/>
      <c r="L513" s="933"/>
      <c r="M513" s="933"/>
      <c r="N513" s="933"/>
      <c r="O513" s="933"/>
      <c r="P513" s="1290"/>
      <c r="Q513" s="1290"/>
      <c r="R513" s="1290"/>
      <c r="S513" s="933"/>
      <c r="T513" s="933"/>
      <c r="U513" s="1329"/>
      <c r="V513" s="933"/>
      <c r="W513" s="933"/>
      <c r="X513" s="933"/>
      <c r="Y513" s="1290"/>
      <c r="Z513" s="1290"/>
      <c r="AA513" s="933"/>
      <c r="AB513" s="933"/>
      <c r="AC513" s="933"/>
      <c r="AD513" s="933"/>
    </row>
    <row r="514" customFormat="false" ht="15.75" hidden="false" customHeight="true" outlineLevel="1" collapsed="false">
      <c r="A514" s="1372" t="str">
        <f aca="false">A472</f>
        <v>Стойка каркаса по фронтону, 1 этаж, односкатная кровля, №1</v>
      </c>
      <c r="B514" s="887" t="str">
        <f aca="false">B472</f>
        <v>м.п.</v>
      </c>
      <c r="C514" s="1372" t="n">
        <f aca="false">C472</f>
        <v>0.4</v>
      </c>
      <c r="D514" s="1372" t="n">
        <f aca="false">D472</f>
        <v>0.05</v>
      </c>
      <c r="E514" s="1372" t="n">
        <f aca="false">IF('Ввод данных'!A368=связи1!A106,IF('Ввод данных'!A369=связи1!A94,связи1!E554-связи1!E553,0)+IF('Ввод данных'!A369=связи1!A95,0,0)+IF('Ввод данных'!A369=связи1!A96,0,0)+IF('Ввод данных'!A369=связи1!A97,связи1!E554,0)+IF('Ввод данных'!A369=связи1!A98,0,0),0)</f>
        <v>0</v>
      </c>
      <c r="F514" s="1372" t="n">
        <f aca="false">F472</f>
        <v>2</v>
      </c>
      <c r="G514" s="933" t="n">
        <f aca="false">C514*D514*E514*F514</f>
        <v>0</v>
      </c>
      <c r="H514" s="933"/>
      <c r="I514" s="933"/>
      <c r="J514" s="933"/>
      <c r="K514" s="933"/>
      <c r="L514" s="933"/>
      <c r="M514" s="933"/>
      <c r="N514" s="933"/>
      <c r="O514" s="933"/>
      <c r="P514" s="1290"/>
      <c r="Q514" s="1290"/>
      <c r="R514" s="1290"/>
      <c r="S514" s="933"/>
      <c r="T514" s="933"/>
      <c r="U514" s="1329"/>
      <c r="V514" s="933"/>
      <c r="W514" s="933"/>
      <c r="X514" s="933"/>
      <c r="Y514" s="1290"/>
      <c r="Z514" s="1290"/>
      <c r="AA514" s="933"/>
      <c r="AB514" s="933"/>
      <c r="AC514" s="933"/>
      <c r="AD514" s="933"/>
    </row>
    <row r="515" customFormat="false" ht="15.75" hidden="false" customHeight="true" outlineLevel="1" collapsed="false">
      <c r="A515" s="1372" t="str">
        <f aca="false">A473</f>
        <v>Стойка каркаса по фронтону, 1 этаж, односкатная кровля, №2</v>
      </c>
      <c r="B515" s="887" t="str">
        <f aca="false">B473</f>
        <v>м.п.</v>
      </c>
      <c r="C515" s="1372" t="n">
        <f aca="false">C473</f>
        <v>0.4</v>
      </c>
      <c r="D515" s="1372" t="n">
        <f aca="false">D473</f>
        <v>0.05</v>
      </c>
      <c r="E515" s="1372" t="n">
        <f aca="false">IF('Ввод данных'!$A$369=связи1!$A$97,IF(дома!E514&lt;связи1!$E$553,0,дома!E514-$E$419),0)+IF(дома!E514=0,0,IF('Ввод данных'!$A$369=связи1!$A$94,IF(дома!E514&lt;0,0,дома!E514-$E$419),0))</f>
        <v>0</v>
      </c>
      <c r="F515" s="1372" t="n">
        <f aca="false">F473</f>
        <v>2</v>
      </c>
      <c r="G515" s="933" t="n">
        <f aca="false">C515*D515*E515*F515</f>
        <v>0</v>
      </c>
      <c r="H515" s="933"/>
      <c r="I515" s="933"/>
      <c r="J515" s="933"/>
      <c r="K515" s="933"/>
      <c r="L515" s="933"/>
      <c r="M515" s="933"/>
      <c r="N515" s="933"/>
      <c r="O515" s="933"/>
      <c r="P515" s="1290"/>
      <c r="Q515" s="1290"/>
      <c r="R515" s="1290"/>
      <c r="S515" s="933"/>
      <c r="T515" s="933"/>
      <c r="U515" s="1329"/>
      <c r="V515" s="933"/>
      <c r="W515" s="933"/>
      <c r="X515" s="933"/>
      <c r="Y515" s="1290"/>
      <c r="Z515" s="1290"/>
      <c r="AA515" s="933"/>
      <c r="AB515" s="933"/>
      <c r="AC515" s="933"/>
      <c r="AD515" s="933"/>
    </row>
    <row r="516" customFormat="false" ht="15.75" hidden="false" customHeight="true" outlineLevel="1" collapsed="false">
      <c r="A516" s="1372" t="str">
        <f aca="false">A474</f>
        <v>Стойка каркаса по фронтону, 1 этаж, односкатная кровля, №3</v>
      </c>
      <c r="B516" s="887" t="str">
        <f aca="false">B474</f>
        <v>м.п.</v>
      </c>
      <c r="C516" s="1372" t="n">
        <f aca="false">C474</f>
        <v>0.4</v>
      </c>
      <c r="D516" s="1372" t="n">
        <f aca="false">D474</f>
        <v>0.05</v>
      </c>
      <c r="E516" s="1372" t="n">
        <f aca="false">IF('Ввод данных'!$A$369=связи1!$A$97,IF(дома!E515&lt;связи1!$E$553,0,дома!E515-$E$419),0)+IF(дома!E515=0,0,IF('Ввод данных'!$A$369=связи1!$A$94,IF(дома!E515&lt;0,0,дома!E515-$E$419),0))</f>
        <v>0</v>
      </c>
      <c r="F516" s="1372" t="n">
        <f aca="false">F474</f>
        <v>2</v>
      </c>
      <c r="G516" s="933" t="n">
        <f aca="false">C516*D516*E516*F516</f>
        <v>0</v>
      </c>
      <c r="H516" s="933"/>
      <c r="I516" s="933"/>
      <c r="J516" s="933"/>
      <c r="K516" s="933"/>
      <c r="L516" s="933"/>
      <c r="M516" s="933"/>
      <c r="N516" s="933"/>
      <c r="O516" s="933"/>
      <c r="P516" s="1290"/>
      <c r="Q516" s="1290"/>
      <c r="R516" s="1290"/>
      <c r="S516" s="933"/>
      <c r="T516" s="933"/>
      <c r="U516" s="1329"/>
      <c r="V516" s="933"/>
      <c r="W516" s="933"/>
      <c r="X516" s="933"/>
      <c r="Y516" s="1290"/>
      <c r="Z516" s="1290"/>
      <c r="AA516" s="933"/>
      <c r="AB516" s="933"/>
      <c r="AC516" s="933"/>
      <c r="AD516" s="933"/>
    </row>
    <row r="517" customFormat="false" ht="15.75" hidden="false" customHeight="true" outlineLevel="1" collapsed="false">
      <c r="A517" s="1372" t="str">
        <f aca="false">A475</f>
        <v>Стойка каркаса по фронтону, 1 этаж, односкатная кровля, №4</v>
      </c>
      <c r="B517" s="887" t="str">
        <f aca="false">B475</f>
        <v>м.п.</v>
      </c>
      <c r="C517" s="1372" t="n">
        <f aca="false">C475</f>
        <v>0.4</v>
      </c>
      <c r="D517" s="1372" t="n">
        <f aca="false">D475</f>
        <v>0.05</v>
      </c>
      <c r="E517" s="1372" t="n">
        <f aca="false">IF('Ввод данных'!$A$369=связи1!$A$97,IF(дома!E516&lt;связи1!$E$553,0,дома!E516-$E$419),0)+IF(дома!E516=0,0,IF('Ввод данных'!$A$369=связи1!$A$94,IF(дома!E516&lt;0,0,дома!E516-$E$419),0))</f>
        <v>0</v>
      </c>
      <c r="F517" s="1372" t="n">
        <f aca="false">F475</f>
        <v>2</v>
      </c>
      <c r="G517" s="933" t="n">
        <f aca="false">C517*D517*E517*F517</f>
        <v>0</v>
      </c>
      <c r="H517" s="933"/>
      <c r="I517" s="933"/>
      <c r="J517" s="933"/>
      <c r="K517" s="933"/>
      <c r="L517" s="933"/>
      <c r="M517" s="933"/>
      <c r="N517" s="933"/>
      <c r="O517" s="933"/>
      <c r="P517" s="1290"/>
      <c r="Q517" s="1290"/>
      <c r="R517" s="1290"/>
      <c r="S517" s="933"/>
      <c r="T517" s="933"/>
      <c r="U517" s="1329"/>
      <c r="V517" s="933"/>
      <c r="W517" s="933"/>
      <c r="X517" s="933"/>
      <c r="Y517" s="1290"/>
      <c r="Z517" s="1290"/>
      <c r="AA517" s="933"/>
      <c r="AB517" s="933"/>
      <c r="AC517" s="933"/>
      <c r="AD517" s="933"/>
    </row>
    <row r="518" customFormat="false" ht="15.75" hidden="false" customHeight="true" outlineLevel="1" collapsed="false">
      <c r="A518" s="1372" t="str">
        <f aca="false">A476</f>
        <v>Стойка каркаса по фронтону, 1 этаж, односкатная кровля, №5</v>
      </c>
      <c r="B518" s="887" t="str">
        <f aca="false">B476</f>
        <v>м.п.</v>
      </c>
      <c r="C518" s="1372" t="n">
        <f aca="false">C476</f>
        <v>0.4</v>
      </c>
      <c r="D518" s="1372" t="n">
        <f aca="false">D476</f>
        <v>0.05</v>
      </c>
      <c r="E518" s="1372" t="n">
        <f aca="false">IF('Ввод данных'!$A$369=связи1!$A$97,IF(дома!E517&lt;связи1!$E$553,0,дома!E517-$E$419),0)+IF(дома!E517=0,0,IF('Ввод данных'!$A$369=связи1!$A$94,IF(дома!E517&lt;0,0,дома!E517-$E$419),0))</f>
        <v>0</v>
      </c>
      <c r="F518" s="1372" t="n">
        <f aca="false">F476</f>
        <v>2</v>
      </c>
      <c r="G518" s="933" t="n">
        <f aca="false">C518*D518*E518*F518</f>
        <v>0</v>
      </c>
      <c r="H518" s="933"/>
      <c r="I518" s="933"/>
      <c r="J518" s="933"/>
      <c r="K518" s="933"/>
      <c r="L518" s="933"/>
      <c r="M518" s="933"/>
      <c r="N518" s="933"/>
      <c r="O518" s="933"/>
      <c r="P518" s="1290"/>
      <c r="Q518" s="1290"/>
      <c r="R518" s="1290"/>
      <c r="S518" s="933"/>
      <c r="T518" s="933"/>
      <c r="U518" s="1329"/>
      <c r="V518" s="933"/>
      <c r="W518" s="933"/>
      <c r="X518" s="933"/>
      <c r="Y518" s="1290"/>
      <c r="Z518" s="1290"/>
      <c r="AA518" s="933"/>
      <c r="AB518" s="933"/>
      <c r="AC518" s="933"/>
      <c r="AD518" s="933"/>
    </row>
    <row r="519" customFormat="false" ht="15.75" hidden="false" customHeight="true" outlineLevel="1" collapsed="false">
      <c r="A519" s="1372" t="str">
        <f aca="false">A477</f>
        <v>Стойка каркаса по фронтону, 1 этаж, односкатная кровля, №6</v>
      </c>
      <c r="B519" s="887" t="str">
        <f aca="false">B477</f>
        <v>м.п.</v>
      </c>
      <c r="C519" s="1372" t="n">
        <f aca="false">C477</f>
        <v>0.4</v>
      </c>
      <c r="D519" s="1372" t="n">
        <f aca="false">D477</f>
        <v>0.05</v>
      </c>
      <c r="E519" s="1372" t="n">
        <f aca="false">IF('Ввод данных'!$A$369=связи1!$A$97,IF(дома!E518&lt;связи1!$E$553,0,дома!E518-$E$419),0)+IF(дома!E518=0,0,IF('Ввод данных'!$A$369=связи1!$A$94,IF(дома!E518&lt;0,0,дома!E518-$E$419),0))</f>
        <v>0</v>
      </c>
      <c r="F519" s="1372" t="n">
        <f aca="false">F477</f>
        <v>2</v>
      </c>
      <c r="G519" s="933" t="n">
        <f aca="false">C519*D519*E519*F519</f>
        <v>0</v>
      </c>
      <c r="H519" s="933"/>
      <c r="I519" s="933"/>
      <c r="J519" s="933"/>
      <c r="K519" s="933"/>
      <c r="L519" s="933"/>
      <c r="M519" s="933"/>
      <c r="N519" s="933"/>
      <c r="O519" s="933"/>
      <c r="P519" s="1290"/>
      <c r="Q519" s="1290"/>
      <c r="R519" s="1290"/>
      <c r="S519" s="933"/>
      <c r="T519" s="933"/>
      <c r="U519" s="1329"/>
      <c r="V519" s="933"/>
      <c r="W519" s="933"/>
      <c r="X519" s="933"/>
      <c r="Y519" s="1290"/>
      <c r="Z519" s="1290"/>
      <c r="AA519" s="933"/>
      <c r="AB519" s="933"/>
      <c r="AC519" s="933"/>
      <c r="AD519" s="933"/>
    </row>
    <row r="520" customFormat="false" ht="15.75" hidden="false" customHeight="true" outlineLevel="1" collapsed="false">
      <c r="A520" s="1372" t="str">
        <f aca="false">A478</f>
        <v>Стойка каркаса по фронтону, 1 этаж, односкатная кровля, №7</v>
      </c>
      <c r="B520" s="887" t="str">
        <f aca="false">B478</f>
        <v>м.п.</v>
      </c>
      <c r="C520" s="1372" t="n">
        <f aca="false">C478</f>
        <v>0.4</v>
      </c>
      <c r="D520" s="1372" t="n">
        <f aca="false">D478</f>
        <v>0.05</v>
      </c>
      <c r="E520" s="1372" t="n">
        <f aca="false">IF('Ввод данных'!$A$369=связи1!$A$97,IF(дома!E519&lt;связи1!$E$553,0,дома!E519-$E$419),0)+IF(дома!E519=0,0,IF('Ввод данных'!$A$369=связи1!$A$94,IF(дома!E519&lt;0,0,дома!E519-$E$419),0))</f>
        <v>0</v>
      </c>
      <c r="F520" s="1372" t="n">
        <f aca="false">F478</f>
        <v>2</v>
      </c>
      <c r="G520" s="933" t="n">
        <f aca="false">C520*D520*E520*F520</f>
        <v>0</v>
      </c>
      <c r="H520" s="933"/>
      <c r="I520" s="933"/>
      <c r="J520" s="933"/>
      <c r="K520" s="933"/>
      <c r="L520" s="933"/>
      <c r="M520" s="933"/>
      <c r="N520" s="933"/>
      <c r="O520" s="933"/>
      <c r="P520" s="1290"/>
      <c r="Q520" s="1290"/>
      <c r="R520" s="1290"/>
      <c r="S520" s="933"/>
      <c r="T520" s="933"/>
      <c r="U520" s="1329"/>
      <c r="V520" s="933"/>
      <c r="W520" s="933"/>
      <c r="X520" s="933"/>
      <c r="Y520" s="1290"/>
      <c r="Z520" s="1290"/>
      <c r="AA520" s="933"/>
      <c r="AB520" s="933"/>
      <c r="AC520" s="933"/>
      <c r="AD520" s="933"/>
    </row>
    <row r="521" customFormat="false" ht="15.75" hidden="false" customHeight="true" outlineLevel="1" collapsed="false">
      <c r="A521" s="1372" t="str">
        <f aca="false">A479</f>
        <v>Стойка каркаса по фронтону, 1 этаж, односкатная кровля, №8</v>
      </c>
      <c r="B521" s="887" t="str">
        <f aca="false">B479</f>
        <v>м.п.</v>
      </c>
      <c r="C521" s="1372" t="n">
        <f aca="false">C479</f>
        <v>0.4</v>
      </c>
      <c r="D521" s="1372" t="n">
        <f aca="false">D479</f>
        <v>0.05</v>
      </c>
      <c r="E521" s="1372" t="n">
        <f aca="false">IF('Ввод данных'!$A$369=связи1!$A$97,IF(дома!E520&lt;связи1!$E$553,0,дома!E520-$E$419),0)+IF(дома!E520=0,0,IF('Ввод данных'!$A$369=связи1!$A$94,IF(дома!E520&lt;0,0,дома!E520-$E$419),0))</f>
        <v>0</v>
      </c>
      <c r="F521" s="1372" t="n">
        <f aca="false">F479</f>
        <v>2</v>
      </c>
      <c r="G521" s="933" t="n">
        <f aca="false">C521*D521*E521*F521</f>
        <v>0</v>
      </c>
      <c r="H521" s="933"/>
      <c r="I521" s="933"/>
      <c r="J521" s="933"/>
      <c r="K521" s="933"/>
      <c r="L521" s="933"/>
      <c r="M521" s="933"/>
      <c r="N521" s="933"/>
      <c r="O521" s="933"/>
      <c r="P521" s="1290"/>
      <c r="Q521" s="1290"/>
      <c r="R521" s="1290"/>
      <c r="S521" s="933"/>
      <c r="T521" s="933"/>
      <c r="U521" s="1329"/>
      <c r="V521" s="933"/>
      <c r="W521" s="933"/>
      <c r="X521" s="933"/>
      <c r="Y521" s="1290"/>
      <c r="Z521" s="1290"/>
      <c r="AA521" s="933"/>
      <c r="AB521" s="933"/>
      <c r="AC521" s="933"/>
      <c r="AD521" s="933"/>
    </row>
    <row r="522" customFormat="false" ht="15.75" hidden="false" customHeight="true" outlineLevel="1" collapsed="false">
      <c r="A522" s="1372" t="str">
        <f aca="false">A480</f>
        <v>Стойка каркаса по фронтону, 1 этаж, односкатная кровля, №9</v>
      </c>
      <c r="B522" s="887" t="str">
        <f aca="false">B480</f>
        <v>м.п.</v>
      </c>
      <c r="C522" s="1372" t="n">
        <f aca="false">C480</f>
        <v>0.4</v>
      </c>
      <c r="D522" s="1372" t="n">
        <f aca="false">D480</f>
        <v>0.05</v>
      </c>
      <c r="E522" s="1372" t="n">
        <f aca="false">IF('Ввод данных'!$A$369=связи1!$A$97,IF(дома!E521&lt;связи1!$E$553,0,дома!E521-$E$419),0)+IF(дома!E521=0,0,IF('Ввод данных'!$A$369=связи1!$A$94,IF(дома!E521&lt;0,0,дома!E521-$E$419),0))</f>
        <v>0</v>
      </c>
      <c r="F522" s="1372" t="n">
        <f aca="false">F480</f>
        <v>2</v>
      </c>
      <c r="G522" s="933" t="n">
        <f aca="false">C522*D522*E522*F522</f>
        <v>0</v>
      </c>
      <c r="H522" s="933"/>
      <c r="I522" s="933"/>
      <c r="J522" s="933"/>
      <c r="K522" s="933"/>
      <c r="L522" s="933"/>
      <c r="M522" s="933"/>
      <c r="N522" s="933"/>
      <c r="O522" s="933"/>
      <c r="P522" s="1290"/>
      <c r="Q522" s="1290"/>
      <c r="R522" s="1290"/>
      <c r="S522" s="933"/>
      <c r="T522" s="933"/>
      <c r="U522" s="1329"/>
      <c r="V522" s="933"/>
      <c r="W522" s="933"/>
      <c r="X522" s="933"/>
      <c r="Y522" s="1290"/>
      <c r="Z522" s="1290"/>
      <c r="AA522" s="933"/>
      <c r="AB522" s="933"/>
      <c r="AC522" s="933"/>
      <c r="AD522" s="933"/>
    </row>
    <row r="523" customFormat="false" ht="15.75" hidden="false" customHeight="true" outlineLevel="1" collapsed="false">
      <c r="A523" s="1372" t="str">
        <f aca="false">A481</f>
        <v>Стойка каркаса по фронтону, 1 этаж, односкатная кровля, №10</v>
      </c>
      <c r="B523" s="887" t="str">
        <f aca="false">B481</f>
        <v>м.п.</v>
      </c>
      <c r="C523" s="1372" t="n">
        <f aca="false">C481</f>
        <v>0.4</v>
      </c>
      <c r="D523" s="1372" t="n">
        <f aca="false">D481</f>
        <v>0.05</v>
      </c>
      <c r="E523" s="1372" t="n">
        <f aca="false">IF('Ввод данных'!$A$369=связи1!$A$97,IF(дома!E522&lt;связи1!$E$553,0,дома!E522-$E$419),0)+IF(дома!E522=0,0,IF('Ввод данных'!$A$369=связи1!$A$94,IF(дома!E522&lt;0,0,дома!E522-$E$419),0))</f>
        <v>0</v>
      </c>
      <c r="F523" s="1372" t="n">
        <f aca="false">F481</f>
        <v>2</v>
      </c>
      <c r="G523" s="933" t="n">
        <f aca="false">C523*D523*E523*F523</f>
        <v>0</v>
      </c>
      <c r="H523" s="933"/>
      <c r="I523" s="933"/>
      <c r="J523" s="933"/>
      <c r="K523" s="933"/>
      <c r="L523" s="933"/>
      <c r="M523" s="933"/>
      <c r="N523" s="933"/>
      <c r="O523" s="933"/>
      <c r="P523" s="1290"/>
      <c r="Q523" s="1290"/>
      <c r="R523" s="1290"/>
      <c r="S523" s="933"/>
      <c r="T523" s="933"/>
      <c r="U523" s="1329"/>
      <c r="V523" s="933"/>
      <c r="W523" s="933"/>
      <c r="X523" s="933"/>
      <c r="Y523" s="1290"/>
      <c r="Z523" s="1290"/>
      <c r="AA523" s="933"/>
      <c r="AB523" s="933"/>
      <c r="AC523" s="933"/>
      <c r="AD523" s="933"/>
    </row>
    <row r="524" customFormat="false" ht="15.75" hidden="false" customHeight="true" outlineLevel="1" collapsed="false">
      <c r="A524" s="1372" t="str">
        <f aca="false">A482</f>
        <v>Стойка каркаса по фронтону, 1 этаж, односкатная кровля, №11</v>
      </c>
      <c r="B524" s="887" t="str">
        <f aca="false">B482</f>
        <v>м.п.</v>
      </c>
      <c r="C524" s="1372" t="n">
        <f aca="false">C482</f>
        <v>0.4</v>
      </c>
      <c r="D524" s="1372" t="n">
        <f aca="false">D482</f>
        <v>0.05</v>
      </c>
      <c r="E524" s="1372" t="n">
        <f aca="false">IF('Ввод данных'!$A$369=связи1!$A$97,IF(дома!E523&lt;связи1!$E$553,0,дома!E523-$E$419),0)+IF(дома!E523=0,0,IF('Ввод данных'!$A$369=связи1!$A$94,IF(дома!E523&lt;0,0,дома!E523-$E$419),0))</f>
        <v>0</v>
      </c>
      <c r="F524" s="1372" t="n">
        <f aca="false">F482</f>
        <v>2</v>
      </c>
      <c r="G524" s="933" t="n">
        <f aca="false">C524*D524*E524*F524</f>
        <v>0</v>
      </c>
      <c r="H524" s="933"/>
      <c r="I524" s="933"/>
      <c r="J524" s="933"/>
      <c r="K524" s="933"/>
      <c r="L524" s="933"/>
      <c r="M524" s="933"/>
      <c r="N524" s="933"/>
      <c r="O524" s="933"/>
      <c r="P524" s="1290"/>
      <c r="Q524" s="1290"/>
      <c r="R524" s="1290"/>
      <c r="S524" s="933"/>
      <c r="T524" s="933"/>
      <c r="U524" s="1329"/>
      <c r="V524" s="933"/>
      <c r="W524" s="933"/>
      <c r="X524" s="933"/>
      <c r="Y524" s="1290"/>
      <c r="Z524" s="1290"/>
      <c r="AA524" s="933"/>
      <c r="AB524" s="933"/>
      <c r="AC524" s="933"/>
      <c r="AD524" s="933"/>
    </row>
    <row r="525" customFormat="false" ht="15.75" hidden="false" customHeight="true" outlineLevel="1" collapsed="false">
      <c r="A525" s="1372" t="str">
        <f aca="false">A483</f>
        <v>Стойка каркаса по фронтону, 1 этаж, односкатная кровля, №12</v>
      </c>
      <c r="B525" s="887" t="str">
        <f aca="false">B483</f>
        <v>м.п.</v>
      </c>
      <c r="C525" s="1372" t="n">
        <f aca="false">C483</f>
        <v>0.4</v>
      </c>
      <c r="D525" s="1372" t="n">
        <f aca="false">D483</f>
        <v>0.05</v>
      </c>
      <c r="E525" s="1372" t="n">
        <f aca="false">IF('Ввод данных'!$A$369=связи1!$A$97,IF(дома!E524&lt;связи1!$E$553,0,дома!E524-$E$419),0)+IF(дома!E524=0,0,IF('Ввод данных'!$A$369=связи1!$A$94,IF(дома!E524&lt;0,0,дома!E524-$E$419),0))</f>
        <v>0</v>
      </c>
      <c r="F525" s="1372" t="n">
        <f aca="false">F483</f>
        <v>2</v>
      </c>
      <c r="G525" s="933" t="n">
        <f aca="false">C525*D525*E525*F525</f>
        <v>0</v>
      </c>
      <c r="H525" s="933"/>
      <c r="I525" s="933"/>
      <c r="J525" s="933"/>
      <c r="K525" s="933"/>
      <c r="L525" s="933"/>
      <c r="M525" s="933"/>
      <c r="N525" s="933"/>
      <c r="O525" s="933"/>
      <c r="P525" s="1290"/>
      <c r="Q525" s="1290"/>
      <c r="R525" s="1290"/>
      <c r="S525" s="933"/>
      <c r="T525" s="933"/>
      <c r="U525" s="1329"/>
      <c r="V525" s="933"/>
      <c r="W525" s="933"/>
      <c r="X525" s="933"/>
      <c r="Y525" s="1290"/>
      <c r="Z525" s="1290"/>
      <c r="AA525" s="933"/>
      <c r="AB525" s="933"/>
      <c r="AC525" s="933"/>
      <c r="AD525" s="933"/>
    </row>
    <row r="526" customFormat="false" ht="15.75" hidden="false" customHeight="true" outlineLevel="1" collapsed="false">
      <c r="A526" s="1372" t="str">
        <f aca="false">A484</f>
        <v>Стойка каркаса по фронтону, 1 этаж, односкатная кровля, №13</v>
      </c>
      <c r="B526" s="887" t="str">
        <f aca="false">B484</f>
        <v>м.п.</v>
      </c>
      <c r="C526" s="1372" t="n">
        <f aca="false">C484</f>
        <v>0.4</v>
      </c>
      <c r="D526" s="1372" t="n">
        <f aca="false">D484</f>
        <v>0.05</v>
      </c>
      <c r="E526" s="1372" t="n">
        <f aca="false">IF('Ввод данных'!$A$369=связи1!$A$97,IF(дома!E525&lt;связи1!$E$553,0,дома!E525-$E$419),0)+IF(дома!E525=0,0,IF('Ввод данных'!$A$369=связи1!$A$94,IF(дома!E525&lt;0,0,дома!E525-$E$419),0))</f>
        <v>0</v>
      </c>
      <c r="F526" s="1372" t="n">
        <f aca="false">F484</f>
        <v>2</v>
      </c>
      <c r="G526" s="933" t="n">
        <f aca="false">C526*D526*E526*F526</f>
        <v>0</v>
      </c>
      <c r="H526" s="933"/>
      <c r="I526" s="933"/>
      <c r="J526" s="933"/>
      <c r="K526" s="933"/>
      <c r="L526" s="933"/>
      <c r="M526" s="933"/>
      <c r="N526" s="933"/>
      <c r="O526" s="933"/>
      <c r="P526" s="1290"/>
      <c r="Q526" s="1290"/>
      <c r="R526" s="1290"/>
      <c r="S526" s="933"/>
      <c r="T526" s="933"/>
      <c r="U526" s="1329"/>
      <c r="V526" s="933"/>
      <c r="W526" s="933"/>
      <c r="X526" s="933"/>
      <c r="Y526" s="1290"/>
      <c r="Z526" s="1290"/>
      <c r="AA526" s="933"/>
      <c r="AB526" s="933"/>
      <c r="AC526" s="933"/>
      <c r="AD526" s="933"/>
    </row>
    <row r="527" customFormat="false" ht="15.75" hidden="false" customHeight="true" outlineLevel="1" collapsed="false">
      <c r="A527" s="1372" t="str">
        <f aca="false">A485</f>
        <v>Стойка каркаса по фронтону, 1 этаж, односкатная кровля, №14</v>
      </c>
      <c r="B527" s="887" t="str">
        <f aca="false">B485</f>
        <v>м.п.</v>
      </c>
      <c r="C527" s="1372" t="n">
        <f aca="false">C485</f>
        <v>0.4</v>
      </c>
      <c r="D527" s="1372" t="n">
        <f aca="false">D485</f>
        <v>0.05</v>
      </c>
      <c r="E527" s="1372" t="n">
        <f aca="false">IF('Ввод данных'!$A$369=связи1!$A$97,IF(дома!E526&lt;связи1!$E$553,0,дома!E526-$E$419),0)+IF(дома!E526=0,0,IF('Ввод данных'!$A$369=связи1!$A$94,IF(дома!E526&lt;0,0,дома!E526-$E$419),0))</f>
        <v>0</v>
      </c>
      <c r="F527" s="1372" t="n">
        <f aca="false">F485</f>
        <v>2</v>
      </c>
      <c r="G527" s="933" t="n">
        <f aca="false">C527*D527*E527*F527</f>
        <v>0</v>
      </c>
      <c r="H527" s="933"/>
      <c r="I527" s="933"/>
      <c r="J527" s="933"/>
      <c r="K527" s="933"/>
      <c r="L527" s="933"/>
      <c r="M527" s="933"/>
      <c r="N527" s="933"/>
      <c r="O527" s="933"/>
      <c r="P527" s="1290"/>
      <c r="Q527" s="1290"/>
      <c r="R527" s="1290"/>
      <c r="S527" s="933"/>
      <c r="T527" s="933"/>
      <c r="U527" s="1329"/>
      <c r="V527" s="933"/>
      <c r="W527" s="933"/>
      <c r="X527" s="933"/>
      <c r="Y527" s="1290"/>
      <c r="Z527" s="1290"/>
      <c r="AA527" s="933"/>
      <c r="AB527" s="933"/>
      <c r="AC527" s="933"/>
      <c r="AD527" s="933"/>
    </row>
    <row r="528" customFormat="false" ht="15.75" hidden="false" customHeight="true" outlineLevel="1" collapsed="false">
      <c r="A528" s="1372" t="str">
        <f aca="false">A486</f>
        <v>Стойка каркаса по фронтону, 1 этаж, односкатная кровля, №15</v>
      </c>
      <c r="B528" s="887" t="str">
        <f aca="false">B486</f>
        <v>м.п.</v>
      </c>
      <c r="C528" s="1372" t="n">
        <f aca="false">C486</f>
        <v>0.4</v>
      </c>
      <c r="D528" s="1372" t="n">
        <f aca="false">D486</f>
        <v>0.05</v>
      </c>
      <c r="E528" s="1372" t="n">
        <f aca="false">IF('Ввод данных'!$A$369=связи1!$A$97,IF(дома!E527&lt;связи1!$E$553,0,дома!E527-$E$419),0)+IF(дома!E527=0,0,IF('Ввод данных'!$A$369=связи1!$A$94,IF(дома!E527&lt;0,0,дома!E527-$E$419),0))</f>
        <v>0</v>
      </c>
      <c r="F528" s="1372" t="n">
        <f aca="false">F486</f>
        <v>2</v>
      </c>
      <c r="G528" s="933" t="n">
        <f aca="false">C528*D528*E528*F528</f>
        <v>0</v>
      </c>
      <c r="H528" s="933"/>
      <c r="I528" s="933"/>
      <c r="J528" s="933"/>
      <c r="K528" s="933"/>
      <c r="L528" s="933"/>
      <c r="M528" s="933"/>
      <c r="N528" s="933"/>
      <c r="O528" s="933"/>
      <c r="P528" s="1290"/>
      <c r="Q528" s="1290"/>
      <c r="R528" s="1290"/>
      <c r="S528" s="933"/>
      <c r="T528" s="933"/>
      <c r="U528" s="1329"/>
      <c r="V528" s="933"/>
      <c r="W528" s="933"/>
      <c r="X528" s="933"/>
      <c r="Y528" s="1290"/>
      <c r="Z528" s="1290"/>
      <c r="AA528" s="933"/>
      <c r="AB528" s="933"/>
      <c r="AC528" s="933"/>
      <c r="AD528" s="933"/>
    </row>
    <row r="529" customFormat="false" ht="15.75" hidden="false" customHeight="true" outlineLevel="1" collapsed="false">
      <c r="A529" s="1372" t="str">
        <f aca="false">A487</f>
        <v>Стойка каркаса по фронтону, 1 этаж, односкатная кровля, №16</v>
      </c>
      <c r="B529" s="887" t="str">
        <f aca="false">B487</f>
        <v>м.п.</v>
      </c>
      <c r="C529" s="1372" t="n">
        <f aca="false">C487</f>
        <v>0.4</v>
      </c>
      <c r="D529" s="1372" t="n">
        <f aca="false">D487</f>
        <v>0.05</v>
      </c>
      <c r="E529" s="1372" t="n">
        <f aca="false">IF('Ввод данных'!$A$369=связи1!$A$97,IF(дома!E528&lt;связи1!$E$553,0,дома!E528-$E$419),0)+IF(дома!E528=0,0,IF('Ввод данных'!$A$369=связи1!$A$94,IF(дома!E528&lt;0,0,дома!E528-$E$419),0))</f>
        <v>0</v>
      </c>
      <c r="F529" s="1372" t="n">
        <f aca="false">F487</f>
        <v>2</v>
      </c>
      <c r="G529" s="933" t="n">
        <f aca="false">C529*D529*E529*F529</f>
        <v>0</v>
      </c>
      <c r="H529" s="933"/>
      <c r="I529" s="933"/>
      <c r="J529" s="933"/>
      <c r="K529" s="933"/>
      <c r="L529" s="933"/>
      <c r="M529" s="933"/>
      <c r="N529" s="933"/>
      <c r="O529" s="933"/>
      <c r="P529" s="1290"/>
      <c r="Q529" s="1290"/>
      <c r="R529" s="1290"/>
      <c r="S529" s="933"/>
      <c r="T529" s="933"/>
      <c r="U529" s="1329"/>
      <c r="V529" s="933"/>
      <c r="W529" s="933"/>
      <c r="X529" s="933"/>
      <c r="Y529" s="1290"/>
      <c r="Z529" s="1290"/>
      <c r="AA529" s="933"/>
      <c r="AB529" s="933"/>
      <c r="AC529" s="933"/>
      <c r="AD529" s="933"/>
    </row>
    <row r="530" customFormat="false" ht="15.75" hidden="false" customHeight="true" outlineLevel="1" collapsed="false">
      <c r="A530" s="1372" t="str">
        <f aca="false">A488</f>
        <v>Стойка каркаса по фронтону, 1 этаж, односкатная кровля, №17</v>
      </c>
      <c r="B530" s="887" t="str">
        <f aca="false">B488</f>
        <v>м.п.</v>
      </c>
      <c r="C530" s="1372" t="n">
        <f aca="false">C488</f>
        <v>0.4</v>
      </c>
      <c r="D530" s="1372" t="n">
        <f aca="false">D488</f>
        <v>0.05</v>
      </c>
      <c r="E530" s="1372" t="n">
        <f aca="false">IF('Ввод данных'!$A$369=связи1!$A$97,IF(дома!E529&lt;связи1!$E$553,0,дома!E529-$E$419),0)+IF(дома!E529=0,0,IF('Ввод данных'!$A$369=связи1!$A$94,IF(дома!E529&lt;0,0,дома!E529-$E$419),0))</f>
        <v>0</v>
      </c>
      <c r="F530" s="1372" t="n">
        <f aca="false">F488</f>
        <v>2</v>
      </c>
      <c r="G530" s="933" t="n">
        <f aca="false">C530*D530*E530*F530</f>
        <v>0</v>
      </c>
      <c r="H530" s="933"/>
      <c r="I530" s="933"/>
      <c r="J530" s="933"/>
      <c r="K530" s="933"/>
      <c r="L530" s="933"/>
      <c r="M530" s="933"/>
      <c r="N530" s="933"/>
      <c r="O530" s="933"/>
      <c r="P530" s="1290"/>
      <c r="Q530" s="1290"/>
      <c r="R530" s="1290"/>
      <c r="S530" s="933"/>
      <c r="T530" s="933"/>
      <c r="U530" s="1329"/>
      <c r="V530" s="933"/>
      <c r="W530" s="933"/>
      <c r="X530" s="933"/>
      <c r="Y530" s="1290"/>
      <c r="Z530" s="1290"/>
      <c r="AA530" s="933"/>
      <c r="AB530" s="933"/>
      <c r="AC530" s="933"/>
      <c r="AD530" s="933"/>
    </row>
    <row r="531" customFormat="false" ht="15.75" hidden="false" customHeight="true" outlineLevel="1" collapsed="false">
      <c r="A531" s="1372" t="str">
        <f aca="false">A489</f>
        <v>Стойка каркаса по фронтону, 1 этаж, двускатная кровля, №1</v>
      </c>
      <c r="B531" s="887" t="str">
        <f aca="false">B489</f>
        <v>м.п.</v>
      </c>
      <c r="C531" s="1372" t="n">
        <f aca="false">C489</f>
        <v>0.4</v>
      </c>
      <c r="D531" s="1372" t="n">
        <f aca="false">D489</f>
        <v>0.05</v>
      </c>
      <c r="E531" s="1372" t="n">
        <f aca="false">IF('Ввод данных'!A368=связи1!A107,IF('Ввод данных'!A369=связи1!A94,связи1!E554-связи1!E553,0)+IF('Ввод данных'!A369=связи1!A95,0,0)+IF('Ввод данных'!A369=связи1!A96,0,0)+IF('Ввод данных'!A368=связи1!A107,IF('Ввод данных'!A369=связи1!A97,связи1!E554,0),0)+IF('Ввод данных'!A369=связи1!A98,0,0),0)</f>
        <v>0</v>
      </c>
      <c r="F531" s="1372" t="n">
        <f aca="false">F489</f>
        <v>2</v>
      </c>
      <c r="G531" s="933" t="n">
        <f aca="false">C531*D531*E531*F531</f>
        <v>0</v>
      </c>
      <c r="H531" s="933"/>
      <c r="I531" s="933"/>
      <c r="J531" s="933"/>
      <c r="K531" s="933"/>
      <c r="L531" s="933"/>
      <c r="M531" s="933"/>
      <c r="N531" s="933"/>
      <c r="O531" s="933"/>
      <c r="P531" s="1290"/>
      <c r="Q531" s="1290"/>
      <c r="R531" s="1290"/>
      <c r="S531" s="933"/>
      <c r="T531" s="933"/>
      <c r="U531" s="1329"/>
      <c r="V531" s="933"/>
      <c r="W531" s="933"/>
      <c r="X531" s="933"/>
      <c r="Y531" s="1290"/>
      <c r="Z531" s="1290"/>
      <c r="AA531" s="933"/>
      <c r="AB531" s="933"/>
      <c r="AC531" s="933"/>
      <c r="AD531" s="933"/>
    </row>
    <row r="532" customFormat="false" ht="15.75" hidden="false" customHeight="true" outlineLevel="1" collapsed="false">
      <c r="A532" s="1372" t="str">
        <f aca="false">A490</f>
        <v>Стойка каркаса по фронтону, 1 этаж, двускатная кровля, №2</v>
      </c>
      <c r="B532" s="887" t="str">
        <f aca="false">B490</f>
        <v>м.п.</v>
      </c>
      <c r="C532" s="1372" t="n">
        <f aca="false">C490</f>
        <v>0.4</v>
      </c>
      <c r="D532" s="1372" t="n">
        <f aca="false">D490</f>
        <v>0.05</v>
      </c>
      <c r="E532" s="1372" t="n">
        <f aca="false">IF('Ввод данных'!$A$369=связи1!$A$97,IF(дома!E531&lt;связи1!$E$553,0,дома!E531-$E$419),0)+IF(дома!E531&lt;=0,0,IF('Ввод данных'!$A$369=связи1!$A$94,IF(дома!E531&lt;0,0,дома!E531-$E$419),0))</f>
        <v>0</v>
      </c>
      <c r="F532" s="1372" t="n">
        <f aca="false">F490</f>
        <v>2</v>
      </c>
      <c r="G532" s="933" t="n">
        <f aca="false">C532*D532*E532*F532</f>
        <v>0</v>
      </c>
      <c r="H532" s="933"/>
      <c r="I532" s="933"/>
      <c r="J532" s="933"/>
      <c r="K532" s="933"/>
      <c r="L532" s="933"/>
      <c r="M532" s="933"/>
      <c r="N532" s="933"/>
      <c r="O532" s="933"/>
      <c r="P532" s="1290"/>
      <c r="Q532" s="1290"/>
      <c r="R532" s="1290"/>
      <c r="S532" s="933"/>
      <c r="T532" s="933"/>
      <c r="U532" s="1329"/>
      <c r="V532" s="933"/>
      <c r="W532" s="933"/>
      <c r="X532" s="933"/>
      <c r="Y532" s="1290"/>
      <c r="Z532" s="1290"/>
      <c r="AA532" s="933"/>
      <c r="AB532" s="933"/>
      <c r="AC532" s="933"/>
      <c r="AD532" s="933"/>
    </row>
    <row r="533" customFormat="false" ht="15.75" hidden="false" customHeight="true" outlineLevel="1" collapsed="false">
      <c r="A533" s="1372" t="str">
        <f aca="false">A491</f>
        <v>Стойка каркаса по фронтону, 1 этаж, двускатная кровля, №3</v>
      </c>
      <c r="B533" s="887" t="str">
        <f aca="false">B491</f>
        <v>м.п.</v>
      </c>
      <c r="C533" s="1372" t="n">
        <f aca="false">C491</f>
        <v>0.4</v>
      </c>
      <c r="D533" s="1372" t="n">
        <f aca="false">D491</f>
        <v>0.05</v>
      </c>
      <c r="E533" s="1372" t="n">
        <f aca="false">IF('Ввод данных'!$A$369=связи1!$A$97,IF(дома!E532&lt;связи1!$E$553,0,дома!E532-$E$419),0)+IF(дома!E532&lt;=0,0,IF('Ввод данных'!$A$369=связи1!$A$94,IF(дома!E532&lt;0,0,дома!E532-$E$419),0))</f>
        <v>0</v>
      </c>
      <c r="F533" s="1372" t="n">
        <f aca="false">F491</f>
        <v>2</v>
      </c>
      <c r="G533" s="933" t="n">
        <f aca="false">C533*D533*E533*F533</f>
        <v>0</v>
      </c>
      <c r="H533" s="933"/>
      <c r="I533" s="933"/>
      <c r="J533" s="933"/>
      <c r="K533" s="933"/>
      <c r="L533" s="933"/>
      <c r="M533" s="933"/>
      <c r="N533" s="933"/>
      <c r="O533" s="933"/>
      <c r="P533" s="1290"/>
      <c r="Q533" s="1290"/>
      <c r="R533" s="1290"/>
      <c r="S533" s="933"/>
      <c r="T533" s="933"/>
      <c r="U533" s="1329"/>
      <c r="V533" s="933"/>
      <c r="W533" s="933"/>
      <c r="X533" s="933"/>
      <c r="Y533" s="1290"/>
      <c r="Z533" s="1290"/>
      <c r="AA533" s="933"/>
      <c r="AB533" s="933"/>
      <c r="AC533" s="933"/>
      <c r="AD533" s="933"/>
    </row>
    <row r="534" customFormat="false" ht="15.75" hidden="false" customHeight="true" outlineLevel="1" collapsed="false">
      <c r="A534" s="1372" t="str">
        <f aca="false">A492</f>
        <v>Стойка каркаса по фронтону, 1 этаж, двускатная кровля, №4</v>
      </c>
      <c r="B534" s="887" t="str">
        <f aca="false">B492</f>
        <v>м.п.</v>
      </c>
      <c r="C534" s="1372" t="n">
        <f aca="false">C492</f>
        <v>0.4</v>
      </c>
      <c r="D534" s="1372" t="n">
        <f aca="false">D492</f>
        <v>0.05</v>
      </c>
      <c r="E534" s="1372" t="n">
        <f aca="false">IF('Ввод данных'!$A$369=связи1!$A$97,IF(дома!E533&lt;связи1!$E$553,0,дома!E533-$E$419),0)+IF(дома!E533&lt;=0,0,IF('Ввод данных'!$A$369=связи1!$A$94,IF(дома!E533&lt;0,0,дома!E533-$E$419),0))</f>
        <v>0</v>
      </c>
      <c r="F534" s="1372" t="n">
        <f aca="false">F492</f>
        <v>2</v>
      </c>
      <c r="G534" s="933" t="n">
        <f aca="false">C534*D534*E534*F534</f>
        <v>0</v>
      </c>
      <c r="H534" s="933"/>
      <c r="I534" s="933"/>
      <c r="J534" s="933"/>
      <c r="K534" s="933"/>
      <c r="L534" s="933"/>
      <c r="M534" s="933"/>
      <c r="N534" s="933"/>
      <c r="O534" s="933"/>
      <c r="P534" s="1290"/>
      <c r="Q534" s="1290"/>
      <c r="R534" s="1290"/>
      <c r="S534" s="933"/>
      <c r="T534" s="933"/>
      <c r="U534" s="1329"/>
      <c r="V534" s="933"/>
      <c r="W534" s="933"/>
      <c r="X534" s="933"/>
      <c r="Y534" s="1290"/>
      <c r="Z534" s="1290"/>
      <c r="AA534" s="933"/>
      <c r="AB534" s="933"/>
      <c r="AC534" s="933"/>
      <c r="AD534" s="933"/>
    </row>
    <row r="535" customFormat="false" ht="15.75" hidden="false" customHeight="true" outlineLevel="1" collapsed="false">
      <c r="A535" s="1372" t="str">
        <f aca="false">A493</f>
        <v>Стойка каркаса по фронтону, 1 этаж, двускатная кровля, №5</v>
      </c>
      <c r="B535" s="887" t="str">
        <f aca="false">B493</f>
        <v>м.п.</v>
      </c>
      <c r="C535" s="1372" t="n">
        <f aca="false">C493</f>
        <v>0.4</v>
      </c>
      <c r="D535" s="1372" t="n">
        <f aca="false">D493</f>
        <v>0.05</v>
      </c>
      <c r="E535" s="1372" t="n">
        <f aca="false">IF('Ввод данных'!$A$369=связи1!$A$97,IF(дома!E534&lt;связи1!$E$553,0,дома!E534-$E$419),0)+IF(дома!E534&lt;=0,0,IF('Ввод данных'!$A$369=связи1!$A$94,IF(дома!E534&lt;0,0,дома!E534-$E$419),0))</f>
        <v>0</v>
      </c>
      <c r="F535" s="1372" t="n">
        <f aca="false">F493</f>
        <v>2</v>
      </c>
      <c r="G535" s="933" t="n">
        <f aca="false">C535*D535*E535*F535</f>
        <v>0</v>
      </c>
      <c r="H535" s="933"/>
      <c r="I535" s="933"/>
      <c r="J535" s="933"/>
      <c r="K535" s="933"/>
      <c r="L535" s="933"/>
      <c r="M535" s="933"/>
      <c r="N535" s="933"/>
      <c r="O535" s="933"/>
      <c r="P535" s="1290"/>
      <c r="Q535" s="1290"/>
      <c r="R535" s="1290"/>
      <c r="S535" s="933"/>
      <c r="T535" s="933"/>
      <c r="U535" s="1329"/>
      <c r="V535" s="933"/>
      <c r="W535" s="933"/>
      <c r="X535" s="933"/>
      <c r="Y535" s="1290"/>
      <c r="Z535" s="1290"/>
      <c r="AA535" s="933"/>
      <c r="AB535" s="933"/>
      <c r="AC535" s="933"/>
      <c r="AD535" s="933"/>
    </row>
    <row r="536" customFormat="false" ht="15.75" hidden="false" customHeight="true" outlineLevel="1" collapsed="false">
      <c r="A536" s="1372" t="str">
        <f aca="false">A494</f>
        <v>Стойка каркаса по фронтону, 1 этаж, двускатная кровля, №6</v>
      </c>
      <c r="B536" s="887" t="str">
        <f aca="false">B494</f>
        <v>м.п.</v>
      </c>
      <c r="C536" s="1372" t="n">
        <f aca="false">C494</f>
        <v>0.4</v>
      </c>
      <c r="D536" s="1372" t="n">
        <f aca="false">D494</f>
        <v>0.05</v>
      </c>
      <c r="E536" s="1372" t="n">
        <f aca="false">IF('Ввод данных'!$A$369=связи1!$A$97,IF(дома!E535&lt;связи1!$E$553,0,дома!E535-$E$419),0)+IF(дома!E535&lt;=0,0,IF('Ввод данных'!$A$369=связи1!$A$94,IF(дома!E535&lt;0,0,дома!E535-$E$419),0))</f>
        <v>0</v>
      </c>
      <c r="F536" s="1372" t="n">
        <f aca="false">F494</f>
        <v>2</v>
      </c>
      <c r="G536" s="933" t="n">
        <f aca="false">C536*D536*E536*F536</f>
        <v>0</v>
      </c>
      <c r="H536" s="933"/>
      <c r="I536" s="933"/>
      <c r="J536" s="933"/>
      <c r="K536" s="933"/>
      <c r="L536" s="933"/>
      <c r="M536" s="933"/>
      <c r="N536" s="933"/>
      <c r="O536" s="933"/>
      <c r="P536" s="1290"/>
      <c r="Q536" s="1290"/>
      <c r="R536" s="1290"/>
      <c r="S536" s="933"/>
      <c r="T536" s="933"/>
      <c r="U536" s="1329"/>
      <c r="V536" s="933"/>
      <c r="W536" s="933"/>
      <c r="X536" s="933"/>
      <c r="Y536" s="1290"/>
      <c r="Z536" s="1290"/>
      <c r="AA536" s="933"/>
      <c r="AB536" s="933"/>
      <c r="AC536" s="933"/>
      <c r="AD536" s="933"/>
    </row>
    <row r="537" customFormat="false" ht="15.75" hidden="false" customHeight="true" outlineLevel="1" collapsed="false">
      <c r="A537" s="1372" t="str">
        <f aca="false">A495</f>
        <v>Стойка каркаса по фронтону, 1 этаж, двускатная кровля, №7</v>
      </c>
      <c r="B537" s="887" t="str">
        <f aca="false">B495</f>
        <v>м.п.</v>
      </c>
      <c r="C537" s="1372" t="n">
        <f aca="false">C495</f>
        <v>0.4</v>
      </c>
      <c r="D537" s="1372" t="n">
        <f aca="false">D495</f>
        <v>0.05</v>
      </c>
      <c r="E537" s="1372" t="n">
        <f aca="false">IF('Ввод данных'!$A$369=связи1!$A$97,IF(дома!E536&lt;связи1!$E$553,0,дома!E536-$E$419),0)+IF(дома!E536&lt;=0,0,IF('Ввод данных'!$A$369=связи1!$A$94,IF(дома!E536&lt;0,0,дома!E536-$E$419),0))</f>
        <v>0</v>
      </c>
      <c r="F537" s="1372" t="n">
        <f aca="false">F495</f>
        <v>2</v>
      </c>
      <c r="G537" s="933" t="n">
        <f aca="false">C537*D537*E537*F537</f>
        <v>0</v>
      </c>
      <c r="H537" s="933"/>
      <c r="I537" s="933"/>
      <c r="J537" s="933"/>
      <c r="K537" s="933"/>
      <c r="L537" s="933"/>
      <c r="M537" s="933"/>
      <c r="N537" s="933"/>
      <c r="O537" s="933"/>
      <c r="P537" s="1290"/>
      <c r="Q537" s="1290"/>
      <c r="R537" s="1290"/>
      <c r="S537" s="933"/>
      <c r="T537" s="933"/>
      <c r="U537" s="1329"/>
      <c r="V537" s="933"/>
      <c r="W537" s="933"/>
      <c r="X537" s="933"/>
      <c r="Y537" s="1290"/>
      <c r="Z537" s="1290"/>
      <c r="AA537" s="933"/>
      <c r="AB537" s="933"/>
      <c r="AC537" s="933"/>
      <c r="AD537" s="933"/>
    </row>
    <row r="538" customFormat="false" ht="15.75" hidden="false" customHeight="true" outlineLevel="1" collapsed="false">
      <c r="A538" s="1372" t="str">
        <f aca="false">A496</f>
        <v>Стойка каркаса по фронтону, 1 этаж, двускатная кровля, №8</v>
      </c>
      <c r="B538" s="887" t="str">
        <f aca="false">B496</f>
        <v>м.п.</v>
      </c>
      <c r="C538" s="1372" t="n">
        <f aca="false">C496</f>
        <v>0.4</v>
      </c>
      <c r="D538" s="1372" t="n">
        <f aca="false">D496</f>
        <v>0.05</v>
      </c>
      <c r="E538" s="1372" t="n">
        <f aca="false">IF('Ввод данных'!$A$369=связи1!$A$97,IF(дома!E537&lt;связи1!$E$553,0,дома!E537-$E$419),0)+IF(дома!E537&lt;=0,0,IF('Ввод данных'!$A$369=связи1!$A$94,IF(дома!E537&lt;0,0,дома!E537-$E$419),0))</f>
        <v>0</v>
      </c>
      <c r="F538" s="1372" t="n">
        <f aca="false">F496</f>
        <v>2</v>
      </c>
      <c r="G538" s="933" t="n">
        <f aca="false">C538*D538*E538*F538</f>
        <v>0</v>
      </c>
      <c r="H538" s="933"/>
      <c r="I538" s="933"/>
      <c r="J538" s="933"/>
      <c r="K538" s="933"/>
      <c r="L538" s="933"/>
      <c r="M538" s="933"/>
      <c r="N538" s="933"/>
      <c r="O538" s="933"/>
      <c r="P538" s="1290"/>
      <c r="Q538" s="1290"/>
      <c r="R538" s="1290"/>
      <c r="S538" s="933"/>
      <c r="T538" s="933"/>
      <c r="U538" s="1329"/>
      <c r="V538" s="933"/>
      <c r="W538" s="933"/>
      <c r="X538" s="933"/>
      <c r="Y538" s="1290"/>
      <c r="Z538" s="1290"/>
      <c r="AA538" s="933"/>
      <c r="AB538" s="933"/>
      <c r="AC538" s="933"/>
      <c r="AD538" s="933"/>
    </row>
    <row r="539" customFormat="false" ht="15.75" hidden="false" customHeight="true" outlineLevel="1" collapsed="false">
      <c r="A539" s="1372" t="str">
        <f aca="false">A497</f>
        <v>Стойка каркаса по фронтону, 1 этаж, двускатная кровля, №9</v>
      </c>
      <c r="B539" s="887" t="str">
        <f aca="false">B497</f>
        <v>м.п.</v>
      </c>
      <c r="C539" s="1372" t="n">
        <f aca="false">C497</f>
        <v>0.4</v>
      </c>
      <c r="D539" s="1372" t="n">
        <f aca="false">D497</f>
        <v>0.05</v>
      </c>
      <c r="E539" s="1372" t="n">
        <f aca="false">IF('Ввод данных'!$A$369=связи1!$A$97,IF(дома!E538&lt;связи1!$E$553,0,дома!E538-$E$419),0)+IF(дома!E538&lt;=0,0,IF('Ввод данных'!$A$369=связи1!$A$94,IF(дома!E538&lt;0,0,дома!E538-$E$419),0))</f>
        <v>0</v>
      </c>
      <c r="F539" s="1372" t="n">
        <f aca="false">F497</f>
        <v>2</v>
      </c>
      <c r="G539" s="933" t="n">
        <f aca="false">C539*D539*E539*F539</f>
        <v>0</v>
      </c>
      <c r="H539" s="933"/>
      <c r="I539" s="933"/>
      <c r="J539" s="933"/>
      <c r="K539" s="933"/>
      <c r="L539" s="933"/>
      <c r="M539" s="933"/>
      <c r="N539" s="933"/>
      <c r="O539" s="933"/>
      <c r="P539" s="1290"/>
      <c r="Q539" s="1290"/>
      <c r="R539" s="1290"/>
      <c r="S539" s="933"/>
      <c r="T539" s="933"/>
      <c r="U539" s="1329"/>
      <c r="V539" s="933"/>
      <c r="W539" s="933"/>
      <c r="X539" s="933"/>
      <c r="Y539" s="1290"/>
      <c r="Z539" s="1290"/>
      <c r="AA539" s="933"/>
      <c r="AB539" s="933"/>
      <c r="AC539" s="933"/>
      <c r="AD539" s="933"/>
    </row>
    <row r="540" customFormat="false" ht="15.75" hidden="false" customHeight="true" outlineLevel="1" collapsed="false">
      <c r="A540" s="1372" t="str">
        <f aca="false">A498</f>
        <v>Стойка каркаса по фронтону, 1 этаж, двускатная кровля, №10</v>
      </c>
      <c r="B540" s="887" t="str">
        <f aca="false">B498</f>
        <v>м.п.</v>
      </c>
      <c r="C540" s="1372" t="n">
        <f aca="false">C498</f>
        <v>0.4</v>
      </c>
      <c r="D540" s="1372" t="n">
        <f aca="false">D498</f>
        <v>0.05</v>
      </c>
      <c r="E540" s="1372" t="n">
        <f aca="false">IF('Ввод данных'!$A$369=связи1!$A$97,IF(дома!E539&lt;связи1!$E$553,0,дома!E539-$E$419),0)+IF(дома!E539&lt;=0,0,IF('Ввод данных'!$A$369=связи1!$A$94,IF(дома!E539&lt;0,0,дома!E539-$E$419),0))</f>
        <v>0</v>
      </c>
      <c r="F540" s="1372" t="n">
        <f aca="false">F498</f>
        <v>2</v>
      </c>
      <c r="G540" s="933" t="n">
        <f aca="false">C540*D540*E540*F540</f>
        <v>0</v>
      </c>
      <c r="H540" s="933"/>
      <c r="I540" s="933"/>
      <c r="J540" s="933"/>
      <c r="K540" s="933"/>
      <c r="L540" s="933"/>
      <c r="M540" s="933"/>
      <c r="N540" s="933"/>
      <c r="O540" s="933"/>
      <c r="P540" s="1290"/>
      <c r="Q540" s="1290"/>
      <c r="R540" s="1290"/>
      <c r="S540" s="933"/>
      <c r="T540" s="933"/>
      <c r="U540" s="1329"/>
      <c r="V540" s="933"/>
      <c r="W540" s="933"/>
      <c r="X540" s="933"/>
      <c r="Y540" s="1290"/>
      <c r="Z540" s="1290"/>
      <c r="AA540" s="933"/>
      <c r="AB540" s="933"/>
      <c r="AC540" s="933"/>
      <c r="AD540" s="933"/>
    </row>
    <row r="541" customFormat="false" ht="15.75" hidden="false" customHeight="true" outlineLevel="1" collapsed="false">
      <c r="A541" s="1372" t="str">
        <f aca="false">A499</f>
        <v>Стойка каркаса по фронтону, 1 этаж, двускатная кровля, №11</v>
      </c>
      <c r="B541" s="887" t="str">
        <f aca="false">B499</f>
        <v>м.п.</v>
      </c>
      <c r="C541" s="1372" t="n">
        <f aca="false">C499</f>
        <v>0.4</v>
      </c>
      <c r="D541" s="1372" t="n">
        <f aca="false">D499</f>
        <v>0.05</v>
      </c>
      <c r="E541" s="1372" t="n">
        <f aca="false">IF('Ввод данных'!$A$369=связи1!$A$97,IF(дома!E540&lt;связи1!$E$553,0,дома!E540-$E$419),0)+IF(дома!E540&lt;=0,0,IF('Ввод данных'!$A$369=связи1!$A$94,IF(дома!E540&lt;0,0,дома!E540-$E$419),0))</f>
        <v>0</v>
      </c>
      <c r="F541" s="1372" t="n">
        <f aca="false">F499</f>
        <v>2</v>
      </c>
      <c r="G541" s="933" t="n">
        <f aca="false">C541*D541*E541*F541</f>
        <v>0</v>
      </c>
      <c r="H541" s="933"/>
      <c r="I541" s="933"/>
      <c r="J541" s="933"/>
      <c r="K541" s="933"/>
      <c r="L541" s="933"/>
      <c r="M541" s="933"/>
      <c r="N541" s="933"/>
      <c r="O541" s="933"/>
      <c r="P541" s="1290"/>
      <c r="Q541" s="1290"/>
      <c r="R541" s="1290"/>
      <c r="S541" s="933"/>
      <c r="T541" s="933"/>
      <c r="U541" s="1329"/>
      <c r="V541" s="933"/>
      <c r="W541" s="933"/>
      <c r="X541" s="933"/>
      <c r="Y541" s="1290"/>
      <c r="Z541" s="1290"/>
      <c r="AA541" s="933"/>
      <c r="AB541" s="933"/>
      <c r="AC541" s="933"/>
      <c r="AD541" s="933"/>
    </row>
    <row r="542" customFormat="false" ht="15.75" hidden="false" customHeight="true" outlineLevel="1" collapsed="false">
      <c r="A542" s="1372" t="str">
        <f aca="false">A500</f>
        <v>Стойка каркаса по фронтону, 1 этаж, двускатная кровля, №12</v>
      </c>
      <c r="B542" s="887" t="str">
        <f aca="false">B500</f>
        <v>м.п.</v>
      </c>
      <c r="C542" s="1372" t="n">
        <f aca="false">C500</f>
        <v>0.4</v>
      </c>
      <c r="D542" s="1372" t="n">
        <f aca="false">D500</f>
        <v>0.05</v>
      </c>
      <c r="E542" s="1372" t="n">
        <f aca="false">IF('Ввод данных'!$A$369=связи1!$A$97,IF(дома!E541&lt;связи1!$E$553,0,дома!E541-$E$419),0)+IF(дома!E541&lt;=0,0,IF('Ввод данных'!$A$369=связи1!$A$94,IF(дома!E541&lt;0,0,дома!E541-$E$419),0))</f>
        <v>0</v>
      </c>
      <c r="F542" s="1372" t="n">
        <f aca="false">F500</f>
        <v>2</v>
      </c>
      <c r="G542" s="933" t="n">
        <f aca="false">C542*D542*E542*F542</f>
        <v>0</v>
      </c>
      <c r="H542" s="933"/>
      <c r="I542" s="933"/>
      <c r="J542" s="933"/>
      <c r="K542" s="933"/>
      <c r="L542" s="933"/>
      <c r="M542" s="933"/>
      <c r="N542" s="933"/>
      <c r="O542" s="933"/>
      <c r="P542" s="1290"/>
      <c r="Q542" s="1290"/>
      <c r="R542" s="1290"/>
      <c r="S542" s="933"/>
      <c r="T542" s="933"/>
      <c r="U542" s="1329"/>
      <c r="V542" s="933"/>
      <c r="W542" s="933"/>
      <c r="X542" s="933"/>
      <c r="Y542" s="1290"/>
      <c r="Z542" s="1290"/>
      <c r="AA542" s="933"/>
      <c r="AB542" s="933"/>
      <c r="AC542" s="933"/>
      <c r="AD542" s="933"/>
    </row>
    <row r="543" customFormat="false" ht="15.75" hidden="false" customHeight="true" outlineLevel="1" collapsed="false">
      <c r="A543" s="1372" t="str">
        <f aca="false">A501</f>
        <v>Стойка каркаса по фронтону, 1 этаж, двускатная кровля, №13</v>
      </c>
      <c r="B543" s="887" t="str">
        <f aca="false">B501</f>
        <v>м.п.</v>
      </c>
      <c r="C543" s="1372" t="n">
        <f aca="false">C501</f>
        <v>0.4</v>
      </c>
      <c r="D543" s="1372" t="n">
        <f aca="false">D501</f>
        <v>0.05</v>
      </c>
      <c r="E543" s="1372" t="n">
        <f aca="false">IF('Ввод данных'!$A$369=связи1!$A$97,IF(дома!E542&lt;связи1!$E$553,0,дома!E542-$E$419),0)+IF(дома!E542&lt;=0,0,IF('Ввод данных'!$A$369=связи1!$A$94,IF(дома!E542&lt;0,0,дома!E542-$E$419),0))</f>
        <v>0</v>
      </c>
      <c r="F543" s="1372" t="n">
        <f aca="false">F501</f>
        <v>2</v>
      </c>
      <c r="G543" s="933" t="n">
        <f aca="false">C543*D543*E543*F543</f>
        <v>0</v>
      </c>
      <c r="H543" s="933"/>
      <c r="I543" s="933"/>
      <c r="J543" s="933"/>
      <c r="K543" s="933"/>
      <c r="L543" s="933"/>
      <c r="M543" s="933"/>
      <c r="N543" s="933"/>
      <c r="O543" s="933"/>
      <c r="P543" s="1290"/>
      <c r="Q543" s="1290"/>
      <c r="R543" s="1290"/>
      <c r="S543" s="933"/>
      <c r="T543" s="933"/>
      <c r="U543" s="1329"/>
      <c r="V543" s="933"/>
      <c r="W543" s="933"/>
      <c r="X543" s="933"/>
      <c r="Y543" s="1290"/>
      <c r="Z543" s="1290"/>
      <c r="AA543" s="933"/>
      <c r="AB543" s="933"/>
      <c r="AC543" s="933"/>
      <c r="AD543" s="933"/>
    </row>
    <row r="544" customFormat="false" ht="15.75" hidden="false" customHeight="true" outlineLevel="1" collapsed="false">
      <c r="A544" s="1372" t="str">
        <f aca="false">A502</f>
        <v>Стойка каркаса по фронтону, 1 этаж, двускатная кровля, №14</v>
      </c>
      <c r="B544" s="887" t="str">
        <f aca="false">B502</f>
        <v>м.п.</v>
      </c>
      <c r="C544" s="1372" t="n">
        <f aca="false">C502</f>
        <v>0.4</v>
      </c>
      <c r="D544" s="1372" t="n">
        <f aca="false">D502</f>
        <v>0.05</v>
      </c>
      <c r="E544" s="1372" t="n">
        <f aca="false">IF('Ввод данных'!$A$369=связи1!$A$97,IF(дома!E543&lt;связи1!$E$553,0,дома!E543-$E$419),0)+IF(дома!E543&lt;=0,0,IF('Ввод данных'!$A$369=связи1!$A$94,IF(дома!E543&lt;0,0,дома!E543-$E$419),0))</f>
        <v>0</v>
      </c>
      <c r="F544" s="1372" t="n">
        <f aca="false">F502</f>
        <v>2</v>
      </c>
      <c r="G544" s="933" t="n">
        <f aca="false">C544*D544*E544*F544</f>
        <v>0</v>
      </c>
      <c r="H544" s="933"/>
      <c r="I544" s="933"/>
      <c r="J544" s="933"/>
      <c r="K544" s="933"/>
      <c r="L544" s="933"/>
      <c r="M544" s="933"/>
      <c r="N544" s="933"/>
      <c r="O544" s="933"/>
      <c r="P544" s="1290"/>
      <c r="Q544" s="1290"/>
      <c r="R544" s="1290"/>
      <c r="S544" s="933"/>
      <c r="T544" s="933"/>
      <c r="U544" s="1329"/>
      <c r="V544" s="933"/>
      <c r="W544" s="933"/>
      <c r="X544" s="933"/>
      <c r="Y544" s="1290"/>
      <c r="Z544" s="1290"/>
      <c r="AA544" s="933"/>
      <c r="AB544" s="933"/>
      <c r="AC544" s="933"/>
      <c r="AD544" s="933"/>
    </row>
    <row r="545" customFormat="false" ht="15.75" hidden="false" customHeight="true" outlineLevel="1" collapsed="false">
      <c r="A545" s="1372" t="str">
        <f aca="false">A503</f>
        <v>Стойка каркаса по фронтону, 1 этаж, двускатная кровля, №15</v>
      </c>
      <c r="B545" s="887" t="str">
        <f aca="false">B503</f>
        <v>м.п.</v>
      </c>
      <c r="C545" s="1372" t="n">
        <f aca="false">C503</f>
        <v>0.4</v>
      </c>
      <c r="D545" s="1372" t="n">
        <f aca="false">D503</f>
        <v>0.05</v>
      </c>
      <c r="E545" s="1372" t="n">
        <f aca="false">IF('Ввод данных'!$A$369=связи1!$A$97,IF(дома!E544&lt;связи1!$E$553,0,дома!E544-$E$419),0)+IF(дома!E544&lt;=0,0,IF('Ввод данных'!$A$369=связи1!$A$94,IF(дома!E544&lt;0,0,дома!E544-$E$419),0))</f>
        <v>0</v>
      </c>
      <c r="F545" s="1372" t="n">
        <f aca="false">F503</f>
        <v>2</v>
      </c>
      <c r="G545" s="933" t="n">
        <f aca="false">C545*D545*E545*F545</f>
        <v>0</v>
      </c>
      <c r="H545" s="933"/>
      <c r="I545" s="933"/>
      <c r="J545" s="933"/>
      <c r="K545" s="933"/>
      <c r="L545" s="933"/>
      <c r="M545" s="933"/>
      <c r="N545" s="933"/>
      <c r="O545" s="933"/>
      <c r="P545" s="1290"/>
      <c r="Q545" s="1290"/>
      <c r="R545" s="1290"/>
      <c r="S545" s="933"/>
      <c r="T545" s="933"/>
      <c r="U545" s="1329"/>
      <c r="V545" s="933"/>
      <c r="W545" s="933"/>
      <c r="X545" s="933"/>
      <c r="Y545" s="1290"/>
      <c r="Z545" s="1290"/>
      <c r="AA545" s="933"/>
      <c r="AB545" s="933"/>
      <c r="AC545" s="933"/>
      <c r="AD545" s="933"/>
    </row>
    <row r="546" customFormat="false" ht="15.75" hidden="false" customHeight="true" outlineLevel="1" collapsed="false">
      <c r="A546" s="1372" t="str">
        <f aca="false">A504</f>
        <v>Стойка каркаса по фронтону, 1 этаж, двускатная кровля, №16</v>
      </c>
      <c r="B546" s="887" t="str">
        <f aca="false">B504</f>
        <v>м.п.</v>
      </c>
      <c r="C546" s="1372" t="n">
        <f aca="false">C504</f>
        <v>0.4</v>
      </c>
      <c r="D546" s="1372" t="n">
        <f aca="false">D504</f>
        <v>0.05</v>
      </c>
      <c r="E546" s="1372" t="n">
        <f aca="false">IF('Ввод данных'!$A$369=связи1!$A$97,IF(дома!E545&lt;связи1!$E$553,0,дома!E545-$E$419),0)+IF(дома!E545&lt;=0,0,IF('Ввод данных'!$A$369=связи1!$A$94,IF(дома!E545&lt;0,0,дома!E545-$E$419),0))</f>
        <v>0</v>
      </c>
      <c r="F546" s="1372" t="n">
        <f aca="false">F504</f>
        <v>2</v>
      </c>
      <c r="G546" s="933" t="n">
        <f aca="false">C546*D546*E546*F546</f>
        <v>0</v>
      </c>
      <c r="H546" s="933"/>
      <c r="I546" s="933"/>
      <c r="J546" s="933"/>
      <c r="K546" s="933"/>
      <c r="L546" s="933"/>
      <c r="M546" s="933"/>
      <c r="N546" s="933"/>
      <c r="O546" s="933"/>
      <c r="P546" s="1290"/>
      <c r="Q546" s="1290"/>
      <c r="R546" s="1290"/>
      <c r="S546" s="933"/>
      <c r="T546" s="933"/>
      <c r="U546" s="1329"/>
      <c r="V546" s="933"/>
      <c r="W546" s="933"/>
      <c r="X546" s="933"/>
      <c r="Y546" s="1290"/>
      <c r="Z546" s="1290"/>
      <c r="AA546" s="933"/>
      <c r="AB546" s="933"/>
      <c r="AC546" s="933"/>
      <c r="AD546" s="933"/>
    </row>
    <row r="547" customFormat="false" ht="15.75" hidden="false" customHeight="true" outlineLevel="1" collapsed="false">
      <c r="A547" s="1372" t="str">
        <f aca="false">A505</f>
        <v>Стойка каркаса по фронтону, 1 этаж, двускатная кровля, №17</v>
      </c>
      <c r="B547" s="887" t="str">
        <f aca="false">B505</f>
        <v>м.п.</v>
      </c>
      <c r="C547" s="1372" t="n">
        <f aca="false">C505</f>
        <v>0.4</v>
      </c>
      <c r="D547" s="1372" t="n">
        <f aca="false">D505</f>
        <v>0.05</v>
      </c>
      <c r="E547" s="1372" t="n">
        <f aca="false">IF('Ввод данных'!$A$369=связи1!$A$97,IF(дома!E546&lt;связи1!$E$553,0,дома!E546-$E$419),0)+IF(дома!E546&lt;=0,0,IF('Ввод данных'!$A$369=связи1!$A$94,IF(дома!E546&lt;0,0,дома!E546-$E$419),0))</f>
        <v>0</v>
      </c>
      <c r="F547" s="1372" t="n">
        <f aca="false">F505</f>
        <v>2</v>
      </c>
      <c r="G547" s="933" t="n">
        <f aca="false">C547*D547*E547*F547</f>
        <v>0</v>
      </c>
      <c r="H547" s="933"/>
      <c r="I547" s="933"/>
      <c r="J547" s="933"/>
      <c r="K547" s="933"/>
      <c r="L547" s="933"/>
      <c r="M547" s="933"/>
      <c r="N547" s="933"/>
      <c r="O547" s="933"/>
      <c r="P547" s="1290"/>
      <c r="Q547" s="1290"/>
      <c r="R547" s="1290"/>
      <c r="S547" s="933"/>
      <c r="T547" s="933"/>
      <c r="U547" s="1329"/>
      <c r="V547" s="933"/>
      <c r="W547" s="933"/>
      <c r="X547" s="933"/>
      <c r="Y547" s="1290"/>
      <c r="Z547" s="1290"/>
      <c r="AA547" s="933"/>
      <c r="AB547" s="933"/>
      <c r="AC547" s="933"/>
      <c r="AD547" s="933"/>
    </row>
    <row r="548" customFormat="false" ht="15.75" hidden="false" customHeight="true" outlineLevel="1" collapsed="false">
      <c r="A548" s="1372"/>
      <c r="B548" s="1375"/>
      <c r="C548" s="887"/>
      <c r="D548" s="933"/>
      <c r="E548" s="933"/>
      <c r="F548" s="1023"/>
      <c r="G548" s="933" t="n">
        <f aca="false">C548*D548*E548*F548</f>
        <v>0</v>
      </c>
      <c r="H548" s="933"/>
      <c r="I548" s="933"/>
      <c r="J548" s="933"/>
      <c r="K548" s="933"/>
      <c r="L548" s="933"/>
      <c r="M548" s="933"/>
      <c r="N548" s="933"/>
      <c r="O548" s="933"/>
      <c r="P548" s="1290"/>
      <c r="Q548" s="1290"/>
      <c r="R548" s="1290"/>
      <c r="S548" s="933"/>
      <c r="T548" s="933"/>
      <c r="U548" s="1329"/>
      <c r="V548" s="933"/>
      <c r="W548" s="933"/>
      <c r="X548" s="933"/>
      <c r="Y548" s="1290"/>
      <c r="Z548" s="1290"/>
      <c r="AA548" s="933"/>
      <c r="AB548" s="933"/>
      <c r="AC548" s="933"/>
      <c r="AD548" s="933"/>
    </row>
    <row r="549" customFormat="false" ht="15.75" hidden="false" customHeight="true" outlineLevel="1" collapsed="false">
      <c r="A549" s="1377" t="s">
        <v>3221</v>
      </c>
      <c r="B549" s="1379" t="str">
        <f aca="false">B507</f>
        <v>ед.изм</v>
      </c>
      <c r="C549" s="1377" t="str">
        <f aca="false">C507</f>
        <v>ширина</v>
      </c>
      <c r="D549" s="1377" t="str">
        <f aca="false">D507</f>
        <v>толщина</v>
      </c>
      <c r="E549" s="1377" t="str">
        <f aca="false">E507</f>
        <v>высота</v>
      </c>
      <c r="F549" s="1377" t="str">
        <f aca="false">F507</f>
        <v>кол-во</v>
      </c>
      <c r="G549" s="933"/>
      <c r="H549" s="933"/>
      <c r="I549" s="933"/>
      <c r="J549" s="933"/>
      <c r="K549" s="933"/>
      <c r="L549" s="933"/>
      <c r="M549" s="933"/>
      <c r="N549" s="933"/>
      <c r="O549" s="933"/>
      <c r="P549" s="1290"/>
      <c r="Q549" s="1290"/>
      <c r="R549" s="1290"/>
      <c r="S549" s="933"/>
      <c r="T549" s="933"/>
      <c r="U549" s="1329"/>
      <c r="V549" s="933"/>
      <c r="W549" s="933"/>
      <c r="X549" s="933"/>
      <c r="Y549" s="1290"/>
      <c r="Z549" s="1290"/>
      <c r="AA549" s="933"/>
      <c r="AB549" s="933"/>
      <c r="AC549" s="933"/>
      <c r="AD549" s="933"/>
    </row>
    <row r="550" customFormat="false" ht="15.75" hidden="false" customHeight="true" outlineLevel="1" collapsed="false">
      <c r="A550" s="1372" t="str">
        <f aca="false">A424</f>
        <v>Стойки каркаса передней стены 1 эт</v>
      </c>
      <c r="B550" s="887" t="str">
        <f aca="false">B424</f>
        <v>м.п.</v>
      </c>
      <c r="C550" s="1372" t="n">
        <f aca="false">C424</f>
        <v>0.4</v>
      </c>
      <c r="D550" s="1372" t="n">
        <f aca="false">D424</f>
        <v>0.05</v>
      </c>
      <c r="E550" s="1372" t="n">
        <f aca="false">связи1!F553</f>
        <v>3</v>
      </c>
      <c r="F550" s="1372" t="n">
        <f aca="false">L411</f>
        <v>0</v>
      </c>
      <c r="G550" s="933" t="n">
        <f aca="false">C550*D550*E550*F550</f>
        <v>0</v>
      </c>
      <c r="H550" s="933"/>
      <c r="I550" s="933"/>
      <c r="J550" s="933"/>
      <c r="K550" s="933"/>
      <c r="L550" s="933"/>
      <c r="M550" s="933"/>
      <c r="N550" s="933"/>
      <c r="O550" s="933"/>
      <c r="P550" s="1290"/>
      <c r="Q550" s="1290"/>
      <c r="R550" s="1290"/>
      <c r="S550" s="933"/>
      <c r="T550" s="933"/>
      <c r="U550" s="1329"/>
      <c r="V550" s="933"/>
      <c r="W550" s="933"/>
      <c r="X550" s="933"/>
      <c r="Y550" s="1290"/>
      <c r="Z550" s="1290"/>
      <c r="AA550" s="933"/>
      <c r="AB550" s="933"/>
      <c r="AC550" s="933"/>
      <c r="AD550" s="933"/>
    </row>
    <row r="551" customFormat="false" ht="15.75" hidden="false" customHeight="true" outlineLevel="1" collapsed="false">
      <c r="A551" s="1372" t="str">
        <f aca="false">A425</f>
        <v>Стойки каркаса, левая сторона 1 эт</v>
      </c>
      <c r="B551" s="887" t="str">
        <f aca="false">B425</f>
        <v>м.п.</v>
      </c>
      <c r="C551" s="1372" t="n">
        <f aca="false">C425</f>
        <v>0.4</v>
      </c>
      <c r="D551" s="1372" t="n">
        <f aca="false">D425</f>
        <v>0.05</v>
      </c>
      <c r="E551" s="1372" t="n">
        <f aca="false">$E$412*IF('Ввод данных'!A373=связи1!A97,IF('Ввод данных'!A372=связи1!A106,0,1),1)</f>
        <v>3</v>
      </c>
      <c r="F551" s="1372" t="n">
        <f aca="false">L412</f>
        <v>0</v>
      </c>
      <c r="G551" s="933" t="n">
        <f aca="false">C551*D551*E551*F551</f>
        <v>0</v>
      </c>
      <c r="H551" s="933"/>
      <c r="I551" s="933"/>
      <c r="J551" s="933"/>
      <c r="K551" s="933"/>
      <c r="L551" s="933"/>
      <c r="M551" s="933"/>
      <c r="N551" s="933"/>
      <c r="O551" s="933"/>
      <c r="P551" s="1290"/>
      <c r="Q551" s="1290"/>
      <c r="R551" s="1290"/>
      <c r="S551" s="933"/>
      <c r="T551" s="933"/>
      <c r="U551" s="1329"/>
      <c r="V551" s="933"/>
      <c r="W551" s="933"/>
      <c r="X551" s="933"/>
      <c r="Y551" s="1290"/>
      <c r="Z551" s="1290"/>
      <c r="AA551" s="933"/>
      <c r="AB551" s="933"/>
      <c r="AC551" s="933"/>
      <c r="AD551" s="933"/>
    </row>
    <row r="552" customFormat="false" ht="15.75" hidden="false" customHeight="true" outlineLevel="1" collapsed="false">
      <c r="A552" s="1372" t="str">
        <f aca="false">A426</f>
        <v>Стойки каркаса, правая сторона, 1 эт</v>
      </c>
      <c r="B552" s="887" t="str">
        <f aca="false">B426</f>
        <v>м.п.</v>
      </c>
      <c r="C552" s="1372" t="n">
        <f aca="false">C426</f>
        <v>0.4</v>
      </c>
      <c r="D552" s="1372" t="n">
        <f aca="false">D426</f>
        <v>0.05</v>
      </c>
      <c r="E552" s="1372" t="n">
        <f aca="false">$E$413*IF('Ввод данных'!A373=связи1!A97,IF('Ввод данных'!A372=связи1!A106,0,1),1)</f>
        <v>3</v>
      </c>
      <c r="F552" s="1372" t="n">
        <f aca="false">L413</f>
        <v>0</v>
      </c>
      <c r="G552" s="933" t="n">
        <f aca="false">C552*D552*E552*F552</f>
        <v>0</v>
      </c>
      <c r="H552" s="933"/>
      <c r="I552" s="933"/>
      <c r="J552" s="933"/>
      <c r="K552" s="933"/>
      <c r="L552" s="933"/>
      <c r="M552" s="933"/>
      <c r="N552" s="933"/>
      <c r="O552" s="933"/>
      <c r="P552" s="1290"/>
      <c r="Q552" s="1290"/>
      <c r="R552" s="1290"/>
      <c r="S552" s="933"/>
      <c r="T552" s="933"/>
      <c r="U552" s="1329"/>
      <c r="V552" s="933"/>
      <c r="W552" s="933"/>
      <c r="X552" s="933"/>
      <c r="Y552" s="1290"/>
      <c r="Z552" s="1290"/>
      <c r="AA552" s="933"/>
      <c r="AB552" s="933"/>
      <c r="AC552" s="933"/>
      <c r="AD552" s="933"/>
    </row>
    <row r="553" customFormat="false" ht="15.75" hidden="false" customHeight="true" outlineLevel="1" collapsed="false">
      <c r="A553" s="1372" t="str">
        <f aca="false">A427</f>
        <v>Обвязка каркаса верхняя/нижняя наружние стены 1 эт</v>
      </c>
      <c r="B553" s="887" t="str">
        <f aca="false">B427</f>
        <v>м.п.</v>
      </c>
      <c r="C553" s="1372" t="n">
        <f aca="false">C427</f>
        <v>0.4</v>
      </c>
      <c r="D553" s="1372" t="n">
        <f aca="false">D427</f>
        <v>0.05</v>
      </c>
      <c r="E553" s="1372"/>
      <c r="F553" s="1372" t="n">
        <f aca="false">P414+Q414</f>
        <v>0</v>
      </c>
      <c r="G553" s="933" t="n">
        <f aca="false">C553*D553*E553*F553</f>
        <v>0</v>
      </c>
      <c r="H553" s="933"/>
      <c r="I553" s="933"/>
      <c r="J553" s="933"/>
      <c r="K553" s="933"/>
      <c r="L553" s="933"/>
      <c r="M553" s="933"/>
      <c r="N553" s="933"/>
      <c r="O553" s="933"/>
      <c r="P553" s="1290"/>
      <c r="Q553" s="1290"/>
      <c r="R553" s="1290"/>
      <c r="S553" s="933"/>
      <c r="T553" s="933"/>
      <c r="U553" s="1329"/>
      <c r="V553" s="933"/>
      <c r="W553" s="933"/>
      <c r="X553" s="933"/>
      <c r="Y553" s="1290"/>
      <c r="Z553" s="1290"/>
      <c r="AA553" s="933"/>
      <c r="AB553" s="933"/>
      <c r="AC553" s="933"/>
      <c r="AD553" s="933"/>
    </row>
    <row r="554" customFormat="false" ht="15.75" hidden="false" customHeight="true" outlineLevel="1" collapsed="false">
      <c r="A554" s="1372" t="str">
        <f aca="false">A428</f>
        <v>Ригель каркаса наружние стены 1 эт</v>
      </c>
      <c r="B554" s="887" t="str">
        <f aca="false">B428</f>
        <v>м.п.</v>
      </c>
      <c r="C554" s="1372" t="n">
        <f aca="false">C428</f>
        <v>0.4</v>
      </c>
      <c r="D554" s="1372" t="n">
        <f aca="false">D428</f>
        <v>0.05</v>
      </c>
      <c r="E554" s="1372"/>
      <c r="F554" s="1372" t="n">
        <f aca="false">R414</f>
        <v>0</v>
      </c>
      <c r="G554" s="933" t="n">
        <f aca="false">C554*D554*E554*F554</f>
        <v>0</v>
      </c>
      <c r="H554" s="933"/>
      <c r="I554" s="933"/>
      <c r="J554" s="933"/>
      <c r="K554" s="933"/>
      <c r="L554" s="933"/>
      <c r="M554" s="933"/>
      <c r="N554" s="933"/>
      <c r="O554" s="933"/>
      <c r="P554" s="1290"/>
      <c r="Q554" s="1290"/>
      <c r="R554" s="1290"/>
      <c r="S554" s="933"/>
      <c r="T554" s="933"/>
      <c r="U554" s="1329"/>
      <c r="V554" s="933"/>
      <c r="W554" s="933"/>
      <c r="X554" s="933"/>
      <c r="Y554" s="1290"/>
      <c r="Z554" s="1290"/>
      <c r="AA554" s="933"/>
      <c r="AB554" s="933"/>
      <c r="AC554" s="933"/>
      <c r="AD554" s="933"/>
    </row>
    <row r="555" customFormat="false" ht="15.75" hidden="false" customHeight="true" outlineLevel="1" collapsed="false">
      <c r="A555" s="1372" t="str">
        <f aca="false">A429</f>
        <v>Укосина наружних стен, усиление 1 этаж</v>
      </c>
      <c r="B555" s="887" t="str">
        <f aca="false">B429</f>
        <v>м.п.</v>
      </c>
      <c r="C555" s="1372" t="n">
        <f aca="false">C429</f>
        <v>0.4</v>
      </c>
      <c r="D555" s="1372" t="n">
        <f aca="false">D429</f>
        <v>0.05</v>
      </c>
      <c r="E555" s="1372" t="n">
        <f aca="false">1.5*VLOOKUP('Ввод данных'!F416,связи1!A2:B3,2,0)*связи1!F550</f>
        <v>0</v>
      </c>
      <c r="F555" s="1372" t="n">
        <v>8</v>
      </c>
      <c r="G555" s="933" t="n">
        <f aca="false">C555*D555*E555*F555</f>
        <v>0</v>
      </c>
      <c r="H555" s="933"/>
      <c r="I555" s="933"/>
      <c r="J555" s="933"/>
      <c r="K555" s="933"/>
      <c r="L555" s="933"/>
      <c r="M555" s="933"/>
      <c r="N555" s="933"/>
      <c r="O555" s="933"/>
      <c r="P555" s="1290"/>
      <c r="Q555" s="1290"/>
      <c r="R555" s="1290"/>
      <c r="S555" s="933"/>
      <c r="T555" s="933"/>
      <c r="U555" s="1329"/>
      <c r="V555" s="933"/>
      <c r="W555" s="933"/>
      <c r="X555" s="933"/>
      <c r="Y555" s="1290"/>
      <c r="Z555" s="1290"/>
      <c r="AA555" s="933"/>
      <c r="AB555" s="933"/>
      <c r="AC555" s="933"/>
      <c r="AD555" s="933"/>
    </row>
    <row r="556" customFormat="false" ht="15.75" hidden="false" customHeight="true" outlineLevel="1" collapsed="false">
      <c r="A556" s="1372" t="str">
        <f aca="false">A430</f>
        <v>Стойка каркаса по фронтону, 1 этаж, односкатная кровля, №1</v>
      </c>
      <c r="B556" s="887" t="str">
        <f aca="false">B430</f>
        <v>м.п.</v>
      </c>
      <c r="C556" s="1372" t="n">
        <f aca="false">C430</f>
        <v>0.4</v>
      </c>
      <c r="D556" s="1372" t="n">
        <f aca="false">D430</f>
        <v>0.05</v>
      </c>
      <c r="E556" s="1372" t="n">
        <f aca="false">IF('Ввод данных'!A372=связи1!A106,IF('Ввод данных'!A373=связи1!A94,связи1!F554-связи1!F553,0)+IF('Ввод данных'!A373=связи1!A95,0,0)+IF('Ввод данных'!A373=связи1!A96,0,0)+IF('Ввод данных'!A373=связи1!A97,связи1!F554,0)+IF('Ввод данных'!A373=связи1!A98,0,0),0)</f>
        <v>0</v>
      </c>
      <c r="F556" s="1372" t="n">
        <f aca="false">F430</f>
        <v>2</v>
      </c>
      <c r="G556" s="933" t="n">
        <f aca="false">C556*D556*E556*F556</f>
        <v>0</v>
      </c>
      <c r="H556" s="933"/>
      <c r="I556" s="933"/>
      <c r="J556" s="933"/>
      <c r="K556" s="933"/>
      <c r="L556" s="933"/>
      <c r="M556" s="933"/>
      <c r="N556" s="933"/>
      <c r="O556" s="933"/>
      <c r="P556" s="1290"/>
      <c r="Q556" s="1290"/>
      <c r="R556" s="1290"/>
      <c r="S556" s="933"/>
      <c r="T556" s="933"/>
      <c r="U556" s="1329"/>
      <c r="V556" s="933"/>
      <c r="W556" s="933"/>
      <c r="X556" s="933"/>
      <c r="Y556" s="1290"/>
      <c r="Z556" s="1290"/>
      <c r="AA556" s="933"/>
      <c r="AB556" s="933"/>
      <c r="AC556" s="933"/>
      <c r="AD556" s="933"/>
    </row>
    <row r="557" customFormat="false" ht="15.75" hidden="false" customHeight="true" outlineLevel="1" collapsed="false">
      <c r="A557" s="1372" t="str">
        <f aca="false">A431</f>
        <v>Стойка каркаса по фронтону, 1 этаж, односкатная кровля, №2</v>
      </c>
      <c r="B557" s="887" t="str">
        <f aca="false">B431</f>
        <v>м.п.</v>
      </c>
      <c r="C557" s="1372" t="n">
        <f aca="false">C431</f>
        <v>0.4</v>
      </c>
      <c r="D557" s="1372" t="n">
        <f aca="false">D431</f>
        <v>0.05</v>
      </c>
      <c r="E557" s="1372" t="n">
        <f aca="false">IF('Ввод данных'!$A$373=связи1!$A$97,IF(дома!E556&lt;связи1!$F$553,0,дома!E556-$F$419),0)+IF(дома!E556=0,0,IF('Ввод данных'!$A$373=связи1!$A$94,IF(дома!E556&lt;0,0,дома!E556-$F$419),0))</f>
        <v>0</v>
      </c>
      <c r="F557" s="1372" t="n">
        <f aca="false">F431</f>
        <v>2</v>
      </c>
      <c r="G557" s="933" t="n">
        <f aca="false">C557*D557*E557*F557</f>
        <v>0</v>
      </c>
      <c r="H557" s="933"/>
      <c r="I557" s="933"/>
      <c r="J557" s="933"/>
      <c r="K557" s="933"/>
      <c r="L557" s="933"/>
      <c r="M557" s="933"/>
      <c r="N557" s="933"/>
      <c r="O557" s="933"/>
      <c r="P557" s="1290"/>
      <c r="Q557" s="1290"/>
      <c r="R557" s="1290"/>
      <c r="S557" s="933"/>
      <c r="T557" s="933"/>
      <c r="U557" s="1329"/>
      <c r="V557" s="933"/>
      <c r="W557" s="933"/>
      <c r="X557" s="933"/>
      <c r="Y557" s="1290"/>
      <c r="Z557" s="1290"/>
      <c r="AA557" s="933"/>
      <c r="AB557" s="933"/>
      <c r="AC557" s="933"/>
      <c r="AD557" s="933"/>
    </row>
    <row r="558" customFormat="false" ht="15.75" hidden="false" customHeight="true" outlineLevel="1" collapsed="false">
      <c r="A558" s="1372" t="str">
        <f aca="false">A432</f>
        <v>Стойка каркаса по фронтону, 1 этаж, односкатная кровля, №3</v>
      </c>
      <c r="B558" s="887" t="str">
        <f aca="false">B432</f>
        <v>м.п.</v>
      </c>
      <c r="C558" s="1372" t="n">
        <f aca="false">C432</f>
        <v>0.4</v>
      </c>
      <c r="D558" s="1372" t="n">
        <f aca="false">D432</f>
        <v>0.05</v>
      </c>
      <c r="E558" s="1372" t="n">
        <f aca="false">IF('Ввод данных'!$A$373=связи1!$A$97,IF(дома!E557&lt;связи1!$F$553,0,дома!E557-$F$419),0)+IF(дома!E557=0,0,IF('Ввод данных'!$A$373=связи1!$A$94,IF(дома!E557&lt;0,0,дома!E557-$F$419),0))</f>
        <v>0</v>
      </c>
      <c r="F558" s="1372" t="n">
        <f aca="false">F432</f>
        <v>2</v>
      </c>
      <c r="G558" s="933" t="n">
        <f aca="false">C558*D558*E558*F558</f>
        <v>0</v>
      </c>
      <c r="H558" s="933"/>
      <c r="I558" s="933"/>
      <c r="J558" s="933"/>
      <c r="K558" s="933"/>
      <c r="L558" s="933"/>
      <c r="M558" s="933"/>
      <c r="N558" s="933"/>
      <c r="O558" s="933"/>
      <c r="P558" s="1290"/>
      <c r="Q558" s="1290"/>
      <c r="R558" s="1290"/>
      <c r="S558" s="933"/>
      <c r="T558" s="933"/>
      <c r="U558" s="1329"/>
      <c r="V558" s="933"/>
      <c r="W558" s="933"/>
      <c r="X558" s="933"/>
      <c r="Y558" s="1290"/>
      <c r="Z558" s="1290"/>
      <c r="AA558" s="933"/>
      <c r="AB558" s="933"/>
      <c r="AC558" s="933"/>
      <c r="AD558" s="933"/>
    </row>
    <row r="559" customFormat="false" ht="15.75" hidden="false" customHeight="true" outlineLevel="1" collapsed="false">
      <c r="A559" s="1372" t="str">
        <f aca="false">A433</f>
        <v>Стойка каркаса по фронтону, 1 этаж, односкатная кровля, №4</v>
      </c>
      <c r="B559" s="887" t="str">
        <f aca="false">B433</f>
        <v>м.п.</v>
      </c>
      <c r="C559" s="1372" t="n">
        <f aca="false">C433</f>
        <v>0.4</v>
      </c>
      <c r="D559" s="1372" t="n">
        <f aca="false">D433</f>
        <v>0.05</v>
      </c>
      <c r="E559" s="1372" t="n">
        <f aca="false">IF('Ввод данных'!$A$373=связи1!$A$97,IF(дома!E558&lt;связи1!$F$553,0,дома!E558-$F$419),0)+IF(дома!E558=0,0,IF('Ввод данных'!$A$373=связи1!$A$94,IF(дома!E558&lt;0,0,дома!E558-$F$419),0))</f>
        <v>0</v>
      </c>
      <c r="F559" s="1372" t="n">
        <f aca="false">F433</f>
        <v>2</v>
      </c>
      <c r="G559" s="933" t="n">
        <f aca="false">C559*D559*E559*F559</f>
        <v>0</v>
      </c>
      <c r="H559" s="933"/>
      <c r="I559" s="933"/>
      <c r="J559" s="933"/>
      <c r="K559" s="933"/>
      <c r="L559" s="933"/>
      <c r="M559" s="933"/>
      <c r="N559" s="933"/>
      <c r="O559" s="933"/>
      <c r="P559" s="1290"/>
      <c r="Q559" s="1290"/>
      <c r="R559" s="1290"/>
      <c r="S559" s="933"/>
      <c r="T559" s="933"/>
      <c r="U559" s="1329"/>
      <c r="V559" s="933"/>
      <c r="W559" s="933"/>
      <c r="X559" s="933"/>
      <c r="Y559" s="1290"/>
      <c r="Z559" s="1290"/>
      <c r="AA559" s="933"/>
      <c r="AB559" s="933"/>
      <c r="AC559" s="933"/>
      <c r="AD559" s="933"/>
    </row>
    <row r="560" customFormat="false" ht="15.75" hidden="false" customHeight="true" outlineLevel="1" collapsed="false">
      <c r="A560" s="1372" t="str">
        <f aca="false">A434</f>
        <v>Стойка каркаса по фронтону, 1 этаж, односкатная кровля, №5</v>
      </c>
      <c r="B560" s="887" t="str">
        <f aca="false">B434</f>
        <v>м.п.</v>
      </c>
      <c r="C560" s="1372" t="n">
        <f aca="false">C434</f>
        <v>0.4</v>
      </c>
      <c r="D560" s="1372" t="n">
        <f aca="false">D434</f>
        <v>0.05</v>
      </c>
      <c r="E560" s="1372" t="n">
        <f aca="false">IF('Ввод данных'!$A$373=связи1!$A$97,IF(дома!E559&lt;связи1!$F$553,0,дома!E559-$F$419),0)+IF(дома!E559=0,0,IF('Ввод данных'!$A$373=связи1!$A$94,IF(дома!E559&lt;0,0,дома!E559-$F$419),0))</f>
        <v>0</v>
      </c>
      <c r="F560" s="1372" t="n">
        <f aca="false">F434</f>
        <v>2</v>
      </c>
      <c r="G560" s="933" t="n">
        <f aca="false">C560*D560*E560*F560</f>
        <v>0</v>
      </c>
      <c r="H560" s="933"/>
      <c r="I560" s="933"/>
      <c r="J560" s="933"/>
      <c r="K560" s="933"/>
      <c r="L560" s="933"/>
      <c r="M560" s="933"/>
      <c r="N560" s="933"/>
      <c r="O560" s="933"/>
      <c r="P560" s="1290"/>
      <c r="Q560" s="1290"/>
      <c r="R560" s="1290"/>
      <c r="S560" s="933"/>
      <c r="T560" s="933"/>
      <c r="U560" s="1329"/>
      <c r="V560" s="933"/>
      <c r="W560" s="933"/>
      <c r="X560" s="933"/>
      <c r="Y560" s="1290"/>
      <c r="Z560" s="1290"/>
      <c r="AA560" s="933"/>
      <c r="AB560" s="933"/>
      <c r="AC560" s="933"/>
      <c r="AD560" s="933"/>
    </row>
    <row r="561" customFormat="false" ht="15.75" hidden="false" customHeight="true" outlineLevel="1" collapsed="false">
      <c r="A561" s="1372" t="str">
        <f aca="false">A435</f>
        <v>Стойка каркаса по фронтону, 1 этаж, односкатная кровля, №6</v>
      </c>
      <c r="B561" s="887" t="str">
        <f aca="false">B435</f>
        <v>м.п.</v>
      </c>
      <c r="C561" s="1372" t="n">
        <f aca="false">C435</f>
        <v>0.4</v>
      </c>
      <c r="D561" s="1372" t="n">
        <f aca="false">D435</f>
        <v>0.05</v>
      </c>
      <c r="E561" s="1372" t="n">
        <f aca="false">IF('Ввод данных'!$A$373=связи1!$A$97,IF(дома!E560&lt;связи1!$F$553,0,дома!E560-$F$419),0)+IF(дома!E560=0,0,IF('Ввод данных'!$A$373=связи1!$A$94,IF(дома!E560&lt;0,0,дома!E560-$F$419),0))</f>
        <v>0</v>
      </c>
      <c r="F561" s="1372" t="n">
        <f aca="false">F435</f>
        <v>2</v>
      </c>
      <c r="G561" s="933" t="n">
        <f aca="false">C561*D561*E561*F561</f>
        <v>0</v>
      </c>
      <c r="H561" s="933"/>
      <c r="I561" s="933"/>
      <c r="J561" s="933"/>
      <c r="K561" s="933"/>
      <c r="L561" s="933"/>
      <c r="M561" s="933"/>
      <c r="N561" s="933"/>
      <c r="O561" s="933"/>
      <c r="P561" s="1290"/>
      <c r="Q561" s="1290"/>
      <c r="R561" s="1290"/>
      <c r="S561" s="933"/>
      <c r="T561" s="933"/>
      <c r="U561" s="1329"/>
      <c r="V561" s="933"/>
      <c r="W561" s="933"/>
      <c r="X561" s="933"/>
      <c r="Y561" s="1290"/>
      <c r="Z561" s="1290"/>
      <c r="AA561" s="933"/>
      <c r="AB561" s="933"/>
      <c r="AC561" s="933"/>
      <c r="AD561" s="933"/>
    </row>
    <row r="562" customFormat="false" ht="15.75" hidden="false" customHeight="true" outlineLevel="1" collapsed="false">
      <c r="A562" s="1372" t="str">
        <f aca="false">A436</f>
        <v>Стойка каркаса по фронтону, 1 этаж, односкатная кровля, №7</v>
      </c>
      <c r="B562" s="887" t="str">
        <f aca="false">B436</f>
        <v>м.п.</v>
      </c>
      <c r="C562" s="1372" t="n">
        <f aca="false">C436</f>
        <v>0.4</v>
      </c>
      <c r="D562" s="1372" t="n">
        <f aca="false">D436</f>
        <v>0.05</v>
      </c>
      <c r="E562" s="1372" t="n">
        <f aca="false">IF('Ввод данных'!$A$373=связи1!$A$97,IF(дома!E561&lt;связи1!$F$553,0,дома!E561-$F$419),0)+IF(дома!E561=0,0,IF('Ввод данных'!$A$373=связи1!$A$94,IF(дома!E561&lt;0,0,дома!E561-$F$419),0))</f>
        <v>0</v>
      </c>
      <c r="F562" s="1372" t="n">
        <f aca="false">F436</f>
        <v>2</v>
      </c>
      <c r="G562" s="933" t="n">
        <f aca="false">C562*D562*E562*F562</f>
        <v>0</v>
      </c>
      <c r="H562" s="933"/>
      <c r="I562" s="933"/>
      <c r="J562" s="933"/>
      <c r="K562" s="933"/>
      <c r="L562" s="933"/>
      <c r="M562" s="933"/>
      <c r="N562" s="933"/>
      <c r="O562" s="933"/>
      <c r="P562" s="1290"/>
      <c r="Q562" s="1290"/>
      <c r="R562" s="1290"/>
      <c r="S562" s="933"/>
      <c r="T562" s="933"/>
      <c r="U562" s="1329"/>
      <c r="V562" s="933"/>
      <c r="W562" s="933"/>
      <c r="X562" s="933"/>
      <c r="Y562" s="1290"/>
      <c r="Z562" s="1290"/>
      <c r="AA562" s="933"/>
      <c r="AB562" s="933"/>
      <c r="AC562" s="933"/>
      <c r="AD562" s="933"/>
    </row>
    <row r="563" customFormat="false" ht="15.75" hidden="false" customHeight="true" outlineLevel="1" collapsed="false">
      <c r="A563" s="1372" t="str">
        <f aca="false">A437</f>
        <v>Стойка каркаса по фронтону, 1 этаж, односкатная кровля, №8</v>
      </c>
      <c r="B563" s="887" t="str">
        <f aca="false">B437</f>
        <v>м.п.</v>
      </c>
      <c r="C563" s="1372" t="n">
        <f aca="false">C437</f>
        <v>0.4</v>
      </c>
      <c r="D563" s="1372" t="n">
        <f aca="false">D437</f>
        <v>0.05</v>
      </c>
      <c r="E563" s="1372" t="n">
        <f aca="false">IF('Ввод данных'!$A$373=связи1!$A$97,IF(дома!E562&lt;связи1!$F$553,0,дома!E562-$F$419),0)+IF(дома!E562=0,0,IF('Ввод данных'!$A$373=связи1!$A$94,IF(дома!E562&lt;0,0,дома!E562-$F$419),0))</f>
        <v>0</v>
      </c>
      <c r="F563" s="1372" t="n">
        <f aca="false">F437</f>
        <v>2</v>
      </c>
      <c r="G563" s="933" t="n">
        <f aca="false">C563*D563*E563*F563</f>
        <v>0</v>
      </c>
      <c r="H563" s="933"/>
      <c r="I563" s="933"/>
      <c r="J563" s="933"/>
      <c r="K563" s="933"/>
      <c r="L563" s="933"/>
      <c r="M563" s="933"/>
      <c r="N563" s="933"/>
      <c r="O563" s="933"/>
      <c r="P563" s="1290"/>
      <c r="Q563" s="1290"/>
      <c r="R563" s="1290"/>
      <c r="S563" s="933"/>
      <c r="T563" s="933"/>
      <c r="U563" s="1329"/>
      <c r="V563" s="933"/>
      <c r="W563" s="933"/>
      <c r="X563" s="933"/>
      <c r="Y563" s="1290"/>
      <c r="Z563" s="1290"/>
      <c r="AA563" s="933"/>
      <c r="AB563" s="933"/>
      <c r="AC563" s="933"/>
      <c r="AD563" s="933"/>
    </row>
    <row r="564" customFormat="false" ht="15.75" hidden="false" customHeight="true" outlineLevel="1" collapsed="false">
      <c r="A564" s="1372" t="str">
        <f aca="false">A438</f>
        <v>Стойка каркаса по фронтону, 1 этаж, односкатная кровля, №9</v>
      </c>
      <c r="B564" s="887" t="str">
        <f aca="false">B438</f>
        <v>м.п.</v>
      </c>
      <c r="C564" s="1372" t="n">
        <f aca="false">C438</f>
        <v>0.4</v>
      </c>
      <c r="D564" s="1372" t="n">
        <f aca="false">D438</f>
        <v>0.05</v>
      </c>
      <c r="E564" s="1372" t="n">
        <f aca="false">IF('Ввод данных'!$A$373=связи1!$A$97,IF(дома!E563&lt;связи1!$F$553,0,дома!E563-$F$419),0)+IF(дома!E563=0,0,IF('Ввод данных'!$A$373=связи1!$A$94,IF(дома!E563&lt;0,0,дома!E563-$F$419),0))</f>
        <v>0</v>
      </c>
      <c r="F564" s="1372" t="n">
        <f aca="false">F438</f>
        <v>2</v>
      </c>
      <c r="G564" s="933" t="n">
        <f aca="false">C564*D564*E564*F564</f>
        <v>0</v>
      </c>
      <c r="H564" s="933"/>
      <c r="I564" s="933"/>
      <c r="J564" s="933"/>
      <c r="K564" s="933"/>
      <c r="L564" s="933"/>
      <c r="M564" s="933"/>
      <c r="N564" s="933"/>
      <c r="O564" s="933"/>
      <c r="P564" s="1290"/>
      <c r="Q564" s="1290"/>
      <c r="R564" s="1290"/>
      <c r="S564" s="933"/>
      <c r="T564" s="933"/>
      <c r="U564" s="1329"/>
      <c r="V564" s="933"/>
      <c r="W564" s="933"/>
      <c r="X564" s="933"/>
      <c r="Y564" s="1290"/>
      <c r="Z564" s="1290"/>
      <c r="AA564" s="933"/>
      <c r="AB564" s="933"/>
      <c r="AC564" s="933"/>
      <c r="AD564" s="933"/>
    </row>
    <row r="565" customFormat="false" ht="15.75" hidden="false" customHeight="true" outlineLevel="1" collapsed="false">
      <c r="A565" s="1372" t="str">
        <f aca="false">A439</f>
        <v>Стойка каркаса по фронтону, 1 этаж, односкатная кровля, №10</v>
      </c>
      <c r="B565" s="887" t="str">
        <f aca="false">B439</f>
        <v>м.п.</v>
      </c>
      <c r="C565" s="1372" t="n">
        <f aca="false">C439</f>
        <v>0.4</v>
      </c>
      <c r="D565" s="1372" t="n">
        <f aca="false">D439</f>
        <v>0.05</v>
      </c>
      <c r="E565" s="1372" t="n">
        <f aca="false">IF('Ввод данных'!$A$373=связи1!$A$97,IF(дома!E564&lt;связи1!$F$553,0,дома!E564-$F$419),0)+IF(дома!E564=0,0,IF('Ввод данных'!$A$373=связи1!$A$94,IF(дома!E564&lt;0,0,дома!E564-$F$419),0))</f>
        <v>0</v>
      </c>
      <c r="F565" s="1372" t="n">
        <f aca="false">F439</f>
        <v>2</v>
      </c>
      <c r="G565" s="933" t="n">
        <f aca="false">C565*D565*E565*F565</f>
        <v>0</v>
      </c>
      <c r="H565" s="933"/>
      <c r="I565" s="933"/>
      <c r="J565" s="933"/>
      <c r="K565" s="933"/>
      <c r="L565" s="933"/>
      <c r="M565" s="933"/>
      <c r="N565" s="933"/>
      <c r="O565" s="933"/>
      <c r="P565" s="1290"/>
      <c r="Q565" s="1290"/>
      <c r="R565" s="1290"/>
      <c r="S565" s="933"/>
      <c r="T565" s="933"/>
      <c r="U565" s="1329"/>
      <c r="V565" s="933"/>
      <c r="W565" s="933"/>
      <c r="X565" s="933"/>
      <c r="Y565" s="1290"/>
      <c r="Z565" s="1290"/>
      <c r="AA565" s="933"/>
      <c r="AB565" s="933"/>
      <c r="AC565" s="933"/>
      <c r="AD565" s="933"/>
    </row>
    <row r="566" customFormat="false" ht="15.75" hidden="false" customHeight="true" outlineLevel="1" collapsed="false">
      <c r="A566" s="1372" t="str">
        <f aca="false">A440</f>
        <v>Стойка каркаса по фронтону, 1 этаж, односкатная кровля, №11</v>
      </c>
      <c r="B566" s="887" t="str">
        <f aca="false">B440</f>
        <v>м.п.</v>
      </c>
      <c r="C566" s="1372" t="n">
        <f aca="false">C440</f>
        <v>0.4</v>
      </c>
      <c r="D566" s="1372" t="n">
        <f aca="false">D440</f>
        <v>0.05</v>
      </c>
      <c r="E566" s="1372" t="n">
        <f aca="false">IF('Ввод данных'!$A$373=связи1!$A$97,IF(дома!E565&lt;связи1!$F$553,0,дома!E565-$F$419),0)+IF(дома!E565=0,0,IF('Ввод данных'!$A$373=связи1!$A$94,IF(дома!E565&lt;0,0,дома!E565-$F$419),0))</f>
        <v>0</v>
      </c>
      <c r="F566" s="1372" t="n">
        <f aca="false">F440</f>
        <v>2</v>
      </c>
      <c r="G566" s="933" t="n">
        <f aca="false">C566*D566*E566*F566</f>
        <v>0</v>
      </c>
      <c r="H566" s="933"/>
      <c r="I566" s="933"/>
      <c r="J566" s="933"/>
      <c r="K566" s="933"/>
      <c r="L566" s="933"/>
      <c r="M566" s="933"/>
      <c r="N566" s="933"/>
      <c r="O566" s="933"/>
      <c r="P566" s="1290"/>
      <c r="Q566" s="1290"/>
      <c r="R566" s="1290"/>
      <c r="S566" s="933"/>
      <c r="T566" s="933"/>
      <c r="U566" s="1329"/>
      <c r="V566" s="933"/>
      <c r="W566" s="933"/>
      <c r="X566" s="933"/>
      <c r="Y566" s="1290"/>
      <c r="Z566" s="1290"/>
      <c r="AA566" s="933"/>
      <c r="AB566" s="933"/>
      <c r="AC566" s="933"/>
      <c r="AD566" s="933"/>
    </row>
    <row r="567" customFormat="false" ht="15.75" hidden="false" customHeight="true" outlineLevel="1" collapsed="false">
      <c r="A567" s="1372" t="str">
        <f aca="false">A441</f>
        <v>Стойка каркаса по фронтону, 1 этаж, односкатная кровля, №12</v>
      </c>
      <c r="B567" s="887" t="str">
        <f aca="false">B441</f>
        <v>м.п.</v>
      </c>
      <c r="C567" s="1372" t="n">
        <f aca="false">C441</f>
        <v>0.4</v>
      </c>
      <c r="D567" s="1372" t="n">
        <f aca="false">D441</f>
        <v>0.05</v>
      </c>
      <c r="E567" s="1372" t="n">
        <f aca="false">IF('Ввод данных'!$A$373=связи1!$A$97,IF(дома!E566&lt;связи1!$F$553,0,дома!E566-$F$419),0)+IF(дома!E566=0,0,IF('Ввод данных'!$A$373=связи1!$A$94,IF(дома!E566&lt;0,0,дома!E566-$F$419),0))</f>
        <v>0</v>
      </c>
      <c r="F567" s="1372" t="n">
        <f aca="false">F441</f>
        <v>2</v>
      </c>
      <c r="G567" s="933" t="n">
        <f aca="false">C567*D567*E567*F567</f>
        <v>0</v>
      </c>
      <c r="H567" s="933"/>
      <c r="I567" s="933"/>
      <c r="J567" s="933"/>
      <c r="K567" s="933"/>
      <c r="L567" s="933"/>
      <c r="M567" s="933"/>
      <c r="N567" s="933"/>
      <c r="O567" s="933"/>
      <c r="P567" s="1290"/>
      <c r="Q567" s="1290"/>
      <c r="R567" s="1290"/>
      <c r="S567" s="933"/>
      <c r="T567" s="933"/>
      <c r="U567" s="1329"/>
      <c r="V567" s="933"/>
      <c r="W567" s="933"/>
      <c r="X567" s="933"/>
      <c r="Y567" s="1290"/>
      <c r="Z567" s="1290"/>
      <c r="AA567" s="933"/>
      <c r="AB567" s="933"/>
      <c r="AC567" s="933"/>
      <c r="AD567" s="933"/>
    </row>
    <row r="568" customFormat="false" ht="15.75" hidden="false" customHeight="true" outlineLevel="1" collapsed="false">
      <c r="A568" s="1372" t="str">
        <f aca="false">A442</f>
        <v>Стойка каркаса по фронтону, 1 этаж, односкатная кровля, №13</v>
      </c>
      <c r="B568" s="887" t="str">
        <f aca="false">B442</f>
        <v>м.п.</v>
      </c>
      <c r="C568" s="1372" t="n">
        <f aca="false">C442</f>
        <v>0.4</v>
      </c>
      <c r="D568" s="1372" t="n">
        <f aca="false">D442</f>
        <v>0.05</v>
      </c>
      <c r="E568" s="1372" t="n">
        <f aca="false">IF('Ввод данных'!$A$373=связи1!$A$97,IF(дома!E567&lt;связи1!$F$553,0,дома!E567-$F$419),0)+IF(дома!E567=0,0,IF('Ввод данных'!$A$373=связи1!$A$94,IF(дома!E567&lt;0,0,дома!E567-$F$419),0))</f>
        <v>0</v>
      </c>
      <c r="F568" s="1372" t="n">
        <f aca="false">F442</f>
        <v>2</v>
      </c>
      <c r="G568" s="933" t="n">
        <f aca="false">C568*D568*E568*F568</f>
        <v>0</v>
      </c>
      <c r="H568" s="933"/>
      <c r="I568" s="933"/>
      <c r="J568" s="933"/>
      <c r="K568" s="933"/>
      <c r="L568" s="933"/>
      <c r="M568" s="933"/>
      <c r="N568" s="933"/>
      <c r="O568" s="933"/>
      <c r="P568" s="1290"/>
      <c r="Q568" s="1290"/>
      <c r="R568" s="1290"/>
      <c r="S568" s="933"/>
      <c r="T568" s="933"/>
      <c r="U568" s="1329"/>
      <c r="V568" s="933"/>
      <c r="W568" s="933"/>
      <c r="X568" s="933"/>
      <c r="Y568" s="1290"/>
      <c r="Z568" s="1290"/>
      <c r="AA568" s="933"/>
      <c r="AB568" s="933"/>
      <c r="AC568" s="933"/>
      <c r="AD568" s="933"/>
    </row>
    <row r="569" customFormat="false" ht="15.75" hidden="false" customHeight="true" outlineLevel="1" collapsed="false">
      <c r="A569" s="1372" t="str">
        <f aca="false">A443</f>
        <v>Стойка каркаса по фронтону, 1 этаж, односкатная кровля, №14</v>
      </c>
      <c r="B569" s="887" t="str">
        <f aca="false">B443</f>
        <v>м.п.</v>
      </c>
      <c r="C569" s="1372" t="n">
        <f aca="false">C443</f>
        <v>0.4</v>
      </c>
      <c r="D569" s="1372" t="n">
        <f aca="false">D443</f>
        <v>0.05</v>
      </c>
      <c r="E569" s="1372" t="n">
        <f aca="false">IF('Ввод данных'!$A$373=связи1!$A$97,IF(дома!E568&lt;связи1!$F$553,0,дома!E568-$F$419),0)+IF(дома!E568=0,0,IF('Ввод данных'!$A$373=связи1!$A$94,IF(дома!E568&lt;0,0,дома!E568-$F$419),0))</f>
        <v>0</v>
      </c>
      <c r="F569" s="1372" t="n">
        <f aca="false">F443</f>
        <v>2</v>
      </c>
      <c r="G569" s="933" t="n">
        <f aca="false">C569*D569*E569*F569</f>
        <v>0</v>
      </c>
      <c r="H569" s="933"/>
      <c r="I569" s="933"/>
      <c r="J569" s="933"/>
      <c r="K569" s="933"/>
      <c r="L569" s="933"/>
      <c r="M569" s="933"/>
      <c r="N569" s="933"/>
      <c r="O569" s="933"/>
      <c r="P569" s="1290"/>
      <c r="Q569" s="1290"/>
      <c r="R569" s="1290"/>
      <c r="S569" s="933"/>
      <c r="T569" s="933"/>
      <c r="U569" s="1329"/>
      <c r="V569" s="933"/>
      <c r="W569" s="933"/>
      <c r="X569" s="933"/>
      <c r="Y569" s="1290"/>
      <c r="Z569" s="1290"/>
      <c r="AA569" s="933"/>
      <c r="AB569" s="933"/>
      <c r="AC569" s="933"/>
      <c r="AD569" s="933"/>
    </row>
    <row r="570" customFormat="false" ht="15.75" hidden="false" customHeight="true" outlineLevel="1" collapsed="false">
      <c r="A570" s="1372" t="str">
        <f aca="false">A444</f>
        <v>Стойка каркаса по фронтону, 1 этаж, односкатная кровля, №15</v>
      </c>
      <c r="B570" s="887" t="str">
        <f aca="false">B444</f>
        <v>м.п.</v>
      </c>
      <c r="C570" s="1372" t="n">
        <f aca="false">C444</f>
        <v>0.4</v>
      </c>
      <c r="D570" s="1372" t="n">
        <f aca="false">D444</f>
        <v>0.05</v>
      </c>
      <c r="E570" s="1372" t="n">
        <f aca="false">IF('Ввод данных'!$A$373=связи1!$A$97,IF(дома!E569&lt;связи1!$F$553,0,дома!E569-$F$419),0)+IF(дома!E569=0,0,IF('Ввод данных'!$A$373=связи1!$A$94,IF(дома!E569&lt;0,0,дома!E569-$F$419),0))</f>
        <v>0</v>
      </c>
      <c r="F570" s="1372" t="n">
        <f aca="false">F444</f>
        <v>2</v>
      </c>
      <c r="G570" s="933" t="n">
        <f aca="false">C570*D570*E570*F570</f>
        <v>0</v>
      </c>
      <c r="H570" s="933"/>
      <c r="I570" s="933"/>
      <c r="J570" s="933"/>
      <c r="K570" s="933"/>
      <c r="L570" s="933"/>
      <c r="M570" s="933"/>
      <c r="N570" s="933"/>
      <c r="O570" s="933"/>
      <c r="P570" s="1290"/>
      <c r="Q570" s="1290"/>
      <c r="R570" s="1290"/>
      <c r="S570" s="933"/>
      <c r="T570" s="933"/>
      <c r="U570" s="1329"/>
      <c r="V570" s="933"/>
      <c r="W570" s="933"/>
      <c r="X570" s="933"/>
      <c r="Y570" s="1290"/>
      <c r="Z570" s="1290"/>
      <c r="AA570" s="933"/>
      <c r="AB570" s="933"/>
      <c r="AC570" s="933"/>
      <c r="AD570" s="933"/>
    </row>
    <row r="571" customFormat="false" ht="15.75" hidden="false" customHeight="true" outlineLevel="1" collapsed="false">
      <c r="A571" s="1372" t="str">
        <f aca="false">A445</f>
        <v>Стойка каркаса по фронтону, 1 этаж, односкатная кровля, №16</v>
      </c>
      <c r="B571" s="887" t="str">
        <f aca="false">B445</f>
        <v>м.п.</v>
      </c>
      <c r="C571" s="1372" t="n">
        <f aca="false">C445</f>
        <v>0.4</v>
      </c>
      <c r="D571" s="1372" t="n">
        <f aca="false">D445</f>
        <v>0.05</v>
      </c>
      <c r="E571" s="1372" t="n">
        <f aca="false">IF('Ввод данных'!$A$373=связи1!$A$97,IF(дома!E570&lt;связи1!$F$553,0,дома!E570-$F$419),0)+IF(дома!E570=0,0,IF('Ввод данных'!$A$373=связи1!$A$94,IF(дома!E570&lt;0,0,дома!E570-$F$419),0))</f>
        <v>0</v>
      </c>
      <c r="F571" s="1372" t="n">
        <f aca="false">F445</f>
        <v>2</v>
      </c>
      <c r="G571" s="933" t="n">
        <f aca="false">C571*D571*E571*F571</f>
        <v>0</v>
      </c>
      <c r="H571" s="933"/>
      <c r="I571" s="933"/>
      <c r="J571" s="933"/>
      <c r="K571" s="933"/>
      <c r="L571" s="933"/>
      <c r="M571" s="933"/>
      <c r="N571" s="933"/>
      <c r="O571" s="933"/>
      <c r="P571" s="1290"/>
      <c r="Q571" s="1290"/>
      <c r="R571" s="1290"/>
      <c r="S571" s="933"/>
      <c r="T571" s="933"/>
      <c r="U571" s="1329"/>
      <c r="V571" s="933"/>
      <c r="W571" s="933"/>
      <c r="X571" s="933"/>
      <c r="Y571" s="1290"/>
      <c r="Z571" s="1290"/>
      <c r="AA571" s="933"/>
      <c r="AB571" s="933"/>
      <c r="AC571" s="933"/>
      <c r="AD571" s="933"/>
    </row>
    <row r="572" customFormat="false" ht="15.75" hidden="false" customHeight="true" outlineLevel="1" collapsed="false">
      <c r="A572" s="1372" t="str">
        <f aca="false">A446</f>
        <v>Стойка каркаса по фронтону, 1 этаж, односкатная кровля, №17</v>
      </c>
      <c r="B572" s="887" t="str">
        <f aca="false">B446</f>
        <v>м.п.</v>
      </c>
      <c r="C572" s="1372" t="n">
        <f aca="false">C446</f>
        <v>0.4</v>
      </c>
      <c r="D572" s="1372" t="n">
        <f aca="false">D446</f>
        <v>0.05</v>
      </c>
      <c r="E572" s="1372" t="n">
        <f aca="false">IF('Ввод данных'!$A$373=связи1!$A$97,IF(дома!E571&lt;связи1!$F$553,0,дома!E571-$F$419),0)+IF(дома!E571=0,0,IF('Ввод данных'!$A$373=связи1!$A$94,IF(дома!E571&lt;0,0,дома!E571-$F$419),0))</f>
        <v>0</v>
      </c>
      <c r="F572" s="1372" t="n">
        <f aca="false">F446</f>
        <v>2</v>
      </c>
      <c r="G572" s="933" t="n">
        <f aca="false">C572*D572*E572*F572</f>
        <v>0</v>
      </c>
      <c r="H572" s="933"/>
      <c r="I572" s="933"/>
      <c r="J572" s="933"/>
      <c r="K572" s="933"/>
      <c r="L572" s="933"/>
      <c r="M572" s="933"/>
      <c r="N572" s="933"/>
      <c r="O572" s="933"/>
      <c r="P572" s="1290"/>
      <c r="Q572" s="1290"/>
      <c r="R572" s="1290"/>
      <c r="S572" s="933"/>
      <c r="T572" s="933"/>
      <c r="U572" s="1329"/>
      <c r="V572" s="933"/>
      <c r="W572" s="933"/>
      <c r="X572" s="933"/>
      <c r="Y572" s="1290"/>
      <c r="Z572" s="1290"/>
      <c r="AA572" s="933"/>
      <c r="AB572" s="933"/>
      <c r="AC572" s="933"/>
      <c r="AD572" s="933"/>
    </row>
    <row r="573" customFormat="false" ht="15.75" hidden="false" customHeight="true" outlineLevel="1" collapsed="false">
      <c r="A573" s="1372" t="str">
        <f aca="false">A447</f>
        <v>Стойка каркаса по фронтону, 1 этаж, двускатная кровля, №1</v>
      </c>
      <c r="B573" s="887" t="str">
        <f aca="false">B447</f>
        <v>м.п.</v>
      </c>
      <c r="C573" s="1372" t="n">
        <f aca="false">C447</f>
        <v>0.4</v>
      </c>
      <c r="D573" s="1372" t="n">
        <f aca="false">D447</f>
        <v>0.05</v>
      </c>
      <c r="E573" s="1372" t="n">
        <f aca="false">IF('Ввод данных'!A372=связи1!A107,IF('Ввод данных'!A373=связи1!A94,связи1!F554-связи1!F553,0)+IF('Ввод данных'!A373=связи1!A95,0,0)+IF('Ввод данных'!A373=связи1!A96,0,0)+IF('Ввод данных'!A372=связи1!A107,IF('Ввод данных'!A373=связи1!A97,связи1!F554,0),0)+IF('Ввод данных'!A373=связи1!A98,0,0),0)</f>
        <v>1</v>
      </c>
      <c r="F573" s="1372" t="n">
        <f aca="false">F447</f>
        <v>2</v>
      </c>
      <c r="G573" s="933" t="n">
        <f aca="false">C573*D573*E573*F573</f>
        <v>0.04</v>
      </c>
      <c r="H573" s="933"/>
      <c r="I573" s="933"/>
      <c r="J573" s="933"/>
      <c r="K573" s="933"/>
      <c r="L573" s="933"/>
      <c r="M573" s="933"/>
      <c r="N573" s="933"/>
      <c r="O573" s="933"/>
      <c r="P573" s="1290"/>
      <c r="Q573" s="1290"/>
      <c r="R573" s="1290"/>
      <c r="S573" s="933"/>
      <c r="T573" s="933"/>
      <c r="U573" s="1329"/>
      <c r="V573" s="933"/>
      <c r="W573" s="933"/>
      <c r="X573" s="933"/>
      <c r="Y573" s="1290"/>
      <c r="Z573" s="1290"/>
      <c r="AA573" s="933"/>
      <c r="AB573" s="933"/>
      <c r="AC573" s="933"/>
      <c r="AD573" s="933"/>
    </row>
    <row r="574" customFormat="false" ht="15.75" hidden="false" customHeight="true" outlineLevel="1" collapsed="false">
      <c r="A574" s="1372" t="str">
        <f aca="false">A448</f>
        <v>Стойка каркаса по фронтону, 1 этаж, двускатная кровля, №2</v>
      </c>
      <c r="B574" s="887" t="str">
        <f aca="false">B448</f>
        <v>м.п.</v>
      </c>
      <c r="C574" s="1372" t="n">
        <f aca="false">C448</f>
        <v>0.4</v>
      </c>
      <c r="D574" s="1372" t="n">
        <f aca="false">D448</f>
        <v>0.05</v>
      </c>
      <c r="E574" s="1372" t="n">
        <f aca="false">IF('Ввод данных'!$A$373=связи1!$A$97,IF(дома!E573&lt;связи1!$F$553,0,дома!E573-$F$419),0)+IF(дома!E573&lt;=0,0,IF('Ввод данных'!$A$373=связи1!$A$94,IF(дома!E573&lt;0,0,дома!E573-$F$419),0))</f>
        <v>1</v>
      </c>
      <c r="F574" s="1372" t="n">
        <f aca="false">F448</f>
        <v>2</v>
      </c>
      <c r="G574" s="933" t="n">
        <f aca="false">C574*D574*E574*F574</f>
        <v>0.04</v>
      </c>
      <c r="H574" s="933"/>
      <c r="I574" s="933"/>
      <c r="J574" s="933"/>
      <c r="K574" s="933"/>
      <c r="L574" s="933"/>
      <c r="M574" s="933"/>
      <c r="N574" s="933"/>
      <c r="O574" s="933"/>
      <c r="P574" s="1290"/>
      <c r="Q574" s="1290"/>
      <c r="R574" s="1290"/>
      <c r="S574" s="933"/>
      <c r="T574" s="933"/>
      <c r="U574" s="1329"/>
      <c r="V574" s="933"/>
      <c r="W574" s="933"/>
      <c r="X574" s="933"/>
      <c r="Y574" s="1290"/>
      <c r="Z574" s="1290"/>
      <c r="AA574" s="933"/>
      <c r="AB574" s="933"/>
      <c r="AC574" s="933"/>
      <c r="AD574" s="933"/>
    </row>
    <row r="575" customFormat="false" ht="15.75" hidden="false" customHeight="true" outlineLevel="1" collapsed="false">
      <c r="A575" s="1372" t="str">
        <f aca="false">A449</f>
        <v>Стойка каркаса по фронтону, 1 этаж, двускатная кровля, №3</v>
      </c>
      <c r="B575" s="887" t="str">
        <f aca="false">B449</f>
        <v>м.п.</v>
      </c>
      <c r="C575" s="1372" t="n">
        <f aca="false">C449</f>
        <v>0.4</v>
      </c>
      <c r="D575" s="1372" t="n">
        <f aca="false">D449</f>
        <v>0.05</v>
      </c>
      <c r="E575" s="1372" t="n">
        <f aca="false">IF('Ввод данных'!$A$373=связи1!$A$97,IF(дома!E574&lt;связи1!$F$553,0,дома!E574-$F$419),0)+IF(дома!E574&lt;=0,0,IF('Ввод данных'!$A$373=связи1!$A$94,IF(дома!E574&lt;0,0,дома!E574-$F$419),0))</f>
        <v>1</v>
      </c>
      <c r="F575" s="1372" t="n">
        <f aca="false">F449</f>
        <v>2</v>
      </c>
      <c r="G575" s="933" t="n">
        <f aca="false">C575*D575*E575*F575</f>
        <v>0.04</v>
      </c>
      <c r="H575" s="933"/>
      <c r="I575" s="933"/>
      <c r="J575" s="933"/>
      <c r="K575" s="933"/>
      <c r="L575" s="933"/>
      <c r="M575" s="933"/>
      <c r="N575" s="933"/>
      <c r="O575" s="933"/>
      <c r="P575" s="1290"/>
      <c r="Q575" s="1290"/>
      <c r="R575" s="1290"/>
      <c r="S575" s="933"/>
      <c r="T575" s="933"/>
      <c r="U575" s="1329"/>
      <c r="V575" s="933"/>
      <c r="W575" s="933"/>
      <c r="X575" s="933"/>
      <c r="Y575" s="1290"/>
      <c r="Z575" s="1290"/>
      <c r="AA575" s="933"/>
      <c r="AB575" s="933"/>
      <c r="AC575" s="933"/>
      <c r="AD575" s="933"/>
    </row>
    <row r="576" customFormat="false" ht="15.75" hidden="false" customHeight="true" outlineLevel="1" collapsed="false">
      <c r="A576" s="1372" t="str">
        <f aca="false">A450</f>
        <v>Стойка каркаса по фронтону, 1 этаж, двускатная кровля, №4</v>
      </c>
      <c r="B576" s="887" t="str">
        <f aca="false">B450</f>
        <v>м.п.</v>
      </c>
      <c r="C576" s="1372" t="n">
        <f aca="false">C450</f>
        <v>0.4</v>
      </c>
      <c r="D576" s="1372" t="n">
        <f aca="false">D450</f>
        <v>0.05</v>
      </c>
      <c r="E576" s="1372" t="n">
        <f aca="false">IF('Ввод данных'!$A$373=связи1!$A$97,IF(дома!E575&lt;связи1!$F$553,0,дома!E575-$F$419),0)+IF(дома!E575&lt;=0,0,IF('Ввод данных'!$A$373=связи1!$A$94,IF(дома!E575&lt;0,0,дома!E575-$F$419),0))</f>
        <v>1</v>
      </c>
      <c r="F576" s="1372" t="n">
        <f aca="false">F450</f>
        <v>2</v>
      </c>
      <c r="G576" s="933" t="n">
        <f aca="false">C576*D576*E576*F576</f>
        <v>0.04</v>
      </c>
      <c r="H576" s="933"/>
      <c r="I576" s="933"/>
      <c r="J576" s="933"/>
      <c r="K576" s="933"/>
      <c r="L576" s="933"/>
      <c r="M576" s="933"/>
      <c r="N576" s="933"/>
      <c r="O576" s="933"/>
      <c r="P576" s="1290"/>
      <c r="Q576" s="1290"/>
      <c r="R576" s="1290"/>
      <c r="S576" s="933"/>
      <c r="T576" s="933"/>
      <c r="U576" s="1329"/>
      <c r="V576" s="933"/>
      <c r="W576" s="933"/>
      <c r="X576" s="933"/>
      <c r="Y576" s="1290"/>
      <c r="Z576" s="1290"/>
      <c r="AA576" s="933"/>
      <c r="AB576" s="933"/>
      <c r="AC576" s="933"/>
      <c r="AD576" s="933"/>
    </row>
    <row r="577" customFormat="false" ht="15.75" hidden="false" customHeight="true" outlineLevel="1" collapsed="false">
      <c r="A577" s="1372" t="str">
        <f aca="false">A451</f>
        <v>Стойка каркаса по фронтону, 1 этаж, двускатная кровля, №5</v>
      </c>
      <c r="B577" s="887" t="str">
        <f aca="false">B451</f>
        <v>м.п.</v>
      </c>
      <c r="C577" s="1372" t="n">
        <f aca="false">C451</f>
        <v>0.4</v>
      </c>
      <c r="D577" s="1372" t="n">
        <f aca="false">D451</f>
        <v>0.05</v>
      </c>
      <c r="E577" s="1372" t="n">
        <f aca="false">IF('Ввод данных'!$A$373=связи1!$A$97,IF(дома!E576&lt;связи1!$F$553,0,дома!E576-$F$419),0)+IF(дома!E576&lt;=0,0,IF('Ввод данных'!$A$373=связи1!$A$94,IF(дома!E576&lt;0,0,дома!E576-$F$419),0))</f>
        <v>1</v>
      </c>
      <c r="F577" s="1372" t="n">
        <f aca="false">F451</f>
        <v>2</v>
      </c>
      <c r="G577" s="933" t="n">
        <f aca="false">C577*D577*E577*F577</f>
        <v>0.04</v>
      </c>
      <c r="H577" s="933"/>
      <c r="I577" s="933"/>
      <c r="J577" s="933"/>
      <c r="K577" s="933"/>
      <c r="L577" s="933"/>
      <c r="M577" s="933"/>
      <c r="N577" s="933"/>
      <c r="O577" s="933"/>
      <c r="P577" s="1290"/>
      <c r="Q577" s="1290"/>
      <c r="R577" s="1290"/>
      <c r="S577" s="933"/>
      <c r="T577" s="933"/>
      <c r="U577" s="1329"/>
      <c r="V577" s="933"/>
      <c r="W577" s="933"/>
      <c r="X577" s="933"/>
      <c r="Y577" s="1290"/>
      <c r="Z577" s="1290"/>
      <c r="AA577" s="933"/>
      <c r="AB577" s="933"/>
      <c r="AC577" s="933"/>
      <c r="AD577" s="933"/>
    </row>
    <row r="578" customFormat="false" ht="15.75" hidden="false" customHeight="true" outlineLevel="1" collapsed="false">
      <c r="A578" s="1372" t="str">
        <f aca="false">A452</f>
        <v>Стойка каркаса по фронтону, 1 этаж, двускатная кровля, №6</v>
      </c>
      <c r="B578" s="887" t="str">
        <f aca="false">B452</f>
        <v>м.п.</v>
      </c>
      <c r="C578" s="1372" t="n">
        <f aca="false">C452</f>
        <v>0.4</v>
      </c>
      <c r="D578" s="1372" t="n">
        <f aca="false">D452</f>
        <v>0.05</v>
      </c>
      <c r="E578" s="1372" t="n">
        <f aca="false">IF('Ввод данных'!$A$373=связи1!$A$97,IF(дома!E577&lt;связи1!$F$553,0,дома!E577-$F$419),0)+IF(дома!E577&lt;=0,0,IF('Ввод данных'!$A$373=связи1!$A$94,IF(дома!E577&lt;0,0,дома!E577-$F$419),0))</f>
        <v>1</v>
      </c>
      <c r="F578" s="1372" t="n">
        <f aca="false">F452</f>
        <v>2</v>
      </c>
      <c r="G578" s="933" t="n">
        <f aca="false">C578*D578*E578*F578</f>
        <v>0.04</v>
      </c>
      <c r="H578" s="933"/>
      <c r="I578" s="933"/>
      <c r="J578" s="933"/>
      <c r="K578" s="933"/>
      <c r="L578" s="933"/>
      <c r="M578" s="933"/>
      <c r="N578" s="933"/>
      <c r="O578" s="933"/>
      <c r="P578" s="1290"/>
      <c r="Q578" s="1290"/>
      <c r="R578" s="1290"/>
      <c r="S578" s="933"/>
      <c r="T578" s="933"/>
      <c r="U578" s="1329"/>
      <c r="V578" s="933"/>
      <c r="W578" s="933"/>
      <c r="X578" s="933"/>
      <c r="Y578" s="1290"/>
      <c r="Z578" s="1290"/>
      <c r="AA578" s="933"/>
      <c r="AB578" s="933"/>
      <c r="AC578" s="933"/>
      <c r="AD578" s="933"/>
    </row>
    <row r="579" customFormat="false" ht="15.75" hidden="false" customHeight="true" outlineLevel="1" collapsed="false">
      <c r="A579" s="1372" t="str">
        <f aca="false">A453</f>
        <v>Стойка каркаса по фронтону, 1 этаж, двускатная кровля, №7</v>
      </c>
      <c r="B579" s="887" t="str">
        <f aca="false">B453</f>
        <v>м.п.</v>
      </c>
      <c r="C579" s="1372" t="n">
        <f aca="false">C453</f>
        <v>0.4</v>
      </c>
      <c r="D579" s="1372" t="n">
        <f aca="false">D453</f>
        <v>0.05</v>
      </c>
      <c r="E579" s="1372" t="n">
        <f aca="false">IF('Ввод данных'!$A$373=связи1!$A$97,IF(дома!E578&lt;связи1!$F$553,0,дома!E578-$F$419),0)+IF(дома!E578&lt;=0,0,IF('Ввод данных'!$A$373=связи1!$A$94,IF(дома!E578&lt;0,0,дома!E578-$F$419),0))</f>
        <v>1</v>
      </c>
      <c r="F579" s="1372" t="n">
        <f aca="false">F453</f>
        <v>2</v>
      </c>
      <c r="G579" s="933" t="n">
        <f aca="false">C579*D579*E579*F579</f>
        <v>0.04</v>
      </c>
      <c r="H579" s="933"/>
      <c r="I579" s="933"/>
      <c r="J579" s="933"/>
      <c r="K579" s="933"/>
      <c r="L579" s="933"/>
      <c r="M579" s="933"/>
      <c r="N579" s="933"/>
      <c r="O579" s="933"/>
      <c r="P579" s="1290"/>
      <c r="Q579" s="1290"/>
      <c r="R579" s="1290"/>
      <c r="S579" s="933"/>
      <c r="T579" s="933"/>
      <c r="U579" s="1329"/>
      <c r="V579" s="933"/>
      <c r="W579" s="933"/>
      <c r="X579" s="933"/>
      <c r="Y579" s="1290"/>
      <c r="Z579" s="1290"/>
      <c r="AA579" s="933"/>
      <c r="AB579" s="933"/>
      <c r="AC579" s="933"/>
      <c r="AD579" s="933"/>
    </row>
    <row r="580" customFormat="false" ht="15.75" hidden="false" customHeight="true" outlineLevel="1" collapsed="false">
      <c r="A580" s="1372" t="str">
        <f aca="false">A454</f>
        <v>Стойка каркаса по фронтону, 1 этаж, двускатная кровля, №8</v>
      </c>
      <c r="B580" s="887" t="str">
        <f aca="false">B454</f>
        <v>м.п.</v>
      </c>
      <c r="C580" s="1372" t="n">
        <f aca="false">C454</f>
        <v>0.4</v>
      </c>
      <c r="D580" s="1372" t="n">
        <f aca="false">D454</f>
        <v>0.05</v>
      </c>
      <c r="E580" s="1372" t="n">
        <f aca="false">IF('Ввод данных'!$A$373=связи1!$A$97,IF(дома!E579&lt;связи1!$F$553,0,дома!E579-$F$419),0)+IF(дома!E579&lt;=0,0,IF('Ввод данных'!$A$373=связи1!$A$94,IF(дома!E579&lt;0,0,дома!E579-$F$419),0))</f>
        <v>1</v>
      </c>
      <c r="F580" s="1372" t="n">
        <f aca="false">F454</f>
        <v>2</v>
      </c>
      <c r="G580" s="933" t="n">
        <f aca="false">C580*D580*E580*F580</f>
        <v>0.04</v>
      </c>
      <c r="H580" s="933"/>
      <c r="I580" s="933"/>
      <c r="J580" s="933"/>
      <c r="K580" s="933"/>
      <c r="L580" s="933"/>
      <c r="M580" s="933"/>
      <c r="N580" s="933"/>
      <c r="O580" s="933"/>
      <c r="P580" s="1290"/>
      <c r="Q580" s="1290"/>
      <c r="R580" s="1290"/>
      <c r="S580" s="933"/>
      <c r="T580" s="933"/>
      <c r="U580" s="1329"/>
      <c r="V580" s="933"/>
      <c r="W580" s="933"/>
      <c r="X580" s="933"/>
      <c r="Y580" s="1290"/>
      <c r="Z580" s="1290"/>
      <c r="AA580" s="933"/>
      <c r="AB580" s="933"/>
      <c r="AC580" s="933"/>
      <c r="AD580" s="933"/>
    </row>
    <row r="581" customFormat="false" ht="15.75" hidden="false" customHeight="true" outlineLevel="1" collapsed="false">
      <c r="A581" s="1372" t="str">
        <f aca="false">A455</f>
        <v>Стойка каркаса по фронтону, 1 этаж, двускатная кровля, №9</v>
      </c>
      <c r="B581" s="887" t="str">
        <f aca="false">B455</f>
        <v>м.п.</v>
      </c>
      <c r="C581" s="1372" t="n">
        <f aca="false">C455</f>
        <v>0.4</v>
      </c>
      <c r="D581" s="1372" t="n">
        <f aca="false">D455</f>
        <v>0.05</v>
      </c>
      <c r="E581" s="1372" t="n">
        <f aca="false">IF('Ввод данных'!$A$373=связи1!$A$97,IF(дома!E580&lt;связи1!$F$553,0,дома!E580-$F$419),0)+IF(дома!E580&lt;=0,0,IF('Ввод данных'!$A$373=связи1!$A$94,IF(дома!E580&lt;0,0,дома!E580-$F$419),0))</f>
        <v>1</v>
      </c>
      <c r="F581" s="1372" t="n">
        <f aca="false">F455</f>
        <v>2</v>
      </c>
      <c r="G581" s="933" t="n">
        <f aca="false">C581*D581*E581*F581</f>
        <v>0.04</v>
      </c>
      <c r="H581" s="933"/>
      <c r="I581" s="933"/>
      <c r="J581" s="933"/>
      <c r="K581" s="933"/>
      <c r="L581" s="933"/>
      <c r="M581" s="933"/>
      <c r="N581" s="933"/>
      <c r="O581" s="933"/>
      <c r="P581" s="1290"/>
      <c r="Q581" s="1290"/>
      <c r="R581" s="1290"/>
      <c r="S581" s="933"/>
      <c r="T581" s="933"/>
      <c r="U581" s="1329"/>
      <c r="V581" s="933"/>
      <c r="W581" s="933"/>
      <c r="X581" s="933"/>
      <c r="Y581" s="1290"/>
      <c r="Z581" s="1290"/>
      <c r="AA581" s="933"/>
      <c r="AB581" s="933"/>
      <c r="AC581" s="933"/>
      <c r="AD581" s="933"/>
    </row>
    <row r="582" customFormat="false" ht="15.75" hidden="false" customHeight="true" outlineLevel="1" collapsed="false">
      <c r="A582" s="1372" t="str">
        <f aca="false">A456</f>
        <v>Стойка каркаса по фронтону, 1 этаж, двускатная кровля, №10</v>
      </c>
      <c r="B582" s="887" t="str">
        <f aca="false">B456</f>
        <v>м.п.</v>
      </c>
      <c r="C582" s="1372" t="n">
        <f aca="false">C456</f>
        <v>0.4</v>
      </c>
      <c r="D582" s="1372" t="n">
        <f aca="false">D456</f>
        <v>0.05</v>
      </c>
      <c r="E582" s="1372" t="n">
        <f aca="false">IF('Ввод данных'!$A$373=связи1!$A$97,IF(дома!E581&lt;связи1!$F$553,0,дома!E581-$F$419),0)+IF(дома!E581&lt;=0,0,IF('Ввод данных'!$A$373=связи1!$A$94,IF(дома!E581&lt;0,0,дома!E581-$F$419),0))</f>
        <v>1</v>
      </c>
      <c r="F582" s="1372" t="n">
        <f aca="false">F456</f>
        <v>2</v>
      </c>
      <c r="G582" s="933" t="n">
        <f aca="false">C582*D582*E582*F582</f>
        <v>0.04</v>
      </c>
      <c r="H582" s="933"/>
      <c r="I582" s="933"/>
      <c r="J582" s="933"/>
      <c r="K582" s="933"/>
      <c r="L582" s="933"/>
      <c r="M582" s="933"/>
      <c r="N582" s="933"/>
      <c r="O582" s="933"/>
      <c r="P582" s="1290"/>
      <c r="Q582" s="1290"/>
      <c r="R582" s="1290"/>
      <c r="S582" s="933"/>
      <c r="T582" s="933"/>
      <c r="U582" s="1329"/>
      <c r="V582" s="933"/>
      <c r="W582" s="933"/>
      <c r="X582" s="933"/>
      <c r="Y582" s="1290"/>
      <c r="Z582" s="1290"/>
      <c r="AA582" s="933"/>
      <c r="AB582" s="933"/>
      <c r="AC582" s="933"/>
      <c r="AD582" s="933"/>
    </row>
    <row r="583" customFormat="false" ht="15.75" hidden="false" customHeight="true" outlineLevel="1" collapsed="false">
      <c r="A583" s="1372" t="str">
        <f aca="false">A457</f>
        <v>Стойка каркаса по фронтону, 1 этаж, двускатная кровля, №11</v>
      </c>
      <c r="B583" s="887" t="str">
        <f aca="false">B457</f>
        <v>м.п.</v>
      </c>
      <c r="C583" s="1372" t="n">
        <f aca="false">C457</f>
        <v>0.4</v>
      </c>
      <c r="D583" s="1372" t="n">
        <f aca="false">D457</f>
        <v>0.05</v>
      </c>
      <c r="E583" s="1372" t="n">
        <f aca="false">IF('Ввод данных'!$A$373=связи1!$A$97,IF(дома!E582&lt;связи1!$F$553,0,дома!E582-$F$419),0)+IF(дома!E582&lt;=0,0,IF('Ввод данных'!$A$373=связи1!$A$94,IF(дома!E582&lt;0,0,дома!E582-$F$419),0))</f>
        <v>1</v>
      </c>
      <c r="F583" s="1372" t="n">
        <f aca="false">F457</f>
        <v>2</v>
      </c>
      <c r="G583" s="933" t="n">
        <f aca="false">C583*D583*E583*F583</f>
        <v>0.04</v>
      </c>
      <c r="H583" s="933"/>
      <c r="I583" s="933"/>
      <c r="J583" s="933"/>
      <c r="K583" s="933"/>
      <c r="L583" s="933"/>
      <c r="M583" s="933"/>
      <c r="N583" s="933"/>
      <c r="O583" s="933"/>
      <c r="P583" s="1290"/>
      <c r="Q583" s="1290"/>
      <c r="R583" s="1290"/>
      <c r="S583" s="933"/>
      <c r="T583" s="933"/>
      <c r="U583" s="1329"/>
      <c r="V583" s="933"/>
      <c r="W583" s="933"/>
      <c r="X583" s="933"/>
      <c r="Y583" s="1290"/>
      <c r="Z583" s="1290"/>
      <c r="AA583" s="933"/>
      <c r="AB583" s="933"/>
      <c r="AC583" s="933"/>
      <c r="AD583" s="933"/>
    </row>
    <row r="584" customFormat="false" ht="15.75" hidden="false" customHeight="true" outlineLevel="1" collapsed="false">
      <c r="A584" s="1372" t="str">
        <f aca="false">A458</f>
        <v>Стойка каркаса по фронтону, 1 этаж, двускатная кровля, №12</v>
      </c>
      <c r="B584" s="887" t="str">
        <f aca="false">B458</f>
        <v>м.п.</v>
      </c>
      <c r="C584" s="1372" t="n">
        <f aca="false">C458</f>
        <v>0.4</v>
      </c>
      <c r="D584" s="1372" t="n">
        <f aca="false">D458</f>
        <v>0.05</v>
      </c>
      <c r="E584" s="1372" t="n">
        <f aca="false">IF('Ввод данных'!$A$373=связи1!$A$97,IF(дома!E583&lt;связи1!$F$553,0,дома!E583-$F$419),0)+IF(дома!E583&lt;=0,0,IF('Ввод данных'!$A$373=связи1!$A$94,IF(дома!E583&lt;0,0,дома!E583-$F$419),0))</f>
        <v>1</v>
      </c>
      <c r="F584" s="1372" t="n">
        <f aca="false">F458</f>
        <v>2</v>
      </c>
      <c r="G584" s="933" t="n">
        <f aca="false">C584*D584*E584*F584</f>
        <v>0.04</v>
      </c>
      <c r="H584" s="933"/>
      <c r="I584" s="933"/>
      <c r="J584" s="933"/>
      <c r="K584" s="933"/>
      <c r="L584" s="933"/>
      <c r="M584" s="933"/>
      <c r="N584" s="933"/>
      <c r="O584" s="933"/>
      <c r="P584" s="1290"/>
      <c r="Q584" s="1290"/>
      <c r="R584" s="1290"/>
      <c r="S584" s="933"/>
      <c r="T584" s="933"/>
      <c r="U584" s="1329"/>
      <c r="V584" s="933"/>
      <c r="W584" s="933"/>
      <c r="X584" s="933"/>
      <c r="Y584" s="1290"/>
      <c r="Z584" s="1290"/>
      <c r="AA584" s="933"/>
      <c r="AB584" s="933"/>
      <c r="AC584" s="933"/>
      <c r="AD584" s="933"/>
    </row>
    <row r="585" customFormat="false" ht="15.75" hidden="false" customHeight="true" outlineLevel="1" collapsed="false">
      <c r="A585" s="1372" t="str">
        <f aca="false">A459</f>
        <v>Стойка каркаса по фронтону, 1 этаж, двускатная кровля, №13</v>
      </c>
      <c r="B585" s="887" t="str">
        <f aca="false">B459</f>
        <v>м.п.</v>
      </c>
      <c r="C585" s="1372" t="n">
        <f aca="false">C459</f>
        <v>0.4</v>
      </c>
      <c r="D585" s="1372" t="n">
        <f aca="false">D459</f>
        <v>0.05</v>
      </c>
      <c r="E585" s="1372" t="n">
        <f aca="false">IF('Ввод данных'!$A$373=связи1!$A$97,IF(дома!E584&lt;связи1!$F$553,0,дома!E584-$F$419),0)+IF(дома!E584&lt;=0,0,IF('Ввод данных'!$A$373=связи1!$A$94,IF(дома!E584&lt;0,0,дома!E584-$F$419),0))</f>
        <v>1</v>
      </c>
      <c r="F585" s="1372" t="n">
        <f aca="false">F459</f>
        <v>2</v>
      </c>
      <c r="G585" s="933" t="n">
        <f aca="false">C585*D585*E585*F585</f>
        <v>0.04</v>
      </c>
      <c r="H585" s="933"/>
      <c r="I585" s="933"/>
      <c r="J585" s="933"/>
      <c r="K585" s="933"/>
      <c r="L585" s="933"/>
      <c r="M585" s="933"/>
      <c r="N585" s="933"/>
      <c r="O585" s="933"/>
      <c r="P585" s="1290"/>
      <c r="Q585" s="1290"/>
      <c r="R585" s="1290"/>
      <c r="S585" s="933"/>
      <c r="T585" s="933"/>
      <c r="U585" s="1329"/>
      <c r="V585" s="933"/>
      <c r="W585" s="933"/>
      <c r="X585" s="933"/>
      <c r="Y585" s="1290"/>
      <c r="Z585" s="1290"/>
      <c r="AA585" s="933"/>
      <c r="AB585" s="933"/>
      <c r="AC585" s="933"/>
      <c r="AD585" s="933"/>
    </row>
    <row r="586" customFormat="false" ht="15.75" hidden="false" customHeight="true" outlineLevel="1" collapsed="false">
      <c r="A586" s="1372" t="str">
        <f aca="false">A460</f>
        <v>Стойка каркаса по фронтону, 1 этаж, двускатная кровля, №14</v>
      </c>
      <c r="B586" s="887" t="str">
        <f aca="false">B460</f>
        <v>м.п.</v>
      </c>
      <c r="C586" s="1372" t="n">
        <f aca="false">C460</f>
        <v>0.4</v>
      </c>
      <c r="D586" s="1372" t="n">
        <f aca="false">D460</f>
        <v>0.05</v>
      </c>
      <c r="E586" s="1372" t="n">
        <f aca="false">IF('Ввод данных'!$A$373=связи1!$A$97,IF(дома!E585&lt;связи1!$F$553,0,дома!E585-$F$419),0)+IF(дома!E585&lt;=0,0,IF('Ввод данных'!$A$373=связи1!$A$94,IF(дома!E585&lt;0,0,дома!E585-$F$419),0))</f>
        <v>1</v>
      </c>
      <c r="F586" s="1372" t="n">
        <f aca="false">F460</f>
        <v>2</v>
      </c>
      <c r="G586" s="933" t="n">
        <f aca="false">C586*D586*E586*F586</f>
        <v>0.04</v>
      </c>
      <c r="H586" s="933"/>
      <c r="I586" s="933"/>
      <c r="J586" s="933"/>
      <c r="K586" s="933"/>
      <c r="L586" s="933"/>
      <c r="M586" s="933"/>
      <c r="N586" s="933"/>
      <c r="O586" s="933"/>
      <c r="P586" s="1290"/>
      <c r="Q586" s="1290"/>
      <c r="R586" s="1290"/>
      <c r="S586" s="933"/>
      <c r="T586" s="933"/>
      <c r="U586" s="1329"/>
      <c r="V586" s="933"/>
      <c r="W586" s="933"/>
      <c r="X586" s="933"/>
      <c r="Y586" s="1290"/>
      <c r="Z586" s="1290"/>
      <c r="AA586" s="933"/>
      <c r="AB586" s="933"/>
      <c r="AC586" s="933"/>
      <c r="AD586" s="933"/>
    </row>
    <row r="587" customFormat="false" ht="15.75" hidden="false" customHeight="true" outlineLevel="1" collapsed="false">
      <c r="A587" s="1372" t="str">
        <f aca="false">A461</f>
        <v>Стойка каркаса по фронтону, 1 этаж, двускатная кровля, №15</v>
      </c>
      <c r="B587" s="887" t="str">
        <f aca="false">B461</f>
        <v>м.п.</v>
      </c>
      <c r="C587" s="1372" t="n">
        <f aca="false">C461</f>
        <v>0.4</v>
      </c>
      <c r="D587" s="1372" t="n">
        <f aca="false">D461</f>
        <v>0.05</v>
      </c>
      <c r="E587" s="1372" t="n">
        <f aca="false">IF('Ввод данных'!$A$373=связи1!$A$97,IF(дома!E586&lt;связи1!$F$553,0,дома!E586-$F$419),0)+IF(дома!E586&lt;=0,0,IF('Ввод данных'!$A$373=связи1!$A$94,IF(дома!E586&lt;0,0,дома!E586-$F$419),0))</f>
        <v>1</v>
      </c>
      <c r="F587" s="1372" t="n">
        <f aca="false">F461</f>
        <v>2</v>
      </c>
      <c r="G587" s="933" t="n">
        <f aca="false">C587*D587*E587*F587</f>
        <v>0.04</v>
      </c>
      <c r="H587" s="933"/>
      <c r="I587" s="933"/>
      <c r="J587" s="933"/>
      <c r="K587" s="933"/>
      <c r="L587" s="933"/>
      <c r="M587" s="933"/>
      <c r="N587" s="933"/>
      <c r="O587" s="933"/>
      <c r="P587" s="1290"/>
      <c r="Q587" s="1290"/>
      <c r="R587" s="1290"/>
      <c r="S587" s="933"/>
      <c r="T587" s="933"/>
      <c r="U587" s="1329"/>
      <c r="V587" s="933"/>
      <c r="W587" s="933"/>
      <c r="X587" s="933"/>
      <c r="Y587" s="1290"/>
      <c r="Z587" s="1290"/>
      <c r="AA587" s="933"/>
      <c r="AB587" s="933"/>
      <c r="AC587" s="933"/>
      <c r="AD587" s="933"/>
    </row>
    <row r="588" customFormat="false" ht="15.75" hidden="false" customHeight="true" outlineLevel="1" collapsed="false">
      <c r="A588" s="1372" t="str">
        <f aca="false">A462</f>
        <v>Стойка каркаса по фронтону, 1 этаж, двускатная кровля, №16</v>
      </c>
      <c r="B588" s="887" t="str">
        <f aca="false">B462</f>
        <v>м.п.</v>
      </c>
      <c r="C588" s="1372" t="n">
        <f aca="false">C462</f>
        <v>0.4</v>
      </c>
      <c r="D588" s="1372" t="n">
        <f aca="false">D462</f>
        <v>0.05</v>
      </c>
      <c r="E588" s="1372" t="n">
        <f aca="false">IF('Ввод данных'!$A$373=связи1!$A$97,IF(дома!E587&lt;связи1!$F$553,0,дома!E587-$F$419),0)+IF(дома!E587&lt;=0,0,IF('Ввод данных'!$A$373=связи1!$A$94,IF(дома!E587&lt;0,0,дома!E587-$F$419),0))</f>
        <v>1</v>
      </c>
      <c r="F588" s="1372" t="n">
        <f aca="false">F462</f>
        <v>2</v>
      </c>
      <c r="G588" s="933" t="n">
        <f aca="false">C588*D588*E588*F588</f>
        <v>0.04</v>
      </c>
      <c r="H588" s="933"/>
      <c r="I588" s="933"/>
      <c r="J588" s="933"/>
      <c r="K588" s="933"/>
      <c r="L588" s="933"/>
      <c r="M588" s="933"/>
      <c r="N588" s="933"/>
      <c r="O588" s="933"/>
      <c r="P588" s="1290"/>
      <c r="Q588" s="1290"/>
      <c r="R588" s="1290"/>
      <c r="S588" s="933"/>
      <c r="T588" s="933"/>
      <c r="U588" s="1329"/>
      <c r="V588" s="933"/>
      <c r="W588" s="933"/>
      <c r="X588" s="933"/>
      <c r="Y588" s="1290"/>
      <c r="Z588" s="1290"/>
      <c r="AA588" s="933"/>
      <c r="AB588" s="933"/>
      <c r="AC588" s="933"/>
      <c r="AD588" s="933"/>
    </row>
    <row r="589" customFormat="false" ht="15.75" hidden="false" customHeight="true" outlineLevel="1" collapsed="false">
      <c r="A589" s="1372" t="str">
        <f aca="false">A463</f>
        <v>Стойка каркаса по фронтону, 1 этаж, двускатная кровля, №17</v>
      </c>
      <c r="B589" s="887" t="str">
        <f aca="false">B463</f>
        <v>м.п.</v>
      </c>
      <c r="C589" s="1372" t="n">
        <f aca="false">C463</f>
        <v>0.4</v>
      </c>
      <c r="D589" s="1372" t="n">
        <f aca="false">D463</f>
        <v>0.05</v>
      </c>
      <c r="E589" s="1372" t="n">
        <f aca="false">IF('Ввод данных'!$A$373=связи1!$A$97,IF(дома!E588&lt;связи1!$F$553,0,дома!E588-$F$419),0)+IF(дома!E588&lt;=0,0,IF('Ввод данных'!$A$373=связи1!$A$94,IF(дома!E588&lt;0,0,дома!E588-$F$419),0))</f>
        <v>1</v>
      </c>
      <c r="F589" s="1372" t="n">
        <f aca="false">F463</f>
        <v>2</v>
      </c>
      <c r="G589" s="933" t="n">
        <f aca="false">C589*D589*E589*F589</f>
        <v>0.04</v>
      </c>
      <c r="H589" s="933"/>
      <c r="I589" s="933"/>
      <c r="J589" s="933"/>
      <c r="K589" s="933"/>
      <c r="L589" s="933"/>
      <c r="M589" s="933"/>
      <c r="N589" s="933"/>
      <c r="O589" s="933"/>
      <c r="P589" s="1290"/>
      <c r="Q589" s="1290"/>
      <c r="R589" s="1290"/>
      <c r="S589" s="933"/>
      <c r="T589" s="933"/>
      <c r="U589" s="1329"/>
      <c r="V589" s="933"/>
      <c r="W589" s="933"/>
      <c r="X589" s="933"/>
      <c r="Y589" s="1290"/>
      <c r="Z589" s="1290"/>
      <c r="AA589" s="933"/>
      <c r="AB589" s="933"/>
      <c r="AC589" s="933"/>
      <c r="AD589" s="933"/>
    </row>
    <row r="590" customFormat="false" ht="15.75" hidden="false" customHeight="true" outlineLevel="1" collapsed="false">
      <c r="A590" s="1372" t="s">
        <v>3222</v>
      </c>
      <c r="B590" s="887" t="n">
        <f aca="false">B464</f>
        <v>0</v>
      </c>
      <c r="C590" s="887"/>
      <c r="D590" s="933"/>
      <c r="E590" s="933"/>
      <c r="F590" s="1023"/>
      <c r="G590" s="933"/>
      <c r="H590" s="933"/>
      <c r="I590" s="933"/>
      <c r="J590" s="933"/>
      <c r="K590" s="933"/>
      <c r="L590" s="933"/>
      <c r="M590" s="933"/>
      <c r="N590" s="933"/>
      <c r="O590" s="933"/>
      <c r="P590" s="1290"/>
      <c r="Q590" s="1290"/>
      <c r="R590" s="1290"/>
      <c r="S590" s="933"/>
      <c r="T590" s="933"/>
      <c r="U590" s="1329"/>
      <c r="V590" s="933"/>
      <c r="W590" s="933"/>
      <c r="X590" s="933"/>
      <c r="Y590" s="1290"/>
      <c r="Z590" s="1290"/>
      <c r="AA590" s="933"/>
      <c r="AB590" s="933"/>
      <c r="AC590" s="933"/>
      <c r="AD590" s="933"/>
    </row>
    <row r="591" customFormat="false" ht="15.75" hidden="false" customHeight="true" outlineLevel="1" collapsed="false">
      <c r="A591" s="1372" t="s">
        <v>3223</v>
      </c>
      <c r="B591" s="887" t="s">
        <v>156</v>
      </c>
      <c r="C591" s="933" t="n">
        <f aca="false">K399</f>
        <v>0.15</v>
      </c>
      <c r="D591" s="887" t="n">
        <f aca="false">J395</f>
        <v>0.05</v>
      </c>
      <c r="E591" s="933" t="n">
        <f aca="false">E395</f>
        <v>3.2</v>
      </c>
      <c r="F591" s="1023" t="n">
        <f aca="false">CEILING(((C399/G399+1)+(C400/G400+1)*2+(C401/G401+1)*2),1)*IF('Ввод данных'!F458=связи1!A2,1,0)</f>
        <v>0</v>
      </c>
      <c r="G591" s="933" t="n">
        <f aca="false">C591*D591*E591*F591</f>
        <v>0</v>
      </c>
      <c r="H591" s="933"/>
      <c r="I591" s="933"/>
      <c r="J591" s="933"/>
      <c r="K591" s="933"/>
      <c r="L591" s="933"/>
      <c r="M591" s="933"/>
      <c r="N591" s="933"/>
      <c r="O591" s="933"/>
      <c r="P591" s="1290"/>
      <c r="Q591" s="1290"/>
      <c r="R591" s="1290"/>
      <c r="S591" s="933"/>
      <c r="T591" s="933"/>
      <c r="U591" s="1329"/>
      <c r="V591" s="933"/>
      <c r="W591" s="933"/>
      <c r="X591" s="933"/>
      <c r="Y591" s="1290"/>
      <c r="Z591" s="1290"/>
      <c r="AA591" s="933"/>
      <c r="AB591" s="933"/>
      <c r="AC591" s="933"/>
      <c r="AD591" s="933"/>
    </row>
    <row r="592" customFormat="false" ht="15.75" hidden="false" customHeight="true" outlineLevel="1" collapsed="false">
      <c r="A592" s="1372" t="s">
        <v>3224</v>
      </c>
      <c r="B592" s="887" t="s">
        <v>156</v>
      </c>
      <c r="C592" s="933" t="n">
        <f aca="false">K400</f>
        <v>0.15</v>
      </c>
      <c r="D592" s="887" t="n">
        <f aca="false">J396</f>
        <v>0.05</v>
      </c>
      <c r="E592" s="933" t="n">
        <f aca="false">(C395+C396*2+C397*2)*1.1</f>
        <v>0</v>
      </c>
      <c r="F592" s="1023" t="n">
        <f aca="false">1*IF('Ввод данных'!F458=связи1!A2,1,0)</f>
        <v>0</v>
      </c>
      <c r="G592" s="933" t="n">
        <f aca="false">C592*D592*E592*F592</f>
        <v>0</v>
      </c>
      <c r="H592" s="933"/>
      <c r="I592" s="933"/>
      <c r="J592" s="933"/>
      <c r="K592" s="933"/>
      <c r="L592" s="933"/>
      <c r="M592" s="933"/>
      <c r="N592" s="933"/>
      <c r="O592" s="933"/>
      <c r="P592" s="1290"/>
      <c r="Q592" s="1290"/>
      <c r="R592" s="1290"/>
      <c r="S592" s="933"/>
      <c r="T592" s="933"/>
      <c r="U592" s="1329"/>
      <c r="V592" s="933"/>
      <c r="W592" s="933"/>
      <c r="X592" s="933"/>
      <c r="Y592" s="1290"/>
      <c r="Z592" s="1290"/>
      <c r="AA592" s="933"/>
      <c r="AB592" s="933"/>
      <c r="AC592" s="933"/>
      <c r="AD592" s="933"/>
    </row>
    <row r="593" customFormat="false" ht="15.75" hidden="false" customHeight="true" outlineLevel="1" collapsed="false">
      <c r="A593" s="1372" t="s">
        <v>3225</v>
      </c>
      <c r="B593" s="887" t="s">
        <v>156</v>
      </c>
      <c r="C593" s="933" t="n">
        <f aca="false">K401</f>
        <v>0.15</v>
      </c>
      <c r="D593" s="887" t="n">
        <f aca="false">J397</f>
        <v>0.05</v>
      </c>
      <c r="E593" s="933" t="n">
        <f aca="false">E592</f>
        <v>0</v>
      </c>
      <c r="F593" s="1023" t="n">
        <f aca="false">1*IF('Ввод данных'!F458=связи1!A2,1,0)</f>
        <v>0</v>
      </c>
      <c r="G593" s="933" t="n">
        <f aca="false">C593*D593*E593*F593</f>
        <v>0</v>
      </c>
      <c r="H593" s="933"/>
      <c r="I593" s="933"/>
      <c r="J593" s="933"/>
      <c r="K593" s="933"/>
      <c r="L593" s="933"/>
      <c r="M593" s="933"/>
      <c r="N593" s="933"/>
      <c r="O593" s="933"/>
      <c r="P593" s="1290"/>
      <c r="Q593" s="1290"/>
      <c r="R593" s="1290"/>
      <c r="S593" s="933"/>
      <c r="T593" s="933"/>
      <c r="U593" s="1329"/>
      <c r="V593" s="933"/>
      <c r="W593" s="933"/>
      <c r="X593" s="933"/>
      <c r="Y593" s="1290"/>
      <c r="Z593" s="1290"/>
      <c r="AA593" s="933"/>
      <c r="AB593" s="933"/>
      <c r="AC593" s="933"/>
      <c r="AD593" s="933"/>
    </row>
    <row r="594" customFormat="false" ht="15.75" hidden="false" customHeight="true" outlineLevel="1" collapsed="false">
      <c r="A594" s="1372" t="str">
        <f aca="false">A591</f>
        <v>Стойка каркаса 1 этаж</v>
      </c>
      <c r="B594" s="887" t="str">
        <f aca="false">B591</f>
        <v>м.п.</v>
      </c>
      <c r="C594" s="1219" t="n">
        <f aca="false">C591</f>
        <v>0.15</v>
      </c>
      <c r="D594" s="1219" t="n">
        <f aca="false">D591</f>
        <v>0.05</v>
      </c>
      <c r="E594" s="1219" t="n">
        <f aca="false">E591</f>
        <v>3.2</v>
      </c>
      <c r="F594" s="1219" t="n">
        <f aca="false">CEILING(((C399/G399+1)+(C400/G400+1)*2+(C401/G401+1)*2),1)*IF('Ввод данных'!C424=2,1,0)*IF('Ввод данных'!F458=связи1!A2,1,0)</f>
        <v>0</v>
      </c>
      <c r="G594" s="1219" t="n">
        <f aca="false">G591</f>
        <v>0</v>
      </c>
      <c r="H594" s="1219"/>
      <c r="I594" s="933"/>
      <c r="J594" s="933"/>
      <c r="K594" s="933"/>
      <c r="L594" s="933"/>
      <c r="M594" s="933"/>
      <c r="N594" s="933"/>
      <c r="O594" s="933"/>
      <c r="P594" s="1290"/>
      <c r="Q594" s="1290"/>
      <c r="R594" s="1290"/>
      <c r="S594" s="933"/>
      <c r="T594" s="933"/>
      <c r="U594" s="1329"/>
      <c r="V594" s="933"/>
      <c r="W594" s="933"/>
      <c r="X594" s="933"/>
      <c r="Y594" s="1290"/>
      <c r="Z594" s="1290"/>
      <c r="AA594" s="933"/>
      <c r="AB594" s="933"/>
      <c r="AC594" s="933"/>
      <c r="AD594" s="933"/>
    </row>
    <row r="595" customFormat="false" ht="15.75" hidden="false" customHeight="true" outlineLevel="1" collapsed="false">
      <c r="A595" s="1372" t="str">
        <f aca="false">A592</f>
        <v>Обвязка нижняя/верхняя стен каркаса 1 этаж</v>
      </c>
      <c r="B595" s="887" t="str">
        <f aca="false">B592</f>
        <v>м.п.</v>
      </c>
      <c r="C595" s="1219" t="n">
        <f aca="false">C592</f>
        <v>0.15</v>
      </c>
      <c r="D595" s="1219" t="n">
        <f aca="false">D592</f>
        <v>0.05</v>
      </c>
      <c r="E595" s="1219" t="n">
        <f aca="false">E592</f>
        <v>0</v>
      </c>
      <c r="F595" s="1219" t="n">
        <f aca="false">1*IF('Ввод данных'!C424=2,1,0)*IF('Ввод данных'!F458=связи1!A2,1,0)</f>
        <v>0</v>
      </c>
      <c r="G595" s="1219" t="n">
        <f aca="false">G592</f>
        <v>0</v>
      </c>
      <c r="H595" s="1219"/>
      <c r="I595" s="933"/>
      <c r="J595" s="933"/>
      <c r="K595" s="933"/>
      <c r="L595" s="933"/>
      <c r="M595" s="933"/>
      <c r="N595" s="933"/>
      <c r="O595" s="933"/>
      <c r="P595" s="1290"/>
      <c r="Q595" s="1290"/>
      <c r="R595" s="1290"/>
      <c r="S595" s="933"/>
      <c r="T595" s="933"/>
      <c r="U595" s="1329"/>
      <c r="V595" s="933"/>
      <c r="W595" s="933"/>
      <c r="X595" s="933"/>
      <c r="Y595" s="1290"/>
      <c r="Z595" s="1290"/>
      <c r="AA595" s="933"/>
      <c r="AB595" s="933"/>
      <c r="AC595" s="933"/>
      <c r="AD595" s="933"/>
    </row>
    <row r="596" customFormat="false" ht="15.75" hidden="false" customHeight="true" outlineLevel="1" collapsed="false">
      <c r="A596" s="1372" t="str">
        <f aca="false">A593</f>
        <v>Ригель каркаса, 1 этаж</v>
      </c>
      <c r="B596" s="887" t="str">
        <f aca="false">B593</f>
        <v>м.п.</v>
      </c>
      <c r="C596" s="1219" t="n">
        <f aca="false">C593</f>
        <v>0.15</v>
      </c>
      <c r="D596" s="1219" t="n">
        <f aca="false">D593</f>
        <v>0.05</v>
      </c>
      <c r="E596" s="1219" t="n">
        <f aca="false">E593</f>
        <v>0</v>
      </c>
      <c r="F596" s="1219" t="n">
        <f aca="false">1*IF('Ввод данных'!C424=2,1,0)*IF('Ввод данных'!F458=связи1!A2,1,0)</f>
        <v>0</v>
      </c>
      <c r="G596" s="1219" t="n">
        <f aca="false">G593</f>
        <v>0</v>
      </c>
      <c r="H596" s="1219"/>
      <c r="I596" s="933"/>
      <c r="J596" s="933"/>
      <c r="K596" s="933"/>
      <c r="L596" s="933"/>
      <c r="M596" s="933"/>
      <c r="N596" s="933"/>
      <c r="O596" s="933"/>
      <c r="P596" s="1290"/>
      <c r="Q596" s="1290"/>
      <c r="R596" s="1290"/>
      <c r="S596" s="933"/>
      <c r="T596" s="933"/>
      <c r="U596" s="1329"/>
      <c r="V596" s="933"/>
      <c r="W596" s="933"/>
      <c r="X596" s="933"/>
      <c r="Y596" s="1290"/>
      <c r="Z596" s="1290"/>
      <c r="AA596" s="933"/>
      <c r="AB596" s="933"/>
      <c r="AC596" s="933"/>
      <c r="AD596" s="933"/>
    </row>
    <row r="597" customFormat="false" ht="15.75" hidden="false" customHeight="true" outlineLevel="1" collapsed="false">
      <c r="A597" s="1372"/>
      <c r="B597" s="1375"/>
      <c r="C597" s="887"/>
      <c r="D597" s="933"/>
      <c r="E597" s="933"/>
      <c r="F597" s="1023"/>
      <c r="G597" s="933"/>
      <c r="H597" s="933"/>
      <c r="I597" s="933"/>
      <c r="J597" s="933"/>
      <c r="K597" s="933"/>
      <c r="L597" s="933"/>
      <c r="M597" s="933"/>
      <c r="N597" s="933"/>
      <c r="O597" s="933"/>
      <c r="P597" s="1290"/>
      <c r="Q597" s="1290"/>
      <c r="R597" s="1290"/>
      <c r="S597" s="933"/>
      <c r="T597" s="933"/>
      <c r="U597" s="1329"/>
      <c r="V597" s="933"/>
      <c r="W597" s="933"/>
      <c r="X597" s="933"/>
      <c r="Y597" s="1290"/>
      <c r="Z597" s="1290"/>
      <c r="AA597" s="933"/>
      <c r="AB597" s="933"/>
      <c r="AC597" s="933"/>
      <c r="AD597" s="933"/>
    </row>
    <row r="598" s="1371" customFormat="true" ht="15.75" hidden="false" customHeight="true" outlineLevel="1" collapsed="false">
      <c r="A598" s="1392" t="s">
        <v>3226</v>
      </c>
      <c r="B598" s="1393"/>
      <c r="C598" s="1394"/>
      <c r="D598" s="1395"/>
      <c r="E598" s="1396"/>
      <c r="F598" s="1396" t="n">
        <f aca="false">пристройка!R89</f>
        <v>0</v>
      </c>
      <c r="G598" s="1395"/>
      <c r="H598" s="1395"/>
      <c r="I598" s="1395"/>
      <c r="J598" s="1395"/>
      <c r="K598" s="1395"/>
      <c r="L598" s="1395"/>
      <c r="M598" s="1395"/>
      <c r="N598" s="1395"/>
      <c r="O598" s="1368" t="n">
        <f aca="false">SUM(O124:O402)</f>
        <v>21.645</v>
      </c>
      <c r="P598" s="1314"/>
      <c r="Q598" s="1314"/>
      <c r="R598" s="1314"/>
      <c r="S598" s="1368"/>
      <c r="T598" s="1368" t="n">
        <f aca="false">T379+T384+T389+T394+T398+T402</f>
        <v>0</v>
      </c>
      <c r="U598" s="1370"/>
      <c r="V598" s="1368" t="n">
        <f aca="false">SUM(V124:V401)</f>
        <v>0.045</v>
      </c>
      <c r="W598" s="1368"/>
      <c r="X598" s="1368"/>
      <c r="Y598" s="1314" t="n">
        <f aca="false">SUM(Y124:Y401)</f>
        <v>0.402</v>
      </c>
      <c r="Z598" s="1314"/>
      <c r="AA598" s="1368" t="n">
        <f aca="false">SUM(AA124:AA402)</f>
        <v>0.3</v>
      </c>
      <c r="AB598" s="1368"/>
      <c r="AC598" s="1368"/>
      <c r="AD598" s="1368" t="n">
        <f aca="false">SUM(AD124:AD402)</f>
        <v>0.03405</v>
      </c>
      <c r="AE598" s="1371" t="n">
        <f aca="false">O598+T598+V598+Y598+AA598+AD598</f>
        <v>22.42605</v>
      </c>
    </row>
    <row r="599" s="1371" customFormat="true" ht="15.75" hidden="false" customHeight="true" outlineLevel="1" collapsed="false">
      <c r="A599" s="1392" t="s">
        <v>3227</v>
      </c>
      <c r="B599" s="1393"/>
      <c r="C599" s="1394"/>
      <c r="D599" s="1395"/>
      <c r="E599" s="1396"/>
      <c r="F599" s="1396" t="n">
        <f aca="false">пристройка!R91</f>
        <v>0</v>
      </c>
      <c r="G599" s="1395"/>
      <c r="H599" s="1395"/>
      <c r="I599" s="1395"/>
      <c r="J599" s="1395"/>
      <c r="K599" s="1395"/>
      <c r="L599" s="1395"/>
      <c r="M599" s="1395"/>
      <c r="N599" s="1395"/>
      <c r="O599" s="1368"/>
      <c r="P599" s="1314"/>
      <c r="Q599" s="1314"/>
      <c r="R599" s="1314"/>
      <c r="S599" s="1368"/>
      <c r="T599" s="1368"/>
      <c r="U599" s="1370"/>
      <c r="V599" s="1368"/>
      <c r="W599" s="1368"/>
      <c r="X599" s="1368"/>
      <c r="Y599" s="1314"/>
      <c r="Z599" s="1314"/>
      <c r="AA599" s="1368"/>
      <c r="AB599" s="1368"/>
      <c r="AC599" s="1368"/>
      <c r="AD599" s="1368"/>
    </row>
    <row r="600" s="1371" customFormat="true" ht="15.75" hidden="false" customHeight="true" outlineLevel="1" collapsed="false">
      <c r="A600" s="1392" t="s">
        <v>3228</v>
      </c>
      <c r="B600" s="1393"/>
      <c r="C600" s="1394"/>
      <c r="D600" s="1395"/>
      <c r="E600" s="1396"/>
      <c r="F600" s="1396" t="n">
        <f aca="false">пристройка!R92</f>
        <v>0</v>
      </c>
      <c r="G600" s="1395"/>
      <c r="H600" s="1395"/>
      <c r="I600" s="1395"/>
      <c r="J600" s="1395"/>
      <c r="K600" s="1395"/>
      <c r="L600" s="1395"/>
      <c r="M600" s="1395"/>
      <c r="N600" s="1395"/>
      <c r="O600" s="1368"/>
      <c r="P600" s="1314"/>
      <c r="Q600" s="1314"/>
      <c r="R600" s="1314"/>
      <c r="S600" s="1368"/>
      <c r="T600" s="1368"/>
      <c r="U600" s="1370"/>
      <c r="V600" s="1368"/>
      <c r="W600" s="1368"/>
      <c r="X600" s="1368"/>
      <c r="Y600" s="1314"/>
      <c r="Z600" s="1314"/>
      <c r="AA600" s="1368"/>
      <c r="AB600" s="1368"/>
      <c r="AC600" s="1368"/>
      <c r="AD600" s="1368"/>
    </row>
    <row r="601" s="1371" customFormat="true" ht="15.75" hidden="false" customHeight="true" outlineLevel="1" collapsed="false">
      <c r="A601" s="1392" t="s">
        <v>2780</v>
      </c>
      <c r="B601" s="1393"/>
      <c r="C601" s="1394"/>
      <c r="D601" s="1395"/>
      <c r="E601" s="1396"/>
      <c r="F601" s="1396" t="n">
        <f aca="false">пристройка!R87</f>
        <v>0</v>
      </c>
      <c r="G601" s="1395"/>
      <c r="H601" s="1395"/>
      <c r="I601" s="1395"/>
      <c r="J601" s="1395"/>
      <c r="K601" s="1395"/>
      <c r="L601" s="1395"/>
      <c r="M601" s="1395"/>
      <c r="N601" s="1395"/>
      <c r="O601" s="1368"/>
      <c r="P601" s="1314"/>
      <c r="Q601" s="1314"/>
      <c r="R601" s="1314"/>
      <c r="S601" s="1368"/>
      <c r="T601" s="1368"/>
      <c r="U601" s="1370"/>
      <c r="V601" s="1368"/>
      <c r="W601" s="1368"/>
      <c r="X601" s="1368"/>
      <c r="Y601" s="1314"/>
      <c r="Z601" s="1314"/>
      <c r="AA601" s="1368"/>
      <c r="AB601" s="1368"/>
      <c r="AC601" s="1368"/>
      <c r="AD601" s="1368"/>
    </row>
    <row r="602" s="1371" customFormat="true" ht="15.75" hidden="false" customHeight="true" outlineLevel="1" collapsed="false">
      <c r="A602" s="1392" t="s">
        <v>3229</v>
      </c>
      <c r="B602" s="1393"/>
      <c r="C602" s="1394"/>
      <c r="D602" s="1395"/>
      <c r="E602" s="1396"/>
      <c r="F602" s="1397" t="n">
        <f aca="false">F598+F599+F601+F600</f>
        <v>0</v>
      </c>
      <c r="G602" s="1395" t="s">
        <v>3230</v>
      </c>
      <c r="H602" s="1395"/>
      <c r="I602" s="1395" t="n">
        <f aca="false">пристройка!R97</f>
        <v>0</v>
      </c>
      <c r="J602" s="1395"/>
      <c r="K602" s="1395"/>
      <c r="L602" s="1395"/>
      <c r="M602" s="1395"/>
      <c r="N602" s="1395"/>
      <c r="O602" s="1368"/>
      <c r="P602" s="1314"/>
      <c r="Q602" s="1314"/>
      <c r="R602" s="1314"/>
      <c r="S602" s="1368"/>
      <c r="T602" s="1368"/>
      <c r="U602" s="1370"/>
      <c r="V602" s="1368"/>
      <c r="W602" s="1368"/>
      <c r="X602" s="1368"/>
      <c r="Y602" s="1314"/>
      <c r="Z602" s="1314"/>
      <c r="AA602" s="1368"/>
      <c r="AB602" s="1368"/>
      <c r="AC602" s="1368"/>
      <c r="AD602" s="1368"/>
    </row>
    <row r="603" s="1371" customFormat="true" ht="15.75" hidden="false" customHeight="true" outlineLevel="1" collapsed="false">
      <c r="A603" s="1392" t="s">
        <v>3231</v>
      </c>
      <c r="B603" s="1393"/>
      <c r="C603" s="1394"/>
      <c r="D603" s="1395"/>
      <c r="E603" s="1396"/>
      <c r="F603" s="1396" t="n">
        <f aca="false">F598+F601</f>
        <v>0</v>
      </c>
      <c r="G603" s="1395"/>
      <c r="H603" s="1395"/>
      <c r="I603" s="1395"/>
      <c r="J603" s="1395"/>
      <c r="K603" s="1395"/>
      <c r="L603" s="1395"/>
      <c r="M603" s="1395"/>
      <c r="N603" s="1395"/>
      <c r="O603" s="1368"/>
      <c r="P603" s="1314"/>
      <c r="Q603" s="1314"/>
      <c r="R603" s="1314"/>
      <c r="S603" s="1368"/>
      <c r="T603" s="1368"/>
      <c r="U603" s="1370"/>
      <c r="V603" s="1368"/>
      <c r="W603" s="1368"/>
      <c r="X603" s="1368"/>
      <c r="Y603" s="1314"/>
      <c r="Z603" s="1314"/>
      <c r="AA603" s="1368"/>
      <c r="AB603" s="1368"/>
      <c r="AC603" s="1368"/>
      <c r="AD603" s="1368"/>
    </row>
    <row r="604" s="1371" customFormat="true" ht="15.75" hidden="false" customHeight="true" outlineLevel="1" collapsed="false">
      <c r="A604" s="1398" t="s">
        <v>3232</v>
      </c>
      <c r="B604" s="1399"/>
      <c r="C604" s="1400"/>
      <c r="D604" s="1398"/>
      <c r="E604" s="1401"/>
      <c r="F604" s="1401" t="n">
        <f aca="false">C1251*D1229</f>
        <v>0</v>
      </c>
      <c r="G604" s="1398"/>
      <c r="H604" s="1398"/>
      <c r="I604" s="1398"/>
      <c r="J604" s="1398"/>
      <c r="K604" s="1398"/>
      <c r="L604" s="1398"/>
      <c r="M604" s="1398"/>
      <c r="N604" s="1398"/>
      <c r="O604" s="1368"/>
      <c r="P604" s="1314"/>
      <c r="Q604" s="1314"/>
      <c r="R604" s="1314"/>
      <c r="S604" s="1368"/>
      <c r="T604" s="1368"/>
      <c r="U604" s="1370"/>
      <c r="V604" s="1368"/>
      <c r="W604" s="1368"/>
      <c r="X604" s="1368"/>
      <c r="Y604" s="1314"/>
      <c r="Z604" s="1314"/>
      <c r="AA604" s="1368"/>
      <c r="AB604" s="1368"/>
      <c r="AC604" s="1368"/>
      <c r="AD604" s="1368"/>
    </row>
    <row r="605" s="1371" customFormat="true" ht="15.75" hidden="false" customHeight="true" outlineLevel="1" collapsed="false">
      <c r="A605" s="1398" t="s">
        <v>3233</v>
      </c>
      <c r="B605" s="1399"/>
      <c r="C605" s="1400"/>
      <c r="D605" s="1398"/>
      <c r="E605" s="1401"/>
      <c r="F605" s="1401" t="n">
        <f aca="false">C1255*D1229</f>
        <v>0</v>
      </c>
      <c r="G605" s="1398"/>
      <c r="H605" s="1398"/>
      <c r="I605" s="1398"/>
      <c r="J605" s="1398"/>
      <c r="K605" s="1398"/>
      <c r="L605" s="1398"/>
      <c r="M605" s="1398"/>
      <c r="N605" s="1398"/>
      <c r="O605" s="1368"/>
      <c r="P605" s="1314"/>
      <c r="Q605" s="1314"/>
      <c r="R605" s="1314"/>
      <c r="S605" s="1368"/>
      <c r="T605" s="1368"/>
      <c r="U605" s="1370"/>
      <c r="V605" s="1368"/>
      <c r="W605" s="1368"/>
      <c r="X605" s="1368"/>
      <c r="Y605" s="1314"/>
      <c r="Z605" s="1314"/>
      <c r="AA605" s="1368"/>
      <c r="AB605" s="1368"/>
      <c r="AC605" s="1368"/>
      <c r="AD605" s="1368"/>
    </row>
    <row r="606" s="1371" customFormat="true" ht="15.75" hidden="false" customHeight="true" outlineLevel="1" collapsed="false">
      <c r="A606" s="1398" t="s">
        <v>3234</v>
      </c>
      <c r="B606" s="1399"/>
      <c r="C606" s="1400"/>
      <c r="D606" s="1398"/>
      <c r="E606" s="1401"/>
      <c r="F606" s="1401" t="n">
        <f aca="false">C1256*D1229</f>
        <v>0</v>
      </c>
      <c r="G606" s="1398"/>
      <c r="H606" s="1398"/>
      <c r="I606" s="1398"/>
      <c r="J606" s="1398"/>
      <c r="K606" s="1398"/>
      <c r="L606" s="1398"/>
      <c r="M606" s="1398"/>
      <c r="N606" s="1398"/>
      <c r="O606" s="1368"/>
      <c r="P606" s="1314"/>
      <c r="Q606" s="1314"/>
      <c r="R606" s="1314"/>
      <c r="S606" s="1368"/>
      <c r="T606" s="1368"/>
      <c r="U606" s="1370"/>
      <c r="V606" s="1368"/>
      <c r="W606" s="1368"/>
      <c r="X606" s="1368"/>
      <c r="Y606" s="1314"/>
      <c r="Z606" s="1314"/>
      <c r="AA606" s="1368"/>
      <c r="AB606" s="1368"/>
      <c r="AC606" s="1368"/>
      <c r="AD606" s="1368"/>
    </row>
    <row r="607" s="1371" customFormat="true" ht="15.75" hidden="false" customHeight="true" outlineLevel="1" collapsed="false">
      <c r="A607" s="1398" t="s">
        <v>3235</v>
      </c>
      <c r="B607" s="1399"/>
      <c r="C607" s="1400"/>
      <c r="D607" s="1398"/>
      <c r="E607" s="1401"/>
      <c r="F607" s="1397" t="n">
        <f aca="false">F604+F605+F606</f>
        <v>0</v>
      </c>
      <c r="G607" s="1398" t="s">
        <v>3236</v>
      </c>
      <c r="H607" s="1398"/>
      <c r="I607" s="1398" t="n">
        <f aca="false">C1252*D1229</f>
        <v>0</v>
      </c>
      <c r="J607" s="1398"/>
      <c r="K607" s="1398"/>
      <c r="L607" s="1398"/>
      <c r="M607" s="1398"/>
      <c r="N607" s="1398"/>
      <c r="O607" s="1368"/>
      <c r="P607" s="1314"/>
      <c r="Q607" s="1314"/>
      <c r="R607" s="1314"/>
      <c r="S607" s="1368"/>
      <c r="T607" s="1368"/>
      <c r="U607" s="1370"/>
      <c r="V607" s="1368"/>
      <c r="W607" s="1368"/>
      <c r="X607" s="1368"/>
      <c r="Y607" s="1314"/>
      <c r="Z607" s="1314"/>
      <c r="AA607" s="1368"/>
      <c r="AB607" s="1368"/>
      <c r="AC607" s="1368"/>
      <c r="AD607" s="1368"/>
    </row>
    <row r="608" s="1371" customFormat="true" ht="15.75" hidden="false" customHeight="true" outlineLevel="1" collapsed="false">
      <c r="A608" s="1398" t="s">
        <v>3231</v>
      </c>
      <c r="B608" s="1399"/>
      <c r="C608" s="1400"/>
      <c r="D608" s="1398"/>
      <c r="E608" s="1401"/>
      <c r="F608" s="1401" t="n">
        <f aca="false">C1251*D1229</f>
        <v>0</v>
      </c>
      <c r="G608" s="1398"/>
      <c r="H608" s="1398"/>
      <c r="I608" s="1398"/>
      <c r="J608" s="1398"/>
      <c r="K608" s="1398"/>
      <c r="L608" s="1398"/>
      <c r="M608" s="1398"/>
      <c r="N608" s="1398"/>
      <c r="O608" s="1368"/>
      <c r="P608" s="1314"/>
      <c r="Q608" s="1314"/>
      <c r="R608" s="1314"/>
      <c r="S608" s="1368"/>
      <c r="T608" s="1368"/>
      <c r="U608" s="1370"/>
      <c r="V608" s="1368"/>
      <c r="W608" s="1368"/>
      <c r="X608" s="1368"/>
      <c r="Y608" s="1314"/>
      <c r="Z608" s="1314"/>
      <c r="AA608" s="1368"/>
      <c r="AB608" s="1368"/>
      <c r="AC608" s="1368"/>
      <c r="AD608" s="1368"/>
    </row>
    <row r="609" s="1371" customFormat="true" ht="15.75" hidden="false" customHeight="true" outlineLevel="1" collapsed="false">
      <c r="A609" s="1402" t="s">
        <v>3237</v>
      </c>
      <c r="B609" s="1403"/>
      <c r="C609" s="1404"/>
      <c r="D609" s="1405"/>
      <c r="E609" s="1406"/>
      <c r="F609" s="1406" t="n">
        <f aca="false">F124+F127+F128+F129</f>
        <v>0</v>
      </c>
      <c r="G609" s="1405"/>
      <c r="H609" s="1405"/>
      <c r="I609" s="1405"/>
      <c r="J609" s="1405"/>
      <c r="K609" s="1405"/>
      <c r="L609" s="1405"/>
      <c r="M609" s="1405"/>
      <c r="N609" s="1405"/>
      <c r="O609" s="1368"/>
      <c r="P609" s="1314"/>
      <c r="Q609" s="1314"/>
      <c r="R609" s="1314"/>
      <c r="S609" s="1368"/>
      <c r="T609" s="1368"/>
      <c r="U609" s="1370"/>
      <c r="V609" s="1368"/>
      <c r="W609" s="1368"/>
      <c r="X609" s="1368"/>
      <c r="Y609" s="1314"/>
      <c r="Z609" s="1314"/>
      <c r="AA609" s="1368"/>
      <c r="AB609" s="1368"/>
      <c r="AC609" s="1368"/>
      <c r="AD609" s="1368"/>
    </row>
    <row r="610" s="1371" customFormat="true" ht="15.75" hidden="false" customHeight="true" outlineLevel="1" collapsed="false">
      <c r="A610" s="1402" t="s">
        <v>3238</v>
      </c>
      <c r="B610" s="1403"/>
      <c r="C610" s="1404"/>
      <c r="D610" s="1405"/>
      <c r="E610" s="1406"/>
      <c r="F610" s="1406" t="n">
        <f aca="false">F375+F376+F377+F378+F385+F386+F387+F388</f>
        <v>0</v>
      </c>
      <c r="G610" s="1405"/>
      <c r="H610" s="1405"/>
      <c r="I610" s="1405"/>
      <c r="J610" s="1405"/>
      <c r="K610" s="1405"/>
      <c r="L610" s="1405"/>
      <c r="M610" s="1405"/>
      <c r="N610" s="1405"/>
      <c r="O610" s="1368"/>
      <c r="P610" s="1314"/>
      <c r="Q610" s="1314"/>
      <c r="R610" s="1314"/>
      <c r="S610" s="1368"/>
      <c r="T610" s="1368"/>
      <c r="U610" s="1370"/>
      <c r="V610" s="1368"/>
      <c r="W610" s="1368"/>
      <c r="X610" s="1368"/>
      <c r="Y610" s="1314"/>
      <c r="Z610" s="1314"/>
      <c r="AA610" s="1368"/>
      <c r="AB610" s="1368"/>
      <c r="AC610" s="1368"/>
      <c r="AD610" s="1368"/>
    </row>
    <row r="611" s="1371" customFormat="true" ht="15.75" hidden="false" customHeight="true" outlineLevel="1" collapsed="false">
      <c r="A611" s="1402" t="s">
        <v>3239</v>
      </c>
      <c r="B611" s="1403"/>
      <c r="C611" s="1404"/>
      <c r="D611" s="1405"/>
      <c r="E611" s="1406"/>
      <c r="F611" s="1406" t="n">
        <f aca="false">F380+F381+F382+F383+F390+F391+F392+F393</f>
        <v>0</v>
      </c>
      <c r="G611" s="1405"/>
      <c r="H611" s="1405"/>
      <c r="I611" s="1405"/>
      <c r="J611" s="1405"/>
      <c r="K611" s="1405"/>
      <c r="L611" s="1405"/>
      <c r="M611" s="1405"/>
      <c r="N611" s="1405"/>
      <c r="O611" s="1368"/>
      <c r="P611" s="1314"/>
      <c r="Q611" s="1314"/>
      <c r="R611" s="1314"/>
      <c r="S611" s="1368"/>
      <c r="T611" s="1368"/>
      <c r="U611" s="1370"/>
      <c r="V611" s="1368"/>
      <c r="W611" s="1368"/>
      <c r="X611" s="1368"/>
      <c r="Y611" s="1314"/>
      <c r="Z611" s="1314"/>
      <c r="AA611" s="1368"/>
      <c r="AB611" s="1368"/>
      <c r="AC611" s="1368"/>
      <c r="AD611" s="1368"/>
    </row>
    <row r="612" s="1371" customFormat="true" ht="15.75" hidden="false" customHeight="true" outlineLevel="1" collapsed="false">
      <c r="A612" s="1402" t="s">
        <v>3240</v>
      </c>
      <c r="B612" s="1403"/>
      <c r="C612" s="1404"/>
      <c r="D612" s="1405"/>
      <c r="E612" s="1406"/>
      <c r="F612" s="1397" t="n">
        <f aca="false">F598+F604+F609-E47-E48-E49-E50-E51-E57-E59-E60-E74-E75-E76+F614+F615-I607-I602+F599+F600+F605+F606</f>
        <v>-1.2</v>
      </c>
      <c r="G612" s="1405" t="n">
        <f aca="false">F598+F604+F609-E47-E48-E49-E50-E51-E57-E59-E60-E74-E75-E76+F614+F615-I607-I602</f>
        <v>-1.2</v>
      </c>
      <c r="H612" s="1405"/>
      <c r="I612" s="1405"/>
      <c r="J612" s="1405"/>
      <c r="K612" s="1405"/>
      <c r="L612" s="1405"/>
      <c r="M612" s="1405"/>
      <c r="N612" s="1405"/>
      <c r="O612" s="1368"/>
      <c r="P612" s="1314"/>
      <c r="Q612" s="1314"/>
      <c r="R612" s="1314"/>
      <c r="S612" s="1368"/>
      <c r="T612" s="1368"/>
      <c r="U612" s="1370"/>
      <c r="V612" s="1368"/>
      <c r="W612" s="1368"/>
      <c r="X612" s="1368"/>
      <c r="Y612" s="1314"/>
      <c r="Z612" s="1314"/>
      <c r="AA612" s="1368"/>
      <c r="AB612" s="1368"/>
      <c r="AC612" s="1368"/>
      <c r="AD612" s="1368"/>
    </row>
    <row r="613" s="1371" customFormat="true" ht="15.75" hidden="false" customHeight="true" outlineLevel="1" collapsed="false">
      <c r="A613" s="1402" t="s">
        <v>3241</v>
      </c>
      <c r="B613" s="1272" t="s">
        <v>3242</v>
      </c>
      <c r="C613" s="1273"/>
      <c r="D613" s="1407"/>
      <c r="E613" s="1408"/>
      <c r="F613" s="1408" t="n">
        <f aca="false">F598+F604+F609-E47-E48-E49-E50-E51-E57-E59-E60-E74-E75-E76-I607-I602</f>
        <v>-1.2</v>
      </c>
      <c r="G613" s="1405"/>
      <c r="H613" s="1405"/>
      <c r="I613" s="1405"/>
      <c r="J613" s="1405"/>
      <c r="K613" s="1405"/>
      <c r="L613" s="1405"/>
      <c r="M613" s="1405"/>
      <c r="N613" s="1405"/>
      <c r="O613" s="1368"/>
      <c r="P613" s="1314"/>
      <c r="Q613" s="1314"/>
      <c r="R613" s="1314"/>
      <c r="S613" s="1368"/>
      <c r="T613" s="1368"/>
      <c r="U613" s="1370"/>
      <c r="V613" s="1368"/>
      <c r="W613" s="1368"/>
      <c r="X613" s="1368"/>
      <c r="Y613" s="1314"/>
      <c r="Z613" s="1314"/>
      <c r="AA613" s="1368"/>
      <c r="AB613" s="1368"/>
      <c r="AC613" s="1368"/>
      <c r="AD613" s="1368"/>
    </row>
    <row r="614" s="1371" customFormat="true" ht="15.75" hidden="false" customHeight="true" outlineLevel="1" collapsed="false">
      <c r="A614" s="1402" t="s">
        <v>3243</v>
      </c>
      <c r="B614" s="1403"/>
      <c r="C614" s="1404"/>
      <c r="D614" s="1405"/>
      <c r="E614" s="1406"/>
      <c r="F614" s="1406" t="n">
        <f aca="false">(S131)*E43*D43</f>
        <v>0</v>
      </c>
      <c r="G614" s="1405"/>
      <c r="H614" s="1405"/>
      <c r="I614" s="1405"/>
      <c r="J614" s="1405"/>
      <c r="K614" s="1405"/>
      <c r="L614" s="1405"/>
      <c r="M614" s="1405"/>
      <c r="N614" s="1405"/>
      <c r="O614" s="1368"/>
      <c r="P614" s="1314"/>
      <c r="Q614" s="1314"/>
      <c r="R614" s="1314"/>
      <c r="S614" s="1368"/>
      <c r="T614" s="1368"/>
      <c r="U614" s="1370"/>
      <c r="V614" s="1368"/>
      <c r="W614" s="1368"/>
      <c r="X614" s="1368"/>
      <c r="Y614" s="1314"/>
      <c r="Z614" s="1314"/>
      <c r="AA614" s="1368"/>
      <c r="AB614" s="1368"/>
      <c r="AC614" s="1368"/>
      <c r="AD614" s="1368"/>
    </row>
    <row r="615" s="1371" customFormat="true" ht="15.75" hidden="false" customHeight="true" outlineLevel="1" collapsed="false">
      <c r="A615" s="1402" t="s">
        <v>3244</v>
      </c>
      <c r="B615" s="1403"/>
      <c r="C615" s="1404"/>
      <c r="D615" s="1405"/>
      <c r="E615" s="1406"/>
      <c r="F615" s="1406" t="n">
        <f aca="false">S131*E44*D44</f>
        <v>0</v>
      </c>
      <c r="G615" s="1405" t="s">
        <v>293</v>
      </c>
      <c r="H615" s="1405"/>
      <c r="I615" s="1405"/>
      <c r="J615" s="1405"/>
      <c r="K615" s="1405" t="s">
        <v>3245</v>
      </c>
      <c r="L615" s="1405"/>
      <c r="M615" s="1405"/>
      <c r="N615" s="1405"/>
      <c r="O615" s="1368"/>
      <c r="P615" s="1314"/>
      <c r="Q615" s="1314"/>
      <c r="R615" s="1314"/>
      <c r="S615" s="1368"/>
      <c r="T615" s="1368"/>
      <c r="U615" s="1370"/>
      <c r="V615" s="1368"/>
      <c r="W615" s="1368"/>
      <c r="X615" s="1368"/>
      <c r="Y615" s="1314"/>
      <c r="Z615" s="1314"/>
      <c r="AA615" s="1368"/>
      <c r="AB615" s="1368"/>
      <c r="AC615" s="1368"/>
      <c r="AD615" s="1368"/>
    </row>
    <row r="616" s="1371" customFormat="true" ht="15.75" hidden="false" customHeight="true" outlineLevel="1" collapsed="false">
      <c r="A616" s="1409" t="s">
        <v>3246</v>
      </c>
      <c r="B616" s="1410"/>
      <c r="C616" s="1411"/>
      <c r="D616" s="1412"/>
      <c r="E616" s="1413"/>
      <c r="F616" s="1413" t="n">
        <f aca="false">S379+S384+S389+S394</f>
        <v>0</v>
      </c>
      <c r="G616" s="1405" t="n">
        <f aca="false">E124+E125</f>
        <v>3</v>
      </c>
      <c r="H616" s="1405"/>
      <c r="I616" s="1405" t="n">
        <f aca="false">G616/D1532*1000</f>
        <v>15</v>
      </c>
      <c r="J616" s="1405" t="n">
        <f aca="false">CEILING(I616/3+1,1)</f>
        <v>6</v>
      </c>
      <c r="K616" s="1405" t="n">
        <f aca="false">F616*J616*2</f>
        <v>0</v>
      </c>
      <c r="L616" s="1405"/>
      <c r="M616" s="1405"/>
      <c r="N616" s="1405"/>
      <c r="O616" s="1368"/>
      <c r="P616" s="1314"/>
      <c r="Q616" s="1314"/>
      <c r="R616" s="1314"/>
      <c r="S616" s="1368"/>
      <c r="T616" s="1368"/>
      <c r="U616" s="1370"/>
      <c r="V616" s="1368"/>
      <c r="W616" s="1368"/>
      <c r="X616" s="1368"/>
      <c r="Y616" s="1314"/>
      <c r="Z616" s="1314"/>
      <c r="AA616" s="1368"/>
      <c r="AB616" s="1368"/>
      <c r="AC616" s="1368"/>
      <c r="AD616" s="1368"/>
    </row>
    <row r="617" s="1371" customFormat="true" ht="15.75" hidden="false" customHeight="true" outlineLevel="1" collapsed="false">
      <c r="A617" s="1414" t="s">
        <v>2591</v>
      </c>
      <c r="B617" s="1415"/>
      <c r="C617" s="1415"/>
      <c r="D617" s="1416"/>
      <c r="E617" s="1417"/>
      <c r="F617" s="1331"/>
      <c r="G617" s="1416"/>
      <c r="H617" s="1416"/>
      <c r="I617" s="1416"/>
      <c r="J617" s="1416"/>
      <c r="K617" s="1416"/>
      <c r="L617" s="1416"/>
      <c r="M617" s="1416"/>
      <c r="N617" s="1416"/>
      <c r="O617" s="1331" t="s">
        <v>3236</v>
      </c>
      <c r="P617" s="1331" t="s">
        <v>3247</v>
      </c>
      <c r="Q617" s="1332"/>
      <c r="R617" s="1332"/>
      <c r="S617" s="1331"/>
      <c r="T617" s="1331" t="n">
        <f aca="false">T130+T379+T384+T389+T394</f>
        <v>0</v>
      </c>
      <c r="U617" s="1418" t="s">
        <v>2591</v>
      </c>
      <c r="V617" s="1419" t="n">
        <f aca="false">T617-AB617</f>
        <v>0</v>
      </c>
      <c r="W617" s="1331" t="s">
        <v>3248</v>
      </c>
      <c r="X617" s="1331"/>
      <c r="Y617" s="1332"/>
      <c r="Z617" s="1332"/>
      <c r="AA617" s="1331"/>
      <c r="AB617" s="1331" t="n">
        <f aca="false">AD374+AD379+AD389</f>
        <v>0</v>
      </c>
      <c r="AC617" s="1331"/>
      <c r="AD617" s="1368"/>
    </row>
    <row r="618" s="1371" customFormat="true" ht="15.75" hidden="false" customHeight="true" outlineLevel="0" collapsed="false">
      <c r="A618" s="1414" t="s">
        <v>2973</v>
      </c>
      <c r="B618" s="1420"/>
      <c r="C618" s="1415"/>
      <c r="D618" s="1416"/>
      <c r="E618" s="1417"/>
      <c r="F618" s="1331"/>
      <c r="G618" s="1416"/>
      <c r="H618" s="1416"/>
      <c r="I618" s="1416"/>
      <c r="J618" s="1416"/>
      <c r="K618" s="1416"/>
      <c r="L618" s="1416"/>
      <c r="M618" s="1416"/>
      <c r="N618" s="1416"/>
      <c r="O618" s="1331"/>
      <c r="P618" s="1331"/>
      <c r="Q618" s="1332"/>
      <c r="R618" s="1332"/>
      <c r="S618" s="1331"/>
      <c r="T618" s="1331"/>
      <c r="U618" s="1421" t="s">
        <v>3249</v>
      </c>
      <c r="V618" s="1421"/>
      <c r="W618" s="1422"/>
      <c r="X618" s="1422"/>
      <c r="Y618" s="1423"/>
      <c r="Z618" s="1332"/>
      <c r="AA618" s="1331"/>
      <c r="AB618" s="1331"/>
      <c r="AC618" s="1331"/>
      <c r="AD618" s="1368"/>
    </row>
    <row r="619" customFormat="false" ht="15.75" hidden="false" customHeight="true" outlineLevel="1" collapsed="false">
      <c r="A619" s="1327" t="s">
        <v>3250</v>
      </c>
      <c r="B619" s="1280" t="s">
        <v>120</v>
      </c>
      <c r="C619" s="1307" t="s">
        <v>853</v>
      </c>
      <c r="D619" s="980" t="s">
        <v>1802</v>
      </c>
      <c r="E619" s="1269" t="s">
        <v>293</v>
      </c>
      <c r="F619" s="1269" t="s">
        <v>2974</v>
      </c>
      <c r="G619" s="980" t="s">
        <v>2156</v>
      </c>
      <c r="H619" s="980"/>
      <c r="I619" s="980" t="s">
        <v>2807</v>
      </c>
      <c r="J619" s="980" t="s">
        <v>2975</v>
      </c>
      <c r="K619" s="980" t="s">
        <v>1800</v>
      </c>
      <c r="L619" s="980"/>
      <c r="M619" s="980"/>
      <c r="N619" s="980"/>
      <c r="O619" s="944" t="s">
        <v>2976</v>
      </c>
      <c r="P619" s="1328" t="s">
        <v>2977</v>
      </c>
      <c r="Q619" s="1328" t="s">
        <v>2978</v>
      </c>
      <c r="R619" s="1328" t="s">
        <v>2979</v>
      </c>
      <c r="S619" s="933" t="s">
        <v>2572</v>
      </c>
      <c r="T619" s="944" t="s">
        <v>2980</v>
      </c>
      <c r="U619" s="1424" t="s">
        <v>3251</v>
      </c>
      <c r="V619" s="1425"/>
      <c r="W619" s="1425"/>
      <c r="X619" s="1425"/>
      <c r="Y619" s="1426"/>
      <c r="Z619" s="1427"/>
      <c r="AA619" s="944"/>
      <c r="AB619" s="944"/>
      <c r="AC619" s="944"/>
      <c r="AD619" s="944"/>
    </row>
    <row r="620" customFormat="false" ht="15.75" hidden="false" customHeight="true" outlineLevel="1" collapsed="false">
      <c r="A620" s="1428" t="s">
        <v>2986</v>
      </c>
      <c r="B620" s="1280" t="s">
        <v>156</v>
      </c>
      <c r="C620" s="1190" t="n">
        <f aca="false">IF('Ввод данных'!A27=связи1!A132,C16,F16+G16)*D635</f>
        <v>0</v>
      </c>
      <c r="D620" s="933"/>
      <c r="E620" s="1023" t="n">
        <f aca="false">C23*D624</f>
        <v>0</v>
      </c>
      <c r="F620" s="1023" t="n">
        <f aca="false">C620*E620</f>
        <v>0</v>
      </c>
      <c r="G620" s="933" t="n">
        <f aca="false">G124</f>
        <v>0.6</v>
      </c>
      <c r="H620" s="933"/>
      <c r="I620" s="933" t="n">
        <f aca="false">CEILING(IF(E620=0,0,C620/G620+1),1)</f>
        <v>0</v>
      </c>
      <c r="J620" s="933" t="n">
        <f aca="false">VLOOKUP('Ввод данных'!A1031,связи1!I458:O488,7,0)</f>
        <v>0.05</v>
      </c>
      <c r="K620" s="933" t="n">
        <f aca="false">$C$143</f>
        <v>0.15</v>
      </c>
      <c r="L620" s="933"/>
      <c r="M620" s="933"/>
      <c r="N620" s="933"/>
      <c r="O620" s="1220" t="n">
        <f aca="false">E620*I620*J620*K620</f>
        <v>0</v>
      </c>
      <c r="P620" s="1290" t="n">
        <f aca="false">C620*C130</f>
        <v>0</v>
      </c>
      <c r="Q620" s="1290" t="n">
        <f aca="false">C620*C130</f>
        <v>0</v>
      </c>
      <c r="R620" s="1290" t="n">
        <f aca="false">C620*C130</f>
        <v>0</v>
      </c>
      <c r="S620" s="933" t="n">
        <f aca="false">C620</f>
        <v>0</v>
      </c>
      <c r="T620" s="1220" t="n">
        <f aca="false">(P620+Q620+R620)*J620*K620</f>
        <v>0</v>
      </c>
      <c r="U620" s="933"/>
      <c r="V620" s="1220"/>
      <c r="W620" s="933"/>
      <c r="X620" s="933"/>
      <c r="Y620" s="1220"/>
      <c r="Z620" s="1290"/>
      <c r="AA620" s="933"/>
      <c r="AB620" s="933"/>
      <c r="AC620" s="933"/>
      <c r="AD620" s="933"/>
    </row>
    <row r="621" customFormat="false" ht="15.75" hidden="false" customHeight="true" outlineLevel="1" collapsed="false">
      <c r="A621" s="1215" t="s">
        <v>3252</v>
      </c>
      <c r="B621" s="1280" t="s">
        <v>156</v>
      </c>
      <c r="C621" s="1190" t="n">
        <f aca="false">IF('Ввод данных'!A19=связи1!A128,дома!E620,дома!F23)</f>
        <v>0</v>
      </c>
      <c r="D621" s="933" t="n">
        <f aca="false">IF('Ввод данных'!A19=связи1!A129,1,0)</f>
        <v>0</v>
      </c>
      <c r="E621" s="1023" t="n">
        <f aca="false">C23*D625</f>
        <v>0</v>
      </c>
      <c r="F621" s="1023" t="n">
        <f aca="false">C621*E621</f>
        <v>0</v>
      </c>
      <c r="G621" s="933" t="n">
        <f aca="false">G125</f>
        <v>0.6</v>
      </c>
      <c r="H621" s="933"/>
      <c r="I621" s="933" t="n">
        <f aca="false">CEILING(IF(E621=0,0,C624/G621+1),1)</f>
        <v>0</v>
      </c>
      <c r="J621" s="933" t="n">
        <f aca="false">VLOOKUP('Ввод данных'!A1031,связи1!I458:O488,7,0)</f>
        <v>0.05</v>
      </c>
      <c r="K621" s="933" t="n">
        <f aca="false">$C$143</f>
        <v>0.15</v>
      </c>
      <c r="L621" s="933"/>
      <c r="M621" s="933"/>
      <c r="N621" s="933"/>
      <c r="O621" s="1220" t="n">
        <f aca="false">E621*I621*J621*K621</f>
        <v>0</v>
      </c>
      <c r="P621" s="1290" t="n">
        <f aca="false">C627*C131*D635</f>
        <v>0</v>
      </c>
      <c r="Q621" s="1290" t="n">
        <f aca="false">C627*C131*D635</f>
        <v>0</v>
      </c>
      <c r="R621" s="1290" t="n">
        <f aca="false">C627*C131*D635</f>
        <v>0</v>
      </c>
      <c r="S621" s="933" t="n">
        <f aca="false">C627*D635*D621</f>
        <v>0</v>
      </c>
      <c r="T621" s="1220" t="n">
        <f aca="false">(P621+Q621+R621)*J621*K621</f>
        <v>0</v>
      </c>
      <c r="U621" s="933"/>
      <c r="V621" s="1220"/>
      <c r="W621" s="933"/>
      <c r="X621" s="933"/>
      <c r="Y621" s="1220"/>
      <c r="Z621" s="1290"/>
      <c r="AA621" s="933"/>
      <c r="AB621" s="933"/>
      <c r="AC621" s="933"/>
      <c r="AD621" s="933"/>
    </row>
    <row r="622" customFormat="false" ht="15.75" hidden="false" customHeight="true" outlineLevel="1" collapsed="false">
      <c r="A622" s="1215" t="s">
        <v>3253</v>
      </c>
      <c r="B622" s="1280" t="s">
        <v>156</v>
      </c>
      <c r="C622" s="1190" t="n">
        <f aca="false">IF('Ввод данных'!A19=связи1!A128,дома!E620,дома!G23)</f>
        <v>0</v>
      </c>
      <c r="D622" s="1429" t="n">
        <f aca="false">IF('Ввод данных'!A6=связи1!A94,0,0)+IF('Ввод данных'!A6=связи1!A95,1,0)+IF('Ввод данных'!A6=связи1!A96,1,0)+IF('Ввод данных'!A6=связи1!A98,1,0)+IF('Ввод данных'!A6=связи1!A97,0,0)</f>
        <v>0</v>
      </c>
      <c r="E622" s="1150" t="n">
        <f aca="false">C23*D625</f>
        <v>0</v>
      </c>
      <c r="F622" s="1023" t="n">
        <f aca="false">C622*E622</f>
        <v>0</v>
      </c>
      <c r="G622" s="933" t="n">
        <f aca="false">G126</f>
        <v>0.6</v>
      </c>
      <c r="H622" s="933"/>
      <c r="I622" s="933" t="n">
        <f aca="false">CEILING(IF(E622=0,0,C625/G622+1),1)</f>
        <v>0</v>
      </c>
      <c r="J622" s="933" t="n">
        <f aca="false">VLOOKUP('Ввод данных'!A1031,связи1!I458:O488,7,0)</f>
        <v>0.05</v>
      </c>
      <c r="K622" s="933" t="n">
        <f aca="false">$C$143</f>
        <v>0.15</v>
      </c>
      <c r="L622" s="933"/>
      <c r="M622" s="933"/>
      <c r="N622" s="933"/>
      <c r="O622" s="1220" t="n">
        <f aca="false">E622*I622*J622*K622</f>
        <v>0</v>
      </c>
      <c r="P622" s="1290" t="n">
        <f aca="false">C631*C131*D635</f>
        <v>0</v>
      </c>
      <c r="Q622" s="1290" t="n">
        <f aca="false">C631*C131*D635</f>
        <v>0</v>
      </c>
      <c r="R622" s="1290" t="n">
        <f aca="false">C631*C131*D635</f>
        <v>0</v>
      </c>
      <c r="S622" s="933" t="n">
        <f aca="false">C631*D635*D621</f>
        <v>0</v>
      </c>
      <c r="T622" s="1220" t="n">
        <f aca="false">(P622+Q622+R622)*J622*K622</f>
        <v>0</v>
      </c>
      <c r="U622" s="933"/>
      <c r="V622" s="1220"/>
      <c r="W622" s="933"/>
      <c r="X622" s="933"/>
      <c r="Y622" s="1220"/>
      <c r="Z622" s="1290"/>
      <c r="AA622" s="933"/>
      <c r="AB622" s="933"/>
      <c r="AC622" s="933"/>
      <c r="AD622" s="933"/>
    </row>
    <row r="623" customFormat="false" ht="15.75" hidden="false" customHeight="true" outlineLevel="1" collapsed="false">
      <c r="A623" s="1428" t="s">
        <v>2989</v>
      </c>
      <c r="B623" s="1280" t="s">
        <v>156</v>
      </c>
      <c r="C623" s="1190" t="n">
        <f aca="false">IF('Ввод данных'!A27=связи1!A132,C16,F16+G16)*D635</f>
        <v>0</v>
      </c>
      <c r="D623" s="933"/>
      <c r="E623" s="1023" t="n">
        <f aca="false">E620*D624</f>
        <v>0</v>
      </c>
      <c r="F623" s="1023" t="n">
        <f aca="false">C623*E623</f>
        <v>0</v>
      </c>
      <c r="G623" s="933" t="n">
        <f aca="false">G127</f>
        <v>0.6</v>
      </c>
      <c r="H623" s="933"/>
      <c r="I623" s="933" t="n">
        <f aca="false">CEILING(IF(E623=0,0,C623/G623+1),1)</f>
        <v>0</v>
      </c>
      <c r="J623" s="933" t="n">
        <f aca="false">VLOOKUP('Ввод данных'!A1031,связи1!I458:O488,7,0)</f>
        <v>0.05</v>
      </c>
      <c r="K623" s="933" t="n">
        <f aca="false">$C$143</f>
        <v>0.15</v>
      </c>
      <c r="L623" s="933"/>
      <c r="M623" s="933"/>
      <c r="N623" s="933"/>
      <c r="O623" s="1220" t="n">
        <f aca="false">E623*I623*J623*K623</f>
        <v>0</v>
      </c>
      <c r="P623" s="1290" t="n">
        <f aca="false">C623*C130</f>
        <v>0</v>
      </c>
      <c r="Q623" s="1290" t="n">
        <f aca="false">C623*C130</f>
        <v>0</v>
      </c>
      <c r="R623" s="1290" t="n">
        <f aca="false">C623*C130</f>
        <v>0</v>
      </c>
      <c r="S623" s="933" t="n">
        <f aca="false">C623</f>
        <v>0</v>
      </c>
      <c r="T623" s="1220" t="n">
        <f aca="false">(P623+Q623+R623)*J623*K623</f>
        <v>0</v>
      </c>
      <c r="U623" s="933"/>
      <c r="V623" s="1220"/>
      <c r="W623" s="933"/>
      <c r="X623" s="933"/>
      <c r="Y623" s="1220"/>
      <c r="Z623" s="1290"/>
      <c r="AA623" s="933"/>
      <c r="AB623" s="933"/>
      <c r="AC623" s="933"/>
      <c r="AD623" s="933"/>
    </row>
    <row r="624" customFormat="false" ht="15.75" hidden="false" customHeight="true" outlineLevel="1" collapsed="false">
      <c r="A624" s="1215" t="s">
        <v>3254</v>
      </c>
      <c r="B624" s="1280" t="s">
        <v>156</v>
      </c>
      <c r="C624" s="1190" t="n">
        <f aca="false">C17*D635</f>
        <v>0</v>
      </c>
      <c r="D624" s="933" t="n">
        <f aca="false">C130</f>
        <v>1</v>
      </c>
      <c r="E624" s="1023" t="n">
        <f aca="false">C621*(D624+D625)</f>
        <v>0</v>
      </c>
      <c r="F624" s="1023" t="n">
        <f aca="false">C624*E624</f>
        <v>0</v>
      </c>
      <c r="G624" s="933" t="n">
        <f aca="false">G128</f>
        <v>0.6</v>
      </c>
      <c r="H624" s="933"/>
      <c r="I624" s="933" t="n">
        <f aca="false">CEILING(IF(C624=0,0,C624/G624+1),1)</f>
        <v>0</v>
      </c>
      <c r="J624" s="933" t="n">
        <f aca="false">VLOOKUP('Ввод данных'!A1031,связи1!I458:O488,7,0)</f>
        <v>0.05</v>
      </c>
      <c r="K624" s="933" t="n">
        <f aca="false">$C$143</f>
        <v>0.15</v>
      </c>
      <c r="L624" s="933"/>
      <c r="M624" s="933"/>
      <c r="N624" s="933"/>
      <c r="O624" s="1220" t="n">
        <f aca="false">E624*I624*J624*K624</f>
        <v>0</v>
      </c>
      <c r="P624" s="1290" t="n">
        <f aca="false">C624</f>
        <v>0</v>
      </c>
      <c r="Q624" s="1290" t="n">
        <f aca="false">C624</f>
        <v>0</v>
      </c>
      <c r="R624" s="1290" t="n">
        <f aca="false">C624</f>
        <v>0</v>
      </c>
      <c r="S624" s="933" t="n">
        <f aca="false">C624</f>
        <v>0</v>
      </c>
      <c r="T624" s="1220" t="n">
        <f aca="false">(P624+Q624+R624)*J624*K624</f>
        <v>0</v>
      </c>
      <c r="U624" s="933"/>
      <c r="V624" s="1220"/>
      <c r="W624" s="933"/>
      <c r="X624" s="933"/>
      <c r="Y624" s="1220"/>
      <c r="Z624" s="1290"/>
      <c r="AA624" s="933"/>
      <c r="AB624" s="933"/>
      <c r="AC624" s="933"/>
      <c r="AD624" s="933"/>
    </row>
    <row r="625" customFormat="false" ht="15.75" hidden="false" customHeight="true" outlineLevel="1" collapsed="false">
      <c r="A625" s="1215" t="s">
        <v>3255</v>
      </c>
      <c r="B625" s="1280" t="s">
        <v>156</v>
      </c>
      <c r="C625" s="1190" t="n">
        <f aca="false">C17*D635</f>
        <v>0</v>
      </c>
      <c r="D625" s="933" t="n">
        <f aca="false">C131</f>
        <v>0</v>
      </c>
      <c r="E625" s="1023" t="n">
        <f aca="false">C622*(D624+D625)</f>
        <v>0</v>
      </c>
      <c r="F625" s="1023" t="n">
        <f aca="false">C625*E625</f>
        <v>0</v>
      </c>
      <c r="G625" s="933" t="n">
        <f aca="false">G129</f>
        <v>0.6</v>
      </c>
      <c r="H625" s="933"/>
      <c r="I625" s="933" t="n">
        <f aca="false">CEILING(IF(C625=0,0,C625/G625+1),1)</f>
        <v>0</v>
      </c>
      <c r="J625" s="933" t="n">
        <f aca="false">VLOOKUP('Ввод данных'!A1031,связи1!I458:O488,7,0)</f>
        <v>0.05</v>
      </c>
      <c r="K625" s="933" t="n">
        <f aca="false">$C$143</f>
        <v>0.15</v>
      </c>
      <c r="L625" s="933"/>
      <c r="M625" s="933"/>
      <c r="N625" s="933"/>
      <c r="O625" s="1220" t="n">
        <f aca="false">E625*I625*J625*K625</f>
        <v>0</v>
      </c>
      <c r="P625" s="1290" t="n">
        <f aca="false">C625</f>
        <v>0</v>
      </c>
      <c r="Q625" s="1290" t="n">
        <f aca="false">C625</f>
        <v>0</v>
      </c>
      <c r="R625" s="1290" t="n">
        <f aca="false">C625</f>
        <v>0</v>
      </c>
      <c r="S625" s="933" t="n">
        <f aca="false">C625</f>
        <v>0</v>
      </c>
      <c r="T625" s="1220" t="n">
        <f aca="false">(P625+Q625+R625)*J625*K625</f>
        <v>0</v>
      </c>
      <c r="U625" s="933"/>
      <c r="V625" s="1220"/>
      <c r="W625" s="933"/>
      <c r="X625" s="933"/>
      <c r="Y625" s="1220"/>
      <c r="Z625" s="1290"/>
      <c r="AA625" s="933"/>
      <c r="AB625" s="933"/>
      <c r="AC625" s="933"/>
      <c r="AD625" s="933"/>
    </row>
    <row r="626" customFormat="false" ht="15.75" hidden="false" customHeight="true" outlineLevel="1" collapsed="false">
      <c r="A626" s="1333" t="s">
        <v>3256</v>
      </c>
      <c r="B626" s="1334"/>
      <c r="C626" s="1335"/>
      <c r="D626" s="1336"/>
      <c r="E626" s="1337"/>
      <c r="F626" s="1337" t="n">
        <f aca="false">F620+F623+F624+F625+(F621+F622)</f>
        <v>0</v>
      </c>
      <c r="G626" s="933"/>
      <c r="H626" s="933"/>
      <c r="I626" s="933"/>
      <c r="J626" s="933"/>
      <c r="K626" s="933"/>
      <c r="L626" s="933"/>
      <c r="M626" s="933"/>
      <c r="N626" s="933"/>
      <c r="O626" s="1220"/>
      <c r="P626" s="1290" t="n">
        <f aca="false">SUM(P620:P625)</f>
        <v>0</v>
      </c>
      <c r="Q626" s="1290" t="n">
        <f aca="false">SUM(Q620:Q625)</f>
        <v>0</v>
      </c>
      <c r="R626" s="1290" t="n">
        <f aca="false">SUM(R620:R625)</f>
        <v>0</v>
      </c>
      <c r="S626" s="933"/>
      <c r="T626" s="1220"/>
      <c r="U626" s="932"/>
      <c r="V626" s="1220"/>
      <c r="W626" s="996"/>
      <c r="X626" s="996"/>
      <c r="Y626" s="1220"/>
      <c r="Z626" s="1290"/>
      <c r="AA626" s="933"/>
      <c r="AB626" s="933"/>
      <c r="AC626" s="933"/>
      <c r="AD626" s="933"/>
    </row>
    <row r="627" customFormat="false" ht="15.75" hidden="false" customHeight="true" outlineLevel="1" collapsed="false">
      <c r="A627" s="1338" t="s">
        <v>2995</v>
      </c>
      <c r="B627" s="1339" t="s">
        <v>156</v>
      </c>
      <c r="C627" s="1222" t="n">
        <f aca="false">IF('Ввод данных'!A27=связи1!A132,C16/2,Z48)</f>
        <v>5</v>
      </c>
      <c r="D627" s="1220"/>
      <c r="E627" s="1234" t="n">
        <f aca="false">IF('Ввод данных'!A6=связи1!A95,связи1!K206,0)+IF('Ввод данных'!A6=связи1!A96,связи1!K206,0)+IF('Ввод данных'!A6=связи1!A98,связи1!K206,0)</f>
        <v>0</v>
      </c>
      <c r="F627" s="1023"/>
      <c r="G627" s="933"/>
      <c r="H627" s="933"/>
      <c r="I627" s="933" t="s">
        <v>3257</v>
      </c>
      <c r="J627" s="933"/>
      <c r="K627" s="933"/>
      <c r="L627" s="933" t="s">
        <v>3258</v>
      </c>
      <c r="M627" s="933"/>
      <c r="N627" s="933"/>
      <c r="O627" s="1220"/>
      <c r="P627" s="1290"/>
      <c r="Q627" s="1290"/>
      <c r="R627" s="1290"/>
      <c r="S627" s="933"/>
      <c r="T627" s="1220"/>
      <c r="U627" s="932"/>
      <c r="V627" s="1220"/>
      <c r="W627" s="996"/>
      <c r="X627" s="996"/>
      <c r="Y627" s="1220"/>
      <c r="Z627" s="1290"/>
      <c r="AA627" s="933"/>
      <c r="AB627" s="933"/>
      <c r="AC627" s="933"/>
      <c r="AD627" s="933"/>
    </row>
    <row r="628" customFormat="false" ht="15.75" hidden="false" customHeight="true" outlineLevel="1" collapsed="false">
      <c r="A628" s="1330" t="s">
        <v>2996</v>
      </c>
      <c r="B628" s="1280" t="s">
        <v>156</v>
      </c>
      <c r="C628" s="1190" t="n">
        <f aca="false">SQRT((E627-E620)*(E627-E620)+C627*C627)</f>
        <v>5</v>
      </c>
      <c r="D628" s="933" t="s">
        <v>1936</v>
      </c>
      <c r="E628" s="1023" t="s">
        <v>2997</v>
      </c>
      <c r="F628" s="1023" t="n">
        <f aca="false">(E627-E620)/C628</f>
        <v>0</v>
      </c>
      <c r="G628" s="933"/>
      <c r="H628" s="933"/>
      <c r="I628" s="933" t="s">
        <v>3259</v>
      </c>
      <c r="J628" s="933"/>
      <c r="K628" s="933" t="n">
        <f aca="false">O1140</f>
        <v>11.180339887499</v>
      </c>
      <c r="L628" s="933" t="n">
        <f aca="false">'Ввод данных'!C11</f>
        <v>10</v>
      </c>
      <c r="M628" s="933"/>
      <c r="N628" s="933"/>
      <c r="O628" s="1220"/>
      <c r="P628" s="1290"/>
      <c r="Q628" s="1290"/>
      <c r="R628" s="1290"/>
      <c r="S628" s="933"/>
      <c r="T628" s="1220"/>
      <c r="U628" s="932"/>
      <c r="V628" s="1220"/>
      <c r="W628" s="996"/>
      <c r="X628" s="996"/>
      <c r="Y628" s="1220"/>
      <c r="Z628" s="1290"/>
      <c r="AA628" s="933"/>
      <c r="AB628" s="933"/>
      <c r="AC628" s="933"/>
      <c r="AD628" s="933"/>
    </row>
    <row r="629" customFormat="false" ht="15.75" hidden="false" customHeight="true" outlineLevel="1" collapsed="false">
      <c r="A629" s="1330" t="s">
        <v>2998</v>
      </c>
      <c r="B629" s="1280" t="s">
        <v>159</v>
      </c>
      <c r="C629" s="1190" t="n">
        <f aca="false">CEILING(C627/G620,1)</f>
        <v>9</v>
      </c>
      <c r="D629" s="933" t="n">
        <f aca="false">CEILING(C629,1)</f>
        <v>9</v>
      </c>
      <c r="E629" s="1023"/>
      <c r="F629" s="1023"/>
      <c r="G629" s="933"/>
      <c r="H629" s="933"/>
      <c r="I629" s="933" t="s">
        <v>3260</v>
      </c>
      <c r="J629" s="933"/>
      <c r="K629" s="933" t="n">
        <f aca="false">O1142</f>
        <v>11.180339887499</v>
      </c>
      <c r="L629" s="933" t="n">
        <f aca="false">'Ввод данных'!C12</f>
        <v>10</v>
      </c>
      <c r="M629" s="933"/>
      <c r="N629" s="933"/>
      <c r="O629" s="1220"/>
      <c r="P629" s="1290"/>
      <c r="Q629" s="1290"/>
      <c r="R629" s="1290"/>
      <c r="S629" s="933"/>
      <c r="T629" s="1220"/>
      <c r="U629" s="932"/>
      <c r="V629" s="1220"/>
      <c r="W629" s="996"/>
      <c r="X629" s="996"/>
      <c r="Y629" s="1220"/>
      <c r="Z629" s="1290"/>
      <c r="AA629" s="933"/>
      <c r="AB629" s="933"/>
      <c r="AC629" s="933"/>
      <c r="AD629" s="933"/>
    </row>
    <row r="630" customFormat="false" ht="15.75" hidden="false" customHeight="true" outlineLevel="1" collapsed="false">
      <c r="A630" s="1330" t="s">
        <v>2999</v>
      </c>
      <c r="B630" s="1280" t="s">
        <v>156</v>
      </c>
      <c r="C630" s="1190" t="n">
        <f aca="false">(E627-C621)/D629</f>
        <v>0</v>
      </c>
      <c r="D630" s="933"/>
      <c r="E630" s="1023"/>
      <c r="F630" s="1023"/>
      <c r="G630" s="933"/>
      <c r="H630" s="933"/>
      <c r="I630" s="933" t="s">
        <v>3261</v>
      </c>
      <c r="J630" s="933"/>
      <c r="K630" s="933" t="n">
        <f aca="false">CEILING(L629/G620+1,1)</f>
        <v>18</v>
      </c>
      <c r="L630" s="933"/>
      <c r="M630" s="933"/>
      <c r="N630" s="933"/>
      <c r="O630" s="1220"/>
      <c r="P630" s="1290"/>
      <c r="Q630" s="1290"/>
      <c r="R630" s="1290"/>
      <c r="S630" s="933"/>
      <c r="T630" s="1220"/>
      <c r="U630" s="932"/>
      <c r="V630" s="1220"/>
      <c r="W630" s="996"/>
      <c r="X630" s="996"/>
      <c r="Y630" s="1220"/>
      <c r="Z630" s="1290"/>
      <c r="AA630" s="933"/>
      <c r="AB630" s="933"/>
      <c r="AC630" s="933"/>
      <c r="AD630" s="933"/>
    </row>
    <row r="631" customFormat="false" ht="15.75" hidden="false" customHeight="true" outlineLevel="1" collapsed="false">
      <c r="A631" s="1338" t="s">
        <v>3000</v>
      </c>
      <c r="B631" s="1339" t="s">
        <v>156</v>
      </c>
      <c r="C631" s="1222" t="n">
        <f aca="false">IF('Ввод данных'!A27=связи1!A132,C16/2,дома!AA48)</f>
        <v>5</v>
      </c>
      <c r="D631" s="1220"/>
      <c r="E631" s="1234" t="n">
        <f aca="false">IF('Ввод данных'!A6=связи1!A95,связи1!K206,0)+IF('Ввод данных'!A6=связи1!A96,связи1!K206,0)+IF('Ввод данных'!A6=связи1!A98,связи1!K206,0)</f>
        <v>0</v>
      </c>
      <c r="F631" s="1023"/>
      <c r="G631" s="933"/>
      <c r="H631" s="933"/>
      <c r="I631" s="933" t="s">
        <v>3262</v>
      </c>
      <c r="J631" s="933"/>
      <c r="K631" s="933" t="n">
        <f aca="false">CEILING(L628/G620+1,1)</f>
        <v>18</v>
      </c>
      <c r="L631" s="933"/>
      <c r="M631" s="933"/>
      <c r="N631" s="933"/>
      <c r="O631" s="1220"/>
      <c r="P631" s="1290"/>
      <c r="Q631" s="1290"/>
      <c r="R631" s="1290"/>
      <c r="S631" s="933"/>
      <c r="T631" s="1220"/>
      <c r="U631" s="932"/>
      <c r="V631" s="1220"/>
      <c r="W631" s="996"/>
      <c r="X631" s="996"/>
      <c r="Y631" s="1220"/>
      <c r="Z631" s="1290"/>
      <c r="AA631" s="933"/>
      <c r="AB631" s="933"/>
      <c r="AC631" s="933"/>
      <c r="AD631" s="933"/>
    </row>
    <row r="632" customFormat="false" ht="15.75" hidden="false" customHeight="true" outlineLevel="1" collapsed="false">
      <c r="A632" s="1330" t="s">
        <v>3001</v>
      </c>
      <c r="B632" s="1280"/>
      <c r="C632" s="1190"/>
      <c r="D632" s="933"/>
      <c r="E632" s="1023"/>
      <c r="F632" s="1023" t="n">
        <f aca="false">SQRT(C631*C631+(E631-E620)*(E631-E620))</f>
        <v>5</v>
      </c>
      <c r="G632" s="933"/>
      <c r="H632" s="933"/>
      <c r="I632" s="1336" t="s">
        <v>3263</v>
      </c>
      <c r="J632" s="1336"/>
      <c r="K632" s="1336" t="n">
        <f aca="false">(связи1!K206-связи1!K207)/K630</f>
        <v>0.2</v>
      </c>
      <c r="L632" s="933"/>
      <c r="M632" s="933"/>
      <c r="N632" s="933"/>
      <c r="O632" s="1220"/>
      <c r="P632" s="1290"/>
      <c r="Q632" s="1290"/>
      <c r="R632" s="1290"/>
      <c r="S632" s="933"/>
      <c r="T632" s="1220"/>
      <c r="U632" s="932"/>
      <c r="V632" s="1220"/>
      <c r="W632" s="996"/>
      <c r="X632" s="996"/>
      <c r="Y632" s="1220"/>
      <c r="Z632" s="1290"/>
      <c r="AA632" s="933"/>
      <c r="AB632" s="933"/>
      <c r="AC632" s="933"/>
      <c r="AD632" s="933"/>
    </row>
    <row r="633" customFormat="false" ht="15.75" hidden="false" customHeight="true" outlineLevel="1" collapsed="false">
      <c r="A633" s="1330" t="s">
        <v>3002</v>
      </c>
      <c r="B633" s="1340"/>
      <c r="C633" s="1341"/>
      <c r="D633" s="1216"/>
      <c r="E633" s="1342"/>
      <c r="F633" s="1342" t="n">
        <f aca="false">C631/G620</f>
        <v>8.33333333333333</v>
      </c>
      <c r="G633" s="1216" t="n">
        <f aca="false">CEILING(F633,1)</f>
        <v>9</v>
      </c>
      <c r="H633" s="1216"/>
      <c r="I633" s="1336" t="s">
        <v>3264</v>
      </c>
      <c r="J633" s="1336"/>
      <c r="K633" s="1336" t="n">
        <f aca="false">(связи1!K206-связи1!K207)/K631</f>
        <v>0.2</v>
      </c>
      <c r="L633" s="933"/>
      <c r="M633" s="933"/>
      <c r="N633" s="933"/>
      <c r="O633" s="1220"/>
      <c r="P633" s="1290"/>
      <c r="Q633" s="1290"/>
      <c r="R633" s="1290"/>
      <c r="S633" s="933"/>
      <c r="T633" s="1220"/>
      <c r="U633" s="932"/>
      <c r="V633" s="1220"/>
      <c r="W633" s="996"/>
      <c r="X633" s="996"/>
      <c r="Y633" s="1220"/>
      <c r="Z633" s="1290"/>
      <c r="AA633" s="933"/>
      <c r="AB633" s="933"/>
      <c r="AC633" s="933"/>
      <c r="AD633" s="933"/>
    </row>
    <row r="634" customFormat="false" ht="15.75" hidden="false" customHeight="true" outlineLevel="1" collapsed="false">
      <c r="A634" s="1330" t="s">
        <v>3003</v>
      </c>
      <c r="B634" s="887"/>
      <c r="C634" s="887"/>
      <c r="D634" s="933"/>
      <c r="E634" s="1023"/>
      <c r="F634" s="1023" t="n">
        <f aca="false">(E627-C622)/G633</f>
        <v>0</v>
      </c>
      <c r="G634" s="933"/>
      <c r="H634" s="933"/>
      <c r="I634" s="933"/>
      <c r="J634" s="933"/>
      <c r="K634" s="933"/>
      <c r="L634" s="933"/>
      <c r="M634" s="933"/>
      <c r="N634" s="933"/>
      <c r="O634" s="1220"/>
      <c r="P634" s="1290"/>
      <c r="Q634" s="1290"/>
      <c r="R634" s="1290"/>
      <c r="S634" s="933"/>
      <c r="T634" s="1220"/>
      <c r="U634" s="932"/>
      <c r="V634" s="1220"/>
      <c r="W634" s="996"/>
      <c r="X634" s="996"/>
      <c r="Y634" s="1220"/>
      <c r="Z634" s="1290"/>
      <c r="AA634" s="933"/>
      <c r="AB634" s="933"/>
      <c r="AC634" s="933"/>
      <c r="AD634" s="933"/>
    </row>
    <row r="635" customFormat="false" ht="15.75" hidden="false" customHeight="true" outlineLevel="1" collapsed="false">
      <c r="A635" s="1215" t="s">
        <v>3265</v>
      </c>
      <c r="B635" s="887"/>
      <c r="C635" s="887"/>
      <c r="D635" s="933" t="n">
        <f aca="false">IF('Ввод данных'!A6=связи1!A95,1,0)+IF('Ввод данных'!A6=связи1!A96,1,0)+IF('Ввод данных'!A6=связи1!A98,1,0)</f>
        <v>0</v>
      </c>
      <c r="E635" s="1023"/>
      <c r="F635" s="1023"/>
      <c r="G635" s="933"/>
      <c r="H635" s="933"/>
      <c r="I635" s="933"/>
      <c r="J635" s="933"/>
      <c r="K635" s="933"/>
      <c r="L635" s="933"/>
      <c r="M635" s="933"/>
      <c r="N635" s="933"/>
      <c r="O635" s="1220"/>
      <c r="P635" s="1290"/>
      <c r="Q635" s="1290"/>
      <c r="R635" s="1290"/>
      <c r="S635" s="933"/>
      <c r="T635" s="1220"/>
      <c r="U635" s="932"/>
      <c r="V635" s="1220"/>
      <c r="W635" s="996"/>
      <c r="X635" s="996"/>
      <c r="Y635" s="1220"/>
      <c r="Z635" s="1290"/>
      <c r="AA635" s="933"/>
      <c r="AB635" s="933"/>
      <c r="AC635" s="933"/>
      <c r="AD635" s="933"/>
    </row>
    <row r="636" customFormat="false" ht="15.75" hidden="false" customHeight="true" outlineLevel="1" collapsed="false">
      <c r="A636" s="1343" t="s">
        <v>3005</v>
      </c>
      <c r="B636" s="1344" t="s">
        <v>120</v>
      </c>
      <c r="C636" s="980" t="s">
        <v>1800</v>
      </c>
      <c r="D636" s="980" t="s">
        <v>2975</v>
      </c>
      <c r="E636" s="1269" t="s">
        <v>3006</v>
      </c>
      <c r="F636" s="1269" t="s">
        <v>1802</v>
      </c>
      <c r="G636" s="980" t="s">
        <v>3007</v>
      </c>
      <c r="H636" s="980"/>
      <c r="I636" s="933"/>
      <c r="J636" s="933"/>
      <c r="K636" s="933"/>
      <c r="L636" s="933"/>
      <c r="M636" s="933"/>
      <c r="N636" s="933"/>
      <c r="O636" s="1220"/>
      <c r="P636" s="1290"/>
      <c r="Q636" s="1290"/>
      <c r="R636" s="1290"/>
      <c r="S636" s="933"/>
      <c r="T636" s="1220"/>
      <c r="U636" s="932"/>
      <c r="V636" s="1220"/>
      <c r="W636" s="996"/>
      <c r="X636" s="996"/>
      <c r="Y636" s="1220"/>
      <c r="Z636" s="1290"/>
      <c r="AA636" s="933"/>
      <c r="AB636" s="933"/>
      <c r="AC636" s="933"/>
      <c r="AD636" s="933"/>
    </row>
    <row r="637" customFormat="false" ht="15.75" hidden="false" customHeight="true" outlineLevel="1" collapsed="false">
      <c r="A637" s="1191" t="s">
        <v>3143</v>
      </c>
      <c r="B637" s="1269" t="s">
        <v>156</v>
      </c>
      <c r="C637" s="887" t="n">
        <f aca="false">$C$143</f>
        <v>0.15</v>
      </c>
      <c r="D637" s="933" t="n">
        <f aca="false">$J$620</f>
        <v>0.05</v>
      </c>
      <c r="E637" s="1023" t="n">
        <f aca="false">IF('Ввод данных'!A6=связи1!A95,E620,0)+IF('Ввод данных'!A6=связи1!A96,0,0)+IF('Ввод данных'!A6=связи1!A98,0,0)</f>
        <v>0</v>
      </c>
      <c r="F637" s="1023" t="n">
        <f aca="false">(I620+I623)*IF('Ввод данных'!A6=связи1!A95,1,0)*IF('Ввод данных'!$F$237=связи1!$A$2,1,0)</f>
        <v>0</v>
      </c>
      <c r="G637" s="933" t="n">
        <f aca="false">C637*D637*E637*F637</f>
        <v>0</v>
      </c>
      <c r="H637" s="933"/>
      <c r="I637" s="933"/>
      <c r="J637" s="933"/>
      <c r="K637" s="933"/>
      <c r="L637" s="933"/>
      <c r="M637" s="933"/>
      <c r="N637" s="933"/>
      <c r="O637" s="1220"/>
      <c r="P637" s="1290"/>
      <c r="Q637" s="1290"/>
      <c r="R637" s="1290"/>
      <c r="S637" s="933"/>
      <c r="T637" s="1220"/>
      <c r="U637" s="932"/>
      <c r="V637" s="1220"/>
      <c r="W637" s="996"/>
      <c r="X637" s="996"/>
      <c r="Y637" s="1220"/>
      <c r="Z637" s="1290"/>
      <c r="AA637" s="933"/>
      <c r="AB637" s="933"/>
      <c r="AC637" s="933"/>
      <c r="AD637" s="933"/>
    </row>
    <row r="638" customFormat="false" ht="15.75" hidden="false" customHeight="true" outlineLevel="1" collapsed="false">
      <c r="A638" s="1191" t="s">
        <v>3141</v>
      </c>
      <c r="B638" s="1269" t="s">
        <v>156</v>
      </c>
      <c r="C638" s="887" t="n">
        <f aca="false">$C$143</f>
        <v>0.15</v>
      </c>
      <c r="D638" s="933" t="n">
        <f aca="false">$J$620</f>
        <v>0.05</v>
      </c>
      <c r="E638" s="1023" t="n">
        <f aca="false">(IF('Ввод данных'!A6=связи1!A95,E621,0)+IF('Ввод данных'!A6=связи1!A96,C621,0)+IF('Ввод данных'!A6=связи1!A98,C621,0))*D621</f>
        <v>0</v>
      </c>
      <c r="F638" s="1023" t="n">
        <f aca="false">I621*IF('Ввод данных'!$F$237=связи1!$A$2,1,0)</f>
        <v>0</v>
      </c>
      <c r="G638" s="933" t="n">
        <f aca="false">C638*D638*E638*F638</f>
        <v>0</v>
      </c>
      <c r="H638" s="933"/>
      <c r="I638" s="933"/>
      <c r="J638" s="933"/>
      <c r="K638" s="933"/>
      <c r="L638" s="933"/>
      <c r="M638" s="933"/>
      <c r="N638" s="933"/>
      <c r="O638" s="1220"/>
      <c r="P638" s="1290"/>
      <c r="Q638" s="1290"/>
      <c r="R638" s="1290"/>
      <c r="S638" s="933"/>
      <c r="T638" s="1220"/>
      <c r="U638" s="932"/>
      <c r="V638" s="1220"/>
      <c r="W638" s="996"/>
      <c r="X638" s="996"/>
      <c r="Y638" s="1220"/>
      <c r="Z638" s="1290"/>
      <c r="AA638" s="933"/>
      <c r="AB638" s="933"/>
      <c r="AC638" s="933"/>
      <c r="AD638" s="933"/>
    </row>
    <row r="639" customFormat="false" ht="15.75" hidden="false" customHeight="true" outlineLevel="1" collapsed="false">
      <c r="A639" s="1191" t="s">
        <v>3142</v>
      </c>
      <c r="B639" s="1269" t="s">
        <v>156</v>
      </c>
      <c r="C639" s="887" t="n">
        <f aca="false">$C$143</f>
        <v>0.15</v>
      </c>
      <c r="D639" s="933" t="n">
        <f aca="false">$J$620</f>
        <v>0.05</v>
      </c>
      <c r="E639" s="1023" t="n">
        <f aca="false">(IF('Ввод данных'!A6=связи1!A95,E622,0)+IF('Ввод данных'!A6=связи1!A96,C622,0)+IF('Ввод данных'!A6=связи1!A98,C622,0))*D621</f>
        <v>0</v>
      </c>
      <c r="F639" s="1023" t="n">
        <f aca="false">I622*IF('Ввод данных'!$F$237=связи1!$A$2,1,0)</f>
        <v>0</v>
      </c>
      <c r="G639" s="933" t="n">
        <f aca="false">C639*D639*E639*F639</f>
        <v>0</v>
      </c>
      <c r="H639" s="933"/>
      <c r="I639" s="933"/>
      <c r="J639" s="933"/>
      <c r="K639" s="933"/>
      <c r="L639" s="933"/>
      <c r="M639" s="933"/>
      <c r="N639" s="933"/>
      <c r="O639" s="1220"/>
      <c r="P639" s="1290"/>
      <c r="Q639" s="1290"/>
      <c r="R639" s="1290"/>
      <c r="S639" s="933"/>
      <c r="T639" s="1220"/>
      <c r="U639" s="932"/>
      <c r="V639" s="1220"/>
      <c r="W639" s="996"/>
      <c r="X639" s="996"/>
      <c r="Y639" s="1220"/>
      <c r="Z639" s="1290"/>
      <c r="AA639" s="933"/>
      <c r="AB639" s="933"/>
      <c r="AC639" s="933"/>
      <c r="AD639" s="933"/>
    </row>
    <row r="640" customFormat="false" ht="15.75" hidden="false" customHeight="true" outlineLevel="1" collapsed="false">
      <c r="A640" s="1191" t="s">
        <v>3266</v>
      </c>
      <c r="B640" s="1269" t="s">
        <v>156</v>
      </c>
      <c r="C640" s="887" t="n">
        <f aca="false">$C$143</f>
        <v>0.15</v>
      </c>
      <c r="D640" s="933" t="n">
        <f aca="false">$J$620</f>
        <v>0.05</v>
      </c>
      <c r="E640" s="1023" t="n">
        <f aca="false">E624</f>
        <v>0</v>
      </c>
      <c r="F640" s="1023" t="n">
        <f aca="false">I624*IF('Ввод данных'!$F$237=связи1!$A$2,1,0)</f>
        <v>0</v>
      </c>
      <c r="G640" s="933" t="n">
        <f aca="false">C640*D640*E640*F640</f>
        <v>0</v>
      </c>
      <c r="H640" s="933"/>
      <c r="I640" s="933"/>
      <c r="J640" s="933"/>
      <c r="K640" s="933"/>
      <c r="L640" s="933"/>
      <c r="M640" s="933"/>
      <c r="N640" s="933"/>
      <c r="O640" s="1220"/>
      <c r="P640" s="1290"/>
      <c r="Q640" s="1290"/>
      <c r="R640" s="1290"/>
      <c r="S640" s="933"/>
      <c r="T640" s="1220"/>
      <c r="U640" s="932"/>
      <c r="V640" s="1220"/>
      <c r="W640" s="996"/>
      <c r="X640" s="996"/>
      <c r="Y640" s="1220"/>
      <c r="Z640" s="1290"/>
      <c r="AA640" s="933"/>
      <c r="AB640" s="933"/>
      <c r="AC640" s="933"/>
      <c r="AD640" s="933"/>
    </row>
    <row r="641" customFormat="false" ht="15.75" hidden="false" customHeight="true" outlineLevel="1" collapsed="false">
      <c r="A641" s="1191" t="s">
        <v>3012</v>
      </c>
      <c r="B641" s="1269" t="s">
        <v>156</v>
      </c>
      <c r="C641" s="887" t="n">
        <f aca="false">$C$143</f>
        <v>0.15</v>
      </c>
      <c r="D641" s="933" t="n">
        <f aca="false">$J$620</f>
        <v>0.05</v>
      </c>
      <c r="E641" s="1023" t="n">
        <f aca="false">E625</f>
        <v>0</v>
      </c>
      <c r="F641" s="1023" t="n">
        <f aca="false">I625*IF('Ввод данных'!$F$237=связи1!$A$2,1,0)</f>
        <v>0</v>
      </c>
      <c r="G641" s="933" t="n">
        <f aca="false">C641*D641*E641*F641</f>
        <v>0</v>
      </c>
      <c r="H641" s="933"/>
      <c r="I641" s="933"/>
      <c r="J641" s="933"/>
      <c r="K641" s="933"/>
      <c r="L641" s="933"/>
      <c r="M641" s="933"/>
      <c r="N641" s="933"/>
      <c r="O641" s="1220"/>
      <c r="P641" s="1290"/>
      <c r="Q641" s="1290"/>
      <c r="R641" s="1290"/>
      <c r="S641" s="933"/>
      <c r="T641" s="1220"/>
      <c r="U641" s="932"/>
      <c r="V641" s="1220"/>
      <c r="W641" s="996"/>
      <c r="X641" s="996"/>
      <c r="Y641" s="1220"/>
      <c r="Z641" s="1290"/>
      <c r="AA641" s="933"/>
      <c r="AB641" s="933"/>
      <c r="AC641" s="933"/>
      <c r="AD641" s="933"/>
    </row>
    <row r="642" customFormat="false" ht="15.75" hidden="false" customHeight="true" outlineLevel="1" collapsed="false">
      <c r="A642" s="933" t="s">
        <v>3267</v>
      </c>
      <c r="B642" s="1269" t="s">
        <v>156</v>
      </c>
      <c r="C642" s="887" t="n">
        <f aca="false">$C$143</f>
        <v>0.15</v>
      </c>
      <c r="D642" s="933" t="n">
        <f aca="false">$J$620</f>
        <v>0.05</v>
      </c>
      <c r="E642" s="1023" t="n">
        <f aca="false">F632*1.05</f>
        <v>5.25</v>
      </c>
      <c r="F642" s="933" t="n">
        <f aca="false">$D$635*IF('Ввод данных'!$A$19=связи1!$A$128,2,2)*IF('Ввод данных'!$F$237=связи1!$A$2,1,0)</f>
        <v>0</v>
      </c>
      <c r="G642" s="933" t="n">
        <f aca="false">C642*D642*E642*F642</f>
        <v>0</v>
      </c>
      <c r="H642" s="933"/>
      <c r="I642" s="933"/>
      <c r="J642" s="933"/>
      <c r="K642" s="933"/>
      <c r="L642" s="933"/>
      <c r="M642" s="933"/>
      <c r="N642" s="933"/>
      <c r="O642" s="1220"/>
      <c r="P642" s="1290"/>
      <c r="Q642" s="1290"/>
      <c r="R642" s="1290"/>
      <c r="S642" s="933"/>
      <c r="T642" s="1220"/>
      <c r="U642" s="932"/>
      <c r="V642" s="1220"/>
      <c r="W642" s="996"/>
      <c r="X642" s="996"/>
      <c r="Y642" s="1220"/>
      <c r="Z642" s="1290"/>
      <c r="AA642" s="933"/>
      <c r="AB642" s="933"/>
      <c r="AC642" s="933"/>
      <c r="AD642" s="933"/>
    </row>
    <row r="643" customFormat="false" ht="15.75" hidden="false" customHeight="true" outlineLevel="1" collapsed="false">
      <c r="A643" s="933" t="s">
        <v>3268</v>
      </c>
      <c r="B643" s="1269" t="s">
        <v>156</v>
      </c>
      <c r="C643" s="887" t="n">
        <f aca="false">$C$143</f>
        <v>0.15</v>
      </c>
      <c r="D643" s="933" t="n">
        <f aca="false">$J$620</f>
        <v>0.05</v>
      </c>
      <c r="E643" s="1023" t="n">
        <f aca="false">C631</f>
        <v>5</v>
      </c>
      <c r="F643" s="933" t="n">
        <f aca="false">$D$635*IF('Ввод данных'!$A$19=связи1!$A$128,2,2)*IF('Ввод данных'!$F$237=связи1!$A$2,1,0)</f>
        <v>0</v>
      </c>
      <c r="G643" s="933" t="n">
        <f aca="false">C643*D643*E643*F643</f>
        <v>0</v>
      </c>
      <c r="H643" s="933"/>
      <c r="I643" s="933"/>
      <c r="J643" s="933"/>
      <c r="K643" s="933"/>
      <c r="L643" s="933"/>
      <c r="M643" s="933"/>
      <c r="N643" s="933"/>
      <c r="O643" s="1220"/>
      <c r="P643" s="1290"/>
      <c r="Q643" s="1290"/>
      <c r="R643" s="1290"/>
      <c r="S643" s="933"/>
      <c r="T643" s="1220"/>
      <c r="U643" s="932"/>
      <c r="V643" s="1220"/>
      <c r="W643" s="996"/>
      <c r="X643" s="996"/>
      <c r="Y643" s="1220"/>
      <c r="Z643" s="1290"/>
      <c r="AA643" s="933"/>
      <c r="AB643" s="933"/>
      <c r="AC643" s="933"/>
      <c r="AD643" s="933"/>
    </row>
    <row r="644" customFormat="false" ht="15.75" hidden="false" customHeight="true" outlineLevel="1" collapsed="false">
      <c r="A644" s="933" t="s">
        <v>3269</v>
      </c>
      <c r="B644" s="1269" t="s">
        <v>156</v>
      </c>
      <c r="C644" s="887" t="n">
        <f aca="false">$C$143</f>
        <v>0.15</v>
      </c>
      <c r="D644" s="933" t="n">
        <f aca="false">$J$620</f>
        <v>0.05</v>
      </c>
      <c r="E644" s="1023" t="n">
        <f aca="false">E642</f>
        <v>5.25</v>
      </c>
      <c r="F644" s="933" t="n">
        <f aca="false">$D$635*IF('Ввод данных'!$A$19=связи1!$A$128,2,2)*IF('Ввод данных'!$F$237=связи1!$A$2,1,0)</f>
        <v>0</v>
      </c>
      <c r="G644" s="933" t="n">
        <f aca="false">C644*D644*E644*F644</f>
        <v>0</v>
      </c>
      <c r="H644" s="933"/>
      <c r="I644" s="933"/>
      <c r="J644" s="933"/>
      <c r="K644" s="933"/>
      <c r="L644" s="933"/>
      <c r="M644" s="933"/>
      <c r="N644" s="933"/>
      <c r="O644" s="1220"/>
      <c r="P644" s="1290"/>
      <c r="Q644" s="1290"/>
      <c r="R644" s="1290"/>
      <c r="S644" s="933"/>
      <c r="T644" s="1220"/>
      <c r="U644" s="932"/>
      <c r="V644" s="1220"/>
      <c r="W644" s="996"/>
      <c r="X644" s="996"/>
      <c r="Y644" s="1220"/>
      <c r="Z644" s="1290"/>
      <c r="AA644" s="933"/>
      <c r="AB644" s="933"/>
      <c r="AC644" s="933"/>
      <c r="AD644" s="933"/>
    </row>
    <row r="645" customFormat="false" ht="15.75" hidden="false" customHeight="true" outlineLevel="1" collapsed="false">
      <c r="A645" s="933" t="s">
        <v>3270</v>
      </c>
      <c r="B645" s="1269" t="s">
        <v>156</v>
      </c>
      <c r="C645" s="887" t="n">
        <f aca="false">$C$143</f>
        <v>0.15</v>
      </c>
      <c r="D645" s="933" t="n">
        <f aca="false">$J$620</f>
        <v>0.05</v>
      </c>
      <c r="E645" s="1023" t="n">
        <f aca="false">P626+Q626</f>
        <v>0</v>
      </c>
      <c r="F645" s="933" t="n">
        <f aca="false">1*IF('Ввод данных'!$F$237=связи1!$A$2,1,0)</f>
        <v>0</v>
      </c>
      <c r="G645" s="933" t="n">
        <f aca="false">C645*D645*E645*F645</f>
        <v>0</v>
      </c>
      <c r="H645" s="933"/>
      <c r="I645" s="933"/>
      <c r="J645" s="933"/>
      <c r="K645" s="933"/>
      <c r="L645" s="933"/>
      <c r="M645" s="933"/>
      <c r="N645" s="933"/>
      <c r="O645" s="1220"/>
      <c r="P645" s="1290"/>
      <c r="Q645" s="1290"/>
      <c r="R645" s="1290"/>
      <c r="S645" s="933"/>
      <c r="T645" s="1220"/>
      <c r="U645" s="932"/>
      <c r="V645" s="1220"/>
      <c r="W645" s="996"/>
      <c r="X645" s="996"/>
      <c r="Y645" s="1220"/>
      <c r="Z645" s="1290"/>
      <c r="AA645" s="933"/>
      <c r="AB645" s="933"/>
      <c r="AC645" s="933"/>
      <c r="AD645" s="933"/>
    </row>
    <row r="646" customFormat="false" ht="15.75" hidden="false" customHeight="true" outlineLevel="1" collapsed="false">
      <c r="A646" s="933" t="s">
        <v>3271</v>
      </c>
      <c r="B646" s="1269" t="s">
        <v>156</v>
      </c>
      <c r="C646" s="887" t="n">
        <f aca="false">$C$143</f>
        <v>0.15</v>
      </c>
      <c r="D646" s="933" t="n">
        <f aca="false">$J$620</f>
        <v>0.05</v>
      </c>
      <c r="E646" s="1023" t="n">
        <f aca="false">R626</f>
        <v>0</v>
      </c>
      <c r="F646" s="933" t="n">
        <f aca="false">1*IF('Ввод данных'!$F$237=связи1!$A$2,1,0)</f>
        <v>0</v>
      </c>
      <c r="G646" s="933" t="n">
        <f aca="false">C646*D646*E646*F646</f>
        <v>0</v>
      </c>
      <c r="H646" s="933"/>
      <c r="I646" s="933"/>
      <c r="J646" s="933"/>
      <c r="K646" s="933"/>
      <c r="L646" s="933"/>
      <c r="M646" s="933"/>
      <c r="N646" s="933"/>
      <c r="O646" s="1220"/>
      <c r="P646" s="1290"/>
      <c r="Q646" s="1290"/>
      <c r="R646" s="1290"/>
      <c r="S646" s="933"/>
      <c r="T646" s="1220"/>
      <c r="U646" s="932"/>
      <c r="V646" s="1220"/>
      <c r="W646" s="996"/>
      <c r="X646" s="996"/>
      <c r="Y646" s="1220"/>
      <c r="Z646" s="1290"/>
      <c r="AA646" s="933"/>
      <c r="AB646" s="933"/>
      <c r="AC646" s="933"/>
      <c r="AD646" s="933"/>
    </row>
    <row r="647" customFormat="false" ht="15.75" hidden="false" customHeight="true" outlineLevel="1" collapsed="false">
      <c r="A647" s="1430" t="s">
        <v>3272</v>
      </c>
      <c r="B647" s="1431" t="s">
        <v>156</v>
      </c>
      <c r="C647" s="1384" t="n">
        <f aca="false">$C$151</f>
        <v>0.12</v>
      </c>
      <c r="D647" s="1382" t="n">
        <f aca="false">$J$375</f>
        <v>0.05</v>
      </c>
      <c r="E647" s="1385" t="n">
        <f aca="false">E836</f>
        <v>0</v>
      </c>
      <c r="F647" s="1382" t="n">
        <f aca="false">(I840+I850)</f>
        <v>0</v>
      </c>
      <c r="G647" s="1382" t="n">
        <f aca="false">C647*D647*E647*F647</f>
        <v>0</v>
      </c>
      <c r="H647" s="1382"/>
      <c r="I647" s="933"/>
      <c r="J647" s="933"/>
      <c r="K647" s="933"/>
      <c r="L647" s="933"/>
      <c r="M647" s="933"/>
      <c r="N647" s="933"/>
      <c r="O647" s="1220"/>
      <c r="P647" s="1290"/>
      <c r="Q647" s="1290"/>
      <c r="R647" s="1290"/>
      <c r="S647" s="933"/>
      <c r="T647" s="1220"/>
      <c r="U647" s="932"/>
      <c r="V647" s="1220"/>
      <c r="W647" s="996"/>
      <c r="X647" s="996"/>
      <c r="Y647" s="1220"/>
      <c r="Z647" s="1290"/>
      <c r="AA647" s="933"/>
      <c r="AB647" s="933"/>
      <c r="AC647" s="933"/>
      <c r="AD647" s="933"/>
    </row>
    <row r="648" customFormat="false" ht="15.75" hidden="false" customHeight="true" outlineLevel="1" collapsed="false">
      <c r="A648" s="1430" t="s">
        <v>3273</v>
      </c>
      <c r="B648" s="1431" t="s">
        <v>156</v>
      </c>
      <c r="C648" s="1384" t="n">
        <f aca="false">$C$151</f>
        <v>0.12</v>
      </c>
      <c r="D648" s="1382" t="n">
        <f aca="false">$J$375</f>
        <v>0.05</v>
      </c>
      <c r="E648" s="1385" t="n">
        <f aca="false">P840+P850+Q840+Q850</f>
        <v>0</v>
      </c>
      <c r="F648" s="1382"/>
      <c r="G648" s="1382" t="n">
        <f aca="false">C648*D648*E648</f>
        <v>0</v>
      </c>
      <c r="H648" s="1382"/>
      <c r="I648" s="933"/>
      <c r="J648" s="933"/>
      <c r="K648" s="933"/>
      <c r="L648" s="933"/>
      <c r="M648" s="933"/>
      <c r="N648" s="933"/>
      <c r="O648" s="1220"/>
      <c r="P648" s="1290"/>
      <c r="Q648" s="1290"/>
      <c r="R648" s="1290"/>
      <c r="S648" s="933"/>
      <c r="T648" s="1220"/>
      <c r="U648" s="932"/>
      <c r="V648" s="1220"/>
      <c r="W648" s="996"/>
      <c r="X648" s="996"/>
      <c r="Y648" s="1220"/>
      <c r="Z648" s="1290"/>
      <c r="AA648" s="933"/>
      <c r="AB648" s="933"/>
      <c r="AC648" s="933"/>
      <c r="AD648" s="933"/>
    </row>
    <row r="649" customFormat="false" ht="15.75" hidden="false" customHeight="true" outlineLevel="1" collapsed="false">
      <c r="A649" s="1430" t="s">
        <v>3274</v>
      </c>
      <c r="B649" s="1431" t="s">
        <v>156</v>
      </c>
      <c r="C649" s="1384" t="n">
        <f aca="false">$C$151</f>
        <v>0.12</v>
      </c>
      <c r="D649" s="1382" t="n">
        <f aca="false">$J$375</f>
        <v>0.05</v>
      </c>
      <c r="E649" s="1385" t="n">
        <f aca="false">R840+R850</f>
        <v>0</v>
      </c>
      <c r="F649" s="1382"/>
      <c r="G649" s="1382" t="n">
        <f aca="false">C649*D649*E649</f>
        <v>0</v>
      </c>
      <c r="H649" s="1382"/>
      <c r="I649" s="933"/>
      <c r="J649" s="933"/>
      <c r="K649" s="933"/>
      <c r="L649" s="933"/>
      <c r="M649" s="933"/>
      <c r="N649" s="933"/>
      <c r="O649" s="1220"/>
      <c r="P649" s="1290"/>
      <c r="Q649" s="1290"/>
      <c r="R649" s="1290"/>
      <c r="S649" s="933"/>
      <c r="T649" s="1220"/>
      <c r="U649" s="932"/>
      <c r="V649" s="1220"/>
      <c r="W649" s="996"/>
      <c r="X649" s="996"/>
      <c r="Y649" s="1220"/>
      <c r="Z649" s="1290"/>
      <c r="AA649" s="933"/>
      <c r="AB649" s="933"/>
      <c r="AC649" s="933"/>
      <c r="AD649" s="933"/>
    </row>
    <row r="650" customFormat="false" ht="15.75" hidden="false" customHeight="true" outlineLevel="1" collapsed="false">
      <c r="A650" s="1430" t="s">
        <v>3275</v>
      </c>
      <c r="B650" s="1431" t="s">
        <v>156</v>
      </c>
      <c r="C650" s="1384" t="n">
        <f aca="false">$C$180</f>
        <v>0.17</v>
      </c>
      <c r="D650" s="1382" t="n">
        <f aca="false">$D$180</f>
        <v>0.05</v>
      </c>
      <c r="E650" s="1385" t="n">
        <f aca="false">E841</f>
        <v>0</v>
      </c>
      <c r="F650" s="1382" t="n">
        <f aca="false">I845+I855</f>
        <v>0</v>
      </c>
      <c r="G650" s="1382" t="n">
        <f aca="false">C650*D650*E650*F650</f>
        <v>0</v>
      </c>
      <c r="H650" s="1382"/>
      <c r="I650" s="933"/>
      <c r="J650" s="933"/>
      <c r="K650" s="933"/>
      <c r="L650" s="933"/>
      <c r="M650" s="933"/>
      <c r="N650" s="933"/>
      <c r="O650" s="1220"/>
      <c r="P650" s="1290"/>
      <c r="Q650" s="1290"/>
      <c r="R650" s="1290"/>
      <c r="S650" s="933"/>
      <c r="T650" s="1220"/>
      <c r="U650" s="932"/>
      <c r="V650" s="1220"/>
      <c r="W650" s="996"/>
      <c r="X650" s="996"/>
      <c r="Y650" s="1220"/>
      <c r="Z650" s="1290"/>
      <c r="AA650" s="933"/>
      <c r="AB650" s="933"/>
      <c r="AC650" s="933"/>
      <c r="AD650" s="933"/>
    </row>
    <row r="651" customFormat="false" ht="15.75" hidden="false" customHeight="true" outlineLevel="1" collapsed="false">
      <c r="A651" s="1430" t="s">
        <v>3276</v>
      </c>
      <c r="B651" s="1431" t="s">
        <v>156</v>
      </c>
      <c r="C651" s="1384" t="n">
        <f aca="false">$C$180</f>
        <v>0.17</v>
      </c>
      <c r="D651" s="1382" t="n">
        <f aca="false">$D$180</f>
        <v>0.05</v>
      </c>
      <c r="E651" s="1385" t="n">
        <f aca="false">P845+P855+Q845+Q855</f>
        <v>0</v>
      </c>
      <c r="F651" s="1382"/>
      <c r="G651" s="1382" t="n">
        <f aca="false">C651*D651*E651</f>
        <v>0</v>
      </c>
      <c r="H651" s="1382"/>
      <c r="I651" s="933"/>
      <c r="J651" s="933"/>
      <c r="K651" s="933"/>
      <c r="L651" s="933"/>
      <c r="M651" s="933"/>
      <c r="N651" s="933"/>
      <c r="O651" s="1220"/>
      <c r="P651" s="1290"/>
      <c r="Q651" s="1290"/>
      <c r="R651" s="1290"/>
      <c r="S651" s="933"/>
      <c r="T651" s="1220"/>
      <c r="U651" s="932"/>
      <c r="V651" s="1220"/>
      <c r="W651" s="996"/>
      <c r="X651" s="996"/>
      <c r="Y651" s="1220"/>
      <c r="Z651" s="1290"/>
      <c r="AA651" s="933"/>
      <c r="AB651" s="933"/>
      <c r="AC651" s="933"/>
      <c r="AD651" s="933"/>
    </row>
    <row r="652" customFormat="false" ht="15.75" hidden="false" customHeight="true" outlineLevel="1" collapsed="false">
      <c r="A652" s="933" t="s">
        <v>3277</v>
      </c>
      <c r="B652" s="1269" t="s">
        <v>156</v>
      </c>
      <c r="C652" s="887" t="n">
        <f aca="false">$C$143</f>
        <v>0.15</v>
      </c>
      <c r="D652" s="933" t="n">
        <f aca="false">$J$620</f>
        <v>0.05</v>
      </c>
      <c r="E652" s="537" t="n">
        <f aca="false">IF('Ввод данных'!A6=связи1!A95,C621,0)+IF('Ввод данных'!A6=связи1!A96,дома!C621,0)+IF('Ввод данных'!A6=связи1!A98,дома!C621,0)</f>
        <v>0</v>
      </c>
      <c r="F652" s="537" t="n">
        <f aca="false">IF(E652&lt;($E$627+0.5),1,0)*$D$635*IF('Ввод данных'!$A$19=связи1!$A$128,2,2)*IF('Ввод данных'!$F$237=связи1!$A$2,1,0)</f>
        <v>0</v>
      </c>
      <c r="G652" s="933" t="n">
        <f aca="false">C652*D652*E652*F652</f>
        <v>0</v>
      </c>
      <c r="H652" s="933"/>
      <c r="I652" s="933"/>
      <c r="J652" s="933"/>
      <c r="K652" s="933"/>
      <c r="L652" s="933"/>
      <c r="M652" s="933"/>
      <c r="N652" s="933"/>
      <c r="O652" s="1220"/>
      <c r="P652" s="1290"/>
      <c r="Q652" s="1290"/>
      <c r="R652" s="1290"/>
      <c r="S652" s="933"/>
      <c r="T652" s="1220"/>
      <c r="U652" s="932"/>
      <c r="V652" s="1220"/>
      <c r="W652" s="996"/>
      <c r="X652" s="996"/>
      <c r="Y652" s="1220"/>
      <c r="Z652" s="1290"/>
      <c r="AA652" s="933"/>
      <c r="AB652" s="933"/>
      <c r="AC652" s="933"/>
      <c r="AD652" s="933"/>
    </row>
    <row r="653" customFormat="false" ht="15.75" hidden="false" customHeight="true" outlineLevel="1" collapsed="false">
      <c r="A653" s="933" t="s">
        <v>3278</v>
      </c>
      <c r="B653" s="1269" t="s">
        <v>156</v>
      </c>
      <c r="C653" s="887" t="n">
        <f aca="false">$C$143</f>
        <v>0.15</v>
      </c>
      <c r="D653" s="933" t="n">
        <f aca="false">$J$620</f>
        <v>0.05</v>
      </c>
      <c r="E653" s="933" t="n">
        <f aca="false">IF(E652=0,0,IF('Ввод данных'!$A$6=связи1!$A$95,IF(дома!E652+дома!$C$630&lt;дома!$E$627+0.3,дома!E652+дома!$C$630,0),0))+IF(E652=0,0,IF('Ввод данных'!$A$6=связи1!$A$96,IF(дома!E652+0.05+дома!$C$630&gt;дома!$E$627+0.4,0,дома!E652+дома!$C$630),0))+IF(E652=0,0,IF('Ввод данных'!$A$6=связи1!$A$98,IF(дома!E652+0.05+дома!$C$630&gt;дома!$E$627+0.4,0,дома!E652+дома!$C$630),0))</f>
        <v>0</v>
      </c>
      <c r="F653" s="537" t="n">
        <f aca="false">IF(E653&lt;($E$627+0.5),1,0)*$D$635*IF('Ввод данных'!$A$19=связи1!$A$128,2,2)*IF('Ввод данных'!$F$237=связи1!$A$2,1,0)</f>
        <v>0</v>
      </c>
      <c r="G653" s="933" t="n">
        <f aca="false">C653*D653*E653*F653</f>
        <v>0</v>
      </c>
      <c r="H653" s="933"/>
      <c r="I653" s="933"/>
      <c r="J653" s="933"/>
      <c r="K653" s="933"/>
      <c r="L653" s="933"/>
      <c r="M653" s="933"/>
      <c r="N653" s="933"/>
      <c r="O653" s="1220"/>
      <c r="P653" s="1290"/>
      <c r="Q653" s="1290"/>
      <c r="R653" s="1290"/>
      <c r="S653" s="933"/>
      <c r="T653" s="1220"/>
      <c r="U653" s="932"/>
      <c r="V653" s="1220"/>
      <c r="W653" s="996"/>
      <c r="X653" s="996"/>
      <c r="Y653" s="1220"/>
      <c r="Z653" s="1290"/>
      <c r="AA653" s="933"/>
      <c r="AB653" s="933"/>
      <c r="AC653" s="933"/>
      <c r="AD653" s="933"/>
    </row>
    <row r="654" customFormat="false" ht="15.75" hidden="false" customHeight="true" outlineLevel="1" collapsed="false">
      <c r="A654" s="933" t="s">
        <v>3279</v>
      </c>
      <c r="B654" s="1269" t="s">
        <v>156</v>
      </c>
      <c r="C654" s="887" t="n">
        <f aca="false">$C$143</f>
        <v>0.15</v>
      </c>
      <c r="D654" s="933" t="n">
        <f aca="false">$J$620</f>
        <v>0.05</v>
      </c>
      <c r="E654" s="933" t="n">
        <f aca="false">IF(E653=0,0,IF('Ввод данных'!$A$6=связи1!$A$95,IF(дома!E653+дома!$C$630&lt;дома!$E$627+0.3,дома!E653+дома!$C$630,0),0))+IF(E653=0,0,IF('Ввод данных'!$A$6=связи1!$A$96,IF(дома!E653+0.05+дома!$C$630&gt;дома!$E$627+0.4,0,дома!E653+дома!$C$630),0))+IF(E653=0,0,IF('Ввод данных'!$A$6=связи1!$A$98,IF(дома!E653+0.05+дома!$C$630&gt;дома!$E$627+0.4,0,дома!E653+дома!$C$630),0))</f>
        <v>0</v>
      </c>
      <c r="F654" s="537" t="n">
        <f aca="false">IF(E654&lt;($E$627+0.5),1,0)*$D$635*IF('Ввод данных'!$A$19=связи1!$A$128,2,2)*IF('Ввод данных'!$F$237=связи1!$A$2,1,0)</f>
        <v>0</v>
      </c>
      <c r="G654" s="933" t="n">
        <f aca="false">C654*D654*E654*F654</f>
        <v>0</v>
      </c>
      <c r="H654" s="933"/>
      <c r="I654" s="933"/>
      <c r="J654" s="933"/>
      <c r="K654" s="933"/>
      <c r="L654" s="933"/>
      <c r="M654" s="933"/>
      <c r="N654" s="933"/>
      <c r="O654" s="1220"/>
      <c r="P654" s="1290"/>
      <c r="Q654" s="1290"/>
      <c r="R654" s="1290"/>
      <c r="S654" s="933"/>
      <c r="T654" s="1220"/>
      <c r="U654" s="932"/>
      <c r="V654" s="1220"/>
      <c r="W654" s="996"/>
      <c r="X654" s="996"/>
      <c r="Y654" s="1220"/>
      <c r="Z654" s="1290"/>
      <c r="AA654" s="933"/>
      <c r="AB654" s="933"/>
      <c r="AC654" s="933"/>
      <c r="AD654" s="933"/>
    </row>
    <row r="655" customFormat="false" ht="15.75" hidden="false" customHeight="true" outlineLevel="1" collapsed="false">
      <c r="A655" s="933" t="s">
        <v>3280</v>
      </c>
      <c r="B655" s="1269" t="s">
        <v>156</v>
      </c>
      <c r="C655" s="887" t="n">
        <f aca="false">$C$143</f>
        <v>0.15</v>
      </c>
      <c r="D655" s="933" t="n">
        <f aca="false">$J$620</f>
        <v>0.05</v>
      </c>
      <c r="E655" s="933" t="n">
        <f aca="false">IF(E654=0,0,IF('Ввод данных'!$A$6=связи1!$A$95,IF(дома!E654+дома!$C$630&lt;дома!$E$627+0.3,дома!E654+дома!$C$630,0),0))+IF(E654=0,0,IF('Ввод данных'!$A$6=связи1!$A$96,IF(дома!E654+0.05+дома!$C$630&gt;дома!$E$627+0.4,0,дома!E654+дома!$C$630),0))+IF(E654=0,0,IF('Ввод данных'!$A$6=связи1!$A$98,IF(дома!E654+0.05+дома!$C$630&gt;дома!$E$627+0.4,0,дома!E654+дома!$C$630),0))</f>
        <v>0</v>
      </c>
      <c r="F655" s="537" t="n">
        <f aca="false">IF(E655&lt;($E$627+0.5),1,0)*$D$635*IF('Ввод данных'!$A$19=связи1!$A$128,2,2)*IF('Ввод данных'!$F$237=связи1!$A$2,1,0)</f>
        <v>0</v>
      </c>
      <c r="G655" s="933" t="n">
        <f aca="false">C655*D655*E655*F655</f>
        <v>0</v>
      </c>
      <c r="H655" s="933"/>
      <c r="I655" s="933"/>
      <c r="J655" s="933"/>
      <c r="K655" s="933"/>
      <c r="L655" s="933"/>
      <c r="M655" s="933"/>
      <c r="N655" s="933"/>
      <c r="O655" s="1220"/>
      <c r="P655" s="1290"/>
      <c r="Q655" s="1290"/>
      <c r="R655" s="1290"/>
      <c r="S655" s="933"/>
      <c r="T655" s="1220"/>
      <c r="U655" s="932"/>
      <c r="V655" s="1220"/>
      <c r="W655" s="996"/>
      <c r="X655" s="996"/>
      <c r="Y655" s="1220"/>
      <c r="Z655" s="1290"/>
      <c r="AA655" s="933"/>
      <c r="AB655" s="933"/>
      <c r="AC655" s="933"/>
      <c r="AD655" s="933"/>
    </row>
    <row r="656" customFormat="false" ht="15.75" hidden="false" customHeight="true" outlineLevel="1" collapsed="false">
      <c r="A656" s="933" t="s">
        <v>3281</v>
      </c>
      <c r="B656" s="1269" t="s">
        <v>156</v>
      </c>
      <c r="C656" s="887" t="n">
        <f aca="false">$C$143</f>
        <v>0.15</v>
      </c>
      <c r="D656" s="933" t="n">
        <f aca="false">$J$620</f>
        <v>0.05</v>
      </c>
      <c r="E656" s="933" t="n">
        <f aca="false">IF(E655=0,0,IF('Ввод данных'!$A$6=связи1!$A$95,IF(дома!E655+дома!$C$630&lt;дома!$E$627+0.3,дома!E655+дома!$C$630,0),0))+IF(E655=0,0,IF('Ввод данных'!$A$6=связи1!$A$96,IF(дома!E655+0.05+дома!$C$630&gt;дома!$E$627+0.4,0,дома!E655+дома!$C$630),0))+IF(E655=0,0,IF('Ввод данных'!$A$6=связи1!$A$98,IF(дома!E655+0.05+дома!$C$630&gt;дома!$E$627+0.4,0,дома!E655+дома!$C$630),0))</f>
        <v>0</v>
      </c>
      <c r="F656" s="537" t="n">
        <f aca="false">IF(E656&lt;($E$627+0.5),1,0)*$D$635*IF('Ввод данных'!$A$19=связи1!$A$128,2,2)*IF('Ввод данных'!$F$237=связи1!$A$2,1,0)</f>
        <v>0</v>
      </c>
      <c r="G656" s="933" t="n">
        <f aca="false">C656*D656*E656*F656</f>
        <v>0</v>
      </c>
      <c r="H656" s="933"/>
      <c r="I656" s="933"/>
      <c r="J656" s="933"/>
      <c r="K656" s="933"/>
      <c r="L656" s="933"/>
      <c r="M656" s="933"/>
      <c r="N656" s="933"/>
      <c r="O656" s="1220"/>
      <c r="P656" s="1290"/>
      <c r="Q656" s="1290"/>
      <c r="R656" s="1290"/>
      <c r="S656" s="933"/>
      <c r="T656" s="1220"/>
      <c r="U656" s="932"/>
      <c r="V656" s="1220"/>
      <c r="W656" s="996"/>
      <c r="X656" s="996"/>
      <c r="Y656" s="1220"/>
      <c r="Z656" s="1290"/>
      <c r="AA656" s="933"/>
      <c r="AB656" s="933"/>
      <c r="AC656" s="933"/>
      <c r="AD656" s="933"/>
    </row>
    <row r="657" customFormat="false" ht="15.75" hidden="false" customHeight="true" outlineLevel="1" collapsed="false">
      <c r="A657" s="933" t="s">
        <v>3282</v>
      </c>
      <c r="B657" s="1269" t="s">
        <v>156</v>
      </c>
      <c r="C657" s="887" t="n">
        <f aca="false">$C$143</f>
        <v>0.15</v>
      </c>
      <c r="D657" s="933" t="n">
        <f aca="false">$J$620</f>
        <v>0.05</v>
      </c>
      <c r="E657" s="933" t="n">
        <f aca="false">IF(E656=0,0,IF('Ввод данных'!$A$6=связи1!$A$95,IF(дома!E656+дома!$C$630&lt;дома!$E$627+0.3,дома!E656+дома!$C$630,0),0))+IF(E656=0,0,IF('Ввод данных'!$A$6=связи1!$A$96,IF(дома!E656+0.05+дома!$C$630&gt;дома!$E$627+0.4,0,дома!E656+дома!$C$630),0))+IF(E656=0,0,IF('Ввод данных'!$A$6=связи1!$A$98,IF(дома!E656+0.05+дома!$C$630&gt;дома!$E$627+0.4,0,дома!E656+дома!$C$630),0))</f>
        <v>0</v>
      </c>
      <c r="F657" s="537" t="n">
        <f aca="false">IF(E657&lt;($E$627+0.5),1,0)*$D$635*IF('Ввод данных'!$A$19=связи1!$A$128,2,2)*IF('Ввод данных'!$F$237=связи1!$A$2,1,0)</f>
        <v>0</v>
      </c>
      <c r="G657" s="933" t="n">
        <f aca="false">C657*D657*E657*F657</f>
        <v>0</v>
      </c>
      <c r="H657" s="933"/>
      <c r="I657" s="933"/>
      <c r="J657" s="933"/>
      <c r="K657" s="933"/>
      <c r="L657" s="933"/>
      <c r="M657" s="933"/>
      <c r="N657" s="933"/>
      <c r="O657" s="1220"/>
      <c r="P657" s="1290"/>
      <c r="Q657" s="1290"/>
      <c r="R657" s="1290"/>
      <c r="S657" s="933"/>
      <c r="T657" s="1220"/>
      <c r="U657" s="932"/>
      <c r="V657" s="1220"/>
      <c r="W657" s="996"/>
      <c r="X657" s="996"/>
      <c r="Y657" s="1220"/>
      <c r="Z657" s="1290"/>
      <c r="AA657" s="933"/>
      <c r="AB657" s="933"/>
      <c r="AC657" s="933"/>
      <c r="AD657" s="933"/>
    </row>
    <row r="658" customFormat="false" ht="15.75" hidden="false" customHeight="true" outlineLevel="1" collapsed="false">
      <c r="A658" s="933" t="s">
        <v>3283</v>
      </c>
      <c r="B658" s="1269" t="s">
        <v>156</v>
      </c>
      <c r="C658" s="887" t="n">
        <f aca="false">$C$143</f>
        <v>0.15</v>
      </c>
      <c r="D658" s="933" t="n">
        <f aca="false">$J$620</f>
        <v>0.05</v>
      </c>
      <c r="E658" s="933" t="n">
        <f aca="false">IF(E657=0,0,IF('Ввод данных'!$A$6=связи1!$A$95,IF(дома!E657+дома!$C$630&lt;дома!$E$627+0.3,дома!E657+дома!$C$630,0),0))+IF(E657=0,0,IF('Ввод данных'!$A$6=связи1!$A$96,IF(дома!E657+0.05+дома!$C$630&gt;дома!$E$627+0.4,0,дома!E657+дома!$C$630),0))+IF(E657=0,0,IF('Ввод данных'!$A$6=связи1!$A$98,IF(дома!E657+0.05+дома!$C$630&gt;дома!$E$627+0.4,0,дома!E657+дома!$C$630),0))</f>
        <v>0</v>
      </c>
      <c r="F658" s="537" t="n">
        <f aca="false">IF(E658&lt;($E$627+0.5),1,0)*$D$635*IF('Ввод данных'!$A$19=связи1!$A$128,2,2)*IF('Ввод данных'!$F$237=связи1!$A$2,1,0)</f>
        <v>0</v>
      </c>
      <c r="G658" s="933" t="n">
        <f aca="false">C658*D658*E658*F658</f>
        <v>0</v>
      </c>
      <c r="H658" s="933"/>
      <c r="I658" s="933"/>
      <c r="J658" s="933"/>
      <c r="K658" s="933"/>
      <c r="L658" s="933"/>
      <c r="M658" s="933"/>
      <c r="N658" s="933"/>
      <c r="O658" s="1220"/>
      <c r="P658" s="1290"/>
      <c r="Q658" s="1290"/>
      <c r="R658" s="1290"/>
      <c r="S658" s="933"/>
      <c r="T658" s="1220"/>
      <c r="U658" s="932"/>
      <c r="V658" s="1220"/>
      <c r="W658" s="996"/>
      <c r="X658" s="996"/>
      <c r="Y658" s="1220"/>
      <c r="Z658" s="1290"/>
      <c r="AA658" s="933"/>
      <c r="AB658" s="933"/>
      <c r="AC658" s="933"/>
      <c r="AD658" s="933"/>
    </row>
    <row r="659" customFormat="false" ht="15.75" hidden="false" customHeight="true" outlineLevel="1" collapsed="false">
      <c r="A659" s="933" t="s">
        <v>3284</v>
      </c>
      <c r="B659" s="1269" t="s">
        <v>156</v>
      </c>
      <c r="C659" s="887" t="n">
        <f aca="false">$C$143</f>
        <v>0.15</v>
      </c>
      <c r="D659" s="933" t="n">
        <f aca="false">$J$620</f>
        <v>0.05</v>
      </c>
      <c r="E659" s="933" t="n">
        <f aca="false">IF(E658=0,0,IF('Ввод данных'!$A$6=связи1!$A$95,IF(дома!E658+дома!$C$630&lt;дома!$E$627+0.3,дома!E658+дома!$C$630,0),0))+IF(E658=0,0,IF('Ввод данных'!$A$6=связи1!$A$96,IF(дома!E658+0.05+дома!$C$630&gt;дома!$E$627+0.4,0,дома!E658+дома!$C$630),0))+IF(E658=0,0,IF('Ввод данных'!$A$6=связи1!$A$98,IF(дома!E658+0.05+дома!$C$630&gt;дома!$E$627+0.4,0,дома!E658+дома!$C$630),0))</f>
        <v>0</v>
      </c>
      <c r="F659" s="537" t="n">
        <f aca="false">IF(E659&lt;($E$627+0.5),1,0)*$D$635*IF('Ввод данных'!$A$19=связи1!$A$128,2,2)*IF('Ввод данных'!$F$237=связи1!$A$2,1,0)</f>
        <v>0</v>
      </c>
      <c r="G659" s="933" t="n">
        <f aca="false">C659*D659*E659*F659</f>
        <v>0</v>
      </c>
      <c r="H659" s="933"/>
      <c r="I659" s="933"/>
      <c r="J659" s="933"/>
      <c r="K659" s="933"/>
      <c r="L659" s="933"/>
      <c r="M659" s="933"/>
      <c r="N659" s="933"/>
      <c r="O659" s="1220"/>
      <c r="P659" s="1290"/>
      <c r="Q659" s="1290"/>
      <c r="R659" s="1290"/>
      <c r="S659" s="933"/>
      <c r="T659" s="1220"/>
      <c r="U659" s="932"/>
      <c r="V659" s="1220"/>
      <c r="W659" s="996"/>
      <c r="X659" s="996"/>
      <c r="Y659" s="1220"/>
      <c r="Z659" s="1290"/>
      <c r="AA659" s="933"/>
      <c r="AB659" s="933"/>
      <c r="AC659" s="933"/>
      <c r="AD659" s="933"/>
    </row>
    <row r="660" customFormat="false" ht="15.75" hidden="false" customHeight="true" outlineLevel="1" collapsed="false">
      <c r="A660" s="933" t="s">
        <v>3285</v>
      </c>
      <c r="B660" s="1269" t="s">
        <v>156</v>
      </c>
      <c r="C660" s="887" t="n">
        <f aca="false">$C$143</f>
        <v>0.15</v>
      </c>
      <c r="D660" s="933" t="n">
        <f aca="false">$J$620</f>
        <v>0.05</v>
      </c>
      <c r="E660" s="933" t="n">
        <f aca="false">IF(E659=0,0,IF('Ввод данных'!$A$6=связи1!$A$95,IF(дома!E659+дома!$C$630&lt;дома!$E$627+0.3,дома!E659+дома!$C$630,0),0))+IF(E659=0,0,IF('Ввод данных'!$A$6=связи1!$A$96,IF(дома!E659+0.05+дома!$C$630&gt;дома!$E$627+0.4,0,дома!E659+дома!$C$630),0))+IF(E659=0,0,IF('Ввод данных'!$A$6=связи1!$A$98,IF(дома!E659+0.05+дома!$C$630&gt;дома!$E$627+0.4,0,дома!E659+дома!$C$630),0))</f>
        <v>0</v>
      </c>
      <c r="F660" s="537" t="n">
        <f aca="false">IF(E660&lt;($E$627+0.5),1,0)*$D$635*IF('Ввод данных'!$A$19=связи1!$A$128,2,2)*IF('Ввод данных'!$F$237=связи1!$A$2,1,0)</f>
        <v>0</v>
      </c>
      <c r="G660" s="933" t="n">
        <f aca="false">C660*D660*E660*F660</f>
        <v>0</v>
      </c>
      <c r="H660" s="933"/>
      <c r="I660" s="933"/>
      <c r="J660" s="933"/>
      <c r="K660" s="933"/>
      <c r="L660" s="933"/>
      <c r="M660" s="933"/>
      <c r="N660" s="933"/>
      <c r="O660" s="1220"/>
      <c r="P660" s="1290"/>
      <c r="Q660" s="1290"/>
      <c r="R660" s="1290"/>
      <c r="S660" s="933"/>
      <c r="T660" s="1220"/>
      <c r="U660" s="932"/>
      <c r="V660" s="1220"/>
      <c r="W660" s="996"/>
      <c r="X660" s="996"/>
      <c r="Y660" s="1220"/>
      <c r="Z660" s="1290"/>
      <c r="AA660" s="933"/>
      <c r="AB660" s="933"/>
      <c r="AC660" s="933"/>
      <c r="AD660" s="933"/>
    </row>
    <row r="661" customFormat="false" ht="15.75" hidden="false" customHeight="true" outlineLevel="1" collapsed="false">
      <c r="A661" s="933" t="s">
        <v>3286</v>
      </c>
      <c r="B661" s="1269" t="s">
        <v>156</v>
      </c>
      <c r="C661" s="887" t="n">
        <f aca="false">$C$143</f>
        <v>0.15</v>
      </c>
      <c r="D661" s="933" t="n">
        <f aca="false">$J$620</f>
        <v>0.05</v>
      </c>
      <c r="E661" s="933" t="n">
        <f aca="false">IF(E660=0,0,IF('Ввод данных'!$A$6=связи1!$A$95,IF(дома!E660+дома!$C$630&lt;дома!$E$627+0.3,дома!E660+дома!$C$630,0),0))+IF(E660=0,0,IF('Ввод данных'!$A$6=связи1!$A$96,IF(дома!E660+0.05+дома!$C$630&gt;дома!$E$627+0.4,0,дома!E660+дома!$C$630),0))+IF(E660=0,0,IF('Ввод данных'!$A$6=связи1!$A$98,IF(дома!E660+0.05+дома!$C$630&gt;дома!$E$627+0.4,0,дома!E660+дома!$C$630),0))</f>
        <v>0</v>
      </c>
      <c r="F661" s="537" t="n">
        <f aca="false">IF(E661&lt;($E$627+0.5),1,0)*$D$635*IF('Ввод данных'!$A$19=связи1!$A$128,2,2)*IF('Ввод данных'!$F$237=связи1!$A$2,1,0)</f>
        <v>0</v>
      </c>
      <c r="G661" s="933" t="n">
        <f aca="false">C661*D661*E661*F661</f>
        <v>0</v>
      </c>
      <c r="H661" s="933"/>
      <c r="I661" s="933"/>
      <c r="J661" s="933"/>
      <c r="K661" s="933"/>
      <c r="L661" s="933"/>
      <c r="M661" s="933"/>
      <c r="N661" s="933"/>
      <c r="O661" s="1220"/>
      <c r="P661" s="1290"/>
      <c r="Q661" s="1290"/>
      <c r="R661" s="1290"/>
      <c r="S661" s="933"/>
      <c r="T661" s="1220"/>
      <c r="U661" s="932"/>
      <c r="V661" s="1220"/>
      <c r="W661" s="996"/>
      <c r="X661" s="996"/>
      <c r="Y661" s="1220"/>
      <c r="Z661" s="1290"/>
      <c r="AA661" s="933"/>
      <c r="AB661" s="933"/>
      <c r="AC661" s="933"/>
      <c r="AD661" s="933"/>
    </row>
    <row r="662" customFormat="false" ht="15.75" hidden="false" customHeight="true" outlineLevel="1" collapsed="false">
      <c r="A662" s="933" t="s">
        <v>3287</v>
      </c>
      <c r="B662" s="1269" t="s">
        <v>156</v>
      </c>
      <c r="C662" s="887" t="n">
        <f aca="false">$C$143</f>
        <v>0.15</v>
      </c>
      <c r="D662" s="933" t="n">
        <f aca="false">$J$620</f>
        <v>0.05</v>
      </c>
      <c r="E662" s="933" t="n">
        <f aca="false">IF(E661=0,0,IF('Ввод данных'!$A$6=связи1!$A$95,IF(дома!E661+дома!$C$630&lt;дома!$E$627+0.3,дома!E661+дома!$C$630,0),0))+IF(E661=0,0,IF('Ввод данных'!$A$6=связи1!$A$96,IF(дома!E661+0.05+дома!$C$630&gt;дома!$E$627+0.4,0,дома!E661+дома!$C$630),0))+IF(E661=0,0,IF('Ввод данных'!$A$6=связи1!$A$98,IF(дома!E661+0.05+дома!$C$630&gt;дома!$E$627+0.4,0,дома!E661+дома!$C$630),0))</f>
        <v>0</v>
      </c>
      <c r="F662" s="537" t="n">
        <f aca="false">IF(E662&lt;($E$627+0.5),1,0)*$D$635*IF('Ввод данных'!$A$19=связи1!$A$128,2,2)*IF('Ввод данных'!$F$237=связи1!$A$2,1,0)</f>
        <v>0</v>
      </c>
      <c r="G662" s="933" t="n">
        <f aca="false">C662*D662*E662*F662</f>
        <v>0</v>
      </c>
      <c r="H662" s="933"/>
      <c r="I662" s="933"/>
      <c r="J662" s="933"/>
      <c r="K662" s="933"/>
      <c r="L662" s="933"/>
      <c r="M662" s="933"/>
      <c r="N662" s="933"/>
      <c r="O662" s="1220"/>
      <c r="P662" s="1290"/>
      <c r="Q662" s="1290"/>
      <c r="R662" s="1290"/>
      <c r="S662" s="933"/>
      <c r="T662" s="1220"/>
      <c r="U662" s="932"/>
      <c r="V662" s="1220"/>
      <c r="W662" s="996"/>
      <c r="X662" s="996"/>
      <c r="Y662" s="1220"/>
      <c r="Z662" s="1290"/>
      <c r="AA662" s="933"/>
      <c r="AB662" s="933"/>
      <c r="AC662" s="933"/>
      <c r="AD662" s="933"/>
    </row>
    <row r="663" customFormat="false" ht="15.75" hidden="false" customHeight="true" outlineLevel="1" collapsed="false">
      <c r="A663" s="933" t="s">
        <v>3288</v>
      </c>
      <c r="B663" s="1269" t="s">
        <v>156</v>
      </c>
      <c r="C663" s="887" t="n">
        <f aca="false">$C$143</f>
        <v>0.15</v>
      </c>
      <c r="D663" s="933" t="n">
        <f aca="false">$J$620</f>
        <v>0.05</v>
      </c>
      <c r="E663" s="933" t="n">
        <f aca="false">IF(E662=0,0,IF('Ввод данных'!$A$6=связи1!$A$95,IF(дома!E662+дома!$C$630&lt;дома!$E$627+0.3,дома!E662+дома!$C$630,0),0))+IF(E662=0,0,IF('Ввод данных'!$A$6=связи1!$A$96,IF(дома!E662+0.05+дома!$C$630&gt;дома!$E$627+0.4,0,дома!E662+дома!$C$630),0))+IF(E662=0,0,IF('Ввод данных'!$A$6=связи1!$A$98,IF(дома!E662+0.05+дома!$C$630&gt;дома!$E$627+0.4,0,дома!E662+дома!$C$630),0))</f>
        <v>0</v>
      </c>
      <c r="F663" s="537" t="n">
        <f aca="false">IF(E663&lt;($E$627+0.5),1,0)*$D$635*IF('Ввод данных'!$A$19=связи1!$A$128,2,2)*IF('Ввод данных'!$F$237=связи1!$A$2,1,0)</f>
        <v>0</v>
      </c>
      <c r="G663" s="933" t="n">
        <f aca="false">C663*D663*E663*F663</f>
        <v>0</v>
      </c>
      <c r="H663" s="933"/>
      <c r="I663" s="933"/>
      <c r="J663" s="933"/>
      <c r="K663" s="933"/>
      <c r="L663" s="933"/>
      <c r="M663" s="933"/>
      <c r="N663" s="933"/>
      <c r="O663" s="1220"/>
      <c r="P663" s="1290"/>
      <c r="Q663" s="1290"/>
      <c r="R663" s="1290"/>
      <c r="S663" s="933"/>
      <c r="T663" s="1220"/>
      <c r="U663" s="932"/>
      <c r="V663" s="1220"/>
      <c r="W663" s="996"/>
      <c r="X663" s="996"/>
      <c r="Y663" s="1220"/>
      <c r="Z663" s="1290"/>
      <c r="AA663" s="933"/>
      <c r="AB663" s="933"/>
      <c r="AC663" s="933"/>
      <c r="AD663" s="933"/>
    </row>
    <row r="664" customFormat="false" ht="15.75" hidden="false" customHeight="true" outlineLevel="1" collapsed="false">
      <c r="A664" s="933" t="s">
        <v>3289</v>
      </c>
      <c r="B664" s="1269" t="s">
        <v>156</v>
      </c>
      <c r="C664" s="887" t="n">
        <f aca="false">$C$143</f>
        <v>0.15</v>
      </c>
      <c r="D664" s="933" t="n">
        <f aca="false">$J$620</f>
        <v>0.05</v>
      </c>
      <c r="E664" s="933" t="n">
        <f aca="false">IF(E663=0,0,IF('Ввод данных'!$A$6=связи1!$A$95,IF(дома!E663+дома!$C$630&lt;дома!$E$627+0.3,дома!E663+дома!$C$630,0),0))+IF(E663=0,0,IF('Ввод данных'!$A$6=связи1!$A$96,IF(дома!E663+0.05+дома!$C$630&gt;дома!$E$627+0.4,0,дома!E663+дома!$C$630),0))+IF(E663=0,0,IF('Ввод данных'!$A$6=связи1!$A$98,IF(дома!E663+0.05+дома!$C$630&gt;дома!$E$627+0.4,0,дома!E663+дома!$C$630),0))</f>
        <v>0</v>
      </c>
      <c r="F664" s="537" t="n">
        <f aca="false">IF(E664&lt;($E$627+0.5),1,0)*$D$635*IF('Ввод данных'!$A$19=связи1!$A$128,2,2)*IF('Ввод данных'!$F$237=связи1!$A$2,1,0)</f>
        <v>0</v>
      </c>
      <c r="G664" s="933" t="n">
        <f aca="false">C664*D664*E664*F664</f>
        <v>0</v>
      </c>
      <c r="H664" s="933"/>
      <c r="I664" s="933"/>
      <c r="J664" s="933"/>
      <c r="K664" s="933"/>
      <c r="L664" s="933"/>
      <c r="M664" s="933"/>
      <c r="N664" s="933"/>
      <c r="O664" s="1220"/>
      <c r="P664" s="1290"/>
      <c r="Q664" s="1290"/>
      <c r="R664" s="1290"/>
      <c r="S664" s="933"/>
      <c r="T664" s="1220"/>
      <c r="U664" s="932"/>
      <c r="V664" s="1220"/>
      <c r="W664" s="996"/>
      <c r="X664" s="996"/>
      <c r="Y664" s="1220"/>
      <c r="Z664" s="1290"/>
      <c r="AA664" s="933"/>
      <c r="AB664" s="933"/>
      <c r="AC664" s="933"/>
      <c r="AD664" s="933"/>
    </row>
    <row r="665" customFormat="false" ht="15.75" hidden="false" customHeight="true" outlineLevel="1" collapsed="false">
      <c r="A665" s="933" t="s">
        <v>3290</v>
      </c>
      <c r="B665" s="1269" t="s">
        <v>156</v>
      </c>
      <c r="C665" s="887" t="n">
        <f aca="false">$C$143</f>
        <v>0.15</v>
      </c>
      <c r="D665" s="933" t="n">
        <f aca="false">$J$620</f>
        <v>0.05</v>
      </c>
      <c r="E665" s="933" t="n">
        <f aca="false">IF(E664=0,0,IF('Ввод данных'!$A$6=связи1!$A$95,IF(дома!E664+дома!$C$630&lt;дома!$E$627+0.3,дома!E664+дома!$C$630,0),0))+IF(E664=0,0,IF('Ввод данных'!$A$6=связи1!$A$96,IF(дома!E664+0.05+дома!$C$630&gt;дома!$E$627+0.4,0,дома!E664+дома!$C$630),0))+IF(E664=0,0,IF('Ввод данных'!$A$6=связи1!$A$98,IF(дома!E664+0.05+дома!$C$630&gt;дома!$E$627+0.4,0,дома!E664+дома!$C$630),0))</f>
        <v>0</v>
      </c>
      <c r="F665" s="537" t="n">
        <f aca="false">IF(E665&lt;($E$627+0.5),1,0)*$D$635*IF('Ввод данных'!$A$19=связи1!$A$128,2,2)*IF('Ввод данных'!$F$237=связи1!$A$2,1,0)</f>
        <v>0</v>
      </c>
      <c r="G665" s="933" t="n">
        <f aca="false">C665*D665*E665*F665</f>
        <v>0</v>
      </c>
      <c r="H665" s="933"/>
      <c r="I665" s="933"/>
      <c r="J665" s="933"/>
      <c r="K665" s="933"/>
      <c r="L665" s="933"/>
      <c r="M665" s="933"/>
      <c r="N665" s="933"/>
      <c r="O665" s="1220"/>
      <c r="P665" s="1290"/>
      <c r="Q665" s="1290"/>
      <c r="R665" s="1290"/>
      <c r="S665" s="933"/>
      <c r="T665" s="1220"/>
      <c r="U665" s="932"/>
      <c r="V665" s="1220"/>
      <c r="W665" s="996"/>
      <c r="X665" s="996"/>
      <c r="Y665" s="1220"/>
      <c r="Z665" s="1290"/>
      <c r="AA665" s="933"/>
      <c r="AB665" s="933"/>
      <c r="AC665" s="933"/>
      <c r="AD665" s="933"/>
    </row>
    <row r="666" customFormat="false" ht="15.75" hidden="false" customHeight="true" outlineLevel="1" collapsed="false">
      <c r="A666" s="933" t="s">
        <v>3291</v>
      </c>
      <c r="B666" s="1269" t="s">
        <v>156</v>
      </c>
      <c r="C666" s="887" t="n">
        <f aca="false">$C$143</f>
        <v>0.15</v>
      </c>
      <c r="D666" s="933" t="n">
        <f aca="false">$J$620</f>
        <v>0.05</v>
      </c>
      <c r="E666" s="933" t="n">
        <f aca="false">IF(E665=0,0,IF('Ввод данных'!$A$6=связи1!$A$95,IF(дома!E665+дома!$C$630&lt;дома!$E$627+0.3,дома!E665+дома!$C$630,0),0))+IF(E665=0,0,IF('Ввод данных'!$A$6=связи1!$A$96,IF(дома!E665+0.05+дома!$C$630&gt;дома!$E$627+0.4,0,дома!E665+дома!$C$630),0))+IF(E665=0,0,IF('Ввод данных'!$A$6=связи1!$A$98,IF(дома!E665+0.05+дома!$C$630&gt;дома!$E$627+0.4,0,дома!E665+дома!$C$630),0))</f>
        <v>0</v>
      </c>
      <c r="F666" s="537" t="n">
        <f aca="false">IF(E666&lt;($E$627+0.5),1,0)*$D$635*IF('Ввод данных'!$A$19=связи1!$A$128,2,2)*IF('Ввод данных'!$F$237=связи1!$A$2,1,0)</f>
        <v>0</v>
      </c>
      <c r="G666" s="933" t="n">
        <f aca="false">C666*D666*E666*F666</f>
        <v>0</v>
      </c>
      <c r="H666" s="933"/>
      <c r="I666" s="933"/>
      <c r="J666" s="933"/>
      <c r="K666" s="933"/>
      <c r="L666" s="933"/>
      <c r="M666" s="933"/>
      <c r="N666" s="933"/>
      <c r="O666" s="1220"/>
      <c r="P666" s="1290"/>
      <c r="Q666" s="1290"/>
      <c r="R666" s="1290"/>
      <c r="S666" s="933"/>
      <c r="T666" s="1220"/>
      <c r="U666" s="932"/>
      <c r="V666" s="1220"/>
      <c r="W666" s="996"/>
      <c r="X666" s="996"/>
      <c r="Y666" s="1220"/>
      <c r="Z666" s="1290"/>
      <c r="AA666" s="933"/>
      <c r="AB666" s="933"/>
      <c r="AC666" s="933"/>
      <c r="AD666" s="933"/>
    </row>
    <row r="667" customFormat="false" ht="15.75" hidden="false" customHeight="true" outlineLevel="1" collapsed="false">
      <c r="A667" s="933" t="s">
        <v>3292</v>
      </c>
      <c r="B667" s="1269" t="s">
        <v>156</v>
      </c>
      <c r="C667" s="887" t="n">
        <f aca="false">$C$143</f>
        <v>0.15</v>
      </c>
      <c r="D667" s="933" t="n">
        <f aca="false">$J$620</f>
        <v>0.05</v>
      </c>
      <c r="E667" s="933" t="n">
        <f aca="false">IF(E666=0,0,IF('Ввод данных'!$A$6=связи1!$A$95,IF(дома!E666+дома!$C$630&lt;дома!$E$627+0.3,дома!E666+дома!$C$630,0),0))+IF(E666=0,0,IF('Ввод данных'!$A$6=связи1!$A$96,IF(дома!E666+0.05+дома!$C$630&gt;дома!$E$627+0.4,0,дома!E666+дома!$C$630),0))+IF(E666=0,0,IF('Ввод данных'!$A$6=связи1!$A$98,IF(дома!E666+0.05+дома!$C$630&gt;дома!$E$627+0.4,0,дома!E666+дома!$C$630),0))</f>
        <v>0</v>
      </c>
      <c r="F667" s="537" t="n">
        <f aca="false">IF(E667&lt;($E$627+0.5),1,0)*$D$635*IF('Ввод данных'!$A$19=связи1!$A$128,2,2)*IF('Ввод данных'!$F$237=связи1!$A$2,1,0)</f>
        <v>0</v>
      </c>
      <c r="G667" s="933" t="n">
        <f aca="false">C667*D667*E667*F667</f>
        <v>0</v>
      </c>
      <c r="H667" s="933"/>
      <c r="I667" s="933"/>
      <c r="J667" s="933"/>
      <c r="K667" s="933"/>
      <c r="L667" s="933"/>
      <c r="M667" s="933"/>
      <c r="N667" s="933"/>
      <c r="O667" s="1220"/>
      <c r="P667" s="1290"/>
      <c r="Q667" s="1290"/>
      <c r="R667" s="1290"/>
      <c r="S667" s="933"/>
      <c r="T667" s="1220"/>
      <c r="U667" s="932"/>
      <c r="V667" s="1220"/>
      <c r="W667" s="996"/>
      <c r="X667" s="996"/>
      <c r="Y667" s="1220"/>
      <c r="Z667" s="1290"/>
      <c r="AA667" s="933"/>
      <c r="AB667" s="933"/>
      <c r="AC667" s="933"/>
      <c r="AD667" s="933"/>
    </row>
    <row r="668" customFormat="false" ht="15.75" hidden="false" customHeight="true" outlineLevel="1" collapsed="false">
      <c r="A668" s="933" t="s">
        <v>3293</v>
      </c>
      <c r="B668" s="1269" t="s">
        <v>156</v>
      </c>
      <c r="C668" s="887" t="n">
        <f aca="false">$C$143</f>
        <v>0.15</v>
      </c>
      <c r="D668" s="933" t="n">
        <f aca="false">$J$620</f>
        <v>0.05</v>
      </c>
      <c r="E668" s="933" t="n">
        <f aca="false">IF(E667=0,0,IF('Ввод данных'!$A$6=связи1!$A$95,IF(дома!E667+дома!$C$630&lt;дома!$E$627+0.3,дома!E667+дома!$C$630,0),0))+IF(E667=0,0,IF('Ввод данных'!$A$6=связи1!$A$96,IF(дома!E667+0.05+дома!$C$630&gt;дома!$E$627+0.4,0,дома!E667+дома!$C$630),0))+IF(E667=0,0,IF('Ввод данных'!$A$6=связи1!$A$98,IF(дома!E667+0.05+дома!$C$630&gt;дома!$E$627+0.4,0,дома!E667+дома!$C$630),0))</f>
        <v>0</v>
      </c>
      <c r="F668" s="537" t="n">
        <f aca="false">IF(E668&lt;($E$627+0.5),1,0)*$D$635*IF('Ввод данных'!$A$19=связи1!$A$128,2,2)*IF('Ввод данных'!$F$237=связи1!$A$2,1,0)</f>
        <v>0</v>
      </c>
      <c r="G668" s="933" t="n">
        <f aca="false">C668*D668*E668*F668</f>
        <v>0</v>
      </c>
      <c r="H668" s="933"/>
      <c r="I668" s="933"/>
      <c r="J668" s="933"/>
      <c r="K668" s="933"/>
      <c r="L668" s="933"/>
      <c r="M668" s="933"/>
      <c r="N668" s="933"/>
      <c r="O668" s="1220"/>
      <c r="P668" s="1290"/>
      <c r="Q668" s="1290"/>
      <c r="R668" s="1290"/>
      <c r="S668" s="933"/>
      <c r="T668" s="1220"/>
      <c r="U668" s="932"/>
      <c r="V668" s="1220"/>
      <c r="W668" s="996"/>
      <c r="X668" s="996"/>
      <c r="Y668" s="1220"/>
      <c r="Z668" s="1290"/>
      <c r="AA668" s="933"/>
      <c r="AB668" s="933"/>
      <c r="AC668" s="933"/>
      <c r="AD668" s="933"/>
    </row>
    <row r="669" customFormat="false" ht="15.75" hidden="false" customHeight="true" outlineLevel="1" collapsed="false">
      <c r="A669" s="933" t="s">
        <v>3294</v>
      </c>
      <c r="B669" s="1269" t="s">
        <v>156</v>
      </c>
      <c r="C669" s="887" t="n">
        <f aca="false">$C$143</f>
        <v>0.15</v>
      </c>
      <c r="D669" s="933" t="n">
        <f aca="false">$J$620</f>
        <v>0.05</v>
      </c>
      <c r="E669" s="933" t="n">
        <f aca="false">IF(E668=0,0,IF('Ввод данных'!$A$6=связи1!$A$95,IF(дома!E668+дома!$C$630&lt;дома!$E$627+0.3,дома!E668+дома!$C$630,0),0))+IF(E668=0,0,IF('Ввод данных'!$A$6=связи1!$A$96,IF(дома!E668+0.05+дома!$C$630&gt;дома!$E$627+0.4,0,дома!E668+дома!$C$630),0))+IF(E668=0,0,IF('Ввод данных'!$A$6=связи1!$A$98,IF(дома!E668+0.05+дома!$C$630&gt;дома!$E$627+0.4,0,дома!E668+дома!$C$630),0))</f>
        <v>0</v>
      </c>
      <c r="F669" s="537" t="n">
        <f aca="false">IF(E669&lt;($E$627+0.5),1,0)*$D$635*IF('Ввод данных'!$A$19=связи1!$A$128,2,2)*IF('Ввод данных'!$F$237=связи1!$A$2,1,0)</f>
        <v>0</v>
      </c>
      <c r="G669" s="933" t="n">
        <f aca="false">C669*D669*E669*F669</f>
        <v>0</v>
      </c>
      <c r="H669" s="933"/>
      <c r="I669" s="933"/>
      <c r="J669" s="933"/>
      <c r="K669" s="933"/>
      <c r="L669" s="933"/>
      <c r="M669" s="933"/>
      <c r="N669" s="933"/>
      <c r="O669" s="1220"/>
      <c r="P669" s="1290"/>
      <c r="Q669" s="1290"/>
      <c r="R669" s="1290"/>
      <c r="S669" s="933"/>
      <c r="T669" s="1220"/>
      <c r="U669" s="932"/>
      <c r="V669" s="1220"/>
      <c r="W669" s="996"/>
      <c r="X669" s="996"/>
      <c r="Y669" s="1220"/>
      <c r="Z669" s="1290"/>
      <c r="AA669" s="933"/>
      <c r="AB669" s="933"/>
      <c r="AC669" s="933"/>
      <c r="AD669" s="933"/>
    </row>
    <row r="670" customFormat="false" ht="15.75" hidden="false" customHeight="true" outlineLevel="1" collapsed="false">
      <c r="A670" s="933" t="s">
        <v>3295</v>
      </c>
      <c r="B670" s="1269" t="s">
        <v>156</v>
      </c>
      <c r="C670" s="887" t="n">
        <f aca="false">$C$143</f>
        <v>0.15</v>
      </c>
      <c r="D670" s="933" t="n">
        <f aca="false">$J$620</f>
        <v>0.05</v>
      </c>
      <c r="E670" s="933" t="n">
        <f aca="false">IF(E669=0,0,IF('Ввод данных'!$A$6=связи1!$A$95,IF(дома!E669+дома!$C$630&lt;дома!$E$627+0.3,дома!E669+дома!$C$630,0),0))+IF(E669=0,0,IF('Ввод данных'!$A$6=связи1!$A$96,IF(дома!E669+0.05+дома!$C$630&gt;дома!$E$627+0.4,0,дома!E669+дома!$C$630),0))+IF(E669=0,0,IF('Ввод данных'!$A$6=связи1!$A$98,IF(дома!E669+0.05+дома!$C$630&gt;дома!$E$627+0.4,0,дома!E669+дома!$C$630),0))</f>
        <v>0</v>
      </c>
      <c r="F670" s="537" t="n">
        <f aca="false">IF(E670&lt;($E$627+0.5),1,0)*$D$635*IF('Ввод данных'!$A$19=связи1!$A$128,2,2)*IF('Ввод данных'!$F$237=связи1!$A$2,1,0)</f>
        <v>0</v>
      </c>
      <c r="G670" s="933" t="n">
        <f aca="false">C670*D670*E670*F670</f>
        <v>0</v>
      </c>
      <c r="H670" s="933"/>
      <c r="I670" s="933"/>
      <c r="J670" s="933"/>
      <c r="K670" s="933"/>
      <c r="L670" s="933"/>
      <c r="M670" s="933"/>
      <c r="N670" s="933"/>
      <c r="O670" s="1220"/>
      <c r="P670" s="1290"/>
      <c r="Q670" s="1290"/>
      <c r="R670" s="1290"/>
      <c r="S670" s="933"/>
      <c r="T670" s="1220"/>
      <c r="U670" s="932"/>
      <c r="V670" s="1220"/>
      <c r="W670" s="996"/>
      <c r="X670" s="996"/>
      <c r="Y670" s="1220"/>
      <c r="Z670" s="1290"/>
      <c r="AA670" s="933"/>
      <c r="AB670" s="933"/>
      <c r="AC670" s="933"/>
      <c r="AD670" s="933"/>
    </row>
    <row r="671" customFormat="false" ht="15.75" hidden="false" customHeight="true" outlineLevel="1" collapsed="false">
      <c r="A671" s="933" t="s">
        <v>3296</v>
      </c>
      <c r="B671" s="1269" t="s">
        <v>156</v>
      </c>
      <c r="C671" s="887" t="n">
        <f aca="false">$C$143</f>
        <v>0.15</v>
      </c>
      <c r="D671" s="933" t="n">
        <f aca="false">$J$620</f>
        <v>0.05</v>
      </c>
      <c r="E671" s="933" t="n">
        <f aca="false">IF(E670=0,0,IF('Ввод данных'!$A$6=связи1!$A$95,IF(дома!E670+дома!$C$630&lt;дома!$E$627+0.3,дома!E670+дома!$C$630,0),0))+IF(E670=0,0,IF('Ввод данных'!$A$6=связи1!$A$96,IF(дома!E670+0.05+дома!$C$630&gt;дома!$E$627+0.4,0,дома!E670+дома!$C$630),0))+IF(E670=0,0,IF('Ввод данных'!$A$6=связи1!$A$98,IF(дома!E670+0.05+дома!$C$630&gt;дома!$E$627+0.4,0,дома!E670+дома!$C$630),0))</f>
        <v>0</v>
      </c>
      <c r="F671" s="537" t="n">
        <f aca="false">IF(E671&lt;($E$627+0.5),1,0)*$D$635*IF('Ввод данных'!$A$19=связи1!$A$128,2,2)*IF('Ввод данных'!$F$237=связи1!$A$2,1,0)</f>
        <v>0</v>
      </c>
      <c r="G671" s="933" t="n">
        <f aca="false">C671*D671*E671*F671</f>
        <v>0</v>
      </c>
      <c r="H671" s="933"/>
      <c r="I671" s="933"/>
      <c r="J671" s="933"/>
      <c r="K671" s="933"/>
      <c r="L671" s="933"/>
      <c r="M671" s="933"/>
      <c r="N671" s="933"/>
      <c r="O671" s="1220"/>
      <c r="P671" s="1290"/>
      <c r="Q671" s="1290"/>
      <c r="R671" s="1290"/>
      <c r="S671" s="933"/>
      <c r="T671" s="1220"/>
      <c r="U671" s="932"/>
      <c r="V671" s="1220"/>
      <c r="W671" s="996"/>
      <c r="X671" s="996"/>
      <c r="Y671" s="1220"/>
      <c r="Z671" s="1290"/>
      <c r="AA671" s="933"/>
      <c r="AB671" s="933"/>
      <c r="AC671" s="933"/>
      <c r="AD671" s="933"/>
    </row>
    <row r="672" customFormat="false" ht="15.75" hidden="false" customHeight="true" outlineLevel="1" collapsed="false">
      <c r="A672" s="933" t="s">
        <v>3297</v>
      </c>
      <c r="B672" s="1269" t="s">
        <v>156</v>
      </c>
      <c r="C672" s="887" t="n">
        <f aca="false">$C$143</f>
        <v>0.15</v>
      </c>
      <c r="D672" s="933" t="n">
        <f aca="false">$J$620</f>
        <v>0.05</v>
      </c>
      <c r="E672" s="933" t="n">
        <f aca="false">IF(E671=0,0,IF('Ввод данных'!$A$6=связи1!$A$95,IF(дома!E671+дома!$C$630&lt;дома!$E$627+0.3,дома!E671+дома!$C$630,0),0))+IF(E671=0,0,IF('Ввод данных'!$A$6=связи1!$A$96,IF(дома!E671+0.05+дома!$C$630&gt;дома!$E$627+0.4,0,дома!E671+дома!$C$630),0))+IF(E671=0,0,IF('Ввод данных'!$A$6=связи1!$A$98,IF(дома!E671+0.05+дома!$C$630&gt;дома!$E$627+0.4,0,дома!E671+дома!$C$630),0))</f>
        <v>0</v>
      </c>
      <c r="F672" s="537" t="n">
        <f aca="false">IF(E672&lt;($E$627+0.5),1,0)*$D$635*IF('Ввод данных'!$A$19=связи1!$A$128,2,2)*IF('Ввод данных'!$F$237=связи1!$A$2,1,0)</f>
        <v>0</v>
      </c>
      <c r="G672" s="933" t="n">
        <f aca="false">C672*D672*E672*F672</f>
        <v>0</v>
      </c>
      <c r="H672" s="933"/>
      <c r="I672" s="933"/>
      <c r="J672" s="933"/>
      <c r="K672" s="933"/>
      <c r="L672" s="933"/>
      <c r="M672" s="933"/>
      <c r="N672" s="933"/>
      <c r="O672" s="1220"/>
      <c r="P672" s="1290"/>
      <c r="Q672" s="1290"/>
      <c r="R672" s="1290"/>
      <c r="S672" s="933"/>
      <c r="T672" s="1220"/>
      <c r="U672" s="932"/>
      <c r="V672" s="1220"/>
      <c r="W672" s="996"/>
      <c r="X672" s="996"/>
      <c r="Y672" s="1220"/>
      <c r="Z672" s="1290"/>
      <c r="AA672" s="933"/>
      <c r="AB672" s="933"/>
      <c r="AC672" s="933"/>
      <c r="AD672" s="933"/>
    </row>
    <row r="673" customFormat="false" ht="15.75" hidden="false" customHeight="true" outlineLevel="1" collapsed="false">
      <c r="A673" s="933" t="s">
        <v>3298</v>
      </c>
      <c r="B673" s="1269" t="s">
        <v>156</v>
      </c>
      <c r="C673" s="887" t="n">
        <f aca="false">$C$143</f>
        <v>0.15</v>
      </c>
      <c r="D673" s="933" t="n">
        <f aca="false">$J$620</f>
        <v>0.05</v>
      </c>
      <c r="E673" s="933" t="n">
        <f aca="false">IF(E672=0,0,IF('Ввод данных'!$A$6=связи1!$A$95,IF(дома!E672+дома!$C$630&lt;дома!$E$627+0.3,дома!E672+дома!$C$630,0),0))+IF(E672=0,0,IF('Ввод данных'!$A$6=связи1!$A$96,IF(дома!E672+0.05+дома!$C$630&gt;дома!$E$627+0.4,0,дома!E672+дома!$C$630),0))+IF(E672=0,0,IF('Ввод данных'!$A$6=связи1!$A$98,IF(дома!E672+0.05+дома!$C$630&gt;дома!$E$627+0.4,0,дома!E672+дома!$C$630),0))</f>
        <v>0</v>
      </c>
      <c r="F673" s="537" t="n">
        <f aca="false">IF(E673&lt;($E$627+0.5),1,0)*$D$635*IF('Ввод данных'!$A$19=связи1!$A$128,2,2)*IF('Ввод данных'!$F$237=связи1!$A$2,1,0)</f>
        <v>0</v>
      </c>
      <c r="G673" s="933" t="n">
        <f aca="false">C673*D673*E673*F673</f>
        <v>0</v>
      </c>
      <c r="H673" s="933"/>
      <c r="I673" s="933"/>
      <c r="J673" s="933"/>
      <c r="K673" s="933"/>
      <c r="L673" s="933"/>
      <c r="M673" s="933"/>
      <c r="N673" s="933"/>
      <c r="O673" s="1220"/>
      <c r="P673" s="1290"/>
      <c r="Q673" s="1290"/>
      <c r="R673" s="1290"/>
      <c r="S673" s="933"/>
      <c r="T673" s="1220"/>
      <c r="U673" s="932"/>
      <c r="V673" s="1220"/>
      <c r="W673" s="996"/>
      <c r="X673" s="996"/>
      <c r="Y673" s="1220"/>
      <c r="Z673" s="1290"/>
      <c r="AA673" s="933"/>
      <c r="AB673" s="933"/>
      <c r="AC673" s="933"/>
      <c r="AD673" s="933"/>
    </row>
    <row r="674" customFormat="false" ht="15.75" hidden="false" customHeight="true" outlineLevel="1" collapsed="false">
      <c r="A674" s="933" t="s">
        <v>3299</v>
      </c>
      <c r="B674" s="1269" t="s">
        <v>156</v>
      </c>
      <c r="C674" s="887" t="n">
        <f aca="false">$C$143</f>
        <v>0.15</v>
      </c>
      <c r="D674" s="933" t="n">
        <f aca="false">$J$620</f>
        <v>0.05</v>
      </c>
      <c r="E674" s="933" t="n">
        <f aca="false">IF(E673=0,0,IF('Ввод данных'!$A$6=связи1!$A$95,IF(дома!E673+дома!$C$630&lt;дома!$E$627+0.3,дома!E673+дома!$C$630,0),0))+IF(E673=0,0,IF('Ввод данных'!$A$6=связи1!$A$96,IF(дома!E673+0.05+дома!$C$630&gt;дома!$E$627+0.4,0,дома!E673+дома!$C$630),0))+IF(E673=0,0,IF('Ввод данных'!$A$6=связи1!$A$98,IF(дома!E673+0.05+дома!$C$630&gt;дома!$E$627+0.4,0,дома!E673+дома!$C$630),0))</f>
        <v>0</v>
      </c>
      <c r="F674" s="537" t="n">
        <f aca="false">IF(E674&lt;($E$627+0.5),1,0)*$D$635*IF('Ввод данных'!$A$19=связи1!$A$128,2,2)*IF('Ввод данных'!$F$237=связи1!$A$2,1,0)</f>
        <v>0</v>
      </c>
      <c r="G674" s="933" t="n">
        <f aca="false">C674*D674*E674*F674</f>
        <v>0</v>
      </c>
      <c r="H674" s="933"/>
      <c r="I674" s="933"/>
      <c r="J674" s="933"/>
      <c r="K674" s="933"/>
      <c r="L674" s="933"/>
      <c r="M674" s="933"/>
      <c r="N674" s="933"/>
      <c r="O674" s="1220"/>
      <c r="P674" s="1290"/>
      <c r="Q674" s="1290"/>
      <c r="R674" s="1290"/>
      <c r="S674" s="933"/>
      <c r="T674" s="1220"/>
      <c r="U674" s="932"/>
      <c r="V674" s="1220"/>
      <c r="W674" s="996"/>
      <c r="X674" s="996"/>
      <c r="Y674" s="1220"/>
      <c r="Z674" s="1290"/>
      <c r="AA674" s="933"/>
      <c r="AB674" s="933"/>
      <c r="AC674" s="933"/>
      <c r="AD674" s="933"/>
    </row>
    <row r="675" customFormat="false" ht="15.75" hidden="false" customHeight="true" outlineLevel="1" collapsed="false">
      <c r="A675" s="933" t="s">
        <v>3300</v>
      </c>
      <c r="B675" s="1269" t="s">
        <v>156</v>
      </c>
      <c r="C675" s="887" t="n">
        <f aca="false">$C$143</f>
        <v>0.15</v>
      </c>
      <c r="D675" s="933" t="n">
        <f aca="false">$J$620</f>
        <v>0.05</v>
      </c>
      <c r="E675" s="933" t="n">
        <f aca="false">IF(E674=0,0,IF('Ввод данных'!$A$6=связи1!$A$95,IF(дома!E674+дома!$C$630&lt;дома!$E$627+0.3,дома!E674+дома!$C$630,0),0))+IF(E674=0,0,IF('Ввод данных'!$A$6=связи1!$A$96,IF(дома!E674+0.05+дома!$C$630&gt;дома!$E$627+0.4,0,дома!E674+дома!$C$630),0))+IF(E674=0,0,IF('Ввод данных'!$A$6=связи1!$A$98,IF(дома!E674+0.05+дома!$C$630&gt;дома!$E$627+0.4,0,дома!E674+дома!$C$630),0))</f>
        <v>0</v>
      </c>
      <c r="F675" s="537" t="n">
        <f aca="false">IF(E675&lt;($E$627+0.5),1,0)*$D$635*IF('Ввод данных'!$A$19=связи1!$A$128,2,2)*IF('Ввод данных'!$F$237=связи1!$A$2,1,0)</f>
        <v>0</v>
      </c>
      <c r="G675" s="933" t="n">
        <f aca="false">C675*D675*E675*F675</f>
        <v>0</v>
      </c>
      <c r="H675" s="933"/>
      <c r="I675" s="933"/>
      <c r="J675" s="933"/>
      <c r="K675" s="933"/>
      <c r="L675" s="933"/>
      <c r="M675" s="933"/>
      <c r="N675" s="933"/>
      <c r="O675" s="1220"/>
      <c r="P675" s="1290"/>
      <c r="Q675" s="1290"/>
      <c r="R675" s="1290"/>
      <c r="S675" s="933"/>
      <c r="T675" s="1220"/>
      <c r="U675" s="932"/>
      <c r="V675" s="1220"/>
      <c r="W675" s="996"/>
      <c r="X675" s="996"/>
      <c r="Y675" s="1220"/>
      <c r="Z675" s="1290"/>
      <c r="AA675" s="933"/>
      <c r="AB675" s="933"/>
      <c r="AC675" s="933"/>
      <c r="AD675" s="933"/>
    </row>
    <row r="676" customFormat="false" ht="15.75" hidden="false" customHeight="true" outlineLevel="1" collapsed="false">
      <c r="A676" s="933" t="s">
        <v>3301</v>
      </c>
      <c r="B676" s="1269" t="s">
        <v>156</v>
      </c>
      <c r="C676" s="887" t="n">
        <f aca="false">$C$143</f>
        <v>0.15</v>
      </c>
      <c r="D676" s="933" t="n">
        <f aca="false">$J$620</f>
        <v>0.05</v>
      </c>
      <c r="E676" s="933" t="n">
        <f aca="false">IF(E675=0,0,IF('Ввод данных'!$A$6=связи1!$A$95,IF(дома!E675+дома!$C$630&lt;дома!$E$627+0.3,дома!E675+дома!$C$630,0),0))+IF(E675=0,0,IF('Ввод данных'!$A$6=связи1!$A$96,IF(дома!E675+0.05+дома!$C$630&gt;дома!$E$627+0.4,0,дома!E675+дома!$C$630),0))+IF(E675=0,0,IF('Ввод данных'!$A$6=связи1!$A$98,IF(дома!E675+0.05+дома!$C$630&gt;дома!$E$627+0.4,0,дома!E675+дома!$C$630),0))</f>
        <v>0</v>
      </c>
      <c r="F676" s="537" t="n">
        <f aca="false">IF(E676&lt;($E$627+0.5),1,0)*$D$635*IF('Ввод данных'!$A$19=связи1!$A$128,2,2)*IF('Ввод данных'!$F$237=связи1!$A$2,1,0)</f>
        <v>0</v>
      </c>
      <c r="G676" s="933" t="n">
        <f aca="false">C676*D676*E676*F676</f>
        <v>0</v>
      </c>
      <c r="H676" s="933"/>
      <c r="I676" s="933"/>
      <c r="J676" s="933"/>
      <c r="K676" s="933"/>
      <c r="L676" s="933"/>
      <c r="M676" s="933"/>
      <c r="N676" s="933"/>
      <c r="O676" s="1220"/>
      <c r="P676" s="1290"/>
      <c r="Q676" s="1290"/>
      <c r="R676" s="1290"/>
      <c r="S676" s="933"/>
      <c r="T676" s="1220"/>
      <c r="U676" s="932"/>
      <c r="V676" s="1220"/>
      <c r="W676" s="996"/>
      <c r="X676" s="996"/>
      <c r="Y676" s="1220"/>
      <c r="Z676" s="1290"/>
      <c r="AA676" s="933"/>
      <c r="AB676" s="933"/>
      <c r="AC676" s="933"/>
      <c r="AD676" s="933"/>
    </row>
    <row r="677" customFormat="false" ht="15.75" hidden="false" customHeight="true" outlineLevel="1" collapsed="false">
      <c r="A677" s="933" t="s">
        <v>3302</v>
      </c>
      <c r="B677" s="1269" t="s">
        <v>156</v>
      </c>
      <c r="C677" s="887" t="n">
        <f aca="false">$C$143</f>
        <v>0.15</v>
      </c>
      <c r="D677" s="933" t="n">
        <f aca="false">$J$620</f>
        <v>0.05</v>
      </c>
      <c r="E677" s="933" t="n">
        <f aca="false">IF(E676=0,0,IF('Ввод данных'!$A$6=связи1!$A$95,IF(дома!E676+дома!$C$630&lt;дома!$E$627+0.3,дома!E676+дома!$C$630,0),0))+IF(E676=0,0,IF('Ввод данных'!$A$6=связи1!$A$96,IF(дома!E676+0.05+дома!$C$630&gt;дома!$E$627+0.4,0,дома!E676+дома!$C$630),0))+IF(E676=0,0,IF('Ввод данных'!$A$6=связи1!$A$98,IF(дома!E676+0.05+дома!$C$630&gt;дома!$E$627+0.4,0,дома!E676+дома!$C$630),0))</f>
        <v>0</v>
      </c>
      <c r="F677" s="537" t="n">
        <f aca="false">IF(E677&lt;($E$627+0.5),1,0)*$D$635*IF('Ввод данных'!$A$19=связи1!$A$128,2,2)*IF('Ввод данных'!$F$237=связи1!$A$2,1,0)</f>
        <v>0</v>
      </c>
      <c r="G677" s="933" t="n">
        <f aca="false">C677*D677*E677*F677</f>
        <v>0</v>
      </c>
      <c r="H677" s="933"/>
      <c r="I677" s="933"/>
      <c r="J677" s="933"/>
      <c r="K677" s="933"/>
      <c r="L677" s="933"/>
      <c r="M677" s="933"/>
      <c r="N677" s="933"/>
      <c r="O677" s="1220"/>
      <c r="P677" s="1290"/>
      <c r="Q677" s="1290"/>
      <c r="R677" s="1290"/>
      <c r="S677" s="933"/>
      <c r="T677" s="1220"/>
      <c r="U677" s="932"/>
      <c r="V677" s="1220"/>
      <c r="W677" s="996"/>
      <c r="X677" s="996"/>
      <c r="Y677" s="1220"/>
      <c r="Z677" s="1290"/>
      <c r="AA677" s="933"/>
      <c r="AB677" s="933"/>
      <c r="AC677" s="933"/>
      <c r="AD677" s="933"/>
    </row>
    <row r="678" customFormat="false" ht="15.75" hidden="false" customHeight="true" outlineLevel="1" collapsed="false">
      <c r="A678" s="933" t="s">
        <v>3303</v>
      </c>
      <c r="B678" s="1269" t="s">
        <v>156</v>
      </c>
      <c r="C678" s="887" t="n">
        <f aca="false">$C$143</f>
        <v>0.15</v>
      </c>
      <c r="D678" s="933" t="n">
        <f aca="false">$J$620</f>
        <v>0.05</v>
      </c>
      <c r="E678" s="933" t="n">
        <f aca="false">IF(E677=0,0,IF('Ввод данных'!$A$6=связи1!$A$95,IF(дома!E677+дома!$C$630&lt;дома!$E$627+0.3,дома!E677+дома!$C$630,0),0))+IF(E677=0,0,IF('Ввод данных'!$A$6=связи1!$A$96,IF(дома!E677+0.05+дома!$C$630&gt;дома!$E$627+0.4,0,дома!E677+дома!$C$630),0))+IF(E677=0,0,IF('Ввод данных'!$A$6=связи1!$A$98,IF(дома!E677+0.05+дома!$C$630&gt;дома!$E$627+0.4,0,дома!E677+дома!$C$630),0))</f>
        <v>0</v>
      </c>
      <c r="F678" s="537" t="n">
        <f aca="false">IF(E678&lt;($E$627+0.5),1,0)*$D$635*IF('Ввод данных'!$A$19=связи1!$A$128,2,2)*IF('Ввод данных'!$F$237=связи1!$A$2,1,0)</f>
        <v>0</v>
      </c>
      <c r="G678" s="933" t="n">
        <f aca="false">C678*D678*E678*F678</f>
        <v>0</v>
      </c>
      <c r="H678" s="933"/>
      <c r="I678" s="933"/>
      <c r="J678" s="933"/>
      <c r="K678" s="933"/>
      <c r="L678" s="933"/>
      <c r="M678" s="933"/>
      <c r="N678" s="933"/>
      <c r="O678" s="1220"/>
      <c r="P678" s="1290"/>
      <c r="Q678" s="1290"/>
      <c r="R678" s="1290"/>
      <c r="S678" s="933"/>
      <c r="T678" s="1220"/>
      <c r="U678" s="932"/>
      <c r="V678" s="1220"/>
      <c r="W678" s="996"/>
      <c r="X678" s="996"/>
      <c r="Y678" s="1220"/>
      <c r="Z678" s="1290"/>
      <c r="AA678" s="933"/>
      <c r="AB678" s="933"/>
      <c r="AC678" s="933"/>
      <c r="AD678" s="933"/>
    </row>
    <row r="679" customFormat="false" ht="15.75" hidden="false" customHeight="true" outlineLevel="1" collapsed="false">
      <c r="A679" s="933" t="s">
        <v>3304</v>
      </c>
      <c r="B679" s="1269" t="s">
        <v>156</v>
      </c>
      <c r="C679" s="887" t="n">
        <f aca="false">$C$143</f>
        <v>0.15</v>
      </c>
      <c r="D679" s="933" t="n">
        <f aca="false">$J$620</f>
        <v>0.05</v>
      </c>
      <c r="E679" s="933" t="n">
        <f aca="false">IF(E678=0,0,IF('Ввод данных'!$A$6=связи1!$A$95,IF(дома!E678+дома!$C$630&lt;дома!$E$627+0.3,дома!E678+дома!$C$630,0),0))+IF(E678=0,0,IF('Ввод данных'!$A$6=связи1!$A$96,IF(дома!E678+0.05+дома!$C$630&gt;дома!$E$627+0.4,0,дома!E678+дома!$C$630),0))+IF(E678=0,0,IF('Ввод данных'!$A$6=связи1!$A$98,IF(дома!E678+0.05+дома!$C$630&gt;дома!$E$627+0.4,0,дома!E678+дома!$C$630),0))</f>
        <v>0</v>
      </c>
      <c r="F679" s="537" t="n">
        <f aca="false">IF(E679&lt;($E$627+0.5),1,0)*$D$635*IF('Ввод данных'!$A$19=связи1!$A$128,2,2)*IF('Ввод данных'!$F$237=связи1!$A$2,1,0)</f>
        <v>0</v>
      </c>
      <c r="G679" s="933" t="n">
        <f aca="false">C679*D679*E679*F679</f>
        <v>0</v>
      </c>
      <c r="H679" s="933"/>
      <c r="I679" s="933"/>
      <c r="J679" s="933"/>
      <c r="K679" s="933"/>
      <c r="L679" s="933"/>
      <c r="M679" s="933"/>
      <c r="N679" s="933"/>
      <c r="O679" s="1220"/>
      <c r="P679" s="1290"/>
      <c r="Q679" s="1290"/>
      <c r="R679" s="1290"/>
      <c r="S679" s="933"/>
      <c r="T679" s="1220"/>
      <c r="U679" s="932"/>
      <c r="V679" s="1220"/>
      <c r="W679" s="996"/>
      <c r="X679" s="996"/>
      <c r="Y679" s="1220"/>
      <c r="Z679" s="1290"/>
      <c r="AA679" s="933"/>
      <c r="AB679" s="933"/>
      <c r="AC679" s="933"/>
      <c r="AD679" s="933"/>
    </row>
    <row r="680" customFormat="false" ht="15.75" hidden="false" customHeight="true" outlineLevel="1" collapsed="false">
      <c r="A680" s="933" t="s">
        <v>3305</v>
      </c>
      <c r="B680" s="1269" t="s">
        <v>156</v>
      </c>
      <c r="C680" s="887" t="n">
        <f aca="false">$C$143</f>
        <v>0.15</v>
      </c>
      <c r="D680" s="933" t="n">
        <f aca="false">$J$620</f>
        <v>0.05</v>
      </c>
      <c r="E680" s="933" t="n">
        <f aca="false">IF(E679=0,0,IF('Ввод данных'!$A$6=связи1!$A$95,IF(дома!E679+дома!$C$630&lt;дома!$E$627+0.3,дома!E679+дома!$C$630,0),0))+IF(E679=0,0,IF('Ввод данных'!$A$6=связи1!$A$96,IF(дома!E679+0.05+дома!$C$630&gt;дома!$E$627+0.4,0,дома!E679+дома!$C$630),0))+IF(E679=0,0,IF('Ввод данных'!$A$6=связи1!$A$98,IF(дома!E679+0.05+дома!$C$630&gt;дома!$E$627+0.4,0,дома!E679+дома!$C$630),0))</f>
        <v>0</v>
      </c>
      <c r="F680" s="537" t="n">
        <f aca="false">IF(E680&lt;($E$627+0.5),1,0)*$D$635*IF('Ввод данных'!$A$19=связи1!$A$128,2,2)*IF('Ввод данных'!$F$237=связи1!$A$2,1,0)</f>
        <v>0</v>
      </c>
      <c r="G680" s="933" t="n">
        <f aca="false">C680*D680*E680*F680</f>
        <v>0</v>
      </c>
      <c r="H680" s="933"/>
      <c r="I680" s="933"/>
      <c r="J680" s="933"/>
      <c r="K680" s="933"/>
      <c r="L680" s="933"/>
      <c r="M680" s="933"/>
      <c r="N680" s="933"/>
      <c r="O680" s="1220"/>
      <c r="P680" s="1290"/>
      <c r="Q680" s="1290"/>
      <c r="R680" s="1290"/>
      <c r="S680" s="933"/>
      <c r="T680" s="1220"/>
      <c r="U680" s="932"/>
      <c r="V680" s="1220"/>
      <c r="W680" s="996"/>
      <c r="X680" s="996"/>
      <c r="Y680" s="1220"/>
      <c r="Z680" s="1290"/>
      <c r="AA680" s="933"/>
      <c r="AB680" s="933"/>
      <c r="AC680" s="933"/>
      <c r="AD680" s="933"/>
    </row>
    <row r="681" customFormat="false" ht="15.75" hidden="false" customHeight="true" outlineLevel="1" collapsed="false">
      <c r="A681" s="933" t="s">
        <v>3306</v>
      </c>
      <c r="B681" s="1269" t="s">
        <v>156</v>
      </c>
      <c r="C681" s="887" t="n">
        <f aca="false">$C$143</f>
        <v>0.15</v>
      </c>
      <c r="D681" s="933" t="n">
        <f aca="false">$J$620</f>
        <v>0.05</v>
      </c>
      <c r="E681" s="933" t="n">
        <f aca="false">IF(E680=0,0,IF('Ввод данных'!$A$6=связи1!$A$95,IF(дома!E680+дома!$C$630&lt;дома!$E$627+0.3,дома!E680+дома!$C$630,0),0))+IF(E680=0,0,IF('Ввод данных'!$A$6=связи1!$A$96,IF(дома!E680+0.05+дома!$C$630&gt;дома!$E$627+0.4,0,дома!E680+дома!$C$630),0))+IF(E680=0,0,IF('Ввод данных'!$A$6=связи1!$A$98,IF(дома!E680+0.05+дома!$C$630&gt;дома!$E$627+0.4,0,дома!E680+дома!$C$630),0))</f>
        <v>0</v>
      </c>
      <c r="F681" s="537" t="n">
        <f aca="false">IF(E681&lt;($E$627+0.5),1,0)*$D$635*IF('Ввод данных'!$A$19=связи1!$A$128,2,2)*IF('Ввод данных'!$F$237=связи1!$A$2,1,0)</f>
        <v>0</v>
      </c>
      <c r="G681" s="933" t="n">
        <f aca="false">C681*D681*E681*F681</f>
        <v>0</v>
      </c>
      <c r="H681" s="933"/>
      <c r="I681" s="933"/>
      <c r="J681" s="933"/>
      <c r="K681" s="933"/>
      <c r="L681" s="933"/>
      <c r="M681" s="933"/>
      <c r="N681" s="933"/>
      <c r="O681" s="1220"/>
      <c r="P681" s="1290"/>
      <c r="Q681" s="1290"/>
      <c r="R681" s="1290"/>
      <c r="S681" s="933"/>
      <c r="T681" s="1220"/>
      <c r="U681" s="932"/>
      <c r="V681" s="1220"/>
      <c r="W681" s="996"/>
      <c r="X681" s="996"/>
      <c r="Y681" s="1220"/>
      <c r="Z681" s="1290"/>
      <c r="AA681" s="933"/>
      <c r="AB681" s="933"/>
      <c r="AC681" s="933"/>
      <c r="AD681" s="933"/>
    </row>
    <row r="682" customFormat="false" ht="15.75" hidden="false" customHeight="true" outlineLevel="1" collapsed="false">
      <c r="A682" s="933" t="s">
        <v>3307</v>
      </c>
      <c r="B682" s="1269" t="s">
        <v>156</v>
      </c>
      <c r="C682" s="887" t="n">
        <f aca="false">$C$143</f>
        <v>0.15</v>
      </c>
      <c r="D682" s="933" t="n">
        <f aca="false">$J$620</f>
        <v>0.05</v>
      </c>
      <c r="E682" s="933" t="n">
        <f aca="false">IF(E681=0,0,IF('Ввод данных'!$A$6=связи1!$A$95,IF(дома!E681+дома!$C$630&lt;дома!$E$627+0.3,дома!E681+дома!$C$630,0),0))+IF(E681=0,0,IF('Ввод данных'!$A$6=связи1!$A$96,IF(дома!E681+0.05+дома!$C$630&gt;дома!$E$627+0.4,0,дома!E681+дома!$C$630),0))+IF(E681=0,0,IF('Ввод данных'!$A$6=связи1!$A$98,IF(дома!E681+0.05+дома!$C$630&gt;дома!$E$627+0.4,0,дома!E681+дома!$C$630),0))</f>
        <v>0</v>
      </c>
      <c r="F682" s="537" t="n">
        <f aca="false">IF(E682&lt;($E$627+0.5),1,0)*$D$635*IF('Ввод данных'!$A$19=связи1!$A$128,2,2)*IF('Ввод данных'!$F$237=связи1!$A$2,1,0)</f>
        <v>0</v>
      </c>
      <c r="G682" s="933" t="n">
        <f aca="false">C682*D682*E682*F682</f>
        <v>0</v>
      </c>
      <c r="H682" s="933"/>
      <c r="I682" s="933"/>
      <c r="J682" s="933"/>
      <c r="K682" s="933"/>
      <c r="L682" s="933"/>
      <c r="M682" s="933"/>
      <c r="N682" s="933"/>
      <c r="O682" s="1220"/>
      <c r="P682" s="1290"/>
      <c r="Q682" s="1290"/>
      <c r="R682" s="1290"/>
      <c r="S682" s="933"/>
      <c r="T682" s="1220"/>
      <c r="U682" s="932"/>
      <c r="V682" s="1220"/>
      <c r="W682" s="996"/>
      <c r="X682" s="996"/>
      <c r="Y682" s="1220"/>
      <c r="Z682" s="1290"/>
      <c r="AA682" s="933"/>
      <c r="AB682" s="933"/>
      <c r="AC682" s="933"/>
      <c r="AD682" s="933"/>
    </row>
    <row r="683" customFormat="false" ht="15.75" hidden="false" customHeight="true" outlineLevel="1" collapsed="false">
      <c r="A683" s="933" t="s">
        <v>3267</v>
      </c>
      <c r="B683" s="1269" t="s">
        <v>156</v>
      </c>
      <c r="C683" s="887" t="n">
        <f aca="false">$C$143</f>
        <v>0.15</v>
      </c>
      <c r="D683" s="933" t="n">
        <f aca="false">$J$620</f>
        <v>0.05</v>
      </c>
      <c r="E683" s="933" t="n">
        <f aca="false">C628*1.05</f>
        <v>5.25</v>
      </c>
      <c r="F683" s="537" t="n">
        <f aca="false">$D$635*IF('Ввод данных'!$A$19=связи1!$A$128,2,2)*IF('Ввод данных'!$F$237=связи1!$A$2,1,0)</f>
        <v>0</v>
      </c>
      <c r="G683" s="933" t="n">
        <f aca="false">C683*D683*E683*F683</f>
        <v>0</v>
      </c>
      <c r="H683" s="933"/>
      <c r="I683" s="933"/>
      <c r="J683" s="933"/>
      <c r="K683" s="933"/>
      <c r="L683" s="933"/>
      <c r="M683" s="933"/>
      <c r="N683" s="933"/>
      <c r="O683" s="1220"/>
      <c r="P683" s="1290"/>
      <c r="Q683" s="1290"/>
      <c r="R683" s="1290"/>
      <c r="S683" s="933"/>
      <c r="T683" s="1220"/>
      <c r="U683" s="932"/>
      <c r="V683" s="1220"/>
      <c r="W683" s="996"/>
      <c r="X683" s="996"/>
      <c r="Y683" s="1220"/>
      <c r="Z683" s="1290"/>
      <c r="AA683" s="933"/>
      <c r="AB683" s="933"/>
      <c r="AC683" s="933"/>
      <c r="AD683" s="933"/>
    </row>
    <row r="684" customFormat="false" ht="15.75" hidden="false" customHeight="true" outlineLevel="1" collapsed="false">
      <c r="A684" s="933" t="s">
        <v>3268</v>
      </c>
      <c r="B684" s="1269" t="s">
        <v>156</v>
      </c>
      <c r="C684" s="887" t="n">
        <f aca="false">$C$143</f>
        <v>0.15</v>
      </c>
      <c r="D684" s="933" t="n">
        <f aca="false">$J$620</f>
        <v>0.05</v>
      </c>
      <c r="E684" s="933" t="n">
        <f aca="false">C627</f>
        <v>5</v>
      </c>
      <c r="F684" s="537" t="n">
        <f aca="false">$D$635*IF('Ввод данных'!$A$19=связи1!$A$128,2,2)*IF('Ввод данных'!$F$237=связи1!$A$2,1,0)</f>
        <v>0</v>
      </c>
      <c r="G684" s="933" t="n">
        <f aca="false">C684*D684*E684*F684</f>
        <v>0</v>
      </c>
      <c r="H684" s="933"/>
      <c r="I684" s="933"/>
      <c r="J684" s="933"/>
      <c r="K684" s="933"/>
      <c r="L684" s="933"/>
      <c r="M684" s="933"/>
      <c r="N684" s="933"/>
      <c r="O684" s="1220"/>
      <c r="P684" s="1290"/>
      <c r="Q684" s="1290"/>
      <c r="R684" s="1290"/>
      <c r="S684" s="933"/>
      <c r="T684" s="1220"/>
      <c r="U684" s="932"/>
      <c r="V684" s="1220"/>
      <c r="W684" s="996"/>
      <c r="X684" s="996"/>
      <c r="Y684" s="1220"/>
      <c r="Z684" s="1290"/>
      <c r="AA684" s="933"/>
      <c r="AB684" s="933"/>
      <c r="AC684" s="933"/>
      <c r="AD684" s="933"/>
    </row>
    <row r="685" customFormat="false" ht="15.75" hidden="false" customHeight="true" outlineLevel="1" collapsed="false">
      <c r="A685" s="933" t="s">
        <v>3269</v>
      </c>
      <c r="B685" s="1269" t="s">
        <v>156</v>
      </c>
      <c r="C685" s="887" t="n">
        <f aca="false">$C$143</f>
        <v>0.15</v>
      </c>
      <c r="D685" s="933" t="n">
        <f aca="false">$J$620</f>
        <v>0.05</v>
      </c>
      <c r="E685" s="933" t="n">
        <f aca="false">E683</f>
        <v>5.25</v>
      </c>
      <c r="F685" s="537" t="n">
        <f aca="false">$D$635*IF('Ввод данных'!$A$19=связи1!$A$128,2,2)*IF('Ввод данных'!$F$237=связи1!$A$2,1,0)</f>
        <v>0</v>
      </c>
      <c r="G685" s="933" t="n">
        <f aca="false">C685*D685*E685*F685</f>
        <v>0</v>
      </c>
      <c r="H685" s="933"/>
      <c r="I685" s="933"/>
      <c r="J685" s="933"/>
      <c r="K685" s="933"/>
      <c r="L685" s="933"/>
      <c r="M685" s="933"/>
      <c r="N685" s="933"/>
      <c r="O685" s="1220"/>
      <c r="P685" s="1290"/>
      <c r="Q685" s="1290"/>
      <c r="R685" s="1290"/>
      <c r="S685" s="933"/>
      <c r="T685" s="1220"/>
      <c r="U685" s="932"/>
      <c r="V685" s="1220"/>
      <c r="W685" s="996"/>
      <c r="X685" s="996"/>
      <c r="Y685" s="1220"/>
      <c r="Z685" s="1290"/>
      <c r="AA685" s="933"/>
      <c r="AB685" s="933"/>
      <c r="AC685" s="933"/>
      <c r="AD685" s="933"/>
    </row>
    <row r="686" customFormat="false" ht="15.75" hidden="false" customHeight="true" outlineLevel="1" collapsed="false">
      <c r="A686" s="933" t="s">
        <v>3308</v>
      </c>
      <c r="B686" s="1269" t="s">
        <v>156</v>
      </c>
      <c r="C686" s="887" t="n">
        <f aca="false">$C$143</f>
        <v>0.15</v>
      </c>
      <c r="D686" s="933" t="n">
        <f aca="false">$J$620</f>
        <v>0.05</v>
      </c>
      <c r="E686" s="1023" t="n">
        <f aca="false">IF('Ввод данных'!A6=связи1!A95,C621,0)+IF('Ввод данных'!A6=связи1!A96,дома!C621,0)+IF('Ввод данных'!A6=связи1!A98,дома!C621,0)</f>
        <v>0</v>
      </c>
      <c r="F686" s="933" t="n">
        <f aca="false">IF(E686&lt;($E$631+0.5),1,0)*$D$635*IF('Ввод данных'!$A$19=связи1!$A$128,2,2)*IF('Ввод данных'!$F$237=связи1!$A$2,1,0)</f>
        <v>0</v>
      </c>
      <c r="G686" s="933" t="n">
        <f aca="false">C686*D686*E686*F686</f>
        <v>0</v>
      </c>
      <c r="H686" s="933"/>
      <c r="I686" s="933"/>
      <c r="J686" s="933"/>
      <c r="K686" s="933"/>
      <c r="L686" s="933"/>
      <c r="M686" s="933"/>
      <c r="N686" s="933"/>
      <c r="O686" s="1220"/>
      <c r="P686" s="1290"/>
      <c r="Q686" s="1290"/>
      <c r="R686" s="1290"/>
      <c r="S686" s="933"/>
      <c r="T686" s="1220"/>
      <c r="U686" s="932"/>
      <c r="V686" s="1220"/>
      <c r="W686" s="996"/>
      <c r="X686" s="996"/>
      <c r="Y686" s="1220"/>
      <c r="Z686" s="1290"/>
      <c r="AA686" s="933"/>
      <c r="AB686" s="933"/>
      <c r="AC686" s="933"/>
      <c r="AD686" s="933"/>
    </row>
    <row r="687" customFormat="false" ht="15.75" hidden="false" customHeight="true" outlineLevel="1" collapsed="false">
      <c r="A687" s="933" t="s">
        <v>3309</v>
      </c>
      <c r="B687" s="1269" t="s">
        <v>156</v>
      </c>
      <c r="C687" s="887" t="n">
        <f aca="false">$C$143</f>
        <v>0.15</v>
      </c>
      <c r="D687" s="933" t="n">
        <f aca="false">$J$620</f>
        <v>0.05</v>
      </c>
      <c r="E687" s="1023" t="n">
        <f aca="false">IF(E652=0,0,IF('Ввод данных'!$A$6=связи1!$A$95,IF(дома!E686+дома!$F$634&lt;дома!$E$627+0.3,дома!E686+дома!$F$634,0),0))+IF(дома!E686=0,0,IF('Ввод данных'!$A$6=связи1!$A$96,IF(дома!E686+0.05+дома!$F$634&gt;дома!$E$627+0.4,0,дома!E686+дома!$F$634),0))+IF(дома!E686=0,0,IF('Ввод данных'!$A$6=связи1!$A$98,IF(дома!E686+0.05+дома!$F$634&gt;дома!$E$627+0.4,0,дома!E686+дома!$F$634),0))</f>
        <v>0</v>
      </c>
      <c r="F687" s="933" t="n">
        <f aca="false">IF(E687&lt;($E$631+0.5),1,0)*$D$635*IF('Ввод данных'!$A$19=связи1!$A$128,2,2)*IF('Ввод данных'!$F$237=связи1!$A$2,1,0)</f>
        <v>0</v>
      </c>
      <c r="G687" s="933" t="n">
        <f aca="false">C687*D687*E687*F687</f>
        <v>0</v>
      </c>
      <c r="H687" s="933"/>
      <c r="I687" s="933"/>
      <c r="J687" s="933"/>
      <c r="K687" s="933"/>
      <c r="L687" s="933"/>
      <c r="M687" s="933"/>
      <c r="N687" s="933"/>
      <c r="O687" s="1220"/>
      <c r="P687" s="1290"/>
      <c r="Q687" s="1290"/>
      <c r="R687" s="1290"/>
      <c r="S687" s="933"/>
      <c r="T687" s="1220"/>
      <c r="U687" s="932"/>
      <c r="V687" s="1220"/>
      <c r="W687" s="996"/>
      <c r="X687" s="996"/>
      <c r="Y687" s="1220"/>
      <c r="Z687" s="1290"/>
      <c r="AA687" s="933"/>
      <c r="AB687" s="933"/>
      <c r="AC687" s="933"/>
      <c r="AD687" s="933"/>
    </row>
    <row r="688" customFormat="false" ht="15.75" hidden="false" customHeight="true" outlineLevel="1" collapsed="false">
      <c r="A688" s="933" t="s">
        <v>3310</v>
      </c>
      <c r="B688" s="1269" t="s">
        <v>156</v>
      </c>
      <c r="C688" s="887" t="n">
        <f aca="false">$C$143</f>
        <v>0.15</v>
      </c>
      <c r="D688" s="933" t="n">
        <f aca="false">$J$620</f>
        <v>0.05</v>
      </c>
      <c r="E688" s="1023" t="n">
        <f aca="false">IF(E653=0,0,IF('Ввод данных'!$A$6=связи1!$A$95,IF(дома!E687+дома!$F$634&lt;дома!$E$627+0.3,дома!E687+дома!$F$634,0),0))+IF(дома!E687=0,0,IF('Ввод данных'!$A$6=связи1!$A$96,IF(дома!E687+0.05+дома!$F$634&gt;дома!$E$627+0.4,0,дома!E687+дома!$F$634),0))+IF(дома!E687=0,0,IF('Ввод данных'!$A$6=связи1!$A$98,IF(дома!E687+0.05+дома!$F$634&gt;дома!$E$627+0.4,0,дома!E687+дома!$F$634),0))</f>
        <v>0</v>
      </c>
      <c r="F688" s="933" t="n">
        <f aca="false">IF(E688&lt;($E$631+0.5),1,0)*$D$635*IF('Ввод данных'!$A$19=связи1!$A$128,2,2)*IF('Ввод данных'!$F$237=связи1!$A$2,1,0)</f>
        <v>0</v>
      </c>
      <c r="G688" s="933" t="n">
        <f aca="false">C688*D688*E688*F688</f>
        <v>0</v>
      </c>
      <c r="H688" s="933"/>
      <c r="I688" s="933"/>
      <c r="J688" s="933"/>
      <c r="K688" s="933"/>
      <c r="L688" s="933"/>
      <c r="M688" s="933"/>
      <c r="N688" s="933"/>
      <c r="O688" s="1220"/>
      <c r="P688" s="1290"/>
      <c r="Q688" s="1290"/>
      <c r="R688" s="1290"/>
      <c r="S688" s="933"/>
      <c r="T688" s="1220"/>
      <c r="U688" s="932"/>
      <c r="V688" s="1220"/>
      <c r="W688" s="996"/>
      <c r="X688" s="996"/>
      <c r="Y688" s="1220"/>
      <c r="Z688" s="1290"/>
      <c r="AA688" s="933"/>
      <c r="AB688" s="933"/>
      <c r="AC688" s="933"/>
      <c r="AD688" s="933"/>
    </row>
    <row r="689" customFormat="false" ht="15.75" hidden="false" customHeight="true" outlineLevel="1" collapsed="false">
      <c r="A689" s="933" t="s">
        <v>3311</v>
      </c>
      <c r="B689" s="1269" t="s">
        <v>156</v>
      </c>
      <c r="C689" s="887" t="n">
        <f aca="false">$C$143</f>
        <v>0.15</v>
      </c>
      <c r="D689" s="933" t="n">
        <f aca="false">$J$620</f>
        <v>0.05</v>
      </c>
      <c r="E689" s="1023" t="n">
        <f aca="false">IF(E654=0,0,IF('Ввод данных'!$A$6=связи1!$A$95,IF(дома!E688+дома!$F$634&lt;дома!$E$627+0.3,дома!E688+дома!$F$634,0),0))+IF(дома!E688=0,0,IF('Ввод данных'!$A$6=связи1!$A$96,IF(дома!E688+0.05+дома!$F$634&gt;дома!$E$627+0.4,0,дома!E688+дома!$F$634),0))+IF(дома!E688=0,0,IF('Ввод данных'!$A$6=связи1!$A$98,IF(дома!E688+0.05+дома!$F$634&gt;дома!$E$627+0.4,0,дома!E688+дома!$F$634),0))</f>
        <v>0</v>
      </c>
      <c r="F689" s="933" t="n">
        <f aca="false">IF(E689&lt;($E$631+0.5),1,0)*$D$635*IF('Ввод данных'!$A$19=связи1!$A$128,2,2)*IF('Ввод данных'!$F$237=связи1!$A$2,1,0)</f>
        <v>0</v>
      </c>
      <c r="G689" s="933" t="n">
        <f aca="false">C689*D689*E689*F689</f>
        <v>0</v>
      </c>
      <c r="H689" s="933"/>
      <c r="I689" s="933"/>
      <c r="J689" s="933"/>
      <c r="K689" s="933"/>
      <c r="L689" s="933"/>
      <c r="M689" s="933"/>
      <c r="N689" s="933"/>
      <c r="O689" s="1220"/>
      <c r="P689" s="1290"/>
      <c r="Q689" s="1290"/>
      <c r="R689" s="1290"/>
      <c r="S689" s="933"/>
      <c r="T689" s="1220"/>
      <c r="U689" s="932"/>
      <c r="V689" s="1220"/>
      <c r="W689" s="996"/>
      <c r="X689" s="996"/>
      <c r="Y689" s="1220"/>
      <c r="Z689" s="1290"/>
      <c r="AA689" s="933"/>
      <c r="AB689" s="933"/>
      <c r="AC689" s="933"/>
      <c r="AD689" s="933"/>
    </row>
    <row r="690" customFormat="false" ht="15.75" hidden="false" customHeight="true" outlineLevel="1" collapsed="false">
      <c r="A690" s="933" t="s">
        <v>3312</v>
      </c>
      <c r="B690" s="1269" t="s">
        <v>156</v>
      </c>
      <c r="C690" s="887" t="n">
        <f aca="false">$C$143</f>
        <v>0.15</v>
      </c>
      <c r="D690" s="933" t="n">
        <f aca="false">$J$620</f>
        <v>0.05</v>
      </c>
      <c r="E690" s="1023" t="n">
        <f aca="false">IF(E655=0,0,IF('Ввод данных'!$A$6=связи1!$A$95,IF(дома!E689+дома!$F$634&lt;дома!$E$627+0.3,дома!E689+дома!$F$634,0),0))+IF(дома!E689=0,0,IF('Ввод данных'!$A$6=связи1!$A$96,IF(дома!E689+0.05+дома!$F$634&gt;дома!$E$627+0.4,0,дома!E689+дома!$F$634),0))+IF(дома!E689=0,0,IF('Ввод данных'!$A$6=связи1!$A$98,IF(дома!E689+0.05+дома!$F$634&gt;дома!$E$627+0.4,0,дома!E689+дома!$F$634),0))</f>
        <v>0</v>
      </c>
      <c r="F690" s="933" t="n">
        <f aca="false">IF(E690&lt;($E$631+0.5),1,0)*$D$635*IF('Ввод данных'!$A$19=связи1!$A$128,2,2)*IF('Ввод данных'!$F$237=связи1!$A$2,1,0)</f>
        <v>0</v>
      </c>
      <c r="G690" s="933" t="n">
        <f aca="false">C690*D690*E690*F690</f>
        <v>0</v>
      </c>
      <c r="H690" s="933"/>
      <c r="I690" s="933"/>
      <c r="J690" s="933"/>
      <c r="K690" s="933"/>
      <c r="L690" s="933"/>
      <c r="M690" s="933"/>
      <c r="N690" s="933"/>
      <c r="O690" s="1220"/>
      <c r="P690" s="1290"/>
      <c r="Q690" s="1290"/>
      <c r="R690" s="1290"/>
      <c r="S690" s="933"/>
      <c r="T690" s="1220"/>
      <c r="U690" s="932"/>
      <c r="V690" s="1220"/>
      <c r="W690" s="996"/>
      <c r="X690" s="996"/>
      <c r="Y690" s="1220"/>
      <c r="Z690" s="1290"/>
      <c r="AA690" s="933"/>
      <c r="AB690" s="933"/>
      <c r="AC690" s="933"/>
      <c r="AD690" s="933"/>
    </row>
    <row r="691" customFormat="false" ht="15.75" hidden="false" customHeight="true" outlineLevel="1" collapsed="false">
      <c r="A691" s="933" t="s">
        <v>3313</v>
      </c>
      <c r="B691" s="1269" t="s">
        <v>156</v>
      </c>
      <c r="C691" s="887" t="n">
        <f aca="false">$C$143</f>
        <v>0.15</v>
      </c>
      <c r="D691" s="933" t="n">
        <f aca="false">$J$620</f>
        <v>0.05</v>
      </c>
      <c r="E691" s="1023" t="n">
        <f aca="false">IF(E656=0,0,IF('Ввод данных'!$A$6=связи1!$A$95,IF(дома!E690+дома!$F$634&lt;дома!$E$627+0.3,дома!E690+дома!$F$634,0),0))+IF(дома!E690=0,0,IF('Ввод данных'!$A$6=связи1!$A$96,IF(дома!E690+0.05+дома!$F$634&gt;дома!$E$627+0.4,0,дома!E690+дома!$F$634),0))+IF(дома!E690=0,0,IF('Ввод данных'!$A$6=связи1!$A$98,IF(дома!E690+0.05+дома!$F$634&gt;дома!$E$627+0.4,0,дома!E690+дома!$F$634),0))</f>
        <v>0</v>
      </c>
      <c r="F691" s="933" t="n">
        <f aca="false">IF(E691&lt;($E$631+0.5),1,0)*$D$635*IF('Ввод данных'!$A$19=связи1!$A$128,2,2)*IF('Ввод данных'!$F$237=связи1!$A$2,1,0)</f>
        <v>0</v>
      </c>
      <c r="G691" s="933" t="n">
        <f aca="false">C691*D691*E691*F691</f>
        <v>0</v>
      </c>
      <c r="H691" s="933"/>
      <c r="I691" s="933"/>
      <c r="J691" s="933"/>
      <c r="K691" s="933"/>
      <c r="L691" s="933"/>
      <c r="M691" s="933"/>
      <c r="N691" s="933"/>
      <c r="O691" s="1220"/>
      <c r="P691" s="1290"/>
      <c r="Q691" s="1290"/>
      <c r="R691" s="1290"/>
      <c r="S691" s="933"/>
      <c r="T691" s="1220"/>
      <c r="U691" s="932"/>
      <c r="V691" s="1220"/>
      <c r="W691" s="996"/>
      <c r="X691" s="996"/>
      <c r="Y691" s="1220"/>
      <c r="Z691" s="1290"/>
      <c r="AA691" s="933"/>
      <c r="AB691" s="933"/>
      <c r="AC691" s="933"/>
      <c r="AD691" s="933"/>
    </row>
    <row r="692" customFormat="false" ht="15.75" hidden="false" customHeight="true" outlineLevel="1" collapsed="false">
      <c r="A692" s="933" t="s">
        <v>3314</v>
      </c>
      <c r="B692" s="1269" t="s">
        <v>156</v>
      </c>
      <c r="C692" s="887" t="n">
        <f aca="false">$C$143</f>
        <v>0.15</v>
      </c>
      <c r="D692" s="933" t="n">
        <f aca="false">$J$620</f>
        <v>0.05</v>
      </c>
      <c r="E692" s="1023" t="n">
        <f aca="false">IF(E657=0,0,IF('Ввод данных'!$A$6=связи1!$A$95,IF(дома!E691+дома!$F$634&lt;дома!$E$627+0.3,дома!E691+дома!$F$634,0),0))+IF(дома!E691=0,0,IF('Ввод данных'!$A$6=связи1!$A$96,IF(дома!E691+0.05+дома!$F$634&gt;дома!$E$627+0.4,0,дома!E691+дома!$F$634),0))+IF(дома!E691=0,0,IF('Ввод данных'!$A$6=связи1!$A$98,IF(дома!E691+0.05+дома!$F$634&gt;дома!$E$627+0.4,0,дома!E691+дома!$F$634),0))</f>
        <v>0</v>
      </c>
      <c r="F692" s="933" t="n">
        <f aca="false">IF(E692&lt;($E$631+0.5),1,0)*$D$635*IF('Ввод данных'!$A$19=связи1!$A$128,2,2)*IF('Ввод данных'!$F$237=связи1!$A$2,1,0)</f>
        <v>0</v>
      </c>
      <c r="G692" s="933" t="n">
        <f aca="false">C692*D692*E692*F692</f>
        <v>0</v>
      </c>
      <c r="H692" s="933"/>
      <c r="I692" s="933"/>
      <c r="J692" s="933"/>
      <c r="K692" s="933"/>
      <c r="L692" s="933"/>
      <c r="M692" s="933"/>
      <c r="N692" s="933"/>
      <c r="O692" s="1220"/>
      <c r="P692" s="1290"/>
      <c r="Q692" s="1290"/>
      <c r="R692" s="1290"/>
      <c r="S692" s="933"/>
      <c r="T692" s="1220"/>
      <c r="U692" s="932"/>
      <c r="V692" s="1220"/>
      <c r="W692" s="996"/>
      <c r="X692" s="996"/>
      <c r="Y692" s="1220"/>
      <c r="Z692" s="1290"/>
      <c r="AA692" s="933"/>
      <c r="AB692" s="933"/>
      <c r="AC692" s="933"/>
      <c r="AD692" s="933"/>
    </row>
    <row r="693" customFormat="false" ht="15.75" hidden="false" customHeight="true" outlineLevel="1" collapsed="false">
      <c r="A693" s="933" t="s">
        <v>3315</v>
      </c>
      <c r="B693" s="1269" t="s">
        <v>156</v>
      </c>
      <c r="C693" s="887" t="n">
        <f aca="false">$C$143</f>
        <v>0.15</v>
      </c>
      <c r="D693" s="933" t="n">
        <f aca="false">$J$620</f>
        <v>0.05</v>
      </c>
      <c r="E693" s="1023" t="n">
        <f aca="false">IF(E658=0,0,IF('Ввод данных'!$A$6=связи1!$A$95,IF(дома!E692+дома!$F$634&lt;дома!$E$627+0.3,дома!E692+дома!$F$634,0),0))+IF(дома!E692=0,0,IF('Ввод данных'!$A$6=связи1!$A$96,IF(дома!E692+0.05+дома!$F$634&gt;дома!$E$627+0.4,0,дома!E692+дома!$F$634),0))+IF(дома!E692=0,0,IF('Ввод данных'!$A$6=связи1!$A$98,IF(дома!E692+0.05+дома!$F$634&gt;дома!$E$627+0.4,0,дома!E692+дома!$F$634),0))</f>
        <v>0</v>
      </c>
      <c r="F693" s="933" t="n">
        <f aca="false">IF(E693&lt;($E$631+0.5),1,0)*$D$635*IF('Ввод данных'!$A$19=связи1!$A$128,2,2)*IF('Ввод данных'!$F$237=связи1!$A$2,1,0)</f>
        <v>0</v>
      </c>
      <c r="G693" s="933" t="n">
        <f aca="false">C693*D693*E693*F693</f>
        <v>0</v>
      </c>
      <c r="H693" s="933"/>
      <c r="I693" s="933"/>
      <c r="J693" s="933"/>
      <c r="K693" s="933"/>
      <c r="L693" s="933"/>
      <c r="M693" s="933"/>
      <c r="N693" s="933"/>
      <c r="O693" s="1220"/>
      <c r="P693" s="1290"/>
      <c r="Q693" s="1290"/>
      <c r="R693" s="1290"/>
      <c r="S693" s="933"/>
      <c r="T693" s="1220"/>
      <c r="U693" s="932"/>
      <c r="V693" s="1220"/>
      <c r="W693" s="996"/>
      <c r="X693" s="996"/>
      <c r="Y693" s="1220"/>
      <c r="Z693" s="1290"/>
      <c r="AA693" s="933"/>
      <c r="AB693" s="933"/>
      <c r="AC693" s="933"/>
      <c r="AD693" s="933"/>
    </row>
    <row r="694" customFormat="false" ht="15.75" hidden="false" customHeight="true" outlineLevel="1" collapsed="false">
      <c r="A694" s="933" t="s">
        <v>3316</v>
      </c>
      <c r="B694" s="1269" t="s">
        <v>156</v>
      </c>
      <c r="C694" s="887" t="n">
        <f aca="false">$C$143</f>
        <v>0.15</v>
      </c>
      <c r="D694" s="933" t="n">
        <f aca="false">$J$620</f>
        <v>0.05</v>
      </c>
      <c r="E694" s="1023" t="n">
        <f aca="false">IF(E659=0,0,IF('Ввод данных'!$A$6=связи1!$A$95,IF(дома!E693+дома!$F$634&lt;дома!$E$627+0.3,дома!E693+дома!$F$634,0),0))+IF(дома!E693=0,0,IF('Ввод данных'!$A$6=связи1!$A$96,IF(дома!E693+0.05+дома!$F$634&gt;дома!$E$627+0.4,0,дома!E693+дома!$F$634),0))+IF(дома!E693=0,0,IF('Ввод данных'!$A$6=связи1!$A$98,IF(дома!E693+0.05+дома!$F$634&gt;дома!$E$627+0.4,0,дома!E693+дома!$F$634),0))</f>
        <v>0</v>
      </c>
      <c r="F694" s="933" t="n">
        <f aca="false">IF(E694&lt;($E$631+0.5),1,0)*$D$635*IF('Ввод данных'!$A$19=связи1!$A$128,2,2)*IF('Ввод данных'!$F$237=связи1!$A$2,1,0)</f>
        <v>0</v>
      </c>
      <c r="G694" s="933" t="n">
        <f aca="false">C694*D694*E694*F694</f>
        <v>0</v>
      </c>
      <c r="H694" s="933"/>
      <c r="I694" s="933"/>
      <c r="J694" s="933"/>
      <c r="K694" s="933"/>
      <c r="L694" s="933"/>
      <c r="M694" s="933"/>
      <c r="N694" s="933"/>
      <c r="O694" s="1220"/>
      <c r="P694" s="1290"/>
      <c r="Q694" s="1290"/>
      <c r="R694" s="1290"/>
      <c r="S694" s="933"/>
      <c r="T694" s="1220"/>
      <c r="U694" s="932"/>
      <c r="V694" s="1220"/>
      <c r="W694" s="996"/>
      <c r="X694" s="996"/>
      <c r="Y694" s="1220"/>
      <c r="Z694" s="1290"/>
      <c r="AA694" s="933"/>
      <c r="AB694" s="933"/>
      <c r="AC694" s="933"/>
      <c r="AD694" s="933"/>
    </row>
    <row r="695" customFormat="false" ht="15.75" hidden="false" customHeight="true" outlineLevel="1" collapsed="false">
      <c r="A695" s="933" t="s">
        <v>3317</v>
      </c>
      <c r="B695" s="1269" t="s">
        <v>156</v>
      </c>
      <c r="C695" s="887" t="n">
        <f aca="false">$C$143</f>
        <v>0.15</v>
      </c>
      <c r="D695" s="933" t="n">
        <f aca="false">$J$620</f>
        <v>0.05</v>
      </c>
      <c r="E695" s="1023" t="n">
        <f aca="false">IF(E660=0,0,IF('Ввод данных'!$A$6=связи1!$A$95,IF(дома!E694+дома!$F$634&lt;дома!$E$627+0.3,дома!E694+дома!$F$634,0),0))+IF(дома!E694=0,0,IF('Ввод данных'!$A$6=связи1!$A$96,IF(дома!E694+0.05+дома!$F$634&gt;дома!$E$627+0.4,0,дома!E694+дома!$F$634),0))+IF(дома!E694=0,0,IF('Ввод данных'!$A$6=связи1!$A$98,IF(дома!E694+0.05+дома!$F$634&gt;дома!$E$627+0.4,0,дома!E694+дома!$F$634),0))</f>
        <v>0</v>
      </c>
      <c r="F695" s="933" t="n">
        <f aca="false">IF(E695&lt;($E$631+0.5),1,0)*$D$635*IF('Ввод данных'!$A$19=связи1!$A$128,2,2)*IF('Ввод данных'!$F$237=связи1!$A$2,1,0)</f>
        <v>0</v>
      </c>
      <c r="G695" s="933" t="n">
        <f aca="false">C695*D695*E695*F695</f>
        <v>0</v>
      </c>
      <c r="H695" s="933"/>
      <c r="I695" s="933"/>
      <c r="J695" s="933"/>
      <c r="K695" s="933"/>
      <c r="L695" s="933"/>
      <c r="M695" s="933"/>
      <c r="N695" s="933"/>
      <c r="O695" s="1220"/>
      <c r="P695" s="1290"/>
      <c r="Q695" s="1290"/>
      <c r="R695" s="1290"/>
      <c r="S695" s="933"/>
      <c r="T695" s="1220"/>
      <c r="U695" s="932"/>
      <c r="V695" s="1220"/>
      <c r="W695" s="996"/>
      <c r="X695" s="996"/>
      <c r="Y695" s="1220"/>
      <c r="Z695" s="1290"/>
      <c r="AA695" s="933"/>
      <c r="AB695" s="933"/>
      <c r="AC695" s="933"/>
      <c r="AD695" s="933"/>
    </row>
    <row r="696" customFormat="false" ht="15.75" hidden="false" customHeight="true" outlineLevel="1" collapsed="false">
      <c r="A696" s="933" t="s">
        <v>3318</v>
      </c>
      <c r="B696" s="1269" t="s">
        <v>156</v>
      </c>
      <c r="C696" s="887" t="n">
        <f aca="false">$C$143</f>
        <v>0.15</v>
      </c>
      <c r="D696" s="933" t="n">
        <f aca="false">$J$620</f>
        <v>0.05</v>
      </c>
      <c r="E696" s="1023" t="n">
        <f aca="false">IF(E661=0,0,IF('Ввод данных'!$A$6=связи1!$A$95,IF(дома!E695+дома!$F$634&lt;дома!$E$627+0.3,дома!E695+дома!$F$634,0),0))+IF(дома!E695=0,0,IF('Ввод данных'!$A$6=связи1!$A$96,IF(дома!E695+0.05+дома!$F$634&gt;дома!$E$627+0.4,0,дома!E695+дома!$F$634),0))+IF(дома!E695=0,0,IF('Ввод данных'!$A$6=связи1!$A$98,IF(дома!E695+0.05+дома!$F$634&gt;дома!$E$627+0.4,0,дома!E695+дома!$F$634),0))</f>
        <v>0</v>
      </c>
      <c r="F696" s="933" t="n">
        <f aca="false">IF(E696&lt;($E$631+0.5),1,0)*$D$635*IF('Ввод данных'!$A$19=связи1!$A$128,2,2)*IF('Ввод данных'!$F$237=связи1!$A$2,1,0)</f>
        <v>0</v>
      </c>
      <c r="G696" s="933" t="n">
        <f aca="false">C696*D696*E696*F696</f>
        <v>0</v>
      </c>
      <c r="H696" s="933"/>
      <c r="I696" s="933"/>
      <c r="J696" s="933"/>
      <c r="K696" s="933"/>
      <c r="L696" s="933"/>
      <c r="M696" s="933"/>
      <c r="N696" s="933"/>
      <c r="O696" s="1220"/>
      <c r="P696" s="1290"/>
      <c r="Q696" s="1290"/>
      <c r="R696" s="1290"/>
      <c r="S696" s="933"/>
      <c r="T696" s="1220"/>
      <c r="U696" s="932"/>
      <c r="V696" s="1220"/>
      <c r="W696" s="996"/>
      <c r="X696" s="996"/>
      <c r="Y696" s="1220"/>
      <c r="Z696" s="1290"/>
      <c r="AA696" s="933"/>
      <c r="AB696" s="933"/>
      <c r="AC696" s="933"/>
      <c r="AD696" s="933"/>
    </row>
    <row r="697" customFormat="false" ht="15.75" hidden="false" customHeight="true" outlineLevel="1" collapsed="false">
      <c r="A697" s="933" t="s">
        <v>3319</v>
      </c>
      <c r="B697" s="1269" t="s">
        <v>156</v>
      </c>
      <c r="C697" s="887" t="n">
        <f aca="false">$C$143</f>
        <v>0.15</v>
      </c>
      <c r="D697" s="933" t="n">
        <f aca="false">$J$620</f>
        <v>0.05</v>
      </c>
      <c r="E697" s="1023" t="n">
        <f aca="false">IF(E662=0,0,IF('Ввод данных'!$A$6=связи1!$A$95,IF(дома!E696+дома!$F$634&lt;дома!$E$627+0.3,дома!E696+дома!$F$634,0),0))+IF(дома!E696=0,0,IF('Ввод данных'!$A$6=связи1!$A$96,IF(дома!E696+0.05+дома!$F$634&gt;дома!$E$627+0.4,0,дома!E696+дома!$F$634),0))+IF(дома!E696=0,0,IF('Ввод данных'!$A$6=связи1!$A$98,IF(дома!E696+0.05+дома!$F$634&gt;дома!$E$627+0.4,0,дома!E696+дома!$F$634),0))</f>
        <v>0</v>
      </c>
      <c r="F697" s="933" t="n">
        <f aca="false">IF(E697&lt;($E$631+0.5),1,0)*$D$635*IF('Ввод данных'!$A$19=связи1!$A$128,2,2)*IF('Ввод данных'!$F$237=связи1!$A$2,1,0)</f>
        <v>0</v>
      </c>
      <c r="G697" s="933" t="n">
        <f aca="false">C697*D697*E697*F697</f>
        <v>0</v>
      </c>
      <c r="H697" s="933"/>
      <c r="I697" s="933"/>
      <c r="J697" s="933"/>
      <c r="K697" s="933"/>
      <c r="L697" s="933"/>
      <c r="M697" s="933"/>
      <c r="N697" s="933"/>
      <c r="O697" s="1220"/>
      <c r="P697" s="1290"/>
      <c r="Q697" s="1290"/>
      <c r="R697" s="1290"/>
      <c r="S697" s="933"/>
      <c r="T697" s="1220"/>
      <c r="U697" s="932"/>
      <c r="V697" s="1220"/>
      <c r="W697" s="996"/>
      <c r="X697" s="996"/>
      <c r="Y697" s="1220"/>
      <c r="Z697" s="1290"/>
      <c r="AA697" s="933"/>
      <c r="AB697" s="933"/>
      <c r="AC697" s="933"/>
      <c r="AD697" s="933"/>
    </row>
    <row r="698" customFormat="false" ht="15.75" hidden="false" customHeight="true" outlineLevel="1" collapsed="false">
      <c r="A698" s="933" t="s">
        <v>3320</v>
      </c>
      <c r="B698" s="1269" t="s">
        <v>156</v>
      </c>
      <c r="C698" s="887" t="n">
        <f aca="false">$C$143</f>
        <v>0.15</v>
      </c>
      <c r="D698" s="933" t="n">
        <f aca="false">$J$620</f>
        <v>0.05</v>
      </c>
      <c r="E698" s="1023" t="n">
        <f aca="false">IF(E663=0,0,IF('Ввод данных'!$A$6=связи1!$A$95,IF(дома!E697+дома!$F$634&lt;дома!$E$627+0.3,дома!E697+дома!$F$634,0),0))+IF(дома!E697=0,0,IF('Ввод данных'!$A$6=связи1!$A$96,IF(дома!E697+0.05+дома!$F$634&gt;дома!$E$627+0.4,0,дома!E697+дома!$F$634),0))+IF(дома!E697=0,0,IF('Ввод данных'!$A$6=связи1!$A$98,IF(дома!E697+0.05+дома!$F$634&gt;дома!$E$627+0.4,0,дома!E697+дома!$F$634),0))</f>
        <v>0</v>
      </c>
      <c r="F698" s="933" t="n">
        <f aca="false">IF(E698&lt;($E$631+0.5),1,0)*$D$635*IF('Ввод данных'!$A$19=связи1!$A$128,2,2)*IF('Ввод данных'!$F$237=связи1!$A$2,1,0)</f>
        <v>0</v>
      </c>
      <c r="G698" s="933" t="n">
        <f aca="false">C698*D698*E698*F698</f>
        <v>0</v>
      </c>
      <c r="H698" s="933"/>
      <c r="I698" s="933"/>
      <c r="J698" s="933"/>
      <c r="K698" s="933"/>
      <c r="L698" s="933"/>
      <c r="M698" s="933"/>
      <c r="N698" s="933"/>
      <c r="O698" s="1220"/>
      <c r="P698" s="1290"/>
      <c r="Q698" s="1290"/>
      <c r="R698" s="1290"/>
      <c r="S698" s="933"/>
      <c r="T698" s="1220"/>
      <c r="U698" s="932"/>
      <c r="V698" s="1220"/>
      <c r="W698" s="996"/>
      <c r="X698" s="996"/>
      <c r="Y698" s="1220"/>
      <c r="Z698" s="1290"/>
      <c r="AA698" s="933"/>
      <c r="AB698" s="933"/>
      <c r="AC698" s="933"/>
      <c r="AD698" s="933"/>
    </row>
    <row r="699" customFormat="false" ht="15.75" hidden="false" customHeight="true" outlineLevel="1" collapsed="false">
      <c r="A699" s="933" t="s">
        <v>3321</v>
      </c>
      <c r="B699" s="1269" t="s">
        <v>156</v>
      </c>
      <c r="C699" s="887" t="n">
        <f aca="false">$C$143</f>
        <v>0.15</v>
      </c>
      <c r="D699" s="933" t="n">
        <f aca="false">$J$620</f>
        <v>0.05</v>
      </c>
      <c r="E699" s="1023" t="n">
        <f aca="false">IF(E664=0,0,IF('Ввод данных'!$A$6=связи1!$A$95,IF(дома!E698+дома!$F$634&lt;дома!$E$627+0.3,дома!E698+дома!$F$634,0),0))+IF(дома!E698=0,0,IF('Ввод данных'!$A$6=связи1!$A$96,IF(дома!E698+0.05+дома!$F$634&gt;дома!$E$627+0.4,0,дома!E698+дома!$F$634),0))+IF(дома!E698=0,0,IF('Ввод данных'!$A$6=связи1!$A$98,IF(дома!E698+0.05+дома!$F$634&gt;дома!$E$627+0.4,0,дома!E698+дома!$F$634),0))</f>
        <v>0</v>
      </c>
      <c r="F699" s="933" t="n">
        <f aca="false">IF(E699&lt;($E$631+0.5),1,0)*$D$635*IF('Ввод данных'!$A$19=связи1!$A$128,2,2)*IF('Ввод данных'!$F$237=связи1!$A$2,1,0)</f>
        <v>0</v>
      </c>
      <c r="G699" s="933" t="n">
        <f aca="false">C699*D699*E699*F699</f>
        <v>0</v>
      </c>
      <c r="H699" s="933"/>
      <c r="I699" s="933"/>
      <c r="J699" s="933"/>
      <c r="K699" s="933"/>
      <c r="L699" s="933"/>
      <c r="M699" s="933"/>
      <c r="N699" s="933"/>
      <c r="O699" s="1220"/>
      <c r="P699" s="1290"/>
      <c r="Q699" s="1290"/>
      <c r="R699" s="1290"/>
      <c r="S699" s="933"/>
      <c r="T699" s="1220"/>
      <c r="U699" s="932"/>
      <c r="V699" s="1220"/>
      <c r="W699" s="996"/>
      <c r="X699" s="996"/>
      <c r="Y699" s="1220"/>
      <c r="Z699" s="1290"/>
      <c r="AA699" s="933"/>
      <c r="AB699" s="933"/>
      <c r="AC699" s="933"/>
      <c r="AD699" s="933"/>
    </row>
    <row r="700" customFormat="false" ht="15.75" hidden="false" customHeight="true" outlineLevel="1" collapsed="false">
      <c r="A700" s="933" t="s">
        <v>3322</v>
      </c>
      <c r="B700" s="1269" t="s">
        <v>156</v>
      </c>
      <c r="C700" s="887" t="n">
        <f aca="false">$C$143</f>
        <v>0.15</v>
      </c>
      <c r="D700" s="933" t="n">
        <f aca="false">$J$620</f>
        <v>0.05</v>
      </c>
      <c r="E700" s="1023" t="n">
        <f aca="false">IF(E665=0,0,IF('Ввод данных'!$A$6=связи1!$A$95,IF(дома!E699+дома!$F$634&lt;дома!$E$627+0.3,дома!E699+дома!$F$634,0),0))+IF(дома!E699=0,0,IF('Ввод данных'!$A$6=связи1!$A$96,IF(дома!E699+0.05+дома!$F$634&gt;дома!$E$627+0.4,0,дома!E699+дома!$F$634),0))+IF(дома!E699=0,0,IF('Ввод данных'!$A$6=связи1!$A$98,IF(дома!E699+0.05+дома!$F$634&gt;дома!$E$627+0.4,0,дома!E699+дома!$F$634),0))</f>
        <v>0</v>
      </c>
      <c r="F700" s="933" t="n">
        <f aca="false">IF(E700&lt;($E$631+0.5),1,0)*$D$635*IF('Ввод данных'!$A$19=связи1!$A$128,2,2)*IF('Ввод данных'!$F$237=связи1!$A$2,1,0)</f>
        <v>0</v>
      </c>
      <c r="G700" s="933" t="n">
        <f aca="false">C700*D700*E700*F700</f>
        <v>0</v>
      </c>
      <c r="H700" s="933"/>
      <c r="I700" s="933"/>
      <c r="J700" s="933"/>
      <c r="K700" s="933"/>
      <c r="L700" s="933"/>
      <c r="M700" s="933"/>
      <c r="N700" s="933"/>
      <c r="O700" s="1220"/>
      <c r="P700" s="1290"/>
      <c r="Q700" s="1290"/>
      <c r="R700" s="1290"/>
      <c r="S700" s="933"/>
      <c r="T700" s="1220"/>
      <c r="U700" s="932"/>
      <c r="V700" s="1220"/>
      <c r="W700" s="996"/>
      <c r="X700" s="996"/>
      <c r="Y700" s="1220"/>
      <c r="Z700" s="1290"/>
      <c r="AA700" s="933"/>
      <c r="AB700" s="933"/>
      <c r="AC700" s="933"/>
      <c r="AD700" s="933"/>
    </row>
    <row r="701" customFormat="false" ht="15.75" hidden="false" customHeight="true" outlineLevel="1" collapsed="false">
      <c r="A701" s="933" t="s">
        <v>3323</v>
      </c>
      <c r="B701" s="1269" t="s">
        <v>156</v>
      </c>
      <c r="C701" s="887" t="n">
        <f aca="false">$C$143</f>
        <v>0.15</v>
      </c>
      <c r="D701" s="933" t="n">
        <f aca="false">$J$620</f>
        <v>0.05</v>
      </c>
      <c r="E701" s="1023" t="n">
        <f aca="false">IF(E666=0,0,IF('Ввод данных'!$A$6=связи1!$A$95,IF(дома!E700+дома!$F$634&lt;дома!$E$627+0.3,дома!E700+дома!$F$634,0),0))+IF(дома!E700=0,0,IF('Ввод данных'!$A$6=связи1!$A$96,IF(дома!E700+0.05+дома!$F$634&gt;дома!$E$627+0.4,0,дома!E700+дома!$F$634),0))+IF(дома!E700=0,0,IF('Ввод данных'!$A$6=связи1!$A$98,IF(дома!E700+0.05+дома!$F$634&gt;дома!$E$627+0.4,0,дома!E700+дома!$F$634),0))</f>
        <v>0</v>
      </c>
      <c r="F701" s="933" t="n">
        <f aca="false">IF(E701&lt;($E$631+0.5),1,0)*$D$635*IF('Ввод данных'!$A$19=связи1!$A$128,2,2)*IF('Ввод данных'!$F$237=связи1!$A$2,1,0)</f>
        <v>0</v>
      </c>
      <c r="G701" s="933" t="n">
        <f aca="false">C701*D701*E701*F701</f>
        <v>0</v>
      </c>
      <c r="H701" s="933"/>
      <c r="I701" s="933"/>
      <c r="J701" s="933"/>
      <c r="K701" s="933"/>
      <c r="L701" s="933"/>
      <c r="M701" s="933"/>
      <c r="N701" s="933"/>
      <c r="O701" s="1220"/>
      <c r="P701" s="1290"/>
      <c r="Q701" s="1290"/>
      <c r="R701" s="1290"/>
      <c r="S701" s="933"/>
      <c r="T701" s="1220"/>
      <c r="U701" s="932"/>
      <c r="V701" s="1220"/>
      <c r="W701" s="996"/>
      <c r="X701" s="996"/>
      <c r="Y701" s="1220"/>
      <c r="Z701" s="1290"/>
      <c r="AA701" s="933"/>
      <c r="AB701" s="933"/>
      <c r="AC701" s="933"/>
      <c r="AD701" s="933"/>
    </row>
    <row r="702" customFormat="false" ht="15.75" hidden="false" customHeight="true" outlineLevel="1" collapsed="false">
      <c r="A702" s="933" t="s">
        <v>3324</v>
      </c>
      <c r="B702" s="1269" t="s">
        <v>156</v>
      </c>
      <c r="C702" s="887" t="n">
        <f aca="false">$C$143</f>
        <v>0.15</v>
      </c>
      <c r="D702" s="933" t="n">
        <f aca="false">$J$620</f>
        <v>0.05</v>
      </c>
      <c r="E702" s="1023" t="n">
        <f aca="false">IF(E667=0,0,IF('Ввод данных'!$A$6=связи1!$A$95,IF(дома!E701+дома!$F$634&lt;дома!$E$627+0.3,дома!E701+дома!$F$634,0),0))+IF(дома!E701=0,0,IF('Ввод данных'!$A$6=связи1!$A$96,IF(дома!E701+0.05+дома!$F$634&gt;дома!$E$627+0.4,0,дома!E701+дома!$F$634),0))+IF(дома!E701=0,0,IF('Ввод данных'!$A$6=связи1!$A$98,IF(дома!E701+0.05+дома!$F$634&gt;дома!$E$627+0.4,0,дома!E701+дома!$F$634),0))</f>
        <v>0</v>
      </c>
      <c r="F702" s="933" t="n">
        <f aca="false">IF(E702&lt;($E$631+0.5),1,0)*$D$635*IF('Ввод данных'!$A$19=связи1!$A$128,2,2)*IF('Ввод данных'!$F$237=связи1!$A$2,1,0)</f>
        <v>0</v>
      </c>
      <c r="G702" s="933" t="n">
        <f aca="false">C702*D702*E702*F702</f>
        <v>0</v>
      </c>
      <c r="H702" s="933"/>
      <c r="I702" s="933"/>
      <c r="J702" s="933"/>
      <c r="K702" s="933"/>
      <c r="L702" s="933"/>
      <c r="M702" s="933"/>
      <c r="N702" s="933"/>
      <c r="O702" s="1220"/>
      <c r="P702" s="1290"/>
      <c r="Q702" s="1290"/>
      <c r="R702" s="1290"/>
      <c r="S702" s="933"/>
      <c r="T702" s="1220"/>
      <c r="U702" s="932"/>
      <c r="V702" s="1220"/>
      <c r="W702" s="996"/>
      <c r="X702" s="996"/>
      <c r="Y702" s="1220"/>
      <c r="Z702" s="1290"/>
      <c r="AA702" s="933"/>
      <c r="AB702" s="933"/>
      <c r="AC702" s="933"/>
      <c r="AD702" s="933"/>
    </row>
    <row r="703" customFormat="false" ht="15.75" hidden="false" customHeight="true" outlineLevel="1" collapsed="false">
      <c r="A703" s="933" t="s">
        <v>3325</v>
      </c>
      <c r="B703" s="1269" t="s">
        <v>156</v>
      </c>
      <c r="C703" s="887" t="n">
        <f aca="false">$C$143</f>
        <v>0.15</v>
      </c>
      <c r="D703" s="933" t="n">
        <f aca="false">$J$620</f>
        <v>0.05</v>
      </c>
      <c r="E703" s="1023" t="n">
        <f aca="false">IF(E668=0,0,IF('Ввод данных'!$A$6=связи1!$A$95,IF(дома!E702+дома!$F$634&lt;дома!$E$627+0.3,дома!E702+дома!$F$634,0),0))+IF(дома!E702=0,0,IF('Ввод данных'!$A$6=связи1!$A$96,IF(дома!E702+0.05+дома!$F$634&gt;дома!$E$627+0.4,0,дома!E702+дома!$F$634),0))+IF(дома!E702=0,0,IF('Ввод данных'!$A$6=связи1!$A$98,IF(дома!E702+0.05+дома!$F$634&gt;дома!$E$627+0.4,0,дома!E702+дома!$F$634),0))</f>
        <v>0</v>
      </c>
      <c r="F703" s="933" t="n">
        <f aca="false">IF(E703&lt;($E$631+0.5),1,0)*$D$635*IF('Ввод данных'!$A$19=связи1!$A$128,2,2)*IF('Ввод данных'!$F$237=связи1!$A$2,1,0)</f>
        <v>0</v>
      </c>
      <c r="G703" s="933" t="n">
        <f aca="false">C703*D703*E703*F703</f>
        <v>0</v>
      </c>
      <c r="H703" s="933"/>
      <c r="I703" s="933"/>
      <c r="J703" s="933"/>
      <c r="K703" s="933"/>
      <c r="L703" s="933"/>
      <c r="M703" s="933"/>
      <c r="N703" s="933"/>
      <c r="O703" s="1220"/>
      <c r="P703" s="1290"/>
      <c r="Q703" s="1290"/>
      <c r="R703" s="1290"/>
      <c r="S703" s="933"/>
      <c r="T703" s="1220"/>
      <c r="U703" s="932"/>
      <c r="V703" s="1220"/>
      <c r="W703" s="996"/>
      <c r="X703" s="996"/>
      <c r="Y703" s="1220"/>
      <c r="Z703" s="1290"/>
      <c r="AA703" s="933"/>
      <c r="AB703" s="933"/>
      <c r="AC703" s="933"/>
      <c r="AD703" s="933"/>
    </row>
    <row r="704" customFormat="false" ht="15.75" hidden="false" customHeight="true" outlineLevel="1" collapsed="false">
      <c r="A704" s="933" t="s">
        <v>3326</v>
      </c>
      <c r="B704" s="1269" t="s">
        <v>156</v>
      </c>
      <c r="C704" s="887" t="n">
        <f aca="false">$C$143</f>
        <v>0.15</v>
      </c>
      <c r="D704" s="933" t="n">
        <f aca="false">$J$620</f>
        <v>0.05</v>
      </c>
      <c r="E704" s="1023" t="n">
        <f aca="false">IF(E669=0,0,IF('Ввод данных'!$A$6=связи1!$A$95,IF(дома!E703+дома!$F$634&lt;дома!$E$627+0.3,дома!E703+дома!$F$634,0),0))+IF(дома!E703=0,0,IF('Ввод данных'!$A$6=связи1!$A$96,IF(дома!E703+0.05+дома!$F$634&gt;дома!$E$627+0.4,0,дома!E703+дома!$F$634),0))+IF(дома!E703=0,0,IF('Ввод данных'!$A$6=связи1!$A$98,IF(дома!E703+0.05+дома!$F$634&gt;дома!$E$627+0.4,0,дома!E703+дома!$F$634),0))</f>
        <v>0</v>
      </c>
      <c r="F704" s="933" t="n">
        <f aca="false">IF(E704&lt;($E$631+0.5),1,0)*$D$635*IF('Ввод данных'!$A$19=связи1!$A$128,2,2)*IF('Ввод данных'!$F$237=связи1!$A$2,1,0)</f>
        <v>0</v>
      </c>
      <c r="G704" s="933" t="n">
        <f aca="false">C704*D704*E704*F704</f>
        <v>0</v>
      </c>
      <c r="H704" s="933"/>
      <c r="I704" s="933"/>
      <c r="J704" s="933"/>
      <c r="K704" s="933"/>
      <c r="L704" s="933"/>
      <c r="M704" s="933"/>
      <c r="N704" s="933"/>
      <c r="O704" s="1220"/>
      <c r="P704" s="1290"/>
      <c r="Q704" s="1290"/>
      <c r="R704" s="1290"/>
      <c r="S704" s="933"/>
      <c r="T704" s="1220"/>
      <c r="U704" s="932"/>
      <c r="V704" s="1220"/>
      <c r="W704" s="996"/>
      <c r="X704" s="996"/>
      <c r="Y704" s="1220"/>
      <c r="Z704" s="1290"/>
      <c r="AA704" s="933"/>
      <c r="AB704" s="933"/>
      <c r="AC704" s="933"/>
      <c r="AD704" s="933"/>
    </row>
    <row r="705" customFormat="false" ht="15.75" hidden="false" customHeight="true" outlineLevel="1" collapsed="false">
      <c r="A705" s="933" t="s">
        <v>3327</v>
      </c>
      <c r="B705" s="1269" t="s">
        <v>156</v>
      </c>
      <c r="C705" s="887" t="n">
        <f aca="false">$C$143</f>
        <v>0.15</v>
      </c>
      <c r="D705" s="933" t="n">
        <f aca="false">$J$620</f>
        <v>0.05</v>
      </c>
      <c r="E705" s="1023" t="n">
        <f aca="false">IF(E670=0,0,IF('Ввод данных'!$A$6=связи1!$A$95,IF(дома!E704+дома!$F$634&lt;дома!$E$627+0.3,дома!E704+дома!$F$634,0),0))+IF(дома!E704=0,0,IF('Ввод данных'!$A$6=связи1!$A$96,IF(дома!E704+0.05+дома!$F$634&gt;дома!$E$627+0.4,0,дома!E704+дома!$F$634),0))+IF(дома!E704=0,0,IF('Ввод данных'!$A$6=связи1!$A$98,IF(дома!E704+0.05+дома!$F$634&gt;дома!$E$627+0.4,0,дома!E704+дома!$F$634),0))</f>
        <v>0</v>
      </c>
      <c r="F705" s="933" t="n">
        <f aca="false">IF(E705&lt;($E$631+0.5),1,0)*$D$635*IF('Ввод данных'!$A$19=связи1!$A$128,2,2)*IF('Ввод данных'!$F$237=связи1!$A$2,1,0)</f>
        <v>0</v>
      </c>
      <c r="G705" s="933" t="n">
        <f aca="false">C705*D705*E705*F705</f>
        <v>0</v>
      </c>
      <c r="H705" s="933"/>
      <c r="I705" s="933"/>
      <c r="J705" s="933"/>
      <c r="K705" s="933"/>
      <c r="L705" s="933"/>
      <c r="M705" s="933"/>
      <c r="N705" s="933"/>
      <c r="O705" s="1220"/>
      <c r="P705" s="1290"/>
      <c r="Q705" s="1290"/>
      <c r="R705" s="1290"/>
      <c r="S705" s="933"/>
      <c r="T705" s="1220"/>
      <c r="U705" s="932"/>
      <c r="V705" s="1220"/>
      <c r="W705" s="996"/>
      <c r="X705" s="996"/>
      <c r="Y705" s="1220"/>
      <c r="Z705" s="1290"/>
      <c r="AA705" s="933"/>
      <c r="AB705" s="933"/>
      <c r="AC705" s="933"/>
      <c r="AD705" s="933"/>
    </row>
    <row r="706" customFormat="false" ht="15.75" hidden="false" customHeight="true" outlineLevel="1" collapsed="false">
      <c r="A706" s="933" t="s">
        <v>3328</v>
      </c>
      <c r="B706" s="1269" t="s">
        <v>156</v>
      </c>
      <c r="C706" s="887" t="n">
        <f aca="false">$C$143</f>
        <v>0.15</v>
      </c>
      <c r="D706" s="933" t="n">
        <f aca="false">$J$620</f>
        <v>0.05</v>
      </c>
      <c r="E706" s="1023" t="n">
        <f aca="false">IF(E671=0,0,IF('Ввод данных'!$A$6=связи1!$A$95,IF(дома!E705+дома!$F$634&lt;дома!$E$627+0.3,дома!E705+дома!$F$634,0),0))+IF(дома!E705=0,0,IF('Ввод данных'!$A$6=связи1!$A$96,IF(дома!E705+0.05+дома!$F$634&gt;дома!$E$627+0.4,0,дома!E705+дома!$F$634),0))+IF(дома!E705=0,0,IF('Ввод данных'!$A$6=связи1!$A$98,IF(дома!E705+0.05+дома!$F$634&gt;дома!$E$627+0.4,0,дома!E705+дома!$F$634),0))</f>
        <v>0</v>
      </c>
      <c r="F706" s="933" t="n">
        <f aca="false">IF(E706&lt;($E$631+0.5),1,0)*$D$635*IF('Ввод данных'!$A$19=связи1!$A$128,2,2)*IF('Ввод данных'!$F$237=связи1!$A$2,1,0)</f>
        <v>0</v>
      </c>
      <c r="G706" s="933" t="n">
        <f aca="false">C706*D706*E706*F706</f>
        <v>0</v>
      </c>
      <c r="H706" s="933"/>
      <c r="I706" s="933"/>
      <c r="J706" s="933"/>
      <c r="K706" s="933"/>
      <c r="L706" s="933"/>
      <c r="M706" s="933"/>
      <c r="N706" s="933"/>
      <c r="O706" s="1220"/>
      <c r="P706" s="1290"/>
      <c r="Q706" s="1290"/>
      <c r="R706" s="1290"/>
      <c r="S706" s="933"/>
      <c r="T706" s="1220"/>
      <c r="U706" s="932"/>
      <c r="V706" s="1220"/>
      <c r="W706" s="996"/>
      <c r="X706" s="996"/>
      <c r="Y706" s="1220"/>
      <c r="Z706" s="1290"/>
      <c r="AA706" s="933"/>
      <c r="AB706" s="933"/>
      <c r="AC706" s="933"/>
      <c r="AD706" s="933"/>
    </row>
    <row r="707" customFormat="false" ht="15.75" hidden="false" customHeight="true" outlineLevel="1" collapsed="false">
      <c r="A707" s="933" t="s">
        <v>3329</v>
      </c>
      <c r="B707" s="1269" t="s">
        <v>156</v>
      </c>
      <c r="C707" s="887" t="n">
        <f aca="false">$C$143</f>
        <v>0.15</v>
      </c>
      <c r="D707" s="933" t="n">
        <f aca="false">$J$620</f>
        <v>0.05</v>
      </c>
      <c r="E707" s="1023" t="n">
        <f aca="false">IF(E672=0,0,IF('Ввод данных'!$A$6=связи1!$A$95,IF(дома!E706+дома!$F$634&lt;дома!$E$627+0.3,дома!E706+дома!$F$634,0),0))+IF(дома!E706=0,0,IF('Ввод данных'!$A$6=связи1!$A$96,IF(дома!E706+0.05+дома!$F$634&gt;дома!$E$627+0.4,0,дома!E706+дома!$F$634),0))+IF(дома!E706=0,0,IF('Ввод данных'!$A$6=связи1!$A$98,IF(дома!E706+0.05+дома!$F$634&gt;дома!$E$627+0.4,0,дома!E706+дома!$F$634),0))</f>
        <v>0</v>
      </c>
      <c r="F707" s="933" t="n">
        <f aca="false">IF(E707&lt;($E$631+0.5),1,0)*$D$635*IF('Ввод данных'!$A$19=связи1!$A$128,2,2)*IF('Ввод данных'!$F$237=связи1!$A$2,1,0)</f>
        <v>0</v>
      </c>
      <c r="G707" s="933" t="n">
        <f aca="false">C707*D707*E707*F707</f>
        <v>0</v>
      </c>
      <c r="H707" s="933"/>
      <c r="I707" s="933"/>
      <c r="J707" s="933"/>
      <c r="K707" s="933"/>
      <c r="L707" s="933"/>
      <c r="M707" s="933"/>
      <c r="N707" s="933"/>
      <c r="O707" s="1220"/>
      <c r="P707" s="1290"/>
      <c r="Q707" s="1290"/>
      <c r="R707" s="1290"/>
      <c r="S707" s="933"/>
      <c r="T707" s="1220"/>
      <c r="U707" s="932"/>
      <c r="V707" s="1220"/>
      <c r="W707" s="996"/>
      <c r="X707" s="996"/>
      <c r="Y707" s="1220"/>
      <c r="Z707" s="1290"/>
      <c r="AA707" s="933"/>
      <c r="AB707" s="933"/>
      <c r="AC707" s="933"/>
      <c r="AD707" s="933"/>
    </row>
    <row r="708" customFormat="false" ht="15.75" hidden="false" customHeight="true" outlineLevel="1" collapsed="false">
      <c r="A708" s="933" t="s">
        <v>3330</v>
      </c>
      <c r="B708" s="1269" t="s">
        <v>156</v>
      </c>
      <c r="C708" s="887" t="n">
        <f aca="false">$C$143</f>
        <v>0.15</v>
      </c>
      <c r="D708" s="933" t="n">
        <f aca="false">$J$620</f>
        <v>0.05</v>
      </c>
      <c r="E708" s="1023" t="n">
        <f aca="false">IF(E673=0,0,IF('Ввод данных'!$A$6=связи1!$A$95,IF(дома!E707+дома!$F$634&lt;дома!$E$627+0.3,дома!E707+дома!$F$634,0),0))+IF(дома!E707=0,0,IF('Ввод данных'!$A$6=связи1!$A$96,IF(дома!E707+0.05+дома!$F$634&gt;дома!$E$627+0.4,0,дома!E707+дома!$F$634),0))+IF(дома!E707=0,0,IF('Ввод данных'!$A$6=связи1!$A$98,IF(дома!E707+0.05+дома!$F$634&gt;дома!$E$627+0.4,0,дома!E707+дома!$F$634),0))</f>
        <v>0</v>
      </c>
      <c r="F708" s="933" t="n">
        <f aca="false">IF(E708&lt;($E$631+0.5),1,0)*$D$635*IF('Ввод данных'!$A$19=связи1!$A$128,2,2)*IF('Ввод данных'!$F$237=связи1!$A$2,1,0)</f>
        <v>0</v>
      </c>
      <c r="G708" s="933" t="n">
        <f aca="false">C708*D708*E708*F708</f>
        <v>0</v>
      </c>
      <c r="H708" s="933"/>
      <c r="I708" s="933"/>
      <c r="J708" s="933"/>
      <c r="K708" s="933"/>
      <c r="L708" s="933"/>
      <c r="M708" s="933"/>
      <c r="N708" s="933"/>
      <c r="O708" s="1220"/>
      <c r="P708" s="1290"/>
      <c r="Q708" s="1290"/>
      <c r="R708" s="1290"/>
      <c r="S708" s="933"/>
      <c r="T708" s="1220"/>
      <c r="U708" s="932"/>
      <c r="V708" s="1220"/>
      <c r="W708" s="996"/>
      <c r="X708" s="996"/>
      <c r="Y708" s="1220"/>
      <c r="Z708" s="1290"/>
      <c r="AA708" s="933"/>
      <c r="AB708" s="933"/>
      <c r="AC708" s="933"/>
      <c r="AD708" s="933"/>
    </row>
    <row r="709" customFormat="false" ht="15.75" hidden="false" customHeight="true" outlineLevel="1" collapsed="false">
      <c r="A709" s="933" t="s">
        <v>3331</v>
      </c>
      <c r="B709" s="1269" t="s">
        <v>156</v>
      </c>
      <c r="C709" s="887" t="n">
        <f aca="false">$C$143</f>
        <v>0.15</v>
      </c>
      <c r="D709" s="933" t="n">
        <f aca="false">$J$620</f>
        <v>0.05</v>
      </c>
      <c r="E709" s="1023" t="n">
        <f aca="false">IF(E674=0,0,IF('Ввод данных'!$A$6=связи1!$A$95,IF(дома!E708+дома!$F$634&lt;дома!$E$627+0.3,дома!E708+дома!$F$634,0),0))+IF(дома!E708=0,0,IF('Ввод данных'!$A$6=связи1!$A$96,IF(дома!E708+0.05+дома!$F$634&gt;дома!$E$627+0.4,0,дома!E708+дома!$F$634),0))+IF(дома!E708=0,0,IF('Ввод данных'!$A$6=связи1!$A$98,IF(дома!E708+0.05+дома!$F$634&gt;дома!$E$627+0.4,0,дома!E708+дома!$F$634),0))</f>
        <v>0</v>
      </c>
      <c r="F709" s="933" t="n">
        <f aca="false">IF(E709&lt;($E$631+0.5),1,0)*$D$635*IF('Ввод данных'!$A$19=связи1!$A$128,2,2)*IF('Ввод данных'!$F$237=связи1!$A$2,1,0)</f>
        <v>0</v>
      </c>
      <c r="G709" s="933" t="n">
        <f aca="false">C709*D709*E709*F709</f>
        <v>0</v>
      </c>
      <c r="H709" s="933"/>
      <c r="I709" s="933"/>
      <c r="J709" s="933"/>
      <c r="K709" s="933"/>
      <c r="L709" s="933"/>
      <c r="M709" s="933"/>
      <c r="N709" s="933"/>
      <c r="O709" s="1220"/>
      <c r="P709" s="1290"/>
      <c r="Q709" s="1290"/>
      <c r="R709" s="1290"/>
      <c r="S709" s="933"/>
      <c r="T709" s="1220"/>
      <c r="U709" s="932"/>
      <c r="V709" s="1220"/>
      <c r="W709" s="996"/>
      <c r="X709" s="996"/>
      <c r="Y709" s="1220"/>
      <c r="Z709" s="1290"/>
      <c r="AA709" s="933"/>
      <c r="AB709" s="933"/>
      <c r="AC709" s="933"/>
      <c r="AD709" s="933"/>
    </row>
    <row r="710" customFormat="false" ht="15.75" hidden="false" customHeight="true" outlineLevel="1" collapsed="false">
      <c r="A710" s="933" t="s">
        <v>3332</v>
      </c>
      <c r="B710" s="1269" t="s">
        <v>156</v>
      </c>
      <c r="C710" s="887" t="n">
        <f aca="false">$C$143</f>
        <v>0.15</v>
      </c>
      <c r="D710" s="933" t="n">
        <f aca="false">$J$620</f>
        <v>0.05</v>
      </c>
      <c r="E710" s="1023" t="n">
        <f aca="false">IF(E675=0,0,IF('Ввод данных'!$A$6=связи1!$A$95,IF(дома!E709+дома!$F$634&lt;дома!$E$627+0.3,дома!E709+дома!$F$634,0),0))+IF(дома!E709=0,0,IF('Ввод данных'!$A$6=связи1!$A$96,IF(дома!E709+0.05+дома!$F$634&gt;дома!$E$627+0.4,0,дома!E709+дома!$F$634),0))+IF(дома!E709=0,0,IF('Ввод данных'!$A$6=связи1!$A$98,IF(дома!E709+0.05+дома!$F$634&gt;дома!$E$627+0.4,0,дома!E709+дома!$F$634),0))</f>
        <v>0</v>
      </c>
      <c r="F710" s="933" t="n">
        <f aca="false">IF(E710&lt;($E$631+0.5),1,0)*$D$635*IF('Ввод данных'!$A$19=связи1!$A$128,2,2)*IF('Ввод данных'!$F$237=связи1!$A$2,1,0)</f>
        <v>0</v>
      </c>
      <c r="G710" s="933" t="n">
        <f aca="false">C710*D710*E710*F710</f>
        <v>0</v>
      </c>
      <c r="H710" s="933"/>
      <c r="I710" s="933"/>
      <c r="J710" s="933"/>
      <c r="K710" s="933"/>
      <c r="L710" s="933"/>
      <c r="M710" s="933"/>
      <c r="N710" s="933"/>
      <c r="O710" s="1220"/>
      <c r="P710" s="1290"/>
      <c r="Q710" s="1290"/>
      <c r="R710" s="1290"/>
      <c r="S710" s="933"/>
      <c r="T710" s="1220"/>
      <c r="U710" s="932"/>
      <c r="V710" s="1220"/>
      <c r="W710" s="996"/>
      <c r="X710" s="996"/>
      <c r="Y710" s="1220"/>
      <c r="Z710" s="1290"/>
      <c r="AA710" s="933"/>
      <c r="AB710" s="933"/>
      <c r="AC710" s="933"/>
      <c r="AD710" s="933"/>
    </row>
    <row r="711" customFormat="false" ht="15.75" hidden="false" customHeight="true" outlineLevel="1" collapsed="false">
      <c r="A711" s="933" t="s">
        <v>3333</v>
      </c>
      <c r="B711" s="1269" t="s">
        <v>156</v>
      </c>
      <c r="C711" s="887" t="n">
        <f aca="false">$C$143</f>
        <v>0.15</v>
      </c>
      <c r="D711" s="933" t="n">
        <f aca="false">$J$620</f>
        <v>0.05</v>
      </c>
      <c r="E711" s="1023" t="n">
        <f aca="false">IF(E676=0,0,IF('Ввод данных'!$A$6=связи1!$A$95,IF(дома!E710+дома!$F$634&lt;дома!$E$627+0.3,дома!E710+дома!$F$634,0),0))+IF(дома!E710=0,0,IF('Ввод данных'!$A$6=связи1!$A$96,IF(дома!E710+0.05+дома!$F$634&gt;дома!$E$627+0.4,0,дома!E710+дома!$F$634),0))+IF(дома!E710=0,0,IF('Ввод данных'!$A$6=связи1!$A$98,IF(дома!E710+0.05+дома!$F$634&gt;дома!$E$627+0.4,0,дома!E710+дома!$F$634),0))</f>
        <v>0</v>
      </c>
      <c r="F711" s="933" t="n">
        <f aca="false">IF(E711&lt;($E$631+0.5),1,0)*$D$635*IF('Ввод данных'!$A$19=связи1!$A$128,2,2)*IF('Ввод данных'!$F$237=связи1!$A$2,1,0)</f>
        <v>0</v>
      </c>
      <c r="G711" s="933" t="n">
        <f aca="false">C711*D711*E711*F711</f>
        <v>0</v>
      </c>
      <c r="H711" s="933"/>
      <c r="I711" s="933"/>
      <c r="J711" s="933"/>
      <c r="K711" s="933"/>
      <c r="L711" s="933"/>
      <c r="M711" s="933"/>
      <c r="N711" s="933"/>
      <c r="O711" s="1220"/>
      <c r="P711" s="1290"/>
      <c r="Q711" s="1290"/>
      <c r="R711" s="1290"/>
      <c r="S711" s="933"/>
      <c r="T711" s="1220"/>
      <c r="U711" s="932"/>
      <c r="V711" s="1220"/>
      <c r="W711" s="996"/>
      <c r="X711" s="996"/>
      <c r="Y711" s="1220"/>
      <c r="Z711" s="1290"/>
      <c r="AA711" s="933"/>
      <c r="AB711" s="933"/>
      <c r="AC711" s="933"/>
      <c r="AD711" s="933"/>
    </row>
    <row r="712" customFormat="false" ht="15.75" hidden="false" customHeight="true" outlineLevel="1" collapsed="false">
      <c r="A712" s="933" t="s">
        <v>3334</v>
      </c>
      <c r="B712" s="1269" t="s">
        <v>156</v>
      </c>
      <c r="C712" s="887" t="n">
        <f aca="false">$C$143</f>
        <v>0.15</v>
      </c>
      <c r="D712" s="933" t="n">
        <f aca="false">$J$620</f>
        <v>0.05</v>
      </c>
      <c r="E712" s="1023" t="n">
        <f aca="false">IF(E677=0,0,IF('Ввод данных'!$A$6=связи1!$A$95,IF(дома!E711+дома!$F$634&lt;дома!$E$627+0.3,дома!E711+дома!$F$634,0),0))+IF(дома!E711=0,0,IF('Ввод данных'!$A$6=связи1!$A$96,IF(дома!E711+0.05+дома!$F$634&gt;дома!$E$627+0.4,0,дома!E711+дома!$F$634),0))+IF(дома!E711=0,0,IF('Ввод данных'!$A$6=связи1!$A$98,IF(дома!E711+0.05+дома!$F$634&gt;дома!$E$627+0.4,0,дома!E711+дома!$F$634),0))</f>
        <v>0</v>
      </c>
      <c r="F712" s="933" t="n">
        <f aca="false">IF(E712&lt;($E$631+0.5),1,0)*$D$635*IF('Ввод данных'!$A$19=связи1!$A$128,2,2)*IF('Ввод данных'!$F$237=связи1!$A$2,1,0)</f>
        <v>0</v>
      </c>
      <c r="G712" s="933" t="n">
        <f aca="false">C712*D712*E712*F712</f>
        <v>0</v>
      </c>
      <c r="H712" s="933"/>
      <c r="I712" s="933"/>
      <c r="J712" s="933"/>
      <c r="K712" s="933"/>
      <c r="L712" s="933"/>
      <c r="M712" s="933"/>
      <c r="N712" s="933"/>
      <c r="O712" s="1220"/>
      <c r="P712" s="1290"/>
      <c r="Q712" s="1290"/>
      <c r="R712" s="1290"/>
      <c r="S712" s="933"/>
      <c r="T712" s="1220"/>
      <c r="U712" s="932"/>
      <c r="V712" s="1220"/>
      <c r="W712" s="996"/>
      <c r="X712" s="996"/>
      <c r="Y712" s="1220"/>
      <c r="Z712" s="1290"/>
      <c r="AA712" s="933"/>
      <c r="AB712" s="933"/>
      <c r="AC712" s="933"/>
      <c r="AD712" s="933"/>
    </row>
    <row r="713" customFormat="false" ht="15.75" hidden="false" customHeight="true" outlineLevel="1" collapsed="false">
      <c r="A713" s="933" t="s">
        <v>3335</v>
      </c>
      <c r="B713" s="1269" t="s">
        <v>156</v>
      </c>
      <c r="C713" s="887" t="n">
        <f aca="false">$C$143</f>
        <v>0.15</v>
      </c>
      <c r="D713" s="933" t="n">
        <f aca="false">$J$620</f>
        <v>0.05</v>
      </c>
      <c r="E713" s="1023" t="n">
        <f aca="false">IF(E678=0,0,IF('Ввод данных'!$A$6=связи1!$A$95,IF(дома!E712+дома!$F$634&lt;дома!$E$627+0.3,дома!E712+дома!$F$634,0),0))+IF(дома!E712=0,0,IF('Ввод данных'!$A$6=связи1!$A$96,IF(дома!E712+0.05+дома!$F$634&gt;дома!$E$627+0.4,0,дома!E712+дома!$F$634),0))+IF(дома!E712=0,0,IF('Ввод данных'!$A$6=связи1!$A$98,IF(дома!E712+0.05+дома!$F$634&gt;дома!$E$627+0.4,0,дома!E712+дома!$F$634),0))</f>
        <v>0</v>
      </c>
      <c r="F713" s="933" t="n">
        <f aca="false">IF(E713&lt;($E$631+0.5),1,0)*$D$635*IF('Ввод данных'!$A$19=связи1!$A$128,2,2)*IF('Ввод данных'!$F$237=связи1!$A$2,1,0)</f>
        <v>0</v>
      </c>
      <c r="G713" s="933" t="n">
        <f aca="false">C713*D713*E713*F713</f>
        <v>0</v>
      </c>
      <c r="H713" s="933"/>
      <c r="I713" s="933"/>
      <c r="J713" s="933"/>
      <c r="K713" s="933"/>
      <c r="L713" s="933"/>
      <c r="M713" s="933"/>
      <c r="N713" s="933"/>
      <c r="O713" s="1220"/>
      <c r="P713" s="1290"/>
      <c r="Q713" s="1290"/>
      <c r="R713" s="1290"/>
      <c r="S713" s="933"/>
      <c r="T713" s="1220"/>
      <c r="U713" s="932"/>
      <c r="V713" s="1220"/>
      <c r="W713" s="996"/>
      <c r="X713" s="996"/>
      <c r="Y713" s="1220"/>
      <c r="Z713" s="1290"/>
      <c r="AA713" s="933"/>
      <c r="AB713" s="933"/>
      <c r="AC713" s="933"/>
      <c r="AD713" s="933"/>
    </row>
    <row r="714" customFormat="false" ht="15.75" hidden="false" customHeight="true" outlineLevel="1" collapsed="false">
      <c r="A714" s="933" t="s">
        <v>3336</v>
      </c>
      <c r="B714" s="1269" t="s">
        <v>156</v>
      </c>
      <c r="C714" s="887" t="n">
        <f aca="false">$C$143</f>
        <v>0.15</v>
      </c>
      <c r="D714" s="933" t="n">
        <f aca="false">$J$620</f>
        <v>0.05</v>
      </c>
      <c r="E714" s="1023" t="n">
        <f aca="false">IF(E679=0,0,IF('Ввод данных'!$A$6=связи1!$A$95,IF(дома!E713+дома!$F$634&lt;дома!$E$627+0.3,дома!E713+дома!$F$634,0),0))+IF(дома!E713=0,0,IF('Ввод данных'!$A$6=связи1!$A$96,IF(дома!E713+0.05+дома!$F$634&gt;дома!$E$627+0.4,0,дома!E713+дома!$F$634),0))+IF(дома!E713=0,0,IF('Ввод данных'!$A$6=связи1!$A$98,IF(дома!E713+0.05+дома!$F$634&gt;дома!$E$627+0.4,0,дома!E713+дома!$F$634),0))</f>
        <v>0</v>
      </c>
      <c r="F714" s="933" t="n">
        <f aca="false">IF(E714&lt;($E$631+0.5),1,0)*$D$635*IF('Ввод данных'!$A$19=связи1!$A$128,2,2)*IF('Ввод данных'!$F$237=связи1!$A$2,1,0)</f>
        <v>0</v>
      </c>
      <c r="G714" s="933" t="n">
        <f aca="false">C714*D714*E714*F714</f>
        <v>0</v>
      </c>
      <c r="H714" s="933"/>
      <c r="I714" s="933"/>
      <c r="J714" s="933"/>
      <c r="K714" s="933"/>
      <c r="L714" s="933"/>
      <c r="M714" s="933"/>
      <c r="N714" s="933"/>
      <c r="O714" s="1220"/>
      <c r="P714" s="1290"/>
      <c r="Q714" s="1290"/>
      <c r="R714" s="1290"/>
      <c r="S714" s="933"/>
      <c r="T714" s="1220"/>
      <c r="U714" s="932"/>
      <c r="V714" s="1220"/>
      <c r="W714" s="996"/>
      <c r="X714" s="996"/>
      <c r="Y714" s="1220"/>
      <c r="Z714" s="1290"/>
      <c r="AA714" s="933"/>
      <c r="AB714" s="933"/>
      <c r="AC714" s="933"/>
      <c r="AD714" s="933"/>
    </row>
    <row r="715" customFormat="false" ht="15.75" hidden="false" customHeight="true" outlineLevel="1" collapsed="false">
      <c r="A715" s="933" t="s">
        <v>3337</v>
      </c>
      <c r="B715" s="1269" t="s">
        <v>156</v>
      </c>
      <c r="C715" s="887" t="n">
        <f aca="false">$C$143</f>
        <v>0.15</v>
      </c>
      <c r="D715" s="933" t="n">
        <f aca="false">$J$620</f>
        <v>0.05</v>
      </c>
      <c r="E715" s="1023" t="n">
        <f aca="false">IF(E680=0,0,IF('Ввод данных'!$A$6=связи1!$A$95,IF(дома!E714+дома!$F$634&lt;дома!$E$627+0.3,дома!E714+дома!$F$634,0),0))+IF(дома!E714=0,0,IF('Ввод данных'!$A$6=связи1!$A$96,IF(дома!E714+0.05+дома!$F$634&gt;дома!$E$627+0.4,0,дома!E714+дома!$F$634),0))+IF(дома!E714=0,0,IF('Ввод данных'!$A$6=связи1!$A$98,IF(дома!E714+0.05+дома!$F$634&gt;дома!$E$627+0.4,0,дома!E714+дома!$F$634),0))</f>
        <v>0</v>
      </c>
      <c r="F715" s="933" t="n">
        <f aca="false">IF(E715&lt;($E$631+0.5),1,0)*$D$635*IF('Ввод данных'!$A$19=связи1!$A$128,2,2)*IF('Ввод данных'!$F$237=связи1!$A$2,1,0)</f>
        <v>0</v>
      </c>
      <c r="G715" s="933" t="n">
        <f aca="false">C715*D715*E715*F715</f>
        <v>0</v>
      </c>
      <c r="H715" s="933"/>
      <c r="I715" s="933"/>
      <c r="J715" s="933"/>
      <c r="K715" s="933"/>
      <c r="L715" s="933"/>
      <c r="M715" s="933"/>
      <c r="N715" s="933"/>
      <c r="O715" s="1220"/>
      <c r="P715" s="1290"/>
      <c r="Q715" s="1290"/>
      <c r="R715" s="1290"/>
      <c r="S715" s="933"/>
      <c r="T715" s="1220"/>
      <c r="U715" s="932"/>
      <c r="V715" s="1220"/>
      <c r="W715" s="996"/>
      <c r="X715" s="996"/>
      <c r="Y715" s="1220"/>
      <c r="Z715" s="1290"/>
      <c r="AA715" s="933"/>
      <c r="AB715" s="933"/>
      <c r="AC715" s="933"/>
      <c r="AD715" s="933"/>
    </row>
    <row r="716" customFormat="false" ht="15.75" hidden="false" customHeight="true" outlineLevel="1" collapsed="false">
      <c r="A716" s="933" t="s">
        <v>3338</v>
      </c>
      <c r="B716" s="1269" t="s">
        <v>156</v>
      </c>
      <c r="C716" s="887" t="n">
        <f aca="false">$C$143</f>
        <v>0.15</v>
      </c>
      <c r="D716" s="933" t="n">
        <f aca="false">$J$620</f>
        <v>0.05</v>
      </c>
      <c r="E716" s="1023" t="n">
        <f aca="false">IF(E681=0,0,IF('Ввод данных'!$A$6=связи1!$A$95,IF(дома!E715+дома!$F$634&lt;дома!$E$627+0.3,дома!E715+дома!$F$634,0),0))+IF(дома!E715=0,0,IF('Ввод данных'!$A$6=связи1!$A$96,IF(дома!E715+0.05+дома!$F$634&gt;дома!$E$627+0.4,0,дома!E715+дома!$F$634),0))+IF(дома!E715=0,0,IF('Ввод данных'!$A$6=связи1!$A$98,IF(дома!E715+0.05+дома!$F$634&gt;дома!$E$627+0.4,0,дома!E715+дома!$F$634),0))</f>
        <v>0</v>
      </c>
      <c r="F716" s="933" t="n">
        <f aca="false">IF(E716&lt;($E$631+0.5),1,0)*$D$635*IF('Ввод данных'!$A$19=связи1!$A$128,2,2)*IF('Ввод данных'!$F$237=связи1!$A$2,1,0)</f>
        <v>0</v>
      </c>
      <c r="G716" s="933" t="n">
        <f aca="false">C716*D716*E716*F716</f>
        <v>0</v>
      </c>
      <c r="H716" s="933"/>
      <c r="I716" s="933"/>
      <c r="J716" s="933"/>
      <c r="K716" s="933"/>
      <c r="L716" s="933"/>
      <c r="M716" s="933"/>
      <c r="N716" s="933"/>
      <c r="O716" s="1220"/>
      <c r="P716" s="1290"/>
      <c r="Q716" s="1290"/>
      <c r="R716" s="1290"/>
      <c r="S716" s="933"/>
      <c r="T716" s="1220"/>
      <c r="U716" s="932"/>
      <c r="V716" s="1220"/>
      <c r="W716" s="996"/>
      <c r="X716" s="996"/>
      <c r="Y716" s="1220"/>
      <c r="Z716" s="1290"/>
      <c r="AA716" s="933"/>
      <c r="AB716" s="933"/>
      <c r="AC716" s="933"/>
      <c r="AD716" s="933"/>
    </row>
    <row r="717" customFormat="false" ht="15.75" hidden="false" customHeight="true" outlineLevel="1" collapsed="false">
      <c r="A717" s="1345" t="s">
        <v>3266</v>
      </c>
      <c r="B717" s="1299" t="s">
        <v>156</v>
      </c>
      <c r="C717" s="1346" t="n">
        <f aca="false">$C$143</f>
        <v>0.15</v>
      </c>
      <c r="D717" s="1347" t="n">
        <f aca="false">$J$620</f>
        <v>0.05</v>
      </c>
      <c r="E717" s="1348" t="n">
        <f aca="false">C621*IF('Ввод данных'!F312=связи1!A2,1,0)</f>
        <v>0</v>
      </c>
      <c r="F717" s="1347" t="n">
        <f aca="false">CEILING(C624/G624+1,1)</f>
        <v>1</v>
      </c>
      <c r="G717" s="1347" t="n">
        <f aca="false">C717*D717*E717*F717</f>
        <v>0</v>
      </c>
      <c r="H717" s="1347"/>
      <c r="I717" s="933"/>
      <c r="J717" s="933"/>
      <c r="K717" s="933"/>
      <c r="L717" s="933"/>
      <c r="M717" s="933"/>
      <c r="N717" s="933"/>
      <c r="O717" s="1220"/>
      <c r="P717" s="1290"/>
      <c r="Q717" s="1290"/>
      <c r="R717" s="1290"/>
      <c r="S717" s="933"/>
      <c r="T717" s="1220"/>
      <c r="U717" s="932"/>
      <c r="V717" s="1220"/>
      <c r="W717" s="996"/>
      <c r="X717" s="996"/>
      <c r="Y717" s="1220"/>
      <c r="Z717" s="1290"/>
      <c r="AA717" s="933"/>
      <c r="AB717" s="933"/>
      <c r="AC717" s="933"/>
      <c r="AD717" s="933"/>
    </row>
    <row r="718" customFormat="false" ht="15.75" hidden="false" customHeight="true" outlineLevel="1" collapsed="false">
      <c r="A718" s="1345" t="s">
        <v>3339</v>
      </c>
      <c r="B718" s="1299" t="s">
        <v>156</v>
      </c>
      <c r="C718" s="1346" t="n">
        <f aca="false">$C$143</f>
        <v>0.15</v>
      </c>
      <c r="D718" s="1347" t="n">
        <f aca="false">$J$620</f>
        <v>0.05</v>
      </c>
      <c r="E718" s="1348" t="n">
        <f aca="false">C622*IF('Ввод данных'!F312=связи1!A2,1,0)</f>
        <v>0</v>
      </c>
      <c r="F718" s="1347" t="n">
        <f aca="false">CEILING(C624/G624+1,1)</f>
        <v>1</v>
      </c>
      <c r="G718" s="1347" t="n">
        <f aca="false">C718*D718*E718*F718</f>
        <v>0</v>
      </c>
      <c r="H718" s="1347"/>
      <c r="I718" s="933"/>
      <c r="J718" s="933"/>
      <c r="K718" s="933"/>
      <c r="L718" s="933"/>
      <c r="M718" s="933"/>
      <c r="N718" s="933"/>
      <c r="O718" s="1220"/>
      <c r="P718" s="1290"/>
      <c r="Q718" s="1290"/>
      <c r="R718" s="1290"/>
      <c r="S718" s="933"/>
      <c r="T718" s="1220"/>
      <c r="U718" s="932"/>
      <c r="V718" s="1220"/>
      <c r="W718" s="996"/>
      <c r="X718" s="996"/>
      <c r="Y718" s="1220"/>
      <c r="Z718" s="1290"/>
      <c r="AA718" s="933"/>
      <c r="AB718" s="933"/>
      <c r="AC718" s="933"/>
      <c r="AD718" s="933"/>
    </row>
    <row r="719" customFormat="false" ht="15.75" hidden="false" customHeight="true" outlineLevel="1" collapsed="false">
      <c r="A719" s="1349" t="s">
        <v>3088</v>
      </c>
      <c r="B719" s="1299" t="s">
        <v>156</v>
      </c>
      <c r="C719" s="1346" t="n">
        <f aca="false">$C$143</f>
        <v>0.15</v>
      </c>
      <c r="D719" s="1347" t="n">
        <f aca="false">$J$620</f>
        <v>0.05</v>
      </c>
      <c r="E719" s="1300" t="n">
        <f aca="false">IF('Ввод данных'!F312=связи1!A2,1,0)*(IF('Ввод данных'!A6=связи1!A95,C621,0)+IF('Ввод данных'!A6=связи1!A96,дома!C621,0)+IF('Ввод данных'!A6=связи1!A98,дома!C621,0))</f>
        <v>0</v>
      </c>
      <c r="F719" s="1300" t="n">
        <f aca="false">4*$D$635</f>
        <v>0</v>
      </c>
      <c r="G719" s="1301" t="n">
        <f aca="false">C719*D719*E719*F719</f>
        <v>0</v>
      </c>
      <c r="H719" s="1301"/>
      <c r="I719" s="933"/>
      <c r="J719" s="933"/>
      <c r="K719" s="933"/>
      <c r="L719" s="933"/>
      <c r="M719" s="933"/>
      <c r="N719" s="933"/>
      <c r="O719" s="1220"/>
      <c r="P719" s="1290"/>
      <c r="Q719" s="1290"/>
      <c r="R719" s="1290"/>
      <c r="S719" s="933"/>
      <c r="T719" s="1220"/>
      <c r="U719" s="932"/>
      <c r="V719" s="1220"/>
      <c r="W719" s="996"/>
      <c r="X719" s="996"/>
      <c r="Y719" s="1220"/>
      <c r="Z719" s="1290"/>
      <c r="AA719" s="933"/>
      <c r="AB719" s="933"/>
      <c r="AC719" s="933"/>
      <c r="AD719" s="933"/>
    </row>
    <row r="720" customFormat="false" ht="15.75" hidden="false" customHeight="true" outlineLevel="1" collapsed="false">
      <c r="A720" s="1349" t="s">
        <v>3089</v>
      </c>
      <c r="B720" s="1299" t="s">
        <v>156</v>
      </c>
      <c r="C720" s="1346" t="n">
        <f aca="false">$C$143</f>
        <v>0.15</v>
      </c>
      <c r="D720" s="1347" t="n">
        <f aca="false">$J$620</f>
        <v>0.05</v>
      </c>
      <c r="E720" s="1300" t="n">
        <f aca="false">C21*IF('Ввод данных'!F312=связи1!A2,1,0)</f>
        <v>0</v>
      </c>
      <c r="F720" s="1300" t="n">
        <f aca="false">CEILING(C620/G620,1)*2*$D$635</f>
        <v>0</v>
      </c>
      <c r="G720" s="1301" t="n">
        <f aca="false">C720*D720*E720*F720</f>
        <v>0</v>
      </c>
      <c r="H720" s="1301"/>
      <c r="I720" s="933"/>
      <c r="J720" s="933"/>
      <c r="K720" s="933"/>
      <c r="L720" s="933"/>
      <c r="M720" s="933"/>
      <c r="N720" s="933"/>
      <c r="O720" s="1220"/>
      <c r="P720" s="1290"/>
      <c r="Q720" s="1290"/>
      <c r="R720" s="1290"/>
      <c r="S720" s="933"/>
      <c r="T720" s="1220"/>
      <c r="U720" s="932"/>
      <c r="V720" s="1220"/>
      <c r="W720" s="996"/>
      <c r="X720" s="996"/>
      <c r="Y720" s="1220"/>
      <c r="Z720" s="1290"/>
      <c r="AA720" s="933"/>
      <c r="AB720" s="933"/>
      <c r="AC720" s="933"/>
      <c r="AD720" s="933"/>
    </row>
    <row r="721" customFormat="false" ht="15.75" hidden="false" customHeight="true" outlineLevel="1" collapsed="false">
      <c r="A721" s="1349" t="s">
        <v>3340</v>
      </c>
      <c r="B721" s="1299" t="s">
        <v>156</v>
      </c>
      <c r="C721" s="1346" t="n">
        <f aca="false">$C$143</f>
        <v>0.15</v>
      </c>
      <c r="D721" s="1347" t="n">
        <f aca="false">$J$620</f>
        <v>0.05</v>
      </c>
      <c r="E721" s="1300" t="n">
        <f aca="false">(C620+C624)*IF('Ввод данных'!F312=связи1!A2,1,0)</f>
        <v>0</v>
      </c>
      <c r="F721" s="1300" t="n">
        <f aca="false">2*$D$635</f>
        <v>0</v>
      </c>
      <c r="G721" s="1301" t="n">
        <f aca="false">C721*D721*E721*F721</f>
        <v>0</v>
      </c>
      <c r="H721" s="1301"/>
      <c r="I721" s="933"/>
      <c r="J721" s="933"/>
      <c r="K721" s="933"/>
      <c r="L721" s="933"/>
      <c r="M721" s="933"/>
      <c r="N721" s="933"/>
      <c r="O721" s="1220"/>
      <c r="P721" s="1290"/>
      <c r="Q721" s="1290"/>
      <c r="R721" s="1290"/>
      <c r="S721" s="933"/>
      <c r="T721" s="1220"/>
      <c r="U721" s="932"/>
      <c r="V721" s="1220"/>
      <c r="W721" s="996"/>
      <c r="X721" s="996"/>
      <c r="Y721" s="1220"/>
      <c r="Z721" s="1290"/>
      <c r="AA721" s="933"/>
      <c r="AB721" s="933"/>
      <c r="AC721" s="933"/>
      <c r="AD721" s="933"/>
    </row>
    <row r="722" customFormat="false" ht="15.75" hidden="false" customHeight="true" outlineLevel="1" collapsed="false">
      <c r="A722" s="1349" t="s">
        <v>3341</v>
      </c>
      <c r="B722" s="1299" t="s">
        <v>156</v>
      </c>
      <c r="C722" s="1346" t="n">
        <f aca="false">$C$143</f>
        <v>0.15</v>
      </c>
      <c r="D722" s="1347" t="n">
        <f aca="false">$J$620</f>
        <v>0.05</v>
      </c>
      <c r="E722" s="1300" t="n">
        <f aca="false">(J1158+J1167*2+C624+C625)*1.1*D635*IF('Ввод данных'!F312=связи1!A2,1,0)</f>
        <v>0</v>
      </c>
      <c r="F722" s="1300" t="n">
        <f aca="false">2*$D$635</f>
        <v>0</v>
      </c>
      <c r="G722" s="1301" t="n">
        <f aca="false">C722*D722*E722*F722</f>
        <v>0</v>
      </c>
      <c r="H722" s="1301"/>
      <c r="I722" s="933"/>
      <c r="J722" s="933"/>
      <c r="K722" s="933"/>
      <c r="L722" s="933"/>
      <c r="M722" s="933"/>
      <c r="N722" s="933"/>
      <c r="O722" s="1220"/>
      <c r="P722" s="1290"/>
      <c r="Q722" s="1290"/>
      <c r="R722" s="1290"/>
      <c r="S722" s="933"/>
      <c r="T722" s="1220"/>
      <c r="U722" s="932"/>
      <c r="V722" s="1220"/>
      <c r="W722" s="996"/>
      <c r="X722" s="996"/>
      <c r="Y722" s="1220"/>
      <c r="Z722" s="1290"/>
      <c r="AA722" s="933"/>
      <c r="AB722" s="933"/>
      <c r="AC722" s="933"/>
      <c r="AD722" s="933"/>
    </row>
    <row r="723" customFormat="false" ht="15.75" hidden="false" customHeight="true" outlineLevel="1" collapsed="false">
      <c r="A723" s="1349" t="s">
        <v>3054</v>
      </c>
      <c r="B723" s="1299" t="s">
        <v>156</v>
      </c>
      <c r="C723" s="1346" t="n">
        <f aca="false">$C$143</f>
        <v>0.15</v>
      </c>
      <c r="D723" s="1347" t="n">
        <f aca="false">$J$620</f>
        <v>0.05</v>
      </c>
      <c r="E723" s="1300" t="n">
        <f aca="false">E722*IF('Ввод данных'!F312=связи1!A2,1,0)</f>
        <v>0</v>
      </c>
      <c r="F723" s="1300" t="n">
        <f aca="false">2*$D$635</f>
        <v>0</v>
      </c>
      <c r="G723" s="1301" t="n">
        <f aca="false">C723*D723*E723*F723</f>
        <v>0</v>
      </c>
      <c r="H723" s="1301"/>
      <c r="I723" s="933"/>
      <c r="J723" s="933"/>
      <c r="K723" s="933"/>
      <c r="L723" s="933"/>
      <c r="M723" s="933"/>
      <c r="N723" s="933"/>
      <c r="O723" s="1220"/>
      <c r="P723" s="1290"/>
      <c r="Q723" s="1290"/>
      <c r="R723" s="1290"/>
      <c r="S723" s="933"/>
      <c r="T723" s="1220"/>
      <c r="U723" s="932"/>
      <c r="V723" s="1220"/>
      <c r="W723" s="996"/>
      <c r="X723" s="996"/>
      <c r="Y723" s="1220"/>
      <c r="Z723" s="1290"/>
      <c r="AA723" s="933"/>
      <c r="AB723" s="933"/>
      <c r="AC723" s="933"/>
      <c r="AD723" s="933"/>
    </row>
    <row r="724" customFormat="false" ht="15.75" hidden="false" customHeight="true" outlineLevel="1" collapsed="false">
      <c r="A724" s="1350" t="s">
        <v>3093</v>
      </c>
      <c r="B724" s="1212" t="s">
        <v>156</v>
      </c>
      <c r="C724" s="1213" t="n">
        <f aca="false">$C$143</f>
        <v>0.15</v>
      </c>
      <c r="D724" s="957" t="n">
        <f aca="false">$J$620</f>
        <v>0.05</v>
      </c>
      <c r="E724" s="1253" t="n">
        <f aca="false">C620+C623+C624+C625</f>
        <v>0</v>
      </c>
      <c r="F724" s="1253" t="n">
        <f aca="false">1*IF('Ввод данных'!B155=связи1!A2,1,0)*IF('Ввод данных'!F194=связи1!A2,1,0)</f>
        <v>0</v>
      </c>
      <c r="G724" s="1255" t="n">
        <f aca="false">C724*D724*E724*F724</f>
        <v>0</v>
      </c>
      <c r="H724" s="1255"/>
      <c r="I724" s="933"/>
      <c r="J724" s="933"/>
      <c r="K724" s="933"/>
      <c r="L724" s="933"/>
      <c r="M724" s="933"/>
      <c r="N724" s="933"/>
      <c r="O724" s="1220"/>
      <c r="P724" s="1290"/>
      <c r="Q724" s="1290"/>
      <c r="R724" s="1290"/>
      <c r="S724" s="933"/>
      <c r="T724" s="1220"/>
      <c r="U724" s="932"/>
      <c r="V724" s="1220"/>
      <c r="W724" s="996"/>
      <c r="X724" s="996"/>
      <c r="Y724" s="1220"/>
      <c r="Z724" s="1290"/>
      <c r="AA724" s="933"/>
      <c r="AB724" s="933"/>
      <c r="AC724" s="933"/>
      <c r="AD724" s="933"/>
    </row>
    <row r="725" customFormat="false" ht="15.75" hidden="false" customHeight="true" outlineLevel="1" collapsed="false">
      <c r="A725" s="1350" t="s">
        <v>3094</v>
      </c>
      <c r="B725" s="1212" t="s">
        <v>156</v>
      </c>
      <c r="C725" s="1213" t="n">
        <f aca="false">$C$143</f>
        <v>0.15</v>
      </c>
      <c r="D725" s="957" t="n">
        <f aca="false">$J$620</f>
        <v>0.05</v>
      </c>
      <c r="E725" s="1253" t="n">
        <f aca="false">C620+C623+K629+K629</f>
        <v>22.3606797749979</v>
      </c>
      <c r="F725" s="1253" t="n">
        <f aca="false">1*IF('Ввод данных'!B155=связи1!A2,1,0)*IF('Ввод данных'!F194=связи1!A2,1,0)*D635</f>
        <v>0</v>
      </c>
      <c r="G725" s="1255" t="n">
        <f aca="false">C725*D725*E725*F725</f>
        <v>0</v>
      </c>
      <c r="H725" s="1255"/>
      <c r="I725" s="933"/>
      <c r="J725" s="933"/>
      <c r="K725" s="933"/>
      <c r="L725" s="933"/>
      <c r="M725" s="933"/>
      <c r="N725" s="933"/>
      <c r="O725" s="1220"/>
      <c r="P725" s="1290"/>
      <c r="Q725" s="1290"/>
      <c r="R725" s="1290"/>
      <c r="S725" s="933"/>
      <c r="T725" s="1220"/>
      <c r="U725" s="932"/>
      <c r="V725" s="1220"/>
      <c r="W725" s="996"/>
      <c r="X725" s="996"/>
      <c r="Y725" s="1220"/>
      <c r="Z725" s="1290"/>
      <c r="AA725" s="933"/>
      <c r="AB725" s="933"/>
      <c r="AC725" s="933"/>
      <c r="AD725" s="933"/>
    </row>
    <row r="726" customFormat="false" ht="15.75" hidden="false" customHeight="true" outlineLevel="1" collapsed="false">
      <c r="A726" s="1350" t="s">
        <v>3095</v>
      </c>
      <c r="B726" s="1212" t="s">
        <v>156</v>
      </c>
      <c r="C726" s="1213" t="n">
        <f aca="false">$C$143</f>
        <v>0.15</v>
      </c>
      <c r="D726" s="957" t="n">
        <f aca="false">$J$620</f>
        <v>0.05</v>
      </c>
      <c r="E726" s="1253" t="n">
        <f aca="false">E725</f>
        <v>22.3606797749979</v>
      </c>
      <c r="F726" s="1253" t="n">
        <f aca="false">1*IF('Ввод данных'!B155=связи1!A2,1,0)*IF('Ввод данных'!F194=связи1!A2,1,0)*D635</f>
        <v>0</v>
      </c>
      <c r="G726" s="1255" t="n">
        <f aca="false">C726*D726*E726*F726</f>
        <v>0</v>
      </c>
      <c r="H726" s="1255"/>
      <c r="I726" s="933"/>
      <c r="J726" s="933"/>
      <c r="K726" s="933"/>
      <c r="L726" s="933"/>
      <c r="M726" s="933"/>
      <c r="N726" s="933"/>
      <c r="O726" s="1220"/>
      <c r="P726" s="1290"/>
      <c r="Q726" s="1290"/>
      <c r="R726" s="1290"/>
      <c r="S726" s="933"/>
      <c r="T726" s="1220"/>
      <c r="U726" s="932"/>
      <c r="V726" s="1220"/>
      <c r="W726" s="996"/>
      <c r="X726" s="996"/>
      <c r="Y726" s="1220"/>
      <c r="Z726" s="1290"/>
      <c r="AA726" s="933"/>
      <c r="AB726" s="933"/>
      <c r="AC726" s="933"/>
      <c r="AD726" s="933"/>
    </row>
    <row r="727" customFormat="false" ht="15.75" hidden="false" customHeight="true" outlineLevel="1" collapsed="false">
      <c r="A727" s="1351" t="s">
        <v>3342</v>
      </c>
      <c r="B727" s="1212" t="s">
        <v>156</v>
      </c>
      <c r="C727" s="1213" t="n">
        <f aca="false">$C$143</f>
        <v>0.15</v>
      </c>
      <c r="D727" s="957" t="n">
        <f aca="false">$J$620</f>
        <v>0.05</v>
      </c>
      <c r="E727" s="1253" t="n">
        <f aca="false">IF('Ввод данных'!B155=связи1!A2,IF('Ввод данных'!A6=связи1!A95,'Ввод данных'!C16,0)+IF('Ввод данных'!A6=связи1!A96,связи1!K207,0)+IF('Ввод данных'!A6=связи1!A98,связи1!K207,0),0)</f>
        <v>0</v>
      </c>
      <c r="F727" s="1253" t="n">
        <f aca="false">CEILING(C620/G620+1,1)*IF('Ввод данных'!B155=связи1!A2,1,0)*IF('Ввод данных'!F194=связи1!A2,1,0)</f>
        <v>0</v>
      </c>
      <c r="G727" s="1255" t="n">
        <f aca="false">C727*D727*E727*F727</f>
        <v>0</v>
      </c>
      <c r="H727" s="1255"/>
      <c r="I727" s="933"/>
      <c r="J727" s="933"/>
      <c r="K727" s="933"/>
      <c r="L727" s="933"/>
      <c r="M727" s="933"/>
      <c r="N727" s="933"/>
      <c r="O727" s="1220"/>
      <c r="P727" s="1290"/>
      <c r="Q727" s="1290"/>
      <c r="R727" s="1290"/>
      <c r="S727" s="933"/>
      <c r="T727" s="1220"/>
      <c r="U727" s="932"/>
      <c r="V727" s="1220"/>
      <c r="W727" s="996"/>
      <c r="X727" s="996"/>
      <c r="Y727" s="1220"/>
      <c r="Z727" s="1290"/>
      <c r="AA727" s="933"/>
      <c r="AB727" s="933"/>
      <c r="AC727" s="933"/>
      <c r="AD727" s="933"/>
    </row>
    <row r="728" customFormat="false" ht="15.75" hidden="false" customHeight="true" outlineLevel="1" collapsed="false">
      <c r="A728" s="1351" t="s">
        <v>3343</v>
      </c>
      <c r="B728" s="1212" t="s">
        <v>156</v>
      </c>
      <c r="C728" s="1213" t="n">
        <f aca="false">$C$143</f>
        <v>0.15</v>
      </c>
      <c r="D728" s="957" t="n">
        <f aca="false">$J$620</f>
        <v>0.05</v>
      </c>
      <c r="E728" s="1253" t="n">
        <f aca="false">IF('Ввод данных'!B155=связи1!A2,IF('Ввод данных'!A6=связи1!A95,'Ввод данных'!C16,0)+IF('Ввод данных'!A6=связи1!A96,связи1!K206,0)+IF('Ввод данных'!A6=связи1!A98,связи1!K206,0),0)</f>
        <v>0</v>
      </c>
      <c r="F728" s="1253" t="n">
        <f aca="false">CEILING(C620/G620+1,1)*IF('Ввод данных'!B155=связи1!A2,1,0)*IF('Ввод данных'!F194=связи1!A2,1,0)</f>
        <v>0</v>
      </c>
      <c r="G728" s="1255" t="n">
        <f aca="false">C728*D728*E728*F728</f>
        <v>0</v>
      </c>
      <c r="H728" s="1255"/>
      <c r="I728" s="933"/>
      <c r="J728" s="933"/>
      <c r="K728" s="933"/>
      <c r="L728" s="933"/>
      <c r="M728" s="933"/>
      <c r="N728" s="933"/>
      <c r="O728" s="1220"/>
      <c r="P728" s="1290"/>
      <c r="Q728" s="1290"/>
      <c r="R728" s="1290"/>
      <c r="S728" s="933"/>
      <c r="T728" s="1220"/>
      <c r="U728" s="932"/>
      <c r="V728" s="1220"/>
      <c r="W728" s="996"/>
      <c r="X728" s="996"/>
      <c r="Y728" s="1220"/>
      <c r="Z728" s="1290"/>
      <c r="AA728" s="933"/>
      <c r="AB728" s="933"/>
      <c r="AC728" s="933"/>
      <c r="AD728" s="933"/>
    </row>
    <row r="729" customFormat="false" ht="15.75" hidden="false" customHeight="true" outlineLevel="1" collapsed="false">
      <c r="A729" s="1351" t="s">
        <v>3344</v>
      </c>
      <c r="B729" s="1212" t="s">
        <v>156</v>
      </c>
      <c r="C729" s="1213" t="n">
        <f aca="false">$C$143</f>
        <v>0.15</v>
      </c>
      <c r="D729" s="957" t="n">
        <f aca="false">$J$620</f>
        <v>0.05</v>
      </c>
      <c r="E729" s="1253" t="n">
        <f aca="false">IF('Ввод данных'!B155=связи1!A2,IF('Ввод данных'!A6=связи1!A95,'Ввод данных'!C16,0)+IF('Ввод данных'!A6=связи1!A96,связи1!K206,0)+IF('Ввод данных'!A6=связи1!A98,связи1!K206,0),0)</f>
        <v>0</v>
      </c>
      <c r="F729" s="1253" t="n">
        <f aca="false">CEILING(C624/G624+1,1)*IF('Ввод данных'!B155=связи1!A2,1,0)*IF('Ввод данных'!F194=связи1!A2,1,0)*IF('Ввод данных'!A6=связи1!A95,1,0)</f>
        <v>0</v>
      </c>
      <c r="G729" s="1255" t="n">
        <f aca="false">C729*D729*E729*F729</f>
        <v>0</v>
      </c>
      <c r="H729" s="1255"/>
      <c r="I729" s="933"/>
      <c r="J729" s="933"/>
      <c r="K729" s="933"/>
      <c r="L729" s="933"/>
      <c r="M729" s="933"/>
      <c r="N729" s="933"/>
      <c r="O729" s="1220"/>
      <c r="P729" s="1290"/>
      <c r="Q729" s="1290"/>
      <c r="R729" s="1290"/>
      <c r="S729" s="933"/>
      <c r="T729" s="1220"/>
      <c r="U729" s="932"/>
      <c r="V729" s="1220"/>
      <c r="W729" s="996"/>
      <c r="X729" s="996"/>
      <c r="Y729" s="1220"/>
      <c r="Z729" s="1290"/>
      <c r="AA729" s="933"/>
      <c r="AB729" s="933"/>
      <c r="AC729" s="933"/>
      <c r="AD729" s="933"/>
    </row>
    <row r="730" customFormat="false" ht="15.75" hidden="false" customHeight="true" outlineLevel="1" collapsed="false">
      <c r="A730" s="1350" t="s">
        <v>3099</v>
      </c>
      <c r="B730" s="1212" t="s">
        <v>156</v>
      </c>
      <c r="C730" s="1213" t="n">
        <f aca="false">$C$143</f>
        <v>0.15</v>
      </c>
      <c r="D730" s="957" t="n">
        <f aca="false">$J$620</f>
        <v>0.05</v>
      </c>
      <c r="E730" s="1253" t="n">
        <f aca="false">IF('Ввод данных'!A6=связи1!A95,(связи1!K206-'Ввод данных'!C16),0)+IF('Ввод данных'!A6=связи1!A96,связи1!K206,0)+IF('Ввод данных'!A6=связи1!A98,связи1!K206,0)</f>
        <v>0</v>
      </c>
      <c r="F730" s="1253" t="n">
        <f aca="false">2*IF('Ввод данных'!$B$155=связи1!$A$2,1,0)*IF('Ввод данных'!$F$194=связи1!$A$2,1,0)</f>
        <v>0</v>
      </c>
      <c r="G730" s="1255" t="n">
        <f aca="false">C730*D730*E730*F730</f>
        <v>0</v>
      </c>
      <c r="H730" s="1255"/>
      <c r="I730" s="933"/>
      <c r="J730" s="933"/>
      <c r="K730" s="933"/>
      <c r="L730" s="933"/>
      <c r="M730" s="933"/>
      <c r="N730" s="933"/>
      <c r="O730" s="1220"/>
      <c r="P730" s="1290"/>
      <c r="Q730" s="1290"/>
      <c r="R730" s="1290"/>
      <c r="S730" s="933"/>
      <c r="T730" s="1220"/>
      <c r="U730" s="932"/>
      <c r="V730" s="1220"/>
      <c r="W730" s="996"/>
      <c r="X730" s="996"/>
      <c r="Y730" s="1220"/>
      <c r="Z730" s="1290"/>
      <c r="AA730" s="933"/>
      <c r="AB730" s="933"/>
      <c r="AC730" s="933"/>
      <c r="AD730" s="933"/>
    </row>
    <row r="731" customFormat="false" ht="15.75" hidden="false" customHeight="true" outlineLevel="1" collapsed="false">
      <c r="A731" s="1350" t="s">
        <v>3100</v>
      </c>
      <c r="B731" s="1212" t="s">
        <v>156</v>
      </c>
      <c r="C731" s="1213" t="n">
        <f aca="false">$C$143</f>
        <v>0.15</v>
      </c>
      <c r="D731" s="957" t="n">
        <f aca="false">$J$620</f>
        <v>0.05</v>
      </c>
      <c r="E731" s="1253" t="n">
        <f aca="false">IF(E730=0,0,IF('Ввод данных'!$A$6=связи1!$A$95,IF(E730&lt;=0,0,E730-дома!$K$632),0)+IF('Ввод данных'!$A$6=связи1!$A$96,IF(E730&lt;связи1!$K$207,0,E730-$K$632),0)+IF('Ввод данных'!$A$6=связи1!$A$98,IF(E730&lt;связи1!$K$207,0,E730-$K$632),0))</f>
        <v>0</v>
      </c>
      <c r="F731" s="1253" t="n">
        <f aca="false">2*IF('Ввод данных'!$B$155=связи1!$A$2,1,0)*IF('Ввод данных'!$F$194=связи1!$A$2,1,0)</f>
        <v>0</v>
      </c>
      <c r="G731" s="1255" t="n">
        <f aca="false">C731*D731*E731*F731</f>
        <v>0</v>
      </c>
      <c r="H731" s="1255"/>
      <c r="I731" s="933"/>
      <c r="J731" s="933"/>
      <c r="K731" s="933"/>
      <c r="L731" s="933"/>
      <c r="M731" s="933"/>
      <c r="N731" s="933"/>
      <c r="O731" s="1220"/>
      <c r="P731" s="1290"/>
      <c r="Q731" s="1290"/>
      <c r="R731" s="1290"/>
      <c r="S731" s="933"/>
      <c r="T731" s="1220"/>
      <c r="U731" s="932"/>
      <c r="V731" s="1220"/>
      <c r="W731" s="996"/>
      <c r="X731" s="996"/>
      <c r="Y731" s="1220"/>
      <c r="Z731" s="1290"/>
      <c r="AA731" s="933"/>
      <c r="AB731" s="933"/>
      <c r="AC731" s="933"/>
      <c r="AD731" s="933"/>
    </row>
    <row r="732" customFormat="false" ht="15.75" hidden="false" customHeight="true" outlineLevel="1" collapsed="false">
      <c r="A732" s="1350" t="s">
        <v>3101</v>
      </c>
      <c r="B732" s="1212" t="s">
        <v>156</v>
      </c>
      <c r="C732" s="1213" t="n">
        <f aca="false">$C$143</f>
        <v>0.15</v>
      </c>
      <c r="D732" s="957" t="n">
        <f aca="false">$J$620</f>
        <v>0.05</v>
      </c>
      <c r="E732" s="1253" t="n">
        <f aca="false">IF(E731=0,0,IF('Ввод данных'!$A$6=связи1!$A$95,IF(E731&lt;=0,0,E731-дома!$K$632),0)+IF('Ввод данных'!$A$6=связи1!$A$96,IF(E731&lt;связи1!$K$207,0,E731-$K$632),0)+IF('Ввод данных'!$A$6=связи1!$A$98,IF(E731&lt;связи1!$K$207,0,E731-$K$632),0))</f>
        <v>0</v>
      </c>
      <c r="F732" s="1253" t="n">
        <f aca="false">2*IF('Ввод данных'!$B$155=связи1!$A$2,1,0)*IF('Ввод данных'!$F$194=связи1!$A$2,1,0)</f>
        <v>0</v>
      </c>
      <c r="G732" s="1255" t="n">
        <f aca="false">C732*D732*E732*F732</f>
        <v>0</v>
      </c>
      <c r="H732" s="1255"/>
      <c r="I732" s="933"/>
      <c r="J732" s="933"/>
      <c r="K732" s="933"/>
      <c r="L732" s="933"/>
      <c r="M732" s="933"/>
      <c r="N732" s="933"/>
      <c r="O732" s="1220"/>
      <c r="P732" s="1290"/>
      <c r="Q732" s="1290"/>
      <c r="R732" s="1290"/>
      <c r="S732" s="933"/>
      <c r="T732" s="1220"/>
      <c r="U732" s="932"/>
      <c r="V732" s="1220"/>
      <c r="W732" s="996"/>
      <c r="X732" s="996"/>
      <c r="Y732" s="1220"/>
      <c r="Z732" s="1290"/>
      <c r="AA732" s="933"/>
      <c r="AB732" s="933"/>
      <c r="AC732" s="933"/>
      <c r="AD732" s="933"/>
    </row>
    <row r="733" customFormat="false" ht="15.75" hidden="false" customHeight="true" outlineLevel="1" collapsed="false">
      <c r="A733" s="1350" t="s">
        <v>3102</v>
      </c>
      <c r="B733" s="1212" t="s">
        <v>156</v>
      </c>
      <c r="C733" s="1213" t="n">
        <f aca="false">$C$143</f>
        <v>0.15</v>
      </c>
      <c r="D733" s="957" t="n">
        <f aca="false">$J$620</f>
        <v>0.05</v>
      </c>
      <c r="E733" s="1253" t="n">
        <f aca="false">IF(E732=0,0,IF('Ввод данных'!$A$6=связи1!$A$95,IF(E732&lt;=0,0,E732-дома!$K$632),0)+IF('Ввод данных'!$A$6=связи1!$A$96,IF(E732&lt;связи1!$K$207,0,E732-$K$632),0)+IF('Ввод данных'!$A$6=связи1!$A$98,IF(E732&lt;связи1!$K$207,0,E732-$K$632),0))</f>
        <v>0</v>
      </c>
      <c r="F733" s="1253" t="n">
        <f aca="false">2*IF('Ввод данных'!$B$155=связи1!$A$2,1,0)*IF('Ввод данных'!$F$194=связи1!$A$2,1,0)</f>
        <v>0</v>
      </c>
      <c r="G733" s="1255" t="n">
        <f aca="false">C733*D733*E733*F733</f>
        <v>0</v>
      </c>
      <c r="H733" s="1255"/>
      <c r="I733" s="933"/>
      <c r="J733" s="933"/>
      <c r="K733" s="933"/>
      <c r="L733" s="933"/>
      <c r="M733" s="933"/>
      <c r="N733" s="933"/>
      <c r="O733" s="1220"/>
      <c r="P733" s="1290"/>
      <c r="Q733" s="1290"/>
      <c r="R733" s="1290"/>
      <c r="S733" s="933"/>
      <c r="T733" s="1220"/>
      <c r="U733" s="932"/>
      <c r="V733" s="1220"/>
      <c r="W733" s="996"/>
      <c r="X733" s="996"/>
      <c r="Y733" s="1220"/>
      <c r="Z733" s="1290"/>
      <c r="AA733" s="933"/>
      <c r="AB733" s="933"/>
      <c r="AC733" s="933"/>
      <c r="AD733" s="933"/>
    </row>
    <row r="734" customFormat="false" ht="15.75" hidden="false" customHeight="true" outlineLevel="1" collapsed="false">
      <c r="A734" s="1350" t="s">
        <v>3103</v>
      </c>
      <c r="B734" s="1212" t="s">
        <v>156</v>
      </c>
      <c r="C734" s="1213" t="n">
        <f aca="false">$C$143</f>
        <v>0.15</v>
      </c>
      <c r="D734" s="957" t="n">
        <f aca="false">$J$620</f>
        <v>0.05</v>
      </c>
      <c r="E734" s="1253" t="n">
        <f aca="false">IF(E733=0,0,IF('Ввод данных'!$A$6=связи1!$A$95,IF(E733&lt;=0,0,E733-дома!$K$632),0)+IF('Ввод данных'!$A$6=связи1!$A$96,IF(E733&lt;связи1!$K$207,0,E733-$K$632),0)+IF('Ввод данных'!$A$6=связи1!$A$98,IF(E733&lt;связи1!$K$207,0,E733-$K$632),0))</f>
        <v>0</v>
      </c>
      <c r="F734" s="1253" t="n">
        <f aca="false">2*IF('Ввод данных'!$B$155=связи1!$A$2,1,0)*IF('Ввод данных'!$F$194=связи1!$A$2,1,0)</f>
        <v>0</v>
      </c>
      <c r="G734" s="1255" t="n">
        <f aca="false">C734*D734*E734*F734</f>
        <v>0</v>
      </c>
      <c r="H734" s="1255"/>
      <c r="I734" s="933"/>
      <c r="J734" s="933"/>
      <c r="K734" s="933"/>
      <c r="L734" s="933"/>
      <c r="M734" s="933"/>
      <c r="N734" s="933"/>
      <c r="O734" s="1220"/>
      <c r="P734" s="1290"/>
      <c r="Q734" s="1290"/>
      <c r="R734" s="1290"/>
      <c r="S734" s="933"/>
      <c r="T734" s="1220"/>
      <c r="U734" s="932"/>
      <c r="V734" s="1220"/>
      <c r="W734" s="996"/>
      <c r="X734" s="996"/>
      <c r="Y734" s="1220"/>
      <c r="Z734" s="1290"/>
      <c r="AA734" s="933"/>
      <c r="AB734" s="933"/>
      <c r="AC734" s="933"/>
      <c r="AD734" s="933"/>
    </row>
    <row r="735" customFormat="false" ht="15.75" hidden="false" customHeight="true" outlineLevel="1" collapsed="false">
      <c r="A735" s="1350" t="s">
        <v>3104</v>
      </c>
      <c r="B735" s="1212" t="s">
        <v>156</v>
      </c>
      <c r="C735" s="1213" t="n">
        <f aca="false">$C$143</f>
        <v>0.15</v>
      </c>
      <c r="D735" s="957" t="n">
        <f aca="false">$J$620</f>
        <v>0.05</v>
      </c>
      <c r="E735" s="1253" t="n">
        <f aca="false">IF(E734=0,0,IF('Ввод данных'!$A$6=связи1!$A$95,IF(E734&lt;=0,0,E734-дома!$K$632),0)+IF('Ввод данных'!$A$6=связи1!$A$96,IF(E734&lt;связи1!$K$207,0,E734-$K$632),0)+IF('Ввод данных'!$A$6=связи1!$A$98,IF(E734&lt;связи1!$K$207,0,E734-$K$632),0))</f>
        <v>0</v>
      </c>
      <c r="F735" s="1253" t="n">
        <f aca="false">2*IF('Ввод данных'!$B$155=связи1!$A$2,1,0)*IF('Ввод данных'!$F$194=связи1!$A$2,1,0)</f>
        <v>0</v>
      </c>
      <c r="G735" s="1255" t="n">
        <f aca="false">C735*D735*E735*F735</f>
        <v>0</v>
      </c>
      <c r="H735" s="1255"/>
      <c r="I735" s="933"/>
      <c r="J735" s="933"/>
      <c r="K735" s="933"/>
      <c r="L735" s="933"/>
      <c r="M735" s="933"/>
      <c r="N735" s="933"/>
      <c r="O735" s="1220"/>
      <c r="P735" s="1290"/>
      <c r="Q735" s="1290"/>
      <c r="R735" s="1290"/>
      <c r="S735" s="933"/>
      <c r="T735" s="1220"/>
      <c r="U735" s="932"/>
      <c r="V735" s="1220"/>
      <c r="W735" s="996"/>
      <c r="X735" s="996"/>
      <c r="Y735" s="1220"/>
      <c r="Z735" s="1290"/>
      <c r="AA735" s="933"/>
      <c r="AB735" s="933"/>
      <c r="AC735" s="933"/>
      <c r="AD735" s="933"/>
    </row>
    <row r="736" customFormat="false" ht="15.75" hidden="false" customHeight="true" outlineLevel="1" collapsed="false">
      <c r="A736" s="1350" t="s">
        <v>3105</v>
      </c>
      <c r="B736" s="1212" t="s">
        <v>156</v>
      </c>
      <c r="C736" s="1213" t="n">
        <f aca="false">$C$143</f>
        <v>0.15</v>
      </c>
      <c r="D736" s="957" t="n">
        <f aca="false">$J$620</f>
        <v>0.05</v>
      </c>
      <c r="E736" s="1253" t="n">
        <f aca="false">IF(E735=0,0,IF('Ввод данных'!$A$6=связи1!$A$95,IF(E735&lt;=0,0,E735-дома!$K$632),0)+IF('Ввод данных'!$A$6=связи1!$A$96,IF(E735&lt;связи1!$K$207,0,E735-$K$632),0)+IF('Ввод данных'!$A$6=связи1!$A$98,IF(E735&lt;связи1!$K$207,0,E735-$K$632),0))</f>
        <v>0</v>
      </c>
      <c r="F736" s="1253" t="n">
        <f aca="false">2*IF('Ввод данных'!$B$155=связи1!$A$2,1,0)*IF('Ввод данных'!$F$194=связи1!$A$2,1,0)</f>
        <v>0</v>
      </c>
      <c r="G736" s="1255" t="n">
        <f aca="false">C736*D736*E736*F736</f>
        <v>0</v>
      </c>
      <c r="H736" s="1255"/>
      <c r="I736" s="933"/>
      <c r="J736" s="933"/>
      <c r="K736" s="933"/>
      <c r="L736" s="933"/>
      <c r="M736" s="933"/>
      <c r="N736" s="933"/>
      <c r="O736" s="1220"/>
      <c r="P736" s="1290"/>
      <c r="Q736" s="1290"/>
      <c r="R736" s="1290"/>
      <c r="S736" s="933"/>
      <c r="T736" s="1220"/>
      <c r="U736" s="932"/>
      <c r="V736" s="1220"/>
      <c r="W736" s="996"/>
      <c r="X736" s="996"/>
      <c r="Y736" s="1220"/>
      <c r="Z736" s="1290"/>
      <c r="AA736" s="933"/>
      <c r="AB736" s="933"/>
      <c r="AC736" s="933"/>
      <c r="AD736" s="933"/>
    </row>
    <row r="737" customFormat="false" ht="15.75" hidden="false" customHeight="true" outlineLevel="1" collapsed="false">
      <c r="A737" s="1350" t="s">
        <v>3106</v>
      </c>
      <c r="B737" s="1212" t="s">
        <v>156</v>
      </c>
      <c r="C737" s="1213" t="n">
        <f aca="false">$C$143</f>
        <v>0.15</v>
      </c>
      <c r="D737" s="957" t="n">
        <f aca="false">$J$620</f>
        <v>0.05</v>
      </c>
      <c r="E737" s="1253" t="n">
        <f aca="false">IF(E736=0,0,IF('Ввод данных'!$A$6=связи1!$A$95,IF(E736&lt;=0,0,E736-дома!$K$632),0)+IF('Ввод данных'!$A$6=связи1!$A$96,IF(E736&lt;связи1!$K$207,0,E736-$K$632),0)+IF('Ввод данных'!$A$6=связи1!$A$98,IF(E736&lt;связи1!$K$207,0,E736-$K$632),0))</f>
        <v>0</v>
      </c>
      <c r="F737" s="1253" t="n">
        <f aca="false">2*IF('Ввод данных'!$B$155=связи1!$A$2,1,0)*IF('Ввод данных'!$F$194=связи1!$A$2,1,0)</f>
        <v>0</v>
      </c>
      <c r="G737" s="1255" t="n">
        <f aca="false">C737*D737*E737*F737</f>
        <v>0</v>
      </c>
      <c r="H737" s="1255"/>
      <c r="I737" s="933"/>
      <c r="J737" s="933"/>
      <c r="K737" s="933"/>
      <c r="L737" s="933"/>
      <c r="M737" s="933"/>
      <c r="N737" s="933"/>
      <c r="O737" s="1220"/>
      <c r="P737" s="1290"/>
      <c r="Q737" s="1290"/>
      <c r="R737" s="1290"/>
      <c r="S737" s="933"/>
      <c r="T737" s="1220"/>
      <c r="U737" s="932"/>
      <c r="V737" s="1220"/>
      <c r="W737" s="996"/>
      <c r="X737" s="996"/>
      <c r="Y737" s="1220"/>
      <c r="Z737" s="1290"/>
      <c r="AA737" s="933"/>
      <c r="AB737" s="933"/>
      <c r="AC737" s="933"/>
      <c r="AD737" s="933"/>
    </row>
    <row r="738" customFormat="false" ht="15.75" hidden="false" customHeight="true" outlineLevel="1" collapsed="false">
      <c r="A738" s="1350" t="s">
        <v>3107</v>
      </c>
      <c r="B738" s="1212" t="s">
        <v>156</v>
      </c>
      <c r="C738" s="1213" t="n">
        <f aca="false">$C$143</f>
        <v>0.15</v>
      </c>
      <c r="D738" s="957" t="n">
        <f aca="false">$J$620</f>
        <v>0.05</v>
      </c>
      <c r="E738" s="1253" t="n">
        <f aca="false">IF(E737=0,0,IF('Ввод данных'!$A$6=связи1!$A$95,IF(E737&lt;=0,0,E737-дома!$K$632),0)+IF('Ввод данных'!$A$6=связи1!$A$96,IF(E737&lt;связи1!$K$207,0,E737-$K$632),0)+IF('Ввод данных'!$A$6=связи1!$A$98,IF(E737&lt;связи1!$K$207,0,E737-$K$632),0))</f>
        <v>0</v>
      </c>
      <c r="F738" s="1253" t="n">
        <f aca="false">2*IF('Ввод данных'!$B$155=связи1!$A$2,1,0)*IF('Ввод данных'!$F$194=связи1!$A$2,1,0)</f>
        <v>0</v>
      </c>
      <c r="G738" s="1255" t="n">
        <f aca="false">C738*D738*E738*F738</f>
        <v>0</v>
      </c>
      <c r="H738" s="1255"/>
      <c r="I738" s="933"/>
      <c r="J738" s="933"/>
      <c r="K738" s="933"/>
      <c r="L738" s="933"/>
      <c r="M738" s="933"/>
      <c r="N738" s="933"/>
      <c r="O738" s="1220"/>
      <c r="P738" s="1290"/>
      <c r="Q738" s="1290"/>
      <c r="R738" s="1290"/>
      <c r="S738" s="933"/>
      <c r="T738" s="1220"/>
      <c r="U738" s="932"/>
      <c r="V738" s="1220"/>
      <c r="W738" s="996"/>
      <c r="X738" s="996"/>
      <c r="Y738" s="1220"/>
      <c r="Z738" s="1290"/>
      <c r="AA738" s="933"/>
      <c r="AB738" s="933"/>
      <c r="AC738" s="933"/>
      <c r="AD738" s="933"/>
    </row>
    <row r="739" customFormat="false" ht="15.75" hidden="false" customHeight="true" outlineLevel="1" collapsed="false">
      <c r="A739" s="1350" t="s">
        <v>3108</v>
      </c>
      <c r="B739" s="1212" t="s">
        <v>156</v>
      </c>
      <c r="C739" s="1213" t="n">
        <f aca="false">$C$143</f>
        <v>0.15</v>
      </c>
      <c r="D739" s="957" t="n">
        <f aca="false">$J$620</f>
        <v>0.05</v>
      </c>
      <c r="E739" s="1253" t="n">
        <f aca="false">IF(E738=0,0,IF('Ввод данных'!$A$6=связи1!$A$95,IF(E738&lt;=0,0,E738-дома!$K$632),0)+IF('Ввод данных'!$A$6=связи1!$A$96,IF(E738&lt;связи1!$K$207,0,E738-$K$632),0)+IF('Ввод данных'!$A$6=связи1!$A$98,IF(E738&lt;связи1!$K$207,0,E738-$K$632),0))</f>
        <v>0</v>
      </c>
      <c r="F739" s="1253" t="n">
        <f aca="false">2*IF('Ввод данных'!$B$155=связи1!$A$2,1,0)*IF('Ввод данных'!$F$194=связи1!$A$2,1,0)</f>
        <v>0</v>
      </c>
      <c r="G739" s="1255" t="n">
        <f aca="false">C739*D739*E739*F739</f>
        <v>0</v>
      </c>
      <c r="H739" s="1255"/>
      <c r="I739" s="933"/>
      <c r="J739" s="933"/>
      <c r="K739" s="933"/>
      <c r="L739" s="933"/>
      <c r="M739" s="933"/>
      <c r="N739" s="933"/>
      <c r="O739" s="1220"/>
      <c r="P739" s="1290"/>
      <c r="Q739" s="1290"/>
      <c r="R739" s="1290"/>
      <c r="S739" s="933"/>
      <c r="T739" s="1220"/>
      <c r="U739" s="932"/>
      <c r="V739" s="1220"/>
      <c r="W739" s="996"/>
      <c r="X739" s="996"/>
      <c r="Y739" s="1220"/>
      <c r="Z739" s="1290"/>
      <c r="AA739" s="933"/>
      <c r="AB739" s="933"/>
      <c r="AC739" s="933"/>
      <c r="AD739" s="933"/>
    </row>
    <row r="740" customFormat="false" ht="15.75" hidden="false" customHeight="true" outlineLevel="1" collapsed="false">
      <c r="A740" s="1350" t="s">
        <v>3109</v>
      </c>
      <c r="B740" s="1212" t="s">
        <v>156</v>
      </c>
      <c r="C740" s="1213" t="n">
        <f aca="false">$C$143</f>
        <v>0.15</v>
      </c>
      <c r="D740" s="957" t="n">
        <f aca="false">$J$620</f>
        <v>0.05</v>
      </c>
      <c r="E740" s="1253" t="n">
        <f aca="false">IF(E739=0,0,IF('Ввод данных'!$A$6=связи1!$A$95,IF(E739&lt;=0,0,E739-дома!$K$632),0)+IF('Ввод данных'!$A$6=связи1!$A$96,IF(E739&lt;связи1!$K$207,0,E739-$K$632),0)+IF('Ввод данных'!$A$6=связи1!$A$98,IF(E739&lt;связи1!$K$207,0,E739-$K$632),0))</f>
        <v>0</v>
      </c>
      <c r="F740" s="1253" t="n">
        <f aca="false">2*IF('Ввод данных'!$B$155=связи1!$A$2,1,0)*IF('Ввод данных'!$F$194=связи1!$A$2,1,0)</f>
        <v>0</v>
      </c>
      <c r="G740" s="1255" t="n">
        <f aca="false">C740*D740*E740*F740</f>
        <v>0</v>
      </c>
      <c r="H740" s="1255"/>
      <c r="I740" s="933"/>
      <c r="J740" s="933"/>
      <c r="K740" s="933"/>
      <c r="L740" s="933"/>
      <c r="M740" s="933"/>
      <c r="N740" s="933"/>
      <c r="O740" s="1220"/>
      <c r="P740" s="1290"/>
      <c r="Q740" s="1290"/>
      <c r="R740" s="1290"/>
      <c r="S740" s="933"/>
      <c r="T740" s="1220"/>
      <c r="U740" s="932"/>
      <c r="V740" s="1220"/>
      <c r="W740" s="996"/>
      <c r="X740" s="996"/>
      <c r="Y740" s="1220"/>
      <c r="Z740" s="1290"/>
      <c r="AA740" s="933"/>
      <c r="AB740" s="933"/>
      <c r="AC740" s="933"/>
      <c r="AD740" s="933"/>
    </row>
    <row r="741" customFormat="false" ht="15.75" hidden="false" customHeight="true" outlineLevel="1" collapsed="false">
      <c r="A741" s="1350" t="s">
        <v>3110</v>
      </c>
      <c r="B741" s="1212" t="s">
        <v>156</v>
      </c>
      <c r="C741" s="1213" t="n">
        <f aca="false">$C$143</f>
        <v>0.15</v>
      </c>
      <c r="D741" s="957" t="n">
        <f aca="false">$J$620</f>
        <v>0.05</v>
      </c>
      <c r="E741" s="1253" t="n">
        <f aca="false">IF(E740=0,0,IF('Ввод данных'!$A$6=связи1!$A$95,IF(E740&lt;=0,0,E740-дома!$K$632),0)+IF('Ввод данных'!$A$6=связи1!$A$96,IF(E740&lt;связи1!$K$207,0,E740-$K$632),0)+IF('Ввод данных'!$A$6=связи1!$A$98,IF(E740&lt;связи1!$K$207,0,E740-$K$632),0))</f>
        <v>0</v>
      </c>
      <c r="F741" s="1253" t="n">
        <f aca="false">2*IF('Ввод данных'!$B$155=связи1!$A$2,1,0)*IF('Ввод данных'!$F$194=связи1!$A$2,1,0)</f>
        <v>0</v>
      </c>
      <c r="G741" s="1255" t="n">
        <f aca="false">C741*D741*E741*F741</f>
        <v>0</v>
      </c>
      <c r="H741" s="1255"/>
      <c r="I741" s="933"/>
      <c r="J741" s="933"/>
      <c r="K741" s="933"/>
      <c r="L741" s="933"/>
      <c r="M741" s="933"/>
      <c r="N741" s="933"/>
      <c r="O741" s="1220"/>
      <c r="P741" s="1290"/>
      <c r="Q741" s="1290"/>
      <c r="R741" s="1290"/>
      <c r="S741" s="933"/>
      <c r="T741" s="1220"/>
      <c r="U741" s="932"/>
      <c r="V741" s="1220"/>
      <c r="W741" s="996"/>
      <c r="X741" s="996"/>
      <c r="Y741" s="1220"/>
      <c r="Z741" s="1290"/>
      <c r="AA741" s="933"/>
      <c r="AB741" s="933"/>
      <c r="AC741" s="933"/>
      <c r="AD741" s="933"/>
    </row>
    <row r="742" customFormat="false" ht="15.75" hidden="false" customHeight="true" outlineLevel="1" collapsed="false">
      <c r="A742" s="1350" t="s">
        <v>3111</v>
      </c>
      <c r="B742" s="1212" t="s">
        <v>156</v>
      </c>
      <c r="C742" s="1213" t="n">
        <f aca="false">$C$143</f>
        <v>0.15</v>
      </c>
      <c r="D742" s="957" t="n">
        <f aca="false">$J$620</f>
        <v>0.05</v>
      </c>
      <c r="E742" s="1253" t="n">
        <f aca="false">IF(E741=0,0,IF('Ввод данных'!$A$6=связи1!$A$95,IF(E741&lt;=0,0,E741-дома!$K$632),0)+IF('Ввод данных'!$A$6=связи1!$A$96,IF(E741&lt;связи1!$K$207,0,E741-$K$632),0)+IF('Ввод данных'!$A$6=связи1!$A$98,IF(E741&lt;связи1!$K$207,0,E741-$K$632),0))</f>
        <v>0</v>
      </c>
      <c r="F742" s="1253" t="n">
        <f aca="false">2*IF('Ввод данных'!$B$155=связи1!$A$2,1,0)*IF('Ввод данных'!$F$194=связи1!$A$2,1,0)</f>
        <v>0</v>
      </c>
      <c r="G742" s="1255" t="n">
        <f aca="false">C742*D742*E742*F742</f>
        <v>0</v>
      </c>
      <c r="H742" s="1255"/>
      <c r="I742" s="933"/>
      <c r="J742" s="933"/>
      <c r="K742" s="933"/>
      <c r="L742" s="933"/>
      <c r="M742" s="933"/>
      <c r="N742" s="933"/>
      <c r="O742" s="1220"/>
      <c r="P742" s="1290"/>
      <c r="Q742" s="1290"/>
      <c r="R742" s="1290"/>
      <c r="S742" s="933"/>
      <c r="T742" s="1220"/>
      <c r="U742" s="932"/>
      <c r="V742" s="1220"/>
      <c r="W742" s="996"/>
      <c r="X742" s="996"/>
      <c r="Y742" s="1220"/>
      <c r="Z742" s="1290"/>
      <c r="AA742" s="933"/>
      <c r="AB742" s="933"/>
      <c r="AC742" s="933"/>
      <c r="AD742" s="933"/>
    </row>
    <row r="743" customFormat="false" ht="15.75" hidden="false" customHeight="true" outlineLevel="1" collapsed="false">
      <c r="A743" s="1350" t="s">
        <v>3112</v>
      </c>
      <c r="B743" s="1212" t="s">
        <v>156</v>
      </c>
      <c r="C743" s="1213" t="n">
        <f aca="false">$C$143</f>
        <v>0.15</v>
      </c>
      <c r="D743" s="957" t="n">
        <f aca="false">$J$620</f>
        <v>0.05</v>
      </c>
      <c r="E743" s="1253" t="n">
        <f aca="false">IF(E742=0,0,IF('Ввод данных'!$A$6=связи1!$A$95,IF(E742&lt;=0,0,E742-дома!$K$632),0)+IF('Ввод данных'!$A$6=связи1!$A$96,IF(E742&lt;связи1!$K$207,0,E742-$K$632),0)+IF('Ввод данных'!$A$6=связи1!$A$98,IF(E742&lt;связи1!$K$207,0,E742-$K$632),0))</f>
        <v>0</v>
      </c>
      <c r="F743" s="1253" t="n">
        <f aca="false">2*IF('Ввод данных'!$B$155=связи1!$A$2,1,0)*IF('Ввод данных'!$F$194=связи1!$A$2,1,0)</f>
        <v>0</v>
      </c>
      <c r="G743" s="1255" t="n">
        <f aca="false">C743*D743*E743*F743</f>
        <v>0</v>
      </c>
      <c r="H743" s="1255"/>
      <c r="I743" s="933"/>
      <c r="J743" s="933"/>
      <c r="K743" s="933"/>
      <c r="L743" s="933"/>
      <c r="M743" s="933"/>
      <c r="N743" s="933"/>
      <c r="O743" s="1220"/>
      <c r="P743" s="1290"/>
      <c r="Q743" s="1290"/>
      <c r="R743" s="1290"/>
      <c r="S743" s="933"/>
      <c r="T743" s="1220"/>
      <c r="U743" s="932"/>
      <c r="V743" s="1220"/>
      <c r="W743" s="996"/>
      <c r="X743" s="996"/>
      <c r="Y743" s="1220"/>
      <c r="Z743" s="1290"/>
      <c r="AA743" s="933"/>
      <c r="AB743" s="933"/>
      <c r="AC743" s="933"/>
      <c r="AD743" s="933"/>
    </row>
    <row r="744" customFormat="false" ht="15.75" hidden="false" customHeight="true" outlineLevel="1" collapsed="false">
      <c r="A744" s="1350" t="s">
        <v>3113</v>
      </c>
      <c r="B744" s="1212" t="s">
        <v>156</v>
      </c>
      <c r="C744" s="1213" t="n">
        <f aca="false">$C$143</f>
        <v>0.15</v>
      </c>
      <c r="D744" s="957" t="n">
        <f aca="false">$J$620</f>
        <v>0.05</v>
      </c>
      <c r="E744" s="1253" t="n">
        <f aca="false">IF(E743=0,0,IF('Ввод данных'!$A$6=связи1!$A$95,IF(E743&lt;=0,0,E743-дома!$K$632),0)+IF('Ввод данных'!$A$6=связи1!$A$96,IF(E743&lt;связи1!$K$207,0,E743-$K$632),0)+IF('Ввод данных'!$A$6=связи1!$A$98,IF(E743&lt;связи1!$K$207,0,E743-$K$632),0))</f>
        <v>0</v>
      </c>
      <c r="F744" s="1253" t="n">
        <f aca="false">2*IF('Ввод данных'!$B$155=связи1!$A$2,1,0)*IF('Ввод данных'!$F$194=связи1!$A$2,1,0)</f>
        <v>0</v>
      </c>
      <c r="G744" s="1255" t="n">
        <f aca="false">C744*D744*E744*F744</f>
        <v>0</v>
      </c>
      <c r="H744" s="1255"/>
      <c r="I744" s="933"/>
      <c r="J744" s="933"/>
      <c r="K744" s="933"/>
      <c r="L744" s="933"/>
      <c r="M744" s="933"/>
      <c r="N744" s="933"/>
      <c r="O744" s="1220"/>
      <c r="P744" s="1290"/>
      <c r="Q744" s="1290"/>
      <c r="R744" s="1290"/>
      <c r="S744" s="933"/>
      <c r="T744" s="1220"/>
      <c r="U744" s="932"/>
      <c r="V744" s="1220"/>
      <c r="W744" s="996"/>
      <c r="X744" s="996"/>
      <c r="Y744" s="1220"/>
      <c r="Z744" s="1290"/>
      <c r="AA744" s="933"/>
      <c r="AB744" s="933"/>
      <c r="AC744" s="933"/>
      <c r="AD744" s="933"/>
    </row>
    <row r="745" customFormat="false" ht="15.75" hidden="false" customHeight="true" outlineLevel="1" collapsed="false">
      <c r="A745" s="1350" t="s">
        <v>3114</v>
      </c>
      <c r="B745" s="1212" t="s">
        <v>156</v>
      </c>
      <c r="C745" s="1213" t="n">
        <f aca="false">$C$143</f>
        <v>0.15</v>
      </c>
      <c r="D745" s="957" t="n">
        <f aca="false">$J$620</f>
        <v>0.05</v>
      </c>
      <c r="E745" s="1253" t="n">
        <f aca="false">IF(E744=0,0,IF('Ввод данных'!$A$6=связи1!$A$95,IF(E744&lt;=0,0,E744-дома!$K$632),0)+IF('Ввод данных'!$A$6=связи1!$A$96,IF(E744&lt;связи1!$K$207,0,E744-$K$632),0)+IF('Ввод данных'!$A$6=связи1!$A$98,IF(E744&lt;связи1!$K$207,0,E744-$K$632),0))</f>
        <v>0</v>
      </c>
      <c r="F745" s="1253" t="n">
        <f aca="false">2*IF('Ввод данных'!$B$155=связи1!$A$2,1,0)*IF('Ввод данных'!$F$194=связи1!$A$2,1,0)</f>
        <v>0</v>
      </c>
      <c r="G745" s="1255" t="n">
        <f aca="false">C745*D745*E745*F745</f>
        <v>0</v>
      </c>
      <c r="H745" s="1255"/>
      <c r="I745" s="933"/>
      <c r="J745" s="933"/>
      <c r="K745" s="933"/>
      <c r="L745" s="933"/>
      <c r="M745" s="933"/>
      <c r="N745" s="933"/>
      <c r="O745" s="1220"/>
      <c r="P745" s="1290"/>
      <c r="Q745" s="1290"/>
      <c r="R745" s="1290"/>
      <c r="S745" s="933"/>
      <c r="T745" s="1220"/>
      <c r="U745" s="932"/>
      <c r="V745" s="1220"/>
      <c r="W745" s="996"/>
      <c r="X745" s="996"/>
      <c r="Y745" s="1220"/>
      <c r="Z745" s="1290"/>
      <c r="AA745" s="933"/>
      <c r="AB745" s="933"/>
      <c r="AC745" s="933"/>
      <c r="AD745" s="933"/>
    </row>
    <row r="746" customFormat="false" ht="15.75" hidden="false" customHeight="true" outlineLevel="1" collapsed="false">
      <c r="A746" s="1350" t="s">
        <v>3115</v>
      </c>
      <c r="B746" s="1212" t="s">
        <v>156</v>
      </c>
      <c r="C746" s="1213" t="n">
        <f aca="false">$C$143</f>
        <v>0.15</v>
      </c>
      <c r="D746" s="957" t="n">
        <f aca="false">$J$620</f>
        <v>0.05</v>
      </c>
      <c r="E746" s="1253" t="n">
        <f aca="false">IF(E745=0,0,IF('Ввод данных'!$A$6=связи1!$A$95,IF(E745&lt;=0,0,E745-дома!$K$632),0)+IF('Ввод данных'!$A$6=связи1!$A$96,IF(E745&lt;связи1!$K$207,0,E745-$K$632),0)+IF('Ввод данных'!$A$6=связи1!$A$98,IF(E745&lt;связи1!$K$207,0,E745-$K$632),0))</f>
        <v>0</v>
      </c>
      <c r="F746" s="1253" t="n">
        <f aca="false">2*IF('Ввод данных'!$B$155=связи1!$A$2,1,0)*IF('Ввод данных'!$F$194=связи1!$A$2,1,0)</f>
        <v>0</v>
      </c>
      <c r="G746" s="1255" t="n">
        <f aca="false">C746*D746*E746*F746</f>
        <v>0</v>
      </c>
      <c r="H746" s="1255"/>
      <c r="I746" s="933"/>
      <c r="J746" s="933"/>
      <c r="K746" s="933"/>
      <c r="L746" s="933"/>
      <c r="M746" s="933"/>
      <c r="N746" s="933"/>
      <c r="O746" s="1220"/>
      <c r="P746" s="1290"/>
      <c r="Q746" s="1290"/>
      <c r="R746" s="1290"/>
      <c r="S746" s="933"/>
      <c r="T746" s="1220"/>
      <c r="U746" s="932"/>
      <c r="V746" s="1220"/>
      <c r="W746" s="996"/>
      <c r="X746" s="996"/>
      <c r="Y746" s="1220"/>
      <c r="Z746" s="1290"/>
      <c r="AA746" s="933"/>
      <c r="AB746" s="933"/>
      <c r="AC746" s="933"/>
      <c r="AD746" s="933"/>
    </row>
    <row r="747" customFormat="false" ht="15.75" hidden="false" customHeight="true" outlineLevel="1" collapsed="false">
      <c r="A747" s="1350" t="s">
        <v>3116</v>
      </c>
      <c r="B747" s="1212" t="s">
        <v>156</v>
      </c>
      <c r="C747" s="1213" t="n">
        <f aca="false">$C$143</f>
        <v>0.15</v>
      </c>
      <c r="D747" s="957" t="n">
        <f aca="false">$J$620</f>
        <v>0.05</v>
      </c>
      <c r="E747" s="1253" t="n">
        <f aca="false">IF(E746=0,0,IF('Ввод данных'!$A$6=связи1!$A$95,IF(E746&lt;=0,0,E746-дома!$K$632),0)+IF('Ввод данных'!$A$6=связи1!$A$96,IF(E746&lt;связи1!$K$207,0,E746-$K$632),0)+IF('Ввод данных'!$A$6=связи1!$A$98,IF(E746&lt;связи1!$K$207,0,E746-$K$632),0))</f>
        <v>0</v>
      </c>
      <c r="F747" s="1253" t="n">
        <f aca="false">2*IF('Ввод данных'!$B$155=связи1!$A$2,1,0)*IF('Ввод данных'!$F$194=связи1!$A$2,1,0)</f>
        <v>0</v>
      </c>
      <c r="G747" s="1255" t="n">
        <f aca="false">C747*D747*E747*F747</f>
        <v>0</v>
      </c>
      <c r="H747" s="1255"/>
      <c r="I747" s="933"/>
      <c r="J747" s="933"/>
      <c r="K747" s="933"/>
      <c r="L747" s="933"/>
      <c r="M747" s="933"/>
      <c r="N747" s="933"/>
      <c r="O747" s="1220"/>
      <c r="P747" s="1290"/>
      <c r="Q747" s="1290"/>
      <c r="R747" s="1290"/>
      <c r="S747" s="933"/>
      <c r="T747" s="1220"/>
      <c r="U747" s="932"/>
      <c r="V747" s="1220"/>
      <c r="W747" s="996"/>
      <c r="X747" s="996"/>
      <c r="Y747" s="1220"/>
      <c r="Z747" s="1290"/>
      <c r="AA747" s="933"/>
      <c r="AB747" s="933"/>
      <c r="AC747" s="933"/>
      <c r="AD747" s="933"/>
    </row>
    <row r="748" customFormat="false" ht="15.75" hidden="false" customHeight="true" outlineLevel="1" collapsed="false">
      <c r="A748" s="1350" t="s">
        <v>3117</v>
      </c>
      <c r="B748" s="1212" t="s">
        <v>156</v>
      </c>
      <c r="C748" s="1213" t="n">
        <f aca="false">$C$143</f>
        <v>0.15</v>
      </c>
      <c r="D748" s="957" t="n">
        <f aca="false">$J$620</f>
        <v>0.05</v>
      </c>
      <c r="E748" s="1253" t="n">
        <f aca="false">IF(E747=0,0,IF('Ввод данных'!$A$6=связи1!$A$95,IF(E747&lt;=0,0,E747-дома!$K$632),0)+IF('Ввод данных'!$A$6=связи1!$A$96,IF(E747&lt;связи1!$K$207,0,E747-$K$632),0)+IF('Ввод данных'!$A$6=связи1!$A$98,IF(E747&lt;связи1!$K$207,0,E747-$K$632),0))</f>
        <v>0</v>
      </c>
      <c r="F748" s="1253" t="n">
        <f aca="false">2*IF('Ввод данных'!$B$155=связи1!$A$2,1,0)*IF('Ввод данных'!$F$194=связи1!$A$2,1,0)</f>
        <v>0</v>
      </c>
      <c r="G748" s="1255" t="n">
        <f aca="false">C748*D748*E748*F748</f>
        <v>0</v>
      </c>
      <c r="H748" s="1255"/>
      <c r="I748" s="933"/>
      <c r="J748" s="933"/>
      <c r="K748" s="933"/>
      <c r="L748" s="933"/>
      <c r="M748" s="933"/>
      <c r="N748" s="933"/>
      <c r="O748" s="1220"/>
      <c r="P748" s="1290"/>
      <c r="Q748" s="1290"/>
      <c r="R748" s="1290"/>
      <c r="S748" s="933"/>
      <c r="T748" s="1220"/>
      <c r="U748" s="932"/>
      <c r="V748" s="1220"/>
      <c r="W748" s="996"/>
      <c r="X748" s="996"/>
      <c r="Y748" s="1220"/>
      <c r="Z748" s="1290"/>
      <c r="AA748" s="933"/>
      <c r="AB748" s="933"/>
      <c r="AC748" s="933"/>
      <c r="AD748" s="933"/>
    </row>
    <row r="749" customFormat="false" ht="15.75" hidden="false" customHeight="true" outlineLevel="1" collapsed="false">
      <c r="A749" s="1350" t="s">
        <v>3118</v>
      </c>
      <c r="B749" s="1212" t="s">
        <v>156</v>
      </c>
      <c r="C749" s="1213" t="n">
        <f aca="false">$C$143</f>
        <v>0.15</v>
      </c>
      <c r="D749" s="957" t="n">
        <f aca="false">$J$620</f>
        <v>0.05</v>
      </c>
      <c r="E749" s="1253" t="n">
        <f aca="false">IF(E748=0,0,IF('Ввод данных'!$A$6=связи1!$A$95,IF(E748&lt;=0,0,E748-дома!$K$632),0)+IF('Ввод данных'!$A$6=связи1!$A$96,IF(E748&lt;связи1!$K$207,0,E748-$K$632),0)+IF('Ввод данных'!$A$6=связи1!$A$98,IF(E748&lt;связи1!$K$207,0,E748-$K$632),0))</f>
        <v>0</v>
      </c>
      <c r="F749" s="1253" t="n">
        <f aca="false">2*IF('Ввод данных'!$B$155=связи1!$A$2,1,0)*IF('Ввод данных'!$F$194=связи1!$A$2,1,0)</f>
        <v>0</v>
      </c>
      <c r="G749" s="1255" t="n">
        <f aca="false">C749*D749*E749*F749</f>
        <v>0</v>
      </c>
      <c r="H749" s="1255"/>
      <c r="I749" s="933"/>
      <c r="J749" s="933"/>
      <c r="K749" s="933"/>
      <c r="L749" s="933"/>
      <c r="M749" s="933"/>
      <c r="N749" s="933"/>
      <c r="O749" s="1220"/>
      <c r="P749" s="1290"/>
      <c r="Q749" s="1290"/>
      <c r="R749" s="1290"/>
      <c r="S749" s="933"/>
      <c r="T749" s="1220"/>
      <c r="U749" s="932"/>
      <c r="V749" s="1220"/>
      <c r="W749" s="996"/>
      <c r="X749" s="996"/>
      <c r="Y749" s="1220"/>
      <c r="Z749" s="1290"/>
      <c r="AA749" s="933"/>
      <c r="AB749" s="933"/>
      <c r="AC749" s="933"/>
      <c r="AD749" s="933"/>
    </row>
    <row r="750" customFormat="false" ht="15.75" hidden="false" customHeight="true" outlineLevel="1" collapsed="false">
      <c r="A750" s="1350" t="s">
        <v>3119</v>
      </c>
      <c r="B750" s="1212" t="s">
        <v>156</v>
      </c>
      <c r="C750" s="1213" t="n">
        <f aca="false">$C$143</f>
        <v>0.15</v>
      </c>
      <c r="D750" s="957" t="n">
        <f aca="false">$J$620</f>
        <v>0.05</v>
      </c>
      <c r="E750" s="1253" t="n">
        <f aca="false">IF(E749=0,0,IF('Ввод данных'!$A$6=связи1!$A$95,IF(E749&lt;=0,0,E749-дома!$K$632),0)+IF('Ввод данных'!$A$6=связи1!$A$96,IF(E749&lt;связи1!$K$207,0,E749-$K$632),0)+IF('Ввод данных'!$A$6=связи1!$A$98,IF(E749&lt;связи1!$K$207,0,E749-$K$632),0))</f>
        <v>0</v>
      </c>
      <c r="F750" s="1253" t="n">
        <f aca="false">2*IF('Ввод данных'!$B$155=связи1!$A$2,1,0)*IF('Ввод данных'!$F$194=связи1!$A$2,1,0)</f>
        <v>0</v>
      </c>
      <c r="G750" s="1255" t="n">
        <f aca="false">C750*D750*E750*F750</f>
        <v>0</v>
      </c>
      <c r="H750" s="1255"/>
      <c r="I750" s="933"/>
      <c r="J750" s="933"/>
      <c r="K750" s="933"/>
      <c r="L750" s="933"/>
      <c r="M750" s="933"/>
      <c r="N750" s="933"/>
      <c r="O750" s="1220"/>
      <c r="P750" s="1290"/>
      <c r="Q750" s="1290"/>
      <c r="R750" s="1290"/>
      <c r="S750" s="933"/>
      <c r="T750" s="1220"/>
      <c r="U750" s="932"/>
      <c r="V750" s="1220"/>
      <c r="W750" s="996"/>
      <c r="X750" s="996"/>
      <c r="Y750" s="1220"/>
      <c r="Z750" s="1290"/>
      <c r="AA750" s="933"/>
      <c r="AB750" s="933"/>
      <c r="AC750" s="933"/>
      <c r="AD750" s="933"/>
    </row>
    <row r="751" customFormat="false" ht="15.75" hidden="false" customHeight="true" outlineLevel="1" collapsed="false">
      <c r="A751" s="1350" t="s">
        <v>3120</v>
      </c>
      <c r="B751" s="1212" t="s">
        <v>156</v>
      </c>
      <c r="C751" s="1213" t="n">
        <f aca="false">$C$143</f>
        <v>0.15</v>
      </c>
      <c r="D751" s="957" t="n">
        <f aca="false">$J$620</f>
        <v>0.05</v>
      </c>
      <c r="E751" s="1253" t="n">
        <f aca="false">IF(E750=0,0,IF('Ввод данных'!$A$6=связи1!$A$95,IF(E750&lt;=0,0,E750-дома!$K$632),0)+IF('Ввод данных'!$A$6=связи1!$A$96,IF(E750&lt;связи1!$K$207,0,E750-$K$632),0)+IF('Ввод данных'!$A$6=связи1!$A$98,IF(E750&lt;связи1!$K$207,0,E750-$K$632),0))</f>
        <v>0</v>
      </c>
      <c r="F751" s="1253" t="n">
        <f aca="false">2*IF('Ввод данных'!$B$155=связи1!$A$2,1,0)*IF('Ввод данных'!$F$194=связи1!$A$2,1,0)</f>
        <v>0</v>
      </c>
      <c r="G751" s="1255" t="n">
        <f aca="false">C751*D751*E751*F751</f>
        <v>0</v>
      </c>
      <c r="H751" s="1255"/>
      <c r="I751" s="933"/>
      <c r="J751" s="933"/>
      <c r="K751" s="933"/>
      <c r="L751" s="933"/>
      <c r="M751" s="933"/>
      <c r="N751" s="933"/>
      <c r="O751" s="1220"/>
      <c r="P751" s="1290"/>
      <c r="Q751" s="1290"/>
      <c r="R751" s="1290"/>
      <c r="S751" s="933"/>
      <c r="T751" s="1220"/>
      <c r="U751" s="932"/>
      <c r="V751" s="1220"/>
      <c r="W751" s="996"/>
      <c r="X751" s="996"/>
      <c r="Y751" s="1220"/>
      <c r="Z751" s="1290"/>
      <c r="AA751" s="933"/>
      <c r="AB751" s="933"/>
      <c r="AC751" s="933"/>
      <c r="AD751" s="933"/>
    </row>
    <row r="752" customFormat="false" ht="15.75" hidden="false" customHeight="true" outlineLevel="1" collapsed="false">
      <c r="A752" s="1350" t="s">
        <v>3121</v>
      </c>
      <c r="B752" s="1212" t="s">
        <v>156</v>
      </c>
      <c r="C752" s="1213" t="n">
        <f aca="false">$C$143</f>
        <v>0.15</v>
      </c>
      <c r="D752" s="957" t="n">
        <f aca="false">$J$620</f>
        <v>0.05</v>
      </c>
      <c r="E752" s="1253" t="n">
        <f aca="false">IF(E751=0,0,IF('Ввод данных'!$A$6=связи1!$A$95,IF(E751&lt;=0,0,E751-дома!$K$632),0)+IF('Ввод данных'!$A$6=связи1!$A$96,IF(E751&lt;связи1!$K$207,0,E751-$K$632),0)+IF('Ввод данных'!$A$6=связи1!$A$98,IF(E751&lt;связи1!$K$207,0,E751-$K$632),0))</f>
        <v>0</v>
      </c>
      <c r="F752" s="1253" t="n">
        <f aca="false">2*IF('Ввод данных'!$B$155=связи1!$A$2,1,0)*IF('Ввод данных'!$F$194=связи1!$A$2,1,0)</f>
        <v>0</v>
      </c>
      <c r="G752" s="1255" t="n">
        <f aca="false">C752*D752*E752*F752</f>
        <v>0</v>
      </c>
      <c r="H752" s="1255"/>
      <c r="I752" s="933"/>
      <c r="J752" s="933"/>
      <c r="K752" s="933"/>
      <c r="L752" s="933"/>
      <c r="M752" s="933"/>
      <c r="N752" s="933"/>
      <c r="O752" s="1220"/>
      <c r="P752" s="1290"/>
      <c r="Q752" s="1290"/>
      <c r="R752" s="1290"/>
      <c r="S752" s="933"/>
      <c r="T752" s="1220"/>
      <c r="U752" s="932"/>
      <c r="V752" s="1220"/>
      <c r="W752" s="996"/>
      <c r="X752" s="996"/>
      <c r="Y752" s="1220"/>
      <c r="Z752" s="1290"/>
      <c r="AA752" s="933"/>
      <c r="AB752" s="933"/>
      <c r="AC752" s="933"/>
      <c r="AD752" s="933"/>
    </row>
    <row r="753" customFormat="false" ht="15.75" hidden="false" customHeight="true" outlineLevel="1" collapsed="false">
      <c r="A753" s="1350" t="s">
        <v>3122</v>
      </c>
      <c r="B753" s="1212" t="s">
        <v>156</v>
      </c>
      <c r="C753" s="1213" t="n">
        <f aca="false">$C$143</f>
        <v>0.15</v>
      </c>
      <c r="D753" s="957" t="n">
        <f aca="false">$J$620</f>
        <v>0.05</v>
      </c>
      <c r="E753" s="1253" t="n">
        <f aca="false">IF(E752=0,0,IF('Ввод данных'!$A$6=связи1!$A$95,IF(E752&lt;=0,0,E752-дома!$K$632),0)+IF('Ввод данных'!$A$6=связи1!$A$96,IF(E752&lt;связи1!$K$207,0,E752-$K$632),0)+IF('Ввод данных'!$A$6=связи1!$A$98,IF(E752&lt;связи1!$K$207,0,E752-$K$632),0))</f>
        <v>0</v>
      </c>
      <c r="F753" s="1253" t="n">
        <f aca="false">2*IF('Ввод данных'!$B$155=связи1!$A$2,1,0)*IF('Ввод данных'!$F$194=связи1!$A$2,1,0)</f>
        <v>0</v>
      </c>
      <c r="G753" s="1255" t="n">
        <f aca="false">C753*D753*E753*F753</f>
        <v>0</v>
      </c>
      <c r="H753" s="1255"/>
      <c r="I753" s="933"/>
      <c r="J753" s="933"/>
      <c r="K753" s="933"/>
      <c r="L753" s="933"/>
      <c r="M753" s="933"/>
      <c r="N753" s="933"/>
      <c r="O753" s="1220"/>
      <c r="P753" s="1290"/>
      <c r="Q753" s="1290"/>
      <c r="R753" s="1290"/>
      <c r="S753" s="933"/>
      <c r="T753" s="1220"/>
      <c r="U753" s="932"/>
      <c r="V753" s="1220"/>
      <c r="W753" s="996"/>
      <c r="X753" s="996"/>
      <c r="Y753" s="1220"/>
      <c r="Z753" s="1290"/>
      <c r="AA753" s="933"/>
      <c r="AB753" s="933"/>
      <c r="AC753" s="933"/>
      <c r="AD753" s="933"/>
    </row>
    <row r="754" customFormat="false" ht="15.75" hidden="false" customHeight="true" outlineLevel="1" collapsed="false">
      <c r="A754" s="1350" t="s">
        <v>3123</v>
      </c>
      <c r="B754" s="1212" t="s">
        <v>156</v>
      </c>
      <c r="C754" s="1213" t="n">
        <f aca="false">$C$143</f>
        <v>0.15</v>
      </c>
      <c r="D754" s="957" t="n">
        <f aca="false">$J$620</f>
        <v>0.05</v>
      </c>
      <c r="E754" s="1253" t="n">
        <f aca="false">IF(E753=0,0,IF('Ввод данных'!$A$6=связи1!$A$95,IF(E753&lt;=0,0,E753-дома!$K$632),0)+IF('Ввод данных'!$A$6=связи1!$A$96,IF(E753&lt;связи1!$K$207,0,E753-$K$632),0)+IF('Ввод данных'!$A$6=связи1!$A$98,IF(E753&lt;связи1!$K$207,0,E753-$K$632),0))</f>
        <v>0</v>
      </c>
      <c r="F754" s="1253" t="n">
        <f aca="false">2*IF('Ввод данных'!$B$155=связи1!$A$2,1,0)*IF('Ввод данных'!$F$194=связи1!$A$2,1,0)</f>
        <v>0</v>
      </c>
      <c r="G754" s="1255" t="n">
        <f aca="false">C754*D754*E754*F754</f>
        <v>0</v>
      </c>
      <c r="H754" s="1255"/>
      <c r="I754" s="933"/>
      <c r="J754" s="933"/>
      <c r="K754" s="933"/>
      <c r="L754" s="933"/>
      <c r="M754" s="933"/>
      <c r="N754" s="933"/>
      <c r="O754" s="1220"/>
      <c r="P754" s="1290"/>
      <c r="Q754" s="1290"/>
      <c r="R754" s="1290"/>
      <c r="S754" s="933"/>
      <c r="T754" s="1220"/>
      <c r="U754" s="932"/>
      <c r="V754" s="1220"/>
      <c r="W754" s="996"/>
      <c r="X754" s="996"/>
      <c r="Y754" s="1220"/>
      <c r="Z754" s="1290"/>
      <c r="AA754" s="933"/>
      <c r="AB754" s="933"/>
      <c r="AC754" s="933"/>
      <c r="AD754" s="933"/>
    </row>
    <row r="755" customFormat="false" ht="15.75" hidden="false" customHeight="true" outlineLevel="1" collapsed="false">
      <c r="A755" s="1350" t="s">
        <v>3124</v>
      </c>
      <c r="B755" s="1212" t="s">
        <v>156</v>
      </c>
      <c r="C755" s="1213" t="n">
        <f aca="false">$C$143</f>
        <v>0.15</v>
      </c>
      <c r="D755" s="957" t="n">
        <f aca="false">$J$620</f>
        <v>0.05</v>
      </c>
      <c r="E755" s="1253" t="n">
        <f aca="false">IF(E754=0,0,IF('Ввод данных'!$A$6=связи1!$A$95,IF(E754&lt;=0,0,E754-дома!$K$632),0)+IF('Ввод данных'!$A$6=связи1!$A$96,IF(E754&lt;связи1!$K$207,0,E754-$K$632),0)+IF('Ввод данных'!$A$6=связи1!$A$98,IF(E754&lt;связи1!$K$207,0,E754-$K$632),0))</f>
        <v>0</v>
      </c>
      <c r="F755" s="1253" t="n">
        <f aca="false">2*IF('Ввод данных'!$B$155=связи1!$A$2,1,0)*IF('Ввод данных'!$F$194=связи1!$A$2,1,0)</f>
        <v>0</v>
      </c>
      <c r="G755" s="1255" t="n">
        <f aca="false">C755*D755*E755*F755</f>
        <v>0</v>
      </c>
      <c r="H755" s="1255"/>
      <c r="I755" s="933"/>
      <c r="J755" s="933"/>
      <c r="K755" s="933"/>
      <c r="L755" s="933"/>
      <c r="M755" s="933"/>
      <c r="N755" s="933"/>
      <c r="O755" s="1220"/>
      <c r="P755" s="1290"/>
      <c r="Q755" s="1290"/>
      <c r="R755" s="1290"/>
      <c r="S755" s="933"/>
      <c r="T755" s="1220"/>
      <c r="U755" s="932"/>
      <c r="V755" s="1220"/>
      <c r="W755" s="996"/>
      <c r="X755" s="996"/>
      <c r="Y755" s="1220"/>
      <c r="Z755" s="1290"/>
      <c r="AA755" s="933"/>
      <c r="AB755" s="933"/>
      <c r="AC755" s="933"/>
      <c r="AD755" s="933"/>
    </row>
    <row r="756" customFormat="false" ht="15.75" hidden="false" customHeight="true" outlineLevel="1" collapsed="false">
      <c r="A756" s="1350" t="s">
        <v>3125</v>
      </c>
      <c r="B756" s="1212" t="s">
        <v>156</v>
      </c>
      <c r="C756" s="1213" t="n">
        <f aca="false">$C$143</f>
        <v>0.15</v>
      </c>
      <c r="D756" s="957" t="n">
        <f aca="false">$J$620</f>
        <v>0.05</v>
      </c>
      <c r="E756" s="1253" t="n">
        <f aca="false">IF(E755=0,0,IF('Ввод данных'!$A$6=связи1!$A$95,IF(E755&lt;=0,0,E755-дома!$K$632),0)+IF('Ввод данных'!$A$6=связи1!$A$96,IF(E755&lt;связи1!$K$207,0,E755-$K$632),0)+IF('Ввод данных'!$A$6=связи1!$A$98,IF(E755&lt;связи1!$K$207,0,E755-$K$632),0))</f>
        <v>0</v>
      </c>
      <c r="F756" s="1253" t="n">
        <f aca="false">2*IF('Ввод данных'!$B$155=связи1!$A$2,1,0)*IF('Ввод данных'!$F$194=связи1!$A$2,1,0)</f>
        <v>0</v>
      </c>
      <c r="G756" s="1255" t="n">
        <f aca="false">C756*D756*E756*F756</f>
        <v>0</v>
      </c>
      <c r="H756" s="1255"/>
      <c r="I756" s="933"/>
      <c r="J756" s="933"/>
      <c r="K756" s="933"/>
      <c r="L756" s="933"/>
      <c r="M756" s="933"/>
      <c r="N756" s="933"/>
      <c r="O756" s="1220"/>
      <c r="P756" s="1290"/>
      <c r="Q756" s="1290"/>
      <c r="R756" s="1290"/>
      <c r="S756" s="933"/>
      <c r="T756" s="1220"/>
      <c r="U756" s="932"/>
      <c r="V756" s="1220"/>
      <c r="W756" s="996"/>
      <c r="X756" s="996"/>
      <c r="Y756" s="1220"/>
      <c r="Z756" s="1290"/>
      <c r="AA756" s="933"/>
      <c r="AB756" s="933"/>
      <c r="AC756" s="933"/>
      <c r="AD756" s="933"/>
    </row>
    <row r="757" customFormat="false" ht="15.75" hidden="false" customHeight="true" outlineLevel="1" collapsed="false">
      <c r="A757" s="1350" t="s">
        <v>3126</v>
      </c>
      <c r="B757" s="1212" t="s">
        <v>156</v>
      </c>
      <c r="C757" s="1213" t="n">
        <f aca="false">$C$143</f>
        <v>0.15</v>
      </c>
      <c r="D757" s="957" t="n">
        <f aca="false">$J$620</f>
        <v>0.05</v>
      </c>
      <c r="E757" s="1253" t="n">
        <f aca="false">IF(E756=0,0,IF('Ввод данных'!$A$6=связи1!$A$95,IF(E756&lt;=0,0,E756-дома!$K$632),0)+IF('Ввод данных'!$A$6=связи1!$A$96,IF(E756&lt;связи1!$K$207,0,E756-$K$632),0)+IF('Ввод данных'!$A$6=связи1!$A$98,IF(E756&lt;связи1!$K$207,0,E756-$K$632),0))</f>
        <v>0</v>
      </c>
      <c r="F757" s="1253" t="n">
        <f aca="false">2*IF('Ввод данных'!$B$155=связи1!$A$2,1,0)*IF('Ввод данных'!$F$194=связи1!$A$2,1,0)</f>
        <v>0</v>
      </c>
      <c r="G757" s="1255" t="n">
        <f aca="false">C757*D757*E757*F757</f>
        <v>0</v>
      </c>
      <c r="H757" s="1255"/>
      <c r="I757" s="933"/>
      <c r="J757" s="933"/>
      <c r="K757" s="933"/>
      <c r="L757" s="933"/>
      <c r="M757" s="933"/>
      <c r="N757" s="933"/>
      <c r="O757" s="1220"/>
      <c r="P757" s="1290"/>
      <c r="Q757" s="1290"/>
      <c r="R757" s="1290"/>
      <c r="S757" s="933"/>
      <c r="T757" s="1220"/>
      <c r="U757" s="932"/>
      <c r="V757" s="1220"/>
      <c r="W757" s="996"/>
      <c r="X757" s="996"/>
      <c r="Y757" s="1220"/>
      <c r="Z757" s="1290"/>
      <c r="AA757" s="933"/>
      <c r="AB757" s="933"/>
      <c r="AC757" s="933"/>
      <c r="AD757" s="933"/>
    </row>
    <row r="758" customFormat="false" ht="15.75" hidden="false" customHeight="true" outlineLevel="1" collapsed="false">
      <c r="A758" s="1350" t="s">
        <v>3127</v>
      </c>
      <c r="B758" s="1212" t="s">
        <v>156</v>
      </c>
      <c r="C758" s="1213" t="n">
        <f aca="false">$C$143</f>
        <v>0.15</v>
      </c>
      <c r="D758" s="957" t="n">
        <f aca="false">$J$620</f>
        <v>0.05</v>
      </c>
      <c r="E758" s="1253" t="n">
        <f aca="false">IF(E757=0,0,IF('Ввод данных'!$A$6=связи1!$A$95,IF(E757&lt;=0,0,E757-дома!$K$632),0)+IF('Ввод данных'!$A$6=связи1!$A$96,IF(E757&lt;связи1!$K$207,0,E757-$K$632),0)+IF('Ввод данных'!$A$6=связи1!$A$98,IF(E757&lt;связи1!$K$207,0,E757-$K$632),0))</f>
        <v>0</v>
      </c>
      <c r="F758" s="1253" t="n">
        <f aca="false">2*IF('Ввод данных'!$B$155=связи1!$A$2,1,0)*IF('Ввод данных'!$F$194=связи1!$A$2,1,0)</f>
        <v>0</v>
      </c>
      <c r="G758" s="1255" t="n">
        <f aca="false">C758*D758*E758*F758</f>
        <v>0</v>
      </c>
      <c r="H758" s="1255"/>
      <c r="I758" s="933"/>
      <c r="J758" s="933"/>
      <c r="K758" s="933"/>
      <c r="L758" s="933"/>
      <c r="M758" s="933"/>
      <c r="N758" s="933"/>
      <c r="O758" s="1220"/>
      <c r="P758" s="1290"/>
      <c r="Q758" s="1290"/>
      <c r="R758" s="1290"/>
      <c r="S758" s="933"/>
      <c r="T758" s="1220"/>
      <c r="U758" s="932"/>
      <c r="V758" s="1220"/>
      <c r="W758" s="996"/>
      <c r="X758" s="996"/>
      <c r="Y758" s="1220"/>
      <c r="Z758" s="1290"/>
      <c r="AA758" s="933"/>
      <c r="AB758" s="933"/>
      <c r="AC758" s="933"/>
      <c r="AD758" s="933"/>
    </row>
    <row r="759" customFormat="false" ht="15.75" hidden="false" customHeight="true" outlineLevel="1" collapsed="false">
      <c r="A759" s="1350" t="s">
        <v>3128</v>
      </c>
      <c r="B759" s="1212" t="s">
        <v>156</v>
      </c>
      <c r="C759" s="1213" t="n">
        <f aca="false">$C$143</f>
        <v>0.15</v>
      </c>
      <c r="D759" s="957" t="n">
        <f aca="false">$J$620</f>
        <v>0.05</v>
      </c>
      <c r="E759" s="1253" t="n">
        <f aca="false">IF(E758=0,0,IF('Ввод данных'!$A$6=связи1!$A$95,IF(E758&lt;=0,0,E758-дома!$K$632),0)+IF('Ввод данных'!$A$6=связи1!$A$96,IF(E758&lt;связи1!$K$207,0,E758-$K$632),0)+IF('Ввод данных'!$A$6=связи1!$A$98,IF(E758&lt;связи1!$K$207,0,E758-$K$632),0))</f>
        <v>0</v>
      </c>
      <c r="F759" s="1253" t="n">
        <f aca="false">2*IF('Ввод данных'!$B$155=связи1!$A$2,1,0)*IF('Ввод данных'!$F$194=связи1!$A$2,1,0)</f>
        <v>0</v>
      </c>
      <c r="G759" s="1255" t="n">
        <f aca="false">C759*D759*E759*F759</f>
        <v>0</v>
      </c>
      <c r="H759" s="1255"/>
      <c r="I759" s="933"/>
      <c r="J759" s="933"/>
      <c r="K759" s="933"/>
      <c r="L759" s="933"/>
      <c r="M759" s="933"/>
      <c r="N759" s="933"/>
      <c r="O759" s="1220"/>
      <c r="P759" s="1290"/>
      <c r="Q759" s="1290"/>
      <c r="R759" s="1290"/>
      <c r="S759" s="933"/>
      <c r="T759" s="1220"/>
      <c r="U759" s="932"/>
      <c r="V759" s="1220"/>
      <c r="W759" s="996"/>
      <c r="X759" s="996"/>
      <c r="Y759" s="1220"/>
      <c r="Z759" s="1290"/>
      <c r="AA759" s="933"/>
      <c r="AB759" s="933"/>
      <c r="AC759" s="933"/>
      <c r="AD759" s="933"/>
    </row>
    <row r="760" customFormat="false" ht="15.75" hidden="false" customHeight="true" outlineLevel="1" collapsed="false">
      <c r="A760" s="1350" t="s">
        <v>3129</v>
      </c>
      <c r="B760" s="1212" t="s">
        <v>156</v>
      </c>
      <c r="C760" s="1213" t="n">
        <f aca="false">$C$143</f>
        <v>0.15</v>
      </c>
      <c r="D760" s="957" t="n">
        <f aca="false">$J$620</f>
        <v>0.05</v>
      </c>
      <c r="E760" s="1253" t="n">
        <f aca="false">IF(E759=0,0,IF('Ввод данных'!$A$6=связи1!$A$95,IF(E759&lt;=0,0,E759-дома!$K$632),0)+IF('Ввод данных'!$A$6=связи1!$A$96,IF(E759&lt;связи1!$K$207,0,E759-$K$632),0)+IF('Ввод данных'!$A$6=связи1!$A$98,IF(E759&lt;связи1!$K$207,0,E759-$K$632),0))</f>
        <v>0</v>
      </c>
      <c r="F760" s="1253" t="n">
        <f aca="false">2*IF('Ввод данных'!$B$155=связи1!$A$2,1,0)*IF('Ввод данных'!$F$194=связи1!$A$2,1,0)</f>
        <v>0</v>
      </c>
      <c r="G760" s="1255" t="n">
        <f aca="false">C760*D760*E760*F760</f>
        <v>0</v>
      </c>
      <c r="H760" s="1255"/>
      <c r="I760" s="933"/>
      <c r="J760" s="933"/>
      <c r="K760" s="933"/>
      <c r="L760" s="933"/>
      <c r="M760" s="933"/>
      <c r="N760" s="933"/>
      <c r="O760" s="1220"/>
      <c r="P760" s="1290"/>
      <c r="Q760" s="1290"/>
      <c r="R760" s="1290"/>
      <c r="S760" s="933"/>
      <c r="T760" s="1220"/>
      <c r="U760" s="932"/>
      <c r="V760" s="1220"/>
      <c r="W760" s="996"/>
      <c r="X760" s="996"/>
      <c r="Y760" s="1220"/>
      <c r="Z760" s="1290"/>
      <c r="AA760" s="933"/>
      <c r="AB760" s="933"/>
      <c r="AC760" s="933"/>
      <c r="AD760" s="933"/>
    </row>
    <row r="761" customFormat="false" ht="15.75" hidden="false" customHeight="true" outlineLevel="1" collapsed="false">
      <c r="A761" s="1350" t="s">
        <v>3130</v>
      </c>
      <c r="B761" s="1212" t="s">
        <v>156</v>
      </c>
      <c r="C761" s="1213" t="n">
        <f aca="false">$C$143</f>
        <v>0.15</v>
      </c>
      <c r="D761" s="957" t="n">
        <f aca="false">$J$620</f>
        <v>0.05</v>
      </c>
      <c r="E761" s="1253" t="n">
        <f aca="false">IF(E760=0,0,IF('Ввод данных'!$A$6=связи1!$A$95,IF(E760&lt;=0,0,E760-дома!$K$632),0)+IF('Ввод данных'!$A$6=связи1!$A$96,IF(E760&lt;связи1!$K$207,0,E760-$K$632),0)+IF('Ввод данных'!$A$6=связи1!$A$98,IF(E760&lt;связи1!$K$207,0,E760-$K$632),0))</f>
        <v>0</v>
      </c>
      <c r="F761" s="1253" t="n">
        <f aca="false">2*IF('Ввод данных'!$B$155=связи1!$A$2,1,0)*IF('Ввод данных'!$F$194=связи1!$A$2,1,0)</f>
        <v>0</v>
      </c>
      <c r="G761" s="1255" t="n">
        <f aca="false">C761*D761*E761*F761</f>
        <v>0</v>
      </c>
      <c r="H761" s="1255"/>
      <c r="I761" s="933"/>
      <c r="J761" s="933"/>
      <c r="K761" s="933"/>
      <c r="L761" s="933"/>
      <c r="M761" s="933"/>
      <c r="N761" s="933"/>
      <c r="O761" s="1220"/>
      <c r="P761" s="1290"/>
      <c r="Q761" s="1290"/>
      <c r="R761" s="1290"/>
      <c r="S761" s="933"/>
      <c r="T761" s="1220"/>
      <c r="U761" s="932"/>
      <c r="V761" s="1220"/>
      <c r="W761" s="996"/>
      <c r="X761" s="996"/>
      <c r="Y761" s="1220"/>
      <c r="Z761" s="1290"/>
      <c r="AA761" s="933"/>
      <c r="AB761" s="933"/>
      <c r="AC761" s="933"/>
      <c r="AD761" s="933"/>
    </row>
    <row r="762" customFormat="false" ht="15.75" hidden="false" customHeight="true" outlineLevel="1" collapsed="false">
      <c r="A762" s="1350" t="s">
        <v>3131</v>
      </c>
      <c r="B762" s="1212" t="s">
        <v>156</v>
      </c>
      <c r="C762" s="1213" t="n">
        <f aca="false">$C$143</f>
        <v>0.15</v>
      </c>
      <c r="D762" s="957" t="n">
        <f aca="false">$J$620</f>
        <v>0.05</v>
      </c>
      <c r="E762" s="1253" t="n">
        <f aca="false">IF(E761=0,0,IF('Ввод данных'!$A$6=связи1!$A$95,IF(E761&lt;=0,0,E761-дома!$K$632),0)+IF('Ввод данных'!$A$6=связи1!$A$96,IF(E761&lt;связи1!$K$207,0,E761-$K$632),0)+IF('Ввод данных'!$A$6=связи1!$A$98,IF(E761&lt;связи1!$K$207,0,E761-$K$632),0))</f>
        <v>0</v>
      </c>
      <c r="F762" s="1253" t="n">
        <f aca="false">2*IF('Ввод данных'!$B$155=связи1!$A$2,1,0)*IF('Ввод данных'!$F$194=связи1!$A$2,1,0)</f>
        <v>0</v>
      </c>
      <c r="G762" s="1255" t="n">
        <f aca="false">C762*D762*E762*F762</f>
        <v>0</v>
      </c>
      <c r="H762" s="1255"/>
      <c r="I762" s="933"/>
      <c r="J762" s="933"/>
      <c r="K762" s="933"/>
      <c r="L762" s="933"/>
      <c r="M762" s="933"/>
      <c r="N762" s="933"/>
      <c r="O762" s="1220"/>
      <c r="P762" s="1290"/>
      <c r="Q762" s="1290"/>
      <c r="R762" s="1290"/>
      <c r="S762" s="933"/>
      <c r="T762" s="1220"/>
      <c r="U762" s="932"/>
      <c r="V762" s="1220"/>
      <c r="W762" s="996"/>
      <c r="X762" s="996"/>
      <c r="Y762" s="1220"/>
      <c r="Z762" s="1290"/>
      <c r="AA762" s="933"/>
      <c r="AB762" s="933"/>
      <c r="AC762" s="933"/>
      <c r="AD762" s="933"/>
    </row>
    <row r="763" customFormat="false" ht="15.75" hidden="false" customHeight="true" outlineLevel="1" collapsed="false">
      <c r="A763" s="1350" t="s">
        <v>3132</v>
      </c>
      <c r="B763" s="1212" t="s">
        <v>156</v>
      </c>
      <c r="C763" s="1213" t="n">
        <f aca="false">$C$143</f>
        <v>0.15</v>
      </c>
      <c r="D763" s="957" t="n">
        <f aca="false">$J$620</f>
        <v>0.05</v>
      </c>
      <c r="E763" s="1253" t="n">
        <f aca="false">IF(E762=0,0,IF('Ввод данных'!$A$6=связи1!$A$95,IF(E762&lt;=0,0,E762-дома!$K$632),0)+IF('Ввод данных'!$A$6=связи1!$A$96,IF(E762&lt;связи1!$K$207,0,E762-$K$632),0)+IF('Ввод данных'!$A$6=связи1!$A$98,IF(E762&lt;связи1!$K$207,0,E762-$K$632),0))</f>
        <v>0</v>
      </c>
      <c r="F763" s="1253" t="n">
        <f aca="false">2*IF('Ввод данных'!$B$155=связи1!$A$2,1,0)*IF('Ввод данных'!$F$194=связи1!$A$2,1,0)</f>
        <v>0</v>
      </c>
      <c r="G763" s="1255" t="n">
        <f aca="false">C763*D763*E763*F763</f>
        <v>0</v>
      </c>
      <c r="H763" s="1255"/>
      <c r="I763" s="933"/>
      <c r="J763" s="933"/>
      <c r="K763" s="933"/>
      <c r="L763" s="933"/>
      <c r="M763" s="933"/>
      <c r="N763" s="933"/>
      <c r="O763" s="1220"/>
      <c r="P763" s="1290"/>
      <c r="Q763" s="1290"/>
      <c r="R763" s="1290"/>
      <c r="S763" s="933"/>
      <c r="T763" s="1220"/>
      <c r="U763" s="932"/>
      <c r="V763" s="1220"/>
      <c r="W763" s="996"/>
      <c r="X763" s="996"/>
      <c r="Y763" s="1220"/>
      <c r="Z763" s="1290"/>
      <c r="AA763" s="933"/>
      <c r="AB763" s="933"/>
      <c r="AC763" s="933"/>
      <c r="AD763" s="933"/>
    </row>
    <row r="764" customFormat="false" ht="15.75" hidden="false" customHeight="true" outlineLevel="1" collapsed="false">
      <c r="A764" s="1350" t="s">
        <v>3133</v>
      </c>
      <c r="B764" s="1212" t="s">
        <v>156</v>
      </c>
      <c r="C764" s="1213" t="n">
        <f aca="false">$C$143</f>
        <v>0.15</v>
      </c>
      <c r="D764" s="957" t="n">
        <f aca="false">$J$620</f>
        <v>0.05</v>
      </c>
      <c r="E764" s="1253" t="n">
        <f aca="false">IF(E763=0,0,IF('Ввод данных'!$A$6=связи1!$A$95,IF(E763&lt;=0,0,E763-дома!$K$632),0)+IF('Ввод данных'!$A$6=связи1!$A$96,IF(E763&lt;связи1!$K$207,0,E763-$K$632),0)+IF('Ввод данных'!$A$6=связи1!$A$98,IF(E763&lt;связи1!$K$207,0,E763-$K$632),0))</f>
        <v>0</v>
      </c>
      <c r="F764" s="1253" t="n">
        <f aca="false">2*IF('Ввод данных'!$B$155=связи1!$A$2,1,0)*IF('Ввод данных'!$F$194=связи1!$A$2,1,0)</f>
        <v>0</v>
      </c>
      <c r="G764" s="1255" t="n">
        <f aca="false">C764*D764*E764*F764</f>
        <v>0</v>
      </c>
      <c r="H764" s="1255"/>
      <c r="I764" s="933"/>
      <c r="J764" s="933"/>
      <c r="K764" s="933"/>
      <c r="L764" s="933"/>
      <c r="M764" s="933"/>
      <c r="N764" s="933"/>
      <c r="O764" s="1220"/>
      <c r="P764" s="1290"/>
      <c r="Q764" s="1290"/>
      <c r="R764" s="1290"/>
      <c r="S764" s="933"/>
      <c r="T764" s="1220"/>
      <c r="U764" s="932"/>
      <c r="V764" s="1220"/>
      <c r="W764" s="996"/>
      <c r="X764" s="996"/>
      <c r="Y764" s="1220"/>
      <c r="Z764" s="1290"/>
      <c r="AA764" s="933"/>
      <c r="AB764" s="933"/>
      <c r="AC764" s="933"/>
      <c r="AD764" s="933"/>
    </row>
    <row r="765" customFormat="false" ht="15.75" hidden="false" customHeight="true" outlineLevel="1" collapsed="false">
      <c r="A765" s="1350" t="s">
        <v>3134</v>
      </c>
      <c r="B765" s="1212" t="s">
        <v>156</v>
      </c>
      <c r="C765" s="1213" t="n">
        <f aca="false">$C$143</f>
        <v>0.15</v>
      </c>
      <c r="D765" s="957" t="n">
        <f aca="false">$J$620</f>
        <v>0.05</v>
      </c>
      <c r="E765" s="1253" t="n">
        <f aca="false">IF(E764=0,0,IF('Ввод данных'!$A$6=связи1!$A$95,IF(E764&lt;=0,0,E764-дома!$K$632),0)+IF('Ввод данных'!$A$6=связи1!$A$96,IF(E764&lt;связи1!$K$207,0,E764-$K$632),0)+IF('Ввод данных'!$A$6=связи1!$A$98,IF(E764&lt;связи1!$K$207,0,E764-$K$632),0))</f>
        <v>0</v>
      </c>
      <c r="F765" s="1253" t="n">
        <f aca="false">2*IF('Ввод данных'!$B$155=связи1!$A$2,1,0)*IF('Ввод данных'!$F$194=связи1!$A$2,1,0)</f>
        <v>0</v>
      </c>
      <c r="G765" s="1255" t="n">
        <f aca="false">C765*D765*E765*F765</f>
        <v>0</v>
      </c>
      <c r="H765" s="1255"/>
      <c r="I765" s="933"/>
      <c r="J765" s="933"/>
      <c r="K765" s="933"/>
      <c r="L765" s="933"/>
      <c r="M765" s="933"/>
      <c r="N765" s="933"/>
      <c r="O765" s="1220"/>
      <c r="P765" s="1290"/>
      <c r="Q765" s="1290"/>
      <c r="R765" s="1290"/>
      <c r="S765" s="933"/>
      <c r="T765" s="1220"/>
      <c r="U765" s="932"/>
      <c r="V765" s="1220"/>
      <c r="W765" s="996"/>
      <c r="X765" s="996"/>
      <c r="Y765" s="1220"/>
      <c r="Z765" s="1290"/>
      <c r="AA765" s="933"/>
      <c r="AB765" s="933"/>
      <c r="AC765" s="933"/>
      <c r="AD765" s="933"/>
    </row>
    <row r="766" customFormat="false" ht="15.75" hidden="false" customHeight="true" outlineLevel="1" collapsed="false">
      <c r="A766" s="1350" t="s">
        <v>3135</v>
      </c>
      <c r="B766" s="1212" t="s">
        <v>156</v>
      </c>
      <c r="C766" s="1213" t="n">
        <f aca="false">$C$143</f>
        <v>0.15</v>
      </c>
      <c r="D766" s="957" t="n">
        <f aca="false">$J$620</f>
        <v>0.05</v>
      </c>
      <c r="E766" s="1253" t="n">
        <f aca="false">IF(E765=0,0,IF('Ввод данных'!$A$6=связи1!$A$95,IF(E765&lt;=0,0,E765-дома!$K$632),0)+IF('Ввод данных'!$A$6=связи1!$A$96,IF(E765&lt;связи1!$K$207,0,E765-$K$632),0)+IF('Ввод данных'!$A$6=связи1!$A$98,IF(E765&lt;связи1!$K$207,0,E765-$K$632),0))</f>
        <v>0</v>
      </c>
      <c r="F766" s="1253" t="n">
        <f aca="false">2*IF('Ввод данных'!$B$155=связи1!$A$2,1,0)*IF('Ввод данных'!$F$194=связи1!$A$2,1,0)</f>
        <v>0</v>
      </c>
      <c r="G766" s="1255" t="n">
        <f aca="false">C766*D766*E766*F766</f>
        <v>0</v>
      </c>
      <c r="H766" s="1255"/>
      <c r="I766" s="933"/>
      <c r="J766" s="933"/>
      <c r="K766" s="933"/>
      <c r="L766" s="933"/>
      <c r="M766" s="933"/>
      <c r="N766" s="933"/>
      <c r="O766" s="1220"/>
      <c r="P766" s="1290"/>
      <c r="Q766" s="1290"/>
      <c r="R766" s="1290"/>
      <c r="S766" s="933"/>
      <c r="T766" s="1220"/>
      <c r="U766" s="932"/>
      <c r="V766" s="1220"/>
      <c r="W766" s="996"/>
      <c r="X766" s="996"/>
      <c r="Y766" s="1220"/>
      <c r="Z766" s="1290"/>
      <c r="AA766" s="933"/>
      <c r="AB766" s="933"/>
      <c r="AC766" s="933"/>
      <c r="AD766" s="933"/>
    </row>
    <row r="767" customFormat="false" ht="15.75" hidden="false" customHeight="true" outlineLevel="1" collapsed="false">
      <c r="A767" s="1350" t="s">
        <v>3136</v>
      </c>
      <c r="B767" s="1212" t="s">
        <v>156</v>
      </c>
      <c r="C767" s="1213" t="n">
        <f aca="false">$C$143</f>
        <v>0.15</v>
      </c>
      <c r="D767" s="957" t="n">
        <f aca="false">$J$620</f>
        <v>0.05</v>
      </c>
      <c r="E767" s="1253" t="n">
        <f aca="false">IF(E766=0,0,IF('Ввод данных'!$A$6=связи1!$A$95,IF(E766&lt;=0,0,E766-дома!$K$632),0)+IF('Ввод данных'!$A$6=связи1!$A$96,IF(E766&lt;связи1!$K$207,0,E766-$K$632),0)+IF('Ввод данных'!$A$6=связи1!$A$98,IF(E766&lt;связи1!$K$207,0,E766-$K$632),0))</f>
        <v>0</v>
      </c>
      <c r="F767" s="1253" t="n">
        <f aca="false">2*IF('Ввод данных'!$B$155=связи1!$A$2,1,0)*IF('Ввод данных'!$F$194=связи1!$A$2,1,0)</f>
        <v>0</v>
      </c>
      <c r="G767" s="1255" t="n">
        <f aca="false">C767*D767*E767*F767</f>
        <v>0</v>
      </c>
      <c r="H767" s="1255"/>
      <c r="I767" s="933"/>
      <c r="J767" s="933"/>
      <c r="K767" s="933"/>
      <c r="L767" s="933"/>
      <c r="M767" s="933"/>
      <c r="N767" s="933"/>
      <c r="O767" s="1220"/>
      <c r="P767" s="1290"/>
      <c r="Q767" s="1290"/>
      <c r="R767" s="1290"/>
      <c r="S767" s="933"/>
      <c r="T767" s="1220"/>
      <c r="U767" s="932"/>
      <c r="V767" s="1220"/>
      <c r="W767" s="996"/>
      <c r="X767" s="996"/>
      <c r="Y767" s="1220"/>
      <c r="Z767" s="1290"/>
      <c r="AA767" s="933"/>
      <c r="AB767" s="933"/>
      <c r="AC767" s="933"/>
      <c r="AD767" s="933"/>
    </row>
    <row r="768" customFormat="false" ht="15.75" hidden="false" customHeight="true" outlineLevel="1" collapsed="false">
      <c r="A768" s="1350" t="s">
        <v>3137</v>
      </c>
      <c r="B768" s="1212" t="s">
        <v>156</v>
      </c>
      <c r="C768" s="1213" t="n">
        <f aca="false">$C$143</f>
        <v>0.15</v>
      </c>
      <c r="D768" s="957" t="n">
        <f aca="false">$J$620</f>
        <v>0.05</v>
      </c>
      <c r="E768" s="1253" t="n">
        <f aca="false">IF(E767=0,0,IF('Ввод данных'!$A$6=связи1!$A$95,IF(E767&lt;=0,0,E767-дома!$K$632),0)+IF('Ввод данных'!$A$6=связи1!$A$96,IF(E767&lt;связи1!$K$207,0,E767-$K$632),0)+IF('Ввод данных'!$A$6=связи1!$A$98,IF(E767&lt;связи1!$K$207,0,E767-$K$632),0))</f>
        <v>0</v>
      </c>
      <c r="F768" s="1253" t="n">
        <f aca="false">2*IF('Ввод данных'!$B$155=связи1!$A$2,1,0)*IF('Ввод данных'!$F$194=связи1!$A$2,1,0)</f>
        <v>0</v>
      </c>
      <c r="G768" s="1255" t="n">
        <f aca="false">C768*D768*E768*F768</f>
        <v>0</v>
      </c>
      <c r="H768" s="1255"/>
      <c r="I768" s="933"/>
      <c r="J768" s="933"/>
      <c r="K768" s="933"/>
      <c r="L768" s="933"/>
      <c r="M768" s="933"/>
      <c r="N768" s="933"/>
      <c r="O768" s="1220"/>
      <c r="P768" s="1290"/>
      <c r="Q768" s="1290"/>
      <c r="R768" s="1290"/>
      <c r="S768" s="933"/>
      <c r="T768" s="1220"/>
      <c r="U768" s="932"/>
      <c r="V768" s="1220"/>
      <c r="W768" s="996"/>
      <c r="X768" s="996"/>
      <c r="Y768" s="1220"/>
      <c r="Z768" s="1290"/>
      <c r="AA768" s="933"/>
      <c r="AB768" s="933"/>
      <c r="AC768" s="933"/>
      <c r="AD768" s="933"/>
    </row>
    <row r="769" customFormat="false" ht="15.75" hidden="false" customHeight="true" outlineLevel="1" collapsed="false">
      <c r="A769" s="1350" t="s">
        <v>3138</v>
      </c>
      <c r="B769" s="1212" t="s">
        <v>156</v>
      </c>
      <c r="C769" s="1213" t="n">
        <f aca="false">$C$143</f>
        <v>0.15</v>
      </c>
      <c r="D769" s="957" t="n">
        <f aca="false">$J$620</f>
        <v>0.05</v>
      </c>
      <c r="E769" s="1253" t="n">
        <f aca="false">IF(E768=0,0,IF('Ввод данных'!$A$6=связи1!$A$95,IF(E768&lt;=0,0,E768-дома!$K$632),0)+IF('Ввод данных'!$A$6=связи1!$A$96,IF(E768&lt;связи1!$K$207,0,E768-$K$632),0)+IF('Ввод данных'!$A$6=связи1!$A$98,IF(E768&lt;связи1!$K$207,0,E768-$K$632),0))</f>
        <v>0</v>
      </c>
      <c r="F769" s="1253" t="n">
        <f aca="false">2*IF('Ввод данных'!$B$155=связи1!$A$2,1,0)*IF('Ввод данных'!$F$194=связи1!$A$2,1,0)</f>
        <v>0</v>
      </c>
      <c r="G769" s="1255" t="n">
        <f aca="false">C769*D769*E769*F769</f>
        <v>0</v>
      </c>
      <c r="H769" s="1255"/>
      <c r="I769" s="933"/>
      <c r="J769" s="933"/>
      <c r="K769" s="933"/>
      <c r="L769" s="933"/>
      <c r="M769" s="933"/>
      <c r="N769" s="933"/>
      <c r="O769" s="1220"/>
      <c r="P769" s="1290"/>
      <c r="Q769" s="1290"/>
      <c r="R769" s="1290"/>
      <c r="S769" s="933"/>
      <c r="T769" s="1220"/>
      <c r="U769" s="932"/>
      <c r="V769" s="1220"/>
      <c r="W769" s="996"/>
      <c r="X769" s="996"/>
      <c r="Y769" s="1220"/>
      <c r="Z769" s="1290"/>
      <c r="AA769" s="933"/>
      <c r="AB769" s="933"/>
      <c r="AC769" s="933"/>
      <c r="AD769" s="933"/>
    </row>
    <row r="770" customFormat="false" ht="15.75" hidden="false" customHeight="true" outlineLevel="1" collapsed="false">
      <c r="A770" s="1350" t="s">
        <v>3139</v>
      </c>
      <c r="B770" s="1212" t="s">
        <v>156</v>
      </c>
      <c r="C770" s="1213" t="n">
        <f aca="false">$C$143</f>
        <v>0.15</v>
      </c>
      <c r="D770" s="957" t="n">
        <f aca="false">$J$620</f>
        <v>0.05</v>
      </c>
      <c r="E770" s="1253" t="n">
        <f aca="false">IF(E769=0,0,IF('Ввод данных'!$A$6=связи1!$A$95,IF(E769&lt;=0,0,E769-дома!$K$632),0)+IF('Ввод данных'!$A$6=связи1!$A$96,IF(E769&lt;связи1!$K$207,0,E769-$K$632),0)+IF('Ввод данных'!$A$6=связи1!$A$98,IF(E769&lt;связи1!$K$207,0,E769-$K$632),0))</f>
        <v>0</v>
      </c>
      <c r="F770" s="1253" t="n">
        <f aca="false">2*IF('Ввод данных'!$B$155=связи1!$A$2,1,0)*IF('Ввод данных'!$F$194=связи1!$A$2,1,0)</f>
        <v>0</v>
      </c>
      <c r="G770" s="1255" t="n">
        <f aca="false">C770*D770*E770*F770</f>
        <v>0</v>
      </c>
      <c r="H770" s="1255"/>
      <c r="I770" s="933"/>
      <c r="J770" s="933"/>
      <c r="K770" s="933"/>
      <c r="L770" s="933"/>
      <c r="M770" s="933"/>
      <c r="N770" s="933"/>
      <c r="O770" s="1220"/>
      <c r="P770" s="1290"/>
      <c r="Q770" s="1290"/>
      <c r="R770" s="1290"/>
      <c r="S770" s="933"/>
      <c r="T770" s="1220"/>
      <c r="U770" s="932"/>
      <c r="V770" s="1220"/>
      <c r="W770" s="996"/>
      <c r="X770" s="996"/>
      <c r="Y770" s="1220"/>
      <c r="Z770" s="1290"/>
      <c r="AA770" s="933"/>
      <c r="AB770" s="933"/>
      <c r="AC770" s="933"/>
      <c r="AD770" s="933"/>
    </row>
    <row r="771" customFormat="false" ht="15.75" hidden="false" customHeight="true" outlineLevel="1" collapsed="false">
      <c r="A771" s="1350" t="s">
        <v>3140</v>
      </c>
      <c r="B771" s="1212" t="s">
        <v>156</v>
      </c>
      <c r="C771" s="1213" t="n">
        <f aca="false">$C$143</f>
        <v>0.15</v>
      </c>
      <c r="D771" s="957" t="n">
        <f aca="false">$J$620</f>
        <v>0.05</v>
      </c>
      <c r="E771" s="1253" t="n">
        <f aca="false">IF(E770=0,0,IF('Ввод данных'!$A$6=связи1!$A$95,IF(E770&lt;=0,0,E770-дома!$K$632),0)+IF('Ввод данных'!$A$6=связи1!$A$96,IF(E770&lt;связи1!$K$207,0,E770-$K$632),0)+IF('Ввод данных'!$A$6=связи1!$A$98,IF(E770&lt;связи1!$K$207,0,E770-$K$632),0))</f>
        <v>0</v>
      </c>
      <c r="F771" s="1253" t="n">
        <f aca="false">2*IF('Ввод данных'!$B$155=связи1!$A$2,1,0)*IF('Ввод данных'!$F$194=связи1!$A$2,1,0)</f>
        <v>0</v>
      </c>
      <c r="G771" s="1255" t="n">
        <f aca="false">C771*D771*E771*F771</f>
        <v>0</v>
      </c>
      <c r="H771" s="1255"/>
      <c r="I771" s="933"/>
      <c r="J771" s="933"/>
      <c r="K771" s="933"/>
      <c r="L771" s="933"/>
      <c r="M771" s="933"/>
      <c r="N771" s="933"/>
      <c r="O771" s="1220"/>
      <c r="P771" s="1290"/>
      <c r="Q771" s="1290"/>
      <c r="R771" s="1290"/>
      <c r="S771" s="933"/>
      <c r="T771" s="1220"/>
      <c r="U771" s="932"/>
      <c r="V771" s="1220"/>
      <c r="W771" s="996"/>
      <c r="X771" s="996"/>
      <c r="Y771" s="1220"/>
      <c r="Z771" s="1290"/>
      <c r="AA771" s="933"/>
      <c r="AB771" s="933"/>
      <c r="AC771" s="933"/>
      <c r="AD771" s="933"/>
    </row>
    <row r="772" customFormat="false" ht="15.75" hidden="false" customHeight="true" outlineLevel="1" collapsed="false">
      <c r="A772" s="1349" t="s">
        <v>3093</v>
      </c>
      <c r="B772" s="1299" t="s">
        <v>156</v>
      </c>
      <c r="C772" s="1346" t="n">
        <f aca="false">$C$143</f>
        <v>0.15</v>
      </c>
      <c r="D772" s="1347" t="n">
        <f aca="false">$J$620</f>
        <v>0.05</v>
      </c>
      <c r="E772" s="1300" t="n">
        <f aca="false">C620+C623+C624+C625</f>
        <v>0</v>
      </c>
      <c r="F772" s="1300" t="n">
        <f aca="false">1*IF('Ввод данных'!$C$155=связи1!$A$2,1,0)*IF('Ввод данных'!$F$194=связи1!$A$2,1,0)</f>
        <v>0</v>
      </c>
      <c r="G772" s="1301" t="n">
        <f aca="false">C772*D772*E772*F772</f>
        <v>0</v>
      </c>
      <c r="H772" s="1301"/>
      <c r="I772" s="933"/>
      <c r="J772" s="933"/>
      <c r="K772" s="933"/>
      <c r="L772" s="933"/>
      <c r="M772" s="933"/>
      <c r="N772" s="933"/>
      <c r="O772" s="1220"/>
      <c r="P772" s="1290"/>
      <c r="Q772" s="1290"/>
      <c r="R772" s="1290"/>
      <c r="S772" s="933"/>
      <c r="T772" s="1220"/>
      <c r="U772" s="932"/>
      <c r="V772" s="1220"/>
      <c r="W772" s="996"/>
      <c r="X772" s="996"/>
      <c r="Y772" s="1220"/>
      <c r="Z772" s="1290"/>
      <c r="AA772" s="933"/>
      <c r="AB772" s="933"/>
      <c r="AC772" s="933"/>
      <c r="AD772" s="933"/>
    </row>
    <row r="773" customFormat="false" ht="15.75" hidden="false" customHeight="true" outlineLevel="1" collapsed="false">
      <c r="A773" s="1349" t="s">
        <v>3094</v>
      </c>
      <c r="B773" s="1299" t="s">
        <v>156</v>
      </c>
      <c r="C773" s="1346" t="n">
        <f aca="false">$C$143</f>
        <v>0.15</v>
      </c>
      <c r="D773" s="1347" t="n">
        <f aca="false">$J$620</f>
        <v>0.05</v>
      </c>
      <c r="E773" s="1300" t="n">
        <f aca="false">C624+C625+K628+K628</f>
        <v>22.3606797749979</v>
      </c>
      <c r="F773" s="1300" t="n">
        <f aca="false">1*IF('Ввод данных'!$C$155=связи1!$A$2,1,0)*IF('Ввод данных'!$F$194=связи1!$A$2,1,0)*D635</f>
        <v>0</v>
      </c>
      <c r="G773" s="1301" t="n">
        <f aca="false">C773*D773*E773*F773</f>
        <v>0</v>
      </c>
      <c r="H773" s="1301"/>
      <c r="I773" s="933"/>
      <c r="J773" s="933"/>
      <c r="K773" s="933"/>
      <c r="L773" s="933"/>
      <c r="M773" s="933"/>
      <c r="N773" s="933"/>
      <c r="O773" s="1220"/>
      <c r="P773" s="1290"/>
      <c r="Q773" s="1290"/>
      <c r="R773" s="1290"/>
      <c r="S773" s="933"/>
      <c r="T773" s="1220"/>
      <c r="U773" s="932"/>
      <c r="V773" s="1220"/>
      <c r="W773" s="996"/>
      <c r="X773" s="996"/>
      <c r="Y773" s="1220"/>
      <c r="Z773" s="1290"/>
      <c r="AA773" s="933"/>
      <c r="AB773" s="933"/>
      <c r="AC773" s="933"/>
      <c r="AD773" s="933"/>
    </row>
    <row r="774" customFormat="false" ht="15.75" hidden="false" customHeight="true" outlineLevel="1" collapsed="false">
      <c r="A774" s="1349" t="s">
        <v>3095</v>
      </c>
      <c r="B774" s="1299" t="s">
        <v>156</v>
      </c>
      <c r="C774" s="1346" t="n">
        <f aca="false">$C$143</f>
        <v>0.15</v>
      </c>
      <c r="D774" s="1347" t="n">
        <f aca="false">$J$620</f>
        <v>0.05</v>
      </c>
      <c r="E774" s="1300" t="n">
        <f aca="false">E773</f>
        <v>22.3606797749979</v>
      </c>
      <c r="F774" s="1300" t="n">
        <f aca="false">1*IF('Ввод данных'!$C$155=связи1!$A$2,1,0)*IF('Ввод данных'!$F$194=связи1!$A$2,1,0)*D635</f>
        <v>0</v>
      </c>
      <c r="G774" s="1301" t="n">
        <f aca="false">C774*D774*E774*F774</f>
        <v>0</v>
      </c>
      <c r="H774" s="1301"/>
      <c r="I774" s="933"/>
      <c r="J774" s="933"/>
      <c r="K774" s="933"/>
      <c r="L774" s="933"/>
      <c r="M774" s="933"/>
      <c r="N774" s="933"/>
      <c r="O774" s="1220"/>
      <c r="P774" s="1290"/>
      <c r="Q774" s="1290"/>
      <c r="R774" s="1290"/>
      <c r="S774" s="933"/>
      <c r="T774" s="1220"/>
      <c r="U774" s="932"/>
      <c r="V774" s="1220"/>
      <c r="W774" s="996"/>
      <c r="X774" s="996"/>
      <c r="Y774" s="1220"/>
      <c r="Z774" s="1290"/>
      <c r="AA774" s="933"/>
      <c r="AB774" s="933"/>
      <c r="AC774" s="933"/>
      <c r="AD774" s="933"/>
    </row>
    <row r="775" customFormat="false" ht="15.75" hidden="false" customHeight="true" outlineLevel="1" collapsed="false">
      <c r="A775" s="1345" t="s">
        <v>3141</v>
      </c>
      <c r="B775" s="1299" t="s">
        <v>156</v>
      </c>
      <c r="C775" s="1346" t="n">
        <f aca="false">$C$143</f>
        <v>0.15</v>
      </c>
      <c r="D775" s="1347" t="n">
        <f aca="false">$J$620</f>
        <v>0.05</v>
      </c>
      <c r="E775" s="1300" t="n">
        <f aca="false">IF('Ввод данных'!C155=связи1!A2,IF('Ввод данных'!A6=связи1!A95,'Ввод данных'!C16,0)+IF('Ввод данных'!A6=связи1!A96,связи1!K207,0)+IF('Ввод данных'!A6=связи1!A98,связи1!K207,0),0)</f>
        <v>0</v>
      </c>
      <c r="F775" s="1300" t="n">
        <f aca="false">CEILING(C624/G624+1,1)*IF('Ввод данных'!$C$155=связи1!$A$2,1,0)*IF('Ввод данных'!$F$194=связи1!$A$2,1,0)</f>
        <v>0</v>
      </c>
      <c r="G775" s="1301" t="n">
        <f aca="false">C775*D775*E775*F775</f>
        <v>0</v>
      </c>
      <c r="H775" s="1301"/>
      <c r="I775" s="933"/>
      <c r="J775" s="933"/>
      <c r="K775" s="933"/>
      <c r="L775" s="933"/>
      <c r="M775" s="933"/>
      <c r="N775" s="933"/>
      <c r="O775" s="1220"/>
      <c r="P775" s="1290"/>
      <c r="Q775" s="1290"/>
      <c r="R775" s="1290"/>
      <c r="S775" s="933"/>
      <c r="T775" s="1220"/>
      <c r="U775" s="932"/>
      <c r="V775" s="1220"/>
      <c r="W775" s="996"/>
      <c r="X775" s="996"/>
      <c r="Y775" s="1220"/>
      <c r="Z775" s="1290"/>
      <c r="AA775" s="933"/>
      <c r="AB775" s="933"/>
      <c r="AC775" s="933"/>
      <c r="AD775" s="933"/>
    </row>
    <row r="776" customFormat="false" ht="15.75" hidden="false" customHeight="true" outlineLevel="1" collapsed="false">
      <c r="A776" s="1345" t="s">
        <v>3142</v>
      </c>
      <c r="B776" s="1299" t="s">
        <v>156</v>
      </c>
      <c r="C776" s="1346" t="n">
        <f aca="false">$C$143</f>
        <v>0.15</v>
      </c>
      <c r="D776" s="1347" t="n">
        <f aca="false">$J$620</f>
        <v>0.05</v>
      </c>
      <c r="E776" s="1300" t="n">
        <f aca="false">IF('Ввод данных'!C155=связи1!A2,IF('Ввод данных'!A6=связи1!A95,'Ввод данных'!C16,0)+IF('Ввод данных'!A6=связи1!A96,связи1!K206,0)+IF('Ввод данных'!A6=связи1!A98,связи1!K206,0),0)</f>
        <v>0</v>
      </c>
      <c r="F776" s="1300" t="n">
        <f aca="false">CEILING(C624/G624+1,1)*IF('Ввод данных'!$C$155=связи1!$A$2,1,0)*IF('Ввод данных'!$F$194=связи1!$A$2,1,0)</f>
        <v>0</v>
      </c>
      <c r="G776" s="1301" t="n">
        <f aca="false">C776*D776*E776*F776</f>
        <v>0</v>
      </c>
      <c r="H776" s="1301"/>
      <c r="I776" s="933"/>
      <c r="J776" s="933"/>
      <c r="K776" s="933"/>
      <c r="L776" s="933"/>
      <c r="M776" s="933"/>
      <c r="N776" s="933"/>
      <c r="O776" s="1220"/>
      <c r="P776" s="1290"/>
      <c r="Q776" s="1290"/>
      <c r="R776" s="1290"/>
      <c r="S776" s="933"/>
      <c r="T776" s="1220"/>
      <c r="U776" s="932"/>
      <c r="V776" s="1220"/>
      <c r="W776" s="996"/>
      <c r="X776" s="996"/>
      <c r="Y776" s="1220"/>
      <c r="Z776" s="1290"/>
      <c r="AA776" s="933"/>
      <c r="AB776" s="933"/>
      <c r="AC776" s="933"/>
      <c r="AD776" s="933"/>
    </row>
    <row r="777" customFormat="false" ht="15.75" hidden="false" customHeight="true" outlineLevel="1" collapsed="false">
      <c r="A777" s="1345" t="s">
        <v>3143</v>
      </c>
      <c r="B777" s="1299" t="s">
        <v>156</v>
      </c>
      <c r="C777" s="1346" t="n">
        <f aca="false">$C$143</f>
        <v>0.15</v>
      </c>
      <c r="D777" s="1347" t="n">
        <f aca="false">$J$620</f>
        <v>0.05</v>
      </c>
      <c r="E777" s="1300" t="n">
        <f aca="false">IF('Ввод данных'!C155=связи1!A2,IF('Ввод данных'!A6=связи1!A95,'Ввод данных'!C16,0)+IF('Ввод данных'!A6=связи1!A96,связи1!K206,0)+IF('Ввод данных'!A6=связи1!A98,связи1!K206,0),0)</f>
        <v>0</v>
      </c>
      <c r="F777" s="1300" t="n">
        <f aca="false">CEILING(C620/G620+1,1)*IF('Ввод данных'!$C$155=связи1!$A$2,1,0)*IF('Ввод данных'!$F$194=связи1!$A$2,1,0)*IF('Ввод данных'!A6=связи1!A95,1,0)</f>
        <v>0</v>
      </c>
      <c r="G777" s="1301" t="n">
        <f aca="false">C777*D777*E777*F777</f>
        <v>0</v>
      </c>
      <c r="H777" s="1301"/>
      <c r="I777" s="933"/>
      <c r="J777" s="933"/>
      <c r="K777" s="933"/>
      <c r="L777" s="933"/>
      <c r="M777" s="933"/>
      <c r="N777" s="933"/>
      <c r="O777" s="1220"/>
      <c r="P777" s="1290"/>
      <c r="Q777" s="1290"/>
      <c r="R777" s="1290"/>
      <c r="S777" s="933"/>
      <c r="T777" s="1220"/>
      <c r="U777" s="932"/>
      <c r="V777" s="1220"/>
      <c r="W777" s="996"/>
      <c r="X777" s="996"/>
      <c r="Y777" s="1220"/>
      <c r="Z777" s="1290"/>
      <c r="AA777" s="933"/>
      <c r="AB777" s="933"/>
      <c r="AC777" s="933"/>
      <c r="AD777" s="933"/>
    </row>
    <row r="778" customFormat="false" ht="15.75" hidden="false" customHeight="true" outlineLevel="1" collapsed="false">
      <c r="A778" s="1349" t="s">
        <v>3099</v>
      </c>
      <c r="B778" s="1299" t="s">
        <v>156</v>
      </c>
      <c r="C778" s="1346" t="n">
        <f aca="false">$C$143</f>
        <v>0.15</v>
      </c>
      <c r="D778" s="1347" t="n">
        <f aca="false">$J$620</f>
        <v>0.05</v>
      </c>
      <c r="E778" s="1300" t="n">
        <f aca="false">IF('Ввод данных'!A6=связи1!A95,(связи1!K206-'Ввод данных'!C16),0)+IF('Ввод данных'!A6=связи1!A96,связи1!K206,0)+IF('Ввод данных'!A6=связи1!A98,связи1!K206,0)</f>
        <v>0</v>
      </c>
      <c r="F778" s="1300" t="n">
        <f aca="false">2*IF('Ввод данных'!$C$155=связи1!$A$2,1,0)*IF('Ввод данных'!$F$194=связи1!$A$2,1,0)</f>
        <v>0</v>
      </c>
      <c r="G778" s="1301" t="n">
        <f aca="false">C778*D778*E778*F778</f>
        <v>0</v>
      </c>
      <c r="H778" s="1301"/>
      <c r="I778" s="933"/>
      <c r="J778" s="933"/>
      <c r="K778" s="933"/>
      <c r="L778" s="933"/>
      <c r="M778" s="933"/>
      <c r="N778" s="933"/>
      <c r="O778" s="1220"/>
      <c r="P778" s="1290"/>
      <c r="Q778" s="1290"/>
      <c r="R778" s="1290"/>
      <c r="S778" s="933"/>
      <c r="T778" s="1220"/>
      <c r="U778" s="932"/>
      <c r="V778" s="1220"/>
      <c r="W778" s="996"/>
      <c r="X778" s="996"/>
      <c r="Y778" s="1220"/>
      <c r="Z778" s="1290"/>
      <c r="AA778" s="933"/>
      <c r="AB778" s="933"/>
      <c r="AC778" s="933"/>
      <c r="AD778" s="933"/>
    </row>
    <row r="779" customFormat="false" ht="15.75" hidden="false" customHeight="true" outlineLevel="1" collapsed="false">
      <c r="A779" s="1349" t="s">
        <v>3100</v>
      </c>
      <c r="B779" s="1299" t="s">
        <v>156</v>
      </c>
      <c r="C779" s="1346" t="n">
        <f aca="false">$C$143</f>
        <v>0.15</v>
      </c>
      <c r="D779" s="1347" t="n">
        <f aca="false">$J$620</f>
        <v>0.05</v>
      </c>
      <c r="E779" s="1300" t="n">
        <f aca="false">IF(E778=0,0,IF('Ввод данных'!$A$6=связи1!$A$95,IF(E778&lt;=0,0,E778-дома!$K$633),0)+IF('Ввод данных'!$A$6=связи1!$A$96,IF(E778&lt;связи1!$K$207,0,E778-$K$633),0)+IF('Ввод данных'!$A$6=связи1!$A$98,IF(E778&lt;связи1!$K$207,0,E778-$K$633),0))</f>
        <v>0</v>
      </c>
      <c r="F779" s="1300" t="n">
        <f aca="false">2*IF('Ввод данных'!$C$155=связи1!$A$2,1,0)*IF('Ввод данных'!$F$194=связи1!$A$2,1,0)</f>
        <v>0</v>
      </c>
      <c r="G779" s="1301" t="n">
        <f aca="false">C779*D779*E779*F779</f>
        <v>0</v>
      </c>
      <c r="H779" s="1301"/>
      <c r="I779" s="933"/>
      <c r="J779" s="933"/>
      <c r="K779" s="933"/>
      <c r="L779" s="933"/>
      <c r="M779" s="933"/>
      <c r="N779" s="933"/>
      <c r="O779" s="1220"/>
      <c r="P779" s="1290"/>
      <c r="Q779" s="1290"/>
      <c r="R779" s="1290"/>
      <c r="S779" s="933"/>
      <c r="T779" s="1220"/>
      <c r="U779" s="932"/>
      <c r="V779" s="1220"/>
      <c r="W779" s="996"/>
      <c r="X779" s="996"/>
      <c r="Y779" s="1220"/>
      <c r="Z779" s="1290"/>
      <c r="AA779" s="933"/>
      <c r="AB779" s="933"/>
      <c r="AC779" s="933"/>
      <c r="AD779" s="933"/>
    </row>
    <row r="780" customFormat="false" ht="15.75" hidden="false" customHeight="true" outlineLevel="1" collapsed="false">
      <c r="A780" s="1349" t="s">
        <v>3101</v>
      </c>
      <c r="B780" s="1299" t="s">
        <v>156</v>
      </c>
      <c r="C780" s="1346" t="n">
        <f aca="false">$C$143</f>
        <v>0.15</v>
      </c>
      <c r="D780" s="1347" t="n">
        <f aca="false">$J$620</f>
        <v>0.05</v>
      </c>
      <c r="E780" s="1300" t="n">
        <f aca="false">IF(E779=0,0,IF('Ввод данных'!$A$6=связи1!$A$95,IF(E779&lt;=0,0,E779-дома!$K$633),0)+IF('Ввод данных'!$A$6=связи1!$A$96,IF(E779&lt;связи1!$K$207,0,E779-$K$633),0)+IF('Ввод данных'!$A$6=связи1!$A$98,IF(E779&lt;связи1!$K$207,0,E779-$K$633),0))</f>
        <v>0</v>
      </c>
      <c r="F780" s="1300" t="n">
        <f aca="false">2*IF('Ввод данных'!$C$155=связи1!$A$2,1,0)*IF('Ввод данных'!$F$194=связи1!$A$2,1,0)</f>
        <v>0</v>
      </c>
      <c r="G780" s="1301" t="n">
        <f aca="false">C780*D780*E780*F780</f>
        <v>0</v>
      </c>
      <c r="H780" s="1301"/>
      <c r="I780" s="933"/>
      <c r="J780" s="933"/>
      <c r="K780" s="933"/>
      <c r="L780" s="933"/>
      <c r="M780" s="933"/>
      <c r="N780" s="933"/>
      <c r="O780" s="1220"/>
      <c r="P780" s="1290"/>
      <c r="Q780" s="1290"/>
      <c r="R780" s="1290"/>
      <c r="S780" s="933"/>
      <c r="T780" s="1220"/>
      <c r="U780" s="932"/>
      <c r="V780" s="1220"/>
      <c r="W780" s="996"/>
      <c r="X780" s="996"/>
      <c r="Y780" s="1220"/>
      <c r="Z780" s="1290"/>
      <c r="AA780" s="933"/>
      <c r="AB780" s="933"/>
      <c r="AC780" s="933"/>
      <c r="AD780" s="933"/>
    </row>
    <row r="781" customFormat="false" ht="15.75" hidden="false" customHeight="true" outlineLevel="1" collapsed="false">
      <c r="A781" s="1349" t="s">
        <v>3102</v>
      </c>
      <c r="B781" s="1299" t="s">
        <v>156</v>
      </c>
      <c r="C781" s="1346" t="n">
        <f aca="false">$C$143</f>
        <v>0.15</v>
      </c>
      <c r="D781" s="1347" t="n">
        <f aca="false">$J$620</f>
        <v>0.05</v>
      </c>
      <c r="E781" s="1300" t="n">
        <f aca="false">IF(E780=0,0,IF('Ввод данных'!$A$6=связи1!$A$95,IF(E780&lt;=0,0,E780-дома!$K$633),0)+IF('Ввод данных'!$A$6=связи1!$A$96,IF(E780&lt;связи1!$K$207,0,E780-$K$633),0)+IF('Ввод данных'!$A$6=связи1!$A$98,IF(E780&lt;связи1!$K$207,0,E780-$K$633),0))</f>
        <v>0</v>
      </c>
      <c r="F781" s="1300" t="n">
        <f aca="false">2*IF('Ввод данных'!$C$155=связи1!$A$2,1,0)*IF('Ввод данных'!$F$194=связи1!$A$2,1,0)</f>
        <v>0</v>
      </c>
      <c r="G781" s="1301" t="n">
        <f aca="false">C781*D781*E781*F781</f>
        <v>0</v>
      </c>
      <c r="H781" s="1301"/>
      <c r="I781" s="933"/>
      <c r="J781" s="933"/>
      <c r="K781" s="933"/>
      <c r="L781" s="933"/>
      <c r="M781" s="933"/>
      <c r="N781" s="933"/>
      <c r="O781" s="1220"/>
      <c r="P781" s="1290"/>
      <c r="Q781" s="1290"/>
      <c r="R781" s="1290"/>
      <c r="S781" s="933"/>
      <c r="T781" s="1220"/>
      <c r="U781" s="932"/>
      <c r="V781" s="1220"/>
      <c r="W781" s="996"/>
      <c r="X781" s="996"/>
      <c r="Y781" s="1220"/>
      <c r="Z781" s="1290"/>
      <c r="AA781" s="933"/>
      <c r="AB781" s="933"/>
      <c r="AC781" s="933"/>
      <c r="AD781" s="933"/>
    </row>
    <row r="782" customFormat="false" ht="15.75" hidden="false" customHeight="true" outlineLevel="1" collapsed="false">
      <c r="A782" s="1349" t="s">
        <v>3103</v>
      </c>
      <c r="B782" s="1299" t="s">
        <v>156</v>
      </c>
      <c r="C782" s="1346" t="n">
        <f aca="false">$C$143</f>
        <v>0.15</v>
      </c>
      <c r="D782" s="1347" t="n">
        <f aca="false">$J$620</f>
        <v>0.05</v>
      </c>
      <c r="E782" s="1300" t="n">
        <f aca="false">IF(E781=0,0,IF('Ввод данных'!$A$6=связи1!$A$95,IF(E781&lt;=0,0,E781-дома!$K$633),0)+IF('Ввод данных'!$A$6=связи1!$A$96,IF(E781&lt;связи1!$K$207,0,E781-$K$633),0)+IF('Ввод данных'!$A$6=связи1!$A$98,IF(E781&lt;связи1!$K$207,0,E781-$K$633),0))</f>
        <v>0</v>
      </c>
      <c r="F782" s="1300" t="n">
        <f aca="false">2*IF('Ввод данных'!$C$155=связи1!$A$2,1,0)*IF('Ввод данных'!$F$194=связи1!$A$2,1,0)</f>
        <v>0</v>
      </c>
      <c r="G782" s="1301" t="n">
        <f aca="false">C782*D782*E782*F782</f>
        <v>0</v>
      </c>
      <c r="H782" s="1301"/>
      <c r="I782" s="933"/>
      <c r="J782" s="933"/>
      <c r="K782" s="933"/>
      <c r="L782" s="933"/>
      <c r="M782" s="933"/>
      <c r="N782" s="933"/>
      <c r="O782" s="1220"/>
      <c r="P782" s="1290"/>
      <c r="Q782" s="1290"/>
      <c r="R782" s="1290"/>
      <c r="S782" s="933"/>
      <c r="T782" s="1220"/>
      <c r="U782" s="932"/>
      <c r="V782" s="1220"/>
      <c r="W782" s="996"/>
      <c r="X782" s="996"/>
      <c r="Y782" s="1220"/>
      <c r="Z782" s="1290"/>
      <c r="AA782" s="933"/>
      <c r="AB782" s="933"/>
      <c r="AC782" s="933"/>
      <c r="AD782" s="933"/>
    </row>
    <row r="783" customFormat="false" ht="15.75" hidden="false" customHeight="true" outlineLevel="1" collapsed="false">
      <c r="A783" s="1349" t="s">
        <v>3104</v>
      </c>
      <c r="B783" s="1299" t="s">
        <v>156</v>
      </c>
      <c r="C783" s="1346" t="n">
        <f aca="false">$C$143</f>
        <v>0.15</v>
      </c>
      <c r="D783" s="1347" t="n">
        <f aca="false">$J$620</f>
        <v>0.05</v>
      </c>
      <c r="E783" s="1300" t="n">
        <f aca="false">IF(E782=0,0,IF('Ввод данных'!$A$6=связи1!$A$95,IF(E782&lt;=0,0,E782-дома!$K$633),0)+IF('Ввод данных'!$A$6=связи1!$A$96,IF(E782&lt;связи1!$K$207,0,E782-$K$633),0)+IF('Ввод данных'!$A$6=связи1!$A$98,IF(E782&lt;связи1!$K$207,0,E782-$K$633),0))</f>
        <v>0</v>
      </c>
      <c r="F783" s="1300" t="n">
        <f aca="false">2*IF('Ввод данных'!$C$155=связи1!$A$2,1,0)*IF('Ввод данных'!$F$194=связи1!$A$2,1,0)</f>
        <v>0</v>
      </c>
      <c r="G783" s="1301" t="n">
        <f aca="false">C783*D783*E783*F783</f>
        <v>0</v>
      </c>
      <c r="H783" s="1301"/>
      <c r="I783" s="933"/>
      <c r="J783" s="933"/>
      <c r="K783" s="933"/>
      <c r="L783" s="933"/>
      <c r="M783" s="933"/>
      <c r="N783" s="933"/>
      <c r="O783" s="1220"/>
      <c r="P783" s="1290"/>
      <c r="Q783" s="1290"/>
      <c r="R783" s="1290"/>
      <c r="S783" s="933"/>
      <c r="T783" s="1220"/>
      <c r="U783" s="932"/>
      <c r="V783" s="1220"/>
      <c r="W783" s="996"/>
      <c r="X783" s="996"/>
      <c r="Y783" s="1220"/>
      <c r="Z783" s="1290"/>
      <c r="AA783" s="933"/>
      <c r="AB783" s="933"/>
      <c r="AC783" s="933"/>
      <c r="AD783" s="933"/>
    </row>
    <row r="784" customFormat="false" ht="15.75" hidden="false" customHeight="true" outlineLevel="1" collapsed="false">
      <c r="A784" s="1349" t="s">
        <v>3105</v>
      </c>
      <c r="B784" s="1299" t="s">
        <v>156</v>
      </c>
      <c r="C784" s="1346" t="n">
        <f aca="false">$C$143</f>
        <v>0.15</v>
      </c>
      <c r="D784" s="1347" t="n">
        <f aca="false">$J$620</f>
        <v>0.05</v>
      </c>
      <c r="E784" s="1300" t="n">
        <f aca="false">IF(E783=0,0,IF('Ввод данных'!$A$6=связи1!$A$95,IF(E783&lt;=0,0,E783-дома!$K$633),0)+IF('Ввод данных'!$A$6=связи1!$A$96,IF(E783&lt;связи1!$K$207,0,E783-$K$633),0)+IF('Ввод данных'!$A$6=связи1!$A$98,IF(E783&lt;связи1!$K$207,0,E783-$K$633),0))</f>
        <v>0</v>
      </c>
      <c r="F784" s="1300" t="n">
        <f aca="false">2*IF('Ввод данных'!$C$155=связи1!$A$2,1,0)*IF('Ввод данных'!$F$194=связи1!$A$2,1,0)</f>
        <v>0</v>
      </c>
      <c r="G784" s="1301" t="n">
        <f aca="false">C784*D784*E784*F784</f>
        <v>0</v>
      </c>
      <c r="H784" s="1301"/>
      <c r="I784" s="933"/>
      <c r="J784" s="933"/>
      <c r="K784" s="933"/>
      <c r="L784" s="933"/>
      <c r="M784" s="933"/>
      <c r="N784" s="933"/>
      <c r="O784" s="1220"/>
      <c r="P784" s="1290"/>
      <c r="Q784" s="1290"/>
      <c r="R784" s="1290"/>
      <c r="S784" s="933"/>
      <c r="T784" s="1220"/>
      <c r="U784" s="932"/>
      <c r="V784" s="1220"/>
      <c r="W784" s="996"/>
      <c r="X784" s="996"/>
      <c r="Y784" s="1220"/>
      <c r="Z784" s="1290"/>
      <c r="AA784" s="933"/>
      <c r="AB784" s="933"/>
      <c r="AC784" s="933"/>
      <c r="AD784" s="933"/>
    </row>
    <row r="785" customFormat="false" ht="15.75" hidden="false" customHeight="true" outlineLevel="1" collapsed="false">
      <c r="A785" s="1349" t="s">
        <v>3106</v>
      </c>
      <c r="B785" s="1299" t="s">
        <v>156</v>
      </c>
      <c r="C785" s="1346" t="n">
        <f aca="false">$C$143</f>
        <v>0.15</v>
      </c>
      <c r="D785" s="1347" t="n">
        <f aca="false">$J$620</f>
        <v>0.05</v>
      </c>
      <c r="E785" s="1300" t="n">
        <f aca="false">IF(E784=0,0,IF('Ввод данных'!$A$6=связи1!$A$95,IF(E784&lt;=0,0,E784-дома!$K$633),0)+IF('Ввод данных'!$A$6=связи1!$A$96,IF(E784&lt;связи1!$K$207,0,E784-$K$633),0)+IF('Ввод данных'!$A$6=связи1!$A$98,IF(E784&lt;связи1!$K$207,0,E784-$K$633),0))</f>
        <v>0</v>
      </c>
      <c r="F785" s="1300" t="n">
        <f aca="false">2*IF('Ввод данных'!$C$155=связи1!$A$2,1,0)*IF('Ввод данных'!$F$194=связи1!$A$2,1,0)</f>
        <v>0</v>
      </c>
      <c r="G785" s="1301" t="n">
        <f aca="false">C785*D785*E785*F785</f>
        <v>0</v>
      </c>
      <c r="H785" s="1301"/>
      <c r="I785" s="933"/>
      <c r="J785" s="933"/>
      <c r="K785" s="933"/>
      <c r="L785" s="933"/>
      <c r="M785" s="933"/>
      <c r="N785" s="933"/>
      <c r="O785" s="1220"/>
      <c r="P785" s="1290"/>
      <c r="Q785" s="1290"/>
      <c r="R785" s="1290"/>
      <c r="S785" s="933"/>
      <c r="T785" s="1220"/>
      <c r="U785" s="932"/>
      <c r="V785" s="1220"/>
      <c r="W785" s="996"/>
      <c r="X785" s="996"/>
      <c r="Y785" s="1220"/>
      <c r="Z785" s="1290"/>
      <c r="AA785" s="933"/>
      <c r="AB785" s="933"/>
      <c r="AC785" s="933"/>
      <c r="AD785" s="933"/>
    </row>
    <row r="786" customFormat="false" ht="15.75" hidden="false" customHeight="true" outlineLevel="1" collapsed="false">
      <c r="A786" s="1349" t="s">
        <v>3107</v>
      </c>
      <c r="B786" s="1299" t="s">
        <v>156</v>
      </c>
      <c r="C786" s="1346" t="n">
        <f aca="false">$C$143</f>
        <v>0.15</v>
      </c>
      <c r="D786" s="1347" t="n">
        <f aca="false">$J$620</f>
        <v>0.05</v>
      </c>
      <c r="E786" s="1300" t="n">
        <f aca="false">IF(E785=0,0,IF('Ввод данных'!$A$6=связи1!$A$95,IF(E785&lt;=0,0,E785-дома!$K$633),0)+IF('Ввод данных'!$A$6=связи1!$A$96,IF(E785&lt;связи1!$K$207,0,E785-$K$633),0)+IF('Ввод данных'!$A$6=связи1!$A$98,IF(E785&lt;связи1!$K$207,0,E785-$K$633),0))</f>
        <v>0</v>
      </c>
      <c r="F786" s="1300" t="n">
        <f aca="false">2*IF('Ввод данных'!$C$155=связи1!$A$2,1,0)*IF('Ввод данных'!$F$194=связи1!$A$2,1,0)</f>
        <v>0</v>
      </c>
      <c r="G786" s="1301" t="n">
        <f aca="false">C786*D786*E786*F786</f>
        <v>0</v>
      </c>
      <c r="H786" s="1301"/>
      <c r="I786" s="933"/>
      <c r="J786" s="933"/>
      <c r="K786" s="933"/>
      <c r="L786" s="933"/>
      <c r="M786" s="933"/>
      <c r="N786" s="933"/>
      <c r="O786" s="1220"/>
      <c r="P786" s="1290"/>
      <c r="Q786" s="1290"/>
      <c r="R786" s="1290"/>
      <c r="S786" s="933"/>
      <c r="T786" s="1220"/>
      <c r="U786" s="932"/>
      <c r="V786" s="1220"/>
      <c r="W786" s="996"/>
      <c r="X786" s="996"/>
      <c r="Y786" s="1220"/>
      <c r="Z786" s="1290"/>
      <c r="AA786" s="933"/>
      <c r="AB786" s="933"/>
      <c r="AC786" s="933"/>
      <c r="AD786" s="933"/>
    </row>
    <row r="787" customFormat="false" ht="15.75" hidden="false" customHeight="true" outlineLevel="1" collapsed="false">
      <c r="A787" s="1349" t="s">
        <v>3108</v>
      </c>
      <c r="B787" s="1299" t="s">
        <v>156</v>
      </c>
      <c r="C787" s="1346" t="n">
        <f aca="false">$C$143</f>
        <v>0.15</v>
      </c>
      <c r="D787" s="1347" t="n">
        <f aca="false">$J$620</f>
        <v>0.05</v>
      </c>
      <c r="E787" s="1300" t="n">
        <f aca="false">IF(E786=0,0,IF('Ввод данных'!$A$6=связи1!$A$95,IF(E786&lt;=0,0,E786-дома!$K$633),0)+IF('Ввод данных'!$A$6=связи1!$A$96,IF(E786&lt;связи1!$K$207,0,E786-$K$633),0)+IF('Ввод данных'!$A$6=связи1!$A$98,IF(E786&lt;связи1!$K$207,0,E786-$K$633),0))</f>
        <v>0</v>
      </c>
      <c r="F787" s="1300" t="n">
        <f aca="false">2*IF('Ввод данных'!$C$155=связи1!$A$2,1,0)*IF('Ввод данных'!$F$194=связи1!$A$2,1,0)</f>
        <v>0</v>
      </c>
      <c r="G787" s="1301" t="n">
        <f aca="false">C787*D787*E787*F787</f>
        <v>0</v>
      </c>
      <c r="H787" s="1301"/>
      <c r="I787" s="933"/>
      <c r="J787" s="933"/>
      <c r="K787" s="933"/>
      <c r="L787" s="933"/>
      <c r="M787" s="933"/>
      <c r="N787" s="933"/>
      <c r="O787" s="1220"/>
      <c r="P787" s="1290"/>
      <c r="Q787" s="1290"/>
      <c r="R787" s="1290"/>
      <c r="S787" s="933"/>
      <c r="T787" s="1220"/>
      <c r="U787" s="932"/>
      <c r="V787" s="1220"/>
      <c r="W787" s="996"/>
      <c r="X787" s="996"/>
      <c r="Y787" s="1220"/>
      <c r="Z787" s="1290"/>
      <c r="AA787" s="933"/>
      <c r="AB787" s="933"/>
      <c r="AC787" s="933"/>
      <c r="AD787" s="933"/>
    </row>
    <row r="788" customFormat="false" ht="15.75" hidden="false" customHeight="true" outlineLevel="1" collapsed="false">
      <c r="A788" s="1349" t="s">
        <v>3109</v>
      </c>
      <c r="B788" s="1299" t="s">
        <v>156</v>
      </c>
      <c r="C788" s="1346" t="n">
        <f aca="false">$C$143</f>
        <v>0.15</v>
      </c>
      <c r="D788" s="1347" t="n">
        <f aca="false">$J$620</f>
        <v>0.05</v>
      </c>
      <c r="E788" s="1300" t="n">
        <f aca="false">IF(E787=0,0,IF('Ввод данных'!$A$6=связи1!$A$95,IF(E787&lt;=0,0,E787-дома!$K$633),0)+IF('Ввод данных'!$A$6=связи1!$A$96,IF(E787&lt;связи1!$K$207,0,E787-$K$633),0)+IF('Ввод данных'!$A$6=связи1!$A$98,IF(E787&lt;связи1!$K$207,0,E787-$K$633),0))</f>
        <v>0</v>
      </c>
      <c r="F788" s="1300" t="n">
        <f aca="false">2*IF('Ввод данных'!$C$155=связи1!$A$2,1,0)*IF('Ввод данных'!$F$194=связи1!$A$2,1,0)</f>
        <v>0</v>
      </c>
      <c r="G788" s="1301" t="n">
        <f aca="false">C788*D788*E788*F788</f>
        <v>0</v>
      </c>
      <c r="H788" s="1301"/>
      <c r="I788" s="933"/>
      <c r="J788" s="933"/>
      <c r="K788" s="933"/>
      <c r="L788" s="933"/>
      <c r="M788" s="933"/>
      <c r="N788" s="933"/>
      <c r="O788" s="1220"/>
      <c r="P788" s="1290"/>
      <c r="Q788" s="1290"/>
      <c r="R788" s="1290"/>
      <c r="S788" s="933"/>
      <c r="T788" s="1220"/>
      <c r="U788" s="932"/>
      <c r="V788" s="1220"/>
      <c r="W788" s="996"/>
      <c r="X788" s="996"/>
      <c r="Y788" s="1220"/>
      <c r="Z788" s="1290"/>
      <c r="AA788" s="933"/>
      <c r="AB788" s="933"/>
      <c r="AC788" s="933"/>
      <c r="AD788" s="933"/>
    </row>
    <row r="789" customFormat="false" ht="15.75" hidden="false" customHeight="true" outlineLevel="1" collapsed="false">
      <c r="A789" s="1349" t="s">
        <v>3110</v>
      </c>
      <c r="B789" s="1299" t="s">
        <v>156</v>
      </c>
      <c r="C789" s="1346" t="n">
        <f aca="false">$C$143</f>
        <v>0.15</v>
      </c>
      <c r="D789" s="1347" t="n">
        <f aca="false">$J$620</f>
        <v>0.05</v>
      </c>
      <c r="E789" s="1300" t="n">
        <f aca="false">IF(E788=0,0,IF('Ввод данных'!$A$6=связи1!$A$95,IF(E788&lt;=0,0,E788-дома!$K$633),0)+IF('Ввод данных'!$A$6=связи1!$A$96,IF(E788&lt;связи1!$K$207,0,E788-$K$633),0)+IF('Ввод данных'!$A$6=связи1!$A$98,IF(E788&lt;связи1!$K$207,0,E788-$K$633),0))</f>
        <v>0</v>
      </c>
      <c r="F789" s="1300" t="n">
        <f aca="false">2*IF('Ввод данных'!$C$155=связи1!$A$2,1,0)*IF('Ввод данных'!$F$194=связи1!$A$2,1,0)</f>
        <v>0</v>
      </c>
      <c r="G789" s="1301" t="n">
        <f aca="false">C789*D789*E789*F789</f>
        <v>0</v>
      </c>
      <c r="H789" s="1301"/>
      <c r="I789" s="933"/>
      <c r="J789" s="933"/>
      <c r="K789" s="933"/>
      <c r="L789" s="933"/>
      <c r="M789" s="933"/>
      <c r="N789" s="933"/>
      <c r="O789" s="1220"/>
      <c r="P789" s="1290"/>
      <c r="Q789" s="1290"/>
      <c r="R789" s="1290"/>
      <c r="S789" s="933"/>
      <c r="T789" s="1220"/>
      <c r="U789" s="932"/>
      <c r="V789" s="1220"/>
      <c r="W789" s="996"/>
      <c r="X789" s="996"/>
      <c r="Y789" s="1220"/>
      <c r="Z789" s="1290"/>
      <c r="AA789" s="933"/>
      <c r="AB789" s="933"/>
      <c r="AC789" s="933"/>
      <c r="AD789" s="933"/>
    </row>
    <row r="790" customFormat="false" ht="15.75" hidden="false" customHeight="true" outlineLevel="1" collapsed="false">
      <c r="A790" s="1349" t="s">
        <v>3111</v>
      </c>
      <c r="B790" s="1299" t="s">
        <v>156</v>
      </c>
      <c r="C790" s="1346" t="n">
        <f aca="false">$C$143</f>
        <v>0.15</v>
      </c>
      <c r="D790" s="1347" t="n">
        <f aca="false">$J$620</f>
        <v>0.05</v>
      </c>
      <c r="E790" s="1300" t="n">
        <f aca="false">IF(E789=0,0,IF('Ввод данных'!$A$6=связи1!$A$95,IF(E789&lt;=0,0,E789-дома!$K$633),0)+IF('Ввод данных'!$A$6=связи1!$A$96,IF(E789&lt;связи1!$K$207,0,E789-$K$633),0)+IF('Ввод данных'!$A$6=связи1!$A$98,IF(E789&lt;связи1!$K$207,0,E789-$K$633),0))</f>
        <v>0</v>
      </c>
      <c r="F790" s="1300" t="n">
        <f aca="false">2*IF('Ввод данных'!$C$155=связи1!$A$2,1,0)*IF('Ввод данных'!$F$194=связи1!$A$2,1,0)</f>
        <v>0</v>
      </c>
      <c r="G790" s="1301" t="n">
        <f aca="false">C790*D790*E790*F790</f>
        <v>0</v>
      </c>
      <c r="H790" s="1301"/>
      <c r="I790" s="933"/>
      <c r="J790" s="933"/>
      <c r="K790" s="933"/>
      <c r="L790" s="933"/>
      <c r="M790" s="933"/>
      <c r="N790" s="933"/>
      <c r="O790" s="1220"/>
      <c r="P790" s="1290"/>
      <c r="Q790" s="1290"/>
      <c r="R790" s="1290"/>
      <c r="S790" s="933"/>
      <c r="T790" s="1220"/>
      <c r="U790" s="932"/>
      <c r="V790" s="1220"/>
      <c r="W790" s="996"/>
      <c r="X790" s="996"/>
      <c r="Y790" s="1220"/>
      <c r="Z790" s="1290"/>
      <c r="AA790" s="933"/>
      <c r="AB790" s="933"/>
      <c r="AC790" s="933"/>
      <c r="AD790" s="933"/>
    </row>
    <row r="791" customFormat="false" ht="15.75" hidden="false" customHeight="true" outlineLevel="1" collapsed="false">
      <c r="A791" s="1349" t="s">
        <v>3112</v>
      </c>
      <c r="B791" s="1299" t="s">
        <v>156</v>
      </c>
      <c r="C791" s="1346" t="n">
        <f aca="false">$C$143</f>
        <v>0.15</v>
      </c>
      <c r="D791" s="1347" t="n">
        <f aca="false">$J$620</f>
        <v>0.05</v>
      </c>
      <c r="E791" s="1300" t="n">
        <f aca="false">IF(E790=0,0,IF('Ввод данных'!$A$6=связи1!$A$95,IF(E790&lt;=0,0,E790-дома!$K$633),0)+IF('Ввод данных'!$A$6=связи1!$A$96,IF(E790&lt;связи1!$K$207,0,E790-$K$633),0)+IF('Ввод данных'!$A$6=связи1!$A$98,IF(E790&lt;связи1!$K$207,0,E790-$K$633),0))</f>
        <v>0</v>
      </c>
      <c r="F791" s="1300" t="n">
        <f aca="false">2*IF('Ввод данных'!$C$155=связи1!$A$2,1,0)*IF('Ввод данных'!$F$194=связи1!$A$2,1,0)</f>
        <v>0</v>
      </c>
      <c r="G791" s="1301" t="n">
        <f aca="false">C791*D791*E791*F791</f>
        <v>0</v>
      </c>
      <c r="H791" s="1301"/>
      <c r="I791" s="933"/>
      <c r="J791" s="933"/>
      <c r="K791" s="933"/>
      <c r="L791" s="933"/>
      <c r="M791" s="933"/>
      <c r="N791" s="933"/>
      <c r="O791" s="1220"/>
      <c r="P791" s="1290"/>
      <c r="Q791" s="1290"/>
      <c r="R791" s="1290"/>
      <c r="S791" s="933"/>
      <c r="T791" s="1220"/>
      <c r="U791" s="932"/>
      <c r="V791" s="1220"/>
      <c r="W791" s="996"/>
      <c r="X791" s="996"/>
      <c r="Y791" s="1220"/>
      <c r="Z791" s="1290"/>
      <c r="AA791" s="933"/>
      <c r="AB791" s="933"/>
      <c r="AC791" s="933"/>
      <c r="AD791" s="933"/>
    </row>
    <row r="792" customFormat="false" ht="15.75" hidden="false" customHeight="true" outlineLevel="1" collapsed="false">
      <c r="A792" s="1349" t="s">
        <v>3113</v>
      </c>
      <c r="B792" s="1299" t="s">
        <v>156</v>
      </c>
      <c r="C792" s="1346" t="n">
        <f aca="false">$C$143</f>
        <v>0.15</v>
      </c>
      <c r="D792" s="1347" t="n">
        <f aca="false">$J$620</f>
        <v>0.05</v>
      </c>
      <c r="E792" s="1300" t="n">
        <f aca="false">IF(E791=0,0,IF('Ввод данных'!$A$6=связи1!$A$95,IF(E791&lt;=0,0,E791-дома!$K$633),0)+IF('Ввод данных'!$A$6=связи1!$A$96,IF(E791&lt;связи1!$K$207,0,E791-$K$633),0)+IF('Ввод данных'!$A$6=связи1!$A$98,IF(E791&lt;связи1!$K$207,0,E791-$K$633),0))</f>
        <v>0</v>
      </c>
      <c r="F792" s="1300" t="n">
        <f aca="false">2*IF('Ввод данных'!$C$155=связи1!$A$2,1,0)*IF('Ввод данных'!$F$194=связи1!$A$2,1,0)</f>
        <v>0</v>
      </c>
      <c r="G792" s="1301" t="n">
        <f aca="false">C792*D792*E792*F792</f>
        <v>0</v>
      </c>
      <c r="H792" s="1301"/>
      <c r="I792" s="933"/>
      <c r="J792" s="933"/>
      <c r="K792" s="933"/>
      <c r="L792" s="933"/>
      <c r="M792" s="933"/>
      <c r="N792" s="933"/>
      <c r="O792" s="1220"/>
      <c r="P792" s="1290"/>
      <c r="Q792" s="1290"/>
      <c r="R792" s="1290"/>
      <c r="S792" s="933"/>
      <c r="T792" s="1220"/>
      <c r="U792" s="932"/>
      <c r="V792" s="1220"/>
      <c r="W792" s="996"/>
      <c r="X792" s="996"/>
      <c r="Y792" s="1220"/>
      <c r="Z792" s="1290"/>
      <c r="AA792" s="933"/>
      <c r="AB792" s="933"/>
      <c r="AC792" s="933"/>
      <c r="AD792" s="933"/>
    </row>
    <row r="793" customFormat="false" ht="15.75" hidden="false" customHeight="true" outlineLevel="1" collapsed="false">
      <c r="A793" s="1349" t="s">
        <v>3114</v>
      </c>
      <c r="B793" s="1299" t="s">
        <v>156</v>
      </c>
      <c r="C793" s="1346" t="n">
        <f aca="false">$C$143</f>
        <v>0.15</v>
      </c>
      <c r="D793" s="1347" t="n">
        <f aca="false">$J$620</f>
        <v>0.05</v>
      </c>
      <c r="E793" s="1300" t="n">
        <f aca="false">IF(E792=0,0,IF('Ввод данных'!$A$6=связи1!$A$95,IF(E792&lt;=0,0,E792-дома!$K$633),0)+IF('Ввод данных'!$A$6=связи1!$A$96,IF(E792&lt;связи1!$K$207,0,E792-$K$633),0)+IF('Ввод данных'!$A$6=связи1!$A$98,IF(E792&lt;связи1!$K$207,0,E792-$K$633),0))</f>
        <v>0</v>
      </c>
      <c r="F793" s="1300" t="n">
        <f aca="false">2*IF('Ввод данных'!$C$155=связи1!$A$2,1,0)*IF('Ввод данных'!$F$194=связи1!$A$2,1,0)</f>
        <v>0</v>
      </c>
      <c r="G793" s="1301" t="n">
        <f aca="false">C793*D793*E793*F793</f>
        <v>0</v>
      </c>
      <c r="H793" s="1301"/>
      <c r="I793" s="933"/>
      <c r="J793" s="933"/>
      <c r="K793" s="933"/>
      <c r="L793" s="933"/>
      <c r="M793" s="933"/>
      <c r="N793" s="933"/>
      <c r="O793" s="1220"/>
      <c r="P793" s="1290"/>
      <c r="Q793" s="1290"/>
      <c r="R793" s="1290"/>
      <c r="S793" s="933"/>
      <c r="T793" s="1220"/>
      <c r="U793" s="932"/>
      <c r="V793" s="1220"/>
      <c r="W793" s="996"/>
      <c r="X793" s="996"/>
      <c r="Y793" s="1220"/>
      <c r="Z793" s="1290"/>
      <c r="AA793" s="933"/>
      <c r="AB793" s="933"/>
      <c r="AC793" s="933"/>
      <c r="AD793" s="933"/>
    </row>
    <row r="794" customFormat="false" ht="15.75" hidden="false" customHeight="true" outlineLevel="1" collapsed="false">
      <c r="A794" s="1349" t="s">
        <v>3115</v>
      </c>
      <c r="B794" s="1299" t="s">
        <v>156</v>
      </c>
      <c r="C794" s="1346" t="n">
        <f aca="false">$C$143</f>
        <v>0.15</v>
      </c>
      <c r="D794" s="1347" t="n">
        <f aca="false">$J$620</f>
        <v>0.05</v>
      </c>
      <c r="E794" s="1300" t="n">
        <f aca="false">IF(E793=0,0,IF('Ввод данных'!$A$6=связи1!$A$95,IF(E793&lt;=0,0,E793-дома!$K$633),0)+IF('Ввод данных'!$A$6=связи1!$A$96,IF(E793&lt;связи1!$K$207,0,E793-$K$633),0)+IF('Ввод данных'!$A$6=связи1!$A$98,IF(E793&lt;связи1!$K$207,0,E793-$K$633),0))</f>
        <v>0</v>
      </c>
      <c r="F794" s="1300" t="n">
        <f aca="false">2*IF('Ввод данных'!$C$155=связи1!$A$2,1,0)*IF('Ввод данных'!$F$194=связи1!$A$2,1,0)</f>
        <v>0</v>
      </c>
      <c r="G794" s="1301" t="n">
        <f aca="false">C794*D794*E794*F794</f>
        <v>0</v>
      </c>
      <c r="H794" s="1301"/>
      <c r="I794" s="933"/>
      <c r="J794" s="933"/>
      <c r="K794" s="933"/>
      <c r="L794" s="933"/>
      <c r="M794" s="933"/>
      <c r="N794" s="933"/>
      <c r="O794" s="1220"/>
      <c r="P794" s="1290"/>
      <c r="Q794" s="1290"/>
      <c r="R794" s="1290"/>
      <c r="S794" s="933"/>
      <c r="T794" s="1220"/>
      <c r="U794" s="932"/>
      <c r="V794" s="1220"/>
      <c r="W794" s="996"/>
      <c r="X794" s="996"/>
      <c r="Y794" s="1220"/>
      <c r="Z794" s="1290"/>
      <c r="AA794" s="933"/>
      <c r="AB794" s="933"/>
      <c r="AC794" s="933"/>
      <c r="AD794" s="933"/>
    </row>
    <row r="795" customFormat="false" ht="15.75" hidden="false" customHeight="true" outlineLevel="1" collapsed="false">
      <c r="A795" s="1349" t="s">
        <v>3116</v>
      </c>
      <c r="B795" s="1299" t="s">
        <v>156</v>
      </c>
      <c r="C795" s="1346" t="n">
        <f aca="false">$C$143</f>
        <v>0.15</v>
      </c>
      <c r="D795" s="1347" t="n">
        <f aca="false">$J$620</f>
        <v>0.05</v>
      </c>
      <c r="E795" s="1300" t="n">
        <f aca="false">IF(E794=0,0,IF('Ввод данных'!$A$6=связи1!$A$95,IF(E794&lt;=0,0,E794-дома!$K$633),0)+IF('Ввод данных'!$A$6=связи1!$A$96,IF(E794&lt;связи1!$K$207,0,E794-$K$633),0)+IF('Ввод данных'!$A$6=связи1!$A$98,IF(E794&lt;связи1!$K$207,0,E794-$K$633),0))</f>
        <v>0</v>
      </c>
      <c r="F795" s="1300" t="n">
        <f aca="false">2*IF('Ввод данных'!$C$155=связи1!$A$2,1,0)*IF('Ввод данных'!$F$194=связи1!$A$2,1,0)</f>
        <v>0</v>
      </c>
      <c r="G795" s="1301" t="n">
        <f aca="false">C795*D795*E795*F795</f>
        <v>0</v>
      </c>
      <c r="H795" s="1301"/>
      <c r="I795" s="933"/>
      <c r="J795" s="933"/>
      <c r="K795" s="933"/>
      <c r="L795" s="933"/>
      <c r="M795" s="933"/>
      <c r="N795" s="933"/>
      <c r="O795" s="1220"/>
      <c r="P795" s="1290"/>
      <c r="Q795" s="1290"/>
      <c r="R795" s="1290"/>
      <c r="S795" s="933"/>
      <c r="T795" s="1220"/>
      <c r="U795" s="932"/>
      <c r="V795" s="1220"/>
      <c r="W795" s="996"/>
      <c r="X795" s="996"/>
      <c r="Y795" s="1220"/>
      <c r="Z795" s="1290"/>
      <c r="AA795" s="933"/>
      <c r="AB795" s="933"/>
      <c r="AC795" s="933"/>
      <c r="AD795" s="933"/>
    </row>
    <row r="796" customFormat="false" ht="15.75" hidden="false" customHeight="true" outlineLevel="1" collapsed="false">
      <c r="A796" s="1349" t="s">
        <v>3117</v>
      </c>
      <c r="B796" s="1299" t="s">
        <v>156</v>
      </c>
      <c r="C796" s="1346" t="n">
        <f aca="false">$C$143</f>
        <v>0.15</v>
      </c>
      <c r="D796" s="1347" t="n">
        <f aca="false">$J$620</f>
        <v>0.05</v>
      </c>
      <c r="E796" s="1300" t="n">
        <f aca="false">IF(E795=0,0,IF('Ввод данных'!$A$6=связи1!$A$95,IF(E795&lt;=0,0,E795-дома!$K$633),0)+IF('Ввод данных'!$A$6=связи1!$A$96,IF(E795&lt;связи1!$K$207,0,E795-$K$633),0)+IF('Ввод данных'!$A$6=связи1!$A$98,IF(E795&lt;связи1!$K$207,0,E795-$K$633),0))</f>
        <v>0</v>
      </c>
      <c r="F796" s="1300" t="n">
        <f aca="false">2*IF('Ввод данных'!$C$155=связи1!$A$2,1,0)*IF('Ввод данных'!$F$194=связи1!$A$2,1,0)</f>
        <v>0</v>
      </c>
      <c r="G796" s="1301" t="n">
        <f aca="false">C796*D796*E796*F796</f>
        <v>0</v>
      </c>
      <c r="H796" s="1301"/>
      <c r="I796" s="933"/>
      <c r="J796" s="933"/>
      <c r="K796" s="933"/>
      <c r="L796" s="933"/>
      <c r="M796" s="933"/>
      <c r="N796" s="933"/>
      <c r="O796" s="1220"/>
      <c r="P796" s="1290"/>
      <c r="Q796" s="1290"/>
      <c r="R796" s="1290"/>
      <c r="S796" s="933"/>
      <c r="T796" s="1220"/>
      <c r="U796" s="932"/>
      <c r="V796" s="1220"/>
      <c r="W796" s="996"/>
      <c r="X796" s="996"/>
      <c r="Y796" s="1220"/>
      <c r="Z796" s="1290"/>
      <c r="AA796" s="933"/>
      <c r="AB796" s="933"/>
      <c r="AC796" s="933"/>
      <c r="AD796" s="933"/>
    </row>
    <row r="797" customFormat="false" ht="15.75" hidden="false" customHeight="true" outlineLevel="1" collapsed="false">
      <c r="A797" s="1349" t="s">
        <v>3118</v>
      </c>
      <c r="B797" s="1299" t="s">
        <v>156</v>
      </c>
      <c r="C797" s="1346" t="n">
        <f aca="false">$C$143</f>
        <v>0.15</v>
      </c>
      <c r="D797" s="1347" t="n">
        <f aca="false">$J$620</f>
        <v>0.05</v>
      </c>
      <c r="E797" s="1300" t="n">
        <f aca="false">IF(E796=0,0,IF('Ввод данных'!$A$6=связи1!$A$95,IF(E796&lt;=0,0,E796-дома!$K$633),0)+IF('Ввод данных'!$A$6=связи1!$A$96,IF(E796&lt;связи1!$K$207,0,E796-$K$633),0)+IF('Ввод данных'!$A$6=связи1!$A$98,IF(E796&lt;связи1!$K$207,0,E796-$K$633),0))</f>
        <v>0</v>
      </c>
      <c r="F797" s="1300" t="n">
        <f aca="false">2*IF('Ввод данных'!$C$155=связи1!$A$2,1,0)*IF('Ввод данных'!$F$194=связи1!$A$2,1,0)</f>
        <v>0</v>
      </c>
      <c r="G797" s="1301" t="n">
        <f aca="false">C797*D797*E797*F797</f>
        <v>0</v>
      </c>
      <c r="H797" s="1301"/>
      <c r="I797" s="933"/>
      <c r="J797" s="933"/>
      <c r="K797" s="933"/>
      <c r="L797" s="933"/>
      <c r="M797" s="933"/>
      <c r="N797" s="933"/>
      <c r="O797" s="1220"/>
      <c r="P797" s="1290"/>
      <c r="Q797" s="1290"/>
      <c r="R797" s="1290"/>
      <c r="S797" s="933"/>
      <c r="T797" s="1220"/>
      <c r="U797" s="932"/>
      <c r="V797" s="1220"/>
      <c r="W797" s="996"/>
      <c r="X797" s="996"/>
      <c r="Y797" s="1220"/>
      <c r="Z797" s="1290"/>
      <c r="AA797" s="933"/>
      <c r="AB797" s="933"/>
      <c r="AC797" s="933"/>
      <c r="AD797" s="933"/>
    </row>
    <row r="798" customFormat="false" ht="15.75" hidden="false" customHeight="true" outlineLevel="1" collapsed="false">
      <c r="A798" s="1349" t="s">
        <v>3119</v>
      </c>
      <c r="B798" s="1299" t="s">
        <v>156</v>
      </c>
      <c r="C798" s="1346" t="n">
        <f aca="false">$C$143</f>
        <v>0.15</v>
      </c>
      <c r="D798" s="1347" t="n">
        <f aca="false">$J$620</f>
        <v>0.05</v>
      </c>
      <c r="E798" s="1300" t="n">
        <f aca="false">IF(E797=0,0,IF('Ввод данных'!$A$6=связи1!$A$95,IF(E797&lt;=0,0,E797-дома!$K$633),0)+IF('Ввод данных'!$A$6=связи1!$A$96,IF(E797&lt;связи1!$K$207,0,E797-$K$633),0)+IF('Ввод данных'!$A$6=связи1!$A$98,IF(E797&lt;связи1!$K$207,0,E797-$K$633),0))</f>
        <v>0</v>
      </c>
      <c r="F798" s="1300" t="n">
        <f aca="false">2*IF('Ввод данных'!$C$155=связи1!$A$2,1,0)*IF('Ввод данных'!$F$194=связи1!$A$2,1,0)</f>
        <v>0</v>
      </c>
      <c r="G798" s="1301" t="n">
        <f aca="false">C798*D798*E798*F798</f>
        <v>0</v>
      </c>
      <c r="H798" s="1301"/>
      <c r="I798" s="933"/>
      <c r="J798" s="933"/>
      <c r="K798" s="933"/>
      <c r="L798" s="933"/>
      <c r="M798" s="933"/>
      <c r="N798" s="933"/>
      <c r="O798" s="1220"/>
      <c r="P798" s="1290"/>
      <c r="Q798" s="1290"/>
      <c r="R798" s="1290"/>
      <c r="S798" s="933"/>
      <c r="T798" s="1220"/>
      <c r="U798" s="932"/>
      <c r="V798" s="1220"/>
      <c r="W798" s="996"/>
      <c r="X798" s="996"/>
      <c r="Y798" s="1220"/>
      <c r="Z798" s="1290"/>
      <c r="AA798" s="933"/>
      <c r="AB798" s="933"/>
      <c r="AC798" s="933"/>
      <c r="AD798" s="933"/>
    </row>
    <row r="799" customFormat="false" ht="15.75" hidden="false" customHeight="true" outlineLevel="1" collapsed="false">
      <c r="A799" s="1349" t="s">
        <v>3120</v>
      </c>
      <c r="B799" s="1299" t="s">
        <v>156</v>
      </c>
      <c r="C799" s="1346" t="n">
        <f aca="false">$C$143</f>
        <v>0.15</v>
      </c>
      <c r="D799" s="1347" t="n">
        <f aca="false">$J$620</f>
        <v>0.05</v>
      </c>
      <c r="E799" s="1300" t="n">
        <f aca="false">IF(E798=0,0,IF('Ввод данных'!$A$6=связи1!$A$95,IF(E798&lt;=0,0,E798-дома!$K$633),0)+IF('Ввод данных'!$A$6=связи1!$A$96,IF(E798&lt;связи1!$K$207,0,E798-$K$633),0)+IF('Ввод данных'!$A$6=связи1!$A$98,IF(E798&lt;связи1!$K$207,0,E798-$K$633),0))</f>
        <v>0</v>
      </c>
      <c r="F799" s="1300" t="n">
        <f aca="false">2*IF('Ввод данных'!$C$155=связи1!$A$2,1,0)*IF('Ввод данных'!$F$194=связи1!$A$2,1,0)</f>
        <v>0</v>
      </c>
      <c r="G799" s="1301" t="n">
        <f aca="false">C799*D799*E799*F799</f>
        <v>0</v>
      </c>
      <c r="H799" s="1301"/>
      <c r="I799" s="933"/>
      <c r="J799" s="933"/>
      <c r="K799" s="933"/>
      <c r="L799" s="933"/>
      <c r="M799" s="933"/>
      <c r="N799" s="933"/>
      <c r="O799" s="1220"/>
      <c r="P799" s="1290"/>
      <c r="Q799" s="1290"/>
      <c r="R799" s="1290"/>
      <c r="S799" s="933"/>
      <c r="T799" s="1220"/>
      <c r="U799" s="932"/>
      <c r="V799" s="1220"/>
      <c r="W799" s="996"/>
      <c r="X799" s="996"/>
      <c r="Y799" s="1220"/>
      <c r="Z799" s="1290"/>
      <c r="AA799" s="933"/>
      <c r="AB799" s="933"/>
      <c r="AC799" s="933"/>
      <c r="AD799" s="933"/>
    </row>
    <row r="800" customFormat="false" ht="15.75" hidden="false" customHeight="true" outlineLevel="1" collapsed="false">
      <c r="A800" s="1349" t="s">
        <v>3121</v>
      </c>
      <c r="B800" s="1299" t="s">
        <v>156</v>
      </c>
      <c r="C800" s="1346" t="n">
        <f aca="false">$C$143</f>
        <v>0.15</v>
      </c>
      <c r="D800" s="1347" t="n">
        <f aca="false">$J$620</f>
        <v>0.05</v>
      </c>
      <c r="E800" s="1300" t="n">
        <f aca="false">IF(E799=0,0,IF('Ввод данных'!$A$6=связи1!$A$95,IF(E799&lt;=0,0,E799-дома!$K$633),0)+IF('Ввод данных'!$A$6=связи1!$A$96,IF(E799&lt;связи1!$K$207,0,E799-$K$633),0)+IF('Ввод данных'!$A$6=связи1!$A$98,IF(E799&lt;связи1!$K$207,0,E799-$K$633),0))</f>
        <v>0</v>
      </c>
      <c r="F800" s="1300" t="n">
        <f aca="false">2*IF('Ввод данных'!$C$155=связи1!$A$2,1,0)*IF('Ввод данных'!$F$194=связи1!$A$2,1,0)</f>
        <v>0</v>
      </c>
      <c r="G800" s="1301" t="n">
        <f aca="false">C800*D800*E800*F800</f>
        <v>0</v>
      </c>
      <c r="H800" s="1301"/>
      <c r="I800" s="933"/>
      <c r="J800" s="933"/>
      <c r="K800" s="933"/>
      <c r="L800" s="933"/>
      <c r="M800" s="933"/>
      <c r="N800" s="933"/>
      <c r="O800" s="1220"/>
      <c r="P800" s="1290"/>
      <c r="Q800" s="1290"/>
      <c r="R800" s="1290"/>
      <c r="S800" s="933"/>
      <c r="T800" s="1220"/>
      <c r="U800" s="932"/>
      <c r="V800" s="1220"/>
      <c r="W800" s="996"/>
      <c r="X800" s="996"/>
      <c r="Y800" s="1220"/>
      <c r="Z800" s="1290"/>
      <c r="AA800" s="933"/>
      <c r="AB800" s="933"/>
      <c r="AC800" s="933"/>
      <c r="AD800" s="933"/>
    </row>
    <row r="801" customFormat="false" ht="15.75" hidden="false" customHeight="true" outlineLevel="1" collapsed="false">
      <c r="A801" s="1349" t="s">
        <v>3122</v>
      </c>
      <c r="B801" s="1299" t="s">
        <v>156</v>
      </c>
      <c r="C801" s="1346" t="n">
        <f aca="false">$C$143</f>
        <v>0.15</v>
      </c>
      <c r="D801" s="1347" t="n">
        <f aca="false">$J$620</f>
        <v>0.05</v>
      </c>
      <c r="E801" s="1300" t="n">
        <f aca="false">IF(E800=0,0,IF('Ввод данных'!$A$6=связи1!$A$95,IF(E800&lt;=0,0,E800-дома!$K$633),0)+IF('Ввод данных'!$A$6=связи1!$A$96,IF(E800&lt;связи1!$K$207,0,E800-$K$633),0)+IF('Ввод данных'!$A$6=связи1!$A$98,IF(E800&lt;связи1!$K$207,0,E800-$K$633),0))</f>
        <v>0</v>
      </c>
      <c r="F801" s="1300" t="n">
        <f aca="false">2*IF('Ввод данных'!$C$155=связи1!$A$2,1,0)*IF('Ввод данных'!$F$194=связи1!$A$2,1,0)</f>
        <v>0</v>
      </c>
      <c r="G801" s="1301" t="n">
        <f aca="false">C801*D801*E801*F801</f>
        <v>0</v>
      </c>
      <c r="H801" s="1301"/>
      <c r="I801" s="933"/>
      <c r="J801" s="933"/>
      <c r="K801" s="933"/>
      <c r="L801" s="933"/>
      <c r="M801" s="933"/>
      <c r="N801" s="933"/>
      <c r="O801" s="1220"/>
      <c r="P801" s="1290"/>
      <c r="Q801" s="1290"/>
      <c r="R801" s="1290"/>
      <c r="S801" s="933"/>
      <c r="T801" s="1220"/>
      <c r="U801" s="932"/>
      <c r="V801" s="1220"/>
      <c r="W801" s="996"/>
      <c r="X801" s="996"/>
      <c r="Y801" s="1220"/>
      <c r="Z801" s="1290"/>
      <c r="AA801" s="933"/>
      <c r="AB801" s="933"/>
      <c r="AC801" s="933"/>
      <c r="AD801" s="933"/>
    </row>
    <row r="802" customFormat="false" ht="15.75" hidden="false" customHeight="true" outlineLevel="1" collapsed="false">
      <c r="A802" s="1349" t="s">
        <v>3123</v>
      </c>
      <c r="B802" s="1299" t="s">
        <v>156</v>
      </c>
      <c r="C802" s="1346" t="n">
        <f aca="false">$C$143</f>
        <v>0.15</v>
      </c>
      <c r="D802" s="1347" t="n">
        <f aca="false">$J$620</f>
        <v>0.05</v>
      </c>
      <c r="E802" s="1300" t="n">
        <f aca="false">IF(E801=0,0,IF('Ввод данных'!$A$6=связи1!$A$95,IF(E801&lt;=0,0,E801-дома!$K$633),0)+IF('Ввод данных'!$A$6=связи1!$A$96,IF(E801&lt;связи1!$K$207,0,E801-$K$633),0)+IF('Ввод данных'!$A$6=связи1!$A$98,IF(E801&lt;связи1!$K$207,0,E801-$K$633),0))</f>
        <v>0</v>
      </c>
      <c r="F802" s="1300" t="n">
        <f aca="false">2*IF('Ввод данных'!$C$155=связи1!$A$2,1,0)*IF('Ввод данных'!$F$194=связи1!$A$2,1,0)</f>
        <v>0</v>
      </c>
      <c r="G802" s="1301" t="n">
        <f aca="false">C802*D802*E802*F802</f>
        <v>0</v>
      </c>
      <c r="H802" s="1301"/>
      <c r="I802" s="933"/>
      <c r="J802" s="933"/>
      <c r="K802" s="933"/>
      <c r="L802" s="933"/>
      <c r="M802" s="933"/>
      <c r="N802" s="933"/>
      <c r="O802" s="1220"/>
      <c r="P802" s="1290"/>
      <c r="Q802" s="1290"/>
      <c r="R802" s="1290"/>
      <c r="S802" s="933"/>
      <c r="T802" s="1220"/>
      <c r="U802" s="932"/>
      <c r="V802" s="1220"/>
      <c r="W802" s="996"/>
      <c r="X802" s="996"/>
      <c r="Y802" s="1220"/>
      <c r="Z802" s="1290"/>
      <c r="AA802" s="933"/>
      <c r="AB802" s="933"/>
      <c r="AC802" s="933"/>
      <c r="AD802" s="933"/>
    </row>
    <row r="803" customFormat="false" ht="15.75" hidden="false" customHeight="true" outlineLevel="1" collapsed="false">
      <c r="A803" s="1349" t="s">
        <v>3124</v>
      </c>
      <c r="B803" s="1299" t="s">
        <v>156</v>
      </c>
      <c r="C803" s="1346" t="n">
        <f aca="false">$C$143</f>
        <v>0.15</v>
      </c>
      <c r="D803" s="1347" t="n">
        <f aca="false">$J$620</f>
        <v>0.05</v>
      </c>
      <c r="E803" s="1300" t="n">
        <f aca="false">IF(E802=0,0,IF('Ввод данных'!$A$6=связи1!$A$95,IF(E802&lt;=0,0,E802-дома!$K$633),0)+IF('Ввод данных'!$A$6=связи1!$A$96,IF(E802&lt;связи1!$K$207,0,E802-$K$633),0)+IF('Ввод данных'!$A$6=связи1!$A$98,IF(E802&lt;связи1!$K$207,0,E802-$K$633),0))</f>
        <v>0</v>
      </c>
      <c r="F803" s="1300" t="n">
        <f aca="false">2*IF('Ввод данных'!$C$155=связи1!$A$2,1,0)*IF('Ввод данных'!$F$194=связи1!$A$2,1,0)</f>
        <v>0</v>
      </c>
      <c r="G803" s="1301" t="n">
        <f aca="false">C803*D803*E803*F803</f>
        <v>0</v>
      </c>
      <c r="H803" s="1301"/>
      <c r="I803" s="933"/>
      <c r="J803" s="933"/>
      <c r="K803" s="933"/>
      <c r="L803" s="933"/>
      <c r="M803" s="933"/>
      <c r="N803" s="933"/>
      <c r="O803" s="1220"/>
      <c r="P803" s="1290"/>
      <c r="Q803" s="1290"/>
      <c r="R803" s="1290"/>
      <c r="S803" s="933"/>
      <c r="T803" s="1220"/>
      <c r="U803" s="932"/>
      <c r="V803" s="1220"/>
      <c r="W803" s="996"/>
      <c r="X803" s="996"/>
      <c r="Y803" s="1220"/>
      <c r="Z803" s="1290"/>
      <c r="AA803" s="933"/>
      <c r="AB803" s="933"/>
      <c r="AC803" s="933"/>
      <c r="AD803" s="933"/>
    </row>
    <row r="804" customFormat="false" ht="15.75" hidden="false" customHeight="true" outlineLevel="1" collapsed="false">
      <c r="A804" s="1349" t="s">
        <v>3125</v>
      </c>
      <c r="B804" s="1299" t="s">
        <v>156</v>
      </c>
      <c r="C804" s="1346" t="n">
        <f aca="false">$C$143</f>
        <v>0.15</v>
      </c>
      <c r="D804" s="1347" t="n">
        <f aca="false">$J$620</f>
        <v>0.05</v>
      </c>
      <c r="E804" s="1300" t="n">
        <f aca="false">IF(E803=0,0,IF('Ввод данных'!$A$6=связи1!$A$95,IF(E803&lt;=0,0,E803-дома!$K$633),0)+IF('Ввод данных'!$A$6=связи1!$A$96,IF(E803&lt;связи1!$K$207,0,E803-$K$633),0)+IF('Ввод данных'!$A$6=связи1!$A$98,IF(E803&lt;связи1!$K$207,0,E803-$K$633),0))</f>
        <v>0</v>
      </c>
      <c r="F804" s="1300" t="n">
        <f aca="false">2*IF('Ввод данных'!$C$155=связи1!$A$2,1,0)*IF('Ввод данных'!$F$194=связи1!$A$2,1,0)</f>
        <v>0</v>
      </c>
      <c r="G804" s="1301" t="n">
        <f aca="false">C804*D804*E804*F804</f>
        <v>0</v>
      </c>
      <c r="H804" s="1301"/>
      <c r="I804" s="933"/>
      <c r="J804" s="933"/>
      <c r="K804" s="933"/>
      <c r="L804" s="933"/>
      <c r="M804" s="933"/>
      <c r="N804" s="933"/>
      <c r="O804" s="1220"/>
      <c r="P804" s="1290"/>
      <c r="Q804" s="1290"/>
      <c r="R804" s="1290"/>
      <c r="S804" s="933"/>
      <c r="T804" s="1220"/>
      <c r="U804" s="932"/>
      <c r="V804" s="1220"/>
      <c r="W804" s="996"/>
      <c r="X804" s="996"/>
      <c r="Y804" s="1220"/>
      <c r="Z804" s="1290"/>
      <c r="AA804" s="933"/>
      <c r="AB804" s="933"/>
      <c r="AC804" s="933"/>
      <c r="AD804" s="933"/>
    </row>
    <row r="805" customFormat="false" ht="15.75" hidden="false" customHeight="true" outlineLevel="1" collapsed="false">
      <c r="A805" s="1349" t="s">
        <v>3126</v>
      </c>
      <c r="B805" s="1299" t="s">
        <v>156</v>
      </c>
      <c r="C805" s="1346" t="n">
        <f aca="false">$C$143</f>
        <v>0.15</v>
      </c>
      <c r="D805" s="1347" t="n">
        <f aca="false">$J$620</f>
        <v>0.05</v>
      </c>
      <c r="E805" s="1300" t="n">
        <f aca="false">IF(E804=0,0,IF('Ввод данных'!$A$6=связи1!$A$95,IF(E804&lt;=0,0,E804-дома!$K$633),0)+IF('Ввод данных'!$A$6=связи1!$A$96,IF(E804&lt;связи1!$K$207,0,E804-$K$633),0)+IF('Ввод данных'!$A$6=связи1!$A$98,IF(E804&lt;связи1!$K$207,0,E804-$K$633),0))</f>
        <v>0</v>
      </c>
      <c r="F805" s="1300" t="n">
        <f aca="false">2*IF('Ввод данных'!$C$155=связи1!$A$2,1,0)*IF('Ввод данных'!$F$194=связи1!$A$2,1,0)</f>
        <v>0</v>
      </c>
      <c r="G805" s="1301" t="n">
        <f aca="false">C805*D805*E805*F805</f>
        <v>0</v>
      </c>
      <c r="H805" s="1301"/>
      <c r="I805" s="933"/>
      <c r="J805" s="933"/>
      <c r="K805" s="933"/>
      <c r="L805" s="933"/>
      <c r="M805" s="933"/>
      <c r="N805" s="933"/>
      <c r="O805" s="1220"/>
      <c r="P805" s="1290"/>
      <c r="Q805" s="1290"/>
      <c r="R805" s="1290"/>
      <c r="S805" s="933"/>
      <c r="T805" s="1220"/>
      <c r="U805" s="932"/>
      <c r="V805" s="1220"/>
      <c r="W805" s="996"/>
      <c r="X805" s="996"/>
      <c r="Y805" s="1220"/>
      <c r="Z805" s="1290"/>
      <c r="AA805" s="933"/>
      <c r="AB805" s="933"/>
      <c r="AC805" s="933"/>
      <c r="AD805" s="933"/>
    </row>
    <row r="806" customFormat="false" ht="15.75" hidden="false" customHeight="true" outlineLevel="1" collapsed="false">
      <c r="A806" s="1349" t="s">
        <v>3127</v>
      </c>
      <c r="B806" s="1299" t="s">
        <v>156</v>
      </c>
      <c r="C806" s="1346" t="n">
        <f aca="false">$C$143</f>
        <v>0.15</v>
      </c>
      <c r="D806" s="1347" t="n">
        <f aca="false">$J$620</f>
        <v>0.05</v>
      </c>
      <c r="E806" s="1300" t="n">
        <f aca="false">IF(E805=0,0,IF('Ввод данных'!$A$6=связи1!$A$95,IF(E805&lt;=0,0,E805-дома!$K$633),0)+IF('Ввод данных'!$A$6=связи1!$A$96,IF(E805&lt;связи1!$K$207,0,E805-$K$633),0)+IF('Ввод данных'!$A$6=связи1!$A$98,IF(E805&lt;связи1!$K$207,0,E805-$K$633),0))</f>
        <v>0</v>
      </c>
      <c r="F806" s="1300" t="n">
        <f aca="false">2*IF('Ввод данных'!$C$155=связи1!$A$2,1,0)*IF('Ввод данных'!$F$194=связи1!$A$2,1,0)</f>
        <v>0</v>
      </c>
      <c r="G806" s="1301" t="n">
        <f aca="false">C806*D806*E806*F806</f>
        <v>0</v>
      </c>
      <c r="H806" s="1301"/>
      <c r="I806" s="933"/>
      <c r="J806" s="933"/>
      <c r="K806" s="933"/>
      <c r="L806" s="933"/>
      <c r="M806" s="933"/>
      <c r="N806" s="933"/>
      <c r="O806" s="1220"/>
      <c r="P806" s="1290"/>
      <c r="Q806" s="1290"/>
      <c r="R806" s="1290"/>
      <c r="S806" s="933"/>
      <c r="T806" s="1220"/>
      <c r="U806" s="932"/>
      <c r="V806" s="1220"/>
      <c r="W806" s="996"/>
      <c r="X806" s="996"/>
      <c r="Y806" s="1220"/>
      <c r="Z806" s="1290"/>
      <c r="AA806" s="933"/>
      <c r="AB806" s="933"/>
      <c r="AC806" s="933"/>
      <c r="AD806" s="933"/>
    </row>
    <row r="807" customFormat="false" ht="15.75" hidden="false" customHeight="true" outlineLevel="1" collapsed="false">
      <c r="A807" s="1349" t="s">
        <v>3128</v>
      </c>
      <c r="B807" s="1299" t="s">
        <v>156</v>
      </c>
      <c r="C807" s="1346" t="n">
        <f aca="false">$C$143</f>
        <v>0.15</v>
      </c>
      <c r="D807" s="1347" t="n">
        <f aca="false">$J$620</f>
        <v>0.05</v>
      </c>
      <c r="E807" s="1300" t="n">
        <f aca="false">IF(E806=0,0,IF('Ввод данных'!$A$6=связи1!$A$95,IF(E806&lt;=0,0,E806-дома!$K$633),0)+IF('Ввод данных'!$A$6=связи1!$A$96,IF(E806&lt;связи1!$K$207,0,E806-$K$633),0)+IF('Ввод данных'!$A$6=связи1!$A$98,IF(E806&lt;связи1!$K$207,0,E806-$K$633),0))</f>
        <v>0</v>
      </c>
      <c r="F807" s="1300" t="n">
        <f aca="false">2*IF('Ввод данных'!$C$155=связи1!$A$2,1,0)*IF('Ввод данных'!$F$194=связи1!$A$2,1,0)</f>
        <v>0</v>
      </c>
      <c r="G807" s="1301" t="n">
        <f aca="false">C807*D807*E807*F807</f>
        <v>0</v>
      </c>
      <c r="H807" s="1301"/>
      <c r="I807" s="933"/>
      <c r="J807" s="933"/>
      <c r="K807" s="933"/>
      <c r="L807" s="933"/>
      <c r="M807" s="933"/>
      <c r="N807" s="933"/>
      <c r="O807" s="1220"/>
      <c r="P807" s="1290"/>
      <c r="Q807" s="1290"/>
      <c r="R807" s="1290"/>
      <c r="S807" s="933"/>
      <c r="T807" s="1220"/>
      <c r="U807" s="932"/>
      <c r="V807" s="1220"/>
      <c r="W807" s="996"/>
      <c r="X807" s="996"/>
      <c r="Y807" s="1220"/>
      <c r="Z807" s="1290"/>
      <c r="AA807" s="933"/>
      <c r="AB807" s="933"/>
      <c r="AC807" s="933"/>
      <c r="AD807" s="933"/>
    </row>
    <row r="808" customFormat="false" ht="15.75" hidden="false" customHeight="true" outlineLevel="1" collapsed="false">
      <c r="A808" s="1349" t="s">
        <v>3129</v>
      </c>
      <c r="B808" s="1299" t="s">
        <v>156</v>
      </c>
      <c r="C808" s="1346" t="n">
        <f aca="false">$C$143</f>
        <v>0.15</v>
      </c>
      <c r="D808" s="1347" t="n">
        <f aca="false">$J$620</f>
        <v>0.05</v>
      </c>
      <c r="E808" s="1300" t="n">
        <f aca="false">IF(E807=0,0,IF('Ввод данных'!$A$6=связи1!$A$95,IF(E807&lt;=0,0,E807-дома!$K$633),0)+IF('Ввод данных'!$A$6=связи1!$A$96,IF(E807&lt;связи1!$K$207,0,E807-$K$633),0)+IF('Ввод данных'!$A$6=связи1!$A$98,IF(E807&lt;связи1!$K$207,0,E807-$K$633),0))</f>
        <v>0</v>
      </c>
      <c r="F808" s="1300" t="n">
        <f aca="false">2*IF('Ввод данных'!$C$155=связи1!$A$2,1,0)*IF('Ввод данных'!$F$194=связи1!$A$2,1,0)</f>
        <v>0</v>
      </c>
      <c r="G808" s="1301" t="n">
        <f aca="false">C808*D808*E808*F808</f>
        <v>0</v>
      </c>
      <c r="H808" s="1301"/>
      <c r="I808" s="933"/>
      <c r="J808" s="933"/>
      <c r="K808" s="933"/>
      <c r="L808" s="933"/>
      <c r="M808" s="933"/>
      <c r="N808" s="933"/>
      <c r="O808" s="1220"/>
      <c r="P808" s="1290"/>
      <c r="Q808" s="1290"/>
      <c r="R808" s="1290"/>
      <c r="S808" s="933"/>
      <c r="T808" s="1220"/>
      <c r="U808" s="932"/>
      <c r="V808" s="1220"/>
      <c r="W808" s="996"/>
      <c r="X808" s="996"/>
      <c r="Y808" s="1220"/>
      <c r="Z808" s="1290"/>
      <c r="AA808" s="933"/>
      <c r="AB808" s="933"/>
      <c r="AC808" s="933"/>
      <c r="AD808" s="933"/>
    </row>
    <row r="809" customFormat="false" ht="15.75" hidden="false" customHeight="true" outlineLevel="1" collapsed="false">
      <c r="A809" s="1349" t="s">
        <v>3130</v>
      </c>
      <c r="B809" s="1299" t="s">
        <v>156</v>
      </c>
      <c r="C809" s="1346" t="n">
        <f aca="false">$C$143</f>
        <v>0.15</v>
      </c>
      <c r="D809" s="1347" t="n">
        <f aca="false">$J$620</f>
        <v>0.05</v>
      </c>
      <c r="E809" s="1300" t="n">
        <f aca="false">IF(E808=0,0,IF('Ввод данных'!$A$6=связи1!$A$95,IF(E808&lt;=0,0,E808-дома!$K$633),0)+IF('Ввод данных'!$A$6=связи1!$A$96,IF(E808&lt;связи1!$K$207,0,E808-$K$633),0)+IF('Ввод данных'!$A$6=связи1!$A$98,IF(E808&lt;связи1!$K$207,0,E808-$K$633),0))</f>
        <v>0</v>
      </c>
      <c r="F809" s="1300" t="n">
        <f aca="false">2*IF('Ввод данных'!$C$155=связи1!$A$2,1,0)*IF('Ввод данных'!$F$194=связи1!$A$2,1,0)</f>
        <v>0</v>
      </c>
      <c r="G809" s="1301" t="n">
        <f aca="false">C809*D809*E809*F809</f>
        <v>0</v>
      </c>
      <c r="H809" s="1301"/>
      <c r="I809" s="933"/>
      <c r="J809" s="933"/>
      <c r="K809" s="933"/>
      <c r="L809" s="933"/>
      <c r="M809" s="933"/>
      <c r="N809" s="933"/>
      <c r="O809" s="1220"/>
      <c r="P809" s="1290"/>
      <c r="Q809" s="1290"/>
      <c r="R809" s="1290"/>
      <c r="S809" s="933"/>
      <c r="T809" s="1220"/>
      <c r="U809" s="932"/>
      <c r="V809" s="1220"/>
      <c r="W809" s="996"/>
      <c r="X809" s="996"/>
      <c r="Y809" s="1220"/>
      <c r="Z809" s="1290"/>
      <c r="AA809" s="933"/>
      <c r="AB809" s="933"/>
      <c r="AC809" s="933"/>
      <c r="AD809" s="933"/>
    </row>
    <row r="810" customFormat="false" ht="15.75" hidden="false" customHeight="true" outlineLevel="1" collapsed="false">
      <c r="A810" s="1349" t="s">
        <v>3131</v>
      </c>
      <c r="B810" s="1299" t="s">
        <v>156</v>
      </c>
      <c r="C810" s="1346" t="n">
        <f aca="false">$C$143</f>
        <v>0.15</v>
      </c>
      <c r="D810" s="1347" t="n">
        <f aca="false">$J$620</f>
        <v>0.05</v>
      </c>
      <c r="E810" s="1300" t="n">
        <f aca="false">IF(E809=0,0,IF('Ввод данных'!$A$6=связи1!$A$95,IF(E809&lt;=0,0,E809-дома!$K$633),0)+IF('Ввод данных'!$A$6=связи1!$A$96,IF(E809&lt;связи1!$K$207,0,E809-$K$633),0)+IF('Ввод данных'!$A$6=связи1!$A$98,IF(E809&lt;связи1!$K$207,0,E809-$K$633),0))</f>
        <v>0</v>
      </c>
      <c r="F810" s="1300" t="n">
        <f aca="false">2*IF('Ввод данных'!$C$155=связи1!$A$2,1,0)*IF('Ввод данных'!$F$194=связи1!$A$2,1,0)</f>
        <v>0</v>
      </c>
      <c r="G810" s="1301" t="n">
        <f aca="false">C810*D810*E810*F810</f>
        <v>0</v>
      </c>
      <c r="H810" s="1301"/>
      <c r="I810" s="933"/>
      <c r="J810" s="933"/>
      <c r="K810" s="933"/>
      <c r="L810" s="933"/>
      <c r="M810" s="933"/>
      <c r="N810" s="933"/>
      <c r="O810" s="1220"/>
      <c r="P810" s="1290"/>
      <c r="Q810" s="1290"/>
      <c r="R810" s="1290"/>
      <c r="S810" s="933"/>
      <c r="T810" s="1220"/>
      <c r="U810" s="932"/>
      <c r="V810" s="1220"/>
      <c r="W810" s="996"/>
      <c r="X810" s="996"/>
      <c r="Y810" s="1220"/>
      <c r="Z810" s="1290"/>
      <c r="AA810" s="933"/>
      <c r="AB810" s="933"/>
      <c r="AC810" s="933"/>
      <c r="AD810" s="933"/>
    </row>
    <row r="811" customFormat="false" ht="15.75" hidden="false" customHeight="true" outlineLevel="1" collapsed="false">
      <c r="A811" s="1349" t="s">
        <v>3132</v>
      </c>
      <c r="B811" s="1299" t="s">
        <v>156</v>
      </c>
      <c r="C811" s="1346" t="n">
        <f aca="false">$C$143</f>
        <v>0.15</v>
      </c>
      <c r="D811" s="1347" t="n">
        <f aca="false">$J$620</f>
        <v>0.05</v>
      </c>
      <c r="E811" s="1300" t="n">
        <f aca="false">IF(E810=0,0,IF('Ввод данных'!$A$6=связи1!$A$95,IF(E810&lt;=0,0,E810-дома!$K$633),0)+IF('Ввод данных'!$A$6=связи1!$A$96,IF(E810&lt;связи1!$K$207,0,E810-$K$633),0)+IF('Ввод данных'!$A$6=связи1!$A$98,IF(E810&lt;связи1!$K$207,0,E810-$K$633),0))</f>
        <v>0</v>
      </c>
      <c r="F811" s="1300" t="n">
        <f aca="false">2*IF('Ввод данных'!$C$155=связи1!$A$2,1,0)*IF('Ввод данных'!$F$194=связи1!$A$2,1,0)</f>
        <v>0</v>
      </c>
      <c r="G811" s="1301" t="n">
        <f aca="false">C811*D811*E811*F811</f>
        <v>0</v>
      </c>
      <c r="H811" s="1301"/>
      <c r="I811" s="933"/>
      <c r="J811" s="933"/>
      <c r="K811" s="933"/>
      <c r="L811" s="933"/>
      <c r="M811" s="933"/>
      <c r="N811" s="933"/>
      <c r="O811" s="1220"/>
      <c r="P811" s="1290"/>
      <c r="Q811" s="1290"/>
      <c r="R811" s="1290"/>
      <c r="S811" s="933"/>
      <c r="T811" s="1220"/>
      <c r="U811" s="932"/>
      <c r="V811" s="1220"/>
      <c r="W811" s="996"/>
      <c r="X811" s="996"/>
      <c r="Y811" s="1220"/>
      <c r="Z811" s="1290"/>
      <c r="AA811" s="933"/>
      <c r="AB811" s="933"/>
      <c r="AC811" s="933"/>
      <c r="AD811" s="933"/>
    </row>
    <row r="812" customFormat="false" ht="15.75" hidden="false" customHeight="true" outlineLevel="1" collapsed="false">
      <c r="A812" s="1349" t="s">
        <v>3133</v>
      </c>
      <c r="B812" s="1299" t="s">
        <v>156</v>
      </c>
      <c r="C812" s="1346" t="n">
        <f aca="false">$C$143</f>
        <v>0.15</v>
      </c>
      <c r="D812" s="1347" t="n">
        <f aca="false">$J$620</f>
        <v>0.05</v>
      </c>
      <c r="E812" s="1300" t="n">
        <f aca="false">IF(E811=0,0,IF('Ввод данных'!$A$6=связи1!$A$95,IF(E811&lt;=0,0,E811-дома!$K$633),0)+IF('Ввод данных'!$A$6=связи1!$A$96,IF(E811&lt;связи1!$K$207,0,E811-$K$633),0)+IF('Ввод данных'!$A$6=связи1!$A$98,IF(E811&lt;связи1!$K$207,0,E811-$K$633),0))</f>
        <v>0</v>
      </c>
      <c r="F812" s="1300" t="n">
        <f aca="false">2*IF('Ввод данных'!$C$155=связи1!$A$2,1,0)*IF('Ввод данных'!$F$194=связи1!$A$2,1,0)</f>
        <v>0</v>
      </c>
      <c r="G812" s="1301" t="n">
        <f aca="false">C812*D812*E812*F812</f>
        <v>0</v>
      </c>
      <c r="H812" s="1301"/>
      <c r="I812" s="933"/>
      <c r="J812" s="933"/>
      <c r="K812" s="933"/>
      <c r="L812" s="933"/>
      <c r="M812" s="933"/>
      <c r="N812" s="933"/>
      <c r="O812" s="1220"/>
      <c r="P812" s="1290"/>
      <c r="Q812" s="1290"/>
      <c r="R812" s="1290"/>
      <c r="S812" s="933"/>
      <c r="T812" s="1220"/>
      <c r="U812" s="932"/>
      <c r="V812" s="1220"/>
      <c r="W812" s="996"/>
      <c r="X812" s="996"/>
      <c r="Y812" s="1220"/>
      <c r="Z812" s="1290"/>
      <c r="AA812" s="933"/>
      <c r="AB812" s="933"/>
      <c r="AC812" s="933"/>
      <c r="AD812" s="933"/>
    </row>
    <row r="813" customFormat="false" ht="15.75" hidden="false" customHeight="true" outlineLevel="1" collapsed="false">
      <c r="A813" s="1349" t="s">
        <v>3134</v>
      </c>
      <c r="B813" s="1299" t="s">
        <v>156</v>
      </c>
      <c r="C813" s="1346" t="n">
        <f aca="false">$C$143</f>
        <v>0.15</v>
      </c>
      <c r="D813" s="1347" t="n">
        <f aca="false">$J$620</f>
        <v>0.05</v>
      </c>
      <c r="E813" s="1300" t="n">
        <f aca="false">IF(E812=0,0,IF('Ввод данных'!$A$6=связи1!$A$95,IF(E812&lt;=0,0,E812-дома!$K$633),0)+IF('Ввод данных'!$A$6=связи1!$A$96,IF(E812&lt;связи1!$K$207,0,E812-$K$633),0)+IF('Ввод данных'!$A$6=связи1!$A$98,IF(E812&lt;связи1!$K$207,0,E812-$K$633),0))</f>
        <v>0</v>
      </c>
      <c r="F813" s="1300" t="n">
        <f aca="false">2*IF('Ввод данных'!$C$155=связи1!$A$2,1,0)*IF('Ввод данных'!$F$194=связи1!$A$2,1,0)</f>
        <v>0</v>
      </c>
      <c r="G813" s="1301" t="n">
        <f aca="false">C813*D813*E813*F813</f>
        <v>0</v>
      </c>
      <c r="H813" s="1301"/>
      <c r="I813" s="933"/>
      <c r="J813" s="933"/>
      <c r="K813" s="933"/>
      <c r="L813" s="933"/>
      <c r="M813" s="933"/>
      <c r="N813" s="933"/>
      <c r="O813" s="1220"/>
      <c r="P813" s="1290"/>
      <c r="Q813" s="1290"/>
      <c r="R813" s="1290"/>
      <c r="S813" s="933"/>
      <c r="T813" s="1220"/>
      <c r="U813" s="932"/>
      <c r="V813" s="1220"/>
      <c r="W813" s="996"/>
      <c r="X813" s="996"/>
      <c r="Y813" s="1220"/>
      <c r="Z813" s="1290"/>
      <c r="AA813" s="933"/>
      <c r="AB813" s="933"/>
      <c r="AC813" s="933"/>
      <c r="AD813" s="933"/>
    </row>
    <row r="814" customFormat="false" ht="15.75" hidden="false" customHeight="true" outlineLevel="1" collapsed="false">
      <c r="A814" s="1349" t="s">
        <v>3135</v>
      </c>
      <c r="B814" s="1299" t="s">
        <v>156</v>
      </c>
      <c r="C814" s="1346" t="n">
        <f aca="false">$C$143</f>
        <v>0.15</v>
      </c>
      <c r="D814" s="1347" t="n">
        <f aca="false">$J$620</f>
        <v>0.05</v>
      </c>
      <c r="E814" s="1300" t="n">
        <f aca="false">IF(E813=0,0,IF('Ввод данных'!$A$6=связи1!$A$95,IF(E813&lt;=0,0,E813-дома!$K$633),0)+IF('Ввод данных'!$A$6=связи1!$A$96,IF(E813&lt;связи1!$K$207,0,E813-$K$633),0)+IF('Ввод данных'!$A$6=связи1!$A$98,IF(E813&lt;связи1!$K$207,0,E813-$K$633),0))</f>
        <v>0</v>
      </c>
      <c r="F814" s="1300" t="n">
        <f aca="false">2*IF('Ввод данных'!$C$155=связи1!$A$2,1,0)*IF('Ввод данных'!$F$194=связи1!$A$2,1,0)</f>
        <v>0</v>
      </c>
      <c r="G814" s="1301" t="n">
        <f aca="false">C814*D814*E814*F814</f>
        <v>0</v>
      </c>
      <c r="H814" s="1301"/>
      <c r="I814" s="933"/>
      <c r="J814" s="933"/>
      <c r="K814" s="933"/>
      <c r="L814" s="933"/>
      <c r="M814" s="933"/>
      <c r="N814" s="933"/>
      <c r="O814" s="1220"/>
      <c r="P814" s="1290"/>
      <c r="Q814" s="1290"/>
      <c r="R814" s="1290"/>
      <c r="S814" s="933"/>
      <c r="T814" s="1220"/>
      <c r="U814" s="932"/>
      <c r="V814" s="1220"/>
      <c r="W814" s="996"/>
      <c r="X814" s="996"/>
      <c r="Y814" s="1220"/>
      <c r="Z814" s="1290"/>
      <c r="AA814" s="933"/>
      <c r="AB814" s="933"/>
      <c r="AC814" s="933"/>
      <c r="AD814" s="933"/>
    </row>
    <row r="815" customFormat="false" ht="15.75" hidden="false" customHeight="true" outlineLevel="1" collapsed="false">
      <c r="A815" s="1349" t="s">
        <v>3136</v>
      </c>
      <c r="B815" s="1299" t="s">
        <v>156</v>
      </c>
      <c r="C815" s="1346" t="n">
        <f aca="false">$C$143</f>
        <v>0.15</v>
      </c>
      <c r="D815" s="1347" t="n">
        <f aca="false">$J$620</f>
        <v>0.05</v>
      </c>
      <c r="E815" s="1300" t="n">
        <f aca="false">IF(E814=0,0,IF('Ввод данных'!$A$6=связи1!$A$95,IF(E814&lt;=0,0,E814-дома!$K$633),0)+IF('Ввод данных'!$A$6=связи1!$A$96,IF(E814&lt;связи1!$K$207,0,E814-$K$633),0)+IF('Ввод данных'!$A$6=связи1!$A$98,IF(E814&lt;связи1!$K$207,0,E814-$K$633),0))</f>
        <v>0</v>
      </c>
      <c r="F815" s="1300" t="n">
        <f aca="false">2*IF('Ввод данных'!$C$155=связи1!$A$2,1,0)*IF('Ввод данных'!$F$194=связи1!$A$2,1,0)</f>
        <v>0</v>
      </c>
      <c r="G815" s="1301" t="n">
        <f aca="false">C815*D815*E815*F815</f>
        <v>0</v>
      </c>
      <c r="H815" s="1301"/>
      <c r="I815" s="933"/>
      <c r="J815" s="933"/>
      <c r="K815" s="933"/>
      <c r="L815" s="933"/>
      <c r="M815" s="933"/>
      <c r="N815" s="933"/>
      <c r="O815" s="1220"/>
      <c r="P815" s="1290"/>
      <c r="Q815" s="1290"/>
      <c r="R815" s="1290"/>
      <c r="S815" s="933"/>
      <c r="T815" s="1220"/>
      <c r="U815" s="932"/>
      <c r="V815" s="1220"/>
      <c r="W815" s="996"/>
      <c r="X815" s="996"/>
      <c r="Y815" s="1220"/>
      <c r="Z815" s="1290"/>
      <c r="AA815" s="933"/>
      <c r="AB815" s="933"/>
      <c r="AC815" s="933"/>
      <c r="AD815" s="933"/>
    </row>
    <row r="816" customFormat="false" ht="15.75" hidden="false" customHeight="true" outlineLevel="1" collapsed="false">
      <c r="A816" s="1349" t="s">
        <v>3137</v>
      </c>
      <c r="B816" s="1299" t="s">
        <v>156</v>
      </c>
      <c r="C816" s="1346" t="n">
        <f aca="false">$C$143</f>
        <v>0.15</v>
      </c>
      <c r="D816" s="1347" t="n">
        <f aca="false">$J$620</f>
        <v>0.05</v>
      </c>
      <c r="E816" s="1300" t="n">
        <f aca="false">IF(E815=0,0,IF('Ввод данных'!$A$6=связи1!$A$95,IF(E815&lt;=0,0,E815-дома!$K$633),0)+IF('Ввод данных'!$A$6=связи1!$A$96,IF(E815&lt;связи1!$K$207,0,E815-$K$633),0)+IF('Ввод данных'!$A$6=связи1!$A$98,IF(E815&lt;связи1!$K$207,0,E815-$K$633),0))</f>
        <v>0</v>
      </c>
      <c r="F816" s="1300" t="n">
        <f aca="false">2*IF('Ввод данных'!$C$155=связи1!$A$2,1,0)*IF('Ввод данных'!$F$194=связи1!$A$2,1,0)</f>
        <v>0</v>
      </c>
      <c r="G816" s="1301" t="n">
        <f aca="false">C816*D816*E816*F816</f>
        <v>0</v>
      </c>
      <c r="H816" s="1301"/>
      <c r="I816" s="933"/>
      <c r="J816" s="933"/>
      <c r="K816" s="933"/>
      <c r="L816" s="933"/>
      <c r="M816" s="933"/>
      <c r="N816" s="933"/>
      <c r="O816" s="1220"/>
      <c r="P816" s="1290"/>
      <c r="Q816" s="1290"/>
      <c r="R816" s="1290"/>
      <c r="S816" s="933"/>
      <c r="T816" s="1220"/>
      <c r="U816" s="932"/>
      <c r="V816" s="1220"/>
      <c r="W816" s="996"/>
      <c r="X816" s="996"/>
      <c r="Y816" s="1220"/>
      <c r="Z816" s="1290"/>
      <c r="AA816" s="933"/>
      <c r="AB816" s="933"/>
      <c r="AC816" s="933"/>
      <c r="AD816" s="933"/>
    </row>
    <row r="817" customFormat="false" ht="15.75" hidden="false" customHeight="true" outlineLevel="1" collapsed="false">
      <c r="A817" s="1349" t="s">
        <v>3138</v>
      </c>
      <c r="B817" s="1299" t="s">
        <v>156</v>
      </c>
      <c r="C817" s="1346" t="n">
        <f aca="false">$C$143</f>
        <v>0.15</v>
      </c>
      <c r="D817" s="1347" t="n">
        <f aca="false">$J$620</f>
        <v>0.05</v>
      </c>
      <c r="E817" s="1300" t="n">
        <f aca="false">IF(E816=0,0,IF('Ввод данных'!$A$6=связи1!$A$95,IF(E816&lt;=0,0,E816-дома!$K$633),0)+IF('Ввод данных'!$A$6=связи1!$A$96,IF(E816&lt;связи1!$K$207,0,E816-$K$633),0)+IF('Ввод данных'!$A$6=связи1!$A$98,IF(E816&lt;связи1!$K$207,0,E816-$K$633),0))</f>
        <v>0</v>
      </c>
      <c r="F817" s="1300" t="n">
        <f aca="false">2*IF('Ввод данных'!$C$155=связи1!$A$2,1,0)*IF('Ввод данных'!$F$194=связи1!$A$2,1,0)</f>
        <v>0</v>
      </c>
      <c r="G817" s="1301" t="n">
        <f aca="false">C817*D817*E817*F817</f>
        <v>0</v>
      </c>
      <c r="H817" s="1301"/>
      <c r="I817" s="933"/>
      <c r="J817" s="933"/>
      <c r="K817" s="933"/>
      <c r="L817" s="933"/>
      <c r="M817" s="933"/>
      <c r="N817" s="933"/>
      <c r="O817" s="1220"/>
      <c r="P817" s="1290"/>
      <c r="Q817" s="1290"/>
      <c r="R817" s="1290"/>
      <c r="S817" s="933"/>
      <c r="T817" s="1220"/>
      <c r="U817" s="932"/>
      <c r="V817" s="1220"/>
      <c r="W817" s="996"/>
      <c r="X817" s="996"/>
      <c r="Y817" s="1220"/>
      <c r="Z817" s="1290"/>
      <c r="AA817" s="933"/>
      <c r="AB817" s="933"/>
      <c r="AC817" s="933"/>
      <c r="AD817" s="933"/>
    </row>
    <row r="818" customFormat="false" ht="15.75" hidden="false" customHeight="true" outlineLevel="1" collapsed="false">
      <c r="A818" s="1349" t="s">
        <v>3139</v>
      </c>
      <c r="B818" s="1299" t="s">
        <v>156</v>
      </c>
      <c r="C818" s="1346" t="n">
        <f aca="false">$C$143</f>
        <v>0.15</v>
      </c>
      <c r="D818" s="1347" t="n">
        <f aca="false">$J$620</f>
        <v>0.05</v>
      </c>
      <c r="E818" s="1300" t="n">
        <f aca="false">IF(E817=0,0,IF('Ввод данных'!$A$6=связи1!$A$95,IF(E817&lt;=0,0,E817-дома!$K$633),0)+IF('Ввод данных'!$A$6=связи1!$A$96,IF(E817&lt;связи1!$K$207,0,E817-$K$633),0)+IF('Ввод данных'!$A$6=связи1!$A$98,IF(E817&lt;связи1!$K$207,0,E817-$K$633),0))</f>
        <v>0</v>
      </c>
      <c r="F818" s="1300" t="n">
        <f aca="false">2*IF('Ввод данных'!$C$155=связи1!$A$2,1,0)*IF('Ввод данных'!$F$194=связи1!$A$2,1,0)</f>
        <v>0</v>
      </c>
      <c r="G818" s="1301" t="n">
        <f aca="false">C818*D818*E818*F818</f>
        <v>0</v>
      </c>
      <c r="H818" s="1301"/>
      <c r="I818" s="933"/>
      <c r="J818" s="933"/>
      <c r="K818" s="933"/>
      <c r="L818" s="933"/>
      <c r="M818" s="933"/>
      <c r="N818" s="933"/>
      <c r="O818" s="1220"/>
      <c r="P818" s="1290"/>
      <c r="Q818" s="1290"/>
      <c r="R818" s="1290"/>
      <c r="S818" s="933"/>
      <c r="T818" s="1220"/>
      <c r="U818" s="932"/>
      <c r="V818" s="1220"/>
      <c r="W818" s="996"/>
      <c r="X818" s="996"/>
      <c r="Y818" s="1220"/>
      <c r="Z818" s="1290"/>
      <c r="AA818" s="933"/>
      <c r="AB818" s="933"/>
      <c r="AC818" s="933"/>
      <c r="AD818" s="933"/>
    </row>
    <row r="819" customFormat="false" ht="15.75" hidden="false" customHeight="true" outlineLevel="1" collapsed="false">
      <c r="A819" s="1349" t="s">
        <v>3140</v>
      </c>
      <c r="B819" s="1299" t="s">
        <v>156</v>
      </c>
      <c r="C819" s="1346" t="n">
        <f aca="false">$C$143</f>
        <v>0.15</v>
      </c>
      <c r="D819" s="1347" t="n">
        <f aca="false">$J$620</f>
        <v>0.05</v>
      </c>
      <c r="E819" s="1300" t="n">
        <f aca="false">IF(E818=0,0,IF('Ввод данных'!$A$6=связи1!$A$95,IF(E818&lt;=0,0,E818-дома!$K$633),0)+IF('Ввод данных'!$A$6=связи1!$A$96,IF(E818&lt;связи1!$K$207,0,E818-$K$633),0)+IF('Ввод данных'!$A$6=связи1!$A$98,IF(E818&lt;связи1!$K$207,0,E818-$K$633),0))</f>
        <v>0</v>
      </c>
      <c r="F819" s="1300" t="n">
        <f aca="false">2*IF('Ввод данных'!$C$155=связи1!$A$2,1,0)*IF('Ввод данных'!$F$194=связи1!$A$2,1,0)</f>
        <v>0</v>
      </c>
      <c r="G819" s="1301" t="n">
        <f aca="false">C819*D819*E819*F819</f>
        <v>0</v>
      </c>
      <c r="H819" s="1301"/>
      <c r="I819" s="933"/>
      <c r="J819" s="933"/>
      <c r="K819" s="933"/>
      <c r="L819" s="933"/>
      <c r="M819" s="933"/>
      <c r="N819" s="933"/>
      <c r="O819" s="1220"/>
      <c r="P819" s="1290"/>
      <c r="Q819" s="1290"/>
      <c r="R819" s="1290"/>
      <c r="S819" s="933"/>
      <c r="T819" s="1220"/>
      <c r="U819" s="932"/>
      <c r="V819" s="1220"/>
      <c r="W819" s="996"/>
      <c r="X819" s="996"/>
      <c r="Y819" s="1220"/>
      <c r="Z819" s="1290"/>
      <c r="AA819" s="933"/>
      <c r="AB819" s="933"/>
      <c r="AC819" s="933"/>
      <c r="AD819" s="933"/>
    </row>
    <row r="820" customFormat="false" ht="15.75" hidden="false" customHeight="true" outlineLevel="1" collapsed="false">
      <c r="A820" s="1189" t="s">
        <v>3144</v>
      </c>
      <c r="B820" s="1269" t="s">
        <v>156</v>
      </c>
      <c r="C820" s="887" t="n">
        <f aca="false">$C$143</f>
        <v>0.15</v>
      </c>
      <c r="D820" s="933" t="n">
        <f aca="false">$J$620</f>
        <v>0.05</v>
      </c>
      <c r="E820" s="929" t="n">
        <f aca="false">U379</f>
        <v>0</v>
      </c>
      <c r="F820" s="929" t="n">
        <v>2</v>
      </c>
      <c r="G820" s="1219" t="n">
        <f aca="false">C820*D820*E820*F820</f>
        <v>0</v>
      </c>
      <c r="H820" s="1219"/>
      <c r="I820" s="933"/>
      <c r="J820" s="933"/>
      <c r="K820" s="933"/>
      <c r="L820" s="933"/>
      <c r="M820" s="933"/>
      <c r="N820" s="933"/>
      <c r="O820" s="1220"/>
      <c r="P820" s="1290"/>
      <c r="Q820" s="1290"/>
      <c r="R820" s="1290"/>
      <c r="S820" s="933"/>
      <c r="T820" s="1220"/>
      <c r="U820" s="932"/>
      <c r="V820" s="1220"/>
      <c r="W820" s="996"/>
      <c r="X820" s="996"/>
      <c r="Y820" s="1220"/>
      <c r="Z820" s="1290"/>
      <c r="AA820" s="933"/>
      <c r="AB820" s="933"/>
      <c r="AC820" s="933"/>
      <c r="AD820" s="933"/>
    </row>
    <row r="821" customFormat="false" ht="15.75" hidden="false" customHeight="true" outlineLevel="1" collapsed="false">
      <c r="A821" s="1189" t="s">
        <v>3145</v>
      </c>
      <c r="B821" s="1269" t="s">
        <v>156</v>
      </c>
      <c r="C821" s="887" t="n">
        <f aca="false">$C$143</f>
        <v>0.15</v>
      </c>
      <c r="D821" s="933" t="n">
        <f aca="false">$J$620</f>
        <v>0.05</v>
      </c>
      <c r="E821" s="929" t="n">
        <f aca="false">W374</f>
        <v>0.6</v>
      </c>
      <c r="F821" s="929" t="n">
        <v>1</v>
      </c>
      <c r="G821" s="1219" t="n">
        <f aca="false">C821*D821*E821*F821</f>
        <v>0.0045</v>
      </c>
      <c r="H821" s="1249" t="n">
        <f aca="false">E821*F821</f>
        <v>0.6</v>
      </c>
      <c r="I821" s="933"/>
      <c r="J821" s="933"/>
      <c r="K821" s="933"/>
      <c r="L821" s="933"/>
      <c r="M821" s="933"/>
      <c r="N821" s="933"/>
      <c r="O821" s="1220"/>
      <c r="P821" s="1290"/>
      <c r="Q821" s="1290"/>
      <c r="R821" s="1290"/>
      <c r="S821" s="933"/>
      <c r="T821" s="1220"/>
      <c r="U821" s="932"/>
      <c r="V821" s="1220"/>
      <c r="W821" s="996"/>
      <c r="X821" s="996"/>
      <c r="Y821" s="1220"/>
      <c r="Z821" s="1290"/>
      <c r="AA821" s="933"/>
      <c r="AB821" s="933"/>
      <c r="AC821" s="933"/>
      <c r="AD821" s="933"/>
    </row>
    <row r="822" customFormat="false" ht="15.75" hidden="false" customHeight="true" outlineLevel="1" collapsed="false">
      <c r="A822" s="1189" t="s">
        <v>3146</v>
      </c>
      <c r="B822" s="1269" t="s">
        <v>156</v>
      </c>
      <c r="C822" s="887" t="n">
        <f aca="false">$C$143</f>
        <v>0.15</v>
      </c>
      <c r="D822" s="933" t="n">
        <f aca="false">$J$620</f>
        <v>0.05</v>
      </c>
      <c r="E822" s="929" t="n">
        <f aca="false">W375</f>
        <v>0.8</v>
      </c>
      <c r="F822" s="929" t="n">
        <v>1</v>
      </c>
      <c r="G822" s="1219" t="n">
        <f aca="false">C822*D822*E822*F822</f>
        <v>0.006</v>
      </c>
      <c r="H822" s="1249" t="n">
        <f aca="false">E822*F822</f>
        <v>0.8</v>
      </c>
      <c r="I822" s="933"/>
      <c r="J822" s="933"/>
      <c r="K822" s="933"/>
      <c r="L822" s="933"/>
      <c r="M822" s="933"/>
      <c r="N822" s="933"/>
      <c r="O822" s="1220"/>
      <c r="P822" s="1290"/>
      <c r="Q822" s="1290"/>
      <c r="R822" s="1290"/>
      <c r="S822" s="933"/>
      <c r="T822" s="1220"/>
      <c r="U822" s="932"/>
      <c r="V822" s="1220"/>
      <c r="W822" s="996"/>
      <c r="X822" s="996"/>
      <c r="Y822" s="1220"/>
      <c r="Z822" s="1290"/>
      <c r="AA822" s="933"/>
      <c r="AB822" s="933"/>
      <c r="AC822" s="933"/>
      <c r="AD822" s="933"/>
    </row>
    <row r="823" customFormat="false" ht="15.75" hidden="false" customHeight="true" outlineLevel="1" collapsed="false">
      <c r="A823" s="1189" t="s">
        <v>3147</v>
      </c>
      <c r="B823" s="1269" t="s">
        <v>156</v>
      </c>
      <c r="C823" s="887" t="n">
        <f aca="false">$C$143</f>
        <v>0.15</v>
      </c>
      <c r="D823" s="933" t="n">
        <f aca="false">$J$620</f>
        <v>0.05</v>
      </c>
      <c r="E823" s="929" t="n">
        <f aca="false">W376</f>
        <v>1</v>
      </c>
      <c r="F823" s="929" t="n">
        <v>1</v>
      </c>
      <c r="G823" s="1219" t="n">
        <f aca="false">C823*D823*E823*F823</f>
        <v>0.0075</v>
      </c>
      <c r="H823" s="1249" t="n">
        <f aca="false">E823*F823</f>
        <v>1</v>
      </c>
      <c r="I823" s="933"/>
      <c r="J823" s="933"/>
      <c r="K823" s="933"/>
      <c r="L823" s="933"/>
      <c r="M823" s="933"/>
      <c r="N823" s="933"/>
      <c r="O823" s="1220"/>
      <c r="P823" s="1290"/>
      <c r="Q823" s="1290"/>
      <c r="R823" s="1290"/>
      <c r="S823" s="933"/>
      <c r="T823" s="1220"/>
      <c r="U823" s="932"/>
      <c r="V823" s="1220"/>
      <c r="W823" s="996"/>
      <c r="X823" s="996"/>
      <c r="Y823" s="1220"/>
      <c r="Z823" s="1290"/>
      <c r="AA823" s="933"/>
      <c r="AB823" s="933"/>
      <c r="AC823" s="933"/>
      <c r="AD823" s="933"/>
    </row>
    <row r="824" customFormat="false" ht="15.75" hidden="false" customHeight="true" outlineLevel="1" collapsed="false">
      <c r="A824" s="1189" t="s">
        <v>3148</v>
      </c>
      <c r="B824" s="1269" t="s">
        <v>156</v>
      </c>
      <c r="C824" s="887" t="n">
        <f aca="false">$C$143</f>
        <v>0.15</v>
      </c>
      <c r="D824" s="933" t="n">
        <f aca="false">$J$620</f>
        <v>0.05</v>
      </c>
      <c r="E824" s="929" t="n">
        <f aca="false">W377</f>
        <v>5</v>
      </c>
      <c r="F824" s="929" t="n">
        <v>1</v>
      </c>
      <c r="G824" s="1219" t="n">
        <f aca="false">C824*D824*E824*F824</f>
        <v>0.0375</v>
      </c>
      <c r="H824" s="1249" t="n">
        <f aca="false">E824*F824</f>
        <v>5</v>
      </c>
      <c r="I824" s="933"/>
      <c r="J824" s="933"/>
      <c r="K824" s="933"/>
      <c r="L824" s="933"/>
      <c r="M824" s="933"/>
      <c r="N824" s="933"/>
      <c r="O824" s="1220"/>
      <c r="P824" s="1290"/>
      <c r="Q824" s="1290"/>
      <c r="R824" s="1290"/>
      <c r="S824" s="933"/>
      <c r="T824" s="1220"/>
      <c r="U824" s="932"/>
      <c r="V824" s="1220"/>
      <c r="W824" s="996"/>
      <c r="X824" s="996"/>
      <c r="Y824" s="1220"/>
      <c r="Z824" s="1290"/>
      <c r="AA824" s="933"/>
      <c r="AB824" s="933"/>
      <c r="AC824" s="933"/>
      <c r="AD824" s="933"/>
    </row>
    <row r="825" customFormat="false" ht="15.75" hidden="false" customHeight="true" outlineLevel="1" collapsed="false">
      <c r="A825" s="1189" t="s">
        <v>3149</v>
      </c>
      <c r="B825" s="1269" t="s">
        <v>156</v>
      </c>
      <c r="C825" s="887" t="n">
        <f aca="false">$C$143</f>
        <v>0.15</v>
      </c>
      <c r="D825" s="933" t="n">
        <f aca="false">$J$620</f>
        <v>0.05</v>
      </c>
      <c r="E825" s="929" t="n">
        <f aca="false">W378</f>
        <v>6</v>
      </c>
      <c r="F825" s="929" t="n">
        <v>1</v>
      </c>
      <c r="G825" s="1219" t="n">
        <f aca="false">C825*D825*E825*F825</f>
        <v>0.045</v>
      </c>
      <c r="H825" s="1249" t="n">
        <f aca="false">E825*F825</f>
        <v>6</v>
      </c>
      <c r="I825" s="933"/>
      <c r="J825" s="933"/>
      <c r="K825" s="933"/>
      <c r="L825" s="933"/>
      <c r="M825" s="933"/>
      <c r="N825" s="933"/>
      <c r="O825" s="1220"/>
      <c r="P825" s="1290"/>
      <c r="Q825" s="1290"/>
      <c r="R825" s="1290"/>
      <c r="S825" s="933"/>
      <c r="T825" s="1220"/>
      <c r="U825" s="932"/>
      <c r="V825" s="1220"/>
      <c r="W825" s="996"/>
      <c r="X825" s="996"/>
      <c r="Y825" s="1220"/>
      <c r="Z825" s="1290"/>
      <c r="AA825" s="933"/>
      <c r="AB825" s="933"/>
      <c r="AC825" s="933"/>
      <c r="AD825" s="933"/>
    </row>
    <row r="826" customFormat="false" ht="15.75" hidden="false" customHeight="true" outlineLevel="1" collapsed="false">
      <c r="A826" s="1189" t="s">
        <v>3156</v>
      </c>
      <c r="B826" s="1269" t="s">
        <v>156</v>
      </c>
      <c r="C826" s="887" t="n">
        <f aca="false">$K$375</f>
        <v>0.12</v>
      </c>
      <c r="D826" s="1219" t="n">
        <f aca="false">$J$375</f>
        <v>0.05</v>
      </c>
      <c r="E826" s="929" t="n">
        <f aca="false">$E$375</f>
        <v>3</v>
      </c>
      <c r="F826" s="929" t="n">
        <f aca="false">U839</f>
        <v>0</v>
      </c>
      <c r="G826" s="1219" t="n">
        <f aca="false">C826*D826*E826*F826</f>
        <v>0</v>
      </c>
      <c r="H826" s="1219"/>
      <c r="I826" s="933"/>
      <c r="J826" s="933"/>
      <c r="K826" s="933"/>
      <c r="L826" s="933"/>
      <c r="M826" s="933"/>
      <c r="N826" s="933"/>
      <c r="O826" s="1220"/>
      <c r="P826" s="1290"/>
      <c r="Q826" s="1290"/>
      <c r="R826" s="1290"/>
      <c r="S826" s="933"/>
      <c r="T826" s="1220"/>
      <c r="U826" s="932"/>
      <c r="V826" s="1220"/>
      <c r="W826" s="996"/>
      <c r="X826" s="996"/>
      <c r="Y826" s="1220"/>
      <c r="Z826" s="1290"/>
      <c r="AA826" s="933"/>
      <c r="AB826" s="933"/>
      <c r="AC826" s="933"/>
      <c r="AD826" s="933"/>
    </row>
    <row r="827" customFormat="false" ht="15.75" hidden="false" customHeight="true" outlineLevel="1" collapsed="false">
      <c r="A827" s="1189" t="s">
        <v>3157</v>
      </c>
      <c r="B827" s="1269" t="s">
        <v>156</v>
      </c>
      <c r="C827" s="887" t="n">
        <f aca="false">$K$375</f>
        <v>0.12</v>
      </c>
      <c r="D827" s="1219" t="n">
        <f aca="false">$J$375</f>
        <v>0.05</v>
      </c>
      <c r="E827" s="929" t="n">
        <f aca="false">W836</f>
        <v>0.8</v>
      </c>
      <c r="F827" s="929" t="n">
        <v>1</v>
      </c>
      <c r="G827" s="1219" t="n">
        <f aca="false">C827*D827*E827*F827</f>
        <v>0.0048</v>
      </c>
      <c r="H827" s="1249" t="n">
        <f aca="false">E827*F827</f>
        <v>0.8</v>
      </c>
      <c r="I827" s="933"/>
      <c r="J827" s="933"/>
      <c r="K827" s="933"/>
      <c r="L827" s="933"/>
      <c r="M827" s="933"/>
      <c r="N827" s="933"/>
      <c r="O827" s="1220"/>
      <c r="P827" s="1290"/>
      <c r="Q827" s="1290"/>
      <c r="R827" s="1290"/>
      <c r="S827" s="933"/>
      <c r="T827" s="1220"/>
      <c r="U827" s="932"/>
      <c r="V827" s="1220"/>
      <c r="W827" s="996"/>
      <c r="X827" s="996"/>
      <c r="Y827" s="1220"/>
      <c r="Z827" s="1290"/>
      <c r="AA827" s="933"/>
      <c r="AB827" s="933"/>
      <c r="AC827" s="933"/>
      <c r="AD827" s="933"/>
    </row>
    <row r="828" customFormat="false" ht="15.75" hidden="false" customHeight="true" outlineLevel="1" collapsed="false">
      <c r="A828" s="1189" t="s">
        <v>3158</v>
      </c>
      <c r="B828" s="1269" t="s">
        <v>156</v>
      </c>
      <c r="C828" s="887" t="n">
        <f aca="false">$K$375</f>
        <v>0.12</v>
      </c>
      <c r="D828" s="1219" t="n">
        <f aca="false">$J$375</f>
        <v>0.05</v>
      </c>
      <c r="E828" s="929" t="n">
        <f aca="false">W837</f>
        <v>1</v>
      </c>
      <c r="F828" s="929" t="n">
        <v>1</v>
      </c>
      <c r="G828" s="1219" t="n">
        <f aca="false">C828*D828*E828*F828</f>
        <v>0.006</v>
      </c>
      <c r="H828" s="1249" t="n">
        <f aca="false">E828*F828</f>
        <v>1</v>
      </c>
      <c r="I828" s="933"/>
      <c r="J828" s="933"/>
      <c r="K828" s="933"/>
      <c r="L828" s="933"/>
      <c r="M828" s="933"/>
      <c r="N828" s="933"/>
      <c r="O828" s="1220"/>
      <c r="P828" s="1290"/>
      <c r="Q828" s="1290"/>
      <c r="R828" s="1290"/>
      <c r="S828" s="933"/>
      <c r="T828" s="1220"/>
      <c r="U828" s="932"/>
      <c r="V828" s="1220"/>
      <c r="W828" s="996"/>
      <c r="X828" s="996"/>
      <c r="Y828" s="1220"/>
      <c r="Z828" s="1290"/>
      <c r="AA828" s="933"/>
      <c r="AB828" s="933"/>
      <c r="AC828" s="933"/>
      <c r="AD828" s="933"/>
    </row>
    <row r="829" customFormat="false" ht="15.75" hidden="false" customHeight="true" outlineLevel="1" collapsed="false">
      <c r="A829" s="1189" t="s">
        <v>3159</v>
      </c>
      <c r="B829" s="1269" t="s">
        <v>156</v>
      </c>
      <c r="C829" s="887" t="n">
        <f aca="false">$K$375</f>
        <v>0.12</v>
      </c>
      <c r="D829" s="1219" t="n">
        <f aca="false">$J$375</f>
        <v>0.05</v>
      </c>
      <c r="E829" s="929" t="n">
        <f aca="false">W838</f>
        <v>1</v>
      </c>
      <c r="F829" s="929" t="n">
        <v>1</v>
      </c>
      <c r="G829" s="1219" t="n">
        <f aca="false">C829*D829*E829*F829</f>
        <v>0.006</v>
      </c>
      <c r="H829" s="1249" t="n">
        <f aca="false">E829*F829</f>
        <v>1</v>
      </c>
      <c r="I829" s="933"/>
      <c r="J829" s="933"/>
      <c r="K829" s="933"/>
      <c r="L829" s="933"/>
      <c r="M829" s="933"/>
      <c r="N829" s="933"/>
      <c r="O829" s="1220"/>
      <c r="P829" s="1290"/>
      <c r="Q829" s="1290"/>
      <c r="R829" s="1290"/>
      <c r="S829" s="933"/>
      <c r="T829" s="1220"/>
      <c r="U829" s="932"/>
      <c r="V829" s="1220"/>
      <c r="W829" s="996"/>
      <c r="X829" s="996"/>
      <c r="Y829" s="1220"/>
      <c r="Z829" s="1290"/>
      <c r="AA829" s="933"/>
      <c r="AB829" s="933"/>
      <c r="AC829" s="933"/>
      <c r="AD829" s="933"/>
    </row>
    <row r="830" customFormat="false" ht="15.75" hidden="false" customHeight="true" outlineLevel="1" collapsed="false">
      <c r="A830" s="1189" t="s">
        <v>3160</v>
      </c>
      <c r="B830" s="1269" t="s">
        <v>156</v>
      </c>
      <c r="C830" s="887" t="n">
        <f aca="false">$K$375</f>
        <v>0.12</v>
      </c>
      <c r="D830" s="1219" t="n">
        <f aca="false">$J$375</f>
        <v>0.05</v>
      </c>
      <c r="E830" s="929" t="n">
        <f aca="false">W839</f>
        <v>0</v>
      </c>
      <c r="F830" s="929" t="n">
        <v>1</v>
      </c>
      <c r="G830" s="1219" t="n">
        <f aca="false">C830*D830*E830*F830</f>
        <v>0</v>
      </c>
      <c r="H830" s="1249" t="n">
        <f aca="false">E829*F829</f>
        <v>1</v>
      </c>
      <c r="I830" s="933"/>
      <c r="J830" s="933"/>
      <c r="K830" s="933"/>
      <c r="L830" s="933"/>
      <c r="M830" s="933"/>
      <c r="N830" s="933"/>
      <c r="O830" s="1220"/>
      <c r="P830" s="1290"/>
      <c r="Q830" s="1290"/>
      <c r="R830" s="1290"/>
      <c r="S830" s="933"/>
      <c r="T830" s="1220"/>
      <c r="U830" s="932"/>
      <c r="V830" s="1220"/>
      <c r="W830" s="996"/>
      <c r="X830" s="996"/>
      <c r="Y830" s="1220"/>
      <c r="Z830" s="1290"/>
      <c r="AA830" s="933"/>
      <c r="AB830" s="933"/>
      <c r="AC830" s="933"/>
      <c r="AD830" s="933"/>
    </row>
    <row r="831" customFormat="false" ht="15.75" hidden="false" customHeight="true" outlineLevel="1" collapsed="false">
      <c r="A831" s="1189" t="s">
        <v>3161</v>
      </c>
      <c r="B831" s="1269" t="s">
        <v>156</v>
      </c>
      <c r="C831" s="887" t="n">
        <f aca="false">$K$375</f>
        <v>0.12</v>
      </c>
      <c r="D831" s="1219" t="n">
        <f aca="false">$J$375</f>
        <v>0.05</v>
      </c>
      <c r="E831" s="929" t="n">
        <f aca="false">U848</f>
        <v>0</v>
      </c>
      <c r="F831" s="929" t="n">
        <v>2</v>
      </c>
      <c r="G831" s="1219" t="n">
        <f aca="false">C831*D831*E831*F831</f>
        <v>0</v>
      </c>
      <c r="H831" s="1249"/>
      <c r="I831" s="933"/>
      <c r="J831" s="933"/>
      <c r="K831" s="933"/>
      <c r="L831" s="933"/>
      <c r="M831" s="933"/>
      <c r="N831" s="933"/>
      <c r="O831" s="1220"/>
      <c r="P831" s="1290"/>
      <c r="Q831" s="1290"/>
      <c r="R831" s="1290"/>
      <c r="S831" s="933"/>
      <c r="T831" s="1220"/>
      <c r="U831" s="932"/>
      <c r="V831" s="1220"/>
      <c r="W831" s="996"/>
      <c r="X831" s="996"/>
      <c r="Y831" s="1220"/>
      <c r="Z831" s="1290"/>
      <c r="AA831" s="933"/>
      <c r="AB831" s="933"/>
      <c r="AC831" s="933"/>
      <c r="AD831" s="933"/>
    </row>
    <row r="832" customFormat="false" ht="15.75" hidden="false" customHeight="true" outlineLevel="1" collapsed="false">
      <c r="A832" s="1189" t="s">
        <v>3162</v>
      </c>
      <c r="B832" s="1269" t="s">
        <v>156</v>
      </c>
      <c r="C832" s="887" t="n">
        <f aca="false">$K$375</f>
        <v>0.12</v>
      </c>
      <c r="D832" s="1219" t="n">
        <f aca="false">$J$375</f>
        <v>0.05</v>
      </c>
      <c r="E832" s="929" t="n">
        <f aca="false">W846</f>
        <v>2</v>
      </c>
      <c r="F832" s="929" t="n">
        <v>1</v>
      </c>
      <c r="G832" s="1219" t="n">
        <f aca="false">C832*D832*E832*F832</f>
        <v>0.012</v>
      </c>
      <c r="H832" s="1249" t="n">
        <f aca="false">E832*F832</f>
        <v>2</v>
      </c>
      <c r="I832" s="933"/>
      <c r="J832" s="933"/>
      <c r="K832" s="933"/>
      <c r="L832" s="933"/>
      <c r="M832" s="933"/>
      <c r="N832" s="933"/>
      <c r="O832" s="1220"/>
      <c r="P832" s="1290"/>
      <c r="Q832" s="1290"/>
      <c r="R832" s="1290"/>
      <c r="S832" s="933"/>
      <c r="T832" s="1220"/>
      <c r="U832" s="932"/>
      <c r="V832" s="1220"/>
      <c r="W832" s="996"/>
      <c r="X832" s="996"/>
      <c r="Y832" s="1220"/>
      <c r="Z832" s="1290"/>
      <c r="AA832" s="933"/>
      <c r="AB832" s="933"/>
      <c r="AC832" s="933"/>
      <c r="AD832" s="933"/>
    </row>
    <row r="833" customFormat="false" ht="15.75" hidden="false" customHeight="true" outlineLevel="1" collapsed="false">
      <c r="A833" s="1189" t="s">
        <v>3163</v>
      </c>
      <c r="B833" s="1269" t="s">
        <v>156</v>
      </c>
      <c r="C833" s="887" t="n">
        <f aca="false">$K$375</f>
        <v>0.12</v>
      </c>
      <c r="D833" s="1219" t="n">
        <f aca="false">$J$375</f>
        <v>0.05</v>
      </c>
      <c r="E833" s="929" t="n">
        <f aca="false">W847</f>
        <v>2</v>
      </c>
      <c r="F833" s="929" t="n">
        <v>1</v>
      </c>
      <c r="G833" s="1219" t="n">
        <f aca="false">C833*D833*E833*F833</f>
        <v>0.012</v>
      </c>
      <c r="H833" s="1249" t="n">
        <f aca="false">E833*F833</f>
        <v>2</v>
      </c>
      <c r="I833" s="933"/>
      <c r="J833" s="933"/>
      <c r="K833" s="933"/>
      <c r="L833" s="933"/>
      <c r="M833" s="933"/>
      <c r="N833" s="933"/>
      <c r="O833" s="1220"/>
      <c r="P833" s="1290"/>
      <c r="Q833" s="1290"/>
      <c r="R833" s="1290"/>
      <c r="S833" s="933"/>
      <c r="T833" s="1220"/>
      <c r="U833" s="932"/>
      <c r="V833" s="1220"/>
      <c r="W833" s="996"/>
      <c r="X833" s="996"/>
      <c r="Y833" s="1220"/>
      <c r="Z833" s="1290"/>
      <c r="AA833" s="933"/>
      <c r="AB833" s="933"/>
      <c r="AC833" s="933"/>
      <c r="AD833" s="933"/>
    </row>
    <row r="834" customFormat="false" ht="15.75" hidden="false" customHeight="true" outlineLevel="1" collapsed="false">
      <c r="A834" s="1432" t="s">
        <v>3345</v>
      </c>
      <c r="B834" s="1432"/>
      <c r="C834" s="1432"/>
      <c r="D834" s="1022"/>
      <c r="E834" s="1433" t="n">
        <f aca="false">IF('Ввод данных'!A6=связи1!A94,0,0)+IF('Ввод данных'!A6=связи1!A95,1,0)+IF('Ввод данных'!A6=связи1!A96,1,0)+IF('Ввод данных'!A6=связи1!A97,0,0)+IF('Ввод данных'!A6=связи1!A98,1,0)</f>
        <v>0</v>
      </c>
      <c r="F834" s="1023"/>
      <c r="G834" s="933" t="n">
        <f aca="false">SUM(G637:G833)</f>
        <v>0.1413</v>
      </c>
      <c r="H834" s="933"/>
      <c r="I834" s="933"/>
      <c r="J834" s="933"/>
      <c r="K834" s="933"/>
      <c r="L834" s="933"/>
      <c r="M834" s="933"/>
      <c r="N834" s="933"/>
      <c r="O834" s="1220"/>
      <c r="P834" s="1290"/>
      <c r="Q834" s="1290"/>
      <c r="R834" s="1332" t="n">
        <f aca="false">связи1!F190</f>
        <v>0.4</v>
      </c>
      <c r="S834" s="1331" t="n">
        <f aca="false">S620+S624+S625+S623</f>
        <v>0</v>
      </c>
      <c r="T834" s="1331" t="n">
        <f aca="false">R834*S834</f>
        <v>0</v>
      </c>
      <c r="U834" s="932"/>
      <c r="V834" s="1220"/>
      <c r="W834" s="996"/>
      <c r="X834" s="996"/>
      <c r="Y834" s="1220"/>
      <c r="Z834" s="1290"/>
      <c r="AA834" s="933"/>
      <c r="AB834" s="933"/>
      <c r="AC834" s="933"/>
      <c r="AD834" s="933"/>
    </row>
    <row r="835" customFormat="false" ht="15.75" hidden="false" customHeight="true" outlineLevel="1" collapsed="false">
      <c r="A835" s="1434"/>
      <c r="B835" s="1280" t="s">
        <v>120</v>
      </c>
      <c r="C835" s="1307" t="s">
        <v>853</v>
      </c>
      <c r="D835" s="980" t="s">
        <v>1802</v>
      </c>
      <c r="E835" s="1269" t="s">
        <v>293</v>
      </c>
      <c r="F835" s="1269" t="s">
        <v>2974</v>
      </c>
      <c r="G835" s="980" t="s">
        <v>2156</v>
      </c>
      <c r="H835" s="980"/>
      <c r="I835" s="980" t="s">
        <v>2807</v>
      </c>
      <c r="J835" s="980" t="s">
        <v>2975</v>
      </c>
      <c r="K835" s="980" t="s">
        <v>1800</v>
      </c>
      <c r="L835" s="980"/>
      <c r="M835" s="980"/>
      <c r="N835" s="980"/>
      <c r="O835" s="944" t="s">
        <v>2976</v>
      </c>
      <c r="P835" s="1328" t="s">
        <v>2977</v>
      </c>
      <c r="Q835" s="1328" t="s">
        <v>2978</v>
      </c>
      <c r="R835" s="1328" t="s">
        <v>2979</v>
      </c>
      <c r="S835" s="933" t="s">
        <v>2572</v>
      </c>
      <c r="T835" s="944" t="s">
        <v>2980</v>
      </c>
      <c r="U835" s="932"/>
      <c r="V835" s="1220"/>
      <c r="W835" s="996"/>
      <c r="X835" s="996"/>
      <c r="Y835" s="1220"/>
      <c r="Z835" s="1290"/>
      <c r="AA835" s="933"/>
      <c r="AB835" s="933"/>
      <c r="AC835" s="933"/>
      <c r="AD835" s="933"/>
    </row>
    <row r="836" customFormat="false" ht="15.75" hidden="false" customHeight="true" outlineLevel="1" collapsed="false">
      <c r="A836" s="1178" t="s">
        <v>3165</v>
      </c>
      <c r="B836" s="1280" t="s">
        <v>156</v>
      </c>
      <c r="C836" s="1190" t="n">
        <f aca="false">'Ввод данных'!C128*E834</f>
        <v>0</v>
      </c>
      <c r="D836" s="933" t="n">
        <f aca="false">'Ввод данных'!D128</f>
        <v>1</v>
      </c>
      <c r="E836" s="1023" t="n">
        <f aca="false">$E$834*'Ввод данных'!C16</f>
        <v>0</v>
      </c>
      <c r="F836" s="1023" t="n">
        <f aca="false">C836*D836*E836</f>
        <v>0</v>
      </c>
      <c r="G836" s="933" t="n">
        <f aca="false">G375</f>
        <v>0.6</v>
      </c>
      <c r="H836" s="933"/>
      <c r="I836" s="933" t="n">
        <f aca="false">IF(C836=0,0,C836/G836+1)</f>
        <v>0</v>
      </c>
      <c r="J836" s="933" t="n">
        <f aca="false">$J$375</f>
        <v>0.05</v>
      </c>
      <c r="K836" s="933" t="n">
        <f aca="false">$C$151</f>
        <v>0.12</v>
      </c>
      <c r="L836" s="933"/>
      <c r="M836" s="933"/>
      <c r="N836" s="933"/>
      <c r="O836" s="1220" t="n">
        <f aca="false">E836*I836*J836*K836</f>
        <v>0</v>
      </c>
      <c r="P836" s="1290" t="n">
        <f aca="false">C836</f>
        <v>0</v>
      </c>
      <c r="Q836" s="1290" t="n">
        <f aca="false">C836</f>
        <v>0</v>
      </c>
      <c r="R836" s="1290" t="n">
        <f aca="false">C836</f>
        <v>0</v>
      </c>
      <c r="S836" s="933" t="n">
        <f aca="false">C836*D836</f>
        <v>0</v>
      </c>
      <c r="T836" s="1220" t="n">
        <f aca="false">(P836+Q836+R836)*J836*K836</f>
        <v>0</v>
      </c>
      <c r="U836" s="1435" t="n">
        <f aca="false">'Ввод данных'!E99</f>
        <v>0</v>
      </c>
      <c r="V836" s="1368" t="n">
        <f aca="false">U836*E836*J836*$K$124</f>
        <v>0</v>
      </c>
      <c r="W836" s="1436" t="n">
        <f aca="false">'Ввод данных'!C99</f>
        <v>0.8</v>
      </c>
      <c r="X836" s="1436"/>
      <c r="Y836" s="1314" t="n">
        <f aca="false">W836*$K$124*J836</f>
        <v>0.006</v>
      </c>
      <c r="Z836" s="1290"/>
      <c r="AA836" s="933"/>
      <c r="AB836" s="933"/>
      <c r="AC836" s="933"/>
      <c r="AD836" s="933"/>
    </row>
    <row r="837" customFormat="false" ht="15.75" hidden="false" customHeight="true" outlineLevel="1" collapsed="false">
      <c r="A837" s="1178"/>
      <c r="B837" s="1280" t="s">
        <v>156</v>
      </c>
      <c r="C837" s="1190" t="n">
        <f aca="false">'Ввод данных'!C129*E834</f>
        <v>0</v>
      </c>
      <c r="D837" s="933" t="n">
        <f aca="false">'Ввод данных'!D129</f>
        <v>0</v>
      </c>
      <c r="E837" s="1023" t="n">
        <f aca="false">$E$834*'Ввод данных'!C16</f>
        <v>0</v>
      </c>
      <c r="F837" s="1023" t="n">
        <f aca="false">C837*D837*E837</f>
        <v>0</v>
      </c>
      <c r="G837" s="933" t="n">
        <f aca="false">G376</f>
        <v>0.6</v>
      </c>
      <c r="H837" s="933"/>
      <c r="I837" s="933" t="n">
        <f aca="false">IF(C837=0,0,C837/G837+1)</f>
        <v>0</v>
      </c>
      <c r="J837" s="933" t="n">
        <f aca="false">$J$375</f>
        <v>0.05</v>
      </c>
      <c r="K837" s="933" t="n">
        <f aca="false">$C$151</f>
        <v>0.12</v>
      </c>
      <c r="L837" s="933"/>
      <c r="M837" s="933"/>
      <c r="N837" s="933"/>
      <c r="O837" s="1220" t="n">
        <f aca="false">E837*I837*J837*K837</f>
        <v>0</v>
      </c>
      <c r="P837" s="1290" t="n">
        <f aca="false">C837</f>
        <v>0</v>
      </c>
      <c r="Q837" s="1290" t="n">
        <f aca="false">C837</f>
        <v>0</v>
      </c>
      <c r="R837" s="1290" t="n">
        <f aca="false">C837</f>
        <v>0</v>
      </c>
      <c r="S837" s="933" t="n">
        <f aca="false">C837*D837</f>
        <v>0</v>
      </c>
      <c r="T837" s="1220" t="n">
        <f aca="false">(P837+Q837+R837)*J837*K837</f>
        <v>0</v>
      </c>
      <c r="U837" s="1435" t="n">
        <f aca="false">'Ввод данных'!E100</f>
        <v>0</v>
      </c>
      <c r="V837" s="1368" t="n">
        <f aca="false">U837*E837*J837*$K$124</f>
        <v>0</v>
      </c>
      <c r="W837" s="1436" t="n">
        <f aca="false">'Ввод данных'!C100</f>
        <v>1</v>
      </c>
      <c r="X837" s="1436"/>
      <c r="Y837" s="1314" t="n">
        <f aca="false">W837*$K$124*J837</f>
        <v>0.0075</v>
      </c>
      <c r="Z837" s="1290"/>
      <c r="AA837" s="933"/>
      <c r="AB837" s="933"/>
      <c r="AC837" s="933"/>
      <c r="AD837" s="933"/>
    </row>
    <row r="838" customFormat="false" ht="15.75" hidden="false" customHeight="true" outlineLevel="1" collapsed="false">
      <c r="A838" s="1178"/>
      <c r="B838" s="1280" t="s">
        <v>156</v>
      </c>
      <c r="C838" s="1190" t="n">
        <f aca="false">'Ввод данных'!C130*E834</f>
        <v>0</v>
      </c>
      <c r="D838" s="933" t="n">
        <f aca="false">'Ввод данных'!D130</f>
        <v>0</v>
      </c>
      <c r="E838" s="1023" t="n">
        <f aca="false">$E$834*'Ввод данных'!C16</f>
        <v>0</v>
      </c>
      <c r="F838" s="1023" t="n">
        <f aca="false">C838*D838*E838</f>
        <v>0</v>
      </c>
      <c r="G838" s="933" t="n">
        <f aca="false">G377</f>
        <v>0.6</v>
      </c>
      <c r="H838" s="933"/>
      <c r="I838" s="933" t="n">
        <f aca="false">IF(C838=0,0,C838/G838+1)</f>
        <v>0</v>
      </c>
      <c r="J838" s="933" t="n">
        <f aca="false">$J$375</f>
        <v>0.05</v>
      </c>
      <c r="K838" s="933" t="n">
        <f aca="false">$C$151</f>
        <v>0.12</v>
      </c>
      <c r="L838" s="933"/>
      <c r="M838" s="933"/>
      <c r="N838" s="933"/>
      <c r="O838" s="1220" t="n">
        <f aca="false">E838*I838*J838*K838</f>
        <v>0</v>
      </c>
      <c r="P838" s="1290" t="n">
        <f aca="false">C838</f>
        <v>0</v>
      </c>
      <c r="Q838" s="1290" t="n">
        <f aca="false">C838</f>
        <v>0</v>
      </c>
      <c r="R838" s="1290" t="n">
        <f aca="false">C838</f>
        <v>0</v>
      </c>
      <c r="S838" s="933" t="n">
        <f aca="false">C838*D838</f>
        <v>0</v>
      </c>
      <c r="T838" s="1220" t="n">
        <f aca="false">(P838+Q838+R838)*J838*K838</f>
        <v>0</v>
      </c>
      <c r="U838" s="1435" t="n">
        <f aca="false">'Ввод данных'!E103</f>
        <v>0</v>
      </c>
      <c r="V838" s="1368" t="n">
        <f aca="false">U838*E838*J838*$K$124</f>
        <v>0</v>
      </c>
      <c r="W838" s="1436" t="n">
        <f aca="false">'Ввод данных'!C103</f>
        <v>1</v>
      </c>
      <c r="X838" s="1436"/>
      <c r="Y838" s="1314" t="n">
        <f aca="false">W838*$K$124*J838</f>
        <v>0.0075</v>
      </c>
      <c r="Z838" s="1290"/>
      <c r="AA838" s="933"/>
      <c r="AB838" s="933"/>
      <c r="AC838" s="933"/>
      <c r="AD838" s="933"/>
    </row>
    <row r="839" customFormat="false" ht="15.75" hidden="false" customHeight="true" outlineLevel="1" collapsed="false">
      <c r="A839" s="1178"/>
      <c r="B839" s="1280" t="s">
        <v>156</v>
      </c>
      <c r="C839" s="1190" t="n">
        <f aca="false">'Ввод данных'!C131*E834</f>
        <v>0</v>
      </c>
      <c r="D839" s="933" t="n">
        <f aca="false">'Ввод данных'!D131</f>
        <v>0</v>
      </c>
      <c r="E839" s="1023" t="n">
        <f aca="false">$E$834*'Ввод данных'!C16</f>
        <v>0</v>
      </c>
      <c r="F839" s="1023" t="n">
        <f aca="false">C839*D839*E839</f>
        <v>0</v>
      </c>
      <c r="G839" s="933" t="n">
        <f aca="false">G378</f>
        <v>0.6</v>
      </c>
      <c r="H839" s="933"/>
      <c r="I839" s="933" t="n">
        <f aca="false">IF(C839=0,0,C839/G839+1)</f>
        <v>0</v>
      </c>
      <c r="J839" s="933" t="n">
        <f aca="false">$J$375</f>
        <v>0.05</v>
      </c>
      <c r="K839" s="933" t="n">
        <f aca="false">$C$151</f>
        <v>0.12</v>
      </c>
      <c r="L839" s="933"/>
      <c r="M839" s="933"/>
      <c r="N839" s="933"/>
      <c r="O839" s="1220" t="n">
        <f aca="false">E839*I839*J839*K839</f>
        <v>0</v>
      </c>
      <c r="P839" s="1290" t="n">
        <f aca="false">C839</f>
        <v>0</v>
      </c>
      <c r="Q839" s="1290" t="n">
        <f aca="false">C839</f>
        <v>0</v>
      </c>
      <c r="R839" s="1290" t="n">
        <f aca="false">C839</f>
        <v>0</v>
      </c>
      <c r="S839" s="933" t="n">
        <f aca="false">C839*D839</f>
        <v>0</v>
      </c>
      <c r="T839" s="1220" t="n">
        <f aca="false">(P839+Q839+R839)*J839*K839</f>
        <v>0</v>
      </c>
      <c r="U839" s="932" t="n">
        <f aca="false">SUM(U836:U838)</f>
        <v>0</v>
      </c>
      <c r="V839" s="1220"/>
      <c r="W839" s="996"/>
      <c r="X839" s="996"/>
      <c r="Y839" s="1220"/>
      <c r="Z839" s="933"/>
      <c r="AA839" s="933"/>
      <c r="AB839" s="933"/>
      <c r="AC839" s="933"/>
      <c r="AD839" s="933"/>
    </row>
    <row r="840" customFormat="false" ht="15.75" hidden="false" customHeight="true" outlineLevel="1" collapsed="false">
      <c r="A840" s="1360"/>
      <c r="B840" s="1280"/>
      <c r="C840" s="1190"/>
      <c r="D840" s="933"/>
      <c r="E840" s="1023" t="n">
        <f aca="false">$E$834*($E$621+$E$620)</f>
        <v>0</v>
      </c>
      <c r="F840" s="1023"/>
      <c r="G840" s="933"/>
      <c r="H840" s="933"/>
      <c r="I840" s="933" t="n">
        <f aca="false">CEILING(SUM(I836:I839),1)</f>
        <v>0</v>
      </c>
      <c r="J840" s="933"/>
      <c r="K840" s="933"/>
      <c r="L840" s="933"/>
      <c r="M840" s="933"/>
      <c r="N840" s="933"/>
      <c r="O840" s="1332" t="n">
        <f aca="false">связи1!F191</f>
        <v>0.3</v>
      </c>
      <c r="P840" s="1290" t="n">
        <f aca="false">SUM(P836:P839)</f>
        <v>0</v>
      </c>
      <c r="Q840" s="1290" t="n">
        <f aca="false">SUM(Q836:Q839)</f>
        <v>0</v>
      </c>
      <c r="R840" s="1150" t="n">
        <f aca="false">SUM(R836:R839)</f>
        <v>0</v>
      </c>
      <c r="S840" s="1331" t="n">
        <f aca="false">SUM(S836:S839)</f>
        <v>0</v>
      </c>
      <c r="T840" s="1331" t="n">
        <f aca="false">O840*S840</f>
        <v>0</v>
      </c>
      <c r="U840" s="932"/>
      <c r="V840" s="1220"/>
      <c r="W840" s="996"/>
      <c r="X840" s="996"/>
      <c r="Y840" s="1331" t="n">
        <f aca="false">(U836*W836+U837*W837+U838*W838)*R834</f>
        <v>0</v>
      </c>
      <c r="Z840" s="933"/>
      <c r="AA840" s="933"/>
      <c r="AB840" s="933"/>
      <c r="AC840" s="933"/>
      <c r="AD840" s="933"/>
    </row>
    <row r="841" customFormat="false" ht="15.75" hidden="false" customHeight="true" outlineLevel="1" collapsed="false">
      <c r="A841" s="1178" t="s">
        <v>3166</v>
      </c>
      <c r="B841" s="1280" t="s">
        <v>156</v>
      </c>
      <c r="C841" s="1190" t="n">
        <f aca="false">'Ввод данных'!C132*E834</f>
        <v>0</v>
      </c>
      <c r="D841" s="933" t="n">
        <f aca="false">'Ввод данных'!D132</f>
        <v>0</v>
      </c>
      <c r="E841" s="1023" t="n">
        <f aca="false">$E$834*'Ввод данных'!C16</f>
        <v>0</v>
      </c>
      <c r="F841" s="1023" t="n">
        <f aca="false">C841*D841*E841</f>
        <v>0</v>
      </c>
      <c r="G841" s="933" t="n">
        <f aca="false">G380</f>
        <v>0.6</v>
      </c>
      <c r="H841" s="933"/>
      <c r="I841" s="933" t="n">
        <f aca="false">IF(C841=0,0,C841/G841+1)</f>
        <v>0</v>
      </c>
      <c r="J841" s="933" t="n">
        <f aca="false">$D$180</f>
        <v>0.05</v>
      </c>
      <c r="K841" s="933" t="n">
        <f aca="false">$C$180</f>
        <v>0.17</v>
      </c>
      <c r="L841" s="933"/>
      <c r="M841" s="933"/>
      <c r="N841" s="933"/>
      <c r="O841" s="1220" t="n">
        <f aca="false">E841*I841*J841*K841</f>
        <v>0</v>
      </c>
      <c r="P841" s="1290" t="n">
        <f aca="false">C841</f>
        <v>0</v>
      </c>
      <c r="Q841" s="1290" t="n">
        <f aca="false">C841</f>
        <v>0</v>
      </c>
      <c r="R841" s="1290"/>
      <c r="S841" s="933" t="n">
        <f aca="false">C841*D841</f>
        <v>0</v>
      </c>
      <c r="T841" s="1220" t="n">
        <f aca="false">(P841+Q841+R841)*J841*K841</f>
        <v>0</v>
      </c>
      <c r="U841" s="933"/>
      <c r="V841" s="1220"/>
      <c r="W841" s="933"/>
      <c r="X841" s="933"/>
      <c r="Y841" s="1220"/>
      <c r="Z841" s="1290"/>
      <c r="AA841" s="933"/>
      <c r="AB841" s="933"/>
      <c r="AC841" s="933"/>
      <c r="AD841" s="933"/>
    </row>
    <row r="842" customFormat="false" ht="15.75" hidden="false" customHeight="true" outlineLevel="1" collapsed="false">
      <c r="A842" s="1178"/>
      <c r="B842" s="1280" t="s">
        <v>156</v>
      </c>
      <c r="C842" s="1190" t="n">
        <f aca="false">'Ввод данных'!C133*E834</f>
        <v>0</v>
      </c>
      <c r="D842" s="933" t="n">
        <f aca="false">'Ввод данных'!D133</f>
        <v>0</v>
      </c>
      <c r="E842" s="1023" t="n">
        <f aca="false">$E$834*'Ввод данных'!C16</f>
        <v>0</v>
      </c>
      <c r="F842" s="1023" t="n">
        <f aca="false">C842*D842*E842</f>
        <v>0</v>
      </c>
      <c r="G842" s="933" t="n">
        <f aca="false">G381</f>
        <v>0.6</v>
      </c>
      <c r="H842" s="933"/>
      <c r="I842" s="933" t="n">
        <f aca="false">IF(C842=0,0,C842/G842+1)</f>
        <v>0</v>
      </c>
      <c r="J842" s="933" t="n">
        <f aca="false">$D$180</f>
        <v>0.05</v>
      </c>
      <c r="K842" s="933" t="n">
        <f aca="false">$C$180</f>
        <v>0.17</v>
      </c>
      <c r="L842" s="933"/>
      <c r="M842" s="933"/>
      <c r="N842" s="933"/>
      <c r="O842" s="1220" t="n">
        <f aca="false">E842*I842*J842*K842</f>
        <v>0</v>
      </c>
      <c r="P842" s="1290" t="n">
        <f aca="false">C842</f>
        <v>0</v>
      </c>
      <c r="Q842" s="1290" t="n">
        <f aca="false">C842</f>
        <v>0</v>
      </c>
      <c r="R842" s="1290"/>
      <c r="S842" s="933" t="n">
        <f aca="false">C842*D842</f>
        <v>0</v>
      </c>
      <c r="T842" s="1220" t="n">
        <f aca="false">(P842+Q842+R842)*J842*K842</f>
        <v>0</v>
      </c>
      <c r="U842" s="933"/>
      <c r="V842" s="1220"/>
      <c r="W842" s="933"/>
      <c r="X842" s="933"/>
      <c r="Y842" s="1220"/>
      <c r="Z842" s="1290"/>
      <c r="AA842" s="933"/>
      <c r="AB842" s="933"/>
      <c r="AC842" s="933"/>
      <c r="AD842" s="933"/>
    </row>
    <row r="843" customFormat="false" ht="15.75" hidden="false" customHeight="true" outlineLevel="1" collapsed="false">
      <c r="A843" s="1178"/>
      <c r="B843" s="1280" t="s">
        <v>156</v>
      </c>
      <c r="C843" s="1190" t="n">
        <f aca="false">'Ввод данных'!C134*E834</f>
        <v>0</v>
      </c>
      <c r="D843" s="933" t="n">
        <f aca="false">'Ввод данных'!D134</f>
        <v>0</v>
      </c>
      <c r="E843" s="1023" t="n">
        <f aca="false">$E$834*'Ввод данных'!C16</f>
        <v>0</v>
      </c>
      <c r="F843" s="1023" t="n">
        <f aca="false">C843*D843*E843</f>
        <v>0</v>
      </c>
      <c r="G843" s="933" t="n">
        <f aca="false">G382</f>
        <v>0.6</v>
      </c>
      <c r="H843" s="933"/>
      <c r="I843" s="933" t="n">
        <f aca="false">IF(C843=0,0,C843/G843+1)</f>
        <v>0</v>
      </c>
      <c r="J843" s="933" t="n">
        <f aca="false">$D$180</f>
        <v>0.05</v>
      </c>
      <c r="K843" s="933" t="n">
        <f aca="false">$C$180</f>
        <v>0.17</v>
      </c>
      <c r="L843" s="933"/>
      <c r="M843" s="933"/>
      <c r="N843" s="933"/>
      <c r="O843" s="1220" t="n">
        <f aca="false">E843*I843*J843*K843</f>
        <v>0</v>
      </c>
      <c r="P843" s="1290" t="n">
        <f aca="false">C843</f>
        <v>0</v>
      </c>
      <c r="Q843" s="1290" t="n">
        <f aca="false">C843</f>
        <v>0</v>
      </c>
      <c r="R843" s="1290"/>
      <c r="S843" s="933" t="n">
        <f aca="false">C843*D843</f>
        <v>0</v>
      </c>
      <c r="T843" s="1220" t="n">
        <f aca="false">(P843+Q843+R843)*J843*K843</f>
        <v>0</v>
      </c>
      <c r="U843" s="933"/>
      <c r="V843" s="1220"/>
      <c r="W843" s="933"/>
      <c r="X843" s="933"/>
      <c r="Y843" s="1220"/>
      <c r="Z843" s="1290"/>
      <c r="AA843" s="933"/>
      <c r="AB843" s="933"/>
      <c r="AC843" s="933"/>
      <c r="AD843" s="933"/>
    </row>
    <row r="844" customFormat="false" ht="15.75" hidden="false" customHeight="true" outlineLevel="1" collapsed="false">
      <c r="A844" s="1178"/>
      <c r="B844" s="1280" t="s">
        <v>156</v>
      </c>
      <c r="C844" s="1190" t="n">
        <f aca="false">'Ввод данных'!C135*E834</f>
        <v>0</v>
      </c>
      <c r="D844" s="933" t="n">
        <f aca="false">'Ввод данных'!D135</f>
        <v>0</v>
      </c>
      <c r="E844" s="1023" t="n">
        <f aca="false">$E$834*'Ввод данных'!C16</f>
        <v>0</v>
      </c>
      <c r="F844" s="1023" t="n">
        <f aca="false">C844*D844*E844</f>
        <v>0</v>
      </c>
      <c r="G844" s="933" t="n">
        <f aca="false">G383</f>
        <v>0.6</v>
      </c>
      <c r="H844" s="933"/>
      <c r="I844" s="933" t="n">
        <f aca="false">IF(C844=0,0,C844/G844+1)</f>
        <v>0</v>
      </c>
      <c r="J844" s="933" t="n">
        <f aca="false">$D$180</f>
        <v>0.05</v>
      </c>
      <c r="K844" s="933" t="n">
        <f aca="false">$C$180</f>
        <v>0.17</v>
      </c>
      <c r="L844" s="933"/>
      <c r="M844" s="933"/>
      <c r="N844" s="933"/>
      <c r="O844" s="1220" t="n">
        <f aca="false">E844*I844*J844*K844</f>
        <v>0</v>
      </c>
      <c r="P844" s="1290" t="n">
        <f aca="false">C844</f>
        <v>0</v>
      </c>
      <c r="Q844" s="1290" t="n">
        <f aca="false">C844</f>
        <v>0</v>
      </c>
      <c r="R844" s="1290"/>
      <c r="S844" s="933" t="n">
        <f aca="false">C844*D844</f>
        <v>0</v>
      </c>
      <c r="T844" s="1220" t="n">
        <f aca="false">(P844+Q844+R844)*J844*K844</f>
        <v>0</v>
      </c>
      <c r="U844" s="932"/>
      <c r="V844" s="1220"/>
      <c r="W844" s="996"/>
      <c r="X844" s="996"/>
      <c r="Y844" s="1220"/>
      <c r="Z844" s="933"/>
      <c r="AA844" s="933"/>
      <c r="AB844" s="933"/>
      <c r="AC844" s="933"/>
      <c r="AD844" s="933"/>
    </row>
    <row r="845" customFormat="false" ht="15.75" hidden="false" customHeight="true" outlineLevel="1" collapsed="false">
      <c r="A845" s="1360"/>
      <c r="B845" s="1280"/>
      <c r="C845" s="1190"/>
      <c r="D845" s="933"/>
      <c r="E845" s="1023" t="n">
        <f aca="false">$E$834*($E$621+$E$620)</f>
        <v>0</v>
      </c>
      <c r="F845" s="1023"/>
      <c r="G845" s="933"/>
      <c r="H845" s="933"/>
      <c r="I845" s="933" t="n">
        <f aca="false">CEILING(SUM(I841:I844),1)</f>
        <v>0</v>
      </c>
      <c r="J845" s="933"/>
      <c r="K845" s="933"/>
      <c r="L845" s="933"/>
      <c r="M845" s="933"/>
      <c r="N845" s="933"/>
      <c r="O845" s="1332" t="n">
        <f aca="false">связи1!F192</f>
        <v>0.2</v>
      </c>
      <c r="P845" s="1290" t="n">
        <f aca="false">SUM(P841:P844)</f>
        <v>0</v>
      </c>
      <c r="Q845" s="1290" t="n">
        <f aca="false">SUM(Q841:Q844)</f>
        <v>0</v>
      </c>
      <c r="S845" s="1331" t="n">
        <f aca="false">SUM(S841:S844)</f>
        <v>0</v>
      </c>
      <c r="T845" s="1331" t="n">
        <f aca="false">O845*S845</f>
        <v>0</v>
      </c>
      <c r="U845" s="932"/>
      <c r="V845" s="1220"/>
      <c r="W845" s="996"/>
      <c r="X845" s="996"/>
      <c r="Y845" s="1220"/>
      <c r="Z845" s="933"/>
      <c r="AA845" s="933"/>
      <c r="AB845" s="933"/>
      <c r="AC845" s="933"/>
      <c r="AD845" s="933"/>
    </row>
    <row r="846" customFormat="false" ht="15.75" hidden="false" customHeight="true" outlineLevel="1" collapsed="false">
      <c r="A846" s="1178" t="s">
        <v>3167</v>
      </c>
      <c r="B846" s="1280"/>
      <c r="C846" s="1190" t="n">
        <f aca="false">'Ввод данных'!C136*E834</f>
        <v>0</v>
      </c>
      <c r="D846" s="933" t="n">
        <f aca="false">'Ввод данных'!D136</f>
        <v>1</v>
      </c>
      <c r="E846" s="1023" t="n">
        <f aca="false">$E$834*'Ввод данных'!C16</f>
        <v>0</v>
      </c>
      <c r="F846" s="1023" t="n">
        <f aca="false">C846*D846*E846</f>
        <v>0</v>
      </c>
      <c r="G846" s="933" t="n">
        <f aca="false">G385</f>
        <v>0.6</v>
      </c>
      <c r="H846" s="933"/>
      <c r="I846" s="933" t="n">
        <f aca="false">IF(C846=0,0,C846/G846+1)</f>
        <v>0</v>
      </c>
      <c r="J846" s="933" t="n">
        <f aca="false">$J$375</f>
        <v>0.05</v>
      </c>
      <c r="K846" s="933" t="n">
        <f aca="false">$C$151</f>
        <v>0.12</v>
      </c>
      <c r="L846" s="933"/>
      <c r="M846" s="933"/>
      <c r="N846" s="933"/>
      <c r="O846" s="1220" t="n">
        <f aca="false">E846*I846*J846*K846</f>
        <v>0</v>
      </c>
      <c r="P846" s="1290" t="n">
        <f aca="false">C846</f>
        <v>0</v>
      </c>
      <c r="Q846" s="1290" t="n">
        <f aca="false">C846</f>
        <v>0</v>
      </c>
      <c r="R846" s="1290" t="n">
        <f aca="false">C846</f>
        <v>0</v>
      </c>
      <c r="S846" s="933" t="n">
        <f aca="false">C846*D846</f>
        <v>0</v>
      </c>
      <c r="T846" s="1220" t="n">
        <f aca="false">(P846+Q846+R846)*J846*K846</f>
        <v>0</v>
      </c>
      <c r="U846" s="1435" t="n">
        <f aca="false">'Ввод данных'!E101</f>
        <v>0</v>
      </c>
      <c r="V846" s="1368" t="n">
        <f aca="false">U846*E846*J846*$K$124</f>
        <v>0</v>
      </c>
      <c r="W846" s="1436" t="n">
        <f aca="false">'Ввод данных'!C101</f>
        <v>2</v>
      </c>
      <c r="X846" s="1436"/>
      <c r="Y846" s="1314" t="n">
        <f aca="false">W846*$K$124*J846</f>
        <v>0.015</v>
      </c>
      <c r="Z846" s="1290"/>
      <c r="AA846" s="933"/>
      <c r="AB846" s="933"/>
      <c r="AC846" s="933"/>
      <c r="AD846" s="933"/>
    </row>
    <row r="847" customFormat="false" ht="15.75" hidden="false" customHeight="true" outlineLevel="1" collapsed="false">
      <c r="A847" s="1178"/>
      <c r="B847" s="1280"/>
      <c r="C847" s="1190" t="n">
        <f aca="false">'Ввод данных'!C137*E834</f>
        <v>0</v>
      </c>
      <c r="D847" s="933" t="n">
        <f aca="false">'Ввод данных'!D137</f>
        <v>1</v>
      </c>
      <c r="E847" s="1023" t="n">
        <f aca="false">$E$834*'Ввод данных'!C16</f>
        <v>0</v>
      </c>
      <c r="F847" s="1023" t="n">
        <f aca="false">C847*D847*E847</f>
        <v>0</v>
      </c>
      <c r="G847" s="933" t="n">
        <f aca="false">G386</f>
        <v>0.6</v>
      </c>
      <c r="H847" s="933"/>
      <c r="I847" s="933" t="n">
        <f aca="false">IF(C847=0,0,C847/G847+1)</f>
        <v>0</v>
      </c>
      <c r="J847" s="933" t="n">
        <f aca="false">$J$375</f>
        <v>0.05</v>
      </c>
      <c r="K847" s="933" t="n">
        <f aca="false">$C$151</f>
        <v>0.12</v>
      </c>
      <c r="L847" s="933"/>
      <c r="M847" s="933"/>
      <c r="N847" s="933"/>
      <c r="O847" s="1220" t="n">
        <f aca="false">E847*I847*J847*K847</f>
        <v>0</v>
      </c>
      <c r="P847" s="1290" t="n">
        <f aca="false">C847</f>
        <v>0</v>
      </c>
      <c r="Q847" s="1290" t="n">
        <f aca="false">C847</f>
        <v>0</v>
      </c>
      <c r="R847" s="1290" t="n">
        <f aca="false">C847</f>
        <v>0</v>
      </c>
      <c r="S847" s="933" t="n">
        <f aca="false">C847*D847</f>
        <v>0</v>
      </c>
      <c r="T847" s="1220" t="n">
        <f aca="false">(P847+Q847+R847)*J847*K847</f>
        <v>0</v>
      </c>
      <c r="U847" s="1435" t="n">
        <f aca="false">'Ввод данных'!E105</f>
        <v>0</v>
      </c>
      <c r="V847" s="1368" t="n">
        <f aca="false">U847*E847*J847*$K$124</f>
        <v>0</v>
      </c>
      <c r="W847" s="1436" t="n">
        <f aca="false">'Ввод данных'!C105</f>
        <v>2</v>
      </c>
      <c r="X847" s="1436"/>
      <c r="Y847" s="1314" t="n">
        <f aca="false">W847*$K$124*J847</f>
        <v>0.015</v>
      </c>
      <c r="Z847" s="1290"/>
      <c r="AA847" s="933"/>
      <c r="AB847" s="933"/>
      <c r="AC847" s="933"/>
      <c r="AD847" s="933"/>
    </row>
    <row r="848" customFormat="false" ht="15.75" hidden="false" customHeight="true" outlineLevel="1" collapsed="false">
      <c r="A848" s="1178"/>
      <c r="B848" s="1280"/>
      <c r="C848" s="1190" t="n">
        <f aca="false">'Ввод данных'!C138*E834</f>
        <v>0</v>
      </c>
      <c r="D848" s="933" t="n">
        <f aca="false">'Ввод данных'!D138</f>
        <v>1</v>
      </c>
      <c r="E848" s="1023" t="n">
        <f aca="false">$E$834*'Ввод данных'!C16</f>
        <v>0</v>
      </c>
      <c r="F848" s="1023" t="n">
        <f aca="false">C848*D848*E848</f>
        <v>0</v>
      </c>
      <c r="G848" s="933" t="n">
        <f aca="false">G387</f>
        <v>0.6</v>
      </c>
      <c r="H848" s="933"/>
      <c r="I848" s="933" t="n">
        <f aca="false">IF(C848=0,0,C848/G848+1)</f>
        <v>0</v>
      </c>
      <c r="J848" s="933" t="n">
        <f aca="false">$J$375</f>
        <v>0.05</v>
      </c>
      <c r="K848" s="933" t="n">
        <f aca="false">$C$151</f>
        <v>0.12</v>
      </c>
      <c r="L848" s="933"/>
      <c r="M848" s="933"/>
      <c r="N848" s="933"/>
      <c r="O848" s="1220" t="n">
        <f aca="false">E848*I848*J848*K848</f>
        <v>0</v>
      </c>
      <c r="P848" s="1290" t="n">
        <f aca="false">C848</f>
        <v>0</v>
      </c>
      <c r="Q848" s="1290" t="n">
        <f aca="false">C848</f>
        <v>0</v>
      </c>
      <c r="R848" s="1290" t="n">
        <f aca="false">C848</f>
        <v>0</v>
      </c>
      <c r="S848" s="933" t="n">
        <f aca="false">C848*D848</f>
        <v>0</v>
      </c>
      <c r="T848" s="1220" t="n">
        <f aca="false">(P848+Q848+R848)*J848*K848</f>
        <v>0</v>
      </c>
      <c r="U848" s="933" t="n">
        <f aca="false">SUM(U846:U847)</f>
        <v>0</v>
      </c>
      <c r="V848" s="1220"/>
      <c r="W848" s="932"/>
      <c r="X848" s="932"/>
      <c r="Y848" s="1284"/>
      <c r="Z848" s="933"/>
      <c r="AA848" s="933"/>
      <c r="AB848" s="933"/>
      <c r="AC848" s="933"/>
      <c r="AD848" s="933"/>
    </row>
    <row r="849" customFormat="false" ht="15.75" hidden="false" customHeight="true" outlineLevel="1" collapsed="false">
      <c r="A849" s="1178"/>
      <c r="B849" s="1280"/>
      <c r="C849" s="1190" t="n">
        <f aca="false">'Ввод данных'!C139*E834</f>
        <v>0</v>
      </c>
      <c r="D849" s="933" t="n">
        <f aca="false">'Ввод данных'!D139</f>
        <v>0</v>
      </c>
      <c r="E849" s="1023" t="n">
        <f aca="false">$E$834*'Ввод данных'!C16</f>
        <v>0</v>
      </c>
      <c r="F849" s="1023" t="n">
        <f aca="false">C849*D849*E849</f>
        <v>0</v>
      </c>
      <c r="G849" s="933" t="n">
        <f aca="false">G388</f>
        <v>0.6</v>
      </c>
      <c r="H849" s="933"/>
      <c r="I849" s="933" t="n">
        <f aca="false">IF(C849=0,0,C849/G849+1)</f>
        <v>0</v>
      </c>
      <c r="J849" s="933" t="n">
        <f aca="false">$J$375</f>
        <v>0.05</v>
      </c>
      <c r="K849" s="933" t="n">
        <f aca="false">$C$151</f>
        <v>0.12</v>
      </c>
      <c r="L849" s="933"/>
      <c r="M849" s="933"/>
      <c r="N849" s="933"/>
      <c r="O849" s="1220" t="n">
        <f aca="false">E849*I849*J849*K849</f>
        <v>0</v>
      </c>
      <c r="P849" s="1290" t="n">
        <f aca="false">C849</f>
        <v>0</v>
      </c>
      <c r="Q849" s="1290" t="n">
        <f aca="false">C849</f>
        <v>0</v>
      </c>
      <c r="R849" s="1290" t="n">
        <f aca="false">C849</f>
        <v>0</v>
      </c>
      <c r="S849" s="933" t="n">
        <f aca="false">C849*D849</f>
        <v>0</v>
      </c>
      <c r="T849" s="1220" t="n">
        <f aca="false">(P849+Q849+R849)*J849*K849</f>
        <v>0</v>
      </c>
      <c r="U849" s="933"/>
      <c r="V849" s="1220"/>
      <c r="W849" s="933"/>
      <c r="X849" s="933"/>
      <c r="Y849" s="1284"/>
      <c r="Z849" s="933"/>
      <c r="AA849" s="933"/>
      <c r="AB849" s="933"/>
      <c r="AC849" s="933"/>
      <c r="AD849" s="933"/>
    </row>
    <row r="850" customFormat="false" ht="15.75" hidden="false" customHeight="true" outlineLevel="1" collapsed="false">
      <c r="A850" s="1360"/>
      <c r="B850" s="1280"/>
      <c r="C850" s="1190"/>
      <c r="D850" s="933"/>
      <c r="E850" s="1023" t="n">
        <f aca="false">$E$834*($E$621+$E$620)</f>
        <v>0</v>
      </c>
      <c r="F850" s="1023"/>
      <c r="G850" s="933"/>
      <c r="H850" s="933"/>
      <c r="I850" s="933" t="n">
        <f aca="false">CEILING(SUM(I846:I849),1)</f>
        <v>0</v>
      </c>
      <c r="J850" s="933"/>
      <c r="K850" s="933"/>
      <c r="L850" s="933"/>
      <c r="M850" s="933"/>
      <c r="N850" s="933"/>
      <c r="O850" s="1332" t="n">
        <f aca="false">связи1!F191</f>
        <v>0.3</v>
      </c>
      <c r="P850" s="1290" t="n">
        <f aca="false">SUM(P846:P849)</f>
        <v>0</v>
      </c>
      <c r="Q850" s="1290" t="n">
        <f aca="false">SUM(Q846:Q849)</f>
        <v>0</v>
      </c>
      <c r="R850" s="1150" t="n">
        <f aca="false">SUM(R846:R849)</f>
        <v>0</v>
      </c>
      <c r="S850" s="1331" t="n">
        <f aca="false">SUM(S846:S849)</f>
        <v>0</v>
      </c>
      <c r="T850" s="1331" t="n">
        <f aca="false">O850*S850</f>
        <v>0</v>
      </c>
      <c r="U850" s="933"/>
      <c r="V850" s="1220"/>
      <c r="W850" s="933"/>
      <c r="X850" s="933"/>
      <c r="Y850" s="1332" t="n">
        <f aca="false">(U846*W846+U847*W847)*O840</f>
        <v>0</v>
      </c>
      <c r="Z850" s="933"/>
      <c r="AA850" s="933"/>
      <c r="AB850" s="933"/>
      <c r="AC850" s="933"/>
      <c r="AD850" s="933"/>
    </row>
    <row r="851" customFormat="false" ht="15.75" hidden="false" customHeight="true" outlineLevel="1" collapsed="false">
      <c r="A851" s="1178" t="s">
        <v>3168</v>
      </c>
      <c r="B851" s="1280"/>
      <c r="C851" s="1190" t="n">
        <f aca="false">'Ввод данных'!C140*E834</f>
        <v>0</v>
      </c>
      <c r="D851" s="933" t="n">
        <f aca="false">'Ввод данных'!D140</f>
        <v>0</v>
      </c>
      <c r="E851" s="1023" t="n">
        <f aca="false">$E$834*'Ввод данных'!C16</f>
        <v>0</v>
      </c>
      <c r="F851" s="1023" t="n">
        <f aca="false">C851*D851*E851</f>
        <v>0</v>
      </c>
      <c r="G851" s="933" t="n">
        <f aca="false">G390</f>
        <v>0.6</v>
      </c>
      <c r="H851" s="933"/>
      <c r="I851" s="933" t="n">
        <f aca="false">IF(C851=0,0,C851/G851+1)</f>
        <v>0</v>
      </c>
      <c r="J851" s="933" t="n">
        <f aca="false">$D$180</f>
        <v>0.05</v>
      </c>
      <c r="K851" s="933" t="n">
        <f aca="false">$C$180</f>
        <v>0.17</v>
      </c>
      <c r="L851" s="933"/>
      <c r="M851" s="933"/>
      <c r="N851" s="933"/>
      <c r="O851" s="1220" t="n">
        <f aca="false">E851*I851*J851*K851</f>
        <v>0</v>
      </c>
      <c r="P851" s="1290" t="n">
        <f aca="false">C851</f>
        <v>0</v>
      </c>
      <c r="Q851" s="1290" t="n">
        <f aca="false">C851</f>
        <v>0</v>
      </c>
      <c r="R851" s="1290" t="n">
        <f aca="false">SUM(P851:Q851)</f>
        <v>0</v>
      </c>
      <c r="S851" s="933" t="n">
        <f aca="false">C851*D851</f>
        <v>0</v>
      </c>
      <c r="T851" s="1220" t="n">
        <f aca="false">(P851+Q851+R851)*J851*K851</f>
        <v>0</v>
      </c>
      <c r="U851" s="933"/>
      <c r="V851" s="1220"/>
      <c r="W851" s="933"/>
      <c r="X851" s="933"/>
      <c r="Y851" s="1220"/>
      <c r="Z851" s="1290"/>
      <c r="AA851" s="933"/>
      <c r="AB851" s="933"/>
      <c r="AC851" s="933"/>
      <c r="AD851" s="933"/>
    </row>
    <row r="852" customFormat="false" ht="15.75" hidden="false" customHeight="true" outlineLevel="1" collapsed="false">
      <c r="A852" s="1178"/>
      <c r="B852" s="1280"/>
      <c r="C852" s="1190" t="n">
        <f aca="false">'Ввод данных'!C141*E834</f>
        <v>0</v>
      </c>
      <c r="D852" s="933" t="n">
        <f aca="false">'Ввод данных'!D141</f>
        <v>0</v>
      </c>
      <c r="E852" s="1023" t="n">
        <f aca="false">$E$834*'Ввод данных'!C16</f>
        <v>0</v>
      </c>
      <c r="F852" s="1023" t="n">
        <f aca="false">C852*D852*E852</f>
        <v>0</v>
      </c>
      <c r="G852" s="933" t="n">
        <f aca="false">G391</f>
        <v>0.6</v>
      </c>
      <c r="H852" s="933"/>
      <c r="I852" s="933" t="n">
        <f aca="false">IF(C852=0,0,C852/G852+1)</f>
        <v>0</v>
      </c>
      <c r="J852" s="933" t="n">
        <f aca="false">$D$180</f>
        <v>0.05</v>
      </c>
      <c r="K852" s="933" t="n">
        <f aca="false">$C$180</f>
        <v>0.17</v>
      </c>
      <c r="L852" s="933"/>
      <c r="M852" s="933"/>
      <c r="N852" s="933"/>
      <c r="O852" s="1220" t="n">
        <f aca="false">E852*I852*J852*K852</f>
        <v>0</v>
      </c>
      <c r="P852" s="1290" t="n">
        <f aca="false">C852</f>
        <v>0</v>
      </c>
      <c r="Q852" s="1290" t="n">
        <f aca="false">C852</f>
        <v>0</v>
      </c>
      <c r="R852" s="1290" t="n">
        <f aca="false">SUM(P852:Q852)</f>
        <v>0</v>
      </c>
      <c r="S852" s="933" t="n">
        <f aca="false">C852*D852</f>
        <v>0</v>
      </c>
      <c r="T852" s="1220" t="n">
        <f aca="false">(P852+Q852+R852)*J852*K852</f>
        <v>0</v>
      </c>
      <c r="U852" s="933"/>
      <c r="V852" s="1220"/>
      <c r="W852" s="933"/>
      <c r="X852" s="933"/>
      <c r="Y852" s="1220"/>
      <c r="Z852" s="1290"/>
      <c r="AA852" s="933"/>
      <c r="AB852" s="933"/>
      <c r="AC852" s="933"/>
      <c r="AD852" s="933"/>
    </row>
    <row r="853" customFormat="false" ht="15.75" hidden="false" customHeight="true" outlineLevel="1" collapsed="false">
      <c r="A853" s="1178"/>
      <c r="B853" s="1280"/>
      <c r="C853" s="1190" t="n">
        <f aca="false">'Ввод данных'!C142*E834</f>
        <v>0</v>
      </c>
      <c r="D853" s="933" t="n">
        <f aca="false">'Ввод данных'!D142</f>
        <v>0</v>
      </c>
      <c r="E853" s="1023" t="n">
        <f aca="false">$E$834*'Ввод данных'!C16</f>
        <v>0</v>
      </c>
      <c r="F853" s="1023" t="n">
        <f aca="false">C853*D853*E853</f>
        <v>0</v>
      </c>
      <c r="G853" s="933" t="n">
        <f aca="false">G392</f>
        <v>0.6</v>
      </c>
      <c r="H853" s="933"/>
      <c r="I853" s="933" t="n">
        <f aca="false">IF(C853=0,0,C853/G853+1)</f>
        <v>0</v>
      </c>
      <c r="J853" s="933" t="n">
        <f aca="false">$D$180</f>
        <v>0.05</v>
      </c>
      <c r="K853" s="933" t="n">
        <f aca="false">$C$180</f>
        <v>0.17</v>
      </c>
      <c r="L853" s="933"/>
      <c r="M853" s="933"/>
      <c r="N853" s="933"/>
      <c r="O853" s="1220" t="n">
        <f aca="false">E853*I853*J853*K853</f>
        <v>0</v>
      </c>
      <c r="P853" s="1290" t="n">
        <f aca="false">C853</f>
        <v>0</v>
      </c>
      <c r="Q853" s="1290" t="n">
        <f aca="false">C853</f>
        <v>0</v>
      </c>
      <c r="R853" s="1290" t="n">
        <f aca="false">SUM(P853:Q853)</f>
        <v>0</v>
      </c>
      <c r="S853" s="933" t="n">
        <f aca="false">C853*D853</f>
        <v>0</v>
      </c>
      <c r="T853" s="1220" t="n">
        <f aca="false">(P853+Q853+R853)*J853*K853</f>
        <v>0</v>
      </c>
      <c r="U853" s="887"/>
      <c r="V853" s="1220"/>
      <c r="W853" s="933"/>
      <c r="X853" s="933"/>
      <c r="Y853" s="1284"/>
      <c r="Z853" s="933"/>
      <c r="AA853" s="933"/>
      <c r="AB853" s="933"/>
      <c r="AC853" s="933"/>
      <c r="AD853" s="933"/>
    </row>
    <row r="854" customFormat="false" ht="15.75" hidden="false" customHeight="true" outlineLevel="1" collapsed="false">
      <c r="A854" s="1178"/>
      <c r="B854" s="1280"/>
      <c r="C854" s="1190" t="n">
        <f aca="false">'Ввод данных'!C143*E834</f>
        <v>0</v>
      </c>
      <c r="D854" s="933" t="n">
        <f aca="false">'Ввод данных'!D143</f>
        <v>0</v>
      </c>
      <c r="E854" s="1023" t="n">
        <f aca="false">$E$834*'Ввод данных'!C16</f>
        <v>0</v>
      </c>
      <c r="F854" s="1023" t="n">
        <f aca="false">C854*D854*E854</f>
        <v>0</v>
      </c>
      <c r="G854" s="933" t="n">
        <f aca="false">G393</f>
        <v>0.6</v>
      </c>
      <c r="H854" s="933"/>
      <c r="I854" s="933" t="n">
        <f aca="false">IF(C854=0,0,C854/G854+1)</f>
        <v>0</v>
      </c>
      <c r="J854" s="933" t="n">
        <f aca="false">$D$180</f>
        <v>0.05</v>
      </c>
      <c r="K854" s="933" t="n">
        <f aca="false">$C$180</f>
        <v>0.17</v>
      </c>
      <c r="L854" s="933"/>
      <c r="M854" s="933"/>
      <c r="N854" s="933"/>
      <c r="O854" s="1220" t="n">
        <f aca="false">E854*I854*J854*K854</f>
        <v>0</v>
      </c>
      <c r="P854" s="1290" t="n">
        <f aca="false">C854</f>
        <v>0</v>
      </c>
      <c r="Q854" s="1290" t="n">
        <f aca="false">C854</f>
        <v>0</v>
      </c>
      <c r="R854" s="1290" t="n">
        <f aca="false">SUM(P854:Q854)</f>
        <v>0</v>
      </c>
      <c r="S854" s="933" t="n">
        <f aca="false">C854*D854</f>
        <v>0</v>
      </c>
      <c r="T854" s="1220" t="n">
        <f aca="false">(P854+Q854+R854)*J854*K854</f>
        <v>0</v>
      </c>
      <c r="U854" s="1329"/>
      <c r="V854" s="1220"/>
      <c r="W854" s="933"/>
      <c r="X854" s="933"/>
      <c r="Y854" s="1284"/>
      <c r="Z854" s="933"/>
      <c r="AA854" s="933"/>
      <c r="AB854" s="933"/>
      <c r="AC854" s="933"/>
      <c r="AD854" s="933"/>
    </row>
    <row r="855" customFormat="false" ht="15.75" hidden="false" customHeight="true" outlineLevel="1" collapsed="false">
      <c r="A855" s="1437" t="s">
        <v>3346</v>
      </c>
      <c r="B855" s="1438"/>
      <c r="C855" s="1432"/>
      <c r="D855" s="1022"/>
      <c r="E855" s="1433"/>
      <c r="F855" s="1023"/>
      <c r="G855" s="933"/>
      <c r="H855" s="933"/>
      <c r="I855" s="933" t="n">
        <f aca="false">CEILING(SUM(I851:I854),1)</f>
        <v>0</v>
      </c>
      <c r="J855" s="933"/>
      <c r="K855" s="933"/>
      <c r="L855" s="933"/>
      <c r="M855" s="933"/>
      <c r="N855" s="933"/>
      <c r="O855" s="1332" t="n">
        <f aca="false">связи1!F192</f>
        <v>0.2</v>
      </c>
      <c r="P855" s="1290" t="n">
        <f aca="false">SUM(P851:P854)</f>
        <v>0</v>
      </c>
      <c r="Q855" s="1290" t="n">
        <f aca="false">SUM(Q851:Q854)</f>
        <v>0</v>
      </c>
      <c r="R855" s="1150" t="n">
        <f aca="false">SUM(P855:Q855)</f>
        <v>0</v>
      </c>
      <c r="S855" s="1331" t="n">
        <f aca="false">SUM(S851:S854)</f>
        <v>0</v>
      </c>
      <c r="T855" s="1331" t="n">
        <f aca="false">O855*S855</f>
        <v>0</v>
      </c>
      <c r="U855" s="1329"/>
      <c r="V855" s="1220"/>
      <c r="W855" s="933"/>
      <c r="X855" s="933"/>
      <c r="Y855" s="1284"/>
      <c r="Z855" s="933"/>
      <c r="AA855" s="933"/>
      <c r="AB855" s="933"/>
      <c r="AC855" s="933"/>
      <c r="AD855" s="933"/>
    </row>
    <row r="856" customFormat="false" ht="15.75" hidden="false" customHeight="true" outlineLevel="1" collapsed="false">
      <c r="A856" s="1439" t="s">
        <v>3169</v>
      </c>
      <c r="B856" s="1280"/>
      <c r="C856" s="1190" t="n">
        <f aca="false">C395*C1233</f>
        <v>0</v>
      </c>
      <c r="D856" s="933"/>
      <c r="E856" s="1023" t="n">
        <f aca="false">E395</f>
        <v>3.2</v>
      </c>
      <c r="F856" s="1023" t="n">
        <f aca="false">C856*E856</f>
        <v>0</v>
      </c>
      <c r="G856" s="933" t="n">
        <f aca="false">G395</f>
        <v>0.6</v>
      </c>
      <c r="H856" s="933"/>
      <c r="I856" s="933" t="n">
        <f aca="false">IF(C856=0,0,C856/G856+1)</f>
        <v>0</v>
      </c>
      <c r="J856" s="933" t="n">
        <f aca="false">$D$143</f>
        <v>0.05</v>
      </c>
      <c r="K856" s="933" t="n">
        <f aca="false">$C$143</f>
        <v>0.15</v>
      </c>
      <c r="L856" s="933"/>
      <c r="M856" s="933"/>
      <c r="N856" s="933"/>
      <c r="O856" s="1220" t="n">
        <f aca="false">E856*I856*J856*K856</f>
        <v>0</v>
      </c>
      <c r="P856" s="1290" t="n">
        <f aca="false">C856</f>
        <v>0</v>
      </c>
      <c r="Q856" s="1290" t="n">
        <f aca="false">C856</f>
        <v>0</v>
      </c>
      <c r="R856" s="1290" t="n">
        <f aca="false">C856</f>
        <v>0</v>
      </c>
      <c r="S856" s="933"/>
      <c r="T856" s="1220" t="n">
        <f aca="false">(P856+Q856+R856)*J856*K856</f>
        <v>0</v>
      </c>
      <c r="U856" s="1329"/>
      <c r="V856" s="1220"/>
      <c r="W856" s="933"/>
      <c r="X856" s="933"/>
      <c r="Y856" s="1284"/>
      <c r="Z856" s="933"/>
      <c r="AA856" s="933"/>
      <c r="AB856" s="933"/>
      <c r="AC856" s="933"/>
      <c r="AD856" s="933"/>
    </row>
    <row r="857" customFormat="false" ht="15.75" hidden="false" customHeight="true" outlineLevel="1" collapsed="false">
      <c r="A857" s="1439" t="s">
        <v>3170</v>
      </c>
      <c r="B857" s="1280"/>
      <c r="C857" s="1190" t="n">
        <f aca="false">C396*C1233</f>
        <v>0</v>
      </c>
      <c r="D857" s="933"/>
      <c r="E857" s="1023" t="n">
        <f aca="false">E396</f>
        <v>3.2</v>
      </c>
      <c r="F857" s="1023" t="n">
        <f aca="false">C857*E857</f>
        <v>0</v>
      </c>
      <c r="G857" s="933" t="n">
        <f aca="false">G396</f>
        <v>0.6</v>
      </c>
      <c r="H857" s="933"/>
      <c r="I857" s="933" t="n">
        <f aca="false">IF(C857=0,0,C857/G857+1)</f>
        <v>0</v>
      </c>
      <c r="J857" s="933" t="n">
        <f aca="false">$D$143</f>
        <v>0.05</v>
      </c>
      <c r="K857" s="933" t="n">
        <f aca="false">$C$143</f>
        <v>0.15</v>
      </c>
      <c r="L857" s="933"/>
      <c r="M857" s="933"/>
      <c r="N857" s="933"/>
      <c r="O857" s="1220" t="n">
        <f aca="false">E857*I857*J857*K857</f>
        <v>0</v>
      </c>
      <c r="P857" s="1290" t="n">
        <f aca="false">C857</f>
        <v>0</v>
      </c>
      <c r="Q857" s="1290" t="n">
        <f aca="false">C857</f>
        <v>0</v>
      </c>
      <c r="R857" s="1290" t="n">
        <f aca="false">C857</f>
        <v>0</v>
      </c>
      <c r="S857" s="933"/>
      <c r="T857" s="1220" t="n">
        <f aca="false">(P857+Q857+R857)*J857*K857</f>
        <v>0</v>
      </c>
      <c r="U857" s="1329"/>
      <c r="V857" s="1220"/>
      <c r="W857" s="933"/>
      <c r="X857" s="933"/>
      <c r="Y857" s="1284"/>
      <c r="Z857" s="933"/>
      <c r="AA857" s="933"/>
      <c r="AB857" s="933"/>
      <c r="AC857" s="933"/>
      <c r="AD857" s="933"/>
    </row>
    <row r="858" customFormat="false" ht="15.75" hidden="false" customHeight="true" outlineLevel="1" collapsed="false">
      <c r="A858" s="1439" t="s">
        <v>3171</v>
      </c>
      <c r="B858" s="1280"/>
      <c r="C858" s="1190" t="n">
        <f aca="false">C397*C1233</f>
        <v>0</v>
      </c>
      <c r="D858" s="933"/>
      <c r="E858" s="1023" t="n">
        <f aca="false">E397</f>
        <v>3.2</v>
      </c>
      <c r="F858" s="1023" t="n">
        <f aca="false">C858*E858</f>
        <v>0</v>
      </c>
      <c r="G858" s="933" t="n">
        <f aca="false">G397</f>
        <v>0.6</v>
      </c>
      <c r="H858" s="933"/>
      <c r="I858" s="933" t="n">
        <f aca="false">IF(C858=0,0,C858/G858+1)</f>
        <v>0</v>
      </c>
      <c r="J858" s="933" t="n">
        <f aca="false">$D$143</f>
        <v>0.05</v>
      </c>
      <c r="K858" s="933" t="n">
        <f aca="false">$C$143</f>
        <v>0.15</v>
      </c>
      <c r="L858" s="933"/>
      <c r="M858" s="933"/>
      <c r="N858" s="933"/>
      <c r="O858" s="1220" t="n">
        <f aca="false">E858*I858*J858*K858</f>
        <v>0</v>
      </c>
      <c r="P858" s="1290" t="n">
        <f aca="false">C858</f>
        <v>0</v>
      </c>
      <c r="Q858" s="1290" t="n">
        <f aca="false">C858</f>
        <v>0</v>
      </c>
      <c r="R858" s="1290" t="n">
        <f aca="false">C858</f>
        <v>0</v>
      </c>
      <c r="S858" s="933"/>
      <c r="T858" s="1220" t="n">
        <f aca="false">(P858+Q858+R858)*J858*K858</f>
        <v>0</v>
      </c>
      <c r="U858" s="1329"/>
      <c r="V858" s="1220"/>
      <c r="W858" s="933"/>
      <c r="X858" s="933"/>
      <c r="Y858" s="1284"/>
      <c r="Z858" s="933"/>
      <c r="AA858" s="933"/>
      <c r="AB858" s="933"/>
      <c r="AC858" s="933"/>
      <c r="AD858" s="933"/>
    </row>
    <row r="859" customFormat="false" ht="15.75" hidden="false" customHeight="true" outlineLevel="1" collapsed="false">
      <c r="A859" s="1437" t="s">
        <v>3347</v>
      </c>
      <c r="B859" s="1363" t="n">
        <f aca="false">связи1!F190</f>
        <v>0.4</v>
      </c>
      <c r="C859" s="1364" t="n">
        <f aca="false">SUM(C856:C858)</f>
        <v>0</v>
      </c>
      <c r="D859" s="1331" t="n">
        <f aca="false">B859*C859</f>
        <v>0</v>
      </c>
      <c r="E859" s="1433"/>
      <c r="F859" s="1023"/>
      <c r="G859" s="933"/>
      <c r="H859" s="933"/>
      <c r="I859" s="933"/>
      <c r="J859" s="933" t="n">
        <f aca="false">$D$143</f>
        <v>0.05</v>
      </c>
      <c r="K859" s="933" t="n">
        <f aca="false">$C$143</f>
        <v>0.15</v>
      </c>
      <c r="L859" s="933"/>
      <c r="M859" s="933"/>
      <c r="N859" s="933"/>
      <c r="O859" s="1220"/>
      <c r="P859" s="1290" t="n">
        <f aca="false">SUM(P856:P858)</f>
        <v>0</v>
      </c>
      <c r="Q859" s="1290" t="n">
        <f aca="false">SUM(Q856:Q858)</f>
        <v>0</v>
      </c>
      <c r="R859" s="1290" t="n">
        <f aca="false">SUM(R856:R858)</f>
        <v>0</v>
      </c>
      <c r="S859" s="933"/>
      <c r="T859" s="1220"/>
      <c r="U859" s="1329"/>
      <c r="V859" s="1220"/>
      <c r="W859" s="933"/>
      <c r="X859" s="933"/>
      <c r="Y859" s="1284"/>
      <c r="Z859" s="933"/>
      <c r="AA859" s="933"/>
      <c r="AB859" s="933"/>
      <c r="AC859" s="933"/>
      <c r="AD859" s="933"/>
    </row>
    <row r="860" customFormat="false" ht="15.75" hidden="false" customHeight="true" outlineLevel="1" collapsed="false">
      <c r="A860" s="1372" t="s">
        <v>3172</v>
      </c>
      <c r="B860" s="1375"/>
      <c r="C860" s="1190" t="n">
        <f aca="false">C399*пристройка!C5</f>
        <v>0</v>
      </c>
      <c r="D860" s="933"/>
      <c r="E860" s="1023" t="n">
        <f aca="false">IF('Ввод данных'!A360=связи1!A107,IF('Ввод данных'!A361=связи1!A94,0,0)+IF('Ввод данных'!A361=связи1!A95,связи1!C556,0)+IF('Ввод данных'!A361=связи1!A96,связи1!C557,0)+IF('Ввод данных'!A361=связи1!A97,0,0)+IF('Ввод данных'!A361=связи1!A98,связи1!C557,0),0)+IF('Ввод данных'!A360=связи1!A106,IF('Ввод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данных'!A361=связи1!A98,связи1!C558,0),0)+IF('Ввод данных'!A360=связи1!A108,IF('Ввод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</f>
        <v>0</v>
      </c>
      <c r="F860" s="1023" t="n">
        <f aca="false">C860*E860</f>
        <v>0</v>
      </c>
      <c r="G860" s="933" t="n">
        <f aca="false">G399</f>
        <v>0.6</v>
      </c>
      <c r="H860" s="933"/>
      <c r="I860" s="933" t="n">
        <f aca="false">IF(C860=0,0,C860/G860+1)</f>
        <v>0</v>
      </c>
      <c r="J860" s="933" t="n">
        <f aca="false">$D$143</f>
        <v>0.05</v>
      </c>
      <c r="K860" s="933" t="n">
        <f aca="false">$C$143</f>
        <v>0.15</v>
      </c>
      <c r="L860" s="933" t="n">
        <f aca="false">CEILING(C860/G860+1,1)</f>
        <v>1</v>
      </c>
      <c r="M860" s="933"/>
      <c r="N860" s="933"/>
      <c r="O860" s="1220" t="n">
        <f aca="false">E860*I860*J860*K860</f>
        <v>0</v>
      </c>
      <c r="P860" s="1290" t="n">
        <f aca="false">C860</f>
        <v>0</v>
      </c>
      <c r="Q860" s="1290" t="n">
        <f aca="false">C860</f>
        <v>0</v>
      </c>
      <c r="R860" s="1290" t="n">
        <f aca="false">C860</f>
        <v>0</v>
      </c>
      <c r="S860" s="933"/>
      <c r="T860" s="1220" t="n">
        <f aca="false">(P860+Q860+R860)*J860*K860</f>
        <v>0</v>
      </c>
      <c r="U860" s="1329"/>
      <c r="V860" s="1220"/>
      <c r="W860" s="933"/>
      <c r="X860" s="933"/>
      <c r="Y860" s="1284"/>
      <c r="Z860" s="933"/>
      <c r="AA860" s="933"/>
      <c r="AB860" s="933"/>
      <c r="AC860" s="933"/>
      <c r="AD860" s="933"/>
    </row>
    <row r="861" customFormat="false" ht="15.75" hidden="false" customHeight="true" outlineLevel="1" collapsed="false">
      <c r="A861" s="1372" t="s">
        <v>3173</v>
      </c>
      <c r="B861" s="1375" t="s">
        <v>1590</v>
      </c>
      <c r="C861" s="1190" t="n">
        <f aca="false">C400*пристройка!C5</f>
        <v>0</v>
      </c>
      <c r="D861" s="933" t="n">
        <f aca="false">пристройка!C18+пристройка!H18+пристройка!M18</f>
        <v>0</v>
      </c>
      <c r="E861" s="1023" t="n">
        <f aca="false">IF('Ввод данных'!A360=связи1!A107,IF('Ввод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данных'!A361=связи1!A98,связи1!C558,0),0)+IF('Ввод данных'!A360=связи1!A106,IF('Ввод данных'!A361=связи1!A94,0,0)+IF('Ввод данных'!A361=связи1!A95,связи1!C556,0)+IF('Ввод данных'!A361=связи1!A96,связи1!C557,0)+IF('Ввод данных'!A361=связи1!A97,0,0)+IF('Ввод данных'!A361=связи1!A98,связи1!C557,0),0)+IF('Ввод данных'!A360=связи1!A108,IF('Ввод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</f>
        <v>0</v>
      </c>
      <c r="F861" s="1023" t="n">
        <f aca="false">C861*E861</f>
        <v>0</v>
      </c>
      <c r="G861" s="933" t="n">
        <f aca="false">G400</f>
        <v>0.6</v>
      </c>
      <c r="H861" s="933"/>
      <c r="I861" s="933" t="n">
        <f aca="false">IF(C861=0,0,C861/G861+1)</f>
        <v>0</v>
      </c>
      <c r="J861" s="933" t="n">
        <f aca="false">$D$143</f>
        <v>0.05</v>
      </c>
      <c r="K861" s="933" t="n">
        <f aca="false">$C$143</f>
        <v>0.15</v>
      </c>
      <c r="L861" s="933" t="n">
        <f aca="false">CEILING(C861/G861+1,1)</f>
        <v>1</v>
      </c>
      <c r="M861" s="933"/>
      <c r="N861" s="933"/>
      <c r="O861" s="1220" t="n">
        <f aca="false">E861*I861*J861*K861</f>
        <v>0</v>
      </c>
      <c r="P861" s="1290" t="n">
        <f aca="false">C861</f>
        <v>0</v>
      </c>
      <c r="Q861" s="1290" t="n">
        <f aca="false">C861</f>
        <v>0</v>
      </c>
      <c r="R861" s="1290" t="n">
        <f aca="false">C861</f>
        <v>0</v>
      </c>
      <c r="S861" s="933"/>
      <c r="T861" s="1220" t="n">
        <f aca="false">(P861+Q861+R861)*J861*K861</f>
        <v>0</v>
      </c>
      <c r="U861" s="1329"/>
      <c r="V861" s="1220"/>
      <c r="W861" s="933"/>
      <c r="X861" s="933"/>
      <c r="Y861" s="1284"/>
      <c r="Z861" s="933"/>
      <c r="AA861" s="933"/>
      <c r="AB861" s="933"/>
      <c r="AC861" s="933"/>
      <c r="AD861" s="933"/>
    </row>
    <row r="862" customFormat="false" ht="15.75" hidden="false" customHeight="true" outlineLevel="1" collapsed="false">
      <c r="A862" s="1372" t="s">
        <v>3174</v>
      </c>
      <c r="B862" s="1375" t="s">
        <v>1582</v>
      </c>
      <c r="C862" s="1190" t="n">
        <f aca="false">C401*пристройка!C5</f>
        <v>0</v>
      </c>
      <c r="D862" s="933" t="n">
        <f aca="false">пристройка!C19+пристройка!H19+пристройка!M19</f>
        <v>0</v>
      </c>
      <c r="E862" s="1023" t="n">
        <f aca="false">IF('Ввод данных'!A360=связи1!A107,IF('Ввод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данных'!A361=связи1!A98,связи1!C558,0),0)+IF('Ввод данных'!A360=связи1!A106,IF('Ввод данных'!A361=связи1!A94,0,0)+IF('Ввод данных'!A361=связи1!A95,связи1!C556,0)+IF('Ввод данных'!A361=связи1!A96,связи1!C557,0)+IF('Ввод данных'!A361=связи1!A97,0,0)+IF('Ввод данных'!A361=связи1!A98,связи1!C557,0),0)+IF('Ввод данных'!A360=связи1!A108,IF('Ввод данных'!A361=связи1!A94,0,0)+IF('Ввод данных'!A361=связи1!A95,связи1!C556,0)+IF('Ввод данных'!A361=связи1!A96,связи1!C558,0)+IF('Ввод данных'!A361=связи1!A97,0,0)+IF('Ввод данных'!A361=связи1!A98,связи1!C558,0),0)</f>
        <v>0</v>
      </c>
      <c r="F862" s="1023" t="n">
        <f aca="false">C862*E862</f>
        <v>0</v>
      </c>
      <c r="G862" s="933" t="n">
        <f aca="false">G401</f>
        <v>0.6</v>
      </c>
      <c r="H862" s="933"/>
      <c r="I862" s="933" t="n">
        <f aca="false">IF(C862=0,0,C862/G862+1)</f>
        <v>0</v>
      </c>
      <c r="J862" s="933" t="n">
        <f aca="false">$D$143</f>
        <v>0.05</v>
      </c>
      <c r="K862" s="933" t="n">
        <f aca="false">$C$143</f>
        <v>0.15</v>
      </c>
      <c r="L862" s="933" t="n">
        <f aca="false">CEILING(C862/G862+1,1)</f>
        <v>1</v>
      </c>
      <c r="M862" s="933"/>
      <c r="N862" s="933"/>
      <c r="O862" s="1220" t="n">
        <f aca="false">E862*I862*J862*K862</f>
        <v>0</v>
      </c>
      <c r="P862" s="1290" t="n">
        <f aca="false">C862</f>
        <v>0</v>
      </c>
      <c r="Q862" s="1290" t="n">
        <f aca="false">C862</f>
        <v>0</v>
      </c>
      <c r="R862" s="1290" t="n">
        <f aca="false">C862</f>
        <v>0</v>
      </c>
      <c r="S862" s="933"/>
      <c r="T862" s="1220" t="n">
        <f aca="false">(P862+Q862+R862)*J862*K862</f>
        <v>0</v>
      </c>
      <c r="U862" s="1329"/>
      <c r="V862" s="1220"/>
      <c r="W862" s="933"/>
      <c r="X862" s="933"/>
      <c r="Y862" s="1284"/>
      <c r="Z862" s="1290"/>
      <c r="AA862" s="933"/>
      <c r="AB862" s="933"/>
      <c r="AC862" s="933"/>
      <c r="AD862" s="933"/>
    </row>
    <row r="863" customFormat="false" ht="15.75" hidden="false" customHeight="true" outlineLevel="1" collapsed="false">
      <c r="A863" s="1372"/>
      <c r="B863" s="1373" t="n">
        <f aca="false">связи1!F190</f>
        <v>0.4</v>
      </c>
      <c r="C863" s="1364" t="n">
        <f aca="false">SUM(C860:C862)</f>
        <v>0</v>
      </c>
      <c r="D863" s="1331" t="n">
        <f aca="false">B863*C863</f>
        <v>0</v>
      </c>
      <c r="E863" s="1023"/>
      <c r="F863" s="1023"/>
      <c r="G863" s="933"/>
      <c r="H863" s="933"/>
      <c r="I863" s="933"/>
      <c r="J863" s="933"/>
      <c r="K863" s="933"/>
      <c r="L863" s="933"/>
      <c r="M863" s="933"/>
      <c r="N863" s="933"/>
      <c r="O863" s="1220"/>
      <c r="P863" s="1290" t="n">
        <f aca="false">C863</f>
        <v>0</v>
      </c>
      <c r="Q863" s="1290" t="n">
        <f aca="false">C863</f>
        <v>0</v>
      </c>
      <c r="R863" s="1290" t="n">
        <f aca="false">C863</f>
        <v>0</v>
      </c>
      <c r="S863" s="933"/>
      <c r="T863" s="1220"/>
      <c r="U863" s="1329"/>
      <c r="V863" s="1220"/>
      <c r="W863" s="933"/>
      <c r="X863" s="933"/>
      <c r="Y863" s="1284"/>
      <c r="Z863" s="1290"/>
      <c r="AA863" s="933"/>
      <c r="AB863" s="933"/>
      <c r="AC863" s="933"/>
      <c r="AD863" s="933"/>
    </row>
    <row r="864" customFormat="false" ht="15.75" hidden="false" customHeight="true" outlineLevel="1" collapsed="false">
      <c r="A864" s="1372" t="s">
        <v>3172</v>
      </c>
      <c r="B864" s="1375"/>
      <c r="C864" s="1190" t="n">
        <f aca="false">C403*пристройка!D5</f>
        <v>0</v>
      </c>
      <c r="D864" s="933"/>
      <c r="E864" s="1023" t="n">
        <f aca="false">IF('Ввод данных'!A364=связи1!A107,IF('Ввод данных'!A365=связи1!A94,0,0)+IF('Ввод данных'!A365=связи1!A95,связи1!D556,0)+IF('Ввод данных'!A365=связи1!A96,связи1!D557,0)+IF('Ввод данных'!A365=связи1!A97,0,0)+IF('Ввод данных'!A365=связи1!A98,связи1!D557,0),0)+IF('Ввод данных'!A364=связи1!A106,IF('Ввод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данных'!A365=связи1!A98,связи1!D558,0),0)+IF('Ввод данных'!A364=связи1!A108,IF('Ввод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</f>
        <v>2.2</v>
      </c>
      <c r="F864" s="1023" t="n">
        <f aca="false">C864*E864</f>
        <v>0</v>
      </c>
      <c r="G864" s="933" t="n">
        <f aca="false">G403</f>
        <v>0.6</v>
      </c>
      <c r="H864" s="933"/>
      <c r="I864" s="933" t="n">
        <f aca="false">IF(C864=0,0,C864/G864+1)</f>
        <v>0</v>
      </c>
      <c r="J864" s="933" t="n">
        <f aca="false">$D$143</f>
        <v>0.05</v>
      </c>
      <c r="K864" s="933" t="n">
        <f aca="false">$C$143</f>
        <v>0.15</v>
      </c>
      <c r="L864" s="933" t="n">
        <f aca="false">CEILING(C864/G864+1,1)</f>
        <v>1</v>
      </c>
      <c r="M864" s="933"/>
      <c r="N864" s="933"/>
      <c r="O864" s="1220" t="n">
        <f aca="false">E864*I864*J864*K864</f>
        <v>0</v>
      </c>
      <c r="P864" s="1290" t="n">
        <f aca="false">C864</f>
        <v>0</v>
      </c>
      <c r="Q864" s="1290" t="n">
        <f aca="false">C864</f>
        <v>0</v>
      </c>
      <c r="R864" s="1290" t="n">
        <f aca="false">C864</f>
        <v>0</v>
      </c>
      <c r="S864" s="933"/>
      <c r="T864" s="933"/>
      <c r="U864" s="1329"/>
      <c r="V864" s="933"/>
      <c r="W864" s="933"/>
      <c r="X864" s="933"/>
      <c r="Y864" s="1290"/>
      <c r="Z864" s="1290"/>
      <c r="AA864" s="933"/>
      <c r="AB864" s="933"/>
      <c r="AC864" s="933"/>
      <c r="AD864" s="933"/>
    </row>
    <row r="865" customFormat="false" ht="15.75" hidden="false" customHeight="true" outlineLevel="1" collapsed="false">
      <c r="A865" s="1372" t="s">
        <v>3173</v>
      </c>
      <c r="B865" s="1375" t="s">
        <v>1590</v>
      </c>
      <c r="C865" s="1190" t="n">
        <f aca="false">C404*пристройка!D5</f>
        <v>0</v>
      </c>
      <c r="D865" s="933" t="n">
        <f aca="false">пристройка!D18+пристройка!I18+пристройка!N18</f>
        <v>0</v>
      </c>
      <c r="E865" s="1023" t="n">
        <f aca="false">IF('Ввод данных'!A364=связи1!A107,IF('Ввод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данных'!A365=связи1!A98,связи1!D558,0),0)+IF('Ввод данных'!A364=связи1!A106,IF('Ввод данных'!A365=связи1!A94,0,0)+IF('Ввод данных'!A365=связи1!A95,связи1!D556,0)+IF('Ввод данных'!A365=связи1!A96,связи1!D557,0)+IF('Ввод данных'!A365=связи1!A97,0,0)+IF('Ввод данных'!A365=связи1!A98,связи1!D557,0),0)+IF('Ввод данных'!A364=связи1!A108,IF('Ввод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</f>
        <v>2.2</v>
      </c>
      <c r="F865" s="1023" t="n">
        <f aca="false">C865*E865</f>
        <v>0</v>
      </c>
      <c r="G865" s="933" t="n">
        <f aca="false">G404</f>
        <v>0.6</v>
      </c>
      <c r="H865" s="933"/>
      <c r="I865" s="933" t="n">
        <f aca="false">IF(C865=0,0,C865/G865+1)</f>
        <v>0</v>
      </c>
      <c r="J865" s="933" t="n">
        <f aca="false">$D$143</f>
        <v>0.05</v>
      </c>
      <c r="K865" s="933" t="n">
        <f aca="false">$C$143</f>
        <v>0.15</v>
      </c>
      <c r="L865" s="933" t="n">
        <f aca="false">CEILING(C865/G865+1,1)</f>
        <v>1</v>
      </c>
      <c r="M865" s="933"/>
      <c r="N865" s="933"/>
      <c r="O865" s="1220" t="n">
        <f aca="false">E865*I865*J865*K865</f>
        <v>0</v>
      </c>
      <c r="P865" s="1290" t="n">
        <f aca="false">C865</f>
        <v>0</v>
      </c>
      <c r="Q865" s="1290" t="n">
        <f aca="false">C865</f>
        <v>0</v>
      </c>
      <c r="R865" s="1290" t="n">
        <f aca="false">C865</f>
        <v>0</v>
      </c>
      <c r="S865" s="933"/>
      <c r="T865" s="933"/>
      <c r="U865" s="1329"/>
      <c r="V865" s="933"/>
      <c r="W865" s="933"/>
      <c r="X865" s="933"/>
      <c r="Y865" s="1290"/>
      <c r="Z865" s="1290"/>
      <c r="AA865" s="933"/>
      <c r="AB865" s="933"/>
      <c r="AC865" s="933"/>
      <c r="AD865" s="933"/>
    </row>
    <row r="866" customFormat="false" ht="15.75" hidden="false" customHeight="true" outlineLevel="1" collapsed="false">
      <c r="A866" s="1372" t="s">
        <v>3174</v>
      </c>
      <c r="B866" s="1375" t="s">
        <v>1582</v>
      </c>
      <c r="C866" s="1190" t="n">
        <f aca="false">C405*пристройка!D5</f>
        <v>0</v>
      </c>
      <c r="D866" s="933" t="n">
        <f aca="false">пристройка!D19+пристройка!I19+пристройка!N19</f>
        <v>0</v>
      </c>
      <c r="E866" s="1023" t="n">
        <f aca="false">IF('Ввод данных'!A364=связи1!A107,IF('Ввод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данных'!A365=связи1!A98,связи1!D558,0),0)+IF('Ввод данных'!A364=связи1!A106,IF('Ввод данных'!A365=связи1!A94,0,0)+IF('Ввод данных'!A365=связи1!A95,связи1!D556,0)+IF('Ввод данных'!A365=связи1!A96,связи1!D557,0)+IF('Ввод данных'!A365=связи1!A97,0,0)+IF('Ввод данных'!A365=связи1!A98,связи1!D557,0),0)+IF('Ввод данных'!A364=связи1!A108,IF('Ввод данных'!A365=связи1!A94,0,0)+IF('Ввод данных'!A365=связи1!A95,связи1!D556,0)+IF('Ввод данных'!A365=связи1!A96,связи1!D558,0)+IF('Ввод данных'!A365=связи1!A97,0,0)+IF('Ввод данных'!A365=связи1!A98,связи1!D558,0),0)</f>
        <v>2.2</v>
      </c>
      <c r="F866" s="1023" t="n">
        <f aca="false">C866*E866</f>
        <v>0</v>
      </c>
      <c r="G866" s="933" t="n">
        <f aca="false">G405</f>
        <v>0.6</v>
      </c>
      <c r="H866" s="933"/>
      <c r="I866" s="933" t="n">
        <f aca="false">IF(C866=0,0,C866/G866+1)</f>
        <v>0</v>
      </c>
      <c r="J866" s="933" t="n">
        <f aca="false">$D$143</f>
        <v>0.05</v>
      </c>
      <c r="K866" s="933" t="n">
        <f aca="false">$C$143</f>
        <v>0.15</v>
      </c>
      <c r="L866" s="933" t="n">
        <f aca="false">CEILING(C866/G866+1,1)</f>
        <v>1</v>
      </c>
      <c r="M866" s="933"/>
      <c r="N866" s="933"/>
      <c r="O866" s="1220" t="n">
        <f aca="false">E866*I866*J866*K866</f>
        <v>0</v>
      </c>
      <c r="P866" s="1290" t="n">
        <f aca="false">C866</f>
        <v>0</v>
      </c>
      <c r="Q866" s="1290" t="n">
        <f aca="false">C866</f>
        <v>0</v>
      </c>
      <c r="R866" s="1290" t="n">
        <f aca="false">C866</f>
        <v>0</v>
      </c>
      <c r="S866" s="933"/>
      <c r="T866" s="933"/>
      <c r="U866" s="1329"/>
      <c r="V866" s="933"/>
      <c r="W866" s="933"/>
      <c r="X866" s="933"/>
      <c r="Y866" s="1290"/>
      <c r="Z866" s="1290"/>
      <c r="AA866" s="933"/>
      <c r="AB866" s="933"/>
      <c r="AC866" s="933"/>
      <c r="AD866" s="933"/>
    </row>
    <row r="867" customFormat="false" ht="15.75" hidden="false" customHeight="true" outlineLevel="1" collapsed="false">
      <c r="A867" s="1372"/>
      <c r="B867" s="1375" t="n">
        <f aca="false">B863</f>
        <v>0.4</v>
      </c>
      <c r="C867" s="1190" t="n">
        <f aca="false">SUM(C864:C866)</f>
        <v>0</v>
      </c>
      <c r="D867" s="1331" t="n">
        <f aca="false">B867*C867</f>
        <v>0</v>
      </c>
      <c r="E867" s="1023"/>
      <c r="F867" s="1023"/>
      <c r="G867" s="933"/>
      <c r="H867" s="933"/>
      <c r="I867" s="933"/>
      <c r="J867" s="933"/>
      <c r="K867" s="933"/>
      <c r="L867" s="933"/>
      <c r="M867" s="933"/>
      <c r="N867" s="933"/>
      <c r="O867" s="933"/>
      <c r="P867" s="1290" t="n">
        <f aca="false">SUM(P864:P866)</f>
        <v>0</v>
      </c>
      <c r="Q867" s="1290" t="n">
        <f aca="false">SUM(Q864:Q866)</f>
        <v>0</v>
      </c>
      <c r="R867" s="1290" t="n">
        <f aca="false">SUM(R864:R866)</f>
        <v>0</v>
      </c>
      <c r="S867" s="933"/>
      <c r="T867" s="933"/>
      <c r="U867" s="1329"/>
      <c r="V867" s="933"/>
      <c r="W867" s="933"/>
      <c r="X867" s="933"/>
      <c r="Y867" s="1290"/>
      <c r="Z867" s="1290"/>
      <c r="AA867" s="933"/>
      <c r="AB867" s="933"/>
      <c r="AC867" s="933"/>
      <c r="AD867" s="933"/>
    </row>
    <row r="868" customFormat="false" ht="15.75" hidden="false" customHeight="true" outlineLevel="1" collapsed="false">
      <c r="A868" s="1372" t="s">
        <v>3172</v>
      </c>
      <c r="B868" s="1375"/>
      <c r="C868" s="1190" t="n">
        <f aca="false">C407*пристройка!E5</f>
        <v>0</v>
      </c>
      <c r="D868" s="933"/>
      <c r="E868" s="1023" t="n">
        <f aca="false">IF('Ввод данных'!A368=связи1!A107,IF('Ввод данных'!A369=связи1!A94,0,0)+IF('Ввод данных'!A369=связи1!A95,связи1!E556,0)+IF('Ввод данных'!A369=связи1!A96,связи1!E557,0)+IF('Ввод данных'!A369=связи1!A97,0,0)+IF('Ввод данных'!A369=связи1!A98,связи1!E557,0),0)+IF('Ввод данных'!A368=связи1!A106,IF('Ввод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данных'!A369=связи1!A98,связи1!E558,0),0)+IF('Ввод данных'!A368=связи1!A108,IF('Ввод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</f>
        <v>2.9</v>
      </c>
      <c r="F868" s="1023" t="n">
        <f aca="false">C868*E868</f>
        <v>0</v>
      </c>
      <c r="G868" s="933" t="n">
        <f aca="false">G407</f>
        <v>0.6</v>
      </c>
      <c r="H868" s="933"/>
      <c r="I868" s="933" t="n">
        <f aca="false">IF(C868=0,0,C868/G868+1)</f>
        <v>0</v>
      </c>
      <c r="J868" s="933" t="n">
        <f aca="false">$D$143</f>
        <v>0.05</v>
      </c>
      <c r="K868" s="933" t="n">
        <f aca="false">$C$143</f>
        <v>0.15</v>
      </c>
      <c r="L868" s="933" t="n">
        <f aca="false">CEILING(C868/G868+1,1)</f>
        <v>1</v>
      </c>
      <c r="M868" s="933"/>
      <c r="N868" s="933"/>
      <c r="O868" s="1220" t="n">
        <f aca="false">E868*I868*J868*K868</f>
        <v>0</v>
      </c>
      <c r="P868" s="1290" t="n">
        <f aca="false">C868</f>
        <v>0</v>
      </c>
      <c r="Q868" s="1290" t="n">
        <f aca="false">C868</f>
        <v>0</v>
      </c>
      <c r="R868" s="1290" t="n">
        <f aca="false">C868</f>
        <v>0</v>
      </c>
      <c r="S868" s="933"/>
      <c r="T868" s="933"/>
      <c r="U868" s="1329"/>
      <c r="V868" s="933"/>
      <c r="W868" s="933"/>
      <c r="X868" s="933"/>
      <c r="Y868" s="1290"/>
      <c r="Z868" s="1290"/>
      <c r="AA868" s="933"/>
      <c r="AB868" s="933"/>
      <c r="AC868" s="933"/>
      <c r="AD868" s="933"/>
    </row>
    <row r="869" customFormat="false" ht="15.75" hidden="false" customHeight="true" outlineLevel="1" collapsed="false">
      <c r="A869" s="1372" t="s">
        <v>3173</v>
      </c>
      <c r="B869" s="1375" t="s">
        <v>1590</v>
      </c>
      <c r="C869" s="1190" t="n">
        <f aca="false">C408*пристройка!E5</f>
        <v>0</v>
      </c>
      <c r="D869" s="933" t="n">
        <f aca="false">пристройка!E18+пристройка!J18+пристройка!O18</f>
        <v>0</v>
      </c>
      <c r="E869" s="1023" t="n">
        <f aca="false">IF('Ввод данных'!A368=связи1!A107,IF('Ввод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данных'!A369=связи1!A98,связи1!E558,0),0)+IF('Ввод данных'!A368=связи1!A106,IF('Ввод данных'!A369=связи1!A94,0,0)+IF('Ввод данных'!A369=связи1!A95,связи1!E556,0)+IF('Ввод данных'!A369=связи1!A96,связи1!E557,0)+IF('Ввод данных'!A369=связи1!A97,0,0)+IF('Ввод данных'!A369=связи1!A98,связи1!E557,0),0)+IF('Ввод данных'!A368=связи1!A108,IF('Ввод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</f>
        <v>1.5</v>
      </c>
      <c r="F869" s="1023" t="n">
        <f aca="false">C869*E869</f>
        <v>0</v>
      </c>
      <c r="G869" s="933" t="n">
        <f aca="false">G408</f>
        <v>0.6</v>
      </c>
      <c r="H869" s="933"/>
      <c r="I869" s="933" t="n">
        <f aca="false">IF(C869=0,0,C869/G869+1)</f>
        <v>0</v>
      </c>
      <c r="J869" s="933" t="n">
        <f aca="false">$D$143</f>
        <v>0.05</v>
      </c>
      <c r="K869" s="933" t="n">
        <f aca="false">$C$143</f>
        <v>0.15</v>
      </c>
      <c r="L869" s="933" t="n">
        <f aca="false">CEILING(C869/G869+1,1)</f>
        <v>1</v>
      </c>
      <c r="M869" s="933"/>
      <c r="N869" s="933"/>
      <c r="O869" s="1220" t="n">
        <f aca="false">E869*I869*J869*K869</f>
        <v>0</v>
      </c>
      <c r="P869" s="1290" t="n">
        <f aca="false">C869</f>
        <v>0</v>
      </c>
      <c r="Q869" s="1290" t="n">
        <f aca="false">C869</f>
        <v>0</v>
      </c>
      <c r="R869" s="1290" t="n">
        <f aca="false">C869</f>
        <v>0</v>
      </c>
      <c r="S869" s="933"/>
      <c r="T869" s="933"/>
      <c r="U869" s="1329"/>
      <c r="V869" s="933"/>
      <c r="W869" s="933"/>
      <c r="X869" s="933"/>
      <c r="Y869" s="1290"/>
      <c r="Z869" s="1290"/>
      <c r="AA869" s="933"/>
      <c r="AB869" s="933"/>
      <c r="AC869" s="933"/>
      <c r="AD869" s="933"/>
    </row>
    <row r="870" customFormat="false" ht="15.75" hidden="false" customHeight="true" outlineLevel="1" collapsed="false">
      <c r="A870" s="1372" t="s">
        <v>3174</v>
      </c>
      <c r="B870" s="1375" t="s">
        <v>1582</v>
      </c>
      <c r="C870" s="1190" t="n">
        <f aca="false">C409*пристройка!E5</f>
        <v>0</v>
      </c>
      <c r="D870" s="933" t="n">
        <f aca="false">пристройка!E19+пристройка!J19+пристройка!O19</f>
        <v>0</v>
      </c>
      <c r="E870" s="1023" t="n">
        <f aca="false">IF('Ввод данных'!A368=связи1!A107,IF('Ввод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данных'!A369=связи1!A98,связи1!E558,0),0)+IF('Ввод данных'!A368=связи1!A106,IF('Ввод данных'!A369=связи1!A94,0,0)+IF('Ввод данных'!A369=связи1!A95,связи1!E556,0)+IF('Ввод данных'!A369=связи1!A96,связи1!E557,0)+IF('Ввод данных'!A369=связи1!A97,0,0)+IF('Ввод данных'!A369=связи1!A98,связи1!E557,0),0)+IF('Ввод данных'!A368=связи1!A108,IF('Ввод данных'!A369=связи1!A94,0,0)+IF('Ввод данных'!A369=связи1!A95,связи1!E556,0)+IF('Ввод данных'!A369=связи1!A96,связи1!E558,0)+IF('Ввод данных'!A369=связи1!A97,0,0)+IF('Ввод данных'!A369=связи1!A98,связи1!E558,0),0)</f>
        <v>1.5</v>
      </c>
      <c r="F870" s="1023" t="n">
        <f aca="false">C870*E870</f>
        <v>0</v>
      </c>
      <c r="G870" s="933" t="n">
        <f aca="false">G409</f>
        <v>0.6</v>
      </c>
      <c r="H870" s="933"/>
      <c r="I870" s="933" t="n">
        <f aca="false">IF(C870=0,0,C870/G870+1)</f>
        <v>0</v>
      </c>
      <c r="J870" s="933" t="n">
        <f aca="false">$D$143</f>
        <v>0.05</v>
      </c>
      <c r="K870" s="933" t="n">
        <f aca="false">$C$143</f>
        <v>0.15</v>
      </c>
      <c r="L870" s="933" t="n">
        <f aca="false">CEILING(C870/G870+1,1)</f>
        <v>1</v>
      </c>
      <c r="M870" s="933"/>
      <c r="N870" s="933"/>
      <c r="O870" s="1220" t="n">
        <f aca="false">E870*I870*J870*K870</f>
        <v>0</v>
      </c>
      <c r="P870" s="1290" t="n">
        <f aca="false">C870</f>
        <v>0</v>
      </c>
      <c r="Q870" s="1290" t="n">
        <f aca="false">C870</f>
        <v>0</v>
      </c>
      <c r="R870" s="1290" t="n">
        <f aca="false">C870</f>
        <v>0</v>
      </c>
      <c r="S870" s="933"/>
      <c r="T870" s="933"/>
      <c r="U870" s="1329"/>
      <c r="V870" s="933"/>
      <c r="W870" s="933"/>
      <c r="X870" s="933"/>
      <c r="Y870" s="1290"/>
      <c r="Z870" s="1290"/>
      <c r="AA870" s="933"/>
      <c r="AB870" s="933"/>
      <c r="AC870" s="933"/>
      <c r="AD870" s="933"/>
    </row>
    <row r="871" customFormat="false" ht="15.75" hidden="false" customHeight="true" outlineLevel="1" collapsed="false">
      <c r="A871" s="1372"/>
      <c r="B871" s="1375" t="n">
        <f aca="false">B863</f>
        <v>0.4</v>
      </c>
      <c r="C871" s="1190" t="n">
        <f aca="false">SUM(C868:C870)</f>
        <v>0</v>
      </c>
      <c r="D871" s="1331" t="n">
        <f aca="false">B871*C871</f>
        <v>0</v>
      </c>
      <c r="E871" s="1023"/>
      <c r="F871" s="1023"/>
      <c r="G871" s="933"/>
      <c r="H871" s="933"/>
      <c r="I871" s="933"/>
      <c r="J871" s="933"/>
      <c r="K871" s="933"/>
      <c r="L871" s="933"/>
      <c r="M871" s="933"/>
      <c r="N871" s="933"/>
      <c r="O871" s="933"/>
      <c r="P871" s="1290" t="n">
        <f aca="false">SUM(P868:P870)</f>
        <v>0</v>
      </c>
      <c r="Q871" s="1290" t="n">
        <f aca="false">SUM(Q868:Q870)</f>
        <v>0</v>
      </c>
      <c r="R871" s="1290" t="n">
        <f aca="false">SUM(R868:R870)</f>
        <v>0</v>
      </c>
      <c r="S871" s="933"/>
      <c r="T871" s="933"/>
      <c r="U871" s="1329"/>
      <c r="V871" s="933"/>
      <c r="W871" s="933"/>
      <c r="X871" s="933"/>
      <c r="Y871" s="1290"/>
      <c r="Z871" s="1290"/>
      <c r="AA871" s="933"/>
      <c r="AB871" s="933"/>
      <c r="AC871" s="933"/>
      <c r="AD871" s="933"/>
    </row>
    <row r="872" customFormat="false" ht="15.75" hidden="false" customHeight="true" outlineLevel="1" collapsed="false">
      <c r="A872" s="1372" t="s">
        <v>3172</v>
      </c>
      <c r="B872" s="1375"/>
      <c r="C872" s="1190" t="n">
        <f aca="false">C411*пристройка!F5</f>
        <v>0</v>
      </c>
      <c r="D872" s="933"/>
      <c r="E872" s="1023" t="n">
        <f aca="false">IF('Ввод данных'!A372=связи1!A107,IF('Ввод данных'!A373=связи1!A94,0,0)+IF('Ввод данных'!A373=связи1!A95,связи1!F556,0)+IF('Ввод данных'!A373=связи1!A96,связи1!F557,0)+IF('Ввод данных'!A373=связи1!A97,0,0)+IF('Ввод данных'!A373=связи1!A98,связи1!F557,0),0)+IF('Ввод данных'!A372=связи1!A106,IF('Ввод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данных'!A373=связи1!A98,связи1!F558,0),0)+IF('Ввод данных'!A372=связи1!A108,IF('Ввод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</f>
        <v>0</v>
      </c>
      <c r="F872" s="1023" t="n">
        <f aca="false">C872*E872</f>
        <v>0</v>
      </c>
      <c r="G872" s="933" t="n">
        <f aca="false">G411</f>
        <v>0.6</v>
      </c>
      <c r="H872" s="933"/>
      <c r="I872" s="933" t="n">
        <f aca="false">IF(C872=0,0,C872/G872+1)</f>
        <v>0</v>
      </c>
      <c r="J872" s="933" t="n">
        <f aca="false">$D$143</f>
        <v>0.05</v>
      </c>
      <c r="K872" s="933" t="n">
        <f aca="false">$C$143</f>
        <v>0.15</v>
      </c>
      <c r="L872" s="933" t="n">
        <f aca="false">CEILING(C872/G872+1,1)</f>
        <v>1</v>
      </c>
      <c r="M872" s="933"/>
      <c r="N872" s="933"/>
      <c r="O872" s="1220" t="n">
        <f aca="false">E872*I872*J872*K872</f>
        <v>0</v>
      </c>
      <c r="P872" s="1290" t="n">
        <f aca="false">C872</f>
        <v>0</v>
      </c>
      <c r="Q872" s="1290" t="n">
        <f aca="false">C872</f>
        <v>0</v>
      </c>
      <c r="R872" s="1290" t="n">
        <f aca="false">C872</f>
        <v>0</v>
      </c>
      <c r="S872" s="933"/>
      <c r="T872" s="933"/>
      <c r="U872" s="1329"/>
      <c r="V872" s="933"/>
      <c r="W872" s="933"/>
      <c r="X872" s="933"/>
      <c r="Y872" s="1290"/>
      <c r="Z872" s="1290"/>
      <c r="AA872" s="933"/>
      <c r="AB872" s="933"/>
      <c r="AC872" s="933"/>
      <c r="AD872" s="933"/>
    </row>
    <row r="873" customFormat="false" ht="15.75" hidden="false" customHeight="true" outlineLevel="1" collapsed="false">
      <c r="A873" s="1372" t="s">
        <v>3173</v>
      </c>
      <c r="B873" s="1375" t="s">
        <v>1590</v>
      </c>
      <c r="C873" s="1190" t="n">
        <f aca="false">C412*пристройка!F5</f>
        <v>0</v>
      </c>
      <c r="D873" s="933" t="n">
        <f aca="false">пристройка!F18+пристройка!K18+пристройка!P18</f>
        <v>0</v>
      </c>
      <c r="E873" s="1023" t="n">
        <f aca="false">IF('Ввод данных'!A372=связи1!A107,IF('Ввод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данных'!A373=связи1!A98,связи1!F558,0),0)+IF('Ввод данных'!A372=связи1!A106,IF('Ввод данных'!A373=связи1!A94,0,0)+IF('Ввод данных'!A373=связи1!A95,связи1!F556,0)+IF('Ввод данных'!A373=связи1!A96,связи1!F557,0)+IF('Ввод данных'!A373=связи1!A97,0,0)+IF('Ввод данных'!A373=связи1!A98,связи1!F557,0),0)+IF('Ввод данных'!A372=связи1!A108,IF('Ввод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</f>
        <v>0</v>
      </c>
      <c r="F873" s="1023" t="n">
        <f aca="false">C873*E873</f>
        <v>0</v>
      </c>
      <c r="G873" s="933" t="n">
        <f aca="false">G412</f>
        <v>0.6</v>
      </c>
      <c r="H873" s="933"/>
      <c r="I873" s="933" t="n">
        <f aca="false">IF(C873=0,0,C873/G873+1)</f>
        <v>0</v>
      </c>
      <c r="J873" s="933" t="n">
        <f aca="false">$D$143</f>
        <v>0.05</v>
      </c>
      <c r="K873" s="933" t="n">
        <f aca="false">$C$143</f>
        <v>0.15</v>
      </c>
      <c r="L873" s="933" t="n">
        <f aca="false">CEILING(C873/G873+1,1)</f>
        <v>1</v>
      </c>
      <c r="M873" s="933"/>
      <c r="N873" s="933"/>
      <c r="O873" s="1220" t="n">
        <f aca="false">E873*I873*J873*K873</f>
        <v>0</v>
      </c>
      <c r="P873" s="1290" t="n">
        <f aca="false">C873</f>
        <v>0</v>
      </c>
      <c r="Q873" s="1290" t="n">
        <f aca="false">C873</f>
        <v>0</v>
      </c>
      <c r="R873" s="1290" t="n">
        <f aca="false">C873</f>
        <v>0</v>
      </c>
      <c r="S873" s="933"/>
      <c r="T873" s="933"/>
      <c r="U873" s="1329"/>
      <c r="V873" s="933"/>
      <c r="W873" s="933"/>
      <c r="X873" s="933"/>
      <c r="Y873" s="1290"/>
      <c r="Z873" s="1290"/>
      <c r="AA873" s="933"/>
      <c r="AB873" s="933"/>
      <c r="AC873" s="933"/>
      <c r="AD873" s="933"/>
    </row>
    <row r="874" customFormat="false" ht="15.75" hidden="false" customHeight="true" outlineLevel="1" collapsed="false">
      <c r="A874" s="1372" t="s">
        <v>3174</v>
      </c>
      <c r="B874" s="1375" t="s">
        <v>1582</v>
      </c>
      <c r="C874" s="1190" t="n">
        <f aca="false">C413*пристройка!F5</f>
        <v>0</v>
      </c>
      <c r="D874" s="933" t="n">
        <f aca="false">пристройка!F19+пристройка!K19+пристройка!P19</f>
        <v>0</v>
      </c>
      <c r="E874" s="1023" t="n">
        <f aca="false">IF('Ввод данных'!A372=связи1!A107,IF('Ввод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данных'!A373=связи1!A98,связи1!F558,0),0)+IF('Ввод данных'!A372=связи1!A106,IF('Ввод данных'!A373=связи1!A94,0,0)+IF('Ввод данных'!A373=связи1!A95,связи1!F556,0)+IF('Ввод данных'!A373=связи1!A96,связи1!F557,0)+IF('Ввод данных'!A373=связи1!A97,0,0)+IF('Ввод данных'!A373=связи1!A98,связи1!F557,0),0)+IF('Ввод данных'!A372=связи1!A108,IF('Ввод данных'!A373=связи1!A94,0,0)+IF('Ввод данных'!A373=связи1!A95,связи1!F556,0)+IF('Ввод данных'!A373=связи1!A96,связи1!F558,0)+IF('Ввод данных'!A373=связи1!A97,0,0)+IF('Ввод данных'!A373=связи1!A98,связи1!F558,0),0)</f>
        <v>0</v>
      </c>
      <c r="F874" s="1023" t="n">
        <f aca="false">C874*E874</f>
        <v>0</v>
      </c>
      <c r="G874" s="933" t="n">
        <f aca="false">G413</f>
        <v>0.6</v>
      </c>
      <c r="H874" s="933"/>
      <c r="I874" s="933" t="n">
        <f aca="false">IF(C874=0,0,C874/G874+1)</f>
        <v>0</v>
      </c>
      <c r="J874" s="933" t="n">
        <f aca="false">$D$143</f>
        <v>0.05</v>
      </c>
      <c r="K874" s="933" t="n">
        <f aca="false">$C$143</f>
        <v>0.15</v>
      </c>
      <c r="L874" s="933" t="n">
        <f aca="false">CEILING(C874/G874+1,1)</f>
        <v>1</v>
      </c>
      <c r="M874" s="933"/>
      <c r="N874" s="933"/>
      <c r="O874" s="1220" t="n">
        <f aca="false">E874*I874*J874*K874</f>
        <v>0</v>
      </c>
      <c r="P874" s="1290" t="n">
        <f aca="false">C874</f>
        <v>0</v>
      </c>
      <c r="Q874" s="1290" t="n">
        <f aca="false">C874</f>
        <v>0</v>
      </c>
      <c r="R874" s="1290" t="n">
        <f aca="false">C874</f>
        <v>0</v>
      </c>
      <c r="S874" s="933"/>
      <c r="T874" s="933"/>
      <c r="U874" s="1329"/>
      <c r="V874" s="933"/>
      <c r="W874" s="933"/>
      <c r="X874" s="933"/>
      <c r="Y874" s="1290"/>
      <c r="Z874" s="1290"/>
      <c r="AA874" s="933"/>
      <c r="AB874" s="933"/>
      <c r="AC874" s="933"/>
      <c r="AD874" s="933"/>
    </row>
    <row r="875" customFormat="false" ht="15.75" hidden="false" customHeight="true" outlineLevel="1" collapsed="false">
      <c r="A875" s="1372"/>
      <c r="B875" s="1375" t="n">
        <f aca="false">B863</f>
        <v>0.4</v>
      </c>
      <c r="C875" s="1190" t="n">
        <f aca="false">SUM(C872:C874)</f>
        <v>0</v>
      </c>
      <c r="D875" s="1331" t="n">
        <f aca="false">B875*C875</f>
        <v>0</v>
      </c>
      <c r="E875" s="1023"/>
      <c r="F875" s="1023"/>
      <c r="G875" s="933"/>
      <c r="H875" s="933"/>
      <c r="I875" s="933"/>
      <c r="J875" s="933"/>
      <c r="K875" s="933"/>
      <c r="L875" s="933"/>
      <c r="M875" s="933"/>
      <c r="N875" s="933"/>
      <c r="O875" s="933"/>
      <c r="P875" s="1290" t="n">
        <f aca="false">SUM(P872:P874)</f>
        <v>0</v>
      </c>
      <c r="Q875" s="1290" t="n">
        <f aca="false">SUM(Q872:Q874)</f>
        <v>0</v>
      </c>
      <c r="R875" s="1290" t="n">
        <f aca="false">SUM(R872:R874)</f>
        <v>0</v>
      </c>
      <c r="S875" s="933"/>
      <c r="T875" s="933"/>
      <c r="U875" s="1329"/>
      <c r="V875" s="933"/>
      <c r="W875" s="933"/>
      <c r="X875" s="933"/>
      <c r="Y875" s="1290"/>
      <c r="Z875" s="1290"/>
      <c r="AA875" s="933"/>
      <c r="AB875" s="933"/>
      <c r="AC875" s="933"/>
      <c r="AD875" s="933"/>
    </row>
    <row r="876" customFormat="false" ht="15.75" hidden="false" customHeight="true" outlineLevel="1" collapsed="false">
      <c r="A876" s="1372"/>
      <c r="B876" s="1375"/>
      <c r="C876" s="1190"/>
      <c r="D876" s="933"/>
      <c r="E876" s="1023"/>
      <c r="F876" s="1023"/>
      <c r="G876" s="933"/>
      <c r="H876" s="933"/>
      <c r="I876" s="933"/>
      <c r="J876" s="933"/>
      <c r="K876" s="933"/>
      <c r="L876" s="933"/>
      <c r="M876" s="933"/>
      <c r="N876" s="933"/>
      <c r="O876" s="933"/>
      <c r="P876" s="1290"/>
      <c r="Q876" s="1290"/>
      <c r="R876" s="1290"/>
      <c r="S876" s="933"/>
      <c r="T876" s="933"/>
      <c r="U876" s="1329"/>
      <c r="V876" s="933"/>
      <c r="W876" s="933"/>
      <c r="X876" s="933"/>
      <c r="Y876" s="1290"/>
      <c r="Z876" s="1290"/>
      <c r="AA876" s="933"/>
      <c r="AB876" s="933"/>
      <c r="AC876" s="933"/>
      <c r="AD876" s="933"/>
    </row>
    <row r="877" customFormat="false" ht="15.75" hidden="false" customHeight="true" outlineLevel="1" collapsed="false">
      <c r="A877" s="1372" t="str">
        <f aca="false">A415</f>
        <v>выбор по этажности пристройки фронтона высоту 1 эт</v>
      </c>
      <c r="B877" s="887" t="str">
        <f aca="false">B415</f>
        <v>м.п.</v>
      </c>
      <c r="C877" s="1372" t="n">
        <f aca="false">C415</f>
        <v>5</v>
      </c>
      <c r="D877" s="1372" t="n">
        <f aca="false">D415</f>
        <v>0</v>
      </c>
      <c r="E877" s="1372" t="n">
        <f aca="false">E415</f>
        <v>0</v>
      </c>
      <c r="F877" s="1372" t="n">
        <f aca="false">F415</f>
        <v>0</v>
      </c>
      <c r="G877" s="933"/>
      <c r="H877" s="933"/>
      <c r="I877" s="933"/>
      <c r="J877" s="933"/>
      <c r="K877" s="933"/>
      <c r="L877" s="933"/>
      <c r="M877" s="933"/>
      <c r="N877" s="933"/>
      <c r="O877" s="933"/>
      <c r="P877" s="1290"/>
      <c r="Q877" s="1290"/>
      <c r="R877" s="1290"/>
      <c r="S877" s="933"/>
      <c r="T877" s="933"/>
      <c r="U877" s="1329"/>
      <c r="V877" s="933"/>
      <c r="W877" s="933"/>
      <c r="X877" s="933"/>
      <c r="Y877" s="1290"/>
      <c r="Z877" s="1290"/>
      <c r="AA877" s="933"/>
      <c r="AB877" s="933"/>
      <c r="AC877" s="933"/>
      <c r="AD877" s="933"/>
    </row>
    <row r="878" customFormat="false" ht="15.75" hidden="false" customHeight="true" outlineLevel="1" collapsed="false">
      <c r="A878" s="1372" t="s">
        <v>3348</v>
      </c>
      <c r="B878" s="887" t="n">
        <f aca="false">B416</f>
        <v>0</v>
      </c>
      <c r="C878" s="1372" t="n">
        <f aca="false">C416</f>
        <v>1</v>
      </c>
      <c r="D878" s="1372" t="n">
        <f aca="false">D416</f>
        <v>0</v>
      </c>
      <c r="E878" s="1372" t="n">
        <f aca="false">E416</f>
        <v>0</v>
      </c>
      <c r="F878" s="1372" t="n">
        <f aca="false">F416</f>
        <v>0</v>
      </c>
      <c r="G878" s="933"/>
      <c r="H878" s="933"/>
      <c r="I878" s="933"/>
      <c r="J878" s="933"/>
      <c r="K878" s="933"/>
      <c r="L878" s="933"/>
      <c r="M878" s="933"/>
      <c r="N878" s="933"/>
      <c r="O878" s="933"/>
      <c r="P878" s="1290"/>
      <c r="Q878" s="1290"/>
      <c r="R878" s="1290"/>
      <c r="S878" s="933"/>
      <c r="T878" s="933"/>
      <c r="U878" s="1329"/>
      <c r="V878" s="933"/>
      <c r="W878" s="933"/>
      <c r="X878" s="933"/>
      <c r="Y878" s="1290"/>
      <c r="Z878" s="1290"/>
      <c r="AA878" s="933"/>
      <c r="AB878" s="933"/>
      <c r="AC878" s="933"/>
      <c r="AD878" s="933"/>
    </row>
    <row r="879" customFormat="false" ht="15.75" hidden="false" customHeight="true" outlineLevel="1" collapsed="false">
      <c r="A879" s="1372" t="str">
        <f aca="false">A417</f>
        <v>левая половина фронтона для односкатной кровли</v>
      </c>
      <c r="B879" s="887" t="str">
        <f aca="false">B417</f>
        <v>м.п.</v>
      </c>
      <c r="C879" s="1372" t="n">
        <f aca="false">C417</f>
        <v>0</v>
      </c>
      <c r="D879" s="1372" t="n">
        <f aca="false">D417</f>
        <v>0</v>
      </c>
      <c r="E879" s="1372" t="n">
        <f aca="false">E417</f>
        <v>0</v>
      </c>
      <c r="F879" s="1372" t="n">
        <f aca="false">F417</f>
        <v>0</v>
      </c>
      <c r="G879" s="933"/>
      <c r="H879" s="933"/>
      <c r="I879" s="933"/>
      <c r="J879" s="933"/>
      <c r="K879" s="933"/>
      <c r="L879" s="933"/>
      <c r="M879" s="933"/>
      <c r="N879" s="933"/>
      <c r="O879" s="933"/>
      <c r="P879" s="1290"/>
      <c r="Q879" s="1290"/>
      <c r="R879" s="1290"/>
      <c r="S879" s="933"/>
      <c r="T879" s="933"/>
      <c r="U879" s="1329"/>
      <c r="V879" s="933"/>
      <c r="W879" s="933"/>
      <c r="X879" s="933"/>
      <c r="Y879" s="1290"/>
      <c r="Z879" s="1290"/>
      <c r="AA879" s="933"/>
      <c r="AB879" s="933"/>
      <c r="AC879" s="933"/>
      <c r="AD879" s="933"/>
    </row>
    <row r="880" customFormat="false" ht="15.75" hidden="false" customHeight="true" outlineLevel="1" collapsed="false">
      <c r="A880" s="1372" t="str">
        <f aca="false">A418</f>
        <v>количество стоек каркаса фронтона</v>
      </c>
      <c r="B880" s="887" t="str">
        <f aca="false">B418</f>
        <v>шт</v>
      </c>
      <c r="C880" s="1372" t="n">
        <f aca="false">CEILING(IF('Ввод данных'!A360=связи1!A106,L861,0)+IF('Ввод данных'!A360=связи1!A107,дома!C860/2/дома!G860,0)+IF('Ввод данных'!A360=связи1!A108,дома!L861,0),1)</f>
        <v>0</v>
      </c>
      <c r="D880" s="1372" t="n">
        <f aca="false">CEILING(IF('Ввод данных'!A360=связи1!A106,L865,0)+IF('Ввод данных'!A360=связи1!A107,дома!C864/2/дома!G864,0)+IF('Ввод данных'!A360=связи1!A108,дома!L865,0),1)</f>
        <v>0</v>
      </c>
      <c r="E880" s="1372" t="n">
        <f aca="false">CEILING(IF('Ввод данных'!A360=связи1!A106,L869,0)+IF('Ввод данных'!A360=связи1!A107,дома!C868/2/дома!G868,0)+IF('Ввод данных'!A360=связи1!A108,дома!L869,0),1)</f>
        <v>0</v>
      </c>
      <c r="F880" s="1372" t="n">
        <f aca="false">CEILING(IF('Ввод данных'!A360=связи1!A106,L873,0)+IF('Ввод данных'!A360=связи1!A107,дома!C872/2/дома!G872,0)+IF('Ввод данных'!A360=связи1!A108,дома!L873,0),1)</f>
        <v>0</v>
      </c>
      <c r="G880" s="933"/>
      <c r="H880" s="933"/>
      <c r="I880" s="933"/>
      <c r="J880" s="933"/>
      <c r="K880" s="933"/>
      <c r="L880" s="933"/>
      <c r="M880" s="933"/>
      <c r="N880" s="933"/>
      <c r="O880" s="933"/>
      <c r="P880" s="1290"/>
      <c r="Q880" s="1290"/>
      <c r="R880" s="1290"/>
      <c r="S880" s="933"/>
      <c r="T880" s="933"/>
      <c r="U880" s="1329"/>
      <c r="V880" s="933"/>
      <c r="W880" s="933"/>
      <c r="X880" s="933"/>
      <c r="Y880" s="1290"/>
      <c r="Z880" s="1290"/>
      <c r="AA880" s="933"/>
      <c r="AB880" s="933"/>
      <c r="AC880" s="933"/>
      <c r="AD880" s="933"/>
    </row>
    <row r="881" customFormat="false" ht="15.75" hidden="false" customHeight="true" outlineLevel="1" collapsed="false">
      <c r="A881" s="1372" t="s">
        <v>3349</v>
      </c>
      <c r="B881" s="887" t="str">
        <f aca="false">B419</f>
        <v>м.п.</v>
      </c>
      <c r="C881" s="1372" t="n">
        <f aca="false">(IF('Ввод данных'!A361=связи1!A95,(связи1!C557-связи1!C556)/IF(C880=0,1,C880),0)+IF('Ввод данных'!A361=связи1!A96,(связи1!C557-связи1!C558)/IF(C880=0,1,C880),0)+IF('Ввод данных'!A361=связи1!A98,(связи1!C557-связи1!C558)/IF(C880=0,1,C880),0))*IF(C880=0,0,1)</f>
        <v>0</v>
      </c>
      <c r="D881" s="1372" t="n">
        <f aca="false">(IF('Ввод данных'!A365=связи1!A95,(связи1!D557-связи1!D556)/IF(D880=0,1,D880),0)+IF('Ввод данных'!A365=связи1!A96,(связи1!D557-связи1!D558)/IF(D880=0,1,D880),0)+IF('Ввод данных'!A365=связи1!A98,(связи1!D557-связи1!D558)/IF(D880=0,1,D880),0))*IF(D880=0,0,1)</f>
        <v>0</v>
      </c>
      <c r="E881" s="1372" t="n">
        <f aca="false">(IF('Ввод данных'!A369=связи1!A95,(связи1!E557-связи1!E556)/IF(E880=0,1,E880),0)+IF('Ввод данных'!A369=связи1!A96,(связи1!E557-связи1!E558)/IF(E880=0,1,E880),0)+IF('Ввод данных'!A369=связи1!A98,(связи1!E557-связи1!E558)/IF(E880=0,1,E880),0))*IF(E880=0,0,1)</f>
        <v>0</v>
      </c>
      <c r="F881" s="1372" t="n">
        <f aca="false">(IF('Ввод данных'!A373=связи1!A95,(связи1!F557-связи1!F556)/IF(F880=0,1,F880),0)+IF('Ввод данных'!A373=связи1!A96,(связи1!F557-связи1!F558)/IF(F880=0,1,F880),0)+IF('Ввод данных'!A373=связи1!A98,(связи1!F557-связи1!F558)/IF(F880=0,1,F880),0))*IF(F880=0,0,1)</f>
        <v>0</v>
      </c>
      <c r="G881" s="933"/>
      <c r="H881" s="933"/>
      <c r="I881" s="933"/>
      <c r="J881" s="933"/>
      <c r="K881" s="933"/>
      <c r="L881" s="933"/>
      <c r="M881" s="933"/>
      <c r="N881" s="933"/>
      <c r="O881" s="933"/>
      <c r="P881" s="1290"/>
      <c r="Q881" s="1290"/>
      <c r="R881" s="1290"/>
      <c r="S881" s="933"/>
      <c r="T881" s="933"/>
      <c r="U881" s="1329"/>
      <c r="V881" s="933"/>
      <c r="W881" s="933"/>
      <c r="X881" s="933"/>
      <c r="Y881" s="1290"/>
      <c r="Z881" s="1290"/>
      <c r="AA881" s="933"/>
      <c r="AB881" s="933"/>
      <c r="AC881" s="933"/>
      <c r="AD881" s="933"/>
    </row>
    <row r="882" customFormat="false" ht="15.75" hidden="false" customHeight="true" outlineLevel="1" collapsed="false">
      <c r="A882" s="1372" t="s">
        <v>3350</v>
      </c>
      <c r="B882" s="887" t="n">
        <f aca="false">B420</f>
        <v>0</v>
      </c>
      <c r="C882" s="1372"/>
      <c r="D882" s="1372"/>
      <c r="E882" s="1372"/>
      <c r="F882" s="1372"/>
      <c r="G882" s="933"/>
      <c r="H882" s="933"/>
      <c r="I882" s="933"/>
      <c r="J882" s="933"/>
      <c r="K882" s="933"/>
      <c r="L882" s="933"/>
      <c r="M882" s="933"/>
      <c r="N882" s="933"/>
      <c r="O882" s="933"/>
      <c r="P882" s="1290"/>
      <c r="Q882" s="1290"/>
      <c r="R882" s="1290"/>
      <c r="S882" s="933"/>
      <c r="T882" s="933"/>
      <c r="U882" s="1329"/>
      <c r="V882" s="933"/>
      <c r="W882" s="933"/>
      <c r="X882" s="933"/>
      <c r="Y882" s="1290"/>
      <c r="Z882" s="1290"/>
      <c r="AA882" s="933"/>
      <c r="AB882" s="933"/>
      <c r="AC882" s="933"/>
      <c r="AD882" s="933"/>
    </row>
    <row r="883" customFormat="false" ht="15.75" hidden="false" customHeight="true" outlineLevel="1" collapsed="false">
      <c r="A883" s="1372" t="str">
        <f aca="false">A421</f>
        <v>разница по высоте стоек каркаса на фронтоне 3 пристр</v>
      </c>
      <c r="B883" s="887" t="n">
        <f aca="false">B421</f>
        <v>0</v>
      </c>
      <c r="C883" s="1372"/>
      <c r="D883" s="1372"/>
      <c r="E883" s="1372"/>
      <c r="F883" s="1372"/>
      <c r="G883" s="933"/>
      <c r="H883" s="933"/>
      <c r="I883" s="933"/>
      <c r="J883" s="933"/>
      <c r="K883" s="933"/>
      <c r="L883" s="933"/>
      <c r="M883" s="933"/>
      <c r="N883" s="933"/>
      <c r="O883" s="933"/>
      <c r="P883" s="1290"/>
      <c r="Q883" s="1290"/>
      <c r="R883" s="1290"/>
      <c r="S883" s="933"/>
      <c r="T883" s="933"/>
      <c r="U883" s="1329"/>
      <c r="V883" s="933"/>
      <c r="W883" s="933"/>
      <c r="X883" s="933"/>
      <c r="Y883" s="1290"/>
      <c r="Z883" s="1290"/>
      <c r="AA883" s="933"/>
      <c r="AB883" s="933"/>
      <c r="AC883" s="933"/>
      <c r="AD883" s="933"/>
    </row>
    <row r="884" customFormat="false" ht="15.75" hidden="false" customHeight="true" outlineLevel="1" collapsed="false">
      <c r="A884" s="1372" t="str">
        <f aca="false">A422</f>
        <v>разница по высоте стоек каркаса на фронтоне 4 пристр</v>
      </c>
      <c r="B884" s="887" t="n">
        <f aca="false">B422</f>
        <v>0</v>
      </c>
      <c r="C884" s="1372"/>
      <c r="D884" s="1372"/>
      <c r="E884" s="1372"/>
      <c r="F884" s="1372"/>
      <c r="G884" s="933"/>
      <c r="H884" s="933"/>
      <c r="I884" s="933"/>
      <c r="J884" s="933"/>
      <c r="K884" s="933"/>
      <c r="L884" s="933"/>
      <c r="M884" s="933"/>
      <c r="N884" s="933"/>
      <c r="O884" s="933"/>
      <c r="P884" s="1290"/>
      <c r="Q884" s="1290"/>
      <c r="R884" s="1290"/>
      <c r="S884" s="933"/>
      <c r="T884" s="933"/>
      <c r="U884" s="1329"/>
      <c r="V884" s="933"/>
      <c r="W884" s="933"/>
      <c r="X884" s="933"/>
      <c r="Y884" s="1290"/>
      <c r="Z884" s="1290"/>
      <c r="AA884" s="933"/>
      <c r="AB884" s="933"/>
      <c r="AC884" s="933"/>
      <c r="AD884" s="933"/>
    </row>
    <row r="885" customFormat="false" ht="15.75" hidden="false" customHeight="true" outlineLevel="1" collapsed="false">
      <c r="A885" s="1377" t="s">
        <v>3351</v>
      </c>
      <c r="B885" s="1379" t="str">
        <f aca="false">B423</f>
        <v>ед.изм</v>
      </c>
      <c r="C885" s="1377" t="str">
        <f aca="false">C423</f>
        <v>ширина</v>
      </c>
      <c r="D885" s="1377" t="str">
        <f aca="false">D423</f>
        <v>толщина</v>
      </c>
      <c r="E885" s="1377" t="str">
        <f aca="false">E423</f>
        <v>высота</v>
      </c>
      <c r="F885" s="1377" t="str">
        <f aca="false">F423</f>
        <v>кол-во</v>
      </c>
      <c r="G885" s="933"/>
      <c r="H885" s="933"/>
      <c r="I885" s="933"/>
      <c r="J885" s="933"/>
      <c r="K885" s="933"/>
      <c r="L885" s="933"/>
      <c r="M885" s="933"/>
      <c r="N885" s="933"/>
      <c r="O885" s="933"/>
      <c r="P885" s="1290"/>
      <c r="Q885" s="1290"/>
      <c r="R885" s="1290"/>
      <c r="S885" s="933"/>
      <c r="T885" s="933"/>
      <c r="U885" s="1329"/>
      <c r="V885" s="933"/>
      <c r="W885" s="933"/>
      <c r="X885" s="933"/>
      <c r="Y885" s="1290"/>
      <c r="Z885" s="1290"/>
      <c r="AA885" s="933"/>
      <c r="AB885" s="933"/>
      <c r="AC885" s="933"/>
      <c r="AD885" s="933"/>
    </row>
    <row r="886" customFormat="false" ht="15.75" hidden="false" customHeight="true" outlineLevel="1" collapsed="false">
      <c r="A886" s="1372" t="s">
        <v>3352</v>
      </c>
      <c r="B886" s="887" t="str">
        <f aca="false">B424</f>
        <v>м.п.</v>
      </c>
      <c r="C886" s="1372" t="n">
        <f aca="false">C424</f>
        <v>0.4</v>
      </c>
      <c r="D886" s="1372" t="n">
        <f aca="false">D424</f>
        <v>0.05</v>
      </c>
      <c r="E886" s="1372" t="n">
        <f aca="false">E860</f>
        <v>0</v>
      </c>
      <c r="F886" s="1372" t="n">
        <f aca="false">L860*VLOOKUP('Ввод данных'!$F$416,связи1!$A$2:$B$3,2,0)</f>
        <v>0</v>
      </c>
      <c r="G886" s="933" t="n">
        <f aca="false">C886*D886*E886*F886</f>
        <v>0</v>
      </c>
      <c r="H886" s="933"/>
      <c r="I886" s="933"/>
      <c r="J886" s="933"/>
      <c r="K886" s="933"/>
      <c r="L886" s="933"/>
      <c r="M886" s="933"/>
      <c r="N886" s="933"/>
      <c r="O886" s="933"/>
      <c r="P886" s="1290"/>
      <c r="Q886" s="1290"/>
      <c r="R886" s="1290"/>
      <c r="S886" s="933"/>
      <c r="T886" s="933"/>
      <c r="U886" s="1329"/>
      <c r="V886" s="933"/>
      <c r="W886" s="933"/>
      <c r="X886" s="933"/>
      <c r="Y886" s="1290"/>
      <c r="Z886" s="1290"/>
      <c r="AA886" s="933"/>
      <c r="AB886" s="933"/>
      <c r="AC886" s="933"/>
      <c r="AD886" s="933"/>
    </row>
    <row r="887" customFormat="false" ht="15.75" hidden="false" customHeight="true" outlineLevel="1" collapsed="false">
      <c r="A887" s="1372" t="s">
        <v>3353</v>
      </c>
      <c r="B887" s="887" t="str">
        <f aca="false">B425</f>
        <v>м.п.</v>
      </c>
      <c r="C887" s="1372" t="n">
        <f aca="false">C425</f>
        <v>0.4</v>
      </c>
      <c r="D887" s="1372" t="n">
        <f aca="false">D425</f>
        <v>0.05</v>
      </c>
      <c r="E887" s="1372" t="n">
        <f aca="false">E861</f>
        <v>0</v>
      </c>
      <c r="F887" s="1372" t="n">
        <f aca="false">L861*VLOOKUP('Ввод данных'!$F$416,связи1!$A$2:$B$3,2,0)</f>
        <v>0</v>
      </c>
      <c r="G887" s="933" t="n">
        <f aca="false">C887*D887*E887*F887</f>
        <v>0</v>
      </c>
      <c r="H887" s="933"/>
      <c r="I887" s="933"/>
      <c r="J887" s="933"/>
      <c r="K887" s="933"/>
      <c r="L887" s="933"/>
      <c r="M887" s="933"/>
      <c r="N887" s="933"/>
      <c r="O887" s="933"/>
      <c r="P887" s="1290"/>
      <c r="Q887" s="1290"/>
      <c r="R887" s="1290"/>
      <c r="S887" s="933"/>
      <c r="T887" s="933"/>
      <c r="U887" s="1329"/>
      <c r="V887" s="933"/>
      <c r="W887" s="933"/>
      <c r="X887" s="933"/>
      <c r="Y887" s="1290"/>
      <c r="Z887" s="1290"/>
      <c r="AA887" s="933"/>
      <c r="AB887" s="933"/>
      <c r="AC887" s="933"/>
      <c r="AD887" s="933"/>
    </row>
    <row r="888" customFormat="false" ht="15.75" hidden="false" customHeight="true" outlineLevel="1" collapsed="false">
      <c r="A888" s="1372" t="s">
        <v>3354</v>
      </c>
      <c r="B888" s="887" t="str">
        <f aca="false">B426</f>
        <v>м.п.</v>
      </c>
      <c r="C888" s="1372" t="n">
        <f aca="false">C426</f>
        <v>0.4</v>
      </c>
      <c r="D888" s="1372" t="n">
        <f aca="false">D426</f>
        <v>0.05</v>
      </c>
      <c r="E888" s="1372" t="n">
        <f aca="false">E862</f>
        <v>0</v>
      </c>
      <c r="F888" s="1372" t="n">
        <f aca="false">L862*VLOOKUP('Ввод данных'!$F$416,связи1!$A$2:$B$3,2,0)</f>
        <v>0</v>
      </c>
      <c r="G888" s="933" t="n">
        <f aca="false">C888*D888*E888*F888</f>
        <v>0</v>
      </c>
      <c r="H888" s="933"/>
      <c r="I888" s="933"/>
      <c r="J888" s="933"/>
      <c r="K888" s="933"/>
      <c r="L888" s="933"/>
      <c r="M888" s="933"/>
      <c r="N888" s="933"/>
      <c r="O888" s="933"/>
      <c r="P888" s="1290"/>
      <c r="Q888" s="1290"/>
      <c r="R888" s="1290"/>
      <c r="S888" s="933"/>
      <c r="T888" s="933"/>
      <c r="U888" s="1329"/>
      <c r="V888" s="933"/>
      <c r="W888" s="933"/>
      <c r="X888" s="933"/>
      <c r="Y888" s="1290"/>
      <c r="Z888" s="1290"/>
      <c r="AA888" s="933"/>
      <c r="AB888" s="933"/>
      <c r="AC888" s="933"/>
      <c r="AD888" s="933"/>
    </row>
    <row r="889" customFormat="false" ht="15.75" hidden="false" customHeight="true" outlineLevel="1" collapsed="false">
      <c r="A889" s="1372" t="s">
        <v>3270</v>
      </c>
      <c r="B889" s="887" t="str">
        <f aca="false">B427</f>
        <v>м.п.</v>
      </c>
      <c r="C889" s="1372" t="n">
        <f aca="false">C427</f>
        <v>0.4</v>
      </c>
      <c r="D889" s="1372" t="n">
        <f aca="false">D427</f>
        <v>0.05</v>
      </c>
      <c r="E889" s="1372" t="n">
        <f aca="false">1</f>
        <v>1</v>
      </c>
      <c r="F889" s="1372" t="n">
        <f aca="false">P863*VLOOKUP('Ввод данных'!$F$416,связи1!$A$2:$B$3,2,0)+Q863*VLOOKUP('Ввод данных'!$F$416,связи1!$A$2:$B$3,2,0)</f>
        <v>0</v>
      </c>
      <c r="G889" s="933" t="n">
        <f aca="false">C889*D889*E889*F889</f>
        <v>0</v>
      </c>
      <c r="H889" s="933"/>
      <c r="I889" s="933"/>
      <c r="J889" s="933"/>
      <c r="K889" s="933"/>
      <c r="L889" s="933"/>
      <c r="M889" s="933"/>
      <c r="N889" s="933"/>
      <c r="O889" s="933"/>
      <c r="P889" s="1290"/>
      <c r="Q889" s="1290"/>
      <c r="R889" s="1290"/>
      <c r="S889" s="933"/>
      <c r="T889" s="933"/>
      <c r="U889" s="1329"/>
      <c r="V889" s="933"/>
      <c r="W889" s="933"/>
      <c r="X889" s="933"/>
      <c r="Y889" s="1290"/>
      <c r="Z889" s="1290"/>
      <c r="AA889" s="933"/>
      <c r="AB889" s="933"/>
      <c r="AC889" s="933"/>
      <c r="AD889" s="933"/>
    </row>
    <row r="890" customFormat="false" ht="15.75" hidden="false" customHeight="true" outlineLevel="1" collapsed="false">
      <c r="A890" s="1372" t="s">
        <v>3271</v>
      </c>
      <c r="B890" s="887" t="str">
        <f aca="false">B428</f>
        <v>м.п.</v>
      </c>
      <c r="C890" s="1372" t="n">
        <f aca="false">C428</f>
        <v>0.4</v>
      </c>
      <c r="D890" s="1372" t="n">
        <f aca="false">D428</f>
        <v>0.05</v>
      </c>
      <c r="E890" s="1372" t="n">
        <f aca="false">1</f>
        <v>1</v>
      </c>
      <c r="F890" s="1372" t="n">
        <f aca="false">R863*VLOOKUP('Ввод данных'!$F$416,связи1!$A$2:$B$3,2,0)</f>
        <v>0</v>
      </c>
      <c r="G890" s="933" t="n">
        <f aca="false">C890*D890*E890*F890</f>
        <v>0</v>
      </c>
      <c r="H890" s="933"/>
      <c r="I890" s="933"/>
      <c r="J890" s="933"/>
      <c r="K890" s="933"/>
      <c r="L890" s="933"/>
      <c r="M890" s="933"/>
      <c r="N890" s="933"/>
      <c r="O890" s="933"/>
      <c r="P890" s="1290"/>
      <c r="Q890" s="1290"/>
      <c r="R890" s="1290"/>
      <c r="S890" s="933"/>
      <c r="T890" s="933"/>
      <c r="U890" s="1329"/>
      <c r="V890" s="933"/>
      <c r="W890" s="933"/>
      <c r="X890" s="933"/>
      <c r="Y890" s="1290"/>
      <c r="Z890" s="1290"/>
      <c r="AA890" s="933"/>
      <c r="AB890" s="933"/>
      <c r="AC890" s="933"/>
      <c r="AD890" s="933"/>
    </row>
    <row r="891" customFormat="false" ht="15.75" hidden="false" customHeight="true" outlineLevel="1" collapsed="false">
      <c r="A891" s="1372" t="s">
        <v>3355</v>
      </c>
      <c r="B891" s="887" t="str">
        <f aca="false">B429</f>
        <v>м.п.</v>
      </c>
      <c r="C891" s="1372" t="n">
        <f aca="false">C429</f>
        <v>0.4</v>
      </c>
      <c r="D891" s="1372" t="n">
        <f aca="false">D429</f>
        <v>0.05</v>
      </c>
      <c r="E891" s="1372" t="n">
        <v>1.5</v>
      </c>
      <c r="F891" s="1372" t="n">
        <f aca="false">8*VLOOKUP('Ввод данных'!$F$416,связи1!$A$2:$B$3,2,0)</f>
        <v>0</v>
      </c>
      <c r="G891" s="933" t="n">
        <f aca="false">C891*D891*E891*F891</f>
        <v>0</v>
      </c>
      <c r="H891" s="933"/>
      <c r="I891" s="933"/>
      <c r="J891" s="933"/>
      <c r="K891" s="933"/>
      <c r="L891" s="933"/>
      <c r="M891" s="933"/>
      <c r="N891" s="933"/>
      <c r="O891" s="933"/>
      <c r="P891" s="1290"/>
      <c r="Q891" s="1290"/>
      <c r="R891" s="1290"/>
      <c r="S891" s="933"/>
      <c r="T891" s="933"/>
      <c r="U891" s="1329"/>
      <c r="V891" s="933"/>
      <c r="W891" s="933"/>
      <c r="X891" s="933"/>
      <c r="Y891" s="1290"/>
      <c r="Z891" s="1290"/>
      <c r="AA891" s="933"/>
      <c r="AB891" s="933"/>
      <c r="AC891" s="933"/>
      <c r="AD891" s="933"/>
    </row>
    <row r="892" customFormat="false" ht="15.75" hidden="false" customHeight="true" outlineLevel="1" collapsed="false">
      <c r="A892" s="1372" t="s">
        <v>3356</v>
      </c>
      <c r="B892" s="887" t="str">
        <f aca="false">B430</f>
        <v>м.п.</v>
      </c>
      <c r="C892" s="1372" t="n">
        <f aca="false">C430</f>
        <v>0.4</v>
      </c>
      <c r="D892" s="1372" t="n">
        <f aca="false">D430</f>
        <v>0.05</v>
      </c>
      <c r="E892" s="1372" t="n">
        <f aca="false">IF('Ввод данных'!A360=связи1!A106,IF('Ввод данных'!A361=связи1!A94,0,0)+IF('Ввод данных'!A361=связи1!A95,связи1!C557-связи1!C556,0)+IF('Ввод данных'!A361=связи1!A96,связи1!C557,0)+IF('Ввод данных'!A361=связи1!A97,0,0)+IF('Ввод данных'!A361=связи1!A98,связи1!C557,0),0)</f>
        <v>0</v>
      </c>
      <c r="F892" s="1372" t="n">
        <f aca="false">2*VLOOKUP('Ввод данных'!$F$416,связи1!$A$2:$B$3,2,0)</f>
        <v>0</v>
      </c>
      <c r="G892" s="933" t="n">
        <f aca="false">C892*D892*E892*F892</f>
        <v>0</v>
      </c>
      <c r="H892" s="933"/>
      <c r="I892" s="933"/>
      <c r="J892" s="933"/>
      <c r="K892" s="933"/>
      <c r="L892" s="933"/>
      <c r="M892" s="933"/>
      <c r="N892" s="933"/>
      <c r="O892" s="933"/>
      <c r="P892" s="1290"/>
      <c r="Q892" s="1290"/>
      <c r="R892" s="1290"/>
      <c r="S892" s="933"/>
      <c r="T892" s="933"/>
      <c r="U892" s="1329"/>
      <c r="V892" s="933"/>
      <c r="W892" s="933"/>
      <c r="X892" s="933"/>
      <c r="Y892" s="1290"/>
      <c r="Z892" s="1290"/>
      <c r="AA892" s="933"/>
      <c r="AB892" s="933"/>
      <c r="AC892" s="933"/>
      <c r="AD892" s="933"/>
    </row>
    <row r="893" customFormat="false" ht="15.75" hidden="false" customHeight="true" outlineLevel="1" collapsed="false">
      <c r="A893" s="1372" t="s">
        <v>3357</v>
      </c>
      <c r="B893" s="887" t="str">
        <f aca="false">B431</f>
        <v>м.п.</v>
      </c>
      <c r="C893" s="1372" t="n">
        <f aca="false">C431</f>
        <v>0.4</v>
      </c>
      <c r="D893" s="1372" t="n">
        <f aca="false">D431</f>
        <v>0.05</v>
      </c>
      <c r="E893" s="1372" t="n">
        <f aca="false">IF('Ввод данных'!$A$361=связи1!$A$96,IF(дома!E892&lt;связи1!$C$558,0,дома!E892-$C$881),0)+IF(дома!E892=0,0,IF('Ввод данных'!$A$361=связи1!$A$95,IF(дома!E892&lt;0,0,дома!E892-$C$881),0))+IF('Ввод данных'!$A$361=связи1!$A$98,IF(дома!E892&lt;связи1!$C$558,0,дома!E892-$C$881),0)</f>
        <v>0</v>
      </c>
      <c r="F893" s="1372" t="n">
        <f aca="false">2*VLOOKUP('Ввод данных'!$F$416,связи1!$A$2:$B$3,2,0)</f>
        <v>0</v>
      </c>
      <c r="G893" s="933" t="n">
        <f aca="false">C893*D893*E893*F893</f>
        <v>0</v>
      </c>
      <c r="H893" s="933"/>
      <c r="I893" s="933"/>
      <c r="J893" s="933"/>
      <c r="K893" s="933"/>
      <c r="L893" s="933"/>
      <c r="M893" s="933"/>
      <c r="N893" s="933"/>
      <c r="O893" s="933"/>
      <c r="P893" s="1290"/>
      <c r="Q893" s="1290"/>
      <c r="R893" s="1290"/>
      <c r="S893" s="933"/>
      <c r="T893" s="933"/>
      <c r="U893" s="1329"/>
      <c r="V893" s="933"/>
      <c r="W893" s="933"/>
      <c r="X893" s="933"/>
      <c r="Y893" s="1290"/>
      <c r="Z893" s="1290"/>
      <c r="AA893" s="933"/>
      <c r="AB893" s="933"/>
      <c r="AC893" s="933"/>
      <c r="AD893" s="933"/>
    </row>
    <row r="894" customFormat="false" ht="15.75" hidden="false" customHeight="true" outlineLevel="1" collapsed="false">
      <c r="A894" s="1372" t="s">
        <v>3358</v>
      </c>
      <c r="B894" s="887" t="str">
        <f aca="false">B432</f>
        <v>м.п.</v>
      </c>
      <c r="C894" s="1372" t="n">
        <f aca="false">C432</f>
        <v>0.4</v>
      </c>
      <c r="D894" s="1372" t="n">
        <f aca="false">D432</f>
        <v>0.05</v>
      </c>
      <c r="E894" s="1372" t="n">
        <f aca="false">IF('Ввод данных'!$A$361=связи1!$A$96,IF(дома!E893&lt;связи1!$C$558,0,дома!E893-$C$881),0)+IF(дома!E893=0,0,IF('Ввод данных'!$A$361=связи1!$A$95,IF(дома!E893&lt;0,0,дома!E893-$C$881),0))+IF('Ввод данных'!$A$361=связи1!$A$98,IF(дома!E893&lt;связи1!$C$558,0,дома!E893-$C$881),0)</f>
        <v>0</v>
      </c>
      <c r="F894" s="1372" t="n">
        <f aca="false">2*VLOOKUP('Ввод данных'!$F$416,связи1!$A$2:$B$3,2,0)</f>
        <v>0</v>
      </c>
      <c r="G894" s="933" t="n">
        <f aca="false">C894*D894*E894*F894</f>
        <v>0</v>
      </c>
      <c r="H894" s="933"/>
      <c r="I894" s="933"/>
      <c r="J894" s="933"/>
      <c r="K894" s="933"/>
      <c r="L894" s="933"/>
      <c r="M894" s="933"/>
      <c r="N894" s="933"/>
      <c r="O894" s="933"/>
      <c r="P894" s="1290"/>
      <c r="Q894" s="1290"/>
      <c r="R894" s="1290"/>
      <c r="S894" s="933"/>
      <c r="T894" s="933"/>
      <c r="U894" s="1329"/>
      <c r="V894" s="933"/>
      <c r="W894" s="933"/>
      <c r="X894" s="933"/>
      <c r="Y894" s="1290"/>
      <c r="Z894" s="1290"/>
      <c r="AA894" s="933"/>
      <c r="AB894" s="933"/>
      <c r="AC894" s="933"/>
      <c r="AD894" s="933"/>
    </row>
    <row r="895" customFormat="false" ht="15.75" hidden="false" customHeight="true" outlineLevel="1" collapsed="false">
      <c r="A895" s="1372" t="s">
        <v>3359</v>
      </c>
      <c r="B895" s="887" t="str">
        <f aca="false">B433</f>
        <v>м.п.</v>
      </c>
      <c r="C895" s="1372" t="n">
        <f aca="false">C433</f>
        <v>0.4</v>
      </c>
      <c r="D895" s="1372" t="n">
        <f aca="false">D433</f>
        <v>0.05</v>
      </c>
      <c r="E895" s="1372" t="n">
        <f aca="false">IF('Ввод данных'!$A$361=связи1!$A$96,IF(дома!E894&lt;связи1!$C$558,0,дома!E894-$C$881),0)+IF(дома!E894=0,0,IF('Ввод данных'!$A$361=связи1!$A$95,IF(дома!E894&lt;0,0,дома!E894-$C$881),0))+IF('Ввод данных'!$A$361=связи1!$A$98,IF(дома!E894&lt;связи1!$C$558,0,дома!E894-$C$881),0)</f>
        <v>0</v>
      </c>
      <c r="F895" s="1372" t="n">
        <f aca="false">2*VLOOKUP('Ввод данных'!$F$416,связи1!$A$2:$B$3,2,0)</f>
        <v>0</v>
      </c>
      <c r="G895" s="933" t="n">
        <f aca="false">C895*D895*E895*F895</f>
        <v>0</v>
      </c>
      <c r="H895" s="933"/>
      <c r="I895" s="933"/>
      <c r="J895" s="933"/>
      <c r="K895" s="933"/>
      <c r="L895" s="933"/>
      <c r="M895" s="933"/>
      <c r="N895" s="933"/>
      <c r="O895" s="933"/>
      <c r="P895" s="1290"/>
      <c r="Q895" s="1290"/>
      <c r="R895" s="1290"/>
      <c r="S895" s="933"/>
      <c r="T895" s="933"/>
      <c r="U895" s="1329"/>
      <c r="V895" s="933"/>
      <c r="W895" s="933"/>
      <c r="X895" s="933"/>
      <c r="Y895" s="1290"/>
      <c r="Z895" s="1290"/>
      <c r="AA895" s="933"/>
      <c r="AB895" s="933"/>
      <c r="AC895" s="933"/>
      <c r="AD895" s="933"/>
    </row>
    <row r="896" customFormat="false" ht="15.75" hidden="false" customHeight="true" outlineLevel="1" collapsed="false">
      <c r="A896" s="1372" t="s">
        <v>3360</v>
      </c>
      <c r="B896" s="887" t="str">
        <f aca="false">B434</f>
        <v>м.п.</v>
      </c>
      <c r="C896" s="1372" t="n">
        <f aca="false">C434</f>
        <v>0.4</v>
      </c>
      <c r="D896" s="1372" t="n">
        <f aca="false">D434</f>
        <v>0.05</v>
      </c>
      <c r="E896" s="1372" t="n">
        <f aca="false">IF('Ввод данных'!$A$361=связи1!$A$96,IF(дома!E895&lt;связи1!$C$558,0,дома!E895-$C$881),0)+IF(дома!E895=0,0,IF('Ввод данных'!$A$361=связи1!$A$95,IF(дома!E895&lt;0,0,дома!E895-$C$881),0))+IF('Ввод данных'!$A$361=связи1!$A$98,IF(дома!E895&lt;связи1!$C$558,0,дома!E895-$C$881),0)</f>
        <v>0</v>
      </c>
      <c r="F896" s="1372" t="n">
        <f aca="false">2*VLOOKUP('Ввод данных'!$F$416,связи1!$A$2:$B$3,2,0)</f>
        <v>0</v>
      </c>
      <c r="G896" s="933" t="n">
        <f aca="false">C896*D896*E896*F896</f>
        <v>0</v>
      </c>
      <c r="H896" s="933"/>
      <c r="I896" s="933"/>
      <c r="J896" s="933"/>
      <c r="K896" s="933"/>
      <c r="L896" s="933"/>
      <c r="M896" s="933"/>
      <c r="N896" s="933"/>
      <c r="O896" s="933"/>
      <c r="P896" s="1290"/>
      <c r="Q896" s="1290"/>
      <c r="R896" s="1290"/>
      <c r="S896" s="933"/>
      <c r="T896" s="933"/>
      <c r="U896" s="1329"/>
      <c r="V896" s="933"/>
      <c r="W896" s="933"/>
      <c r="X896" s="933"/>
      <c r="Y896" s="1290"/>
      <c r="Z896" s="1290"/>
      <c r="AA896" s="933"/>
      <c r="AB896" s="933"/>
      <c r="AC896" s="933"/>
      <c r="AD896" s="933"/>
    </row>
    <row r="897" customFormat="false" ht="15.75" hidden="false" customHeight="true" outlineLevel="1" collapsed="false">
      <c r="A897" s="1372" t="s">
        <v>3361</v>
      </c>
      <c r="B897" s="887" t="str">
        <f aca="false">B435</f>
        <v>м.п.</v>
      </c>
      <c r="C897" s="1372" t="n">
        <f aca="false">C435</f>
        <v>0.4</v>
      </c>
      <c r="D897" s="1372" t="n">
        <f aca="false">D435</f>
        <v>0.05</v>
      </c>
      <c r="E897" s="1372" t="n">
        <f aca="false">IF('Ввод данных'!$A$361=связи1!$A$96,IF(дома!E896&lt;связи1!$C$558,0,дома!E896-$C$881),0)+IF(дома!E896=0,0,IF('Ввод данных'!$A$361=связи1!$A$95,IF(дома!E896&lt;0,0,дома!E896-$C$881),0))+IF('Ввод данных'!$A$361=связи1!$A$98,IF(дома!E896&lt;связи1!$C$558,0,дома!E896-$C$881),0)</f>
        <v>0</v>
      </c>
      <c r="F897" s="1372" t="n">
        <f aca="false">2*VLOOKUP('Ввод данных'!$F$416,связи1!$A$2:$B$3,2,0)</f>
        <v>0</v>
      </c>
      <c r="G897" s="933" t="n">
        <f aca="false">C897*D897*E897*F897</f>
        <v>0</v>
      </c>
      <c r="H897" s="933"/>
      <c r="I897" s="933"/>
      <c r="J897" s="933"/>
      <c r="K897" s="933"/>
      <c r="L897" s="933"/>
      <c r="M897" s="933"/>
      <c r="N897" s="933"/>
      <c r="O897" s="933"/>
      <c r="P897" s="1290"/>
      <c r="Q897" s="1290"/>
      <c r="R897" s="1290"/>
      <c r="S897" s="933"/>
      <c r="T897" s="933"/>
      <c r="U897" s="1329"/>
      <c r="V897" s="933"/>
      <c r="W897" s="933"/>
      <c r="X897" s="933"/>
      <c r="Y897" s="1290"/>
      <c r="Z897" s="1290"/>
      <c r="AA897" s="933"/>
      <c r="AB897" s="933"/>
      <c r="AC897" s="933"/>
      <c r="AD897" s="933"/>
    </row>
    <row r="898" customFormat="false" ht="15.75" hidden="false" customHeight="true" outlineLevel="1" collapsed="false">
      <c r="A898" s="1372" t="s">
        <v>3362</v>
      </c>
      <c r="B898" s="887" t="str">
        <f aca="false">B436</f>
        <v>м.п.</v>
      </c>
      <c r="C898" s="1372" t="n">
        <f aca="false">C436</f>
        <v>0.4</v>
      </c>
      <c r="D898" s="1372" t="n">
        <f aca="false">D436</f>
        <v>0.05</v>
      </c>
      <c r="E898" s="1372" t="n">
        <f aca="false">IF('Ввод данных'!$A$361=связи1!$A$96,IF(дома!E897&lt;связи1!$C$558,0,дома!E897-$C$881),0)+IF(дома!E897=0,0,IF('Ввод данных'!$A$361=связи1!$A$95,IF(дома!E897&lt;0,0,дома!E897-$C$881),0))+IF('Ввод данных'!$A$361=связи1!$A$98,IF(дома!E897&lt;связи1!$C$558,0,дома!E897-$C$881),0)</f>
        <v>0</v>
      </c>
      <c r="F898" s="1372" t="n">
        <f aca="false">2*VLOOKUP('Ввод данных'!$F$416,связи1!$A$2:$B$3,2,0)</f>
        <v>0</v>
      </c>
      <c r="G898" s="933" t="n">
        <f aca="false">C898*D898*E898*F898</f>
        <v>0</v>
      </c>
      <c r="H898" s="933"/>
      <c r="I898" s="933"/>
      <c r="J898" s="933"/>
      <c r="K898" s="933"/>
      <c r="L898" s="933"/>
      <c r="M898" s="933"/>
      <c r="N898" s="933"/>
      <c r="O898" s="933"/>
      <c r="P898" s="1290"/>
      <c r="Q898" s="1290"/>
      <c r="R898" s="1290"/>
      <c r="S898" s="933"/>
      <c r="T898" s="933"/>
      <c r="U898" s="1329"/>
      <c r="V898" s="933"/>
      <c r="W898" s="933"/>
      <c r="X898" s="933"/>
      <c r="Y898" s="1290"/>
      <c r="Z898" s="1290"/>
      <c r="AA898" s="933"/>
      <c r="AB898" s="933"/>
      <c r="AC898" s="933"/>
      <c r="AD898" s="933"/>
    </row>
    <row r="899" customFormat="false" ht="15.75" hidden="false" customHeight="true" outlineLevel="1" collapsed="false">
      <c r="A899" s="1372" t="s">
        <v>3363</v>
      </c>
      <c r="B899" s="887" t="str">
        <f aca="false">B437</f>
        <v>м.п.</v>
      </c>
      <c r="C899" s="1372" t="n">
        <f aca="false">C437</f>
        <v>0.4</v>
      </c>
      <c r="D899" s="1372" t="n">
        <f aca="false">D437</f>
        <v>0.05</v>
      </c>
      <c r="E899" s="1372" t="n">
        <f aca="false">IF('Ввод данных'!$A$361=связи1!$A$96,IF(дома!E898&lt;связи1!$C$558,0,дома!E898-$C$881),0)+IF(дома!E898=0,0,IF('Ввод данных'!$A$361=связи1!$A$95,IF(дома!E898&lt;0,0,дома!E898-$C$881),0))+IF('Ввод данных'!$A$361=связи1!$A$98,IF(дома!E898&lt;связи1!$C$558,0,дома!E898-$C$881),0)</f>
        <v>0</v>
      </c>
      <c r="F899" s="1372" t="n">
        <f aca="false">2*VLOOKUP('Ввод данных'!$F$416,связи1!$A$2:$B$3,2,0)</f>
        <v>0</v>
      </c>
      <c r="G899" s="933" t="n">
        <f aca="false">C899*D899*E899*F899</f>
        <v>0</v>
      </c>
      <c r="H899" s="933"/>
      <c r="I899" s="933"/>
      <c r="J899" s="933"/>
      <c r="K899" s="933"/>
      <c r="L899" s="933"/>
      <c r="M899" s="933"/>
      <c r="N899" s="933"/>
      <c r="O899" s="933"/>
      <c r="P899" s="1290"/>
      <c r="Q899" s="1290"/>
      <c r="R899" s="1290"/>
      <c r="S899" s="933"/>
      <c r="T899" s="933"/>
      <c r="U899" s="1329"/>
      <c r="V899" s="933"/>
      <c r="W899" s="933"/>
      <c r="X899" s="933"/>
      <c r="Y899" s="1290"/>
      <c r="Z899" s="1290"/>
      <c r="AA899" s="933"/>
      <c r="AB899" s="933"/>
      <c r="AC899" s="933"/>
      <c r="AD899" s="933"/>
    </row>
    <row r="900" customFormat="false" ht="15.75" hidden="false" customHeight="true" outlineLevel="1" collapsed="false">
      <c r="A900" s="1372" t="s">
        <v>3364</v>
      </c>
      <c r="B900" s="887" t="str">
        <f aca="false">B438</f>
        <v>м.п.</v>
      </c>
      <c r="C900" s="1372" t="n">
        <f aca="false">C438</f>
        <v>0.4</v>
      </c>
      <c r="D900" s="1372" t="n">
        <f aca="false">D438</f>
        <v>0.05</v>
      </c>
      <c r="E900" s="1372" t="n">
        <f aca="false">IF('Ввод данных'!$A$361=связи1!$A$96,IF(дома!E899&lt;связи1!$C$558,0,дома!E899-$C$881),0)+IF(дома!E899=0,0,IF('Ввод данных'!$A$361=связи1!$A$95,IF(дома!E899&lt;0,0,дома!E899-$C$881),0))+IF('Ввод данных'!$A$361=связи1!$A$98,IF(дома!E899&lt;связи1!$C$558,0,дома!E899-$C$881),0)</f>
        <v>0</v>
      </c>
      <c r="F900" s="1372" t="n">
        <f aca="false">2*VLOOKUP('Ввод данных'!$F$416,связи1!$A$2:$B$3,2,0)</f>
        <v>0</v>
      </c>
      <c r="G900" s="933" t="n">
        <f aca="false">C900*D900*E900*F900</f>
        <v>0</v>
      </c>
      <c r="H900" s="933"/>
      <c r="I900" s="933"/>
      <c r="J900" s="933"/>
      <c r="K900" s="933"/>
      <c r="L900" s="933"/>
      <c r="M900" s="933"/>
      <c r="N900" s="933"/>
      <c r="O900" s="933"/>
      <c r="P900" s="1290"/>
      <c r="Q900" s="1290"/>
      <c r="R900" s="1290"/>
      <c r="S900" s="933"/>
      <c r="T900" s="933"/>
      <c r="U900" s="1329"/>
      <c r="V900" s="933"/>
      <c r="W900" s="933"/>
      <c r="X900" s="933"/>
      <c r="Y900" s="1290"/>
      <c r="Z900" s="1290"/>
      <c r="AA900" s="933"/>
      <c r="AB900" s="933"/>
      <c r="AC900" s="933"/>
      <c r="AD900" s="933"/>
    </row>
    <row r="901" customFormat="false" ht="15.75" hidden="false" customHeight="true" outlineLevel="1" collapsed="false">
      <c r="A901" s="1372" t="s">
        <v>3365</v>
      </c>
      <c r="B901" s="887" t="str">
        <f aca="false">B439</f>
        <v>м.п.</v>
      </c>
      <c r="C901" s="1372" t="n">
        <f aca="false">C439</f>
        <v>0.4</v>
      </c>
      <c r="D901" s="1372" t="n">
        <f aca="false">D439</f>
        <v>0.05</v>
      </c>
      <c r="E901" s="1372" t="n">
        <f aca="false">IF('Ввод данных'!$A$361=связи1!$A$96,IF(дома!E900&lt;связи1!$C$558,0,дома!E900-$C$881),0)+IF(дома!E900=0,0,IF('Ввод данных'!$A$361=связи1!$A$95,IF(дома!E900&lt;0,0,дома!E900-$C$881),0))+IF('Ввод данных'!$A$361=связи1!$A$98,IF(дома!E900&lt;связи1!$C$558,0,дома!E900-$C$881),0)</f>
        <v>0</v>
      </c>
      <c r="F901" s="1372" t="n">
        <f aca="false">2*VLOOKUP('Ввод данных'!$F$416,связи1!$A$2:$B$3,2,0)</f>
        <v>0</v>
      </c>
      <c r="G901" s="933" t="n">
        <f aca="false">C901*D901*E901*F901</f>
        <v>0</v>
      </c>
      <c r="H901" s="933"/>
      <c r="I901" s="933"/>
      <c r="J901" s="933"/>
      <c r="K901" s="933"/>
      <c r="L901" s="933"/>
      <c r="M901" s="933"/>
      <c r="N901" s="933"/>
      <c r="O901" s="933"/>
      <c r="P901" s="1290"/>
      <c r="Q901" s="1290"/>
      <c r="R901" s="1290"/>
      <c r="S901" s="933"/>
      <c r="T901" s="933"/>
      <c r="U901" s="1329"/>
      <c r="V901" s="933"/>
      <c r="W901" s="933"/>
      <c r="X901" s="933"/>
      <c r="Y901" s="1290"/>
      <c r="Z901" s="1290"/>
      <c r="AA901" s="933"/>
      <c r="AB901" s="933"/>
      <c r="AC901" s="933"/>
      <c r="AD901" s="933"/>
    </row>
    <row r="902" customFormat="false" ht="15.75" hidden="false" customHeight="true" outlineLevel="1" collapsed="false">
      <c r="A902" s="1372" t="s">
        <v>3366</v>
      </c>
      <c r="B902" s="887" t="str">
        <f aca="false">B440</f>
        <v>м.п.</v>
      </c>
      <c r="C902" s="1372" t="n">
        <f aca="false">C440</f>
        <v>0.4</v>
      </c>
      <c r="D902" s="1372" t="n">
        <f aca="false">D440</f>
        <v>0.05</v>
      </c>
      <c r="E902" s="1372" t="n">
        <f aca="false">IF('Ввод данных'!$A$361=связи1!$A$96,IF(дома!E901&lt;связи1!$C$558,0,дома!E901-$C$881),0)+IF(дома!E901=0,0,IF('Ввод данных'!$A$361=связи1!$A$95,IF(дома!E901&lt;0,0,дома!E901-$C$881),0))+IF('Ввод данных'!$A$361=связи1!$A$98,IF(дома!E901&lt;связи1!$C$558,0,дома!E901-$C$881),0)</f>
        <v>0</v>
      </c>
      <c r="F902" s="1372" t="n">
        <f aca="false">2*VLOOKUP('Ввод данных'!$F$416,связи1!$A$2:$B$3,2,0)</f>
        <v>0</v>
      </c>
      <c r="G902" s="933" t="n">
        <f aca="false">C902*D902*E902*F902</f>
        <v>0</v>
      </c>
      <c r="H902" s="933"/>
      <c r="I902" s="933"/>
      <c r="J902" s="933"/>
      <c r="K902" s="933"/>
      <c r="L902" s="933"/>
      <c r="M902" s="933"/>
      <c r="N902" s="933"/>
      <c r="O902" s="933"/>
      <c r="P902" s="1290"/>
      <c r="Q902" s="1290"/>
      <c r="R902" s="1290"/>
      <c r="S902" s="933"/>
      <c r="T902" s="933"/>
      <c r="U902" s="1329"/>
      <c r="V902" s="933"/>
      <c r="W902" s="933"/>
      <c r="X902" s="933"/>
      <c r="Y902" s="1290"/>
      <c r="Z902" s="1290"/>
      <c r="AA902" s="933"/>
      <c r="AB902" s="933"/>
      <c r="AC902" s="933"/>
      <c r="AD902" s="933"/>
    </row>
    <row r="903" customFormat="false" ht="15.75" hidden="false" customHeight="true" outlineLevel="1" collapsed="false">
      <c r="A903" s="1372" t="s">
        <v>3367</v>
      </c>
      <c r="B903" s="887" t="str">
        <f aca="false">B441</f>
        <v>м.п.</v>
      </c>
      <c r="C903" s="1372" t="n">
        <f aca="false">C441</f>
        <v>0.4</v>
      </c>
      <c r="D903" s="1372" t="n">
        <f aca="false">D441</f>
        <v>0.05</v>
      </c>
      <c r="E903" s="1372" t="n">
        <f aca="false">IF('Ввод данных'!$A$361=связи1!$A$96,IF(дома!E902&lt;связи1!$C$558,0,дома!E902-$C$881),0)+IF(дома!E902=0,0,IF('Ввод данных'!$A$361=связи1!$A$95,IF(дома!E902&lt;0,0,дома!E902-$C$881),0))+IF('Ввод данных'!$A$361=связи1!$A$98,IF(дома!E902&lt;связи1!$C$558,0,дома!E902-$C$881),0)</f>
        <v>0</v>
      </c>
      <c r="F903" s="1372" t="n">
        <f aca="false">2*VLOOKUP('Ввод данных'!$F$416,связи1!$A$2:$B$3,2,0)</f>
        <v>0</v>
      </c>
      <c r="G903" s="933" t="n">
        <f aca="false">C903*D903*E903*F903</f>
        <v>0</v>
      </c>
      <c r="H903" s="933"/>
      <c r="I903" s="933"/>
      <c r="J903" s="933"/>
      <c r="K903" s="933"/>
      <c r="L903" s="933"/>
      <c r="M903" s="933"/>
      <c r="N903" s="933"/>
      <c r="O903" s="933"/>
      <c r="P903" s="1290"/>
      <c r="Q903" s="1290"/>
      <c r="R903" s="1290"/>
      <c r="S903" s="933"/>
      <c r="T903" s="933"/>
      <c r="U903" s="1329"/>
      <c r="V903" s="933"/>
      <c r="W903" s="933"/>
      <c r="X903" s="933"/>
      <c r="Y903" s="1290"/>
      <c r="Z903" s="1290"/>
      <c r="AA903" s="933"/>
      <c r="AB903" s="933"/>
      <c r="AC903" s="933"/>
      <c r="AD903" s="933"/>
    </row>
    <row r="904" customFormat="false" ht="15.75" hidden="false" customHeight="true" outlineLevel="1" collapsed="false">
      <c r="A904" s="1372" t="s">
        <v>3368</v>
      </c>
      <c r="B904" s="887" t="str">
        <f aca="false">B442</f>
        <v>м.п.</v>
      </c>
      <c r="C904" s="1372" t="n">
        <f aca="false">C442</f>
        <v>0.4</v>
      </c>
      <c r="D904" s="1372" t="n">
        <f aca="false">D442</f>
        <v>0.05</v>
      </c>
      <c r="E904" s="1372" t="n">
        <f aca="false">IF('Ввод данных'!$A$361=связи1!$A$96,IF(дома!E903&lt;связи1!$C$558,0,дома!E903-$C$881),0)+IF(дома!E903=0,0,IF('Ввод данных'!$A$361=связи1!$A$95,IF(дома!E903&lt;0,0,дома!E903-$C$881),0))+IF('Ввод данных'!$A$361=связи1!$A$98,IF(дома!E903&lt;связи1!$C$558,0,дома!E903-$C$881),0)</f>
        <v>0</v>
      </c>
      <c r="F904" s="1372" t="n">
        <f aca="false">2*VLOOKUP('Ввод данных'!$F$416,связи1!$A$2:$B$3,2,0)</f>
        <v>0</v>
      </c>
      <c r="G904" s="933" t="n">
        <f aca="false">C904*D904*E904*F904</f>
        <v>0</v>
      </c>
      <c r="H904" s="933"/>
      <c r="I904" s="933"/>
      <c r="J904" s="933"/>
      <c r="K904" s="933"/>
      <c r="L904" s="933"/>
      <c r="M904" s="933"/>
      <c r="N904" s="933"/>
      <c r="O904" s="933"/>
      <c r="P904" s="1290"/>
      <c r="Q904" s="1290"/>
      <c r="R904" s="1290"/>
      <c r="S904" s="933"/>
      <c r="T904" s="933"/>
      <c r="U904" s="1329"/>
      <c r="V904" s="933"/>
      <c r="W904" s="933"/>
      <c r="X904" s="933"/>
      <c r="Y904" s="1290"/>
      <c r="Z904" s="1290"/>
      <c r="AA904" s="933"/>
      <c r="AB904" s="933"/>
      <c r="AC904" s="933"/>
      <c r="AD904" s="933"/>
    </row>
    <row r="905" customFormat="false" ht="15.75" hidden="false" customHeight="true" outlineLevel="1" collapsed="false">
      <c r="A905" s="1372" t="s">
        <v>3369</v>
      </c>
      <c r="B905" s="887" t="str">
        <f aca="false">B443</f>
        <v>м.п.</v>
      </c>
      <c r="C905" s="1372" t="n">
        <f aca="false">C443</f>
        <v>0.4</v>
      </c>
      <c r="D905" s="1372" t="n">
        <f aca="false">D443</f>
        <v>0.05</v>
      </c>
      <c r="E905" s="1372" t="n">
        <f aca="false">IF('Ввод данных'!$A$361=связи1!$A$96,IF(дома!E904&lt;связи1!$C$558,0,дома!E904-$C$881),0)+IF(дома!E904=0,0,IF('Ввод данных'!$A$361=связи1!$A$95,IF(дома!E904&lt;0,0,дома!E904-$C$881),0))+IF('Ввод данных'!$A$361=связи1!$A$98,IF(дома!E904&lt;связи1!$C$558,0,дома!E904-$C$881),0)</f>
        <v>0</v>
      </c>
      <c r="F905" s="1372" t="n">
        <f aca="false">2*VLOOKUP('Ввод данных'!$F$416,связи1!$A$2:$B$3,2,0)</f>
        <v>0</v>
      </c>
      <c r="G905" s="933" t="n">
        <f aca="false">C905*D905*E905*F905</f>
        <v>0</v>
      </c>
      <c r="H905" s="933"/>
      <c r="I905" s="933"/>
      <c r="J905" s="933"/>
      <c r="K905" s="933"/>
      <c r="L905" s="933"/>
      <c r="M905" s="933"/>
      <c r="N905" s="933"/>
      <c r="O905" s="933"/>
      <c r="P905" s="1290"/>
      <c r="Q905" s="1290"/>
      <c r="R905" s="1290"/>
      <c r="S905" s="933"/>
      <c r="T905" s="933"/>
      <c r="U905" s="1329"/>
      <c r="V905" s="933"/>
      <c r="W905" s="933"/>
      <c r="X905" s="933"/>
      <c r="Y905" s="1290"/>
      <c r="Z905" s="1290"/>
      <c r="AA905" s="933"/>
      <c r="AB905" s="933"/>
      <c r="AC905" s="933"/>
      <c r="AD905" s="933"/>
    </row>
    <row r="906" customFormat="false" ht="15.75" hidden="false" customHeight="true" outlineLevel="1" collapsed="false">
      <c r="A906" s="1372" t="s">
        <v>3370</v>
      </c>
      <c r="B906" s="887" t="str">
        <f aca="false">B444</f>
        <v>м.п.</v>
      </c>
      <c r="C906" s="1372" t="n">
        <f aca="false">C444</f>
        <v>0.4</v>
      </c>
      <c r="D906" s="1372" t="n">
        <f aca="false">D444</f>
        <v>0.05</v>
      </c>
      <c r="E906" s="1372" t="n">
        <f aca="false">IF('Ввод данных'!$A$361=связи1!$A$96,IF(дома!E905&lt;связи1!$C$558,0,дома!E905-$C$881),0)+IF(дома!E905=0,0,IF('Ввод данных'!$A$361=связи1!$A$95,IF(дома!E905&lt;0,0,дома!E905-$C$881),0))+IF('Ввод данных'!$A$361=связи1!$A$98,IF(дома!E905&lt;связи1!$C$558,0,дома!E905-$C$881),0)</f>
        <v>0</v>
      </c>
      <c r="F906" s="1372" t="n">
        <f aca="false">2*VLOOKUP('Ввод данных'!$F$416,связи1!$A$2:$B$3,2,0)</f>
        <v>0</v>
      </c>
      <c r="G906" s="933" t="n">
        <f aca="false">C906*D906*E906*F906</f>
        <v>0</v>
      </c>
      <c r="H906" s="933"/>
      <c r="I906" s="933"/>
      <c r="J906" s="933"/>
      <c r="K906" s="933"/>
      <c r="L906" s="933"/>
      <c r="M906" s="933"/>
      <c r="N906" s="933"/>
      <c r="O906" s="933"/>
      <c r="P906" s="1290"/>
      <c r="Q906" s="1290"/>
      <c r="R906" s="1290"/>
      <c r="S906" s="933"/>
      <c r="T906" s="933"/>
      <c r="U906" s="1329"/>
      <c r="V906" s="933"/>
      <c r="W906" s="933"/>
      <c r="X906" s="933"/>
      <c r="Y906" s="1290"/>
      <c r="Z906" s="1290"/>
      <c r="AA906" s="933"/>
      <c r="AB906" s="933"/>
      <c r="AC906" s="933"/>
      <c r="AD906" s="933"/>
    </row>
    <row r="907" customFormat="false" ht="15.75" hidden="false" customHeight="true" outlineLevel="1" collapsed="false">
      <c r="A907" s="1372" t="s">
        <v>3371</v>
      </c>
      <c r="B907" s="887" t="str">
        <f aca="false">B445</f>
        <v>м.п.</v>
      </c>
      <c r="C907" s="1372" t="n">
        <f aca="false">C445</f>
        <v>0.4</v>
      </c>
      <c r="D907" s="1372" t="n">
        <f aca="false">D445</f>
        <v>0.05</v>
      </c>
      <c r="E907" s="1372" t="n">
        <f aca="false">IF('Ввод данных'!$A$361=связи1!$A$96,IF(дома!E906&lt;связи1!$C$558,0,дома!E906-$C$881),0)+IF(дома!E906=0,0,IF('Ввод данных'!$A$361=связи1!$A$95,IF(дома!E906&lt;0,0,дома!E906-$C$881),0))+IF('Ввод данных'!$A$361=связи1!$A$98,IF(дома!E906&lt;связи1!$C$558,0,дома!E906-$C$881),0)</f>
        <v>0</v>
      </c>
      <c r="F907" s="1372" t="n">
        <f aca="false">2*VLOOKUP('Ввод данных'!$F$416,связи1!$A$2:$B$3,2,0)</f>
        <v>0</v>
      </c>
      <c r="G907" s="933" t="n">
        <f aca="false">C907*D907*E907*F907</f>
        <v>0</v>
      </c>
      <c r="H907" s="933"/>
      <c r="I907" s="933"/>
      <c r="J907" s="933"/>
      <c r="K907" s="933"/>
      <c r="L907" s="933"/>
      <c r="M907" s="933"/>
      <c r="N907" s="933"/>
      <c r="O907" s="933"/>
      <c r="P907" s="1290"/>
      <c r="Q907" s="1290"/>
      <c r="R907" s="1290"/>
      <c r="S907" s="933"/>
      <c r="T907" s="933"/>
      <c r="U907" s="1329"/>
      <c r="V907" s="933"/>
      <c r="W907" s="933"/>
      <c r="X907" s="933"/>
      <c r="Y907" s="1290"/>
      <c r="Z907" s="1290"/>
      <c r="AA907" s="933"/>
      <c r="AB907" s="933"/>
      <c r="AC907" s="933"/>
      <c r="AD907" s="933"/>
    </row>
    <row r="908" customFormat="false" ht="15.75" hidden="false" customHeight="true" outlineLevel="1" collapsed="false">
      <c r="A908" s="1372" t="s">
        <v>3372</v>
      </c>
      <c r="B908" s="887" t="str">
        <f aca="false">B446</f>
        <v>м.п.</v>
      </c>
      <c r="C908" s="1372" t="n">
        <f aca="false">C446</f>
        <v>0.4</v>
      </c>
      <c r="D908" s="1372" t="n">
        <f aca="false">D446</f>
        <v>0.05</v>
      </c>
      <c r="E908" s="1372" t="n">
        <f aca="false">IF('Ввод данных'!$A$361=связи1!$A$96,IF(дома!E907&lt;связи1!$C$558,0,дома!E907-$C$881),0)+IF(дома!E907=0,0,IF('Ввод данных'!$A$361=связи1!$A$95,IF(дома!E907&lt;0,0,дома!E907-$C$881),0))+IF('Ввод данных'!$A$361=связи1!$A$98,IF(дома!E907&lt;связи1!$C$558,0,дома!E907-$C$881),0)</f>
        <v>0</v>
      </c>
      <c r="F908" s="1372" t="n">
        <f aca="false">2*VLOOKUP('Ввод данных'!$F$416,связи1!$A$2:$B$3,2,0)</f>
        <v>0</v>
      </c>
      <c r="G908" s="933" t="n">
        <f aca="false">C908*D908*E908*F908</f>
        <v>0</v>
      </c>
      <c r="H908" s="933"/>
      <c r="I908" s="933"/>
      <c r="J908" s="933"/>
      <c r="K908" s="933"/>
      <c r="L908" s="933"/>
      <c r="M908" s="933"/>
      <c r="N908" s="933"/>
      <c r="O908" s="933"/>
      <c r="P908" s="1290"/>
      <c r="Q908" s="1290"/>
      <c r="R908" s="1290"/>
      <c r="S908" s="933"/>
      <c r="T908" s="933"/>
      <c r="U908" s="1329"/>
      <c r="V908" s="933"/>
      <c r="W908" s="933"/>
      <c r="X908" s="933"/>
      <c r="Y908" s="1290"/>
      <c r="Z908" s="1290"/>
      <c r="AA908" s="933"/>
      <c r="AB908" s="933"/>
      <c r="AC908" s="933"/>
      <c r="AD908" s="933"/>
    </row>
    <row r="909" customFormat="false" ht="15.75" hidden="false" customHeight="true" outlineLevel="1" collapsed="false">
      <c r="A909" s="1372" t="s">
        <v>3373</v>
      </c>
      <c r="B909" s="887" t="str">
        <f aca="false">B447</f>
        <v>м.п.</v>
      </c>
      <c r="C909" s="1372" t="n">
        <f aca="false">C447</f>
        <v>0.4</v>
      </c>
      <c r="D909" s="1372" t="n">
        <f aca="false">D447</f>
        <v>0.05</v>
      </c>
      <c r="E909" s="1372" t="n">
        <f aca="false">IF('Ввод данных'!A360=связи1!A107,IF('Ввод данных'!A361=связи1!A94,0,0)+IF('Ввод данных'!A361=связи1!A95,связи1!C557-связи1!C556,0)+IF('Ввод данных'!A361=связи1!A96,связи1!C557,0)+IF('Ввод данных'!A361=связи1!A97,0,0)+IF('Ввод данных'!A361=связи1!A98,связи1!C557,0),0)</f>
        <v>0</v>
      </c>
      <c r="F909" s="1372" t="n">
        <f aca="false">2*VLOOKUP('Ввод данных'!$F$416,связи1!$A$2:$B$3,2,0)</f>
        <v>0</v>
      </c>
      <c r="G909" s="933" t="n">
        <f aca="false">C909*D909*E909*F909</f>
        <v>0</v>
      </c>
      <c r="H909" s="933"/>
      <c r="I909" s="933"/>
      <c r="J909" s="933"/>
      <c r="K909" s="933"/>
      <c r="L909" s="933"/>
      <c r="M909" s="933"/>
      <c r="N909" s="933"/>
      <c r="O909" s="933"/>
      <c r="P909" s="1290"/>
      <c r="Q909" s="1290"/>
      <c r="R909" s="1290"/>
      <c r="S909" s="933"/>
      <c r="T909" s="933"/>
      <c r="U909" s="1329"/>
      <c r="V909" s="933"/>
      <c r="W909" s="933"/>
      <c r="X909" s="933"/>
      <c r="Y909" s="1290"/>
      <c r="Z909" s="1290"/>
      <c r="AA909" s="933"/>
      <c r="AB909" s="933"/>
      <c r="AC909" s="933"/>
      <c r="AD909" s="933"/>
    </row>
    <row r="910" customFormat="false" ht="15.75" hidden="false" customHeight="true" outlineLevel="1" collapsed="false">
      <c r="A910" s="1372" t="s">
        <v>3374</v>
      </c>
      <c r="B910" s="887" t="str">
        <f aca="false">B448</f>
        <v>м.п.</v>
      </c>
      <c r="C910" s="1372" t="n">
        <f aca="false">C448</f>
        <v>0.4</v>
      </c>
      <c r="D910" s="1372" t="n">
        <f aca="false">D448</f>
        <v>0.05</v>
      </c>
      <c r="E910" s="1372" t="n">
        <f aca="false">IF('Ввод данных'!$A$361=связи1!$A$96,IF(дома!E909&lt;связи1!$C$558,0,дома!E909-$C$881),0)+IF(дома!E909=0,0,IF('Ввод данных'!$A$361=связи1!$A$95,IF(дома!E909&lt;0,0,дома!E909-$C$881),0))+IF('Ввод данных'!$A$361=связи1!$A$98,IF(дома!E909&lt;связи1!$C$558,0,дома!E909-$C$881),0)</f>
        <v>0</v>
      </c>
      <c r="F910" s="1372" t="n">
        <f aca="false">2*VLOOKUP('Ввод данных'!$F$416,связи1!$A$2:$B$3,2,0)</f>
        <v>0</v>
      </c>
      <c r="G910" s="933" t="n">
        <f aca="false">C910*D910*E910*F910</f>
        <v>0</v>
      </c>
      <c r="H910" s="933"/>
      <c r="I910" s="933"/>
      <c r="J910" s="933"/>
      <c r="K910" s="933"/>
      <c r="L910" s="933"/>
      <c r="M910" s="933"/>
      <c r="N910" s="933"/>
      <c r="O910" s="933"/>
      <c r="P910" s="1290"/>
      <c r="Q910" s="1290"/>
      <c r="R910" s="1290"/>
      <c r="S910" s="933"/>
      <c r="T910" s="933"/>
      <c r="U910" s="1329"/>
      <c r="V910" s="933"/>
      <c r="W910" s="933"/>
      <c r="X910" s="933"/>
      <c r="Y910" s="1290"/>
      <c r="Z910" s="1290"/>
      <c r="AA910" s="933"/>
      <c r="AB910" s="933"/>
      <c r="AC910" s="933"/>
      <c r="AD910" s="933"/>
    </row>
    <row r="911" customFormat="false" ht="15.75" hidden="false" customHeight="true" outlineLevel="1" collapsed="false">
      <c r="A911" s="1372" t="s">
        <v>3375</v>
      </c>
      <c r="B911" s="887" t="str">
        <f aca="false">B449</f>
        <v>м.п.</v>
      </c>
      <c r="C911" s="1372" t="n">
        <f aca="false">C449</f>
        <v>0.4</v>
      </c>
      <c r="D911" s="1372" t="n">
        <f aca="false">D449</f>
        <v>0.05</v>
      </c>
      <c r="E911" s="1372" t="n">
        <f aca="false">IF('Ввод данных'!$A$361=связи1!$A$96,IF(дома!E910&lt;связи1!$C$558,0,дома!E910-$C$881),0)+IF(дома!E910=0,0,IF('Ввод данных'!$A$361=связи1!$A$95,IF(дома!E910&lt;0,0,дома!E910-$C$881),0))+IF('Ввод данных'!$A$361=связи1!$A$98,IF(дома!E910&lt;связи1!$C$558,0,дома!E910-$C$881),0)</f>
        <v>0</v>
      </c>
      <c r="F911" s="1372" t="n">
        <f aca="false">2*VLOOKUP('Ввод данных'!$F$416,связи1!$A$2:$B$3,2,0)</f>
        <v>0</v>
      </c>
      <c r="G911" s="933" t="n">
        <f aca="false">C911*D911*E911*F911</f>
        <v>0</v>
      </c>
      <c r="H911" s="933"/>
      <c r="I911" s="933"/>
      <c r="J911" s="933"/>
      <c r="K911" s="933"/>
      <c r="L911" s="933"/>
      <c r="M911" s="933"/>
      <c r="N911" s="933"/>
      <c r="O911" s="933"/>
      <c r="P911" s="1290"/>
      <c r="Q911" s="1290"/>
      <c r="R911" s="1290"/>
      <c r="S911" s="933"/>
      <c r="T911" s="933"/>
      <c r="U911" s="1329"/>
      <c r="V911" s="933"/>
      <c r="W911" s="933"/>
      <c r="X911" s="933"/>
      <c r="Y911" s="1290"/>
      <c r="Z911" s="1290"/>
      <c r="AA911" s="933"/>
      <c r="AB911" s="933"/>
      <c r="AC911" s="933"/>
      <c r="AD911" s="933"/>
    </row>
    <row r="912" customFormat="false" ht="15.75" hidden="false" customHeight="true" outlineLevel="1" collapsed="false">
      <c r="A912" s="1372" t="s">
        <v>3376</v>
      </c>
      <c r="B912" s="887" t="str">
        <f aca="false">B450</f>
        <v>м.п.</v>
      </c>
      <c r="C912" s="1372" t="n">
        <f aca="false">C450</f>
        <v>0.4</v>
      </c>
      <c r="D912" s="1372" t="n">
        <f aca="false">D450</f>
        <v>0.05</v>
      </c>
      <c r="E912" s="1372" t="n">
        <f aca="false">IF('Ввод данных'!$A$361=связи1!$A$96,IF(дома!E911&lt;связи1!$C$558,0,дома!E911-$C$881),0)+IF(дома!E911=0,0,IF('Ввод данных'!$A$361=связи1!$A$95,IF(дома!E911&lt;0,0,дома!E911-$C$881),0))+IF('Ввод данных'!$A$361=связи1!$A$98,IF(дома!E911&lt;связи1!$C$558,0,дома!E911-$C$881),0)</f>
        <v>0</v>
      </c>
      <c r="F912" s="1372" t="n">
        <f aca="false">2*VLOOKUP('Ввод данных'!$F$416,связи1!$A$2:$B$3,2,0)</f>
        <v>0</v>
      </c>
      <c r="G912" s="933" t="n">
        <f aca="false">C912*D912*E912*F912</f>
        <v>0</v>
      </c>
      <c r="H912" s="933"/>
      <c r="I912" s="933"/>
      <c r="J912" s="933"/>
      <c r="K912" s="933"/>
      <c r="L912" s="933"/>
      <c r="M912" s="933"/>
      <c r="N912" s="933"/>
      <c r="O912" s="933"/>
      <c r="P912" s="1290"/>
      <c r="Q912" s="1290"/>
      <c r="R912" s="1290"/>
      <c r="S912" s="933"/>
      <c r="T912" s="933"/>
      <c r="U912" s="1329"/>
      <c r="V912" s="933"/>
      <c r="W912" s="933"/>
      <c r="X912" s="933"/>
      <c r="Y912" s="1290"/>
      <c r="Z912" s="1290"/>
      <c r="AA912" s="933"/>
      <c r="AB912" s="933"/>
      <c r="AC912" s="933"/>
      <c r="AD912" s="933"/>
    </row>
    <row r="913" customFormat="false" ht="15.75" hidden="false" customHeight="true" outlineLevel="1" collapsed="false">
      <c r="A913" s="1372" t="s">
        <v>3377</v>
      </c>
      <c r="B913" s="887" t="str">
        <f aca="false">B451</f>
        <v>м.п.</v>
      </c>
      <c r="C913" s="1372" t="n">
        <f aca="false">C451</f>
        <v>0.4</v>
      </c>
      <c r="D913" s="1372" t="n">
        <f aca="false">D451</f>
        <v>0.05</v>
      </c>
      <c r="E913" s="1372" t="n">
        <f aca="false">IF('Ввод данных'!$A$361=связи1!$A$96,IF(дома!E912&lt;связи1!$C$558,0,дома!E912-$C$881),0)+IF(дома!E912=0,0,IF('Ввод данных'!$A$361=связи1!$A$95,IF(дома!E912&lt;0,0,дома!E912-$C$881),0))+IF('Ввод данных'!$A$361=связи1!$A$98,IF(дома!E912&lt;связи1!$C$558,0,дома!E912-$C$881),0)</f>
        <v>0</v>
      </c>
      <c r="F913" s="1372" t="n">
        <f aca="false">2*VLOOKUP('Ввод данных'!$F$416,связи1!$A$2:$B$3,2,0)</f>
        <v>0</v>
      </c>
      <c r="G913" s="933" t="n">
        <f aca="false">C913*D913*E913*F913</f>
        <v>0</v>
      </c>
      <c r="H913" s="933"/>
      <c r="I913" s="933"/>
      <c r="J913" s="933"/>
      <c r="K913" s="933"/>
      <c r="L913" s="933"/>
      <c r="M913" s="933"/>
      <c r="N913" s="933"/>
      <c r="O913" s="933"/>
      <c r="P913" s="1290"/>
      <c r="Q913" s="1290"/>
      <c r="R913" s="1290"/>
      <c r="S913" s="933"/>
      <c r="T913" s="933"/>
      <c r="U913" s="1329"/>
      <c r="V913" s="933"/>
      <c r="W913" s="933"/>
      <c r="X913" s="933"/>
      <c r="Y913" s="1290"/>
      <c r="Z913" s="1290"/>
      <c r="AA913" s="933"/>
      <c r="AB913" s="933"/>
      <c r="AC913" s="933"/>
      <c r="AD913" s="933"/>
    </row>
    <row r="914" customFormat="false" ht="15.75" hidden="false" customHeight="true" outlineLevel="1" collapsed="false">
      <c r="A914" s="1372" t="s">
        <v>3378</v>
      </c>
      <c r="B914" s="887" t="str">
        <f aca="false">B452</f>
        <v>м.п.</v>
      </c>
      <c r="C914" s="1372" t="n">
        <f aca="false">C452</f>
        <v>0.4</v>
      </c>
      <c r="D914" s="1372" t="n">
        <f aca="false">D452</f>
        <v>0.05</v>
      </c>
      <c r="E914" s="1372" t="n">
        <f aca="false">IF('Ввод данных'!$A$361=связи1!$A$96,IF(дома!E913&lt;связи1!$C$558,0,дома!E913-$C$881),0)+IF(дома!E913=0,0,IF('Ввод данных'!$A$361=связи1!$A$95,IF(дома!E913&lt;0,0,дома!E913-$C$881),0))+IF('Ввод данных'!$A$361=связи1!$A$98,IF(дома!E913&lt;связи1!$C$558,0,дома!E913-$C$881),0)</f>
        <v>0</v>
      </c>
      <c r="F914" s="1372" t="n">
        <f aca="false">2*VLOOKUP('Ввод данных'!$F$416,связи1!$A$2:$B$3,2,0)</f>
        <v>0</v>
      </c>
      <c r="G914" s="933" t="n">
        <f aca="false">C914*D914*E914*F914</f>
        <v>0</v>
      </c>
      <c r="H914" s="933"/>
      <c r="I914" s="933"/>
      <c r="J914" s="933"/>
      <c r="K914" s="933"/>
      <c r="L914" s="933"/>
      <c r="M914" s="933"/>
      <c r="N914" s="933"/>
      <c r="O914" s="933"/>
      <c r="P914" s="1290"/>
      <c r="Q914" s="1290"/>
      <c r="R914" s="1290"/>
      <c r="S914" s="933"/>
      <c r="T914" s="933"/>
      <c r="U914" s="1329"/>
      <c r="V914" s="933"/>
      <c r="W914" s="933"/>
      <c r="X914" s="933"/>
      <c r="Y914" s="1290"/>
      <c r="Z914" s="1290"/>
      <c r="AA914" s="933"/>
      <c r="AB914" s="933"/>
      <c r="AC914" s="933"/>
      <c r="AD914" s="933"/>
    </row>
    <row r="915" customFormat="false" ht="15.75" hidden="false" customHeight="true" outlineLevel="1" collapsed="false">
      <c r="A915" s="1372" t="s">
        <v>3379</v>
      </c>
      <c r="B915" s="887" t="str">
        <f aca="false">B453</f>
        <v>м.п.</v>
      </c>
      <c r="C915" s="1372" t="n">
        <f aca="false">C453</f>
        <v>0.4</v>
      </c>
      <c r="D915" s="1372" t="n">
        <f aca="false">D453</f>
        <v>0.05</v>
      </c>
      <c r="E915" s="1372" t="n">
        <f aca="false">IF('Ввод данных'!$A$361=связи1!$A$96,IF(дома!E914&lt;связи1!$C$558,0,дома!E914-$C$881),0)+IF(дома!E914=0,0,IF('Ввод данных'!$A$361=связи1!$A$95,IF(дома!E914&lt;0,0,дома!E914-$C$881),0))+IF('Ввод данных'!$A$361=связи1!$A$98,IF(дома!E914&lt;связи1!$C$558,0,дома!E914-$C$881),0)</f>
        <v>0</v>
      </c>
      <c r="F915" s="1372" t="n">
        <f aca="false">2*VLOOKUP('Ввод данных'!$F$416,связи1!$A$2:$B$3,2,0)</f>
        <v>0</v>
      </c>
      <c r="G915" s="933" t="n">
        <f aca="false">C915*D915*E915*F915</f>
        <v>0</v>
      </c>
      <c r="H915" s="933"/>
      <c r="I915" s="933"/>
      <c r="J915" s="933"/>
      <c r="K915" s="933"/>
      <c r="L915" s="933"/>
      <c r="M915" s="933"/>
      <c r="N915" s="933"/>
      <c r="O915" s="933"/>
      <c r="P915" s="1290"/>
      <c r="Q915" s="1290"/>
      <c r="R915" s="1290"/>
      <c r="S915" s="933"/>
      <c r="T915" s="933"/>
      <c r="U915" s="1329"/>
      <c r="V915" s="933"/>
      <c r="W915" s="933"/>
      <c r="X915" s="933"/>
      <c r="Y915" s="1290"/>
      <c r="Z915" s="1290"/>
      <c r="AA915" s="933"/>
      <c r="AB915" s="933"/>
      <c r="AC915" s="933"/>
      <c r="AD915" s="933"/>
    </row>
    <row r="916" customFormat="false" ht="15.75" hidden="false" customHeight="true" outlineLevel="1" collapsed="false">
      <c r="A916" s="1372" t="s">
        <v>3380</v>
      </c>
      <c r="B916" s="887" t="str">
        <f aca="false">B454</f>
        <v>м.п.</v>
      </c>
      <c r="C916" s="1372" t="n">
        <f aca="false">C454</f>
        <v>0.4</v>
      </c>
      <c r="D916" s="1372" t="n">
        <f aca="false">D454</f>
        <v>0.05</v>
      </c>
      <c r="E916" s="1372" t="n">
        <f aca="false">IF('Ввод данных'!$A$361=связи1!$A$96,IF(дома!E915&lt;связи1!$C$558,0,дома!E915-$C$881),0)+IF(дома!E915=0,0,IF('Ввод данных'!$A$361=связи1!$A$95,IF(дома!E915&lt;0,0,дома!E915-$C$881),0))+IF('Ввод данных'!$A$361=связи1!$A$98,IF(дома!E915&lt;связи1!$C$558,0,дома!E915-$C$881),0)</f>
        <v>0</v>
      </c>
      <c r="F916" s="1372" t="n">
        <f aca="false">2*VLOOKUP('Ввод данных'!$F$416,связи1!$A$2:$B$3,2,0)</f>
        <v>0</v>
      </c>
      <c r="G916" s="933" t="n">
        <f aca="false">C916*D916*E916*F916</f>
        <v>0</v>
      </c>
      <c r="H916" s="933"/>
      <c r="I916" s="933"/>
      <c r="J916" s="933"/>
      <c r="K916" s="933"/>
      <c r="L916" s="933"/>
      <c r="M916" s="933"/>
      <c r="N916" s="933"/>
      <c r="O916" s="933"/>
      <c r="P916" s="1290"/>
      <c r="Q916" s="1290"/>
      <c r="R916" s="1290"/>
      <c r="S916" s="933"/>
      <c r="T916" s="933"/>
      <c r="U916" s="1329"/>
      <c r="V916" s="933"/>
      <c r="W916" s="933"/>
      <c r="X916" s="933"/>
      <c r="Y916" s="1290"/>
      <c r="Z916" s="1290"/>
      <c r="AA916" s="933"/>
      <c r="AB916" s="933"/>
      <c r="AC916" s="933"/>
      <c r="AD916" s="933"/>
    </row>
    <row r="917" customFormat="false" ht="15.75" hidden="false" customHeight="true" outlineLevel="1" collapsed="false">
      <c r="A917" s="1372" t="s">
        <v>3381</v>
      </c>
      <c r="B917" s="887" t="str">
        <f aca="false">B455</f>
        <v>м.п.</v>
      </c>
      <c r="C917" s="1372" t="n">
        <f aca="false">C455</f>
        <v>0.4</v>
      </c>
      <c r="D917" s="1372" t="n">
        <f aca="false">D455</f>
        <v>0.05</v>
      </c>
      <c r="E917" s="1372" t="n">
        <f aca="false">IF('Ввод данных'!$A$361=связи1!$A$96,IF(дома!E916&lt;связи1!$C$558,0,дома!E916-$C$881),0)+IF(дома!E916=0,0,IF('Ввод данных'!$A$361=связи1!$A$95,IF(дома!E916&lt;0,0,дома!E916-$C$881),0))+IF('Ввод данных'!$A$361=связи1!$A$98,IF(дома!E916&lt;связи1!$C$558,0,дома!E916-$C$881),0)</f>
        <v>0</v>
      </c>
      <c r="F917" s="1372" t="n">
        <f aca="false">2*VLOOKUP('Ввод данных'!$F$416,связи1!$A$2:$B$3,2,0)</f>
        <v>0</v>
      </c>
      <c r="G917" s="933" t="n">
        <f aca="false">C917*D917*E917*F917</f>
        <v>0</v>
      </c>
      <c r="H917" s="933"/>
      <c r="I917" s="933"/>
      <c r="J917" s="933"/>
      <c r="K917" s="933"/>
      <c r="L917" s="933"/>
      <c r="M917" s="933"/>
      <c r="N917" s="933"/>
      <c r="O917" s="933"/>
      <c r="P917" s="1290"/>
      <c r="Q917" s="1290"/>
      <c r="R917" s="1290"/>
      <c r="S917" s="933"/>
      <c r="T917" s="933"/>
      <c r="U917" s="1329"/>
      <c r="V917" s="933"/>
      <c r="W917" s="933"/>
      <c r="X917" s="933"/>
      <c r="Y917" s="1290"/>
      <c r="Z917" s="1290"/>
      <c r="AA917" s="933"/>
      <c r="AB917" s="933"/>
      <c r="AC917" s="933"/>
      <c r="AD917" s="933"/>
    </row>
    <row r="918" customFormat="false" ht="15.75" hidden="false" customHeight="true" outlineLevel="1" collapsed="false">
      <c r="A918" s="1372" t="s">
        <v>3382</v>
      </c>
      <c r="B918" s="887" t="str">
        <f aca="false">B456</f>
        <v>м.п.</v>
      </c>
      <c r="C918" s="1372" t="n">
        <f aca="false">C456</f>
        <v>0.4</v>
      </c>
      <c r="D918" s="1372" t="n">
        <f aca="false">D456</f>
        <v>0.05</v>
      </c>
      <c r="E918" s="1372" t="n">
        <f aca="false">IF('Ввод данных'!$A$361=связи1!$A$96,IF(дома!E917&lt;связи1!$C$558,0,дома!E917-$C$881),0)+IF(дома!E917=0,0,IF('Ввод данных'!$A$361=связи1!$A$95,IF(дома!E917&lt;0,0,дома!E917-$C$881),0))+IF('Ввод данных'!$A$361=связи1!$A$98,IF(дома!E917&lt;связи1!$C$558,0,дома!E917-$C$881),0)</f>
        <v>0</v>
      </c>
      <c r="F918" s="1372" t="n">
        <f aca="false">2*VLOOKUP('Ввод данных'!$F$416,связи1!$A$2:$B$3,2,0)</f>
        <v>0</v>
      </c>
      <c r="G918" s="933" t="n">
        <f aca="false">C918*D918*E918*F918</f>
        <v>0</v>
      </c>
      <c r="H918" s="933"/>
      <c r="I918" s="933"/>
      <c r="J918" s="933"/>
      <c r="K918" s="933"/>
      <c r="L918" s="933"/>
      <c r="M918" s="933"/>
      <c r="N918" s="933"/>
      <c r="O918" s="933"/>
      <c r="P918" s="1290"/>
      <c r="Q918" s="1290"/>
      <c r="R918" s="1290"/>
      <c r="S918" s="933"/>
      <c r="T918" s="933"/>
      <c r="U918" s="1329"/>
      <c r="V918" s="933"/>
      <c r="W918" s="933"/>
      <c r="X918" s="933"/>
      <c r="Y918" s="1290"/>
      <c r="Z918" s="1290"/>
      <c r="AA918" s="933"/>
      <c r="AB918" s="933"/>
      <c r="AC918" s="933"/>
      <c r="AD918" s="933"/>
    </row>
    <row r="919" customFormat="false" ht="15.75" hidden="false" customHeight="true" outlineLevel="1" collapsed="false">
      <c r="A919" s="1372" t="s">
        <v>3383</v>
      </c>
      <c r="B919" s="887" t="str">
        <f aca="false">B457</f>
        <v>м.п.</v>
      </c>
      <c r="C919" s="1372" t="n">
        <f aca="false">C457</f>
        <v>0.4</v>
      </c>
      <c r="D919" s="1372" t="n">
        <f aca="false">D457</f>
        <v>0.05</v>
      </c>
      <c r="E919" s="1372" t="n">
        <f aca="false">IF('Ввод данных'!$A$361=связи1!$A$96,IF(дома!E918&lt;связи1!$C$558,0,дома!E918-$C$881),0)+IF(дома!E918=0,0,IF('Ввод данных'!$A$361=связи1!$A$95,IF(дома!E918&lt;0,0,дома!E918-$C$881),0))+IF('Ввод данных'!$A$361=связи1!$A$98,IF(дома!E918&lt;связи1!$C$558,0,дома!E918-$C$881),0)</f>
        <v>0</v>
      </c>
      <c r="F919" s="1372" t="n">
        <f aca="false">2*VLOOKUP('Ввод данных'!$F$416,связи1!$A$2:$B$3,2,0)</f>
        <v>0</v>
      </c>
      <c r="G919" s="933" t="n">
        <f aca="false">C919*D919*E919*F919</f>
        <v>0</v>
      </c>
      <c r="H919" s="933"/>
      <c r="I919" s="933"/>
      <c r="J919" s="933"/>
      <c r="K919" s="933"/>
      <c r="L919" s="933"/>
      <c r="M919" s="933"/>
      <c r="N919" s="933"/>
      <c r="O919" s="933"/>
      <c r="P919" s="1290"/>
      <c r="Q919" s="1290"/>
      <c r="R919" s="1290"/>
      <c r="S919" s="933"/>
      <c r="T919" s="933"/>
      <c r="U919" s="1329"/>
      <c r="V919" s="933"/>
      <c r="W919" s="933"/>
      <c r="X919" s="933"/>
      <c r="Y919" s="1290"/>
      <c r="Z919" s="1290"/>
      <c r="AA919" s="933"/>
      <c r="AB919" s="933"/>
      <c r="AC919" s="933"/>
      <c r="AD919" s="933"/>
    </row>
    <row r="920" customFormat="false" ht="15.75" hidden="false" customHeight="true" outlineLevel="1" collapsed="false">
      <c r="A920" s="1372" t="s">
        <v>3384</v>
      </c>
      <c r="B920" s="887" t="str">
        <f aca="false">B458</f>
        <v>м.п.</v>
      </c>
      <c r="C920" s="1372" t="n">
        <f aca="false">C458</f>
        <v>0.4</v>
      </c>
      <c r="D920" s="1372" t="n">
        <f aca="false">D458</f>
        <v>0.05</v>
      </c>
      <c r="E920" s="1372" t="n">
        <f aca="false">IF('Ввод данных'!$A$361=связи1!$A$96,IF(дома!E919&lt;связи1!$C$558,0,дома!E919-$C$881),0)+IF(дома!E919=0,0,IF('Ввод данных'!$A$361=связи1!$A$95,IF(дома!E919&lt;0,0,дома!E919-$C$881),0))+IF('Ввод данных'!$A$361=связи1!$A$98,IF(дома!E919&lt;связи1!$C$558,0,дома!E919-$C$881),0)</f>
        <v>0</v>
      </c>
      <c r="F920" s="1372" t="n">
        <f aca="false">2*VLOOKUP('Ввод данных'!$F$416,связи1!$A$2:$B$3,2,0)</f>
        <v>0</v>
      </c>
      <c r="G920" s="933" t="n">
        <f aca="false">C920*D920*E920*F920</f>
        <v>0</v>
      </c>
      <c r="H920" s="933"/>
      <c r="I920" s="933"/>
      <c r="J920" s="933"/>
      <c r="K920" s="933"/>
      <c r="L920" s="933"/>
      <c r="M920" s="933"/>
      <c r="N920" s="933"/>
      <c r="O920" s="933"/>
      <c r="P920" s="1290"/>
      <c r="Q920" s="1290"/>
      <c r="R920" s="1290"/>
      <c r="S920" s="933"/>
      <c r="T920" s="933"/>
      <c r="U920" s="1329"/>
      <c r="V920" s="933"/>
      <c r="W920" s="933"/>
      <c r="X920" s="933"/>
      <c r="Y920" s="1290"/>
      <c r="Z920" s="1290"/>
      <c r="AA920" s="933"/>
      <c r="AB920" s="933"/>
      <c r="AC920" s="933"/>
      <c r="AD920" s="933"/>
    </row>
    <row r="921" customFormat="false" ht="15.75" hidden="false" customHeight="true" outlineLevel="1" collapsed="false">
      <c r="A921" s="1372" t="s">
        <v>3385</v>
      </c>
      <c r="B921" s="887" t="str">
        <f aca="false">B459</f>
        <v>м.п.</v>
      </c>
      <c r="C921" s="1372" t="n">
        <f aca="false">C459</f>
        <v>0.4</v>
      </c>
      <c r="D921" s="1372" t="n">
        <f aca="false">D459</f>
        <v>0.05</v>
      </c>
      <c r="E921" s="1372" t="n">
        <f aca="false">IF('Ввод данных'!$A$361=связи1!$A$96,IF(дома!E920&lt;связи1!$C$558,0,дома!E920-$C$881),0)+IF(дома!E920=0,0,IF('Ввод данных'!$A$361=связи1!$A$95,IF(дома!E920&lt;0,0,дома!E920-$C$881),0))+IF('Ввод данных'!$A$361=связи1!$A$98,IF(дома!E920&lt;связи1!$C$558,0,дома!E920-$C$881),0)</f>
        <v>0</v>
      </c>
      <c r="F921" s="1372" t="n">
        <f aca="false">2*VLOOKUP('Ввод данных'!$F$416,связи1!$A$2:$B$3,2,0)</f>
        <v>0</v>
      </c>
      <c r="G921" s="933" t="n">
        <f aca="false">C921*D921*E921*F921</f>
        <v>0</v>
      </c>
      <c r="H921" s="933"/>
      <c r="I921" s="933"/>
      <c r="J921" s="933"/>
      <c r="K921" s="933"/>
      <c r="L921" s="933"/>
      <c r="M921" s="933"/>
      <c r="N921" s="933"/>
      <c r="O921" s="933"/>
      <c r="P921" s="1290"/>
      <c r="Q921" s="1290"/>
      <c r="R921" s="1290"/>
      <c r="S921" s="933"/>
      <c r="T921" s="933"/>
      <c r="U921" s="1329"/>
      <c r="V921" s="933"/>
      <c r="W921" s="933"/>
      <c r="X921" s="933"/>
      <c r="Y921" s="1290"/>
      <c r="Z921" s="1290"/>
      <c r="AA921" s="933"/>
      <c r="AB921" s="933"/>
      <c r="AC921" s="933"/>
      <c r="AD921" s="933"/>
    </row>
    <row r="922" customFormat="false" ht="15.75" hidden="false" customHeight="true" outlineLevel="1" collapsed="false">
      <c r="A922" s="1372" t="s">
        <v>3386</v>
      </c>
      <c r="B922" s="887" t="str">
        <f aca="false">B460</f>
        <v>м.п.</v>
      </c>
      <c r="C922" s="1372" t="n">
        <f aca="false">C460</f>
        <v>0.4</v>
      </c>
      <c r="D922" s="1372" t="n">
        <f aca="false">D460</f>
        <v>0.05</v>
      </c>
      <c r="E922" s="1372" t="n">
        <f aca="false">IF('Ввод данных'!$A$361=связи1!$A$96,IF(дома!E921&lt;связи1!$C$558,0,дома!E921-$C$881),0)+IF(дома!E921=0,0,IF('Ввод данных'!$A$361=связи1!$A$95,IF(дома!E921&lt;0,0,дома!E921-$C$881),0))+IF('Ввод данных'!$A$361=связи1!$A$98,IF(дома!E921&lt;связи1!$C$558,0,дома!E921-$C$881),0)</f>
        <v>0</v>
      </c>
      <c r="F922" s="1372" t="n">
        <f aca="false">2*VLOOKUP('Ввод данных'!$F$416,связи1!$A$2:$B$3,2,0)</f>
        <v>0</v>
      </c>
      <c r="G922" s="933" t="n">
        <f aca="false">C922*D922*E922*F922</f>
        <v>0</v>
      </c>
      <c r="H922" s="933"/>
      <c r="I922" s="933"/>
      <c r="J922" s="933"/>
      <c r="K922" s="933"/>
      <c r="L922" s="933"/>
      <c r="M922" s="933"/>
      <c r="N922" s="933"/>
      <c r="O922" s="933"/>
      <c r="P922" s="1290"/>
      <c r="Q922" s="1290"/>
      <c r="R922" s="1290"/>
      <c r="S922" s="933"/>
      <c r="T922" s="933"/>
      <c r="U922" s="1329"/>
      <c r="V922" s="933"/>
      <c r="W922" s="933"/>
      <c r="X922" s="933"/>
      <c r="Y922" s="1290"/>
      <c r="Z922" s="1290"/>
      <c r="AA922" s="933"/>
      <c r="AB922" s="933"/>
      <c r="AC922" s="933"/>
      <c r="AD922" s="933"/>
    </row>
    <row r="923" customFormat="false" ht="15.75" hidden="false" customHeight="true" outlineLevel="1" collapsed="false">
      <c r="A923" s="1372" t="s">
        <v>3387</v>
      </c>
      <c r="B923" s="887" t="str">
        <f aca="false">B461</f>
        <v>м.п.</v>
      </c>
      <c r="C923" s="1372" t="n">
        <f aca="false">C461</f>
        <v>0.4</v>
      </c>
      <c r="D923" s="1372" t="n">
        <f aca="false">D461</f>
        <v>0.05</v>
      </c>
      <c r="E923" s="1372" t="n">
        <f aca="false">IF('Ввод данных'!$A$361=связи1!$A$96,IF(дома!E922&lt;связи1!$C$558,0,дома!E922-$C$881),0)+IF(дома!E922=0,0,IF('Ввод данных'!$A$361=связи1!$A$95,IF(дома!E922&lt;0,0,дома!E922-$C$881),0))+IF('Ввод данных'!$A$361=связи1!$A$98,IF(дома!E922&lt;связи1!$C$558,0,дома!E922-$C$881),0)</f>
        <v>0</v>
      </c>
      <c r="F923" s="1372" t="n">
        <f aca="false">2*VLOOKUP('Ввод данных'!$F$416,связи1!$A$2:$B$3,2,0)</f>
        <v>0</v>
      </c>
      <c r="G923" s="933" t="n">
        <f aca="false">C923*D923*E923*F923</f>
        <v>0</v>
      </c>
      <c r="H923" s="933"/>
      <c r="I923" s="933"/>
      <c r="J923" s="933"/>
      <c r="K923" s="933"/>
      <c r="L923" s="933"/>
      <c r="M923" s="933"/>
      <c r="N923" s="933"/>
      <c r="O923" s="933"/>
      <c r="P923" s="1290"/>
      <c r="Q923" s="1290"/>
      <c r="R923" s="1290"/>
      <c r="S923" s="933"/>
      <c r="T923" s="933"/>
      <c r="U923" s="1329"/>
      <c r="V923" s="933"/>
      <c r="W923" s="933"/>
      <c r="X923" s="933"/>
      <c r="Y923" s="1290"/>
      <c r="Z923" s="1290"/>
      <c r="AA923" s="933"/>
      <c r="AB923" s="933"/>
      <c r="AC923" s="933"/>
      <c r="AD923" s="933"/>
    </row>
    <row r="924" customFormat="false" ht="15.75" hidden="false" customHeight="true" outlineLevel="1" collapsed="false">
      <c r="A924" s="1372" t="s">
        <v>3388</v>
      </c>
      <c r="B924" s="887" t="str">
        <f aca="false">B462</f>
        <v>м.п.</v>
      </c>
      <c r="C924" s="1372" t="n">
        <f aca="false">C462</f>
        <v>0.4</v>
      </c>
      <c r="D924" s="1372" t="n">
        <f aca="false">D462</f>
        <v>0.05</v>
      </c>
      <c r="E924" s="1372" t="n">
        <f aca="false">IF('Ввод данных'!$A$361=связи1!$A$96,IF(дома!E923&lt;связи1!$C$558,0,дома!E923-$C$881),0)+IF(дома!E923=0,0,IF('Ввод данных'!$A$361=связи1!$A$95,IF(дома!E923&lt;0,0,дома!E923-$C$881),0))+IF('Ввод данных'!$A$361=связи1!$A$98,IF(дома!E923&lt;связи1!$C$558,0,дома!E923-$C$881),0)</f>
        <v>0</v>
      </c>
      <c r="F924" s="1372" t="n">
        <f aca="false">2*VLOOKUP('Ввод данных'!$F$416,связи1!$A$2:$B$3,2,0)</f>
        <v>0</v>
      </c>
      <c r="G924" s="933" t="n">
        <f aca="false">C924*D924*E924*F924</f>
        <v>0</v>
      </c>
      <c r="H924" s="933"/>
      <c r="I924" s="933"/>
      <c r="J924" s="933"/>
      <c r="K924" s="933"/>
      <c r="L924" s="933"/>
      <c r="M924" s="933"/>
      <c r="N924" s="933"/>
      <c r="O924" s="933"/>
      <c r="P924" s="1290"/>
      <c r="Q924" s="1290"/>
      <c r="R924" s="1290"/>
      <c r="S924" s="933"/>
      <c r="T924" s="933"/>
      <c r="U924" s="1329"/>
      <c r="V924" s="933"/>
      <c r="W924" s="933"/>
      <c r="X924" s="933"/>
      <c r="Y924" s="1290"/>
      <c r="Z924" s="1290"/>
      <c r="AA924" s="933"/>
      <c r="AB924" s="933"/>
      <c r="AC924" s="933"/>
      <c r="AD924" s="933"/>
    </row>
    <row r="925" customFormat="false" ht="15.75" hidden="false" customHeight="true" outlineLevel="1" collapsed="false">
      <c r="A925" s="1372" t="s">
        <v>3389</v>
      </c>
      <c r="B925" s="887" t="str">
        <f aca="false">B463</f>
        <v>м.п.</v>
      </c>
      <c r="C925" s="1372" t="n">
        <f aca="false">C463</f>
        <v>0.4</v>
      </c>
      <c r="D925" s="1372" t="n">
        <f aca="false">D463</f>
        <v>0.05</v>
      </c>
      <c r="E925" s="1372" t="n">
        <f aca="false">IF('Ввод данных'!$A$361=связи1!$A$96,IF(дома!E924&lt;связи1!$C$558,0,дома!E924-$C$881),0)+IF(дома!E924=0,0,IF('Ввод данных'!$A$361=связи1!$A$95,IF(дома!E924&lt;0,0,дома!E924-$C$881),0))+IF('Ввод данных'!$A$361=связи1!$A$98,IF(дома!E924&lt;связи1!$C$558,0,дома!E924-$C$881),0)</f>
        <v>0</v>
      </c>
      <c r="F925" s="1372" t="n">
        <f aca="false">2*VLOOKUP('Ввод данных'!$F$416,связи1!$A$2:$B$3,2,0)</f>
        <v>0</v>
      </c>
      <c r="G925" s="933" t="n">
        <f aca="false">C925*D925*E925*F925</f>
        <v>0</v>
      </c>
      <c r="H925" s="933"/>
      <c r="I925" s="933"/>
      <c r="J925" s="933"/>
      <c r="K925" s="933"/>
      <c r="L925" s="933"/>
      <c r="M925" s="933"/>
      <c r="N925" s="933"/>
      <c r="O925" s="933"/>
      <c r="P925" s="1290"/>
      <c r="Q925" s="1290"/>
      <c r="R925" s="1290"/>
      <c r="S925" s="933"/>
      <c r="T925" s="933"/>
      <c r="U925" s="1329"/>
      <c r="V925" s="933"/>
      <c r="W925" s="933"/>
      <c r="X925" s="933"/>
      <c r="Y925" s="1290"/>
      <c r="Z925" s="1290"/>
      <c r="AA925" s="933"/>
      <c r="AB925" s="933"/>
      <c r="AC925" s="933"/>
      <c r="AD925" s="933"/>
    </row>
    <row r="926" customFormat="false" ht="15.75" hidden="false" customHeight="true" outlineLevel="1" collapsed="false">
      <c r="A926" s="1372" t="n">
        <f aca="false">A464</f>
        <v>0</v>
      </c>
      <c r="B926" s="887" t="n">
        <f aca="false">B464</f>
        <v>0</v>
      </c>
      <c r="C926" s="1372" t="n">
        <f aca="false">C464</f>
        <v>0</v>
      </c>
      <c r="D926" s="1372" t="n">
        <f aca="false">D464</f>
        <v>0</v>
      </c>
      <c r="E926" s="1372"/>
      <c r="F926" s="1372"/>
      <c r="G926" s="933" t="n">
        <f aca="false">C926*D926*E926*F926</f>
        <v>0</v>
      </c>
      <c r="H926" s="933"/>
      <c r="I926" s="933"/>
      <c r="J926" s="933"/>
      <c r="K926" s="933"/>
      <c r="L926" s="933"/>
      <c r="M926" s="933"/>
      <c r="N926" s="933"/>
      <c r="O926" s="933"/>
      <c r="P926" s="1290"/>
      <c r="Q926" s="1290"/>
      <c r="R926" s="1290"/>
      <c r="S926" s="933"/>
      <c r="T926" s="933"/>
      <c r="U926" s="1329"/>
      <c r="V926" s="933"/>
      <c r="W926" s="933"/>
      <c r="X926" s="933"/>
      <c r="Y926" s="1290"/>
      <c r="Z926" s="1290"/>
      <c r="AA926" s="933"/>
      <c r="AB926" s="933"/>
      <c r="AC926" s="933"/>
      <c r="AD926" s="933"/>
    </row>
    <row r="927" customFormat="false" ht="15.75" hidden="false" customHeight="true" outlineLevel="1" collapsed="false">
      <c r="A927" s="1377" t="s">
        <v>3390</v>
      </c>
      <c r="B927" s="1379" t="str">
        <f aca="false">B465</f>
        <v>ед.изм</v>
      </c>
      <c r="C927" s="1377" t="str">
        <f aca="false">C465</f>
        <v>ширина</v>
      </c>
      <c r="D927" s="1377" t="str">
        <f aca="false">D465</f>
        <v>толщина</v>
      </c>
      <c r="E927" s="1377" t="str">
        <f aca="false">E465</f>
        <v>высота</v>
      </c>
      <c r="F927" s="1377" t="str">
        <f aca="false">F465</f>
        <v>кол-во</v>
      </c>
      <c r="G927" s="933"/>
      <c r="H927" s="933"/>
      <c r="I927" s="933"/>
      <c r="J927" s="933"/>
      <c r="K927" s="933"/>
      <c r="L927" s="933"/>
      <c r="M927" s="933"/>
      <c r="N927" s="933"/>
      <c r="O927" s="933"/>
      <c r="P927" s="1290"/>
      <c r="Q927" s="1290"/>
      <c r="R927" s="1290"/>
      <c r="S927" s="933"/>
      <c r="T927" s="933"/>
      <c r="U927" s="1329"/>
      <c r="V927" s="933"/>
      <c r="W927" s="933"/>
      <c r="X927" s="933"/>
      <c r="Y927" s="1290"/>
      <c r="Z927" s="1290"/>
      <c r="AA927" s="933"/>
      <c r="AB927" s="933"/>
      <c r="AC927" s="933"/>
      <c r="AD927" s="933"/>
    </row>
    <row r="928" customFormat="false" ht="15.75" hidden="false" customHeight="true" outlineLevel="1" collapsed="false">
      <c r="A928" s="1372" t="s">
        <v>3352</v>
      </c>
      <c r="B928" s="887" t="str">
        <f aca="false">B466</f>
        <v>м.п.</v>
      </c>
      <c r="C928" s="1372" t="n">
        <f aca="false">C466</f>
        <v>0.4</v>
      </c>
      <c r="D928" s="1372" t="n">
        <f aca="false">D466</f>
        <v>0.05</v>
      </c>
      <c r="E928" s="1372" t="n">
        <f aca="false">E864</f>
        <v>2.2</v>
      </c>
      <c r="F928" s="1372" t="n">
        <f aca="false">L864*VLOOKUP('Ввод данных'!F416,связи1!A2:B3,2,0)</f>
        <v>0</v>
      </c>
      <c r="G928" s="933" t="n">
        <f aca="false">C928*D928*E928*F928</f>
        <v>0</v>
      </c>
      <c r="H928" s="933"/>
      <c r="I928" s="933"/>
      <c r="J928" s="933"/>
      <c r="K928" s="933"/>
      <c r="L928" s="933"/>
      <c r="M928" s="933"/>
      <c r="N928" s="933"/>
      <c r="O928" s="933"/>
      <c r="P928" s="1290"/>
      <c r="Q928" s="1290"/>
      <c r="R928" s="1290"/>
      <c r="S928" s="933"/>
      <c r="T928" s="933"/>
      <c r="U928" s="1329"/>
      <c r="V928" s="933"/>
      <c r="W928" s="933"/>
      <c r="X928" s="933"/>
      <c r="Y928" s="1290"/>
      <c r="Z928" s="1290"/>
      <c r="AA928" s="933"/>
      <c r="AB928" s="933"/>
      <c r="AC928" s="933"/>
      <c r="AD928" s="933"/>
    </row>
    <row r="929" customFormat="false" ht="15.75" hidden="false" customHeight="true" outlineLevel="1" collapsed="false">
      <c r="A929" s="1372" t="s">
        <v>3353</v>
      </c>
      <c r="B929" s="887" t="str">
        <f aca="false">B467</f>
        <v>м.п.</v>
      </c>
      <c r="C929" s="1372" t="n">
        <f aca="false">C467</f>
        <v>0.4</v>
      </c>
      <c r="D929" s="1372" t="n">
        <f aca="false">D467</f>
        <v>0.05</v>
      </c>
      <c r="E929" s="1372" t="n">
        <f aca="false">E865</f>
        <v>2.2</v>
      </c>
      <c r="F929" s="1372" t="n">
        <f aca="false">L865*VLOOKUP('Ввод данных'!F416,связи1!A2:B3,2,0)</f>
        <v>0</v>
      </c>
      <c r="G929" s="933" t="n">
        <f aca="false">C929*D929*E929*F929</f>
        <v>0</v>
      </c>
      <c r="H929" s="933"/>
      <c r="I929" s="933"/>
      <c r="J929" s="933"/>
      <c r="K929" s="933"/>
      <c r="L929" s="933"/>
      <c r="M929" s="933"/>
      <c r="N929" s="933"/>
      <c r="O929" s="933"/>
      <c r="P929" s="1290"/>
      <c r="Q929" s="1290"/>
      <c r="R929" s="1290"/>
      <c r="S929" s="933"/>
      <c r="T929" s="933"/>
      <c r="U929" s="1329"/>
      <c r="V929" s="933"/>
      <c r="W929" s="933"/>
      <c r="X929" s="933"/>
      <c r="Y929" s="1290"/>
      <c r="Z929" s="1290"/>
      <c r="AA929" s="933"/>
      <c r="AB929" s="933"/>
      <c r="AC929" s="933"/>
      <c r="AD929" s="933"/>
    </row>
    <row r="930" customFormat="false" ht="15.75" hidden="false" customHeight="true" outlineLevel="1" collapsed="false">
      <c r="A930" s="1372" t="s">
        <v>3354</v>
      </c>
      <c r="B930" s="887" t="str">
        <f aca="false">B468</f>
        <v>м.п.</v>
      </c>
      <c r="C930" s="1372" t="n">
        <f aca="false">C468</f>
        <v>0.4</v>
      </c>
      <c r="D930" s="1372" t="n">
        <f aca="false">D468</f>
        <v>0.05</v>
      </c>
      <c r="E930" s="1372" t="n">
        <f aca="false">E866</f>
        <v>2.2</v>
      </c>
      <c r="F930" s="1372" t="n">
        <f aca="false">L866*VLOOKUP('Ввод данных'!F416,связи1!A2:B3,2,0)</f>
        <v>0</v>
      </c>
      <c r="G930" s="933" t="n">
        <f aca="false">C930*D930*E930*F930</f>
        <v>0</v>
      </c>
      <c r="H930" s="933"/>
      <c r="I930" s="933"/>
      <c r="J930" s="933"/>
      <c r="K930" s="933"/>
      <c r="L930" s="933"/>
      <c r="M930" s="933"/>
      <c r="N930" s="933"/>
      <c r="O930" s="933"/>
      <c r="P930" s="1290"/>
      <c r="Q930" s="1290"/>
      <c r="R930" s="1290"/>
      <c r="S930" s="933"/>
      <c r="T930" s="933"/>
      <c r="U930" s="1329"/>
      <c r="V930" s="933"/>
      <c r="W930" s="933"/>
      <c r="X930" s="933"/>
      <c r="Y930" s="1290"/>
      <c r="Z930" s="1290"/>
      <c r="AA930" s="933"/>
      <c r="AB930" s="933"/>
      <c r="AC930" s="933"/>
      <c r="AD930" s="933"/>
    </row>
    <row r="931" customFormat="false" ht="15.75" hidden="false" customHeight="true" outlineLevel="1" collapsed="false">
      <c r="A931" s="1372" t="s">
        <v>3270</v>
      </c>
      <c r="B931" s="887" t="str">
        <f aca="false">B469</f>
        <v>м.п.</v>
      </c>
      <c r="C931" s="1372" t="n">
        <f aca="false">C469</f>
        <v>0.4</v>
      </c>
      <c r="D931" s="1372" t="n">
        <f aca="false">D469</f>
        <v>0.05</v>
      </c>
      <c r="E931" s="1372" t="n">
        <f aca="false">1</f>
        <v>1</v>
      </c>
      <c r="F931" s="1372" t="n">
        <f aca="false">P867*VLOOKUP('Ввод данных'!F416,связи1!A2:B3,2,0)+Q867*VLOOKUP('Ввод данных'!F416,связи1!A2:B3,2,0)</f>
        <v>0</v>
      </c>
      <c r="G931" s="933" t="n">
        <f aca="false">C931*D931*E931*F931</f>
        <v>0</v>
      </c>
      <c r="H931" s="933"/>
      <c r="I931" s="933"/>
      <c r="J931" s="933"/>
      <c r="K931" s="933"/>
      <c r="L931" s="933"/>
      <c r="M931" s="933"/>
      <c r="N931" s="933"/>
      <c r="O931" s="933"/>
      <c r="P931" s="1290"/>
      <c r="Q931" s="1290"/>
      <c r="R931" s="1290"/>
      <c r="S931" s="933"/>
      <c r="T931" s="933"/>
      <c r="U931" s="1329"/>
      <c r="V931" s="933"/>
      <c r="W931" s="933"/>
      <c r="X931" s="933"/>
      <c r="Y931" s="1290"/>
      <c r="Z931" s="1290"/>
      <c r="AA931" s="933"/>
      <c r="AB931" s="933"/>
      <c r="AC931" s="933"/>
      <c r="AD931" s="933"/>
    </row>
    <row r="932" customFormat="false" ht="15.75" hidden="false" customHeight="true" outlineLevel="1" collapsed="false">
      <c r="A932" s="1372" t="s">
        <v>3271</v>
      </c>
      <c r="B932" s="887" t="str">
        <f aca="false">B470</f>
        <v>м.п.</v>
      </c>
      <c r="C932" s="1372" t="n">
        <f aca="false">C470</f>
        <v>0.4</v>
      </c>
      <c r="D932" s="1372" t="n">
        <f aca="false">D470</f>
        <v>0.05</v>
      </c>
      <c r="E932" s="1372" t="n">
        <f aca="false">1</f>
        <v>1</v>
      </c>
      <c r="F932" s="1372" t="n">
        <f aca="false">R867*VLOOKUP('Ввод данных'!F416,связи1!A2:B3,2,0)</f>
        <v>0</v>
      </c>
      <c r="G932" s="933" t="n">
        <f aca="false">C932*D932*E932*F932</f>
        <v>0</v>
      </c>
      <c r="H932" s="933"/>
      <c r="I932" s="933"/>
      <c r="J932" s="933"/>
      <c r="K932" s="933"/>
      <c r="L932" s="933"/>
      <c r="M932" s="933"/>
      <c r="N932" s="933"/>
      <c r="O932" s="933"/>
      <c r="P932" s="1290"/>
      <c r="Q932" s="1290"/>
      <c r="R932" s="1290"/>
      <c r="S932" s="933"/>
      <c r="T932" s="933"/>
      <c r="U932" s="1329"/>
      <c r="V932" s="933"/>
      <c r="W932" s="933"/>
      <c r="X932" s="933"/>
      <c r="Y932" s="1290"/>
      <c r="Z932" s="1290"/>
      <c r="AA932" s="933"/>
      <c r="AB932" s="933"/>
      <c r="AC932" s="933"/>
      <c r="AD932" s="933"/>
    </row>
    <row r="933" customFormat="false" ht="15.75" hidden="false" customHeight="true" outlineLevel="1" collapsed="false">
      <c r="A933" s="1372" t="s">
        <v>3355</v>
      </c>
      <c r="B933" s="887" t="str">
        <f aca="false">B471</f>
        <v>м.п.</v>
      </c>
      <c r="C933" s="1372" t="n">
        <f aca="false">C471</f>
        <v>0.4</v>
      </c>
      <c r="D933" s="1372" t="n">
        <f aca="false">D471</f>
        <v>0.05</v>
      </c>
      <c r="E933" s="1372" t="n">
        <v>1.5</v>
      </c>
      <c r="F933" s="1372" t="n">
        <f aca="false">8*VLOOKUP('Ввод данных'!F416,связи1!A2:B3,2,0)</f>
        <v>0</v>
      </c>
      <c r="G933" s="933" t="n">
        <f aca="false">C933*D933*E933*F933</f>
        <v>0</v>
      </c>
      <c r="H933" s="933"/>
      <c r="I933" s="933"/>
      <c r="J933" s="933"/>
      <c r="K933" s="933"/>
      <c r="L933" s="933"/>
      <c r="M933" s="933"/>
      <c r="N933" s="933"/>
      <c r="O933" s="933"/>
      <c r="P933" s="1290"/>
      <c r="Q933" s="1290"/>
      <c r="R933" s="1290"/>
      <c r="S933" s="933"/>
      <c r="T933" s="933"/>
      <c r="U933" s="1329"/>
      <c r="V933" s="933"/>
      <c r="W933" s="933"/>
      <c r="X933" s="933"/>
      <c r="Y933" s="1290"/>
      <c r="Z933" s="1290"/>
      <c r="AA933" s="933"/>
      <c r="AB933" s="933"/>
      <c r="AC933" s="933"/>
      <c r="AD933" s="933"/>
    </row>
    <row r="934" customFormat="false" ht="15.75" hidden="false" customHeight="true" outlineLevel="1" collapsed="false">
      <c r="A934" s="1372" t="s">
        <v>3356</v>
      </c>
      <c r="B934" s="887" t="str">
        <f aca="false">B472</f>
        <v>м.п.</v>
      </c>
      <c r="C934" s="1372" t="n">
        <f aca="false">C472</f>
        <v>0.4</v>
      </c>
      <c r="D934" s="1372" t="n">
        <f aca="false">D472</f>
        <v>0.05</v>
      </c>
      <c r="E934" s="1372" t="n">
        <f aca="false">IF('Ввод данных'!A364=связи1!A106,IF('Ввод данных'!A365=связи1!A94,0,0)+IF('Ввод данных'!A365=связи1!A95,связи1!D557-связи1!D556,0)+IF('Ввод данных'!A365=связи1!A96,связи1!D557,0)+IF('Ввод данных'!A365=связи1!A97,0,0)+IF('Ввод данных'!A365=связи1!A98,связи1!D557,0),0)</f>
        <v>0</v>
      </c>
      <c r="F934" s="1372" t="n">
        <f aca="false">2*VLOOKUP('Ввод данных'!$F$416,связи1!$A$2:$B$3,2,0)</f>
        <v>0</v>
      </c>
      <c r="G934" s="933" t="n">
        <f aca="false">C934*D934*E934*F934</f>
        <v>0</v>
      </c>
      <c r="H934" s="933"/>
      <c r="I934" s="933"/>
      <c r="J934" s="933"/>
      <c r="K934" s="933"/>
      <c r="L934" s="933"/>
      <c r="M934" s="933"/>
      <c r="N934" s="933"/>
      <c r="O934" s="933"/>
      <c r="P934" s="1290"/>
      <c r="Q934" s="1290"/>
      <c r="R934" s="1290"/>
      <c r="S934" s="933"/>
      <c r="T934" s="933"/>
      <c r="U934" s="1329"/>
      <c r="V934" s="933"/>
      <c r="W934" s="933"/>
      <c r="X934" s="933"/>
      <c r="Y934" s="1290"/>
      <c r="Z934" s="1290"/>
      <c r="AA934" s="933"/>
      <c r="AB934" s="933"/>
      <c r="AC934" s="933"/>
      <c r="AD934" s="933"/>
    </row>
    <row r="935" customFormat="false" ht="15.75" hidden="false" customHeight="true" outlineLevel="1" collapsed="false">
      <c r="A935" s="1372" t="s">
        <v>3357</v>
      </c>
      <c r="B935" s="887" t="str">
        <f aca="false">B473</f>
        <v>м.п.</v>
      </c>
      <c r="C935" s="1372" t="n">
        <f aca="false">C473</f>
        <v>0.4</v>
      </c>
      <c r="D935" s="1372" t="n">
        <f aca="false">D473</f>
        <v>0.05</v>
      </c>
      <c r="E935" s="1372" t="n">
        <f aca="false">IF('Ввод данных'!$A$365=связи1!$A$96,IF(дома!E934&lt;связи1!$D$558,0,дома!E934-$D$881),0)+IF(дома!E934=0,0,IF('Ввод данных'!$A$365=связи1!$A$95,IF(дома!E934&lt;0,0,дома!E934-$D$881),0))+IF('Ввод данных'!$A$365=связи1!$A$98,IF(дома!E934&lt;связи1!$D$558,0,дома!E934-$D$881),0)</f>
        <v>0</v>
      </c>
      <c r="F935" s="1372" t="n">
        <f aca="false">2*VLOOKUP('Ввод данных'!$F$416,связи1!$A$2:$B$3,2,0)</f>
        <v>0</v>
      </c>
      <c r="G935" s="933" t="n">
        <f aca="false">C935*D935*E935*F935</f>
        <v>0</v>
      </c>
      <c r="H935" s="933"/>
      <c r="I935" s="933"/>
      <c r="J935" s="933"/>
      <c r="K935" s="933"/>
      <c r="L935" s="933"/>
      <c r="M935" s="933"/>
      <c r="N935" s="933"/>
      <c r="O935" s="933"/>
      <c r="P935" s="1290"/>
      <c r="Q935" s="1290"/>
      <c r="R935" s="1290"/>
      <c r="S935" s="933"/>
      <c r="T935" s="933"/>
      <c r="U935" s="1329"/>
      <c r="V935" s="933"/>
      <c r="W935" s="933"/>
      <c r="X935" s="933"/>
      <c r="Y935" s="1290"/>
      <c r="Z935" s="1290"/>
      <c r="AA935" s="933"/>
      <c r="AB935" s="933"/>
      <c r="AC935" s="933"/>
      <c r="AD935" s="933"/>
    </row>
    <row r="936" customFormat="false" ht="15.75" hidden="false" customHeight="true" outlineLevel="1" collapsed="false">
      <c r="A936" s="1372" t="s">
        <v>3358</v>
      </c>
      <c r="B936" s="887" t="str">
        <f aca="false">B474</f>
        <v>м.п.</v>
      </c>
      <c r="C936" s="1372" t="n">
        <f aca="false">C474</f>
        <v>0.4</v>
      </c>
      <c r="D936" s="1372" t="n">
        <f aca="false">D474</f>
        <v>0.05</v>
      </c>
      <c r="E936" s="1372" t="n">
        <f aca="false">IF('Ввод данных'!$A$365=связи1!$A$96,IF(дома!E935&lt;связи1!$D$558,0,дома!E935-$D$881),0)+IF(дома!E935=0,0,IF('Ввод данных'!$A$365=связи1!$A$95,IF(дома!E935&lt;0,0,дома!E935-$D$881),0))+IF('Ввод данных'!$A$365=связи1!$A$98,IF(дома!E935&lt;связи1!$D$558,0,дома!E935-$D$881),0)</f>
        <v>0</v>
      </c>
      <c r="F936" s="1372" t="n">
        <f aca="false">2*VLOOKUP('Ввод данных'!$F$416,связи1!$A$2:$B$3,2,0)</f>
        <v>0</v>
      </c>
      <c r="G936" s="933" t="n">
        <f aca="false">C936*D936*E936*F936</f>
        <v>0</v>
      </c>
      <c r="H936" s="933"/>
      <c r="I936" s="933"/>
      <c r="J936" s="933"/>
      <c r="K936" s="933"/>
      <c r="L936" s="933"/>
      <c r="M936" s="933"/>
      <c r="N936" s="933"/>
      <c r="O936" s="933"/>
      <c r="P936" s="1290"/>
      <c r="Q936" s="1290"/>
      <c r="R936" s="1290"/>
      <c r="S936" s="933"/>
      <c r="T936" s="933"/>
      <c r="U936" s="1329"/>
      <c r="V936" s="933"/>
      <c r="W936" s="933"/>
      <c r="X936" s="933"/>
      <c r="Y936" s="1290"/>
      <c r="Z936" s="1290"/>
      <c r="AA936" s="933"/>
      <c r="AB936" s="933"/>
      <c r="AC936" s="933"/>
      <c r="AD936" s="933"/>
    </row>
    <row r="937" customFormat="false" ht="15.75" hidden="false" customHeight="true" outlineLevel="1" collapsed="false">
      <c r="A937" s="1372" t="s">
        <v>3359</v>
      </c>
      <c r="B937" s="887" t="str">
        <f aca="false">B475</f>
        <v>м.п.</v>
      </c>
      <c r="C937" s="1372" t="n">
        <f aca="false">C475</f>
        <v>0.4</v>
      </c>
      <c r="D937" s="1372" t="n">
        <f aca="false">D475</f>
        <v>0.05</v>
      </c>
      <c r="E937" s="1372" t="n">
        <f aca="false">IF('Ввод данных'!$A$365=связи1!$A$96,IF(дома!E936&lt;связи1!$D$558,0,дома!E936-$D$881),0)+IF(дома!E936=0,0,IF('Ввод данных'!$A$365=связи1!$A$95,IF(дома!E936&lt;0,0,дома!E936-$D$881),0))+IF('Ввод данных'!$A$365=связи1!$A$98,IF(дома!E936&lt;связи1!$D$558,0,дома!E936-$D$881),0)</f>
        <v>0</v>
      </c>
      <c r="F937" s="1372" t="n">
        <f aca="false">2*VLOOKUP('Ввод данных'!$F$416,связи1!$A$2:$B$3,2,0)</f>
        <v>0</v>
      </c>
      <c r="G937" s="933" t="n">
        <f aca="false">C937*D937*E937*F937</f>
        <v>0</v>
      </c>
      <c r="H937" s="933"/>
      <c r="I937" s="933"/>
      <c r="J937" s="933"/>
      <c r="K937" s="933"/>
      <c r="L937" s="933"/>
      <c r="M937" s="933"/>
      <c r="N937" s="933"/>
      <c r="O937" s="933"/>
      <c r="P937" s="1290"/>
      <c r="Q937" s="1290"/>
      <c r="R937" s="1290"/>
      <c r="S937" s="933"/>
      <c r="T937" s="933"/>
      <c r="U937" s="1329"/>
      <c r="V937" s="933"/>
      <c r="W937" s="933"/>
      <c r="X937" s="933"/>
      <c r="Y937" s="1290"/>
      <c r="Z937" s="1290"/>
      <c r="AA937" s="933"/>
      <c r="AB937" s="933"/>
      <c r="AC937" s="933"/>
      <c r="AD937" s="933"/>
    </row>
    <row r="938" customFormat="false" ht="15.75" hidden="false" customHeight="true" outlineLevel="1" collapsed="false">
      <c r="A938" s="1372" t="s">
        <v>3360</v>
      </c>
      <c r="B938" s="887" t="str">
        <f aca="false">B476</f>
        <v>м.п.</v>
      </c>
      <c r="C938" s="1372" t="n">
        <f aca="false">C476</f>
        <v>0.4</v>
      </c>
      <c r="D938" s="1372" t="n">
        <f aca="false">D476</f>
        <v>0.05</v>
      </c>
      <c r="E938" s="1372" t="n">
        <f aca="false">IF('Ввод данных'!$A$365=связи1!$A$96,IF(дома!E937&lt;связи1!$D$558,0,дома!E937-$D$881),0)+IF(дома!E937=0,0,IF('Ввод данных'!$A$365=связи1!$A$95,IF(дома!E937&lt;0,0,дома!E937-$D$881),0))+IF('Ввод данных'!$A$365=связи1!$A$98,IF(дома!E937&lt;связи1!$D$558,0,дома!E937-$D$881),0)</f>
        <v>0</v>
      </c>
      <c r="F938" s="1372" t="n">
        <f aca="false">2*VLOOKUP('Ввод данных'!$F$416,связи1!$A$2:$B$3,2,0)</f>
        <v>0</v>
      </c>
      <c r="G938" s="933" t="n">
        <f aca="false">C938*D938*E938*F938</f>
        <v>0</v>
      </c>
      <c r="H938" s="933"/>
      <c r="I938" s="933"/>
      <c r="J938" s="933"/>
      <c r="K938" s="933"/>
      <c r="L938" s="933"/>
      <c r="M938" s="933"/>
      <c r="N938" s="933"/>
      <c r="O938" s="933"/>
      <c r="P938" s="1290"/>
      <c r="Q938" s="1290"/>
      <c r="R938" s="1290"/>
      <c r="S938" s="933"/>
      <c r="T938" s="933"/>
      <c r="U938" s="1329"/>
      <c r="V938" s="933"/>
      <c r="W938" s="933"/>
      <c r="X938" s="933"/>
      <c r="Y938" s="1290"/>
      <c r="Z938" s="1290"/>
      <c r="AA938" s="933"/>
      <c r="AB938" s="933"/>
      <c r="AC938" s="933"/>
      <c r="AD938" s="933"/>
    </row>
    <row r="939" customFormat="false" ht="15.75" hidden="false" customHeight="true" outlineLevel="1" collapsed="false">
      <c r="A939" s="1372" t="s">
        <v>3361</v>
      </c>
      <c r="B939" s="887" t="str">
        <f aca="false">B477</f>
        <v>м.п.</v>
      </c>
      <c r="C939" s="1372" t="n">
        <f aca="false">C477</f>
        <v>0.4</v>
      </c>
      <c r="D939" s="1372" t="n">
        <f aca="false">D477</f>
        <v>0.05</v>
      </c>
      <c r="E939" s="1372" t="n">
        <f aca="false">IF('Ввод данных'!$A$365=связи1!$A$96,IF(дома!E938&lt;связи1!$D$558,0,дома!E938-$D$881),0)+IF(дома!E938=0,0,IF('Ввод данных'!$A$365=связи1!$A$95,IF(дома!E938&lt;0,0,дома!E938-$D$881),0))+IF('Ввод данных'!$A$365=связи1!$A$98,IF(дома!E938&lt;связи1!$D$558,0,дома!E938-$D$881),0)</f>
        <v>0</v>
      </c>
      <c r="F939" s="1372" t="n">
        <f aca="false">2*VLOOKUP('Ввод данных'!$F$416,связи1!$A$2:$B$3,2,0)</f>
        <v>0</v>
      </c>
      <c r="G939" s="933" t="n">
        <f aca="false">C939*D939*E939*F939</f>
        <v>0</v>
      </c>
      <c r="H939" s="933"/>
      <c r="I939" s="933"/>
      <c r="J939" s="933"/>
      <c r="K939" s="933"/>
      <c r="L939" s="933"/>
      <c r="M939" s="933"/>
      <c r="N939" s="933"/>
      <c r="O939" s="933"/>
      <c r="P939" s="1290"/>
      <c r="Q939" s="1290"/>
      <c r="R939" s="1290"/>
      <c r="S939" s="933"/>
      <c r="T939" s="933"/>
      <c r="U939" s="1329"/>
      <c r="V939" s="933"/>
      <c r="W939" s="933"/>
      <c r="X939" s="933"/>
      <c r="Y939" s="1290"/>
      <c r="Z939" s="1290"/>
      <c r="AA939" s="933"/>
      <c r="AB939" s="933"/>
      <c r="AC939" s="933"/>
      <c r="AD939" s="933"/>
    </row>
    <row r="940" customFormat="false" ht="15.75" hidden="false" customHeight="true" outlineLevel="1" collapsed="false">
      <c r="A940" s="1372" t="s">
        <v>3362</v>
      </c>
      <c r="B940" s="887" t="str">
        <f aca="false">B478</f>
        <v>м.п.</v>
      </c>
      <c r="C940" s="1372" t="n">
        <f aca="false">C478</f>
        <v>0.4</v>
      </c>
      <c r="D940" s="1372" t="n">
        <f aca="false">D478</f>
        <v>0.05</v>
      </c>
      <c r="E940" s="1372" t="n">
        <f aca="false">IF('Ввод данных'!$A$365=связи1!$A$96,IF(дома!E939&lt;связи1!$D$558,0,дома!E939-$D$881),0)+IF(дома!E939=0,0,IF('Ввод данных'!$A$365=связи1!$A$95,IF(дома!E939&lt;0,0,дома!E939-$D$881),0))+IF('Ввод данных'!$A$365=связи1!$A$98,IF(дома!E939&lt;связи1!$D$558,0,дома!E939-$D$881),0)</f>
        <v>0</v>
      </c>
      <c r="F940" s="1372" t="n">
        <f aca="false">2*VLOOKUP('Ввод данных'!$F$416,связи1!$A$2:$B$3,2,0)</f>
        <v>0</v>
      </c>
      <c r="G940" s="933" t="n">
        <f aca="false">C940*D940*E940*F940</f>
        <v>0</v>
      </c>
      <c r="H940" s="933"/>
      <c r="I940" s="933"/>
      <c r="J940" s="933"/>
      <c r="K940" s="933"/>
      <c r="L940" s="933"/>
      <c r="M940" s="933"/>
      <c r="N940" s="933"/>
      <c r="O940" s="933"/>
      <c r="P940" s="1290"/>
      <c r="Q940" s="1290"/>
      <c r="R940" s="1290"/>
      <c r="S940" s="933"/>
      <c r="T940" s="933"/>
      <c r="U940" s="1329"/>
      <c r="V940" s="933"/>
      <c r="W940" s="933"/>
      <c r="X940" s="933"/>
      <c r="Y940" s="1290"/>
      <c r="Z940" s="1290"/>
      <c r="AA940" s="933"/>
      <c r="AB940" s="933"/>
      <c r="AC940" s="933"/>
      <c r="AD940" s="933"/>
    </row>
    <row r="941" customFormat="false" ht="15.75" hidden="false" customHeight="true" outlineLevel="1" collapsed="false">
      <c r="A941" s="1372" t="s">
        <v>3363</v>
      </c>
      <c r="B941" s="887" t="str">
        <f aca="false">B479</f>
        <v>м.п.</v>
      </c>
      <c r="C941" s="1372" t="n">
        <f aca="false">C479</f>
        <v>0.4</v>
      </c>
      <c r="D941" s="1372" t="n">
        <f aca="false">D479</f>
        <v>0.05</v>
      </c>
      <c r="E941" s="1372" t="n">
        <f aca="false">IF('Ввод данных'!$A$365=связи1!$A$96,IF(дома!E940&lt;связи1!$D$558,0,дома!E940-$D$881),0)+IF(дома!E940=0,0,IF('Ввод данных'!$A$365=связи1!$A$95,IF(дома!E940&lt;0,0,дома!E940-$D$881),0))+IF('Ввод данных'!$A$365=связи1!$A$98,IF(дома!E940&lt;связи1!$D$558,0,дома!E940-$D$881),0)</f>
        <v>0</v>
      </c>
      <c r="F941" s="1372" t="n">
        <f aca="false">2*VLOOKUP('Ввод данных'!$F$416,связи1!$A$2:$B$3,2,0)</f>
        <v>0</v>
      </c>
      <c r="G941" s="933" t="n">
        <f aca="false">C941*D941*E941*F941</f>
        <v>0</v>
      </c>
      <c r="H941" s="933"/>
      <c r="I941" s="933"/>
      <c r="J941" s="933"/>
      <c r="K941" s="933"/>
      <c r="L941" s="933"/>
      <c r="M941" s="933"/>
      <c r="N941" s="933"/>
      <c r="O941" s="933"/>
      <c r="P941" s="1290"/>
      <c r="Q941" s="1290"/>
      <c r="R941" s="1290"/>
      <c r="S941" s="933"/>
      <c r="T941" s="933"/>
      <c r="U941" s="1329"/>
      <c r="V941" s="933"/>
      <c r="W941" s="933"/>
      <c r="X941" s="933"/>
      <c r="Y941" s="1290"/>
      <c r="Z941" s="1290"/>
      <c r="AA941" s="933"/>
      <c r="AB941" s="933"/>
      <c r="AC941" s="933"/>
      <c r="AD941" s="933"/>
    </row>
    <row r="942" customFormat="false" ht="15.75" hidden="false" customHeight="true" outlineLevel="1" collapsed="false">
      <c r="A942" s="1372" t="s">
        <v>3364</v>
      </c>
      <c r="B942" s="887" t="str">
        <f aca="false">B480</f>
        <v>м.п.</v>
      </c>
      <c r="C942" s="1372" t="n">
        <f aca="false">C480</f>
        <v>0.4</v>
      </c>
      <c r="D942" s="1372" t="n">
        <f aca="false">D480</f>
        <v>0.05</v>
      </c>
      <c r="E942" s="1372" t="n">
        <f aca="false">IF('Ввод данных'!$A$365=связи1!$A$96,IF(дома!E941&lt;связи1!$D$558,0,дома!E941-$D$881),0)+IF(дома!E941=0,0,IF('Ввод данных'!$A$365=связи1!$A$95,IF(дома!E941&lt;0,0,дома!E941-$D$881),0))+IF('Ввод данных'!$A$365=связи1!$A$98,IF(дома!E941&lt;связи1!$D$558,0,дома!E941-$D$881),0)</f>
        <v>0</v>
      </c>
      <c r="F942" s="1372" t="n">
        <f aca="false">2*VLOOKUP('Ввод данных'!$F$416,связи1!$A$2:$B$3,2,0)</f>
        <v>0</v>
      </c>
      <c r="G942" s="933" t="n">
        <f aca="false">C942*D942*E942*F942</f>
        <v>0</v>
      </c>
      <c r="H942" s="933"/>
      <c r="I942" s="933"/>
      <c r="J942" s="933"/>
      <c r="K942" s="933"/>
      <c r="L942" s="933"/>
      <c r="M942" s="933"/>
      <c r="N942" s="933"/>
      <c r="O942" s="933"/>
      <c r="P942" s="1290"/>
      <c r="Q942" s="1290"/>
      <c r="R942" s="1290"/>
      <c r="S942" s="933"/>
      <c r="T942" s="933"/>
      <c r="U942" s="1329"/>
      <c r="V942" s="933"/>
      <c r="W942" s="933"/>
      <c r="X942" s="933"/>
      <c r="Y942" s="1290"/>
      <c r="Z942" s="1290"/>
      <c r="AA942" s="933"/>
      <c r="AB942" s="933"/>
      <c r="AC942" s="933"/>
      <c r="AD942" s="933"/>
    </row>
    <row r="943" customFormat="false" ht="15.75" hidden="false" customHeight="true" outlineLevel="1" collapsed="false">
      <c r="A943" s="1372" t="s">
        <v>3365</v>
      </c>
      <c r="B943" s="887" t="str">
        <f aca="false">B481</f>
        <v>м.п.</v>
      </c>
      <c r="C943" s="1372" t="n">
        <f aca="false">C481</f>
        <v>0.4</v>
      </c>
      <c r="D943" s="1372" t="n">
        <f aca="false">D481</f>
        <v>0.05</v>
      </c>
      <c r="E943" s="1372" t="n">
        <f aca="false">IF('Ввод данных'!$A$365=связи1!$A$96,IF(дома!E942&lt;связи1!$D$558,0,дома!E942-$D$881),0)+IF(дома!E942=0,0,IF('Ввод данных'!$A$365=связи1!$A$95,IF(дома!E942&lt;0,0,дома!E942-$D$881),0))+IF('Ввод данных'!$A$365=связи1!$A$98,IF(дома!E942&lt;связи1!$D$558,0,дома!E942-$D$881),0)</f>
        <v>0</v>
      </c>
      <c r="F943" s="1372" t="n">
        <f aca="false">2*VLOOKUP('Ввод данных'!$F$416,связи1!$A$2:$B$3,2,0)</f>
        <v>0</v>
      </c>
      <c r="G943" s="933" t="n">
        <f aca="false">C943*D943*E943*F943</f>
        <v>0</v>
      </c>
      <c r="H943" s="933"/>
      <c r="I943" s="933"/>
      <c r="J943" s="933"/>
      <c r="K943" s="933"/>
      <c r="L943" s="933"/>
      <c r="M943" s="933"/>
      <c r="N943" s="933"/>
      <c r="O943" s="933"/>
      <c r="P943" s="1290"/>
      <c r="Q943" s="1290"/>
      <c r="R943" s="1290"/>
      <c r="S943" s="933"/>
      <c r="T943" s="933"/>
      <c r="U943" s="1329"/>
      <c r="V943" s="933"/>
      <c r="W943" s="933"/>
      <c r="X943" s="933"/>
      <c r="Y943" s="1290"/>
      <c r="Z943" s="1290"/>
      <c r="AA943" s="933"/>
      <c r="AB943" s="933"/>
      <c r="AC943" s="933"/>
      <c r="AD943" s="933"/>
    </row>
    <row r="944" customFormat="false" ht="15.75" hidden="false" customHeight="true" outlineLevel="1" collapsed="false">
      <c r="A944" s="1372" t="s">
        <v>3366</v>
      </c>
      <c r="B944" s="887" t="str">
        <f aca="false">B482</f>
        <v>м.п.</v>
      </c>
      <c r="C944" s="1372" t="n">
        <f aca="false">C482</f>
        <v>0.4</v>
      </c>
      <c r="D944" s="1372" t="n">
        <f aca="false">D482</f>
        <v>0.05</v>
      </c>
      <c r="E944" s="1372" t="n">
        <f aca="false">IF('Ввод данных'!$A$365=связи1!$A$96,IF(дома!E943&lt;связи1!$D$558,0,дома!E943-$D$881),0)+IF(дома!E943=0,0,IF('Ввод данных'!$A$365=связи1!$A$95,IF(дома!E943&lt;0,0,дома!E943-$D$881),0))+IF('Ввод данных'!$A$365=связи1!$A$98,IF(дома!E943&lt;связи1!$D$558,0,дома!E943-$D$881),0)</f>
        <v>0</v>
      </c>
      <c r="F944" s="1372" t="n">
        <f aca="false">2*VLOOKUP('Ввод данных'!$F$416,связи1!$A$2:$B$3,2,0)</f>
        <v>0</v>
      </c>
      <c r="G944" s="933" t="n">
        <f aca="false">C944*D944*E944*F944</f>
        <v>0</v>
      </c>
      <c r="H944" s="933"/>
      <c r="I944" s="933"/>
      <c r="J944" s="933"/>
      <c r="K944" s="933"/>
      <c r="L944" s="933"/>
      <c r="M944" s="933"/>
      <c r="N944" s="933"/>
      <c r="O944" s="933"/>
      <c r="P944" s="1290"/>
      <c r="Q944" s="1290"/>
      <c r="R944" s="1290"/>
      <c r="S944" s="933"/>
      <c r="T944" s="933"/>
      <c r="U944" s="1329"/>
      <c r="V944" s="933"/>
      <c r="W944" s="933"/>
      <c r="X944" s="933"/>
      <c r="Y944" s="1290"/>
      <c r="Z944" s="1290"/>
      <c r="AA944" s="933"/>
      <c r="AB944" s="933"/>
      <c r="AC944" s="933"/>
      <c r="AD944" s="933"/>
    </row>
    <row r="945" customFormat="false" ht="15.75" hidden="false" customHeight="true" outlineLevel="1" collapsed="false">
      <c r="A945" s="1372" t="s">
        <v>3367</v>
      </c>
      <c r="B945" s="887" t="str">
        <f aca="false">B483</f>
        <v>м.п.</v>
      </c>
      <c r="C945" s="1372" t="n">
        <f aca="false">C483</f>
        <v>0.4</v>
      </c>
      <c r="D945" s="1372" t="n">
        <f aca="false">D483</f>
        <v>0.05</v>
      </c>
      <c r="E945" s="1372" t="n">
        <f aca="false">IF('Ввод данных'!$A$365=связи1!$A$96,IF(дома!E944&lt;связи1!$D$558,0,дома!E944-$D$881),0)+IF(дома!E944=0,0,IF('Ввод данных'!$A$365=связи1!$A$95,IF(дома!E944&lt;0,0,дома!E944-$D$881),0))+IF('Ввод данных'!$A$365=связи1!$A$98,IF(дома!E944&lt;связи1!$D$558,0,дома!E944-$D$881),0)</f>
        <v>0</v>
      </c>
      <c r="F945" s="1372" t="n">
        <f aca="false">2*VLOOKUP('Ввод данных'!$F$416,связи1!$A$2:$B$3,2,0)</f>
        <v>0</v>
      </c>
      <c r="G945" s="933" t="n">
        <f aca="false">C945*D945*E945*F945</f>
        <v>0</v>
      </c>
      <c r="H945" s="933"/>
      <c r="I945" s="933"/>
      <c r="J945" s="933"/>
      <c r="K945" s="933"/>
      <c r="L945" s="933"/>
      <c r="M945" s="933"/>
      <c r="N945" s="933"/>
      <c r="O945" s="933"/>
      <c r="P945" s="1290"/>
      <c r="Q945" s="1290"/>
      <c r="R945" s="1290"/>
      <c r="S945" s="933"/>
      <c r="T945" s="933"/>
      <c r="U945" s="1329"/>
      <c r="V945" s="933"/>
      <c r="W945" s="933"/>
      <c r="X945" s="933"/>
      <c r="Y945" s="1290"/>
      <c r="Z945" s="1290"/>
      <c r="AA945" s="933"/>
      <c r="AB945" s="933"/>
      <c r="AC945" s="933"/>
      <c r="AD945" s="933"/>
    </row>
    <row r="946" customFormat="false" ht="15.75" hidden="false" customHeight="true" outlineLevel="1" collapsed="false">
      <c r="A946" s="1372" t="s">
        <v>3368</v>
      </c>
      <c r="B946" s="887" t="str">
        <f aca="false">B484</f>
        <v>м.п.</v>
      </c>
      <c r="C946" s="1372" t="n">
        <f aca="false">C484</f>
        <v>0.4</v>
      </c>
      <c r="D946" s="1372" t="n">
        <f aca="false">D484</f>
        <v>0.05</v>
      </c>
      <c r="E946" s="1372" t="n">
        <f aca="false">IF('Ввод данных'!$A$365=связи1!$A$96,IF(дома!E945&lt;связи1!$D$558,0,дома!E945-$D$881),0)+IF(дома!E945=0,0,IF('Ввод данных'!$A$365=связи1!$A$95,IF(дома!E945&lt;0,0,дома!E945-$D$881),0))+IF('Ввод данных'!$A$365=связи1!$A$98,IF(дома!E945&lt;связи1!$D$558,0,дома!E945-$D$881),0)</f>
        <v>0</v>
      </c>
      <c r="F946" s="1372" t="n">
        <f aca="false">2*VLOOKUP('Ввод данных'!$F$416,связи1!$A$2:$B$3,2,0)</f>
        <v>0</v>
      </c>
      <c r="G946" s="933" t="n">
        <f aca="false">C946*D946*E946*F946</f>
        <v>0</v>
      </c>
      <c r="H946" s="933"/>
      <c r="I946" s="933"/>
      <c r="J946" s="933"/>
      <c r="K946" s="933"/>
      <c r="L946" s="933"/>
      <c r="M946" s="933"/>
      <c r="N946" s="933"/>
      <c r="O946" s="933"/>
      <c r="P946" s="1290"/>
      <c r="Q946" s="1290"/>
      <c r="R946" s="1290"/>
      <c r="S946" s="933"/>
      <c r="T946" s="933"/>
      <c r="U946" s="1329"/>
      <c r="V946" s="933"/>
      <c r="W946" s="933"/>
      <c r="X946" s="933"/>
      <c r="Y946" s="1290"/>
      <c r="Z946" s="1290"/>
      <c r="AA946" s="933"/>
      <c r="AB946" s="933"/>
      <c r="AC946" s="933"/>
      <c r="AD946" s="933"/>
    </row>
    <row r="947" customFormat="false" ht="15.75" hidden="false" customHeight="true" outlineLevel="1" collapsed="false">
      <c r="A947" s="1372" t="s">
        <v>3369</v>
      </c>
      <c r="B947" s="887" t="str">
        <f aca="false">B485</f>
        <v>м.п.</v>
      </c>
      <c r="C947" s="1372" t="n">
        <f aca="false">C485</f>
        <v>0.4</v>
      </c>
      <c r="D947" s="1372" t="n">
        <f aca="false">D485</f>
        <v>0.05</v>
      </c>
      <c r="E947" s="1372" t="n">
        <f aca="false">IF('Ввод данных'!$A$365=связи1!$A$96,IF(дома!E946&lt;связи1!$D$558,0,дома!E946-$D$881),0)+IF(дома!E946=0,0,IF('Ввод данных'!$A$365=связи1!$A$95,IF(дома!E946&lt;0,0,дома!E946-$D$881),0))+IF('Ввод данных'!$A$365=связи1!$A$98,IF(дома!E946&lt;связи1!$D$558,0,дома!E946-$D$881),0)</f>
        <v>0</v>
      </c>
      <c r="F947" s="1372" t="n">
        <f aca="false">2*VLOOKUP('Ввод данных'!$F$416,связи1!$A$2:$B$3,2,0)</f>
        <v>0</v>
      </c>
      <c r="G947" s="933" t="n">
        <f aca="false">C947*D947*E947*F947</f>
        <v>0</v>
      </c>
      <c r="H947" s="933"/>
      <c r="I947" s="933"/>
      <c r="J947" s="933"/>
      <c r="K947" s="933"/>
      <c r="L947" s="933"/>
      <c r="M947" s="933"/>
      <c r="N947" s="933"/>
      <c r="O947" s="933"/>
      <c r="P947" s="1290"/>
      <c r="Q947" s="1290"/>
      <c r="R947" s="1290"/>
      <c r="S947" s="933"/>
      <c r="T947" s="933"/>
      <c r="U947" s="1329"/>
      <c r="V947" s="933"/>
      <c r="W947" s="933"/>
      <c r="X947" s="933"/>
      <c r="Y947" s="1290"/>
      <c r="Z947" s="1290"/>
      <c r="AA947" s="933"/>
      <c r="AB947" s="933"/>
      <c r="AC947" s="933"/>
      <c r="AD947" s="933"/>
    </row>
    <row r="948" customFormat="false" ht="15.75" hidden="false" customHeight="true" outlineLevel="1" collapsed="false">
      <c r="A948" s="1372" t="s">
        <v>3370</v>
      </c>
      <c r="B948" s="887" t="str">
        <f aca="false">B486</f>
        <v>м.п.</v>
      </c>
      <c r="C948" s="1372" t="n">
        <f aca="false">C486</f>
        <v>0.4</v>
      </c>
      <c r="D948" s="1372" t="n">
        <f aca="false">D486</f>
        <v>0.05</v>
      </c>
      <c r="E948" s="1372" t="n">
        <f aca="false">IF('Ввод данных'!$A$365=связи1!$A$96,IF(дома!E947&lt;связи1!$D$558,0,дома!E947-$D$881),0)+IF(дома!E947=0,0,IF('Ввод данных'!$A$365=связи1!$A$95,IF(дома!E947&lt;0,0,дома!E947-$D$881),0))+IF('Ввод данных'!$A$365=связи1!$A$98,IF(дома!E947&lt;связи1!$D$558,0,дома!E947-$D$881),0)</f>
        <v>0</v>
      </c>
      <c r="F948" s="1372" t="n">
        <f aca="false">2*VLOOKUP('Ввод данных'!$F$416,связи1!$A$2:$B$3,2,0)</f>
        <v>0</v>
      </c>
      <c r="G948" s="933" t="n">
        <f aca="false">C948*D948*E948*F948</f>
        <v>0</v>
      </c>
      <c r="H948" s="933"/>
      <c r="I948" s="933"/>
      <c r="J948" s="933"/>
      <c r="K948" s="933"/>
      <c r="L948" s="933"/>
      <c r="M948" s="933"/>
      <c r="N948" s="933"/>
      <c r="O948" s="933"/>
      <c r="P948" s="1290"/>
      <c r="Q948" s="1290"/>
      <c r="R948" s="1290"/>
      <c r="S948" s="933"/>
      <c r="T948" s="933"/>
      <c r="U948" s="1329"/>
      <c r="V948" s="933"/>
      <c r="W948" s="933"/>
      <c r="X948" s="933"/>
      <c r="Y948" s="1290"/>
      <c r="Z948" s="1290"/>
      <c r="AA948" s="933"/>
      <c r="AB948" s="933"/>
      <c r="AC948" s="933"/>
      <c r="AD948" s="933"/>
    </row>
    <row r="949" customFormat="false" ht="15.75" hidden="false" customHeight="true" outlineLevel="1" collapsed="false">
      <c r="A949" s="1372" t="s">
        <v>3371</v>
      </c>
      <c r="B949" s="887" t="str">
        <f aca="false">B487</f>
        <v>м.п.</v>
      </c>
      <c r="C949" s="1372" t="n">
        <f aca="false">C487</f>
        <v>0.4</v>
      </c>
      <c r="D949" s="1372" t="n">
        <f aca="false">D487</f>
        <v>0.05</v>
      </c>
      <c r="E949" s="1372" t="n">
        <f aca="false">IF('Ввод данных'!$A$365=связи1!$A$96,IF(дома!E948&lt;связи1!$D$558,0,дома!E948-$D$881),0)+IF(дома!E948=0,0,IF('Ввод данных'!$A$365=связи1!$A$95,IF(дома!E948&lt;0,0,дома!E948-$D$881),0))+IF('Ввод данных'!$A$365=связи1!$A$98,IF(дома!E948&lt;связи1!$D$558,0,дома!E948-$D$881),0)</f>
        <v>0</v>
      </c>
      <c r="F949" s="1372" t="n">
        <f aca="false">2*VLOOKUP('Ввод данных'!$F$416,связи1!$A$2:$B$3,2,0)</f>
        <v>0</v>
      </c>
      <c r="G949" s="933" t="n">
        <f aca="false">C949*D949*E949*F949</f>
        <v>0</v>
      </c>
      <c r="H949" s="933"/>
      <c r="I949" s="933"/>
      <c r="J949" s="933"/>
      <c r="K949" s="933"/>
      <c r="L949" s="933"/>
      <c r="M949" s="933"/>
      <c r="N949" s="933"/>
      <c r="O949" s="933"/>
      <c r="P949" s="1290"/>
      <c r="Q949" s="1290"/>
      <c r="R949" s="1290"/>
      <c r="S949" s="933"/>
      <c r="T949" s="933"/>
      <c r="U949" s="1329"/>
      <c r="V949" s="933"/>
      <c r="W949" s="933"/>
      <c r="X949" s="933"/>
      <c r="Y949" s="1290"/>
      <c r="Z949" s="1290"/>
      <c r="AA949" s="933"/>
      <c r="AB949" s="933"/>
      <c r="AC949" s="933"/>
      <c r="AD949" s="933"/>
    </row>
    <row r="950" customFormat="false" ht="15.75" hidden="false" customHeight="true" outlineLevel="1" collapsed="false">
      <c r="A950" s="1372" t="s">
        <v>3372</v>
      </c>
      <c r="B950" s="887" t="str">
        <f aca="false">B488</f>
        <v>м.п.</v>
      </c>
      <c r="C950" s="1372" t="n">
        <f aca="false">C488</f>
        <v>0.4</v>
      </c>
      <c r="D950" s="1372" t="n">
        <f aca="false">D488</f>
        <v>0.05</v>
      </c>
      <c r="E950" s="1372" t="n">
        <f aca="false">IF('Ввод данных'!$A$365=связи1!$A$96,IF(дома!E949&lt;связи1!$D$558,0,дома!E949-$D$881),0)+IF(дома!E949=0,0,IF('Ввод данных'!$A$365=связи1!$A$95,IF(дома!E949&lt;0,0,дома!E949-$D$881),0))+IF('Ввод данных'!$A$365=связи1!$A$98,IF(дома!E949&lt;связи1!$D$558,0,дома!E949-$D$881),0)</f>
        <v>0</v>
      </c>
      <c r="F950" s="1372" t="n">
        <f aca="false">2*VLOOKUP('Ввод данных'!$F$416,связи1!$A$2:$B$3,2,0)</f>
        <v>0</v>
      </c>
      <c r="G950" s="933" t="n">
        <f aca="false">C950*D950*E950*F950</f>
        <v>0</v>
      </c>
      <c r="H950" s="933"/>
      <c r="I950" s="933"/>
      <c r="J950" s="933"/>
      <c r="K950" s="933"/>
      <c r="L950" s="933"/>
      <c r="M950" s="933"/>
      <c r="N950" s="933"/>
      <c r="O950" s="933"/>
      <c r="P950" s="1290"/>
      <c r="Q950" s="1290"/>
      <c r="R950" s="1290"/>
      <c r="S950" s="933"/>
      <c r="T950" s="933"/>
      <c r="U950" s="1329"/>
      <c r="V950" s="933"/>
      <c r="W950" s="933"/>
      <c r="X950" s="933"/>
      <c r="Y950" s="1290"/>
      <c r="Z950" s="1290"/>
      <c r="AA950" s="933"/>
      <c r="AB950" s="933"/>
      <c r="AC950" s="933"/>
      <c r="AD950" s="933"/>
    </row>
    <row r="951" customFormat="false" ht="15.75" hidden="false" customHeight="true" outlineLevel="1" collapsed="false">
      <c r="A951" s="1372" t="s">
        <v>3373</v>
      </c>
      <c r="B951" s="887" t="str">
        <f aca="false">B489</f>
        <v>м.п.</v>
      </c>
      <c r="C951" s="1372" t="n">
        <f aca="false">C489</f>
        <v>0.4</v>
      </c>
      <c r="D951" s="1372" t="n">
        <f aca="false">D489</f>
        <v>0.05</v>
      </c>
      <c r="E951" s="1372" t="n">
        <f aca="false">IF('Ввод данных'!A364=связи1!A107,IF('Ввод данных'!A365=связи1!A94,0,0)+IF('Ввод данных'!A365=связи1!A95,связи1!D557-связи1!D556,0)+IF('Ввод данных'!A365=связи1!A96,связи1!D557,0)+IF('Ввод данных'!A365=связи1!A97,0,0)+IF('Ввод данных'!A365=связи1!A98,связи1!D557,0),0)</f>
        <v>-1.2</v>
      </c>
      <c r="F951" s="1372" t="n">
        <f aca="false">2*VLOOKUP('Ввод данных'!$F$416,связи1!$A$2:$B$3,2,0)</f>
        <v>0</v>
      </c>
      <c r="G951" s="933" t="n">
        <f aca="false">C951*D951*E951*F951</f>
        <v>-0</v>
      </c>
      <c r="H951" s="933"/>
      <c r="I951" s="933"/>
      <c r="J951" s="933"/>
      <c r="K951" s="933"/>
      <c r="L951" s="933"/>
      <c r="M951" s="933"/>
      <c r="N951" s="933"/>
      <c r="O951" s="933"/>
      <c r="P951" s="1290"/>
      <c r="Q951" s="1290"/>
      <c r="R951" s="1290"/>
      <c r="S951" s="933"/>
      <c r="T951" s="933"/>
      <c r="U951" s="1329"/>
      <c r="V951" s="933"/>
      <c r="W951" s="933"/>
      <c r="X951" s="933"/>
      <c r="Y951" s="1290"/>
      <c r="Z951" s="1290"/>
      <c r="AA951" s="933"/>
      <c r="AB951" s="933"/>
      <c r="AC951" s="933"/>
      <c r="AD951" s="933"/>
    </row>
    <row r="952" customFormat="false" ht="15.75" hidden="false" customHeight="true" outlineLevel="1" collapsed="false">
      <c r="A952" s="1372" t="s">
        <v>3374</v>
      </c>
      <c r="B952" s="887" t="str">
        <f aca="false">B490</f>
        <v>м.п.</v>
      </c>
      <c r="C952" s="1372" t="n">
        <f aca="false">C490</f>
        <v>0.4</v>
      </c>
      <c r="D952" s="1372" t="n">
        <f aca="false">D490</f>
        <v>0.05</v>
      </c>
      <c r="E952" s="1372" t="n">
        <f aca="false">IF('Ввод данных'!$A$365=связи1!$A$96,IF(дома!E951&lt;связи1!$D$558,0,дома!E951-$D$881),0)+IF(дома!E951=0,0,IF('Ввод данных'!$A$365=связи1!$A$95,IF(дома!E951&lt;0,0,дома!E951-$D$881),0))+IF('Ввод данных'!$A$365=связи1!$A$98,IF(дома!E951&lt;связи1!$D$558,0,дома!E951-$D$881),0)</f>
        <v>0</v>
      </c>
      <c r="F952" s="1372" t="n">
        <f aca="false">2*VLOOKUP('Ввод данных'!$F$416,связи1!$A$2:$B$3,2,0)</f>
        <v>0</v>
      </c>
      <c r="G952" s="933" t="n">
        <f aca="false">C952*D952*E952*F952</f>
        <v>0</v>
      </c>
      <c r="H952" s="933"/>
      <c r="I952" s="933"/>
      <c r="J952" s="933"/>
      <c r="K952" s="933"/>
      <c r="L952" s="933"/>
      <c r="M952" s="933"/>
      <c r="N952" s="933"/>
      <c r="O952" s="933"/>
      <c r="P952" s="1290"/>
      <c r="Q952" s="1290"/>
      <c r="R952" s="1290"/>
      <c r="S952" s="933"/>
      <c r="T952" s="933"/>
      <c r="U952" s="1329"/>
      <c r="V952" s="933"/>
      <c r="W952" s="933"/>
      <c r="X952" s="933"/>
      <c r="Y952" s="1290"/>
      <c r="Z952" s="1290"/>
      <c r="AA952" s="933"/>
      <c r="AB952" s="933"/>
      <c r="AC952" s="933"/>
      <c r="AD952" s="933"/>
    </row>
    <row r="953" customFormat="false" ht="15.75" hidden="false" customHeight="true" outlineLevel="1" collapsed="false">
      <c r="A953" s="1372" t="s">
        <v>3375</v>
      </c>
      <c r="B953" s="887" t="str">
        <f aca="false">B491</f>
        <v>м.п.</v>
      </c>
      <c r="C953" s="1372" t="n">
        <f aca="false">C491</f>
        <v>0.4</v>
      </c>
      <c r="D953" s="1372" t="n">
        <f aca="false">D491</f>
        <v>0.05</v>
      </c>
      <c r="E953" s="1372" t="n">
        <f aca="false">IF('Ввод данных'!$A$365=связи1!$A$96,IF(дома!E952&lt;связи1!$D$558,0,дома!E952-$D$881),0)+IF(дома!E952=0,0,IF('Ввод данных'!$A$365=связи1!$A$95,IF(дома!E952&lt;0,0,дома!E952-$D$881),0))+IF('Ввод данных'!$A$365=связи1!$A$98,IF(дома!E952&lt;связи1!$D$558,0,дома!E952-$D$881),0)</f>
        <v>0</v>
      </c>
      <c r="F953" s="1372" t="n">
        <f aca="false">2*VLOOKUP('Ввод данных'!$F$416,связи1!$A$2:$B$3,2,0)</f>
        <v>0</v>
      </c>
      <c r="G953" s="933" t="n">
        <f aca="false">C953*D953*E953*F953</f>
        <v>0</v>
      </c>
      <c r="H953" s="933"/>
      <c r="I953" s="933"/>
      <c r="J953" s="933"/>
      <c r="K953" s="933"/>
      <c r="L953" s="933"/>
      <c r="M953" s="933"/>
      <c r="N953" s="933"/>
      <c r="O953" s="933"/>
      <c r="P953" s="1290"/>
      <c r="Q953" s="1290"/>
      <c r="R953" s="1290"/>
      <c r="S953" s="933"/>
      <c r="T953" s="933"/>
      <c r="U953" s="1329"/>
      <c r="V953" s="933"/>
      <c r="W953" s="933"/>
      <c r="X953" s="933"/>
      <c r="Y953" s="1290"/>
      <c r="Z953" s="1290"/>
      <c r="AA953" s="933"/>
      <c r="AB953" s="933"/>
      <c r="AC953" s="933"/>
      <c r="AD953" s="933"/>
    </row>
    <row r="954" customFormat="false" ht="15.75" hidden="false" customHeight="true" outlineLevel="1" collapsed="false">
      <c r="A954" s="1372" t="s">
        <v>3376</v>
      </c>
      <c r="B954" s="887" t="str">
        <f aca="false">B492</f>
        <v>м.п.</v>
      </c>
      <c r="C954" s="1372" t="n">
        <f aca="false">C492</f>
        <v>0.4</v>
      </c>
      <c r="D954" s="1372" t="n">
        <f aca="false">D492</f>
        <v>0.05</v>
      </c>
      <c r="E954" s="1372" t="n">
        <f aca="false">IF('Ввод данных'!$A$365=связи1!$A$96,IF(дома!E953&lt;связи1!$D$558,0,дома!E953-$D$881),0)+IF(дома!E953=0,0,IF('Ввод данных'!$A$365=связи1!$A$95,IF(дома!E953&lt;0,0,дома!E953-$D$881),0))+IF('Ввод данных'!$A$365=связи1!$A$98,IF(дома!E953&lt;связи1!$D$558,0,дома!E953-$D$881),0)</f>
        <v>0</v>
      </c>
      <c r="F954" s="1372" t="n">
        <f aca="false">2*VLOOKUP('Ввод данных'!$F$416,связи1!$A$2:$B$3,2,0)</f>
        <v>0</v>
      </c>
      <c r="G954" s="933" t="n">
        <f aca="false">C954*D954*E954*F954</f>
        <v>0</v>
      </c>
      <c r="H954" s="933"/>
      <c r="I954" s="933"/>
      <c r="J954" s="933"/>
      <c r="K954" s="933"/>
      <c r="L954" s="933"/>
      <c r="M954" s="933"/>
      <c r="N954" s="933"/>
      <c r="O954" s="933"/>
      <c r="P954" s="1290"/>
      <c r="Q954" s="1290"/>
      <c r="R954" s="1290"/>
      <c r="S954" s="933"/>
      <c r="T954" s="933"/>
      <c r="U954" s="1329"/>
      <c r="V954" s="933"/>
      <c r="W954" s="933"/>
      <c r="X954" s="933"/>
      <c r="Y954" s="1290"/>
      <c r="Z954" s="1290"/>
      <c r="AA954" s="933"/>
      <c r="AB954" s="933"/>
      <c r="AC954" s="933"/>
      <c r="AD954" s="933"/>
    </row>
    <row r="955" customFormat="false" ht="15.75" hidden="false" customHeight="true" outlineLevel="1" collapsed="false">
      <c r="A955" s="1372" t="s">
        <v>3377</v>
      </c>
      <c r="B955" s="887" t="str">
        <f aca="false">B493</f>
        <v>м.п.</v>
      </c>
      <c r="C955" s="1372" t="n">
        <f aca="false">C493</f>
        <v>0.4</v>
      </c>
      <c r="D955" s="1372" t="n">
        <f aca="false">D493</f>
        <v>0.05</v>
      </c>
      <c r="E955" s="1372" t="n">
        <f aca="false">IF('Ввод данных'!$A$365=связи1!$A$96,IF(дома!E954&lt;связи1!$D$558,0,дома!E954-$D$881),0)+IF(дома!E954=0,0,IF('Ввод данных'!$A$365=связи1!$A$95,IF(дома!E954&lt;0,0,дома!E954-$D$881),0))+IF('Ввод данных'!$A$365=связи1!$A$98,IF(дома!E954&lt;связи1!$D$558,0,дома!E954-$D$881),0)</f>
        <v>0</v>
      </c>
      <c r="F955" s="1372" t="n">
        <f aca="false">2*VLOOKUP('Ввод данных'!$F$416,связи1!$A$2:$B$3,2,0)</f>
        <v>0</v>
      </c>
      <c r="G955" s="933" t="n">
        <f aca="false">C955*D955*E955*F955</f>
        <v>0</v>
      </c>
      <c r="H955" s="933"/>
      <c r="I955" s="933"/>
      <c r="J955" s="933"/>
      <c r="K955" s="933"/>
      <c r="L955" s="933"/>
      <c r="M955" s="933"/>
      <c r="N955" s="933"/>
      <c r="O955" s="933"/>
      <c r="P955" s="1290"/>
      <c r="Q955" s="1290"/>
      <c r="R955" s="1290"/>
      <c r="S955" s="933"/>
      <c r="T955" s="933"/>
      <c r="U955" s="1329"/>
      <c r="V955" s="933"/>
      <c r="W955" s="933"/>
      <c r="X955" s="933"/>
      <c r="Y955" s="1290"/>
      <c r="Z955" s="1290"/>
      <c r="AA955" s="933"/>
      <c r="AB955" s="933"/>
      <c r="AC955" s="933"/>
      <c r="AD955" s="933"/>
    </row>
    <row r="956" customFormat="false" ht="15.75" hidden="false" customHeight="true" outlineLevel="1" collapsed="false">
      <c r="A956" s="1372" t="s">
        <v>3378</v>
      </c>
      <c r="B956" s="887" t="str">
        <f aca="false">B494</f>
        <v>м.п.</v>
      </c>
      <c r="C956" s="1372" t="n">
        <f aca="false">C494</f>
        <v>0.4</v>
      </c>
      <c r="D956" s="1372" t="n">
        <f aca="false">D494</f>
        <v>0.05</v>
      </c>
      <c r="E956" s="1372" t="n">
        <f aca="false">IF('Ввод данных'!$A$365=связи1!$A$96,IF(дома!E955&lt;связи1!$D$558,0,дома!E955-$D$881),0)+IF(дома!E955=0,0,IF('Ввод данных'!$A$365=связи1!$A$95,IF(дома!E955&lt;0,0,дома!E955-$D$881),0))+IF('Ввод данных'!$A$365=связи1!$A$98,IF(дома!E955&lt;связи1!$D$558,0,дома!E955-$D$881),0)</f>
        <v>0</v>
      </c>
      <c r="F956" s="1372" t="n">
        <f aca="false">2*VLOOKUP('Ввод данных'!$F$416,связи1!$A$2:$B$3,2,0)</f>
        <v>0</v>
      </c>
      <c r="G956" s="933" t="n">
        <f aca="false">C956*D956*E956*F956</f>
        <v>0</v>
      </c>
      <c r="H956" s="933"/>
      <c r="I956" s="933"/>
      <c r="J956" s="933"/>
      <c r="K956" s="933"/>
      <c r="L956" s="933"/>
      <c r="M956" s="933"/>
      <c r="N956" s="933"/>
      <c r="O956" s="933"/>
      <c r="P956" s="1290"/>
      <c r="Q956" s="1290"/>
      <c r="R956" s="1290"/>
      <c r="S956" s="933"/>
      <c r="T956" s="933"/>
      <c r="U956" s="1329"/>
      <c r="V956" s="933"/>
      <c r="W956" s="933"/>
      <c r="X956" s="933"/>
      <c r="Y956" s="1290"/>
      <c r="Z956" s="1290"/>
      <c r="AA956" s="933"/>
      <c r="AB956" s="933"/>
      <c r="AC956" s="933"/>
      <c r="AD956" s="933"/>
    </row>
    <row r="957" customFormat="false" ht="15.75" hidden="false" customHeight="true" outlineLevel="1" collapsed="false">
      <c r="A957" s="1372" t="s">
        <v>3379</v>
      </c>
      <c r="B957" s="887" t="str">
        <f aca="false">B495</f>
        <v>м.п.</v>
      </c>
      <c r="C957" s="1372" t="n">
        <f aca="false">C495</f>
        <v>0.4</v>
      </c>
      <c r="D957" s="1372" t="n">
        <f aca="false">D495</f>
        <v>0.05</v>
      </c>
      <c r="E957" s="1372" t="n">
        <f aca="false">IF('Ввод данных'!$A$365=связи1!$A$96,IF(дома!E956&lt;связи1!$D$558,0,дома!E956-$D$881),0)+IF(дома!E956=0,0,IF('Ввод данных'!$A$365=связи1!$A$95,IF(дома!E956&lt;0,0,дома!E956-$D$881),0))+IF('Ввод данных'!$A$365=связи1!$A$98,IF(дома!E956&lt;связи1!$D$558,0,дома!E956-$D$881),0)</f>
        <v>0</v>
      </c>
      <c r="F957" s="1372" t="n">
        <f aca="false">2*VLOOKUP('Ввод данных'!$F$416,связи1!$A$2:$B$3,2,0)</f>
        <v>0</v>
      </c>
      <c r="G957" s="933" t="n">
        <f aca="false">C957*D957*E957*F957</f>
        <v>0</v>
      </c>
      <c r="H957" s="933"/>
      <c r="I957" s="933"/>
      <c r="J957" s="933"/>
      <c r="K957" s="933"/>
      <c r="L957" s="933"/>
      <c r="M957" s="933"/>
      <c r="N957" s="933"/>
      <c r="O957" s="933"/>
      <c r="P957" s="1290"/>
      <c r="Q957" s="1290"/>
      <c r="R957" s="1290"/>
      <c r="S957" s="933"/>
      <c r="T957" s="933"/>
      <c r="U957" s="1329"/>
      <c r="V957" s="933"/>
      <c r="W957" s="933"/>
      <c r="X957" s="933"/>
      <c r="Y957" s="1290"/>
      <c r="Z957" s="1290"/>
      <c r="AA957" s="933"/>
      <c r="AB957" s="933"/>
      <c r="AC957" s="933"/>
      <c r="AD957" s="933"/>
    </row>
    <row r="958" customFormat="false" ht="15.75" hidden="false" customHeight="true" outlineLevel="1" collapsed="false">
      <c r="A958" s="1372" t="s">
        <v>3380</v>
      </c>
      <c r="B958" s="887" t="str">
        <f aca="false">B496</f>
        <v>м.п.</v>
      </c>
      <c r="C958" s="1372" t="n">
        <f aca="false">C496</f>
        <v>0.4</v>
      </c>
      <c r="D958" s="1372" t="n">
        <f aca="false">D496</f>
        <v>0.05</v>
      </c>
      <c r="E958" s="1372" t="n">
        <f aca="false">IF('Ввод данных'!$A$365=связи1!$A$96,IF(дома!E957&lt;связи1!$D$558,0,дома!E957-$D$881),0)+IF(дома!E957=0,0,IF('Ввод данных'!$A$365=связи1!$A$95,IF(дома!E957&lt;0,0,дома!E957-$D$881),0))+IF('Ввод данных'!$A$365=связи1!$A$98,IF(дома!E957&lt;связи1!$D$558,0,дома!E957-$D$881),0)</f>
        <v>0</v>
      </c>
      <c r="F958" s="1372" t="n">
        <f aca="false">2*VLOOKUP('Ввод данных'!$F$416,связи1!$A$2:$B$3,2,0)</f>
        <v>0</v>
      </c>
      <c r="G958" s="933" t="n">
        <f aca="false">C958*D958*E958*F958</f>
        <v>0</v>
      </c>
      <c r="H958" s="933"/>
      <c r="I958" s="933"/>
      <c r="J958" s="933"/>
      <c r="K958" s="933"/>
      <c r="L958" s="933"/>
      <c r="M958" s="933"/>
      <c r="N958" s="933"/>
      <c r="O958" s="933"/>
      <c r="P958" s="1290"/>
      <c r="Q958" s="1290"/>
      <c r="R958" s="1290"/>
      <c r="S958" s="933"/>
      <c r="T958" s="933"/>
      <c r="U958" s="1329"/>
      <c r="V958" s="933"/>
      <c r="W958" s="933"/>
      <c r="X958" s="933"/>
      <c r="Y958" s="1290"/>
      <c r="Z958" s="1290"/>
      <c r="AA958" s="933"/>
      <c r="AB958" s="933"/>
      <c r="AC958" s="933"/>
      <c r="AD958" s="933"/>
    </row>
    <row r="959" customFormat="false" ht="15.75" hidden="false" customHeight="true" outlineLevel="1" collapsed="false">
      <c r="A959" s="1372" t="s">
        <v>3381</v>
      </c>
      <c r="B959" s="887" t="str">
        <f aca="false">B497</f>
        <v>м.п.</v>
      </c>
      <c r="C959" s="1372" t="n">
        <f aca="false">C497</f>
        <v>0.4</v>
      </c>
      <c r="D959" s="1372" t="n">
        <f aca="false">D497</f>
        <v>0.05</v>
      </c>
      <c r="E959" s="1372" t="n">
        <f aca="false">IF('Ввод данных'!$A$365=связи1!$A$96,IF(дома!E958&lt;связи1!$D$558,0,дома!E958-$D$881),0)+IF(дома!E958=0,0,IF('Ввод данных'!$A$365=связи1!$A$95,IF(дома!E958&lt;0,0,дома!E958-$D$881),0))+IF('Ввод данных'!$A$365=связи1!$A$98,IF(дома!E958&lt;связи1!$D$558,0,дома!E958-$D$881),0)</f>
        <v>0</v>
      </c>
      <c r="F959" s="1372" t="n">
        <f aca="false">2*VLOOKUP('Ввод данных'!$F$416,связи1!$A$2:$B$3,2,0)</f>
        <v>0</v>
      </c>
      <c r="G959" s="933" t="n">
        <f aca="false">C959*D959*E959*F959</f>
        <v>0</v>
      </c>
      <c r="H959" s="933"/>
      <c r="I959" s="933"/>
      <c r="J959" s="933"/>
      <c r="K959" s="933"/>
      <c r="L959" s="933"/>
      <c r="M959" s="933"/>
      <c r="N959" s="933"/>
      <c r="O959" s="933"/>
      <c r="P959" s="1290"/>
      <c r="Q959" s="1290"/>
      <c r="R959" s="1290"/>
      <c r="S959" s="933"/>
      <c r="T959" s="933"/>
      <c r="U959" s="1329"/>
      <c r="V959" s="933"/>
      <c r="W959" s="933"/>
      <c r="X959" s="933"/>
      <c r="Y959" s="1290"/>
      <c r="Z959" s="1290"/>
      <c r="AA959" s="933"/>
      <c r="AB959" s="933"/>
      <c r="AC959" s="933"/>
      <c r="AD959" s="933"/>
    </row>
    <row r="960" customFormat="false" ht="15.75" hidden="false" customHeight="true" outlineLevel="1" collapsed="false">
      <c r="A960" s="1372" t="s">
        <v>3382</v>
      </c>
      <c r="B960" s="887" t="str">
        <f aca="false">B498</f>
        <v>м.п.</v>
      </c>
      <c r="C960" s="1372" t="n">
        <f aca="false">C498</f>
        <v>0.4</v>
      </c>
      <c r="D960" s="1372" t="n">
        <f aca="false">D498</f>
        <v>0.05</v>
      </c>
      <c r="E960" s="1372" t="n">
        <f aca="false">IF('Ввод данных'!$A$365=связи1!$A$96,IF(дома!E959&lt;связи1!$D$558,0,дома!E959-$D$881),0)+IF(дома!E959=0,0,IF('Ввод данных'!$A$365=связи1!$A$95,IF(дома!E959&lt;0,0,дома!E959-$D$881),0))+IF('Ввод данных'!$A$365=связи1!$A$98,IF(дома!E959&lt;связи1!$D$558,0,дома!E959-$D$881),0)</f>
        <v>0</v>
      </c>
      <c r="F960" s="1372" t="n">
        <f aca="false">2*VLOOKUP('Ввод данных'!$F$416,связи1!$A$2:$B$3,2,0)</f>
        <v>0</v>
      </c>
      <c r="G960" s="933" t="n">
        <f aca="false">C960*D960*E960*F960</f>
        <v>0</v>
      </c>
      <c r="H960" s="933"/>
      <c r="I960" s="933"/>
      <c r="J960" s="933"/>
      <c r="K960" s="933"/>
      <c r="L960" s="933"/>
      <c r="M960" s="933"/>
      <c r="N960" s="933"/>
      <c r="O960" s="933"/>
      <c r="P960" s="1290"/>
      <c r="Q960" s="1290"/>
      <c r="R960" s="1290"/>
      <c r="S960" s="933"/>
      <c r="T960" s="933"/>
      <c r="U960" s="1329"/>
      <c r="V960" s="933"/>
      <c r="W960" s="933"/>
      <c r="X960" s="933"/>
      <c r="Y960" s="1290"/>
      <c r="Z960" s="1290"/>
      <c r="AA960" s="933"/>
      <c r="AB960" s="933"/>
      <c r="AC960" s="933"/>
      <c r="AD960" s="933"/>
    </row>
    <row r="961" customFormat="false" ht="15.75" hidden="false" customHeight="true" outlineLevel="1" collapsed="false">
      <c r="A961" s="1372" t="s">
        <v>3383</v>
      </c>
      <c r="B961" s="887" t="str">
        <f aca="false">B499</f>
        <v>м.п.</v>
      </c>
      <c r="C961" s="1372" t="n">
        <f aca="false">C499</f>
        <v>0.4</v>
      </c>
      <c r="D961" s="1372" t="n">
        <f aca="false">D499</f>
        <v>0.05</v>
      </c>
      <c r="E961" s="1372" t="n">
        <f aca="false">IF('Ввод данных'!$A$365=связи1!$A$96,IF(дома!E960&lt;связи1!$D$558,0,дома!E960-$D$881),0)+IF(дома!E960=0,0,IF('Ввод данных'!$A$365=связи1!$A$95,IF(дома!E960&lt;0,0,дома!E960-$D$881),0))+IF('Ввод данных'!$A$365=связи1!$A$98,IF(дома!E960&lt;связи1!$D$558,0,дома!E960-$D$881),0)</f>
        <v>0</v>
      </c>
      <c r="F961" s="1372" t="n">
        <f aca="false">2*VLOOKUP('Ввод данных'!$F$416,связи1!$A$2:$B$3,2,0)</f>
        <v>0</v>
      </c>
      <c r="G961" s="933" t="n">
        <f aca="false">C961*D961*E961*F961</f>
        <v>0</v>
      </c>
      <c r="H961" s="933"/>
      <c r="I961" s="933"/>
      <c r="J961" s="933"/>
      <c r="K961" s="933"/>
      <c r="L961" s="933"/>
      <c r="M961" s="933"/>
      <c r="N961" s="933"/>
      <c r="O961" s="933"/>
      <c r="P961" s="1290"/>
      <c r="Q961" s="1290"/>
      <c r="R961" s="1290"/>
      <c r="S961" s="933"/>
      <c r="T961" s="933"/>
      <c r="U961" s="1329"/>
      <c r="V961" s="933"/>
      <c r="W961" s="933"/>
      <c r="X961" s="933"/>
      <c r="Y961" s="1290"/>
      <c r="Z961" s="1290"/>
      <c r="AA961" s="933"/>
      <c r="AB961" s="933"/>
      <c r="AC961" s="933"/>
      <c r="AD961" s="933"/>
    </row>
    <row r="962" customFormat="false" ht="15.75" hidden="false" customHeight="true" outlineLevel="1" collapsed="false">
      <c r="A962" s="1372" t="s">
        <v>3384</v>
      </c>
      <c r="B962" s="887" t="str">
        <f aca="false">B500</f>
        <v>м.п.</v>
      </c>
      <c r="C962" s="1372" t="n">
        <f aca="false">C500</f>
        <v>0.4</v>
      </c>
      <c r="D962" s="1372" t="n">
        <f aca="false">D500</f>
        <v>0.05</v>
      </c>
      <c r="E962" s="1372" t="n">
        <f aca="false">IF('Ввод данных'!$A$365=связи1!$A$96,IF(дома!E961&lt;связи1!$D$558,0,дома!E961-$D$881),0)+IF(дома!E961=0,0,IF('Ввод данных'!$A$365=связи1!$A$95,IF(дома!E961&lt;0,0,дома!E961-$D$881),0))+IF('Ввод данных'!$A$365=связи1!$A$98,IF(дома!E961&lt;связи1!$D$558,0,дома!E961-$D$881),0)</f>
        <v>0</v>
      </c>
      <c r="F962" s="1372" t="n">
        <f aca="false">2*VLOOKUP('Ввод данных'!$F$416,связи1!$A$2:$B$3,2,0)</f>
        <v>0</v>
      </c>
      <c r="G962" s="933" t="n">
        <f aca="false">C962*D962*E962*F962</f>
        <v>0</v>
      </c>
      <c r="H962" s="933"/>
      <c r="I962" s="933"/>
      <c r="J962" s="933"/>
      <c r="K962" s="933"/>
      <c r="L962" s="933"/>
      <c r="M962" s="933"/>
      <c r="N962" s="933"/>
      <c r="O962" s="933"/>
      <c r="P962" s="1290"/>
      <c r="Q962" s="1290"/>
      <c r="R962" s="1290"/>
      <c r="S962" s="933"/>
      <c r="T962" s="933"/>
      <c r="U962" s="1329"/>
      <c r="V962" s="933"/>
      <c r="W962" s="933"/>
      <c r="X962" s="933"/>
      <c r="Y962" s="1290"/>
      <c r="Z962" s="1290"/>
      <c r="AA962" s="933"/>
      <c r="AB962" s="933"/>
      <c r="AC962" s="933"/>
      <c r="AD962" s="933"/>
    </row>
    <row r="963" customFormat="false" ht="15.75" hidden="false" customHeight="true" outlineLevel="1" collapsed="false">
      <c r="A963" s="1372" t="s">
        <v>3385</v>
      </c>
      <c r="B963" s="887" t="str">
        <f aca="false">B501</f>
        <v>м.п.</v>
      </c>
      <c r="C963" s="1372" t="n">
        <f aca="false">C501</f>
        <v>0.4</v>
      </c>
      <c r="D963" s="1372" t="n">
        <f aca="false">D501</f>
        <v>0.05</v>
      </c>
      <c r="E963" s="1372" t="n">
        <f aca="false">IF('Ввод данных'!$A$365=связи1!$A$96,IF(дома!E962&lt;связи1!$D$558,0,дома!E962-$D$881),0)+IF(дома!E962=0,0,IF('Ввод данных'!$A$365=связи1!$A$95,IF(дома!E962&lt;0,0,дома!E962-$D$881),0))+IF('Ввод данных'!$A$365=связи1!$A$98,IF(дома!E962&lt;связи1!$D$558,0,дома!E962-$D$881),0)</f>
        <v>0</v>
      </c>
      <c r="F963" s="1372" t="n">
        <f aca="false">2*VLOOKUP('Ввод данных'!$F$416,связи1!$A$2:$B$3,2,0)</f>
        <v>0</v>
      </c>
      <c r="G963" s="933" t="n">
        <f aca="false">C963*D963*E963*F963</f>
        <v>0</v>
      </c>
      <c r="H963" s="933"/>
      <c r="I963" s="933"/>
      <c r="J963" s="933"/>
      <c r="K963" s="933"/>
      <c r="L963" s="933"/>
      <c r="M963" s="933"/>
      <c r="N963" s="933"/>
      <c r="O963" s="933"/>
      <c r="P963" s="1290"/>
      <c r="Q963" s="1290"/>
      <c r="R963" s="1290"/>
      <c r="S963" s="933"/>
      <c r="T963" s="933"/>
      <c r="U963" s="1329"/>
      <c r="V963" s="933"/>
      <c r="W963" s="933"/>
      <c r="X963" s="933"/>
      <c r="Y963" s="1290"/>
      <c r="Z963" s="1290"/>
      <c r="AA963" s="933"/>
      <c r="AB963" s="933"/>
      <c r="AC963" s="933"/>
      <c r="AD963" s="933"/>
    </row>
    <row r="964" customFormat="false" ht="15.75" hidden="false" customHeight="true" outlineLevel="1" collapsed="false">
      <c r="A964" s="1372" t="s">
        <v>3386</v>
      </c>
      <c r="B964" s="887" t="str">
        <f aca="false">B502</f>
        <v>м.п.</v>
      </c>
      <c r="C964" s="1372" t="n">
        <f aca="false">C502</f>
        <v>0.4</v>
      </c>
      <c r="D964" s="1372" t="n">
        <f aca="false">D502</f>
        <v>0.05</v>
      </c>
      <c r="E964" s="1372" t="n">
        <f aca="false">IF('Ввод данных'!$A$365=связи1!$A$96,IF(дома!E963&lt;связи1!$D$558,0,дома!E963-$D$881),0)+IF(дома!E963=0,0,IF('Ввод данных'!$A$365=связи1!$A$95,IF(дома!E963&lt;0,0,дома!E963-$D$881),0))+IF('Ввод данных'!$A$365=связи1!$A$98,IF(дома!E963&lt;связи1!$D$558,0,дома!E963-$D$881),0)</f>
        <v>0</v>
      </c>
      <c r="F964" s="1372" t="n">
        <f aca="false">2*VLOOKUP('Ввод данных'!$F$416,связи1!$A$2:$B$3,2,0)</f>
        <v>0</v>
      </c>
      <c r="G964" s="933" t="n">
        <f aca="false">C964*D964*E964*F964</f>
        <v>0</v>
      </c>
      <c r="H964" s="933"/>
      <c r="I964" s="933"/>
      <c r="J964" s="933"/>
      <c r="K964" s="933"/>
      <c r="L964" s="933"/>
      <c r="M964" s="933"/>
      <c r="N964" s="933"/>
      <c r="O964" s="933"/>
      <c r="P964" s="1290"/>
      <c r="Q964" s="1290"/>
      <c r="R964" s="1290"/>
      <c r="S964" s="933"/>
      <c r="T964" s="933"/>
      <c r="U964" s="1329"/>
      <c r="V964" s="933"/>
      <c r="W964" s="933"/>
      <c r="X964" s="933"/>
      <c r="Y964" s="1290"/>
      <c r="Z964" s="1290"/>
      <c r="AA964" s="933"/>
      <c r="AB964" s="933"/>
      <c r="AC964" s="933"/>
      <c r="AD964" s="933"/>
    </row>
    <row r="965" customFormat="false" ht="15.75" hidden="false" customHeight="true" outlineLevel="1" collapsed="false">
      <c r="A965" s="1372" t="s">
        <v>3387</v>
      </c>
      <c r="B965" s="887" t="str">
        <f aca="false">B503</f>
        <v>м.п.</v>
      </c>
      <c r="C965" s="1372" t="n">
        <f aca="false">C503</f>
        <v>0.4</v>
      </c>
      <c r="D965" s="1372" t="n">
        <f aca="false">D503</f>
        <v>0.05</v>
      </c>
      <c r="E965" s="1372" t="n">
        <f aca="false">IF('Ввод данных'!$A$365=связи1!$A$96,IF(дома!E964&lt;связи1!$D$558,0,дома!E964-$D$881),0)+IF(дома!E964=0,0,IF('Ввод данных'!$A$365=связи1!$A$95,IF(дома!E964&lt;0,0,дома!E964-$D$881),0))+IF('Ввод данных'!$A$365=связи1!$A$98,IF(дома!E964&lt;связи1!$D$558,0,дома!E964-$D$881),0)</f>
        <v>0</v>
      </c>
      <c r="F965" s="1372" t="n">
        <f aca="false">2*VLOOKUP('Ввод данных'!$F$416,связи1!$A$2:$B$3,2,0)</f>
        <v>0</v>
      </c>
      <c r="G965" s="933" t="n">
        <f aca="false">C965*D965*E965*F965</f>
        <v>0</v>
      </c>
      <c r="H965" s="933"/>
      <c r="I965" s="933"/>
      <c r="J965" s="933"/>
      <c r="K965" s="933"/>
      <c r="L965" s="933"/>
      <c r="M965" s="933"/>
      <c r="N965" s="933"/>
      <c r="O965" s="933"/>
      <c r="P965" s="1290"/>
      <c r="Q965" s="1290"/>
      <c r="R965" s="1290"/>
      <c r="S965" s="933"/>
      <c r="T965" s="933"/>
      <c r="U965" s="1329"/>
      <c r="V965" s="933"/>
      <c r="W965" s="933"/>
      <c r="X965" s="933"/>
      <c r="Y965" s="1290"/>
      <c r="Z965" s="1290"/>
      <c r="AA965" s="933"/>
      <c r="AB965" s="933"/>
      <c r="AC965" s="933"/>
      <c r="AD965" s="933"/>
    </row>
    <row r="966" customFormat="false" ht="15.75" hidden="false" customHeight="true" outlineLevel="1" collapsed="false">
      <c r="A966" s="1372" t="s">
        <v>3388</v>
      </c>
      <c r="B966" s="887" t="str">
        <f aca="false">B504</f>
        <v>м.п.</v>
      </c>
      <c r="C966" s="1372" t="n">
        <f aca="false">C504</f>
        <v>0.4</v>
      </c>
      <c r="D966" s="1372" t="n">
        <f aca="false">D504</f>
        <v>0.05</v>
      </c>
      <c r="E966" s="1372" t="n">
        <f aca="false">IF('Ввод данных'!$A$365=связи1!$A$96,IF(дома!E965&lt;связи1!$D$558,0,дома!E965-$D$881),0)+IF(дома!E965=0,0,IF('Ввод данных'!$A$365=связи1!$A$95,IF(дома!E965&lt;0,0,дома!E965-$D$881),0))+IF('Ввод данных'!$A$365=связи1!$A$98,IF(дома!E965&lt;связи1!$D$558,0,дома!E965-$D$881),0)</f>
        <v>0</v>
      </c>
      <c r="F966" s="1372" t="n">
        <f aca="false">2*VLOOKUP('Ввод данных'!$F$416,связи1!$A$2:$B$3,2,0)</f>
        <v>0</v>
      </c>
      <c r="G966" s="933" t="n">
        <f aca="false">C966*D966*E966*F966</f>
        <v>0</v>
      </c>
      <c r="H966" s="933"/>
      <c r="I966" s="933"/>
      <c r="J966" s="933"/>
      <c r="K966" s="933"/>
      <c r="L966" s="933"/>
      <c r="M966" s="933"/>
      <c r="N966" s="933"/>
      <c r="O966" s="933"/>
      <c r="P966" s="1290"/>
      <c r="Q966" s="1290"/>
      <c r="R966" s="1290"/>
      <c r="S966" s="933"/>
      <c r="T966" s="933"/>
      <c r="U966" s="1329"/>
      <c r="V966" s="933"/>
      <c r="W966" s="933"/>
      <c r="X966" s="933"/>
      <c r="Y966" s="1290"/>
      <c r="Z966" s="1290"/>
      <c r="AA966" s="933"/>
      <c r="AB966" s="933"/>
      <c r="AC966" s="933"/>
      <c r="AD966" s="933"/>
    </row>
    <row r="967" customFormat="false" ht="15.75" hidden="false" customHeight="true" outlineLevel="1" collapsed="false">
      <c r="A967" s="1372" t="s">
        <v>3389</v>
      </c>
      <c r="B967" s="887" t="str">
        <f aca="false">B505</f>
        <v>м.п.</v>
      </c>
      <c r="C967" s="1372" t="n">
        <f aca="false">C505</f>
        <v>0.4</v>
      </c>
      <c r="D967" s="1372" t="n">
        <f aca="false">D505</f>
        <v>0.05</v>
      </c>
      <c r="E967" s="1372" t="n">
        <f aca="false">IF('Ввод данных'!$A$365=связи1!$A$96,IF(дома!E966&lt;связи1!$D$558,0,дома!E966-$D$881),0)+IF(дома!E966=0,0,IF('Ввод данных'!$A$365=связи1!$A$95,IF(дома!E966&lt;0,0,дома!E966-$D$881),0))+IF('Ввод данных'!$A$365=связи1!$A$98,IF(дома!E966&lt;связи1!$D$558,0,дома!E966-$D$881),0)</f>
        <v>0</v>
      </c>
      <c r="F967" s="1372" t="n">
        <f aca="false">2*VLOOKUP('Ввод данных'!$F$416,связи1!$A$2:$B$3,2,0)</f>
        <v>0</v>
      </c>
      <c r="G967" s="933" t="n">
        <f aca="false">C967*D967*E967*F967</f>
        <v>0</v>
      </c>
      <c r="H967" s="933"/>
      <c r="I967" s="933"/>
      <c r="J967" s="933"/>
      <c r="K967" s="933"/>
      <c r="L967" s="933"/>
      <c r="M967" s="933"/>
      <c r="N967" s="933"/>
      <c r="O967" s="933"/>
      <c r="P967" s="1290"/>
      <c r="Q967" s="1290"/>
      <c r="R967" s="1290"/>
      <c r="S967" s="933"/>
      <c r="T967" s="933"/>
      <c r="U967" s="1329"/>
      <c r="V967" s="933"/>
      <c r="W967" s="933"/>
      <c r="X967" s="933"/>
      <c r="Y967" s="1290"/>
      <c r="Z967" s="1290"/>
      <c r="AA967" s="933"/>
      <c r="AB967" s="933"/>
      <c r="AC967" s="933"/>
      <c r="AD967" s="933"/>
    </row>
    <row r="968" customFormat="false" ht="15.75" hidden="false" customHeight="true" outlineLevel="1" collapsed="false">
      <c r="A968" s="1372" t="n">
        <f aca="false">A506</f>
        <v>0</v>
      </c>
      <c r="B968" s="887" t="n">
        <f aca="false">B506</f>
        <v>0</v>
      </c>
      <c r="C968" s="1372" t="n">
        <f aca="false">C506</f>
        <v>0</v>
      </c>
      <c r="D968" s="1372" t="n">
        <f aca="false">D506</f>
        <v>0</v>
      </c>
      <c r="E968" s="1372"/>
      <c r="F968" s="1372"/>
      <c r="G968" s="933" t="n">
        <f aca="false">C968*D968*E968*F968</f>
        <v>0</v>
      </c>
      <c r="H968" s="933"/>
      <c r="I968" s="933"/>
      <c r="J968" s="933"/>
      <c r="K968" s="933"/>
      <c r="L968" s="933"/>
      <c r="M968" s="933"/>
      <c r="N968" s="933"/>
      <c r="O968" s="933"/>
      <c r="P968" s="1290"/>
      <c r="Q968" s="1290"/>
      <c r="R968" s="1290"/>
      <c r="S968" s="933"/>
      <c r="T968" s="933"/>
      <c r="U968" s="1329"/>
      <c r="V968" s="933"/>
      <c r="W968" s="933"/>
      <c r="X968" s="933"/>
      <c r="Y968" s="1290"/>
      <c r="Z968" s="1290"/>
      <c r="AA968" s="933"/>
      <c r="AB968" s="933"/>
      <c r="AC968" s="933"/>
      <c r="AD968" s="933"/>
    </row>
    <row r="969" customFormat="false" ht="15.75" hidden="false" customHeight="true" outlineLevel="1" collapsed="false">
      <c r="A969" s="1377" t="s">
        <v>3391</v>
      </c>
      <c r="B969" s="1379" t="str">
        <f aca="false">B507</f>
        <v>ед.изм</v>
      </c>
      <c r="C969" s="1377" t="str">
        <f aca="false">C507</f>
        <v>ширина</v>
      </c>
      <c r="D969" s="1377" t="str">
        <f aca="false">D507</f>
        <v>толщина</v>
      </c>
      <c r="E969" s="1377" t="str">
        <f aca="false">E507</f>
        <v>высота</v>
      </c>
      <c r="F969" s="1377" t="str">
        <f aca="false">F507</f>
        <v>кол-во</v>
      </c>
      <c r="G969" s="933"/>
      <c r="H969" s="933"/>
      <c r="I969" s="933"/>
      <c r="J969" s="933"/>
      <c r="K969" s="933"/>
      <c r="L969" s="933"/>
      <c r="M969" s="933"/>
      <c r="N969" s="933"/>
      <c r="O969" s="933"/>
      <c r="P969" s="1290"/>
      <c r="Q969" s="1290"/>
      <c r="R969" s="1290"/>
      <c r="S969" s="933"/>
      <c r="T969" s="933"/>
      <c r="U969" s="1329"/>
      <c r="V969" s="933"/>
      <c r="W969" s="933"/>
      <c r="X969" s="933"/>
      <c r="Y969" s="1290"/>
      <c r="Z969" s="1290"/>
      <c r="AA969" s="933"/>
      <c r="AB969" s="933"/>
      <c r="AC969" s="933"/>
      <c r="AD969" s="933"/>
    </row>
    <row r="970" customFormat="false" ht="15.75" hidden="false" customHeight="true" outlineLevel="1" collapsed="false">
      <c r="A970" s="1372" t="s">
        <v>3352</v>
      </c>
      <c r="B970" s="887" t="str">
        <f aca="false">B508</f>
        <v>м.п.</v>
      </c>
      <c r="C970" s="1372" t="n">
        <f aca="false">C508</f>
        <v>0.4</v>
      </c>
      <c r="D970" s="1372" t="n">
        <f aca="false">D508</f>
        <v>0.05</v>
      </c>
      <c r="E970" s="1372" t="n">
        <f aca="false">E868</f>
        <v>2.9</v>
      </c>
      <c r="F970" s="1372" t="n">
        <f aca="false">L868*VLOOKUP('Ввод данных'!F416,связи1!A2:B3,2,0)</f>
        <v>0</v>
      </c>
      <c r="G970" s="933" t="n">
        <f aca="false">C970*D970*E970*F970</f>
        <v>0</v>
      </c>
      <c r="H970" s="933"/>
      <c r="I970" s="933"/>
      <c r="J970" s="933"/>
      <c r="K970" s="933"/>
      <c r="L970" s="933"/>
      <c r="M970" s="933"/>
      <c r="N970" s="933"/>
      <c r="O970" s="933"/>
      <c r="P970" s="1290"/>
      <c r="Q970" s="1290"/>
      <c r="R970" s="1290"/>
      <c r="S970" s="933"/>
      <c r="T970" s="933"/>
      <c r="U970" s="1329"/>
      <c r="V970" s="933"/>
      <c r="W970" s="933"/>
      <c r="X970" s="933"/>
      <c r="Y970" s="1290"/>
      <c r="Z970" s="1290"/>
      <c r="AA970" s="933"/>
      <c r="AB970" s="933"/>
      <c r="AC970" s="933"/>
      <c r="AD970" s="933"/>
    </row>
    <row r="971" customFormat="false" ht="15.75" hidden="false" customHeight="true" outlineLevel="1" collapsed="false">
      <c r="A971" s="1372" t="s">
        <v>3353</v>
      </c>
      <c r="B971" s="887" t="str">
        <f aca="false">B509</f>
        <v>м.п.</v>
      </c>
      <c r="C971" s="1372" t="n">
        <f aca="false">C509</f>
        <v>0.4</v>
      </c>
      <c r="D971" s="1372" t="n">
        <f aca="false">D509</f>
        <v>0.05</v>
      </c>
      <c r="E971" s="1372" t="n">
        <f aca="false">E869</f>
        <v>1.5</v>
      </c>
      <c r="F971" s="1372" t="n">
        <f aca="false">L869*VLOOKUP('Ввод данных'!F416,связи1!A2:B3,2,0)</f>
        <v>0</v>
      </c>
      <c r="G971" s="933" t="n">
        <f aca="false">C971*D971*E971*F971</f>
        <v>0</v>
      </c>
      <c r="H971" s="933"/>
      <c r="I971" s="933"/>
      <c r="J971" s="933"/>
      <c r="K971" s="933"/>
      <c r="L971" s="933"/>
      <c r="M971" s="933"/>
      <c r="N971" s="933"/>
      <c r="O971" s="933"/>
      <c r="P971" s="1290"/>
      <c r="Q971" s="1290"/>
      <c r="R971" s="1290"/>
      <c r="S971" s="933"/>
      <c r="T971" s="933"/>
      <c r="U971" s="1329"/>
      <c r="V971" s="933"/>
      <c r="W971" s="933"/>
      <c r="X971" s="933"/>
      <c r="Y971" s="1290"/>
      <c r="Z971" s="1290"/>
      <c r="AA971" s="933"/>
      <c r="AB971" s="933"/>
      <c r="AC971" s="933"/>
      <c r="AD971" s="933"/>
    </row>
    <row r="972" customFormat="false" ht="15.75" hidden="false" customHeight="true" outlineLevel="1" collapsed="false">
      <c r="A972" s="1372" t="s">
        <v>3354</v>
      </c>
      <c r="B972" s="887" t="str">
        <f aca="false">B510</f>
        <v>м.п.</v>
      </c>
      <c r="C972" s="1372" t="n">
        <f aca="false">C510</f>
        <v>0.4</v>
      </c>
      <c r="D972" s="1372" t="n">
        <f aca="false">D510</f>
        <v>0.05</v>
      </c>
      <c r="E972" s="1372" t="n">
        <f aca="false">E870</f>
        <v>1.5</v>
      </c>
      <c r="F972" s="1372" t="n">
        <f aca="false">L870*VLOOKUP('Ввод данных'!F416,связи1!A2:B3,2,0)</f>
        <v>0</v>
      </c>
      <c r="G972" s="933" t="n">
        <f aca="false">C972*D972*E972*F972</f>
        <v>0</v>
      </c>
      <c r="H972" s="933"/>
      <c r="I972" s="933"/>
      <c r="J972" s="933"/>
      <c r="K972" s="933"/>
      <c r="L972" s="933"/>
      <c r="M972" s="933"/>
      <c r="N972" s="933"/>
      <c r="O972" s="933"/>
      <c r="P972" s="1290"/>
      <c r="Q972" s="1290"/>
      <c r="R972" s="1290"/>
      <c r="S972" s="933"/>
      <c r="T972" s="933"/>
      <c r="U972" s="1329"/>
      <c r="V972" s="933"/>
      <c r="W972" s="933"/>
      <c r="X972" s="933"/>
      <c r="Y972" s="1290"/>
      <c r="Z972" s="1290"/>
      <c r="AA972" s="933"/>
      <c r="AB972" s="933"/>
      <c r="AC972" s="933"/>
      <c r="AD972" s="933"/>
    </row>
    <row r="973" customFormat="false" ht="15.75" hidden="false" customHeight="true" outlineLevel="1" collapsed="false">
      <c r="A973" s="1372" t="s">
        <v>3270</v>
      </c>
      <c r="B973" s="887" t="str">
        <f aca="false">B511</f>
        <v>м.п.</v>
      </c>
      <c r="C973" s="1372" t="n">
        <f aca="false">C511</f>
        <v>0.4</v>
      </c>
      <c r="D973" s="1372" t="n">
        <f aca="false">D511</f>
        <v>0.05</v>
      </c>
      <c r="E973" s="1372" t="n">
        <f aca="false">1</f>
        <v>1</v>
      </c>
      <c r="F973" s="1372" t="n">
        <f aca="false">P871*VLOOKUP('Ввод данных'!F416,связи1!A2:B3,2,0)+Q871*VLOOKUP('Ввод данных'!F416,связи1!A2:B3,2,0)</f>
        <v>0</v>
      </c>
      <c r="G973" s="933" t="n">
        <f aca="false">C973*D973*E973*F973</f>
        <v>0</v>
      </c>
      <c r="H973" s="933"/>
      <c r="I973" s="933"/>
      <c r="J973" s="933"/>
      <c r="K973" s="933"/>
      <c r="L973" s="933"/>
      <c r="M973" s="933"/>
      <c r="N973" s="933"/>
      <c r="O973" s="933"/>
      <c r="P973" s="1290"/>
      <c r="Q973" s="1290"/>
      <c r="R973" s="1290"/>
      <c r="S973" s="933"/>
      <c r="T973" s="933"/>
      <c r="U973" s="1329"/>
      <c r="V973" s="933"/>
      <c r="W973" s="933"/>
      <c r="X973" s="933"/>
      <c r="Y973" s="1290"/>
      <c r="Z973" s="1290"/>
      <c r="AA973" s="933"/>
      <c r="AB973" s="933"/>
      <c r="AC973" s="933"/>
      <c r="AD973" s="933"/>
    </row>
    <row r="974" customFormat="false" ht="15.75" hidden="false" customHeight="true" outlineLevel="1" collapsed="false">
      <c r="A974" s="1372" t="s">
        <v>3271</v>
      </c>
      <c r="B974" s="887" t="str">
        <f aca="false">B512</f>
        <v>м.п.</v>
      </c>
      <c r="C974" s="1372" t="n">
        <f aca="false">C512</f>
        <v>0.4</v>
      </c>
      <c r="D974" s="1372" t="n">
        <f aca="false">D512</f>
        <v>0.05</v>
      </c>
      <c r="E974" s="1372" t="n">
        <f aca="false">1</f>
        <v>1</v>
      </c>
      <c r="F974" s="1372" t="n">
        <f aca="false">R871*VLOOKUP('Ввод данных'!F416,связи1!A2:B3,2,0)</f>
        <v>0</v>
      </c>
      <c r="G974" s="933" t="n">
        <f aca="false">C974*D974*E974*F974</f>
        <v>0</v>
      </c>
      <c r="H974" s="933"/>
      <c r="I974" s="933"/>
      <c r="J974" s="933"/>
      <c r="K974" s="933"/>
      <c r="L974" s="933"/>
      <c r="M974" s="933"/>
      <c r="N974" s="933"/>
      <c r="O974" s="933"/>
      <c r="P974" s="1290"/>
      <c r="Q974" s="1290"/>
      <c r="R974" s="1290"/>
      <c r="S974" s="933"/>
      <c r="T974" s="933"/>
      <c r="U974" s="1329"/>
      <c r="V974" s="933"/>
      <c r="W974" s="933"/>
      <c r="X974" s="933"/>
      <c r="Y974" s="1290"/>
      <c r="Z974" s="1290"/>
      <c r="AA974" s="933"/>
      <c r="AB974" s="933"/>
      <c r="AC974" s="933"/>
      <c r="AD974" s="933"/>
    </row>
    <row r="975" customFormat="false" ht="15.75" hidden="false" customHeight="true" outlineLevel="1" collapsed="false">
      <c r="A975" s="1372" t="s">
        <v>3355</v>
      </c>
      <c r="B975" s="887" t="str">
        <f aca="false">B513</f>
        <v>м.п.</v>
      </c>
      <c r="C975" s="1372" t="n">
        <f aca="false">C513</f>
        <v>0.4</v>
      </c>
      <c r="D975" s="1372" t="n">
        <f aca="false">D513</f>
        <v>0.05</v>
      </c>
      <c r="E975" s="1372" t="n">
        <v>1.5</v>
      </c>
      <c r="F975" s="1372" t="n">
        <f aca="false">8*VLOOKUP('Ввод данных'!F416,связи1!A2:B3,2,0)</f>
        <v>0</v>
      </c>
      <c r="G975" s="933" t="n">
        <f aca="false">C975*D975*E975*F975</f>
        <v>0</v>
      </c>
      <c r="H975" s="933"/>
      <c r="I975" s="933"/>
      <c r="J975" s="933"/>
      <c r="K975" s="933"/>
      <c r="L975" s="933"/>
      <c r="M975" s="933"/>
      <c r="N975" s="933"/>
      <c r="O975" s="933"/>
      <c r="P975" s="1290"/>
      <c r="Q975" s="1290"/>
      <c r="R975" s="1290"/>
      <c r="S975" s="933"/>
      <c r="T975" s="933"/>
      <c r="U975" s="1329"/>
      <c r="V975" s="933"/>
      <c r="W975" s="933"/>
      <c r="X975" s="933"/>
      <c r="Y975" s="1290"/>
      <c r="Z975" s="1290"/>
      <c r="AA975" s="933"/>
      <c r="AB975" s="933"/>
      <c r="AC975" s="933"/>
      <c r="AD975" s="933"/>
    </row>
    <row r="976" customFormat="false" ht="15.75" hidden="false" customHeight="true" outlineLevel="1" collapsed="false">
      <c r="A976" s="1372" t="s">
        <v>3356</v>
      </c>
      <c r="B976" s="887" t="str">
        <f aca="false">B514</f>
        <v>м.п.</v>
      </c>
      <c r="C976" s="1372" t="n">
        <f aca="false">C514</f>
        <v>0.4</v>
      </c>
      <c r="D976" s="1372" t="n">
        <f aca="false">D514</f>
        <v>0.05</v>
      </c>
      <c r="E976" s="1372" t="n">
        <f aca="false">IF('Ввод данных'!A368=связи1!A106,IF('Ввод данных'!A369=связи1!A94,0,0)+IF('Ввод данных'!A369=связи1!A95,связи1!E557-связи1!E556,0)+IF('Ввод данных'!A369=связи1!A96,связи1!E557,0)+IF('Ввод данных'!A369=связи1!A97,0,0)+IF('Ввод данных'!A369=связи1!A98,связи1!E557,0),0)</f>
        <v>0</v>
      </c>
      <c r="F976" s="1372" t="n">
        <f aca="false">2*VLOOKUP('Ввод данных'!$F$416,связи1!$A$2:$B$3,2,0)</f>
        <v>0</v>
      </c>
      <c r="G976" s="933" t="n">
        <f aca="false">C976*D976*E976*F976</f>
        <v>0</v>
      </c>
      <c r="H976" s="933"/>
      <c r="I976" s="933"/>
      <c r="J976" s="933"/>
      <c r="K976" s="933"/>
      <c r="L976" s="933"/>
      <c r="M976" s="933"/>
      <c r="N976" s="933"/>
      <c r="O976" s="933"/>
      <c r="P976" s="1290"/>
      <c r="Q976" s="1290"/>
      <c r="R976" s="1290"/>
      <c r="S976" s="933"/>
      <c r="T976" s="933"/>
      <c r="U976" s="1329"/>
      <c r="V976" s="933"/>
      <c r="W976" s="933"/>
      <c r="X976" s="933"/>
      <c r="Y976" s="1290"/>
      <c r="Z976" s="1290"/>
      <c r="AA976" s="933"/>
      <c r="AB976" s="933"/>
      <c r="AC976" s="933"/>
      <c r="AD976" s="933"/>
    </row>
    <row r="977" customFormat="false" ht="15.75" hidden="false" customHeight="true" outlineLevel="1" collapsed="false">
      <c r="A977" s="1372" t="s">
        <v>3357</v>
      </c>
      <c r="B977" s="887" t="str">
        <f aca="false">B515</f>
        <v>м.п.</v>
      </c>
      <c r="C977" s="1372" t="n">
        <f aca="false">C515</f>
        <v>0.4</v>
      </c>
      <c r="D977" s="1372" t="n">
        <f aca="false">D515</f>
        <v>0.05</v>
      </c>
      <c r="E977" s="1372" t="n">
        <f aca="false">IF('Ввод данных'!$A$369=связи1!$A$96,IF(дома!E976&lt;связи1!$E$558,0,дома!E976-$E$881),0)+IF(дома!E976=0,0,IF('Ввод данных'!$A$369=связи1!$A$95,IF(дома!E976&lt;0,0,дома!E976-$E$881),0))+IF('Ввод данных'!$A$369=связи1!$A$98,IF(дома!E976&lt;связи1!$E$558,0,дома!E976-$E$881),0)</f>
        <v>0</v>
      </c>
      <c r="F977" s="1372" t="n">
        <f aca="false">2*VLOOKUP('Ввод данных'!$F$416,связи1!$A$2:$B$3,2,0)</f>
        <v>0</v>
      </c>
      <c r="G977" s="933" t="n">
        <f aca="false">C977*D977*E977*F977</f>
        <v>0</v>
      </c>
      <c r="H977" s="933"/>
      <c r="I977" s="933"/>
      <c r="J977" s="933"/>
      <c r="K977" s="933"/>
      <c r="L977" s="933"/>
      <c r="M977" s="933"/>
      <c r="N977" s="933"/>
      <c r="O977" s="933"/>
      <c r="P977" s="1290"/>
      <c r="Q977" s="1290"/>
      <c r="R977" s="1290"/>
      <c r="S977" s="933"/>
      <c r="T977" s="933"/>
      <c r="U977" s="1329"/>
      <c r="V977" s="933"/>
      <c r="W977" s="933"/>
      <c r="X977" s="933"/>
      <c r="Y977" s="1290"/>
      <c r="Z977" s="1290"/>
      <c r="AA977" s="933"/>
      <c r="AB977" s="933"/>
      <c r="AC977" s="933"/>
      <c r="AD977" s="933"/>
    </row>
    <row r="978" customFormat="false" ht="15.75" hidden="false" customHeight="true" outlineLevel="1" collapsed="false">
      <c r="A978" s="1372" t="s">
        <v>3358</v>
      </c>
      <c r="B978" s="887" t="str">
        <f aca="false">B516</f>
        <v>м.п.</v>
      </c>
      <c r="C978" s="1372" t="n">
        <f aca="false">C516</f>
        <v>0.4</v>
      </c>
      <c r="D978" s="1372" t="n">
        <f aca="false">D516</f>
        <v>0.05</v>
      </c>
      <c r="E978" s="1372" t="n">
        <f aca="false">IF('Ввод данных'!$A$369=связи1!$A$96,IF(дома!E977&lt;связи1!$E$558,0,дома!E977-$E$881),0)+IF(дома!E977=0,0,IF('Ввод данных'!$A$369=связи1!$A$95,IF(дома!E977&lt;0,0,дома!E977-$E$881),0))+IF('Ввод данных'!$A$369=связи1!$A$98,IF(дома!E977&lt;связи1!$E$558,0,дома!E977-$E$881),0)</f>
        <v>0</v>
      </c>
      <c r="F978" s="1372" t="n">
        <f aca="false">2*VLOOKUP('Ввод данных'!$F$416,связи1!$A$2:$B$3,2,0)</f>
        <v>0</v>
      </c>
      <c r="G978" s="933" t="n">
        <f aca="false">C978*D978*E978*F978</f>
        <v>0</v>
      </c>
      <c r="H978" s="933"/>
      <c r="I978" s="933"/>
      <c r="J978" s="933"/>
      <c r="K978" s="933"/>
      <c r="L978" s="933"/>
      <c r="M978" s="933"/>
      <c r="N978" s="933"/>
      <c r="O978" s="933"/>
      <c r="P978" s="1290"/>
      <c r="Q978" s="1290"/>
      <c r="R978" s="1290"/>
      <c r="S978" s="933"/>
      <c r="T978" s="933"/>
      <c r="U978" s="1329"/>
      <c r="V978" s="933"/>
      <c r="W978" s="933"/>
      <c r="X978" s="933"/>
      <c r="Y978" s="1290"/>
      <c r="Z978" s="1290"/>
      <c r="AA978" s="933"/>
      <c r="AB978" s="933"/>
      <c r="AC978" s="933"/>
      <c r="AD978" s="933"/>
    </row>
    <row r="979" customFormat="false" ht="15.75" hidden="false" customHeight="true" outlineLevel="1" collapsed="false">
      <c r="A979" s="1372" t="s">
        <v>3359</v>
      </c>
      <c r="B979" s="887" t="str">
        <f aca="false">B517</f>
        <v>м.п.</v>
      </c>
      <c r="C979" s="1372" t="n">
        <f aca="false">C517</f>
        <v>0.4</v>
      </c>
      <c r="D979" s="1372" t="n">
        <f aca="false">D517</f>
        <v>0.05</v>
      </c>
      <c r="E979" s="1372" t="n">
        <f aca="false">IF('Ввод данных'!$A$369=связи1!$A$96,IF(дома!E978&lt;связи1!$E$558,0,дома!E978-$E$881),0)+IF(дома!E978=0,0,IF('Ввод данных'!$A$369=связи1!$A$95,IF(дома!E978&lt;0,0,дома!E978-$E$881),0))+IF('Ввод данных'!$A$369=связи1!$A$98,IF(дома!E978&lt;связи1!$E$558,0,дома!E978-$E$881),0)</f>
        <v>0</v>
      </c>
      <c r="F979" s="1372" t="n">
        <f aca="false">2*VLOOKUP('Ввод данных'!$F$416,связи1!$A$2:$B$3,2,0)</f>
        <v>0</v>
      </c>
      <c r="G979" s="933" t="n">
        <f aca="false">C979*D979*E979*F979</f>
        <v>0</v>
      </c>
      <c r="H979" s="933"/>
      <c r="I979" s="933"/>
      <c r="J979" s="933"/>
      <c r="K979" s="933"/>
      <c r="L979" s="933"/>
      <c r="M979" s="933"/>
      <c r="N979" s="933"/>
      <c r="O979" s="933"/>
      <c r="P979" s="1290"/>
      <c r="Q979" s="1290"/>
      <c r="R979" s="1290"/>
      <c r="S979" s="933"/>
      <c r="T979" s="933"/>
      <c r="U979" s="1329"/>
      <c r="V979" s="933"/>
      <c r="W979" s="933"/>
      <c r="X979" s="933"/>
      <c r="Y979" s="1290"/>
      <c r="Z979" s="1290"/>
      <c r="AA979" s="933"/>
      <c r="AB979" s="933"/>
      <c r="AC979" s="933"/>
      <c r="AD979" s="933"/>
    </row>
    <row r="980" customFormat="false" ht="15.75" hidden="false" customHeight="true" outlineLevel="1" collapsed="false">
      <c r="A980" s="1372" t="s">
        <v>3360</v>
      </c>
      <c r="B980" s="887" t="str">
        <f aca="false">B518</f>
        <v>м.п.</v>
      </c>
      <c r="C980" s="1372" t="n">
        <f aca="false">C518</f>
        <v>0.4</v>
      </c>
      <c r="D980" s="1372" t="n">
        <f aca="false">D518</f>
        <v>0.05</v>
      </c>
      <c r="E980" s="1372" t="n">
        <f aca="false">IF('Ввод данных'!$A$369=связи1!$A$96,IF(дома!E979&lt;связи1!$E$558,0,дома!E979-$E$881),0)+IF(дома!E979=0,0,IF('Ввод данных'!$A$369=связи1!$A$95,IF(дома!E979&lt;0,0,дома!E979-$E$881),0))+IF('Ввод данных'!$A$369=связи1!$A$98,IF(дома!E979&lt;связи1!$E$558,0,дома!E979-$E$881),0)</f>
        <v>0</v>
      </c>
      <c r="F980" s="1372" t="n">
        <f aca="false">2*VLOOKUP('Ввод данных'!$F$416,связи1!$A$2:$B$3,2,0)</f>
        <v>0</v>
      </c>
      <c r="G980" s="933" t="n">
        <f aca="false">C980*D980*E980*F980</f>
        <v>0</v>
      </c>
      <c r="H980" s="933"/>
      <c r="I980" s="933"/>
      <c r="J980" s="933"/>
      <c r="K980" s="933"/>
      <c r="L980" s="933"/>
      <c r="M980" s="933"/>
      <c r="N980" s="933"/>
      <c r="O980" s="933"/>
      <c r="P980" s="1290"/>
      <c r="Q980" s="1290"/>
      <c r="R980" s="1290"/>
      <c r="S980" s="933"/>
      <c r="T980" s="933"/>
      <c r="U980" s="1329"/>
      <c r="V980" s="933"/>
      <c r="W980" s="933"/>
      <c r="X980" s="933"/>
      <c r="Y980" s="1290"/>
      <c r="Z980" s="1290"/>
      <c r="AA980" s="933"/>
      <c r="AB980" s="933"/>
      <c r="AC980" s="933"/>
      <c r="AD980" s="933"/>
    </row>
    <row r="981" customFormat="false" ht="15.75" hidden="false" customHeight="true" outlineLevel="1" collapsed="false">
      <c r="A981" s="1372" t="s">
        <v>3361</v>
      </c>
      <c r="B981" s="887" t="str">
        <f aca="false">B519</f>
        <v>м.п.</v>
      </c>
      <c r="C981" s="1372" t="n">
        <f aca="false">C519</f>
        <v>0.4</v>
      </c>
      <c r="D981" s="1372" t="n">
        <f aca="false">D519</f>
        <v>0.05</v>
      </c>
      <c r="E981" s="1372" t="n">
        <f aca="false">IF('Ввод данных'!$A$369=связи1!$A$96,IF(дома!E980&lt;связи1!$E$558,0,дома!E980-$E$881),0)+IF(дома!E980=0,0,IF('Ввод данных'!$A$369=связи1!$A$95,IF(дома!E980&lt;0,0,дома!E980-$E$881),0))+IF('Ввод данных'!$A$369=связи1!$A$98,IF(дома!E980&lt;связи1!$E$558,0,дома!E980-$E$881),0)</f>
        <v>0</v>
      </c>
      <c r="F981" s="1372" t="n">
        <f aca="false">2*VLOOKUP('Ввод данных'!$F$416,связи1!$A$2:$B$3,2,0)</f>
        <v>0</v>
      </c>
      <c r="G981" s="933" t="n">
        <f aca="false">C981*D981*E981*F981</f>
        <v>0</v>
      </c>
      <c r="H981" s="933"/>
      <c r="I981" s="933"/>
      <c r="J981" s="933"/>
      <c r="K981" s="933"/>
      <c r="L981" s="933"/>
      <c r="M981" s="933"/>
      <c r="N981" s="933"/>
      <c r="O981" s="933"/>
      <c r="P981" s="1290"/>
      <c r="Q981" s="1290"/>
      <c r="R981" s="1290"/>
      <c r="S981" s="933"/>
      <c r="T981" s="933"/>
      <c r="U981" s="1329"/>
      <c r="V981" s="933"/>
      <c r="W981" s="933"/>
      <c r="X981" s="933"/>
      <c r="Y981" s="1290"/>
      <c r="Z981" s="1290"/>
      <c r="AA981" s="933"/>
      <c r="AB981" s="933"/>
      <c r="AC981" s="933"/>
      <c r="AD981" s="933"/>
    </row>
    <row r="982" customFormat="false" ht="15.75" hidden="false" customHeight="true" outlineLevel="1" collapsed="false">
      <c r="A982" s="1372" t="s">
        <v>3362</v>
      </c>
      <c r="B982" s="887" t="str">
        <f aca="false">B520</f>
        <v>м.п.</v>
      </c>
      <c r="C982" s="1372" t="n">
        <f aca="false">C520</f>
        <v>0.4</v>
      </c>
      <c r="D982" s="1372" t="n">
        <f aca="false">D520</f>
        <v>0.05</v>
      </c>
      <c r="E982" s="1372" t="n">
        <f aca="false">IF('Ввод данных'!$A$369=связи1!$A$96,IF(дома!E981&lt;связи1!$E$558,0,дома!E981-$E$881),0)+IF(дома!E981=0,0,IF('Ввод данных'!$A$369=связи1!$A$95,IF(дома!E981&lt;0,0,дома!E981-$E$881),0))+IF('Ввод данных'!$A$369=связи1!$A$98,IF(дома!E981&lt;связи1!$E$558,0,дома!E981-$E$881),0)</f>
        <v>0</v>
      </c>
      <c r="F982" s="1372" t="n">
        <f aca="false">2*VLOOKUP('Ввод данных'!$F$416,связи1!$A$2:$B$3,2,0)</f>
        <v>0</v>
      </c>
      <c r="G982" s="933" t="n">
        <f aca="false">C982*D982*E982*F982</f>
        <v>0</v>
      </c>
      <c r="H982" s="933"/>
      <c r="I982" s="933"/>
      <c r="J982" s="933"/>
      <c r="K982" s="933"/>
      <c r="L982" s="933"/>
      <c r="M982" s="933"/>
      <c r="N982" s="933"/>
      <c r="O982" s="933"/>
      <c r="P982" s="1290"/>
      <c r="Q982" s="1290"/>
      <c r="R982" s="1290"/>
      <c r="S982" s="933"/>
      <c r="T982" s="933"/>
      <c r="U982" s="1329"/>
      <c r="V982" s="933"/>
      <c r="W982" s="933"/>
      <c r="X982" s="933"/>
      <c r="Y982" s="1290"/>
      <c r="Z982" s="1290"/>
      <c r="AA982" s="933"/>
      <c r="AB982" s="933"/>
      <c r="AC982" s="933"/>
      <c r="AD982" s="933"/>
    </row>
    <row r="983" customFormat="false" ht="15.75" hidden="false" customHeight="true" outlineLevel="1" collapsed="false">
      <c r="A983" s="1372" t="s">
        <v>3363</v>
      </c>
      <c r="B983" s="887" t="str">
        <f aca="false">B521</f>
        <v>м.п.</v>
      </c>
      <c r="C983" s="1372" t="n">
        <f aca="false">C521</f>
        <v>0.4</v>
      </c>
      <c r="D983" s="1372" t="n">
        <f aca="false">D521</f>
        <v>0.05</v>
      </c>
      <c r="E983" s="1372" t="n">
        <f aca="false">IF('Ввод данных'!$A$369=связи1!$A$96,IF(дома!E982&lt;связи1!$E$558,0,дома!E982-$E$881),0)+IF(дома!E982=0,0,IF('Ввод данных'!$A$369=связи1!$A$95,IF(дома!E982&lt;0,0,дома!E982-$E$881),0))+IF('Ввод данных'!$A$369=связи1!$A$98,IF(дома!E982&lt;связи1!$E$558,0,дома!E982-$E$881),0)</f>
        <v>0</v>
      </c>
      <c r="F983" s="1372" t="n">
        <f aca="false">2*VLOOKUP('Ввод данных'!$F$416,связи1!$A$2:$B$3,2,0)</f>
        <v>0</v>
      </c>
      <c r="G983" s="933" t="n">
        <f aca="false">C983*D983*E983*F983</f>
        <v>0</v>
      </c>
      <c r="H983" s="933"/>
      <c r="I983" s="933"/>
      <c r="J983" s="933"/>
      <c r="K983" s="933"/>
      <c r="L983" s="933"/>
      <c r="M983" s="933"/>
      <c r="N983" s="933"/>
      <c r="O983" s="933"/>
      <c r="P983" s="1290"/>
      <c r="Q983" s="1290"/>
      <c r="R983" s="1290"/>
      <c r="S983" s="933"/>
      <c r="T983" s="933"/>
      <c r="U983" s="1329"/>
      <c r="V983" s="933"/>
      <c r="W983" s="933"/>
      <c r="X983" s="933"/>
      <c r="Y983" s="1290"/>
      <c r="Z983" s="1290"/>
      <c r="AA983" s="933"/>
      <c r="AB983" s="933"/>
      <c r="AC983" s="933"/>
      <c r="AD983" s="933"/>
    </row>
    <row r="984" customFormat="false" ht="15.75" hidden="false" customHeight="true" outlineLevel="1" collapsed="false">
      <c r="A984" s="1372" t="s">
        <v>3364</v>
      </c>
      <c r="B984" s="887" t="str">
        <f aca="false">B522</f>
        <v>м.п.</v>
      </c>
      <c r="C984" s="1372" t="n">
        <f aca="false">C522</f>
        <v>0.4</v>
      </c>
      <c r="D984" s="1372" t="n">
        <f aca="false">D522</f>
        <v>0.05</v>
      </c>
      <c r="E984" s="1372" t="n">
        <f aca="false">IF('Ввод данных'!$A$369=связи1!$A$96,IF(дома!E983&lt;связи1!$E$558,0,дома!E983-$E$881),0)+IF(дома!E983=0,0,IF('Ввод данных'!$A$369=связи1!$A$95,IF(дома!E983&lt;0,0,дома!E983-$E$881),0))+IF('Ввод данных'!$A$369=связи1!$A$98,IF(дома!E983&lt;связи1!$E$558,0,дома!E983-$E$881),0)</f>
        <v>0</v>
      </c>
      <c r="F984" s="1372" t="n">
        <f aca="false">2*VLOOKUP('Ввод данных'!$F$416,связи1!$A$2:$B$3,2,0)</f>
        <v>0</v>
      </c>
      <c r="G984" s="933" t="n">
        <f aca="false">C984*D984*E984*F984</f>
        <v>0</v>
      </c>
      <c r="H984" s="933"/>
      <c r="I984" s="933"/>
      <c r="J984" s="933"/>
      <c r="K984" s="933"/>
      <c r="L984" s="933"/>
      <c r="M984" s="933"/>
      <c r="N984" s="933"/>
      <c r="O984" s="933"/>
      <c r="P984" s="1290"/>
      <c r="Q984" s="1290"/>
      <c r="R984" s="1290"/>
      <c r="S984" s="933"/>
      <c r="T984" s="933"/>
      <c r="U984" s="1329"/>
      <c r="V984" s="933"/>
      <c r="W984" s="933"/>
      <c r="X984" s="933"/>
      <c r="Y984" s="1290"/>
      <c r="Z984" s="1290"/>
      <c r="AA984" s="933"/>
      <c r="AB984" s="933"/>
      <c r="AC984" s="933"/>
      <c r="AD984" s="933"/>
    </row>
    <row r="985" customFormat="false" ht="15.75" hidden="false" customHeight="true" outlineLevel="1" collapsed="false">
      <c r="A985" s="1372" t="s">
        <v>3365</v>
      </c>
      <c r="B985" s="887" t="str">
        <f aca="false">B523</f>
        <v>м.п.</v>
      </c>
      <c r="C985" s="1372" t="n">
        <f aca="false">C523</f>
        <v>0.4</v>
      </c>
      <c r="D985" s="1372" t="n">
        <f aca="false">D523</f>
        <v>0.05</v>
      </c>
      <c r="E985" s="1372" t="n">
        <f aca="false">IF('Ввод данных'!$A$369=связи1!$A$96,IF(дома!E984&lt;связи1!$E$558,0,дома!E984-$E$881),0)+IF(дома!E984=0,0,IF('Ввод данных'!$A$369=связи1!$A$95,IF(дома!E984&lt;0,0,дома!E984-$E$881),0))+IF('Ввод данных'!$A$369=связи1!$A$98,IF(дома!E984&lt;связи1!$E$558,0,дома!E984-$E$881),0)</f>
        <v>0</v>
      </c>
      <c r="F985" s="1372" t="n">
        <f aca="false">2*VLOOKUP('Ввод данных'!$F$416,связи1!$A$2:$B$3,2,0)</f>
        <v>0</v>
      </c>
      <c r="G985" s="933" t="n">
        <f aca="false">C985*D985*E985*F985</f>
        <v>0</v>
      </c>
      <c r="H985" s="933"/>
      <c r="I985" s="933"/>
      <c r="J985" s="933"/>
      <c r="K985" s="933"/>
      <c r="L985" s="933"/>
      <c r="M985" s="933"/>
      <c r="N985" s="933"/>
      <c r="O985" s="933"/>
      <c r="P985" s="1290"/>
      <c r="Q985" s="1290"/>
      <c r="R985" s="1290"/>
      <c r="S985" s="933"/>
      <c r="T985" s="933"/>
      <c r="U985" s="1329"/>
      <c r="V985" s="933"/>
      <c r="W985" s="933"/>
      <c r="X985" s="933"/>
      <c r="Y985" s="1290"/>
      <c r="Z985" s="1290"/>
      <c r="AA985" s="933"/>
      <c r="AB985" s="933"/>
      <c r="AC985" s="933"/>
      <c r="AD985" s="933"/>
    </row>
    <row r="986" customFormat="false" ht="15.75" hidden="false" customHeight="true" outlineLevel="1" collapsed="false">
      <c r="A986" s="1372" t="s">
        <v>3366</v>
      </c>
      <c r="B986" s="887" t="str">
        <f aca="false">B524</f>
        <v>м.п.</v>
      </c>
      <c r="C986" s="1372" t="n">
        <f aca="false">C524</f>
        <v>0.4</v>
      </c>
      <c r="D986" s="1372" t="n">
        <f aca="false">D524</f>
        <v>0.05</v>
      </c>
      <c r="E986" s="1372" t="n">
        <f aca="false">IF('Ввод данных'!$A$369=связи1!$A$96,IF(дома!E985&lt;связи1!$E$558,0,дома!E985-$E$881),0)+IF(дома!E985=0,0,IF('Ввод данных'!$A$369=связи1!$A$95,IF(дома!E985&lt;0,0,дома!E985-$E$881),0))+IF('Ввод данных'!$A$369=связи1!$A$98,IF(дома!E985&lt;связи1!$E$558,0,дома!E985-$E$881),0)</f>
        <v>0</v>
      </c>
      <c r="F986" s="1372" t="n">
        <f aca="false">2*VLOOKUP('Ввод данных'!$F$416,связи1!$A$2:$B$3,2,0)</f>
        <v>0</v>
      </c>
      <c r="G986" s="933" t="n">
        <f aca="false">C986*D986*E986*F986</f>
        <v>0</v>
      </c>
      <c r="H986" s="933"/>
      <c r="I986" s="933"/>
      <c r="J986" s="933"/>
      <c r="K986" s="933"/>
      <c r="L986" s="933"/>
      <c r="M986" s="933"/>
      <c r="N986" s="933"/>
      <c r="O986" s="933"/>
      <c r="P986" s="1290"/>
      <c r="Q986" s="1290"/>
      <c r="R986" s="1290"/>
      <c r="S986" s="933"/>
      <c r="T986" s="933"/>
      <c r="U986" s="1329"/>
      <c r="V986" s="933"/>
      <c r="W986" s="933"/>
      <c r="X986" s="933"/>
      <c r="Y986" s="1290"/>
      <c r="Z986" s="1290"/>
      <c r="AA986" s="933"/>
      <c r="AB986" s="933"/>
      <c r="AC986" s="933"/>
      <c r="AD986" s="933"/>
    </row>
    <row r="987" customFormat="false" ht="15.75" hidden="false" customHeight="true" outlineLevel="1" collapsed="false">
      <c r="A987" s="1372" t="s">
        <v>3367</v>
      </c>
      <c r="B987" s="887" t="str">
        <f aca="false">B525</f>
        <v>м.п.</v>
      </c>
      <c r="C987" s="1372" t="n">
        <f aca="false">C525</f>
        <v>0.4</v>
      </c>
      <c r="D987" s="1372" t="n">
        <f aca="false">D525</f>
        <v>0.05</v>
      </c>
      <c r="E987" s="1372" t="n">
        <f aca="false">IF('Ввод данных'!$A$369=связи1!$A$96,IF(дома!E986&lt;связи1!$E$558,0,дома!E986-$E$881),0)+IF(дома!E986=0,0,IF('Ввод данных'!$A$369=связи1!$A$95,IF(дома!E986&lt;0,0,дома!E986-$E$881),0))+IF('Ввод данных'!$A$369=связи1!$A$98,IF(дома!E986&lt;связи1!$E$558,0,дома!E986-$E$881),0)</f>
        <v>0</v>
      </c>
      <c r="F987" s="1372" t="n">
        <f aca="false">2*VLOOKUP('Ввод данных'!$F$416,связи1!$A$2:$B$3,2,0)</f>
        <v>0</v>
      </c>
      <c r="G987" s="933" t="n">
        <f aca="false">C987*D987*E987*F987</f>
        <v>0</v>
      </c>
      <c r="H987" s="933"/>
      <c r="I987" s="933"/>
      <c r="J987" s="933"/>
      <c r="K987" s="933"/>
      <c r="L987" s="933"/>
      <c r="M987" s="933"/>
      <c r="N987" s="933"/>
      <c r="O987" s="933"/>
      <c r="P987" s="1290"/>
      <c r="Q987" s="1290"/>
      <c r="R987" s="1290"/>
      <c r="S987" s="933"/>
      <c r="T987" s="933"/>
      <c r="U987" s="1329"/>
      <c r="V987" s="933"/>
      <c r="W987" s="933"/>
      <c r="X987" s="933"/>
      <c r="Y987" s="1290"/>
      <c r="Z987" s="1290"/>
      <c r="AA987" s="933"/>
      <c r="AB987" s="933"/>
      <c r="AC987" s="933"/>
      <c r="AD987" s="933"/>
    </row>
    <row r="988" customFormat="false" ht="15.75" hidden="false" customHeight="true" outlineLevel="1" collapsed="false">
      <c r="A988" s="1372" t="s">
        <v>3368</v>
      </c>
      <c r="B988" s="887" t="str">
        <f aca="false">B526</f>
        <v>м.п.</v>
      </c>
      <c r="C988" s="1372" t="n">
        <f aca="false">C526</f>
        <v>0.4</v>
      </c>
      <c r="D988" s="1372" t="n">
        <f aca="false">D526</f>
        <v>0.05</v>
      </c>
      <c r="E988" s="1372" t="n">
        <f aca="false">IF('Ввод данных'!$A$369=связи1!$A$96,IF(дома!E987&lt;связи1!$E$558,0,дома!E987-$E$881),0)+IF(дома!E987=0,0,IF('Ввод данных'!$A$369=связи1!$A$95,IF(дома!E987&lt;0,0,дома!E987-$E$881),0))+IF('Ввод данных'!$A$369=связи1!$A$98,IF(дома!E987&lt;связи1!$E$558,0,дома!E987-$E$881),0)</f>
        <v>0</v>
      </c>
      <c r="F988" s="1372" t="n">
        <f aca="false">2*VLOOKUP('Ввод данных'!$F$416,связи1!$A$2:$B$3,2,0)</f>
        <v>0</v>
      </c>
      <c r="G988" s="933" t="n">
        <f aca="false">C988*D988*E988*F988</f>
        <v>0</v>
      </c>
      <c r="H988" s="933"/>
      <c r="I988" s="933"/>
      <c r="J988" s="933"/>
      <c r="K988" s="933"/>
      <c r="L988" s="933"/>
      <c r="M988" s="933"/>
      <c r="N988" s="933"/>
      <c r="O988" s="933"/>
      <c r="P988" s="1290"/>
      <c r="Q988" s="1290"/>
      <c r="R988" s="1290"/>
      <c r="S988" s="933"/>
      <c r="T988" s="933"/>
      <c r="U988" s="1329"/>
      <c r="V988" s="933"/>
      <c r="W988" s="933"/>
      <c r="X988" s="933"/>
      <c r="Y988" s="1290"/>
      <c r="Z988" s="1290"/>
      <c r="AA988" s="933"/>
      <c r="AB988" s="933"/>
      <c r="AC988" s="933"/>
      <c r="AD988" s="933"/>
    </row>
    <row r="989" customFormat="false" ht="15.75" hidden="false" customHeight="true" outlineLevel="1" collapsed="false">
      <c r="A989" s="1372" t="s">
        <v>3369</v>
      </c>
      <c r="B989" s="887" t="str">
        <f aca="false">B527</f>
        <v>м.п.</v>
      </c>
      <c r="C989" s="1372" t="n">
        <f aca="false">C527</f>
        <v>0.4</v>
      </c>
      <c r="D989" s="1372" t="n">
        <f aca="false">D527</f>
        <v>0.05</v>
      </c>
      <c r="E989" s="1372" t="n">
        <f aca="false">IF('Ввод данных'!$A$369=связи1!$A$96,IF(дома!E988&lt;связи1!$E$558,0,дома!E988-$E$881),0)+IF(дома!E988=0,0,IF('Ввод данных'!$A$369=связи1!$A$95,IF(дома!E988&lt;0,0,дома!E988-$E$881),0))+IF('Ввод данных'!$A$369=связи1!$A$98,IF(дома!E988&lt;связи1!$E$558,0,дома!E988-$E$881),0)</f>
        <v>0</v>
      </c>
      <c r="F989" s="1372" t="n">
        <f aca="false">2*VLOOKUP('Ввод данных'!$F$416,связи1!$A$2:$B$3,2,0)</f>
        <v>0</v>
      </c>
      <c r="G989" s="933" t="n">
        <f aca="false">C989*D989*E989*F989</f>
        <v>0</v>
      </c>
      <c r="H989" s="933"/>
      <c r="I989" s="933"/>
      <c r="J989" s="933"/>
      <c r="K989" s="933"/>
      <c r="L989" s="933"/>
      <c r="M989" s="933"/>
      <c r="N989" s="933"/>
      <c r="O989" s="933"/>
      <c r="P989" s="1290"/>
      <c r="Q989" s="1290"/>
      <c r="R989" s="1290"/>
      <c r="S989" s="933"/>
      <c r="T989" s="933"/>
      <c r="U989" s="1329"/>
      <c r="V989" s="933"/>
      <c r="W989" s="933"/>
      <c r="X989" s="933"/>
      <c r="Y989" s="1290"/>
      <c r="Z989" s="1290"/>
      <c r="AA989" s="933"/>
      <c r="AB989" s="933"/>
      <c r="AC989" s="933"/>
      <c r="AD989" s="933"/>
    </row>
    <row r="990" customFormat="false" ht="15.75" hidden="false" customHeight="true" outlineLevel="1" collapsed="false">
      <c r="A990" s="1372" t="s">
        <v>3370</v>
      </c>
      <c r="B990" s="887" t="str">
        <f aca="false">B528</f>
        <v>м.п.</v>
      </c>
      <c r="C990" s="1372" t="n">
        <f aca="false">C528</f>
        <v>0.4</v>
      </c>
      <c r="D990" s="1372" t="n">
        <f aca="false">D528</f>
        <v>0.05</v>
      </c>
      <c r="E990" s="1372" t="n">
        <f aca="false">IF('Ввод данных'!$A$369=связи1!$A$96,IF(дома!E989&lt;связи1!$E$558,0,дома!E989-$E$881),0)+IF(дома!E989=0,0,IF('Ввод данных'!$A$369=связи1!$A$95,IF(дома!E989&lt;0,0,дома!E989-$E$881),0))+IF('Ввод данных'!$A$369=связи1!$A$98,IF(дома!E989&lt;связи1!$E$558,0,дома!E989-$E$881),0)</f>
        <v>0</v>
      </c>
      <c r="F990" s="1372" t="n">
        <f aca="false">2*VLOOKUP('Ввод данных'!$F$416,связи1!$A$2:$B$3,2,0)</f>
        <v>0</v>
      </c>
      <c r="G990" s="933" t="n">
        <f aca="false">C990*D990*E990*F990</f>
        <v>0</v>
      </c>
      <c r="H990" s="933"/>
      <c r="I990" s="933"/>
      <c r="J990" s="933"/>
      <c r="K990" s="933"/>
      <c r="L990" s="933"/>
      <c r="M990" s="933"/>
      <c r="N990" s="933"/>
      <c r="O990" s="933"/>
      <c r="P990" s="1290"/>
      <c r="Q990" s="1290"/>
      <c r="R990" s="1290"/>
      <c r="S990" s="933"/>
      <c r="T990" s="933"/>
      <c r="U990" s="1329"/>
      <c r="V990" s="933"/>
      <c r="W990" s="933"/>
      <c r="X990" s="933"/>
      <c r="Y990" s="1290"/>
      <c r="Z990" s="1290"/>
      <c r="AA990" s="933"/>
      <c r="AB990" s="933"/>
      <c r="AC990" s="933"/>
      <c r="AD990" s="933"/>
    </row>
    <row r="991" customFormat="false" ht="15.75" hidden="false" customHeight="true" outlineLevel="1" collapsed="false">
      <c r="A991" s="1372" t="s">
        <v>3371</v>
      </c>
      <c r="B991" s="887" t="str">
        <f aca="false">B529</f>
        <v>м.п.</v>
      </c>
      <c r="C991" s="1372" t="n">
        <f aca="false">C529</f>
        <v>0.4</v>
      </c>
      <c r="D991" s="1372" t="n">
        <f aca="false">D529</f>
        <v>0.05</v>
      </c>
      <c r="E991" s="1372" t="n">
        <f aca="false">IF('Ввод данных'!$A$369=связи1!$A$96,IF(дома!E990&lt;связи1!$E$558,0,дома!E990-$E$881),0)+IF(дома!E990=0,0,IF('Ввод данных'!$A$369=связи1!$A$95,IF(дома!E990&lt;0,0,дома!E990-$E$881),0))+IF('Ввод данных'!$A$369=связи1!$A$98,IF(дома!E990&lt;связи1!$E$558,0,дома!E990-$E$881),0)</f>
        <v>0</v>
      </c>
      <c r="F991" s="1372" t="n">
        <f aca="false">2*VLOOKUP('Ввод данных'!$F$416,связи1!$A$2:$B$3,2,0)</f>
        <v>0</v>
      </c>
      <c r="G991" s="933" t="n">
        <f aca="false">C991*D991*E991*F991</f>
        <v>0</v>
      </c>
      <c r="H991" s="933"/>
      <c r="I991" s="933"/>
      <c r="J991" s="933"/>
      <c r="K991" s="933"/>
      <c r="L991" s="933"/>
      <c r="M991" s="933"/>
      <c r="N991" s="933"/>
      <c r="O991" s="933"/>
      <c r="P991" s="1290"/>
      <c r="Q991" s="1290"/>
      <c r="R991" s="1290"/>
      <c r="S991" s="933"/>
      <c r="T991" s="933"/>
      <c r="U991" s="1329"/>
      <c r="V991" s="933"/>
      <c r="W991" s="933"/>
      <c r="X991" s="933"/>
      <c r="Y991" s="1290"/>
      <c r="Z991" s="1290"/>
      <c r="AA991" s="933"/>
      <c r="AB991" s="933"/>
      <c r="AC991" s="933"/>
      <c r="AD991" s="933"/>
    </row>
    <row r="992" customFormat="false" ht="15.75" hidden="false" customHeight="true" outlineLevel="1" collapsed="false">
      <c r="A992" s="1372" t="s">
        <v>3372</v>
      </c>
      <c r="B992" s="887" t="str">
        <f aca="false">B530</f>
        <v>м.п.</v>
      </c>
      <c r="C992" s="1372" t="n">
        <f aca="false">C530</f>
        <v>0.4</v>
      </c>
      <c r="D992" s="1372" t="n">
        <f aca="false">D530</f>
        <v>0.05</v>
      </c>
      <c r="E992" s="1372" t="n">
        <f aca="false">IF('Ввод данных'!$A$369=связи1!$A$96,IF(дома!E991&lt;связи1!$E$558,0,дома!E991-$E$881),0)+IF(дома!E991=0,0,IF('Ввод данных'!$A$369=связи1!$A$95,IF(дома!E991&lt;0,0,дома!E991-$E$881),0))+IF('Ввод данных'!$A$369=связи1!$A$98,IF(дома!E991&lt;связи1!$E$558,0,дома!E991-$E$881),0)</f>
        <v>0</v>
      </c>
      <c r="F992" s="1372" t="n">
        <f aca="false">2*VLOOKUP('Ввод данных'!$F$416,связи1!$A$2:$B$3,2,0)</f>
        <v>0</v>
      </c>
      <c r="G992" s="933" t="n">
        <f aca="false">C992*D992*E992*F992</f>
        <v>0</v>
      </c>
      <c r="H992" s="933"/>
      <c r="I992" s="933"/>
      <c r="J992" s="933"/>
      <c r="K992" s="933"/>
      <c r="L992" s="933"/>
      <c r="M992" s="933"/>
      <c r="N992" s="933"/>
      <c r="O992" s="933"/>
      <c r="P992" s="1290"/>
      <c r="Q992" s="1290"/>
      <c r="R992" s="1290"/>
      <c r="S992" s="933"/>
      <c r="T992" s="933"/>
      <c r="U992" s="1329"/>
      <c r="V992" s="933"/>
      <c r="W992" s="933"/>
      <c r="X992" s="933"/>
      <c r="Y992" s="1290"/>
      <c r="Z992" s="1290"/>
      <c r="AA992" s="933"/>
      <c r="AB992" s="933"/>
      <c r="AC992" s="933"/>
      <c r="AD992" s="933"/>
    </row>
    <row r="993" customFormat="false" ht="15.75" hidden="false" customHeight="true" outlineLevel="1" collapsed="false">
      <c r="A993" s="1372" t="s">
        <v>3373</v>
      </c>
      <c r="B993" s="887" t="str">
        <f aca="false">B531</f>
        <v>м.п.</v>
      </c>
      <c r="C993" s="1372" t="n">
        <f aca="false">C531</f>
        <v>0.4</v>
      </c>
      <c r="D993" s="1372" t="n">
        <f aca="false">D531</f>
        <v>0.05</v>
      </c>
      <c r="E993" s="1372" t="n">
        <f aca="false">IF('Ввод данных'!A368=связи1!A107,IF('Ввод данных'!A369=связи1!A94,0,0)+IF('Ввод данных'!A369=связи1!A95,связи1!E557-связи1!E556,0)+IF('Ввод данных'!A369=связи1!A96,связи1!E557,0)+IF('Ввод данных'!A369=связи1!A97,0,0)+IF('Ввод данных'!A369=связи1!A98,связи1!E557,0),0)</f>
        <v>2.9</v>
      </c>
      <c r="F993" s="1372" t="n">
        <f aca="false">2*VLOOKUP('Ввод данных'!$F$416,связи1!$A$2:$B$3,2,0)</f>
        <v>0</v>
      </c>
      <c r="G993" s="933" t="n">
        <f aca="false">C993*D993*E993*F993</f>
        <v>0</v>
      </c>
      <c r="H993" s="933"/>
      <c r="I993" s="933"/>
      <c r="J993" s="933"/>
      <c r="K993" s="933"/>
      <c r="L993" s="933"/>
      <c r="M993" s="933"/>
      <c r="N993" s="933"/>
      <c r="O993" s="933"/>
      <c r="P993" s="1290"/>
      <c r="Q993" s="1290"/>
      <c r="R993" s="1290"/>
      <c r="S993" s="933"/>
      <c r="T993" s="933"/>
      <c r="U993" s="1329"/>
      <c r="V993" s="933"/>
      <c r="W993" s="933"/>
      <c r="X993" s="933"/>
      <c r="Y993" s="1290"/>
      <c r="Z993" s="1290"/>
      <c r="AA993" s="933"/>
      <c r="AB993" s="933"/>
      <c r="AC993" s="933"/>
      <c r="AD993" s="933"/>
    </row>
    <row r="994" customFormat="false" ht="15.75" hidden="false" customHeight="true" outlineLevel="1" collapsed="false">
      <c r="A994" s="1372" t="s">
        <v>3374</v>
      </c>
      <c r="B994" s="887" t="str">
        <f aca="false">B532</f>
        <v>м.п.</v>
      </c>
      <c r="C994" s="1372" t="n">
        <f aca="false">C532</f>
        <v>0.4</v>
      </c>
      <c r="D994" s="1372" t="n">
        <f aca="false">D532</f>
        <v>0.05</v>
      </c>
      <c r="E994" s="1372" t="n">
        <f aca="false">IF('Ввод данных'!$A$369=связи1!$A$96,IF(дома!E993&lt;связи1!$E$558,0,дома!E993-$E$881),0)+IF(дома!E993=0,0,IF('Ввод данных'!$A$369=связи1!$A$95,IF(дома!E993&lt;0,0,дома!E993-$E$881),0))+IF('Ввод данных'!$A$369=связи1!$A$98,IF(дома!E993&lt;связи1!$E$558,0,дома!E993-$E$881),0)</f>
        <v>2.9</v>
      </c>
      <c r="F994" s="1372" t="n">
        <f aca="false">2*VLOOKUP('Ввод данных'!$F$416,связи1!$A$2:$B$3,2,0)</f>
        <v>0</v>
      </c>
      <c r="G994" s="933" t="n">
        <f aca="false">C994*D994*E994*F994</f>
        <v>0</v>
      </c>
      <c r="H994" s="933"/>
      <c r="I994" s="933"/>
      <c r="J994" s="933"/>
      <c r="K994" s="933"/>
      <c r="L994" s="933"/>
      <c r="M994" s="933"/>
      <c r="N994" s="933"/>
      <c r="O994" s="933"/>
      <c r="P994" s="1290"/>
      <c r="Q994" s="1290"/>
      <c r="R994" s="1290"/>
      <c r="S994" s="933"/>
      <c r="T994" s="933"/>
      <c r="U994" s="1329"/>
      <c r="V994" s="933"/>
      <c r="W994" s="933"/>
      <c r="X994" s="933"/>
      <c r="Y994" s="1290"/>
      <c r="Z994" s="1290"/>
      <c r="AA994" s="933"/>
      <c r="AB994" s="933"/>
      <c r="AC994" s="933"/>
      <c r="AD994" s="933"/>
    </row>
    <row r="995" customFormat="false" ht="15.75" hidden="false" customHeight="true" outlineLevel="1" collapsed="false">
      <c r="A995" s="1372" t="s">
        <v>3375</v>
      </c>
      <c r="B995" s="887" t="str">
        <f aca="false">B533</f>
        <v>м.п.</v>
      </c>
      <c r="C995" s="1372" t="n">
        <f aca="false">C533</f>
        <v>0.4</v>
      </c>
      <c r="D995" s="1372" t="n">
        <f aca="false">D533</f>
        <v>0.05</v>
      </c>
      <c r="E995" s="1372" t="n">
        <f aca="false">IF('Ввод данных'!$A$369=связи1!$A$96,IF(дома!E994&lt;связи1!$E$558,0,дома!E994-$E$881),0)+IF(дома!E994=0,0,IF('Ввод данных'!$A$369=связи1!$A$95,IF(дома!E994&lt;0,0,дома!E994-$E$881),0))+IF('Ввод данных'!$A$369=связи1!$A$98,IF(дома!E994&lt;связи1!$E$558,0,дома!E994-$E$881),0)</f>
        <v>2.9</v>
      </c>
      <c r="F995" s="1372" t="n">
        <f aca="false">2*VLOOKUP('Ввод данных'!$F$416,связи1!$A$2:$B$3,2,0)</f>
        <v>0</v>
      </c>
      <c r="G995" s="933" t="n">
        <f aca="false">C995*D995*E995*F995</f>
        <v>0</v>
      </c>
      <c r="H995" s="933"/>
      <c r="I995" s="933"/>
      <c r="J995" s="933"/>
      <c r="K995" s="933"/>
      <c r="L995" s="933"/>
      <c r="M995" s="933"/>
      <c r="N995" s="933"/>
      <c r="O995" s="933"/>
      <c r="P995" s="1290"/>
      <c r="Q995" s="1290"/>
      <c r="R995" s="1290"/>
      <c r="S995" s="933"/>
      <c r="T995" s="933"/>
      <c r="U995" s="1329"/>
      <c r="V995" s="933"/>
      <c r="W995" s="933"/>
      <c r="X995" s="933"/>
      <c r="Y995" s="1290"/>
      <c r="Z995" s="1290"/>
      <c r="AA995" s="933"/>
      <c r="AB995" s="933"/>
      <c r="AC995" s="933"/>
      <c r="AD995" s="933"/>
    </row>
    <row r="996" customFormat="false" ht="15.75" hidden="false" customHeight="true" outlineLevel="1" collapsed="false">
      <c r="A996" s="1372" t="s">
        <v>3376</v>
      </c>
      <c r="B996" s="887" t="str">
        <f aca="false">B534</f>
        <v>м.п.</v>
      </c>
      <c r="C996" s="1372" t="n">
        <f aca="false">C534</f>
        <v>0.4</v>
      </c>
      <c r="D996" s="1372" t="n">
        <f aca="false">D534</f>
        <v>0.05</v>
      </c>
      <c r="E996" s="1372" t="n">
        <f aca="false">IF('Ввод данных'!$A$369=связи1!$A$96,IF(дома!E995&lt;связи1!$E$558,0,дома!E995-$E$881),0)+IF(дома!E995=0,0,IF('Ввод данных'!$A$369=связи1!$A$95,IF(дома!E995&lt;0,0,дома!E995-$E$881),0))+IF('Ввод данных'!$A$369=связи1!$A$98,IF(дома!E995&lt;связи1!$E$558,0,дома!E995-$E$881),0)</f>
        <v>2.9</v>
      </c>
      <c r="F996" s="1372" t="n">
        <f aca="false">2*VLOOKUP('Ввод данных'!$F$416,связи1!$A$2:$B$3,2,0)</f>
        <v>0</v>
      </c>
      <c r="G996" s="933" t="n">
        <f aca="false">C996*D996*E996*F996</f>
        <v>0</v>
      </c>
      <c r="H996" s="933"/>
      <c r="I996" s="933"/>
      <c r="J996" s="933"/>
      <c r="K996" s="933"/>
      <c r="L996" s="933"/>
      <c r="M996" s="933"/>
      <c r="N996" s="933"/>
      <c r="O996" s="933"/>
      <c r="P996" s="1290"/>
      <c r="Q996" s="1290"/>
      <c r="R996" s="1290"/>
      <c r="S996" s="933"/>
      <c r="T996" s="933"/>
      <c r="U996" s="1329"/>
      <c r="V996" s="933"/>
      <c r="W996" s="933"/>
      <c r="X996" s="933"/>
      <c r="Y996" s="1290"/>
      <c r="Z996" s="1290"/>
      <c r="AA996" s="933"/>
      <c r="AB996" s="933"/>
      <c r="AC996" s="933"/>
      <c r="AD996" s="933"/>
    </row>
    <row r="997" customFormat="false" ht="15.75" hidden="false" customHeight="true" outlineLevel="1" collapsed="false">
      <c r="A997" s="1372" t="s">
        <v>3377</v>
      </c>
      <c r="B997" s="887" t="str">
        <f aca="false">B535</f>
        <v>м.п.</v>
      </c>
      <c r="C997" s="1372" t="n">
        <f aca="false">C535</f>
        <v>0.4</v>
      </c>
      <c r="D997" s="1372" t="n">
        <f aca="false">D535</f>
        <v>0.05</v>
      </c>
      <c r="E997" s="1372" t="n">
        <f aca="false">IF('Ввод данных'!$A$369=связи1!$A$96,IF(дома!E996&lt;связи1!$E$558,0,дома!E996-$E$881),0)+IF(дома!E996=0,0,IF('Ввод данных'!$A$369=связи1!$A$95,IF(дома!E996&lt;0,0,дома!E996-$E$881),0))+IF('Ввод данных'!$A$369=связи1!$A$98,IF(дома!E996&lt;связи1!$E$558,0,дома!E996-$E$881),0)</f>
        <v>2.9</v>
      </c>
      <c r="F997" s="1372" t="n">
        <f aca="false">2*VLOOKUP('Ввод данных'!$F$416,связи1!$A$2:$B$3,2,0)</f>
        <v>0</v>
      </c>
      <c r="G997" s="933" t="n">
        <f aca="false">C997*D997*E997*F997</f>
        <v>0</v>
      </c>
      <c r="H997" s="933"/>
      <c r="I997" s="933"/>
      <c r="J997" s="933"/>
      <c r="K997" s="933"/>
      <c r="L997" s="933"/>
      <c r="M997" s="933"/>
      <c r="N997" s="933"/>
      <c r="O997" s="933"/>
      <c r="P997" s="1290"/>
      <c r="Q997" s="1290"/>
      <c r="R997" s="1290"/>
      <c r="S997" s="933"/>
      <c r="T997" s="933"/>
      <c r="U997" s="1329"/>
      <c r="V997" s="933"/>
      <c r="W997" s="933"/>
      <c r="X997" s="933"/>
      <c r="Y997" s="1290"/>
      <c r="Z997" s="1290"/>
      <c r="AA997" s="933"/>
      <c r="AB997" s="933"/>
      <c r="AC997" s="933"/>
      <c r="AD997" s="933"/>
    </row>
    <row r="998" customFormat="false" ht="15.75" hidden="false" customHeight="true" outlineLevel="1" collapsed="false">
      <c r="A998" s="1372" t="s">
        <v>3378</v>
      </c>
      <c r="B998" s="887" t="str">
        <f aca="false">B536</f>
        <v>м.п.</v>
      </c>
      <c r="C998" s="1372" t="n">
        <f aca="false">C536</f>
        <v>0.4</v>
      </c>
      <c r="D998" s="1372" t="n">
        <f aca="false">D536</f>
        <v>0.05</v>
      </c>
      <c r="E998" s="1372" t="n">
        <f aca="false">IF('Ввод данных'!$A$369=связи1!$A$96,IF(дома!E997&lt;связи1!$E$558,0,дома!E997-$E$881),0)+IF(дома!E997=0,0,IF('Ввод данных'!$A$369=связи1!$A$95,IF(дома!E997&lt;0,0,дома!E997-$E$881),0))+IF('Ввод данных'!$A$369=связи1!$A$98,IF(дома!E997&lt;связи1!$E$558,0,дома!E997-$E$881),0)</f>
        <v>2.9</v>
      </c>
      <c r="F998" s="1372" t="n">
        <f aca="false">2*VLOOKUP('Ввод данных'!$F$416,связи1!$A$2:$B$3,2,0)</f>
        <v>0</v>
      </c>
      <c r="G998" s="933" t="n">
        <f aca="false">C998*D998*E998*F998</f>
        <v>0</v>
      </c>
      <c r="H998" s="933"/>
      <c r="I998" s="933"/>
      <c r="J998" s="933"/>
      <c r="K998" s="933"/>
      <c r="L998" s="933"/>
      <c r="M998" s="933"/>
      <c r="N998" s="933"/>
      <c r="O998" s="933"/>
      <c r="P998" s="1290"/>
      <c r="Q998" s="1290"/>
      <c r="R998" s="1290"/>
      <c r="S998" s="933"/>
      <c r="T998" s="933"/>
      <c r="U998" s="1329"/>
      <c r="V998" s="933"/>
      <c r="W998" s="933"/>
      <c r="X998" s="933"/>
      <c r="Y998" s="1290"/>
      <c r="Z998" s="1290"/>
      <c r="AA998" s="933"/>
      <c r="AB998" s="933"/>
      <c r="AC998" s="933"/>
      <c r="AD998" s="933"/>
    </row>
    <row r="999" customFormat="false" ht="15.75" hidden="false" customHeight="true" outlineLevel="1" collapsed="false">
      <c r="A999" s="1372" t="s">
        <v>3379</v>
      </c>
      <c r="B999" s="887" t="str">
        <f aca="false">B537</f>
        <v>м.п.</v>
      </c>
      <c r="C999" s="1372" t="n">
        <f aca="false">C537</f>
        <v>0.4</v>
      </c>
      <c r="D999" s="1372" t="n">
        <f aca="false">D537</f>
        <v>0.05</v>
      </c>
      <c r="E999" s="1372" t="n">
        <f aca="false">IF('Ввод данных'!$A$369=связи1!$A$96,IF(дома!E998&lt;связи1!$E$558,0,дома!E998-$E$881),0)+IF(дома!E998=0,0,IF('Ввод данных'!$A$369=связи1!$A$95,IF(дома!E998&lt;0,0,дома!E998-$E$881),0))+IF('Ввод данных'!$A$369=связи1!$A$98,IF(дома!E998&lt;связи1!$E$558,0,дома!E998-$E$881),0)</f>
        <v>2.9</v>
      </c>
      <c r="F999" s="1372" t="n">
        <f aca="false">2*VLOOKUP('Ввод данных'!$F$416,связи1!$A$2:$B$3,2,0)</f>
        <v>0</v>
      </c>
      <c r="G999" s="933" t="n">
        <f aca="false">C999*D999*E999*F999</f>
        <v>0</v>
      </c>
      <c r="H999" s="933"/>
      <c r="I999" s="933"/>
      <c r="J999" s="933"/>
      <c r="K999" s="933"/>
      <c r="L999" s="933"/>
      <c r="M999" s="933"/>
      <c r="N999" s="933"/>
      <c r="O999" s="933"/>
      <c r="P999" s="1290"/>
      <c r="Q999" s="1290"/>
      <c r="R999" s="1290"/>
      <c r="S999" s="933"/>
      <c r="T999" s="933"/>
      <c r="U999" s="1329"/>
      <c r="V999" s="933"/>
      <c r="W999" s="933"/>
      <c r="X999" s="933"/>
      <c r="Y999" s="1290"/>
      <c r="Z999" s="1290"/>
      <c r="AA999" s="933"/>
      <c r="AB999" s="933"/>
      <c r="AC999" s="933"/>
      <c r="AD999" s="933"/>
    </row>
    <row r="1000" customFormat="false" ht="15.75" hidden="false" customHeight="true" outlineLevel="1" collapsed="false">
      <c r="A1000" s="1372" t="s">
        <v>3380</v>
      </c>
      <c r="B1000" s="887" t="str">
        <f aca="false">B538</f>
        <v>м.п.</v>
      </c>
      <c r="C1000" s="1372" t="n">
        <f aca="false">C538</f>
        <v>0.4</v>
      </c>
      <c r="D1000" s="1372" t="n">
        <f aca="false">D538</f>
        <v>0.05</v>
      </c>
      <c r="E1000" s="1372" t="n">
        <f aca="false">IF('Ввод данных'!$A$369=связи1!$A$96,IF(дома!E999&lt;связи1!$E$558,0,дома!E999-$E$881),0)+IF(дома!E999=0,0,IF('Ввод данных'!$A$369=связи1!$A$95,IF(дома!E999&lt;0,0,дома!E999-$E$881),0))+IF('Ввод данных'!$A$369=связи1!$A$98,IF(дома!E999&lt;связи1!$E$558,0,дома!E999-$E$881),0)</f>
        <v>2.9</v>
      </c>
      <c r="F1000" s="1372" t="n">
        <f aca="false">2*VLOOKUP('Ввод данных'!$F$416,связи1!$A$2:$B$3,2,0)</f>
        <v>0</v>
      </c>
      <c r="G1000" s="933" t="n">
        <f aca="false">C1000*D1000*E1000*F1000</f>
        <v>0</v>
      </c>
      <c r="H1000" s="933"/>
      <c r="I1000" s="933"/>
      <c r="J1000" s="933"/>
      <c r="K1000" s="933"/>
      <c r="L1000" s="933"/>
      <c r="M1000" s="933"/>
      <c r="N1000" s="933"/>
      <c r="O1000" s="933"/>
      <c r="P1000" s="1290"/>
      <c r="Q1000" s="1290"/>
      <c r="R1000" s="1290"/>
      <c r="S1000" s="933"/>
      <c r="T1000" s="933"/>
      <c r="U1000" s="1329"/>
      <c r="V1000" s="933"/>
      <c r="W1000" s="933"/>
      <c r="X1000" s="933"/>
      <c r="Y1000" s="1290"/>
      <c r="Z1000" s="1290"/>
      <c r="AA1000" s="933"/>
      <c r="AB1000" s="933"/>
      <c r="AC1000" s="933"/>
      <c r="AD1000" s="933"/>
    </row>
    <row r="1001" customFormat="false" ht="15.75" hidden="false" customHeight="true" outlineLevel="1" collapsed="false">
      <c r="A1001" s="1372" t="s">
        <v>3381</v>
      </c>
      <c r="B1001" s="887" t="str">
        <f aca="false">B539</f>
        <v>м.п.</v>
      </c>
      <c r="C1001" s="1372" t="n">
        <f aca="false">C539</f>
        <v>0.4</v>
      </c>
      <c r="D1001" s="1372" t="n">
        <f aca="false">D539</f>
        <v>0.05</v>
      </c>
      <c r="E1001" s="1372" t="n">
        <f aca="false">IF('Ввод данных'!$A$369=связи1!$A$96,IF(дома!E1000&lt;связи1!$E$558,0,дома!E1000-$E$881),0)+IF(дома!E1000=0,0,IF('Ввод данных'!$A$369=связи1!$A$95,IF(дома!E1000&lt;0,0,дома!E1000-$E$881),0))+IF('Ввод данных'!$A$369=связи1!$A$98,IF(дома!E1000&lt;связи1!$E$558,0,дома!E1000-$E$881),0)</f>
        <v>2.9</v>
      </c>
      <c r="F1001" s="1372" t="n">
        <f aca="false">2*VLOOKUP('Ввод данных'!$F$416,связи1!$A$2:$B$3,2,0)</f>
        <v>0</v>
      </c>
      <c r="G1001" s="933" t="n">
        <f aca="false">C1001*D1001*E1001*F1001</f>
        <v>0</v>
      </c>
      <c r="H1001" s="933"/>
      <c r="I1001" s="933"/>
      <c r="J1001" s="933"/>
      <c r="K1001" s="933"/>
      <c r="L1001" s="933"/>
      <c r="M1001" s="933"/>
      <c r="N1001" s="933"/>
      <c r="O1001" s="933"/>
      <c r="P1001" s="1290"/>
      <c r="Q1001" s="1290"/>
      <c r="R1001" s="1290"/>
      <c r="S1001" s="933"/>
      <c r="T1001" s="933"/>
      <c r="U1001" s="1329"/>
      <c r="V1001" s="933"/>
      <c r="W1001" s="933"/>
      <c r="X1001" s="933"/>
      <c r="Y1001" s="1290"/>
      <c r="Z1001" s="1290"/>
      <c r="AA1001" s="933"/>
      <c r="AB1001" s="933"/>
      <c r="AC1001" s="933"/>
      <c r="AD1001" s="933"/>
    </row>
    <row r="1002" customFormat="false" ht="15.75" hidden="false" customHeight="true" outlineLevel="1" collapsed="false">
      <c r="A1002" s="1372" t="s">
        <v>3382</v>
      </c>
      <c r="B1002" s="887" t="str">
        <f aca="false">B540</f>
        <v>м.п.</v>
      </c>
      <c r="C1002" s="1372" t="n">
        <f aca="false">C540</f>
        <v>0.4</v>
      </c>
      <c r="D1002" s="1372" t="n">
        <f aca="false">D540</f>
        <v>0.05</v>
      </c>
      <c r="E1002" s="1372" t="n">
        <f aca="false">IF('Ввод данных'!$A$369=связи1!$A$96,IF(дома!E1001&lt;связи1!$E$558,0,дома!E1001-$E$881),0)+IF(дома!E1001=0,0,IF('Ввод данных'!$A$369=связи1!$A$95,IF(дома!E1001&lt;0,0,дома!E1001-$E$881),0))+IF('Ввод данных'!$A$369=связи1!$A$98,IF(дома!E1001&lt;связи1!$E$558,0,дома!E1001-$E$881),0)</f>
        <v>2.9</v>
      </c>
      <c r="F1002" s="1372" t="n">
        <f aca="false">2*VLOOKUP('Ввод данных'!$F$416,связи1!$A$2:$B$3,2,0)</f>
        <v>0</v>
      </c>
      <c r="G1002" s="933" t="n">
        <f aca="false">C1002*D1002*E1002*F1002</f>
        <v>0</v>
      </c>
      <c r="H1002" s="933"/>
      <c r="I1002" s="933"/>
      <c r="J1002" s="933"/>
      <c r="K1002" s="933"/>
      <c r="L1002" s="933"/>
      <c r="M1002" s="933"/>
      <c r="N1002" s="933"/>
      <c r="O1002" s="933"/>
      <c r="P1002" s="1290"/>
      <c r="Q1002" s="1290"/>
      <c r="R1002" s="1290"/>
      <c r="S1002" s="933"/>
      <c r="T1002" s="933"/>
      <c r="U1002" s="1329"/>
      <c r="V1002" s="933"/>
      <c r="W1002" s="933"/>
      <c r="X1002" s="933"/>
      <c r="Y1002" s="1290"/>
      <c r="Z1002" s="1290"/>
      <c r="AA1002" s="933"/>
      <c r="AB1002" s="933"/>
      <c r="AC1002" s="933"/>
      <c r="AD1002" s="933"/>
    </row>
    <row r="1003" customFormat="false" ht="15.75" hidden="false" customHeight="true" outlineLevel="1" collapsed="false">
      <c r="A1003" s="1372" t="s">
        <v>3383</v>
      </c>
      <c r="B1003" s="887" t="str">
        <f aca="false">B541</f>
        <v>м.п.</v>
      </c>
      <c r="C1003" s="1372" t="n">
        <f aca="false">C541</f>
        <v>0.4</v>
      </c>
      <c r="D1003" s="1372" t="n">
        <f aca="false">D541</f>
        <v>0.05</v>
      </c>
      <c r="E1003" s="1372" t="n">
        <f aca="false">IF('Ввод данных'!$A$369=связи1!$A$96,IF(дома!E1002&lt;связи1!$E$558,0,дома!E1002-$E$881),0)+IF(дома!E1002=0,0,IF('Ввод данных'!$A$369=связи1!$A$95,IF(дома!E1002&lt;0,0,дома!E1002-$E$881),0))+IF('Ввод данных'!$A$369=связи1!$A$98,IF(дома!E1002&lt;связи1!$E$558,0,дома!E1002-$E$881),0)</f>
        <v>2.9</v>
      </c>
      <c r="F1003" s="1372" t="n">
        <f aca="false">2*VLOOKUP('Ввод данных'!$F$416,связи1!$A$2:$B$3,2,0)</f>
        <v>0</v>
      </c>
      <c r="G1003" s="933" t="n">
        <f aca="false">C1003*D1003*E1003*F1003</f>
        <v>0</v>
      </c>
      <c r="H1003" s="933"/>
      <c r="I1003" s="933"/>
      <c r="J1003" s="933"/>
      <c r="K1003" s="933"/>
      <c r="L1003" s="933"/>
      <c r="M1003" s="933"/>
      <c r="N1003" s="933"/>
      <c r="O1003" s="933"/>
      <c r="P1003" s="1290"/>
      <c r="Q1003" s="1290"/>
      <c r="R1003" s="1290"/>
      <c r="S1003" s="933"/>
      <c r="T1003" s="933"/>
      <c r="U1003" s="1329"/>
      <c r="V1003" s="933"/>
      <c r="W1003" s="933"/>
      <c r="X1003" s="933"/>
      <c r="Y1003" s="1290"/>
      <c r="Z1003" s="1290"/>
      <c r="AA1003" s="933"/>
      <c r="AB1003" s="933"/>
      <c r="AC1003" s="933"/>
      <c r="AD1003" s="933"/>
    </row>
    <row r="1004" customFormat="false" ht="15.75" hidden="false" customHeight="true" outlineLevel="1" collapsed="false">
      <c r="A1004" s="1372" t="s">
        <v>3384</v>
      </c>
      <c r="B1004" s="887" t="str">
        <f aca="false">B542</f>
        <v>м.п.</v>
      </c>
      <c r="C1004" s="1372" t="n">
        <f aca="false">C542</f>
        <v>0.4</v>
      </c>
      <c r="D1004" s="1372" t="n">
        <f aca="false">D542</f>
        <v>0.05</v>
      </c>
      <c r="E1004" s="1372" t="n">
        <f aca="false">IF('Ввод данных'!$A$369=связи1!$A$96,IF(дома!E1003&lt;связи1!$E$558,0,дома!E1003-$E$881),0)+IF(дома!E1003=0,0,IF('Ввод данных'!$A$369=связи1!$A$95,IF(дома!E1003&lt;0,0,дома!E1003-$E$881),0))+IF('Ввод данных'!$A$369=связи1!$A$98,IF(дома!E1003&lt;связи1!$E$558,0,дома!E1003-$E$881),0)</f>
        <v>2.9</v>
      </c>
      <c r="F1004" s="1372" t="n">
        <f aca="false">2*VLOOKUP('Ввод данных'!$F$416,связи1!$A$2:$B$3,2,0)</f>
        <v>0</v>
      </c>
      <c r="G1004" s="933" t="n">
        <f aca="false">C1004*D1004*E1004*F1004</f>
        <v>0</v>
      </c>
      <c r="H1004" s="933"/>
      <c r="I1004" s="933"/>
      <c r="J1004" s="933"/>
      <c r="K1004" s="933"/>
      <c r="L1004" s="933"/>
      <c r="M1004" s="933"/>
      <c r="N1004" s="933"/>
      <c r="O1004" s="933"/>
      <c r="P1004" s="1290"/>
      <c r="Q1004" s="1290"/>
      <c r="R1004" s="1290"/>
      <c r="S1004" s="933"/>
      <c r="T1004" s="933"/>
      <c r="U1004" s="1329"/>
      <c r="V1004" s="933"/>
      <c r="W1004" s="933"/>
      <c r="X1004" s="933"/>
      <c r="Y1004" s="1290"/>
      <c r="Z1004" s="1290"/>
      <c r="AA1004" s="933"/>
      <c r="AB1004" s="933"/>
      <c r="AC1004" s="933"/>
      <c r="AD1004" s="933"/>
    </row>
    <row r="1005" customFormat="false" ht="15.75" hidden="false" customHeight="true" outlineLevel="1" collapsed="false">
      <c r="A1005" s="1372" t="s">
        <v>3385</v>
      </c>
      <c r="B1005" s="887" t="str">
        <f aca="false">B543</f>
        <v>м.п.</v>
      </c>
      <c r="C1005" s="1372" t="n">
        <f aca="false">C543</f>
        <v>0.4</v>
      </c>
      <c r="D1005" s="1372" t="n">
        <f aca="false">D543</f>
        <v>0.05</v>
      </c>
      <c r="E1005" s="1372" t="n">
        <f aca="false">IF('Ввод данных'!$A$369=связи1!$A$96,IF(дома!E1004&lt;связи1!$E$558,0,дома!E1004-$E$881),0)+IF(дома!E1004=0,0,IF('Ввод данных'!$A$369=связи1!$A$95,IF(дома!E1004&lt;0,0,дома!E1004-$E$881),0))+IF('Ввод данных'!$A$369=связи1!$A$98,IF(дома!E1004&lt;связи1!$E$558,0,дома!E1004-$E$881),0)</f>
        <v>2.9</v>
      </c>
      <c r="F1005" s="1372" t="n">
        <f aca="false">2*VLOOKUP('Ввод данных'!$F$416,связи1!$A$2:$B$3,2,0)</f>
        <v>0</v>
      </c>
      <c r="G1005" s="933" t="n">
        <f aca="false">C1005*D1005*E1005*F1005</f>
        <v>0</v>
      </c>
      <c r="H1005" s="933"/>
      <c r="I1005" s="933"/>
      <c r="J1005" s="933"/>
      <c r="K1005" s="933"/>
      <c r="L1005" s="933"/>
      <c r="M1005" s="933"/>
      <c r="N1005" s="933"/>
      <c r="O1005" s="933"/>
      <c r="P1005" s="1290"/>
      <c r="Q1005" s="1290"/>
      <c r="R1005" s="1290"/>
      <c r="S1005" s="933"/>
      <c r="T1005" s="933"/>
      <c r="U1005" s="1329"/>
      <c r="V1005" s="933"/>
      <c r="W1005" s="933"/>
      <c r="X1005" s="933"/>
      <c r="Y1005" s="1290"/>
      <c r="Z1005" s="1290"/>
      <c r="AA1005" s="933"/>
      <c r="AB1005" s="933"/>
      <c r="AC1005" s="933"/>
      <c r="AD1005" s="933"/>
    </row>
    <row r="1006" customFormat="false" ht="15.75" hidden="false" customHeight="true" outlineLevel="1" collapsed="false">
      <c r="A1006" s="1372" t="s">
        <v>3386</v>
      </c>
      <c r="B1006" s="887" t="str">
        <f aca="false">B544</f>
        <v>м.п.</v>
      </c>
      <c r="C1006" s="1372" t="n">
        <f aca="false">C544</f>
        <v>0.4</v>
      </c>
      <c r="D1006" s="1372" t="n">
        <f aca="false">D544</f>
        <v>0.05</v>
      </c>
      <c r="E1006" s="1372" t="n">
        <f aca="false">IF('Ввод данных'!$A$369=связи1!$A$96,IF(дома!E1005&lt;связи1!$E$558,0,дома!E1005-$E$881),0)+IF(дома!E1005=0,0,IF('Ввод данных'!$A$369=связи1!$A$95,IF(дома!E1005&lt;0,0,дома!E1005-$E$881),0))+IF('Ввод данных'!$A$369=связи1!$A$98,IF(дома!E1005&lt;связи1!$E$558,0,дома!E1005-$E$881),0)</f>
        <v>2.9</v>
      </c>
      <c r="F1006" s="1372" t="n">
        <f aca="false">2*VLOOKUP('Ввод данных'!$F$416,связи1!$A$2:$B$3,2,0)</f>
        <v>0</v>
      </c>
      <c r="G1006" s="933" t="n">
        <f aca="false">C1006*D1006*E1006*F1006</f>
        <v>0</v>
      </c>
      <c r="H1006" s="933"/>
      <c r="I1006" s="933"/>
      <c r="J1006" s="933"/>
      <c r="K1006" s="933"/>
      <c r="L1006" s="933"/>
      <c r="M1006" s="933"/>
      <c r="N1006" s="933"/>
      <c r="O1006" s="933"/>
      <c r="P1006" s="1290"/>
      <c r="Q1006" s="1290"/>
      <c r="R1006" s="1290"/>
      <c r="S1006" s="933"/>
      <c r="T1006" s="933"/>
      <c r="U1006" s="1329"/>
      <c r="V1006" s="933"/>
      <c r="W1006" s="933"/>
      <c r="X1006" s="933"/>
      <c r="Y1006" s="1290"/>
      <c r="Z1006" s="1290"/>
      <c r="AA1006" s="933"/>
      <c r="AB1006" s="933"/>
      <c r="AC1006" s="933"/>
      <c r="AD1006" s="933"/>
    </row>
    <row r="1007" customFormat="false" ht="15.75" hidden="false" customHeight="true" outlineLevel="1" collapsed="false">
      <c r="A1007" s="1372" t="s">
        <v>3387</v>
      </c>
      <c r="B1007" s="887" t="str">
        <f aca="false">B545</f>
        <v>м.п.</v>
      </c>
      <c r="C1007" s="1372" t="n">
        <f aca="false">C545</f>
        <v>0.4</v>
      </c>
      <c r="D1007" s="1372" t="n">
        <f aca="false">D545</f>
        <v>0.05</v>
      </c>
      <c r="E1007" s="1372" t="n">
        <f aca="false">IF('Ввод данных'!$A$369=связи1!$A$96,IF(дома!E1006&lt;связи1!$E$558,0,дома!E1006-$E$881),0)+IF(дома!E1006=0,0,IF('Ввод данных'!$A$369=связи1!$A$95,IF(дома!E1006&lt;0,0,дома!E1006-$E$881),0))+IF('Ввод данных'!$A$369=связи1!$A$98,IF(дома!E1006&lt;связи1!$E$558,0,дома!E1006-$E$881),0)</f>
        <v>2.9</v>
      </c>
      <c r="F1007" s="1372" t="n">
        <f aca="false">2*VLOOKUP('Ввод данных'!$F$416,связи1!$A$2:$B$3,2,0)</f>
        <v>0</v>
      </c>
      <c r="G1007" s="933" t="n">
        <f aca="false">C1007*D1007*E1007*F1007</f>
        <v>0</v>
      </c>
      <c r="H1007" s="933"/>
      <c r="I1007" s="933"/>
      <c r="J1007" s="933"/>
      <c r="K1007" s="933"/>
      <c r="L1007" s="933"/>
      <c r="M1007" s="933"/>
      <c r="N1007" s="933"/>
      <c r="O1007" s="933"/>
      <c r="P1007" s="1290"/>
      <c r="Q1007" s="1290"/>
      <c r="R1007" s="1290"/>
      <c r="S1007" s="933"/>
      <c r="T1007" s="933"/>
      <c r="U1007" s="1329"/>
      <c r="V1007" s="933"/>
      <c r="W1007" s="933"/>
      <c r="X1007" s="933"/>
      <c r="Y1007" s="1290"/>
      <c r="Z1007" s="1290"/>
      <c r="AA1007" s="933"/>
      <c r="AB1007" s="933"/>
      <c r="AC1007" s="933"/>
      <c r="AD1007" s="933"/>
    </row>
    <row r="1008" customFormat="false" ht="15.75" hidden="false" customHeight="true" outlineLevel="1" collapsed="false">
      <c r="A1008" s="1372" t="s">
        <v>3388</v>
      </c>
      <c r="B1008" s="887" t="str">
        <f aca="false">B546</f>
        <v>м.п.</v>
      </c>
      <c r="C1008" s="1372" t="n">
        <f aca="false">C546</f>
        <v>0.4</v>
      </c>
      <c r="D1008" s="1372" t="n">
        <f aca="false">D546</f>
        <v>0.05</v>
      </c>
      <c r="E1008" s="1372" t="n">
        <f aca="false">IF('Ввод данных'!$A$369=связи1!$A$96,IF(дома!E1007&lt;связи1!$E$558,0,дома!E1007-$E$881),0)+IF(дома!E1007=0,0,IF('Ввод данных'!$A$369=связи1!$A$95,IF(дома!E1007&lt;0,0,дома!E1007-$E$881),0))+IF('Ввод данных'!$A$369=связи1!$A$98,IF(дома!E1007&lt;связи1!$E$558,0,дома!E1007-$E$881),0)</f>
        <v>2.9</v>
      </c>
      <c r="F1008" s="1372" t="n">
        <f aca="false">2*VLOOKUP('Ввод данных'!$F$416,связи1!$A$2:$B$3,2,0)</f>
        <v>0</v>
      </c>
      <c r="G1008" s="933" t="n">
        <f aca="false">C1008*D1008*E1008*F1008</f>
        <v>0</v>
      </c>
      <c r="H1008" s="933"/>
      <c r="I1008" s="933"/>
      <c r="J1008" s="933"/>
      <c r="K1008" s="933"/>
      <c r="L1008" s="933"/>
      <c r="M1008" s="933"/>
      <c r="N1008" s="933"/>
      <c r="O1008" s="933"/>
      <c r="P1008" s="1290"/>
      <c r="Q1008" s="1290"/>
      <c r="R1008" s="1290"/>
      <c r="S1008" s="933"/>
      <c r="T1008" s="933"/>
      <c r="U1008" s="1329"/>
      <c r="V1008" s="933"/>
      <c r="W1008" s="933"/>
      <c r="X1008" s="933"/>
      <c r="Y1008" s="1290"/>
      <c r="Z1008" s="1290"/>
      <c r="AA1008" s="933"/>
      <c r="AB1008" s="933"/>
      <c r="AC1008" s="933"/>
      <c r="AD1008" s="933"/>
    </row>
    <row r="1009" customFormat="false" ht="15.75" hidden="false" customHeight="true" outlineLevel="1" collapsed="false">
      <c r="A1009" s="1372" t="s">
        <v>3389</v>
      </c>
      <c r="B1009" s="887" t="str">
        <f aca="false">B547</f>
        <v>м.п.</v>
      </c>
      <c r="C1009" s="1372" t="n">
        <f aca="false">C547</f>
        <v>0.4</v>
      </c>
      <c r="D1009" s="1372" t="n">
        <f aca="false">D547</f>
        <v>0.05</v>
      </c>
      <c r="E1009" s="1372" t="n">
        <f aca="false">IF('Ввод данных'!$A$369=связи1!$A$96,IF(дома!E1008&lt;связи1!$E$558,0,дома!E1008-$E$881),0)+IF(дома!E1008=0,0,IF('Ввод данных'!$A$369=связи1!$A$95,IF(дома!E1008&lt;0,0,дома!E1008-$E$881),0))+IF('Ввод данных'!$A$369=связи1!$A$98,IF(дома!E1008&lt;связи1!$E$558,0,дома!E1008-$E$881),0)</f>
        <v>2.9</v>
      </c>
      <c r="F1009" s="1372" t="n">
        <f aca="false">2*VLOOKUP('Ввод данных'!$F$416,связи1!$A$2:$B$3,2,0)</f>
        <v>0</v>
      </c>
      <c r="G1009" s="933" t="n">
        <f aca="false">C1009*D1009*E1009*F1009</f>
        <v>0</v>
      </c>
      <c r="H1009" s="933"/>
      <c r="I1009" s="933"/>
      <c r="J1009" s="933"/>
      <c r="K1009" s="933"/>
      <c r="L1009" s="933"/>
      <c r="M1009" s="933"/>
      <c r="N1009" s="933"/>
      <c r="O1009" s="933"/>
      <c r="P1009" s="1290"/>
      <c r="Q1009" s="1290"/>
      <c r="R1009" s="1290"/>
      <c r="S1009" s="933"/>
      <c r="T1009" s="933"/>
      <c r="U1009" s="1329"/>
      <c r="V1009" s="933"/>
      <c r="W1009" s="933"/>
      <c r="X1009" s="933"/>
      <c r="Y1009" s="1290"/>
      <c r="Z1009" s="1290"/>
      <c r="AA1009" s="933"/>
      <c r="AB1009" s="933"/>
      <c r="AC1009" s="933"/>
      <c r="AD1009" s="933"/>
    </row>
    <row r="1010" customFormat="false" ht="15.75" hidden="false" customHeight="true" outlineLevel="1" collapsed="false">
      <c r="A1010" s="1372" t="n">
        <f aca="false">A548</f>
        <v>0</v>
      </c>
      <c r="B1010" s="887" t="n">
        <f aca="false">B548</f>
        <v>0</v>
      </c>
      <c r="C1010" s="1372" t="n">
        <f aca="false">C548</f>
        <v>0</v>
      </c>
      <c r="D1010" s="1372" t="n">
        <f aca="false">D548</f>
        <v>0</v>
      </c>
      <c r="E1010" s="1372"/>
      <c r="F1010" s="1372"/>
      <c r="G1010" s="933" t="n">
        <f aca="false">C1010*D1010*E1010*F1010</f>
        <v>0</v>
      </c>
      <c r="H1010" s="933"/>
      <c r="I1010" s="933"/>
      <c r="J1010" s="933"/>
      <c r="K1010" s="933"/>
      <c r="L1010" s="933"/>
      <c r="M1010" s="933"/>
      <c r="N1010" s="933"/>
      <c r="O1010" s="933"/>
      <c r="P1010" s="1290"/>
      <c r="Q1010" s="1290"/>
      <c r="R1010" s="1290"/>
      <c r="S1010" s="933"/>
      <c r="T1010" s="933"/>
      <c r="U1010" s="1329"/>
      <c r="V1010" s="933"/>
      <c r="W1010" s="933"/>
      <c r="X1010" s="933"/>
      <c r="Y1010" s="1290"/>
      <c r="Z1010" s="1290"/>
      <c r="AA1010" s="933"/>
      <c r="AB1010" s="933"/>
      <c r="AC1010" s="933"/>
      <c r="AD1010" s="933"/>
    </row>
    <row r="1011" customFormat="false" ht="15.75" hidden="false" customHeight="true" outlineLevel="1" collapsed="false">
      <c r="A1011" s="1377" t="s">
        <v>3392</v>
      </c>
      <c r="B1011" s="1379" t="str">
        <f aca="false">B549</f>
        <v>ед.изм</v>
      </c>
      <c r="C1011" s="1377" t="str">
        <f aca="false">C549</f>
        <v>ширина</v>
      </c>
      <c r="D1011" s="1377" t="str">
        <f aca="false">D549</f>
        <v>толщина</v>
      </c>
      <c r="E1011" s="1377" t="str">
        <f aca="false">E549</f>
        <v>высота</v>
      </c>
      <c r="F1011" s="1377" t="str">
        <f aca="false">F549</f>
        <v>кол-во</v>
      </c>
      <c r="G1011" s="933"/>
      <c r="H1011" s="933"/>
      <c r="I1011" s="933"/>
      <c r="J1011" s="933"/>
      <c r="K1011" s="933"/>
      <c r="L1011" s="933"/>
      <c r="M1011" s="933"/>
      <c r="N1011" s="933"/>
      <c r="O1011" s="933"/>
      <c r="P1011" s="1290"/>
      <c r="Q1011" s="1290"/>
      <c r="R1011" s="1290"/>
      <c r="S1011" s="933"/>
      <c r="T1011" s="933"/>
      <c r="U1011" s="1329"/>
      <c r="V1011" s="933"/>
      <c r="W1011" s="933"/>
      <c r="X1011" s="933"/>
      <c r="Y1011" s="1290"/>
      <c r="Z1011" s="1290"/>
      <c r="AA1011" s="933"/>
      <c r="AB1011" s="933"/>
      <c r="AC1011" s="933"/>
      <c r="AD1011" s="933"/>
    </row>
    <row r="1012" customFormat="false" ht="15.75" hidden="false" customHeight="true" outlineLevel="1" collapsed="false">
      <c r="A1012" s="1372" t="s">
        <v>3352</v>
      </c>
      <c r="B1012" s="887" t="str">
        <f aca="false">B550</f>
        <v>м.п.</v>
      </c>
      <c r="C1012" s="1372" t="n">
        <f aca="false">C550</f>
        <v>0.4</v>
      </c>
      <c r="D1012" s="1372" t="n">
        <f aca="false">D550</f>
        <v>0.05</v>
      </c>
      <c r="E1012" s="1372" t="n">
        <f aca="false">E872</f>
        <v>0</v>
      </c>
      <c r="F1012" s="1372" t="n">
        <f aca="false">L872*VLOOKUP('Ввод данных'!$F$416,связи1!$A$2:$B$3,2,0)</f>
        <v>0</v>
      </c>
      <c r="G1012" s="933" t="n">
        <f aca="false">C1012*D1012*E1012*F1012</f>
        <v>0</v>
      </c>
      <c r="H1012" s="933"/>
      <c r="I1012" s="933"/>
      <c r="J1012" s="933"/>
      <c r="K1012" s="933"/>
      <c r="L1012" s="933"/>
      <c r="M1012" s="933"/>
      <c r="N1012" s="933"/>
      <c r="O1012" s="933"/>
      <c r="P1012" s="1290"/>
      <c r="Q1012" s="1290"/>
      <c r="R1012" s="1290"/>
      <c r="S1012" s="933"/>
      <c r="T1012" s="933"/>
      <c r="U1012" s="1329"/>
      <c r="V1012" s="933"/>
      <c r="W1012" s="933"/>
      <c r="X1012" s="933"/>
      <c r="Y1012" s="1290"/>
      <c r="Z1012" s="1290"/>
      <c r="AA1012" s="933"/>
      <c r="AB1012" s="933"/>
      <c r="AC1012" s="933"/>
      <c r="AD1012" s="933"/>
    </row>
    <row r="1013" customFormat="false" ht="15.75" hidden="false" customHeight="true" outlineLevel="1" collapsed="false">
      <c r="A1013" s="1372" t="s">
        <v>3353</v>
      </c>
      <c r="B1013" s="887" t="str">
        <f aca="false">B551</f>
        <v>м.п.</v>
      </c>
      <c r="C1013" s="1372" t="n">
        <f aca="false">C551</f>
        <v>0.4</v>
      </c>
      <c r="D1013" s="1372" t="n">
        <f aca="false">D551</f>
        <v>0.05</v>
      </c>
      <c r="E1013" s="1372" t="n">
        <f aca="false">E873</f>
        <v>0</v>
      </c>
      <c r="F1013" s="1372" t="n">
        <f aca="false">L873*VLOOKUP('Ввод данных'!$F$416,связи1!$A$2:$B$3,2,0)</f>
        <v>0</v>
      </c>
      <c r="G1013" s="933" t="n">
        <f aca="false">C1013*D1013*E1013*F1013</f>
        <v>0</v>
      </c>
      <c r="H1013" s="933"/>
      <c r="I1013" s="933"/>
      <c r="J1013" s="933"/>
      <c r="K1013" s="933"/>
      <c r="L1013" s="933"/>
      <c r="M1013" s="933"/>
      <c r="N1013" s="933"/>
      <c r="O1013" s="933"/>
      <c r="P1013" s="1290"/>
      <c r="Q1013" s="1290"/>
      <c r="R1013" s="1290"/>
      <c r="S1013" s="933"/>
      <c r="T1013" s="933"/>
      <c r="U1013" s="1329"/>
      <c r="V1013" s="933"/>
      <c r="W1013" s="933"/>
      <c r="X1013" s="933"/>
      <c r="Y1013" s="1290"/>
      <c r="Z1013" s="1290"/>
      <c r="AA1013" s="933"/>
      <c r="AB1013" s="933"/>
      <c r="AC1013" s="933"/>
      <c r="AD1013" s="933"/>
    </row>
    <row r="1014" customFormat="false" ht="15.75" hidden="false" customHeight="true" outlineLevel="1" collapsed="false">
      <c r="A1014" s="1372" t="s">
        <v>3354</v>
      </c>
      <c r="B1014" s="887" t="str">
        <f aca="false">B552</f>
        <v>м.п.</v>
      </c>
      <c r="C1014" s="1372" t="n">
        <f aca="false">C552</f>
        <v>0.4</v>
      </c>
      <c r="D1014" s="1372" t="n">
        <f aca="false">D552</f>
        <v>0.05</v>
      </c>
      <c r="E1014" s="1372" t="n">
        <f aca="false">E874</f>
        <v>0</v>
      </c>
      <c r="F1014" s="1372" t="n">
        <f aca="false">L874*VLOOKUP('Ввод данных'!$F$416,связи1!$A$2:$B$3,2,0)</f>
        <v>0</v>
      </c>
      <c r="G1014" s="933" t="n">
        <f aca="false">C1014*D1014*E1014*F1014</f>
        <v>0</v>
      </c>
      <c r="H1014" s="933"/>
      <c r="I1014" s="933"/>
      <c r="J1014" s="933"/>
      <c r="K1014" s="933"/>
      <c r="L1014" s="933"/>
      <c r="M1014" s="933"/>
      <c r="N1014" s="933"/>
      <c r="O1014" s="933"/>
      <c r="P1014" s="1290"/>
      <c r="Q1014" s="1290"/>
      <c r="R1014" s="1290"/>
      <c r="S1014" s="933"/>
      <c r="T1014" s="933"/>
      <c r="U1014" s="1329"/>
      <c r="V1014" s="933"/>
      <c r="W1014" s="933"/>
      <c r="X1014" s="933"/>
      <c r="Y1014" s="1290"/>
      <c r="Z1014" s="1290"/>
      <c r="AA1014" s="933"/>
      <c r="AB1014" s="933"/>
      <c r="AC1014" s="933"/>
      <c r="AD1014" s="933"/>
    </row>
    <row r="1015" customFormat="false" ht="15.75" hidden="false" customHeight="true" outlineLevel="1" collapsed="false">
      <c r="A1015" s="1372" t="s">
        <v>3270</v>
      </c>
      <c r="B1015" s="887" t="str">
        <f aca="false">B553</f>
        <v>м.п.</v>
      </c>
      <c r="C1015" s="1372" t="n">
        <f aca="false">C553</f>
        <v>0.4</v>
      </c>
      <c r="D1015" s="1372" t="n">
        <f aca="false">D553</f>
        <v>0.05</v>
      </c>
      <c r="E1015" s="1372" t="n">
        <f aca="false">1</f>
        <v>1</v>
      </c>
      <c r="F1015" s="1372" t="n">
        <f aca="false">P875*VLOOKUP('Ввод данных'!$F$416,связи1!$A$2:$B$3,2,0)+Q875*VLOOKUP('Ввод данных'!$F$416,связи1!$A$2:$B$3,2,0)</f>
        <v>0</v>
      </c>
      <c r="G1015" s="933" t="n">
        <f aca="false">C1015*D1015*E1015*F1015</f>
        <v>0</v>
      </c>
      <c r="H1015" s="933"/>
      <c r="I1015" s="933"/>
      <c r="J1015" s="933"/>
      <c r="K1015" s="933"/>
      <c r="L1015" s="933"/>
      <c r="M1015" s="933"/>
      <c r="N1015" s="933"/>
      <c r="O1015" s="933"/>
      <c r="P1015" s="1290"/>
      <c r="Q1015" s="1290"/>
      <c r="R1015" s="1290"/>
      <c r="S1015" s="933"/>
      <c r="T1015" s="933"/>
      <c r="U1015" s="1329"/>
      <c r="V1015" s="933"/>
      <c r="W1015" s="933"/>
      <c r="X1015" s="933"/>
      <c r="Y1015" s="1290"/>
      <c r="Z1015" s="1290"/>
      <c r="AA1015" s="933"/>
      <c r="AB1015" s="933"/>
      <c r="AC1015" s="933"/>
      <c r="AD1015" s="933"/>
    </row>
    <row r="1016" customFormat="false" ht="15.75" hidden="false" customHeight="true" outlineLevel="1" collapsed="false">
      <c r="A1016" s="1372" t="s">
        <v>3271</v>
      </c>
      <c r="B1016" s="887" t="str">
        <f aca="false">B554</f>
        <v>м.п.</v>
      </c>
      <c r="C1016" s="1372" t="n">
        <f aca="false">C554</f>
        <v>0.4</v>
      </c>
      <c r="D1016" s="1372" t="n">
        <f aca="false">D554</f>
        <v>0.05</v>
      </c>
      <c r="E1016" s="1372" t="n">
        <f aca="false">1</f>
        <v>1</v>
      </c>
      <c r="F1016" s="1372" t="n">
        <f aca="false">R875*VLOOKUP('Ввод данных'!$F$416,связи1!$A$2:$B$3,2,0)</f>
        <v>0</v>
      </c>
      <c r="G1016" s="933" t="n">
        <f aca="false">C1016*D1016*E1016*F1016</f>
        <v>0</v>
      </c>
      <c r="H1016" s="933"/>
      <c r="I1016" s="933"/>
      <c r="J1016" s="933"/>
      <c r="K1016" s="933"/>
      <c r="L1016" s="933"/>
      <c r="M1016" s="933"/>
      <c r="N1016" s="933"/>
      <c r="O1016" s="933"/>
      <c r="P1016" s="1290"/>
      <c r="Q1016" s="1290"/>
      <c r="R1016" s="1290"/>
      <c r="S1016" s="933"/>
      <c r="T1016" s="933"/>
      <c r="U1016" s="1329"/>
      <c r="V1016" s="933"/>
      <c r="W1016" s="933"/>
      <c r="X1016" s="933"/>
      <c r="Y1016" s="1290"/>
      <c r="Z1016" s="1290"/>
      <c r="AA1016" s="933"/>
      <c r="AB1016" s="933"/>
      <c r="AC1016" s="933"/>
      <c r="AD1016" s="933"/>
    </row>
    <row r="1017" customFormat="false" ht="15.75" hidden="false" customHeight="true" outlineLevel="1" collapsed="false">
      <c r="A1017" s="1372" t="s">
        <v>3355</v>
      </c>
      <c r="B1017" s="887" t="str">
        <f aca="false">B555</f>
        <v>м.п.</v>
      </c>
      <c r="C1017" s="1372" t="n">
        <f aca="false">C555</f>
        <v>0.4</v>
      </c>
      <c r="D1017" s="1372" t="n">
        <f aca="false">D555</f>
        <v>0.05</v>
      </c>
      <c r="E1017" s="1372" t="n">
        <v>1.5</v>
      </c>
      <c r="F1017" s="1372" t="n">
        <f aca="false">8*VLOOKUP('Ввод данных'!$F$416,связи1!$A$2:$B$3,2,0)</f>
        <v>0</v>
      </c>
      <c r="G1017" s="933" t="n">
        <f aca="false">C1017*D1017*E1017*F1017</f>
        <v>0</v>
      </c>
      <c r="H1017" s="933"/>
      <c r="I1017" s="933"/>
      <c r="J1017" s="933"/>
      <c r="K1017" s="933"/>
      <c r="L1017" s="933"/>
      <c r="M1017" s="933"/>
      <c r="N1017" s="933"/>
      <c r="O1017" s="933"/>
      <c r="P1017" s="1290"/>
      <c r="Q1017" s="1290"/>
      <c r="R1017" s="1290"/>
      <c r="S1017" s="933"/>
      <c r="T1017" s="933"/>
      <c r="U1017" s="1329"/>
      <c r="V1017" s="933"/>
      <c r="W1017" s="933"/>
      <c r="X1017" s="933"/>
      <c r="Y1017" s="1290"/>
      <c r="Z1017" s="1290"/>
      <c r="AA1017" s="933"/>
      <c r="AB1017" s="933"/>
      <c r="AC1017" s="933"/>
      <c r="AD1017" s="933"/>
    </row>
    <row r="1018" customFormat="false" ht="15.75" hidden="false" customHeight="true" outlineLevel="1" collapsed="false">
      <c r="A1018" s="1372" t="s">
        <v>3356</v>
      </c>
      <c r="B1018" s="887" t="str">
        <f aca="false">B556</f>
        <v>м.п.</v>
      </c>
      <c r="C1018" s="1372" t="n">
        <f aca="false">C556</f>
        <v>0.4</v>
      </c>
      <c r="D1018" s="1372" t="n">
        <f aca="false">D556</f>
        <v>0.05</v>
      </c>
      <c r="E1018" s="1372" t="n">
        <f aca="false">IF('Ввод данных'!A372=связи1!A106,IF('Ввод данных'!A373=связи1!A94,0,0)+IF('Ввод данных'!A373=связи1!A95,связи1!F557-связи1!F556,0)+IF('Ввод данных'!A373=связи1!A96,связи1!F557,0)+IF('Ввод данных'!A373=связи1!A97,0,0)+IF('Ввод данных'!A373=связи1!A98,связи1!F557,0),0)</f>
        <v>0</v>
      </c>
      <c r="F1018" s="1372" t="n">
        <f aca="false">2*VLOOKUP('Ввод данных'!$F$416,связи1!$A$2:$B$3,2,0)</f>
        <v>0</v>
      </c>
      <c r="G1018" s="933" t="n">
        <f aca="false">C1018*D1018*E1018*F1018</f>
        <v>0</v>
      </c>
      <c r="H1018" s="933"/>
      <c r="I1018" s="933"/>
      <c r="J1018" s="933"/>
      <c r="K1018" s="933"/>
      <c r="L1018" s="933"/>
      <c r="M1018" s="933"/>
      <c r="N1018" s="933"/>
      <c r="O1018" s="933"/>
      <c r="P1018" s="1290"/>
      <c r="Q1018" s="1290"/>
      <c r="R1018" s="1290"/>
      <c r="S1018" s="933"/>
      <c r="T1018" s="933"/>
      <c r="U1018" s="1329"/>
      <c r="V1018" s="933"/>
      <c r="W1018" s="933"/>
      <c r="X1018" s="933"/>
      <c r="Y1018" s="1290"/>
      <c r="Z1018" s="1290"/>
      <c r="AA1018" s="933"/>
      <c r="AB1018" s="933"/>
      <c r="AC1018" s="933"/>
      <c r="AD1018" s="933"/>
    </row>
    <row r="1019" customFormat="false" ht="15.75" hidden="false" customHeight="true" outlineLevel="1" collapsed="false">
      <c r="A1019" s="1372" t="s">
        <v>3357</v>
      </c>
      <c r="B1019" s="887" t="str">
        <f aca="false">B557</f>
        <v>м.п.</v>
      </c>
      <c r="C1019" s="1372" t="n">
        <f aca="false">C557</f>
        <v>0.4</v>
      </c>
      <c r="D1019" s="1372" t="n">
        <f aca="false">D557</f>
        <v>0.05</v>
      </c>
      <c r="E1019" s="1372" t="n">
        <f aca="false">IF('Ввод данных'!$A$373=связи1!$A$96,IF(дома!E1018&lt;связи1!$F$558,0,дома!E1018-$F$881),0)+IF(дома!E1018=0,0,IF('Ввод данных'!$A$373=связи1!$A$95,IF(дома!E1018&lt;0,0,дома!E1018-$F$881),0))+IF('Ввод данных'!$A$373=связи1!$A$98,IF(дома!E1018&lt;связи1!$F$558,0,дома!E1018-$F$881),0)</f>
        <v>0</v>
      </c>
      <c r="F1019" s="1372" t="n">
        <f aca="false">2*VLOOKUP('Ввод данных'!$F$416,связи1!$A$2:$B$3,2,0)</f>
        <v>0</v>
      </c>
      <c r="G1019" s="933" t="n">
        <f aca="false">C1019*D1019*E1019*F1019</f>
        <v>0</v>
      </c>
      <c r="H1019" s="933"/>
      <c r="I1019" s="933"/>
      <c r="J1019" s="933"/>
      <c r="K1019" s="933"/>
      <c r="L1019" s="933"/>
      <c r="M1019" s="933"/>
      <c r="N1019" s="933"/>
      <c r="O1019" s="933"/>
      <c r="P1019" s="1290"/>
      <c r="Q1019" s="1290"/>
      <c r="R1019" s="1290"/>
      <c r="S1019" s="933"/>
      <c r="T1019" s="933"/>
      <c r="U1019" s="1329"/>
      <c r="V1019" s="933"/>
      <c r="W1019" s="933"/>
      <c r="X1019" s="933"/>
      <c r="Y1019" s="1290"/>
      <c r="Z1019" s="1290"/>
      <c r="AA1019" s="933"/>
      <c r="AB1019" s="933"/>
      <c r="AC1019" s="933"/>
      <c r="AD1019" s="933"/>
    </row>
    <row r="1020" customFormat="false" ht="15.75" hidden="false" customHeight="true" outlineLevel="1" collapsed="false">
      <c r="A1020" s="1372" t="s">
        <v>3358</v>
      </c>
      <c r="B1020" s="887" t="str">
        <f aca="false">B558</f>
        <v>м.п.</v>
      </c>
      <c r="C1020" s="1372" t="n">
        <f aca="false">C558</f>
        <v>0.4</v>
      </c>
      <c r="D1020" s="1372" t="n">
        <f aca="false">D558</f>
        <v>0.05</v>
      </c>
      <c r="E1020" s="1372" t="n">
        <f aca="false">IF('Ввод данных'!$A$373=связи1!$A$96,IF(дома!E1019&lt;связи1!$F$558,0,дома!E1019-$F$881),0)+IF(дома!E1019=0,0,IF('Ввод данных'!$A$373=связи1!$A$95,IF(дома!E1019&lt;0,0,дома!E1019-$F$881),0))+IF('Ввод данных'!$A$373=связи1!$A$98,IF(дома!E1019&lt;связи1!$F$558,0,дома!E1019-$F$881),0)</f>
        <v>0</v>
      </c>
      <c r="F1020" s="1372" t="n">
        <f aca="false">2*VLOOKUP('Ввод данных'!$F$416,связи1!$A$2:$B$3,2,0)</f>
        <v>0</v>
      </c>
      <c r="G1020" s="933" t="n">
        <f aca="false">C1020*D1020*E1020*F1020</f>
        <v>0</v>
      </c>
      <c r="H1020" s="933"/>
      <c r="I1020" s="933"/>
      <c r="J1020" s="933"/>
      <c r="K1020" s="933"/>
      <c r="L1020" s="933"/>
      <c r="M1020" s="933"/>
      <c r="N1020" s="933"/>
      <c r="O1020" s="933"/>
      <c r="P1020" s="1290"/>
      <c r="Q1020" s="1290"/>
      <c r="R1020" s="1290"/>
      <c r="S1020" s="933"/>
      <c r="T1020" s="933"/>
      <c r="U1020" s="1329"/>
      <c r="V1020" s="933"/>
      <c r="W1020" s="933"/>
      <c r="X1020" s="933"/>
      <c r="Y1020" s="1290"/>
      <c r="Z1020" s="1290"/>
      <c r="AA1020" s="933"/>
      <c r="AB1020" s="933"/>
      <c r="AC1020" s="933"/>
      <c r="AD1020" s="933"/>
    </row>
    <row r="1021" customFormat="false" ht="15.75" hidden="false" customHeight="true" outlineLevel="1" collapsed="false">
      <c r="A1021" s="1372" t="s">
        <v>3359</v>
      </c>
      <c r="B1021" s="887" t="str">
        <f aca="false">B559</f>
        <v>м.п.</v>
      </c>
      <c r="C1021" s="1372" t="n">
        <f aca="false">C559</f>
        <v>0.4</v>
      </c>
      <c r="D1021" s="1372" t="n">
        <f aca="false">D559</f>
        <v>0.05</v>
      </c>
      <c r="E1021" s="1372" t="n">
        <f aca="false">IF('Ввод данных'!$A$373=связи1!$A$96,IF(дома!E1020&lt;связи1!$F$558,0,дома!E1020-$F$881),0)+IF(дома!E1020=0,0,IF('Ввод данных'!$A$373=связи1!$A$95,IF(дома!E1020&lt;0,0,дома!E1020-$F$881),0))+IF('Ввод данных'!$A$373=связи1!$A$98,IF(дома!E1020&lt;связи1!$F$558,0,дома!E1020-$F$881),0)</f>
        <v>0</v>
      </c>
      <c r="F1021" s="1372" t="n">
        <f aca="false">2*VLOOKUP('Ввод данных'!$F$416,связи1!$A$2:$B$3,2,0)</f>
        <v>0</v>
      </c>
      <c r="G1021" s="933" t="n">
        <f aca="false">C1021*D1021*E1021*F1021</f>
        <v>0</v>
      </c>
      <c r="H1021" s="933"/>
      <c r="I1021" s="933"/>
      <c r="J1021" s="933"/>
      <c r="K1021" s="933"/>
      <c r="L1021" s="933"/>
      <c r="M1021" s="933"/>
      <c r="N1021" s="933"/>
      <c r="O1021" s="933"/>
      <c r="P1021" s="1290"/>
      <c r="Q1021" s="1290"/>
      <c r="R1021" s="1290"/>
      <c r="S1021" s="933"/>
      <c r="T1021" s="933"/>
      <c r="U1021" s="1329"/>
      <c r="V1021" s="933"/>
      <c r="W1021" s="933"/>
      <c r="X1021" s="933"/>
      <c r="Y1021" s="1290"/>
      <c r="Z1021" s="1290"/>
      <c r="AA1021" s="933"/>
      <c r="AB1021" s="933"/>
      <c r="AC1021" s="933"/>
      <c r="AD1021" s="933"/>
    </row>
    <row r="1022" customFormat="false" ht="15.75" hidden="false" customHeight="true" outlineLevel="1" collapsed="false">
      <c r="A1022" s="1372" t="s">
        <v>3360</v>
      </c>
      <c r="B1022" s="887" t="str">
        <f aca="false">B560</f>
        <v>м.п.</v>
      </c>
      <c r="C1022" s="1372" t="n">
        <f aca="false">C560</f>
        <v>0.4</v>
      </c>
      <c r="D1022" s="1372" t="n">
        <f aca="false">D560</f>
        <v>0.05</v>
      </c>
      <c r="E1022" s="1372" t="n">
        <f aca="false">IF('Ввод данных'!$A$373=связи1!$A$96,IF(дома!E1021&lt;связи1!$F$558,0,дома!E1021-$F$881),0)+IF(дома!E1021=0,0,IF('Ввод данных'!$A$373=связи1!$A$95,IF(дома!E1021&lt;0,0,дома!E1021-$F$881),0))+IF('Ввод данных'!$A$373=связи1!$A$98,IF(дома!E1021&lt;связи1!$F$558,0,дома!E1021-$F$881),0)</f>
        <v>0</v>
      </c>
      <c r="F1022" s="1372" t="n">
        <f aca="false">2*VLOOKUP('Ввод данных'!$F$416,связи1!$A$2:$B$3,2,0)</f>
        <v>0</v>
      </c>
      <c r="G1022" s="933" t="n">
        <f aca="false">C1022*D1022*E1022*F1022</f>
        <v>0</v>
      </c>
      <c r="H1022" s="933"/>
      <c r="I1022" s="933"/>
      <c r="J1022" s="933"/>
      <c r="K1022" s="933"/>
      <c r="L1022" s="933"/>
      <c r="M1022" s="933"/>
      <c r="N1022" s="933"/>
      <c r="O1022" s="933"/>
      <c r="P1022" s="1290"/>
      <c r="Q1022" s="1290"/>
      <c r="R1022" s="1290"/>
      <c r="S1022" s="933"/>
      <c r="T1022" s="933"/>
      <c r="U1022" s="1329"/>
      <c r="V1022" s="933"/>
      <c r="W1022" s="933"/>
      <c r="X1022" s="933"/>
      <c r="Y1022" s="1290"/>
      <c r="Z1022" s="1290"/>
      <c r="AA1022" s="933"/>
      <c r="AB1022" s="933"/>
      <c r="AC1022" s="933"/>
      <c r="AD1022" s="933"/>
    </row>
    <row r="1023" customFormat="false" ht="15.75" hidden="false" customHeight="true" outlineLevel="1" collapsed="false">
      <c r="A1023" s="1372" t="s">
        <v>3361</v>
      </c>
      <c r="B1023" s="887" t="str">
        <f aca="false">B561</f>
        <v>м.п.</v>
      </c>
      <c r="C1023" s="1372" t="n">
        <f aca="false">C561</f>
        <v>0.4</v>
      </c>
      <c r="D1023" s="1372" t="n">
        <f aca="false">D561</f>
        <v>0.05</v>
      </c>
      <c r="E1023" s="1372" t="n">
        <f aca="false">IF('Ввод данных'!$A$373=связи1!$A$96,IF(дома!E1022&lt;связи1!$F$558,0,дома!E1022-$F$881),0)+IF(дома!E1022=0,0,IF('Ввод данных'!$A$373=связи1!$A$95,IF(дома!E1022&lt;0,0,дома!E1022-$F$881),0))+IF('Ввод данных'!$A$373=связи1!$A$98,IF(дома!E1022&lt;связи1!$F$558,0,дома!E1022-$F$881),0)</f>
        <v>0</v>
      </c>
      <c r="F1023" s="1372" t="n">
        <f aca="false">2*VLOOKUP('Ввод данных'!$F$416,связи1!$A$2:$B$3,2,0)</f>
        <v>0</v>
      </c>
      <c r="G1023" s="933" t="n">
        <f aca="false">C1023*D1023*E1023*F1023</f>
        <v>0</v>
      </c>
      <c r="H1023" s="933"/>
      <c r="I1023" s="933"/>
      <c r="J1023" s="933"/>
      <c r="K1023" s="933"/>
      <c r="L1023" s="933"/>
      <c r="M1023" s="933"/>
      <c r="N1023" s="933"/>
      <c r="O1023" s="933"/>
      <c r="P1023" s="1290"/>
      <c r="Q1023" s="1290"/>
      <c r="R1023" s="1290"/>
      <c r="S1023" s="933"/>
      <c r="T1023" s="933"/>
      <c r="U1023" s="1329"/>
      <c r="V1023" s="933"/>
      <c r="W1023" s="933"/>
      <c r="X1023" s="933"/>
      <c r="Y1023" s="1290"/>
      <c r="Z1023" s="1290"/>
      <c r="AA1023" s="933"/>
      <c r="AB1023" s="933"/>
      <c r="AC1023" s="933"/>
      <c r="AD1023" s="933"/>
    </row>
    <row r="1024" customFormat="false" ht="15.75" hidden="false" customHeight="true" outlineLevel="1" collapsed="false">
      <c r="A1024" s="1372" t="s">
        <v>3362</v>
      </c>
      <c r="B1024" s="887" t="str">
        <f aca="false">B562</f>
        <v>м.п.</v>
      </c>
      <c r="C1024" s="1372" t="n">
        <f aca="false">C562</f>
        <v>0.4</v>
      </c>
      <c r="D1024" s="1372" t="n">
        <f aca="false">D562</f>
        <v>0.05</v>
      </c>
      <c r="E1024" s="1372" t="n">
        <f aca="false">IF('Ввод данных'!$A$373=связи1!$A$96,IF(дома!E1023&lt;связи1!$F$558,0,дома!E1023-$F$881),0)+IF(дома!E1023=0,0,IF('Ввод данных'!$A$373=связи1!$A$95,IF(дома!E1023&lt;0,0,дома!E1023-$F$881),0))+IF('Ввод данных'!$A$373=связи1!$A$98,IF(дома!E1023&lt;связи1!$F$558,0,дома!E1023-$F$881),0)</f>
        <v>0</v>
      </c>
      <c r="F1024" s="1372" t="n">
        <f aca="false">2*VLOOKUP('Ввод данных'!$F$416,связи1!$A$2:$B$3,2,0)</f>
        <v>0</v>
      </c>
      <c r="G1024" s="933" t="n">
        <f aca="false">C1024*D1024*E1024*F1024</f>
        <v>0</v>
      </c>
      <c r="H1024" s="933"/>
      <c r="I1024" s="933"/>
      <c r="J1024" s="933"/>
      <c r="K1024" s="933"/>
      <c r="L1024" s="933"/>
      <c r="M1024" s="933"/>
      <c r="N1024" s="933"/>
      <c r="O1024" s="933"/>
      <c r="P1024" s="1290"/>
      <c r="Q1024" s="1290"/>
      <c r="R1024" s="1290"/>
      <c r="S1024" s="933"/>
      <c r="T1024" s="933"/>
      <c r="U1024" s="1329"/>
      <c r="V1024" s="933"/>
      <c r="W1024" s="933"/>
      <c r="X1024" s="933"/>
      <c r="Y1024" s="1290"/>
      <c r="Z1024" s="1290"/>
      <c r="AA1024" s="933"/>
      <c r="AB1024" s="933"/>
      <c r="AC1024" s="933"/>
      <c r="AD1024" s="933"/>
    </row>
    <row r="1025" customFormat="false" ht="15.75" hidden="false" customHeight="true" outlineLevel="1" collapsed="false">
      <c r="A1025" s="1372" t="s">
        <v>3363</v>
      </c>
      <c r="B1025" s="887" t="str">
        <f aca="false">B563</f>
        <v>м.п.</v>
      </c>
      <c r="C1025" s="1372" t="n">
        <f aca="false">C563</f>
        <v>0.4</v>
      </c>
      <c r="D1025" s="1372" t="n">
        <f aca="false">D563</f>
        <v>0.05</v>
      </c>
      <c r="E1025" s="1372" t="n">
        <f aca="false">IF('Ввод данных'!$A$373=связи1!$A$96,IF(дома!E1024&lt;связи1!$F$558,0,дома!E1024-$F$881),0)+IF(дома!E1024=0,0,IF('Ввод данных'!$A$373=связи1!$A$95,IF(дома!E1024&lt;0,0,дома!E1024-$F$881),0))+IF('Ввод данных'!$A$373=связи1!$A$98,IF(дома!E1024&lt;связи1!$F$558,0,дома!E1024-$F$881),0)</f>
        <v>0</v>
      </c>
      <c r="F1025" s="1372" t="n">
        <f aca="false">2*VLOOKUP('Ввод данных'!$F$416,связи1!$A$2:$B$3,2,0)</f>
        <v>0</v>
      </c>
      <c r="G1025" s="933" t="n">
        <f aca="false">C1025*D1025*E1025*F1025</f>
        <v>0</v>
      </c>
      <c r="H1025" s="933"/>
      <c r="I1025" s="933"/>
      <c r="J1025" s="933"/>
      <c r="K1025" s="933"/>
      <c r="L1025" s="933"/>
      <c r="M1025" s="933"/>
      <c r="N1025" s="933"/>
      <c r="O1025" s="933"/>
      <c r="P1025" s="1290"/>
      <c r="Q1025" s="1290"/>
      <c r="R1025" s="1290"/>
      <c r="S1025" s="933"/>
      <c r="T1025" s="933"/>
      <c r="U1025" s="1329"/>
      <c r="V1025" s="933"/>
      <c r="W1025" s="933"/>
      <c r="X1025" s="933"/>
      <c r="Y1025" s="1290"/>
      <c r="Z1025" s="1290"/>
      <c r="AA1025" s="933"/>
      <c r="AB1025" s="933"/>
      <c r="AC1025" s="933"/>
      <c r="AD1025" s="933"/>
    </row>
    <row r="1026" customFormat="false" ht="15.75" hidden="false" customHeight="true" outlineLevel="1" collapsed="false">
      <c r="A1026" s="1372" t="s">
        <v>3364</v>
      </c>
      <c r="B1026" s="887" t="str">
        <f aca="false">B564</f>
        <v>м.п.</v>
      </c>
      <c r="C1026" s="1372" t="n">
        <f aca="false">C564</f>
        <v>0.4</v>
      </c>
      <c r="D1026" s="1372" t="n">
        <f aca="false">D564</f>
        <v>0.05</v>
      </c>
      <c r="E1026" s="1372" t="n">
        <f aca="false">IF('Ввод данных'!$A$373=связи1!$A$96,IF(дома!E1025&lt;связи1!$F$558,0,дома!E1025-$F$881),0)+IF(дома!E1025=0,0,IF('Ввод данных'!$A$373=связи1!$A$95,IF(дома!E1025&lt;0,0,дома!E1025-$F$881),0))+IF('Ввод данных'!$A$373=связи1!$A$98,IF(дома!E1025&lt;связи1!$F$558,0,дома!E1025-$F$881),0)</f>
        <v>0</v>
      </c>
      <c r="F1026" s="1372" t="n">
        <f aca="false">2*VLOOKUP('Ввод данных'!$F$416,связи1!$A$2:$B$3,2,0)</f>
        <v>0</v>
      </c>
      <c r="G1026" s="933" t="n">
        <f aca="false">C1026*D1026*E1026*F1026</f>
        <v>0</v>
      </c>
      <c r="H1026" s="933"/>
      <c r="I1026" s="933"/>
      <c r="J1026" s="933"/>
      <c r="K1026" s="933"/>
      <c r="L1026" s="933"/>
      <c r="M1026" s="933"/>
      <c r="N1026" s="933"/>
      <c r="O1026" s="933"/>
      <c r="P1026" s="1290"/>
      <c r="Q1026" s="1290"/>
      <c r="R1026" s="1290"/>
      <c r="S1026" s="933"/>
      <c r="T1026" s="933"/>
      <c r="U1026" s="1329"/>
      <c r="V1026" s="933"/>
      <c r="W1026" s="933"/>
      <c r="X1026" s="933"/>
      <c r="Y1026" s="1290"/>
      <c r="Z1026" s="1290"/>
      <c r="AA1026" s="933"/>
      <c r="AB1026" s="933"/>
      <c r="AC1026" s="933"/>
      <c r="AD1026" s="933"/>
    </row>
    <row r="1027" customFormat="false" ht="15.75" hidden="false" customHeight="true" outlineLevel="1" collapsed="false">
      <c r="A1027" s="1372" t="s">
        <v>3365</v>
      </c>
      <c r="B1027" s="887" t="str">
        <f aca="false">B565</f>
        <v>м.п.</v>
      </c>
      <c r="C1027" s="1372" t="n">
        <f aca="false">C565</f>
        <v>0.4</v>
      </c>
      <c r="D1027" s="1372" t="n">
        <f aca="false">D565</f>
        <v>0.05</v>
      </c>
      <c r="E1027" s="1372" t="n">
        <f aca="false">IF('Ввод данных'!$A$373=связи1!$A$96,IF(дома!E1026&lt;связи1!$F$558,0,дома!E1026-$F$881),0)+IF(дома!E1026=0,0,IF('Ввод данных'!$A$373=связи1!$A$95,IF(дома!E1026&lt;0,0,дома!E1026-$F$881),0))+IF('Ввод данных'!$A$373=связи1!$A$98,IF(дома!E1026&lt;связи1!$F$558,0,дома!E1026-$F$881),0)</f>
        <v>0</v>
      </c>
      <c r="F1027" s="1372" t="n">
        <f aca="false">2*VLOOKUP('Ввод данных'!$F$416,связи1!$A$2:$B$3,2,0)</f>
        <v>0</v>
      </c>
      <c r="G1027" s="933" t="n">
        <f aca="false">C1027*D1027*E1027*F1027</f>
        <v>0</v>
      </c>
      <c r="H1027" s="933"/>
      <c r="I1027" s="933"/>
      <c r="J1027" s="933"/>
      <c r="K1027" s="933"/>
      <c r="L1027" s="933"/>
      <c r="M1027" s="933"/>
      <c r="N1027" s="933"/>
      <c r="O1027" s="933"/>
      <c r="P1027" s="1290"/>
      <c r="Q1027" s="1290"/>
      <c r="R1027" s="1290"/>
      <c r="S1027" s="933"/>
      <c r="T1027" s="933"/>
      <c r="U1027" s="1329"/>
      <c r="V1027" s="933"/>
      <c r="W1027" s="933"/>
      <c r="X1027" s="933"/>
      <c r="Y1027" s="1290"/>
      <c r="Z1027" s="1290"/>
      <c r="AA1027" s="933"/>
      <c r="AB1027" s="933"/>
      <c r="AC1027" s="933"/>
      <c r="AD1027" s="933"/>
    </row>
    <row r="1028" customFormat="false" ht="15.75" hidden="false" customHeight="true" outlineLevel="1" collapsed="false">
      <c r="A1028" s="1372" t="s">
        <v>3366</v>
      </c>
      <c r="B1028" s="887" t="str">
        <f aca="false">B566</f>
        <v>м.п.</v>
      </c>
      <c r="C1028" s="1372" t="n">
        <f aca="false">C566</f>
        <v>0.4</v>
      </c>
      <c r="D1028" s="1372" t="n">
        <f aca="false">D566</f>
        <v>0.05</v>
      </c>
      <c r="E1028" s="1372" t="n">
        <f aca="false">IF('Ввод данных'!$A$373=связи1!$A$96,IF(дома!E1027&lt;связи1!$F$558,0,дома!E1027-$F$881),0)+IF(дома!E1027=0,0,IF('Ввод данных'!$A$373=связи1!$A$95,IF(дома!E1027&lt;0,0,дома!E1027-$F$881),0))+IF('Ввод данных'!$A$373=связи1!$A$98,IF(дома!E1027&lt;связи1!$F$558,0,дома!E1027-$F$881),0)</f>
        <v>0</v>
      </c>
      <c r="F1028" s="1372" t="n">
        <f aca="false">2*VLOOKUP('Ввод данных'!$F$416,связи1!$A$2:$B$3,2,0)</f>
        <v>0</v>
      </c>
      <c r="G1028" s="933" t="n">
        <f aca="false">C1028*D1028*E1028*F1028</f>
        <v>0</v>
      </c>
      <c r="H1028" s="933"/>
      <c r="I1028" s="933"/>
      <c r="J1028" s="933"/>
      <c r="K1028" s="933"/>
      <c r="L1028" s="933"/>
      <c r="M1028" s="933"/>
      <c r="N1028" s="933"/>
      <c r="O1028" s="933"/>
      <c r="P1028" s="1290"/>
      <c r="Q1028" s="1290"/>
      <c r="R1028" s="1290"/>
      <c r="S1028" s="933"/>
      <c r="T1028" s="933"/>
      <c r="U1028" s="1329"/>
      <c r="V1028" s="933"/>
      <c r="W1028" s="933"/>
      <c r="X1028" s="933"/>
      <c r="Y1028" s="1290"/>
      <c r="Z1028" s="1290"/>
      <c r="AA1028" s="933"/>
      <c r="AB1028" s="933"/>
      <c r="AC1028" s="933"/>
      <c r="AD1028" s="933"/>
    </row>
    <row r="1029" customFormat="false" ht="15.75" hidden="false" customHeight="true" outlineLevel="1" collapsed="false">
      <c r="A1029" s="1372" t="s">
        <v>3367</v>
      </c>
      <c r="B1029" s="887" t="str">
        <f aca="false">B567</f>
        <v>м.п.</v>
      </c>
      <c r="C1029" s="1372" t="n">
        <f aca="false">C567</f>
        <v>0.4</v>
      </c>
      <c r="D1029" s="1372" t="n">
        <f aca="false">D567</f>
        <v>0.05</v>
      </c>
      <c r="E1029" s="1372" t="n">
        <f aca="false">IF('Ввод данных'!$A$373=связи1!$A$96,IF(дома!E1028&lt;связи1!$F$558,0,дома!E1028-$F$881),0)+IF(дома!E1028=0,0,IF('Ввод данных'!$A$373=связи1!$A$95,IF(дома!E1028&lt;0,0,дома!E1028-$F$881),0))+IF('Ввод данных'!$A$373=связи1!$A$98,IF(дома!E1028&lt;связи1!$F$558,0,дома!E1028-$F$881),0)</f>
        <v>0</v>
      </c>
      <c r="F1029" s="1372" t="n">
        <f aca="false">2*VLOOKUP('Ввод данных'!$F$416,связи1!$A$2:$B$3,2,0)</f>
        <v>0</v>
      </c>
      <c r="G1029" s="933" t="n">
        <f aca="false">C1029*D1029*E1029*F1029</f>
        <v>0</v>
      </c>
      <c r="H1029" s="933"/>
      <c r="I1029" s="933"/>
      <c r="J1029" s="933"/>
      <c r="K1029" s="933"/>
      <c r="L1029" s="933"/>
      <c r="M1029" s="933"/>
      <c r="N1029" s="933"/>
      <c r="O1029" s="933"/>
      <c r="P1029" s="1290"/>
      <c r="Q1029" s="1290"/>
      <c r="R1029" s="1290"/>
      <c r="S1029" s="933"/>
      <c r="T1029" s="933"/>
      <c r="U1029" s="1329"/>
      <c r="V1029" s="933"/>
      <c r="W1029" s="933"/>
      <c r="X1029" s="933"/>
      <c r="Y1029" s="1290"/>
      <c r="Z1029" s="1290"/>
      <c r="AA1029" s="933"/>
      <c r="AB1029" s="933"/>
      <c r="AC1029" s="933"/>
      <c r="AD1029" s="933"/>
    </row>
    <row r="1030" customFormat="false" ht="15.75" hidden="false" customHeight="true" outlineLevel="1" collapsed="false">
      <c r="A1030" s="1372" t="s">
        <v>3368</v>
      </c>
      <c r="B1030" s="887" t="str">
        <f aca="false">B568</f>
        <v>м.п.</v>
      </c>
      <c r="C1030" s="1372" t="n">
        <f aca="false">C568</f>
        <v>0.4</v>
      </c>
      <c r="D1030" s="1372" t="n">
        <f aca="false">D568</f>
        <v>0.05</v>
      </c>
      <c r="E1030" s="1372" t="n">
        <f aca="false">IF('Ввод данных'!$A$373=связи1!$A$96,IF(дома!E1029&lt;связи1!$F$558,0,дома!E1029-$F$881),0)+IF(дома!E1029=0,0,IF('Ввод данных'!$A$373=связи1!$A$95,IF(дома!E1029&lt;0,0,дома!E1029-$F$881),0))+IF('Ввод данных'!$A$373=связи1!$A$98,IF(дома!E1029&lt;связи1!$F$558,0,дома!E1029-$F$881),0)</f>
        <v>0</v>
      </c>
      <c r="F1030" s="1372" t="n">
        <f aca="false">2*VLOOKUP('Ввод данных'!$F$416,связи1!$A$2:$B$3,2,0)</f>
        <v>0</v>
      </c>
      <c r="G1030" s="933" t="n">
        <f aca="false">C1030*D1030*E1030*F1030</f>
        <v>0</v>
      </c>
      <c r="H1030" s="933"/>
      <c r="I1030" s="933"/>
      <c r="J1030" s="933"/>
      <c r="K1030" s="933"/>
      <c r="L1030" s="933"/>
      <c r="M1030" s="933"/>
      <c r="N1030" s="933"/>
      <c r="O1030" s="933"/>
      <c r="P1030" s="1290"/>
      <c r="Q1030" s="1290"/>
      <c r="R1030" s="1290"/>
      <c r="S1030" s="933"/>
      <c r="T1030" s="933"/>
      <c r="U1030" s="1329"/>
      <c r="V1030" s="933"/>
      <c r="W1030" s="933"/>
      <c r="X1030" s="933"/>
      <c r="Y1030" s="1290"/>
      <c r="Z1030" s="1290"/>
      <c r="AA1030" s="933"/>
      <c r="AB1030" s="933"/>
      <c r="AC1030" s="933"/>
      <c r="AD1030" s="933"/>
    </row>
    <row r="1031" customFormat="false" ht="15.75" hidden="false" customHeight="true" outlineLevel="1" collapsed="false">
      <c r="A1031" s="1372" t="s">
        <v>3369</v>
      </c>
      <c r="B1031" s="887" t="str">
        <f aca="false">B569</f>
        <v>м.п.</v>
      </c>
      <c r="C1031" s="1372" t="n">
        <f aca="false">C569</f>
        <v>0.4</v>
      </c>
      <c r="D1031" s="1372" t="n">
        <f aca="false">D569</f>
        <v>0.05</v>
      </c>
      <c r="E1031" s="1372" t="n">
        <f aca="false">IF('Ввод данных'!$A$373=связи1!$A$96,IF(дома!E1030&lt;связи1!$F$558,0,дома!E1030-$F$881),0)+IF(дома!E1030=0,0,IF('Ввод данных'!$A$373=связи1!$A$95,IF(дома!E1030&lt;0,0,дома!E1030-$F$881),0))+IF('Ввод данных'!$A$373=связи1!$A$98,IF(дома!E1030&lt;связи1!$F$558,0,дома!E1030-$F$881),0)</f>
        <v>0</v>
      </c>
      <c r="F1031" s="1372" t="n">
        <f aca="false">2*VLOOKUP('Ввод данных'!$F$416,связи1!$A$2:$B$3,2,0)</f>
        <v>0</v>
      </c>
      <c r="G1031" s="933" t="n">
        <f aca="false">C1031*D1031*E1031*F1031</f>
        <v>0</v>
      </c>
      <c r="H1031" s="933"/>
      <c r="I1031" s="933"/>
      <c r="J1031" s="933"/>
      <c r="K1031" s="933"/>
      <c r="L1031" s="933"/>
      <c r="M1031" s="933"/>
      <c r="N1031" s="933"/>
      <c r="O1031" s="933"/>
      <c r="P1031" s="1290"/>
      <c r="Q1031" s="1290"/>
      <c r="R1031" s="1290"/>
      <c r="S1031" s="933"/>
      <c r="T1031" s="933"/>
      <c r="U1031" s="1329"/>
      <c r="V1031" s="933"/>
      <c r="W1031" s="933"/>
      <c r="X1031" s="933"/>
      <c r="Y1031" s="1290"/>
      <c r="Z1031" s="1290"/>
      <c r="AA1031" s="933"/>
      <c r="AB1031" s="933"/>
      <c r="AC1031" s="933"/>
      <c r="AD1031" s="933"/>
    </row>
    <row r="1032" customFormat="false" ht="15.75" hidden="false" customHeight="true" outlineLevel="1" collapsed="false">
      <c r="A1032" s="1372" t="s">
        <v>3370</v>
      </c>
      <c r="B1032" s="887" t="str">
        <f aca="false">B570</f>
        <v>м.п.</v>
      </c>
      <c r="C1032" s="1372" t="n">
        <f aca="false">C570</f>
        <v>0.4</v>
      </c>
      <c r="D1032" s="1372" t="n">
        <f aca="false">D570</f>
        <v>0.05</v>
      </c>
      <c r="E1032" s="1372" t="n">
        <f aca="false">IF('Ввод данных'!$A$373=связи1!$A$96,IF(дома!E1031&lt;связи1!$F$558,0,дома!E1031-$F$881),0)+IF(дома!E1031=0,0,IF('Ввод данных'!$A$373=связи1!$A$95,IF(дома!E1031&lt;0,0,дома!E1031-$F$881),0))+IF('Ввод данных'!$A$373=связи1!$A$98,IF(дома!E1031&lt;связи1!$F$558,0,дома!E1031-$F$881),0)</f>
        <v>0</v>
      </c>
      <c r="F1032" s="1372" t="n">
        <f aca="false">2*VLOOKUP('Ввод данных'!$F$416,связи1!$A$2:$B$3,2,0)</f>
        <v>0</v>
      </c>
      <c r="G1032" s="933" t="n">
        <f aca="false">C1032*D1032*E1032*F1032</f>
        <v>0</v>
      </c>
      <c r="H1032" s="933"/>
      <c r="I1032" s="933"/>
      <c r="J1032" s="933"/>
      <c r="K1032" s="933"/>
      <c r="L1032" s="933"/>
      <c r="M1032" s="933"/>
      <c r="N1032" s="933"/>
      <c r="O1032" s="933"/>
      <c r="P1032" s="1290"/>
      <c r="Q1032" s="1290"/>
      <c r="R1032" s="1290"/>
      <c r="S1032" s="933"/>
      <c r="T1032" s="933"/>
      <c r="U1032" s="1329"/>
      <c r="V1032" s="933"/>
      <c r="W1032" s="933"/>
      <c r="X1032" s="933"/>
      <c r="Y1032" s="1290"/>
      <c r="Z1032" s="1290"/>
      <c r="AA1032" s="933"/>
      <c r="AB1032" s="933"/>
      <c r="AC1032" s="933"/>
      <c r="AD1032" s="933"/>
    </row>
    <row r="1033" customFormat="false" ht="15.75" hidden="false" customHeight="true" outlineLevel="1" collapsed="false">
      <c r="A1033" s="1372" t="s">
        <v>3371</v>
      </c>
      <c r="B1033" s="887" t="str">
        <f aca="false">B571</f>
        <v>м.п.</v>
      </c>
      <c r="C1033" s="1372" t="n">
        <f aca="false">C571</f>
        <v>0.4</v>
      </c>
      <c r="D1033" s="1372" t="n">
        <f aca="false">D571</f>
        <v>0.05</v>
      </c>
      <c r="E1033" s="1372" t="n">
        <f aca="false">IF('Ввод данных'!$A$373=связи1!$A$96,IF(дома!E1032&lt;связи1!$F$558,0,дома!E1032-$F$881),0)+IF(дома!E1032=0,0,IF('Ввод данных'!$A$373=связи1!$A$95,IF(дома!E1032&lt;0,0,дома!E1032-$F$881),0))+IF('Ввод данных'!$A$373=связи1!$A$98,IF(дома!E1032&lt;связи1!$F$558,0,дома!E1032-$F$881),0)</f>
        <v>0</v>
      </c>
      <c r="F1033" s="1372" t="n">
        <f aca="false">2*VLOOKUP('Ввод данных'!$F$416,связи1!$A$2:$B$3,2,0)</f>
        <v>0</v>
      </c>
      <c r="G1033" s="933" t="n">
        <f aca="false">C1033*D1033*E1033*F1033</f>
        <v>0</v>
      </c>
      <c r="H1033" s="933"/>
      <c r="I1033" s="933"/>
      <c r="J1033" s="933"/>
      <c r="K1033" s="933"/>
      <c r="L1033" s="933"/>
      <c r="M1033" s="933"/>
      <c r="N1033" s="933"/>
      <c r="O1033" s="933"/>
      <c r="P1033" s="1290"/>
      <c r="Q1033" s="1290"/>
      <c r="R1033" s="1290"/>
      <c r="S1033" s="933"/>
      <c r="T1033" s="933"/>
      <c r="U1033" s="1329"/>
      <c r="V1033" s="933"/>
      <c r="W1033" s="933"/>
      <c r="X1033" s="933"/>
      <c r="Y1033" s="1290"/>
      <c r="Z1033" s="1290"/>
      <c r="AA1033" s="933"/>
      <c r="AB1033" s="933"/>
      <c r="AC1033" s="933"/>
      <c r="AD1033" s="933"/>
    </row>
    <row r="1034" customFormat="false" ht="15.75" hidden="false" customHeight="true" outlineLevel="1" collapsed="false">
      <c r="A1034" s="1372" t="s">
        <v>3372</v>
      </c>
      <c r="B1034" s="887" t="str">
        <f aca="false">B572</f>
        <v>м.п.</v>
      </c>
      <c r="C1034" s="1372" t="n">
        <f aca="false">C572</f>
        <v>0.4</v>
      </c>
      <c r="D1034" s="1372" t="n">
        <f aca="false">D572</f>
        <v>0.05</v>
      </c>
      <c r="E1034" s="1372" t="n">
        <f aca="false">IF('Ввод данных'!$A$373=связи1!$A$96,IF(дома!E1033&lt;связи1!$F$558,0,дома!E1033-$F$881),0)+IF(дома!E1033=0,0,IF('Ввод данных'!$A$373=связи1!$A$95,IF(дома!E1033&lt;0,0,дома!E1033-$F$881),0))+IF('Ввод данных'!$A$373=связи1!$A$98,IF(дома!E1033&lt;связи1!$F$558,0,дома!E1033-$F$881),0)</f>
        <v>0</v>
      </c>
      <c r="F1034" s="1372" t="n">
        <f aca="false">2*VLOOKUP('Ввод данных'!$F$416,связи1!$A$2:$B$3,2,0)</f>
        <v>0</v>
      </c>
      <c r="G1034" s="933" t="n">
        <f aca="false">C1034*D1034*E1034*F1034</f>
        <v>0</v>
      </c>
      <c r="H1034" s="933"/>
      <c r="I1034" s="933"/>
      <c r="J1034" s="933"/>
      <c r="K1034" s="933"/>
      <c r="L1034" s="933"/>
      <c r="M1034" s="933"/>
      <c r="N1034" s="933"/>
      <c r="O1034" s="933"/>
      <c r="P1034" s="1290"/>
      <c r="Q1034" s="1290"/>
      <c r="R1034" s="1290"/>
      <c r="S1034" s="933"/>
      <c r="T1034" s="933"/>
      <c r="U1034" s="1329"/>
      <c r="V1034" s="933"/>
      <c r="W1034" s="933"/>
      <c r="X1034" s="933"/>
      <c r="Y1034" s="1290"/>
      <c r="Z1034" s="1290"/>
      <c r="AA1034" s="933"/>
      <c r="AB1034" s="933"/>
      <c r="AC1034" s="933"/>
      <c r="AD1034" s="933"/>
    </row>
    <row r="1035" customFormat="false" ht="15.75" hidden="false" customHeight="true" outlineLevel="1" collapsed="false">
      <c r="A1035" s="1372" t="s">
        <v>3373</v>
      </c>
      <c r="B1035" s="887" t="str">
        <f aca="false">B573</f>
        <v>м.п.</v>
      </c>
      <c r="C1035" s="1372" t="n">
        <f aca="false">C573</f>
        <v>0.4</v>
      </c>
      <c r="D1035" s="1372" t="n">
        <f aca="false">D573</f>
        <v>0.05</v>
      </c>
      <c r="E1035" s="1372" t="n">
        <f aca="false">IF('Ввод данных'!A372=связи1!A107,IF('Ввод данных'!A373=связи1!A94,0,0)+IF('Ввод данных'!A373=связи1!A95,связи1!F557-связи1!F556,0)+IF('Ввод данных'!A373=связи1!A96,связи1!F557,0)+IF('Ввод данных'!A373=связи1!A97,0,0)+IF('Ввод данных'!A373=связи1!A98,связи1!F557,0),0)</f>
        <v>0</v>
      </c>
      <c r="F1035" s="1372" t="n">
        <f aca="false">2*VLOOKUP('Ввод данных'!$F$416,связи1!$A$2:$B$3,2,0)</f>
        <v>0</v>
      </c>
      <c r="G1035" s="933" t="n">
        <f aca="false">C1035*D1035*E1035*F1035</f>
        <v>0</v>
      </c>
      <c r="H1035" s="933"/>
      <c r="I1035" s="933"/>
      <c r="J1035" s="933"/>
      <c r="K1035" s="933"/>
      <c r="L1035" s="933"/>
      <c r="M1035" s="933"/>
      <c r="N1035" s="933"/>
      <c r="O1035" s="933"/>
      <c r="P1035" s="1290"/>
      <c r="Q1035" s="1290"/>
      <c r="R1035" s="1290"/>
      <c r="S1035" s="933"/>
      <c r="T1035" s="933"/>
      <c r="U1035" s="1329"/>
      <c r="V1035" s="933"/>
      <c r="W1035" s="933"/>
      <c r="X1035" s="933"/>
      <c r="Y1035" s="1290"/>
      <c r="Z1035" s="1290"/>
      <c r="AA1035" s="933"/>
      <c r="AB1035" s="933"/>
      <c r="AC1035" s="933"/>
      <c r="AD1035" s="933"/>
    </row>
    <row r="1036" customFormat="false" ht="15.75" hidden="false" customHeight="true" outlineLevel="1" collapsed="false">
      <c r="A1036" s="1372" t="s">
        <v>3374</v>
      </c>
      <c r="B1036" s="887" t="str">
        <f aca="false">B574</f>
        <v>м.п.</v>
      </c>
      <c r="C1036" s="1372" t="n">
        <f aca="false">C574</f>
        <v>0.4</v>
      </c>
      <c r="D1036" s="1372" t="n">
        <f aca="false">D574</f>
        <v>0.05</v>
      </c>
      <c r="E1036" s="1372" t="n">
        <f aca="false">IF('Ввод данных'!$A$373=связи1!$A$96,IF(дома!E1035&lt;связи1!$F$558,0,дома!E1035-$F$881),0)+IF(дома!E1035=0,0,IF('Ввод данных'!$A$373=связи1!$A$95,IF(дома!E1035&lt;0,0,дома!E1035-$F$881),0))+IF('Ввод данных'!$A$373=связи1!$A$98,IF(дома!E1035&lt;связи1!$F$558,0,дома!E1035-$F$881),0)</f>
        <v>0</v>
      </c>
      <c r="F1036" s="1372" t="n">
        <f aca="false">2*VLOOKUP('Ввод данных'!$F$416,связи1!$A$2:$B$3,2,0)</f>
        <v>0</v>
      </c>
      <c r="G1036" s="933" t="n">
        <f aca="false">C1036*D1036*E1036*F1036</f>
        <v>0</v>
      </c>
      <c r="H1036" s="933"/>
      <c r="I1036" s="933"/>
      <c r="J1036" s="933"/>
      <c r="K1036" s="933"/>
      <c r="L1036" s="933"/>
      <c r="M1036" s="933"/>
      <c r="N1036" s="933"/>
      <c r="O1036" s="933"/>
      <c r="P1036" s="1290"/>
      <c r="Q1036" s="1290"/>
      <c r="R1036" s="1290"/>
      <c r="S1036" s="933"/>
      <c r="T1036" s="933"/>
      <c r="U1036" s="1329"/>
      <c r="V1036" s="933"/>
      <c r="W1036" s="933"/>
      <c r="X1036" s="933"/>
      <c r="Y1036" s="1290"/>
      <c r="Z1036" s="1290"/>
      <c r="AA1036" s="933"/>
      <c r="AB1036" s="933"/>
      <c r="AC1036" s="933"/>
      <c r="AD1036" s="933"/>
    </row>
    <row r="1037" customFormat="false" ht="15.75" hidden="false" customHeight="true" outlineLevel="1" collapsed="false">
      <c r="A1037" s="1372" t="s">
        <v>3375</v>
      </c>
      <c r="B1037" s="887" t="str">
        <f aca="false">B575</f>
        <v>м.п.</v>
      </c>
      <c r="C1037" s="1372" t="n">
        <f aca="false">C575</f>
        <v>0.4</v>
      </c>
      <c r="D1037" s="1372" t="n">
        <f aca="false">D575</f>
        <v>0.05</v>
      </c>
      <c r="E1037" s="1372" t="n">
        <f aca="false">IF('Ввод данных'!$A$373=связи1!$A$96,IF(дома!E1036&lt;связи1!$F$558,0,дома!E1036-$F$881),0)+IF(дома!E1036=0,0,IF('Ввод данных'!$A$373=связи1!$A$95,IF(дома!E1036&lt;0,0,дома!E1036-$F$881),0))+IF('Ввод данных'!$A$373=связи1!$A$98,IF(дома!E1036&lt;связи1!$F$558,0,дома!E1036-$F$881),0)</f>
        <v>0</v>
      </c>
      <c r="F1037" s="1372" t="n">
        <f aca="false">2*VLOOKUP('Ввод данных'!$F$416,связи1!$A$2:$B$3,2,0)</f>
        <v>0</v>
      </c>
      <c r="G1037" s="933" t="n">
        <f aca="false">C1037*D1037*E1037*F1037</f>
        <v>0</v>
      </c>
      <c r="H1037" s="933"/>
      <c r="I1037" s="933"/>
      <c r="J1037" s="933"/>
      <c r="K1037" s="933"/>
      <c r="L1037" s="933"/>
      <c r="M1037" s="933"/>
      <c r="N1037" s="933"/>
      <c r="O1037" s="933"/>
      <c r="P1037" s="1290"/>
      <c r="Q1037" s="1290"/>
      <c r="R1037" s="1290"/>
      <c r="S1037" s="933"/>
      <c r="T1037" s="933"/>
      <c r="U1037" s="1329"/>
      <c r="V1037" s="933"/>
      <c r="W1037" s="933"/>
      <c r="X1037" s="933"/>
      <c r="Y1037" s="1290"/>
      <c r="Z1037" s="1290"/>
      <c r="AA1037" s="933"/>
      <c r="AB1037" s="933"/>
      <c r="AC1037" s="933"/>
      <c r="AD1037" s="933"/>
    </row>
    <row r="1038" customFormat="false" ht="15.75" hidden="false" customHeight="true" outlineLevel="1" collapsed="false">
      <c r="A1038" s="1372" t="s">
        <v>3376</v>
      </c>
      <c r="B1038" s="887" t="str">
        <f aca="false">B576</f>
        <v>м.п.</v>
      </c>
      <c r="C1038" s="1372" t="n">
        <f aca="false">C576</f>
        <v>0.4</v>
      </c>
      <c r="D1038" s="1372" t="n">
        <f aca="false">D576</f>
        <v>0.05</v>
      </c>
      <c r="E1038" s="1372" t="n">
        <f aca="false">IF('Ввод данных'!$A$373=связи1!$A$96,IF(дома!E1037&lt;связи1!$F$558,0,дома!E1037-$F$881),0)+IF(дома!E1037=0,0,IF('Ввод данных'!$A$373=связи1!$A$95,IF(дома!E1037&lt;0,0,дома!E1037-$F$881),0))+IF('Ввод данных'!$A$373=связи1!$A$98,IF(дома!E1037&lt;связи1!$F$558,0,дома!E1037-$F$881),0)</f>
        <v>0</v>
      </c>
      <c r="F1038" s="1372" t="n">
        <f aca="false">2*VLOOKUP('Ввод данных'!$F$416,связи1!$A$2:$B$3,2,0)</f>
        <v>0</v>
      </c>
      <c r="G1038" s="933" t="n">
        <f aca="false">C1038*D1038*E1038*F1038</f>
        <v>0</v>
      </c>
      <c r="H1038" s="933"/>
      <c r="I1038" s="933"/>
      <c r="J1038" s="933"/>
      <c r="K1038" s="933"/>
      <c r="L1038" s="933"/>
      <c r="M1038" s="933"/>
      <c r="N1038" s="933"/>
      <c r="O1038" s="933"/>
      <c r="P1038" s="1290"/>
      <c r="Q1038" s="1290"/>
      <c r="R1038" s="1290"/>
      <c r="S1038" s="933"/>
      <c r="T1038" s="933"/>
      <c r="U1038" s="1329"/>
      <c r="V1038" s="933"/>
      <c r="W1038" s="933"/>
      <c r="X1038" s="933"/>
      <c r="Y1038" s="1290"/>
      <c r="Z1038" s="1290"/>
      <c r="AA1038" s="933"/>
      <c r="AB1038" s="933"/>
      <c r="AC1038" s="933"/>
      <c r="AD1038" s="933"/>
    </row>
    <row r="1039" customFormat="false" ht="15.75" hidden="false" customHeight="true" outlineLevel="1" collapsed="false">
      <c r="A1039" s="1372" t="s">
        <v>3377</v>
      </c>
      <c r="B1039" s="887" t="str">
        <f aca="false">B577</f>
        <v>м.п.</v>
      </c>
      <c r="C1039" s="1372" t="n">
        <f aca="false">C577</f>
        <v>0.4</v>
      </c>
      <c r="D1039" s="1372" t="n">
        <f aca="false">D577</f>
        <v>0.05</v>
      </c>
      <c r="E1039" s="1372" t="n">
        <f aca="false">IF('Ввод данных'!$A$373=связи1!$A$96,IF(дома!E1038&lt;связи1!$F$558,0,дома!E1038-$F$881),0)+IF(дома!E1038=0,0,IF('Ввод данных'!$A$373=связи1!$A$95,IF(дома!E1038&lt;0,0,дома!E1038-$F$881),0))+IF('Ввод данных'!$A$373=связи1!$A$98,IF(дома!E1038&lt;связи1!$F$558,0,дома!E1038-$F$881),0)</f>
        <v>0</v>
      </c>
      <c r="F1039" s="1372" t="n">
        <f aca="false">2*VLOOKUP('Ввод данных'!$F$416,связи1!$A$2:$B$3,2,0)</f>
        <v>0</v>
      </c>
      <c r="G1039" s="933" t="n">
        <f aca="false">C1039*D1039*E1039*F1039</f>
        <v>0</v>
      </c>
      <c r="H1039" s="933"/>
      <c r="I1039" s="933"/>
      <c r="J1039" s="933"/>
      <c r="K1039" s="933"/>
      <c r="L1039" s="933"/>
      <c r="M1039" s="933"/>
      <c r="N1039" s="933"/>
      <c r="O1039" s="933"/>
      <c r="P1039" s="1290"/>
      <c r="Q1039" s="1290"/>
      <c r="R1039" s="1290"/>
      <c r="S1039" s="933"/>
      <c r="T1039" s="933"/>
      <c r="U1039" s="1329"/>
      <c r="V1039" s="933"/>
      <c r="W1039" s="933"/>
      <c r="X1039" s="933"/>
      <c r="Y1039" s="1290"/>
      <c r="Z1039" s="1290"/>
      <c r="AA1039" s="933"/>
      <c r="AB1039" s="933"/>
      <c r="AC1039" s="933"/>
      <c r="AD1039" s="933"/>
    </row>
    <row r="1040" customFormat="false" ht="15.75" hidden="false" customHeight="true" outlineLevel="1" collapsed="false">
      <c r="A1040" s="1372" t="s">
        <v>3378</v>
      </c>
      <c r="B1040" s="887" t="str">
        <f aca="false">B578</f>
        <v>м.п.</v>
      </c>
      <c r="C1040" s="1372" t="n">
        <f aca="false">C578</f>
        <v>0.4</v>
      </c>
      <c r="D1040" s="1372" t="n">
        <f aca="false">D578</f>
        <v>0.05</v>
      </c>
      <c r="E1040" s="1372" t="n">
        <f aca="false">IF('Ввод данных'!$A$373=связи1!$A$96,IF(дома!E1039&lt;связи1!$F$558,0,дома!E1039-$F$881),0)+IF(дома!E1039=0,0,IF('Ввод данных'!$A$373=связи1!$A$95,IF(дома!E1039&lt;0,0,дома!E1039-$F$881),0))+IF('Ввод данных'!$A$373=связи1!$A$98,IF(дома!E1039&lt;связи1!$F$558,0,дома!E1039-$F$881),0)</f>
        <v>0</v>
      </c>
      <c r="F1040" s="1372" t="n">
        <f aca="false">2*VLOOKUP('Ввод данных'!$F$416,связи1!$A$2:$B$3,2,0)</f>
        <v>0</v>
      </c>
      <c r="G1040" s="933" t="n">
        <f aca="false">C1040*D1040*E1040*F1040</f>
        <v>0</v>
      </c>
      <c r="H1040" s="933"/>
      <c r="I1040" s="933"/>
      <c r="J1040" s="933"/>
      <c r="K1040" s="933"/>
      <c r="L1040" s="933"/>
      <c r="M1040" s="933"/>
      <c r="N1040" s="933"/>
      <c r="O1040" s="933"/>
      <c r="P1040" s="1290"/>
      <c r="Q1040" s="1290"/>
      <c r="R1040" s="1290"/>
      <c r="S1040" s="933"/>
      <c r="T1040" s="933"/>
      <c r="U1040" s="1329"/>
      <c r="V1040" s="933"/>
      <c r="W1040" s="933"/>
      <c r="X1040" s="933"/>
      <c r="Y1040" s="1290"/>
      <c r="Z1040" s="1290"/>
      <c r="AA1040" s="933"/>
      <c r="AB1040" s="933"/>
      <c r="AC1040" s="933"/>
      <c r="AD1040" s="933"/>
    </row>
    <row r="1041" customFormat="false" ht="15.75" hidden="false" customHeight="true" outlineLevel="1" collapsed="false">
      <c r="A1041" s="1372" t="s">
        <v>3379</v>
      </c>
      <c r="B1041" s="887" t="str">
        <f aca="false">B579</f>
        <v>м.п.</v>
      </c>
      <c r="C1041" s="1372" t="n">
        <f aca="false">C579</f>
        <v>0.4</v>
      </c>
      <c r="D1041" s="1372" t="n">
        <f aca="false">D579</f>
        <v>0.05</v>
      </c>
      <c r="E1041" s="1372" t="n">
        <f aca="false">IF('Ввод данных'!$A$373=связи1!$A$96,IF(дома!E1040&lt;связи1!$F$558,0,дома!E1040-$F$881),0)+IF(дома!E1040=0,0,IF('Ввод данных'!$A$373=связи1!$A$95,IF(дома!E1040&lt;0,0,дома!E1040-$F$881),0))+IF('Ввод данных'!$A$373=связи1!$A$98,IF(дома!E1040&lt;связи1!$F$558,0,дома!E1040-$F$881),0)</f>
        <v>0</v>
      </c>
      <c r="F1041" s="1372" t="n">
        <f aca="false">2*VLOOKUP('Ввод данных'!$F$416,связи1!$A$2:$B$3,2,0)</f>
        <v>0</v>
      </c>
      <c r="G1041" s="933" t="n">
        <f aca="false">C1041*D1041*E1041*F1041</f>
        <v>0</v>
      </c>
      <c r="H1041" s="933"/>
      <c r="I1041" s="933"/>
      <c r="J1041" s="933"/>
      <c r="K1041" s="933"/>
      <c r="L1041" s="933"/>
      <c r="M1041" s="933"/>
      <c r="N1041" s="933"/>
      <c r="O1041" s="933"/>
      <c r="P1041" s="1290"/>
      <c r="Q1041" s="1290"/>
      <c r="R1041" s="1290"/>
      <c r="S1041" s="933"/>
      <c r="T1041" s="933"/>
      <c r="U1041" s="1329"/>
      <c r="V1041" s="933"/>
      <c r="W1041" s="933"/>
      <c r="X1041" s="933"/>
      <c r="Y1041" s="1290"/>
      <c r="Z1041" s="1290"/>
      <c r="AA1041" s="933"/>
      <c r="AB1041" s="933"/>
      <c r="AC1041" s="933"/>
      <c r="AD1041" s="933"/>
    </row>
    <row r="1042" customFormat="false" ht="15.75" hidden="false" customHeight="true" outlineLevel="1" collapsed="false">
      <c r="A1042" s="1372" t="s">
        <v>3380</v>
      </c>
      <c r="B1042" s="887" t="str">
        <f aca="false">B580</f>
        <v>м.п.</v>
      </c>
      <c r="C1042" s="1372" t="n">
        <f aca="false">C580</f>
        <v>0.4</v>
      </c>
      <c r="D1042" s="1372" t="n">
        <f aca="false">D580</f>
        <v>0.05</v>
      </c>
      <c r="E1042" s="1372" t="n">
        <f aca="false">IF('Ввод данных'!$A$373=связи1!$A$96,IF(дома!E1041&lt;связи1!$F$558,0,дома!E1041-$F$881),0)+IF(дома!E1041=0,0,IF('Ввод данных'!$A$373=связи1!$A$95,IF(дома!E1041&lt;0,0,дома!E1041-$F$881),0))+IF('Ввод данных'!$A$373=связи1!$A$98,IF(дома!E1041&lt;связи1!$F$558,0,дома!E1041-$F$881),0)</f>
        <v>0</v>
      </c>
      <c r="F1042" s="1372" t="n">
        <f aca="false">2*VLOOKUP('Ввод данных'!$F$416,связи1!$A$2:$B$3,2,0)</f>
        <v>0</v>
      </c>
      <c r="G1042" s="933" t="n">
        <f aca="false">C1042*D1042*E1042*F1042</f>
        <v>0</v>
      </c>
      <c r="H1042" s="933"/>
      <c r="I1042" s="933"/>
      <c r="J1042" s="933"/>
      <c r="K1042" s="933"/>
      <c r="L1042" s="933"/>
      <c r="M1042" s="933"/>
      <c r="N1042" s="933"/>
      <c r="O1042" s="933"/>
      <c r="P1042" s="1290"/>
      <c r="Q1042" s="1290"/>
      <c r="R1042" s="1290"/>
      <c r="S1042" s="933"/>
      <c r="T1042" s="933"/>
      <c r="U1042" s="1329"/>
      <c r="V1042" s="933"/>
      <c r="W1042" s="933"/>
      <c r="X1042" s="933"/>
      <c r="Y1042" s="1290"/>
      <c r="Z1042" s="1290"/>
      <c r="AA1042" s="933"/>
      <c r="AB1042" s="933"/>
      <c r="AC1042" s="933"/>
      <c r="AD1042" s="933"/>
    </row>
    <row r="1043" customFormat="false" ht="15.75" hidden="false" customHeight="true" outlineLevel="1" collapsed="false">
      <c r="A1043" s="1372" t="s">
        <v>3381</v>
      </c>
      <c r="B1043" s="887" t="str">
        <f aca="false">B581</f>
        <v>м.п.</v>
      </c>
      <c r="C1043" s="1372" t="n">
        <f aca="false">C581</f>
        <v>0.4</v>
      </c>
      <c r="D1043" s="1372" t="n">
        <f aca="false">D581</f>
        <v>0.05</v>
      </c>
      <c r="E1043" s="1372" t="n">
        <f aca="false">IF('Ввод данных'!$A$373=связи1!$A$96,IF(дома!E1042&lt;связи1!$F$558,0,дома!E1042-$F$881),0)+IF(дома!E1042=0,0,IF('Ввод данных'!$A$373=связи1!$A$95,IF(дома!E1042&lt;0,0,дома!E1042-$F$881),0))+IF('Ввод данных'!$A$373=связи1!$A$98,IF(дома!E1042&lt;связи1!$F$558,0,дома!E1042-$F$881),0)</f>
        <v>0</v>
      </c>
      <c r="F1043" s="1372" t="n">
        <f aca="false">2*VLOOKUP('Ввод данных'!$F$416,связи1!$A$2:$B$3,2,0)</f>
        <v>0</v>
      </c>
      <c r="G1043" s="933" t="n">
        <f aca="false">C1043*D1043*E1043*F1043</f>
        <v>0</v>
      </c>
      <c r="H1043" s="933"/>
      <c r="I1043" s="933"/>
      <c r="J1043" s="933"/>
      <c r="K1043" s="933"/>
      <c r="L1043" s="933"/>
      <c r="M1043" s="933"/>
      <c r="N1043" s="933"/>
      <c r="O1043" s="933"/>
      <c r="P1043" s="1290"/>
      <c r="Q1043" s="1290"/>
      <c r="R1043" s="1290"/>
      <c r="S1043" s="933"/>
      <c r="T1043" s="933"/>
      <c r="U1043" s="1329"/>
      <c r="V1043" s="933"/>
      <c r="W1043" s="933"/>
      <c r="X1043" s="933"/>
      <c r="Y1043" s="1290"/>
      <c r="Z1043" s="1290"/>
      <c r="AA1043" s="933"/>
      <c r="AB1043" s="933"/>
      <c r="AC1043" s="933"/>
      <c r="AD1043" s="933"/>
    </row>
    <row r="1044" customFormat="false" ht="15.75" hidden="false" customHeight="true" outlineLevel="1" collapsed="false">
      <c r="A1044" s="1372" t="s">
        <v>3382</v>
      </c>
      <c r="B1044" s="887" t="str">
        <f aca="false">B582</f>
        <v>м.п.</v>
      </c>
      <c r="C1044" s="1372" t="n">
        <f aca="false">C582</f>
        <v>0.4</v>
      </c>
      <c r="D1044" s="1372" t="n">
        <f aca="false">D582</f>
        <v>0.05</v>
      </c>
      <c r="E1044" s="1372" t="n">
        <f aca="false">IF('Ввод данных'!$A$373=связи1!$A$96,IF(дома!E1043&lt;связи1!$F$558,0,дома!E1043-$F$881),0)+IF(дома!E1043=0,0,IF('Ввод данных'!$A$373=связи1!$A$95,IF(дома!E1043&lt;0,0,дома!E1043-$F$881),0))+IF('Ввод данных'!$A$373=связи1!$A$98,IF(дома!E1043&lt;связи1!$F$558,0,дома!E1043-$F$881),0)</f>
        <v>0</v>
      </c>
      <c r="F1044" s="1372" t="n">
        <f aca="false">2*VLOOKUP('Ввод данных'!$F$416,связи1!$A$2:$B$3,2,0)</f>
        <v>0</v>
      </c>
      <c r="G1044" s="933" t="n">
        <f aca="false">C1044*D1044*E1044*F1044</f>
        <v>0</v>
      </c>
      <c r="H1044" s="933"/>
      <c r="I1044" s="933"/>
      <c r="J1044" s="933"/>
      <c r="K1044" s="933"/>
      <c r="L1044" s="933"/>
      <c r="M1044" s="933"/>
      <c r="N1044" s="933"/>
      <c r="O1044" s="933"/>
      <c r="P1044" s="1290"/>
      <c r="Q1044" s="1290"/>
      <c r="R1044" s="1290"/>
      <c r="S1044" s="933"/>
      <c r="T1044" s="933"/>
      <c r="U1044" s="1329"/>
      <c r="V1044" s="933"/>
      <c r="W1044" s="933"/>
      <c r="X1044" s="933"/>
      <c r="Y1044" s="1290"/>
      <c r="Z1044" s="1290"/>
      <c r="AA1044" s="933"/>
      <c r="AB1044" s="933"/>
      <c r="AC1044" s="933"/>
      <c r="AD1044" s="933"/>
    </row>
    <row r="1045" customFormat="false" ht="15.75" hidden="false" customHeight="true" outlineLevel="1" collapsed="false">
      <c r="A1045" s="1372" t="s">
        <v>3383</v>
      </c>
      <c r="B1045" s="887" t="str">
        <f aca="false">B583</f>
        <v>м.п.</v>
      </c>
      <c r="C1045" s="1372" t="n">
        <f aca="false">C583</f>
        <v>0.4</v>
      </c>
      <c r="D1045" s="1372" t="n">
        <f aca="false">D583</f>
        <v>0.05</v>
      </c>
      <c r="E1045" s="1372" t="n">
        <f aca="false">IF('Ввод данных'!$A$373=связи1!$A$96,IF(дома!E1044&lt;связи1!$F$558,0,дома!E1044-$F$881),0)+IF(дома!E1044=0,0,IF('Ввод данных'!$A$373=связи1!$A$95,IF(дома!E1044&lt;0,0,дома!E1044-$F$881),0))+IF('Ввод данных'!$A$373=связи1!$A$98,IF(дома!E1044&lt;связи1!$F$558,0,дома!E1044-$F$881),0)</f>
        <v>0</v>
      </c>
      <c r="F1045" s="1372" t="n">
        <f aca="false">2*VLOOKUP('Ввод данных'!$F$416,связи1!$A$2:$B$3,2,0)</f>
        <v>0</v>
      </c>
      <c r="G1045" s="933" t="n">
        <f aca="false">C1045*D1045*E1045*F1045</f>
        <v>0</v>
      </c>
      <c r="H1045" s="933"/>
      <c r="I1045" s="933"/>
      <c r="J1045" s="933"/>
      <c r="K1045" s="933"/>
      <c r="L1045" s="933"/>
      <c r="M1045" s="933"/>
      <c r="N1045" s="933"/>
      <c r="O1045" s="933"/>
      <c r="P1045" s="1290"/>
      <c r="Q1045" s="1290"/>
      <c r="R1045" s="1290"/>
      <c r="S1045" s="933"/>
      <c r="T1045" s="933"/>
      <c r="U1045" s="1329"/>
      <c r="V1045" s="933"/>
      <c r="W1045" s="933"/>
      <c r="X1045" s="933"/>
      <c r="Y1045" s="1290"/>
      <c r="Z1045" s="1290"/>
      <c r="AA1045" s="933"/>
      <c r="AB1045" s="933"/>
      <c r="AC1045" s="933"/>
      <c r="AD1045" s="933"/>
    </row>
    <row r="1046" customFormat="false" ht="15.75" hidden="false" customHeight="true" outlineLevel="1" collapsed="false">
      <c r="A1046" s="1372" t="s">
        <v>3384</v>
      </c>
      <c r="B1046" s="887" t="str">
        <f aca="false">B584</f>
        <v>м.п.</v>
      </c>
      <c r="C1046" s="1372" t="n">
        <f aca="false">C584</f>
        <v>0.4</v>
      </c>
      <c r="D1046" s="1372" t="n">
        <f aca="false">D584</f>
        <v>0.05</v>
      </c>
      <c r="E1046" s="1372" t="n">
        <f aca="false">IF('Ввод данных'!$A$373=связи1!$A$96,IF(дома!E1045&lt;связи1!$F$558,0,дома!E1045-$F$881),0)+IF(дома!E1045=0,0,IF('Ввод данных'!$A$373=связи1!$A$95,IF(дома!E1045&lt;0,0,дома!E1045-$F$881),0))+IF('Ввод данных'!$A$373=связи1!$A$98,IF(дома!E1045&lt;связи1!$F$558,0,дома!E1045-$F$881),0)</f>
        <v>0</v>
      </c>
      <c r="F1046" s="1372" t="n">
        <f aca="false">2*VLOOKUP('Ввод данных'!$F$416,связи1!$A$2:$B$3,2,0)</f>
        <v>0</v>
      </c>
      <c r="G1046" s="933" t="n">
        <f aca="false">C1046*D1046*E1046*F1046</f>
        <v>0</v>
      </c>
      <c r="H1046" s="933"/>
      <c r="I1046" s="933"/>
      <c r="J1046" s="933"/>
      <c r="K1046" s="933"/>
      <c r="L1046" s="933"/>
      <c r="M1046" s="933"/>
      <c r="N1046" s="933"/>
      <c r="O1046" s="933"/>
      <c r="P1046" s="1290"/>
      <c r="Q1046" s="1290"/>
      <c r="R1046" s="1290"/>
      <c r="S1046" s="933"/>
      <c r="T1046" s="933"/>
      <c r="U1046" s="1329"/>
      <c r="V1046" s="933"/>
      <c r="W1046" s="933"/>
      <c r="X1046" s="933"/>
      <c r="Y1046" s="1290"/>
      <c r="Z1046" s="1290"/>
      <c r="AA1046" s="933"/>
      <c r="AB1046" s="933"/>
      <c r="AC1046" s="933"/>
      <c r="AD1046" s="933"/>
    </row>
    <row r="1047" customFormat="false" ht="15.75" hidden="false" customHeight="true" outlineLevel="1" collapsed="false">
      <c r="A1047" s="1372" t="s">
        <v>3385</v>
      </c>
      <c r="B1047" s="887" t="str">
        <f aca="false">B585</f>
        <v>м.п.</v>
      </c>
      <c r="C1047" s="1372" t="n">
        <f aca="false">C585</f>
        <v>0.4</v>
      </c>
      <c r="D1047" s="1372" t="n">
        <f aca="false">D585</f>
        <v>0.05</v>
      </c>
      <c r="E1047" s="1372" t="n">
        <f aca="false">IF('Ввод данных'!$A$373=связи1!$A$96,IF(дома!E1046&lt;связи1!$F$558,0,дома!E1046-$F$881),0)+IF(дома!E1046=0,0,IF('Ввод данных'!$A$373=связи1!$A$95,IF(дома!E1046&lt;0,0,дома!E1046-$F$881),0))+IF('Ввод данных'!$A$373=связи1!$A$98,IF(дома!E1046&lt;связи1!$F$558,0,дома!E1046-$F$881),0)</f>
        <v>0</v>
      </c>
      <c r="F1047" s="1372" t="n">
        <f aca="false">2*VLOOKUP('Ввод данных'!$F$416,связи1!$A$2:$B$3,2,0)</f>
        <v>0</v>
      </c>
      <c r="G1047" s="933" t="n">
        <f aca="false">C1047*D1047*E1047*F1047</f>
        <v>0</v>
      </c>
      <c r="H1047" s="933"/>
      <c r="I1047" s="933"/>
      <c r="J1047" s="933"/>
      <c r="K1047" s="933"/>
      <c r="L1047" s="933"/>
      <c r="M1047" s="933"/>
      <c r="N1047" s="933"/>
      <c r="O1047" s="933"/>
      <c r="P1047" s="1290"/>
      <c r="Q1047" s="1290"/>
      <c r="R1047" s="1290"/>
      <c r="S1047" s="933"/>
      <c r="T1047" s="933"/>
      <c r="U1047" s="1329"/>
      <c r="V1047" s="933"/>
      <c r="W1047" s="933"/>
      <c r="X1047" s="933"/>
      <c r="Y1047" s="1290"/>
      <c r="Z1047" s="1290"/>
      <c r="AA1047" s="933"/>
      <c r="AB1047" s="933"/>
      <c r="AC1047" s="933"/>
      <c r="AD1047" s="933"/>
    </row>
    <row r="1048" customFormat="false" ht="15.75" hidden="false" customHeight="true" outlineLevel="1" collapsed="false">
      <c r="A1048" s="1372" t="s">
        <v>3386</v>
      </c>
      <c r="B1048" s="887" t="str">
        <f aca="false">B586</f>
        <v>м.п.</v>
      </c>
      <c r="C1048" s="1372" t="n">
        <f aca="false">C586</f>
        <v>0.4</v>
      </c>
      <c r="D1048" s="1372" t="n">
        <f aca="false">D586</f>
        <v>0.05</v>
      </c>
      <c r="E1048" s="1372" t="n">
        <f aca="false">IF('Ввод данных'!$A$373=связи1!$A$96,IF(дома!E1047&lt;связи1!$F$558,0,дома!E1047-$F$881),0)+IF(дома!E1047=0,0,IF('Ввод данных'!$A$373=связи1!$A$95,IF(дома!E1047&lt;0,0,дома!E1047-$F$881),0))+IF('Ввод данных'!$A$373=связи1!$A$98,IF(дома!E1047&lt;связи1!$F$558,0,дома!E1047-$F$881),0)</f>
        <v>0</v>
      </c>
      <c r="F1048" s="1372" t="n">
        <f aca="false">2*VLOOKUP('Ввод данных'!$F$416,связи1!$A$2:$B$3,2,0)</f>
        <v>0</v>
      </c>
      <c r="G1048" s="933" t="n">
        <f aca="false">C1048*D1048*E1048*F1048</f>
        <v>0</v>
      </c>
      <c r="H1048" s="933"/>
      <c r="I1048" s="933"/>
      <c r="J1048" s="933"/>
      <c r="K1048" s="933"/>
      <c r="L1048" s="933"/>
      <c r="M1048" s="933"/>
      <c r="N1048" s="933"/>
      <c r="O1048" s="933"/>
      <c r="P1048" s="1290"/>
      <c r="Q1048" s="1290"/>
      <c r="R1048" s="1290"/>
      <c r="S1048" s="933"/>
      <c r="T1048" s="933"/>
      <c r="U1048" s="1329"/>
      <c r="V1048" s="933"/>
      <c r="W1048" s="933"/>
      <c r="X1048" s="933"/>
      <c r="Y1048" s="1290"/>
      <c r="Z1048" s="1290"/>
      <c r="AA1048" s="933"/>
      <c r="AB1048" s="933"/>
      <c r="AC1048" s="933"/>
      <c r="AD1048" s="933"/>
    </row>
    <row r="1049" customFormat="false" ht="15.75" hidden="false" customHeight="true" outlineLevel="1" collapsed="false">
      <c r="A1049" s="1372" t="s">
        <v>3387</v>
      </c>
      <c r="B1049" s="887" t="str">
        <f aca="false">B587</f>
        <v>м.п.</v>
      </c>
      <c r="C1049" s="1372" t="n">
        <f aca="false">C587</f>
        <v>0.4</v>
      </c>
      <c r="D1049" s="1372" t="n">
        <f aca="false">D587</f>
        <v>0.05</v>
      </c>
      <c r="E1049" s="1372" t="n">
        <f aca="false">IF('Ввод данных'!$A$373=связи1!$A$96,IF(дома!E1048&lt;связи1!$F$558,0,дома!E1048-$F$881),0)+IF(дома!E1048=0,0,IF('Ввод данных'!$A$373=связи1!$A$95,IF(дома!E1048&lt;0,0,дома!E1048-$F$881),0))+IF('Ввод данных'!$A$373=связи1!$A$98,IF(дома!E1048&lt;связи1!$F$558,0,дома!E1048-$F$881),0)</f>
        <v>0</v>
      </c>
      <c r="F1049" s="1372" t="n">
        <f aca="false">2*VLOOKUP('Ввод данных'!$F$416,связи1!$A$2:$B$3,2,0)</f>
        <v>0</v>
      </c>
      <c r="G1049" s="933" t="n">
        <f aca="false">C1049*D1049*E1049*F1049</f>
        <v>0</v>
      </c>
      <c r="H1049" s="933"/>
      <c r="I1049" s="933"/>
      <c r="J1049" s="933"/>
      <c r="K1049" s="933"/>
      <c r="L1049" s="933"/>
      <c r="M1049" s="933"/>
      <c r="N1049" s="933"/>
      <c r="O1049" s="933"/>
      <c r="P1049" s="1290"/>
      <c r="Q1049" s="1290"/>
      <c r="R1049" s="1290"/>
      <c r="S1049" s="933"/>
      <c r="T1049" s="933"/>
      <c r="U1049" s="1329"/>
      <c r="V1049" s="933"/>
      <c r="W1049" s="933"/>
      <c r="X1049" s="933"/>
      <c r="Y1049" s="1290"/>
      <c r="Z1049" s="1290"/>
      <c r="AA1049" s="933"/>
      <c r="AB1049" s="933"/>
      <c r="AC1049" s="933"/>
      <c r="AD1049" s="933"/>
    </row>
    <row r="1050" customFormat="false" ht="15.75" hidden="false" customHeight="true" outlineLevel="1" collapsed="false">
      <c r="A1050" s="1372" t="s">
        <v>3388</v>
      </c>
      <c r="B1050" s="887" t="str">
        <f aca="false">B588</f>
        <v>м.п.</v>
      </c>
      <c r="C1050" s="1372" t="n">
        <f aca="false">C588</f>
        <v>0.4</v>
      </c>
      <c r="D1050" s="1372" t="n">
        <f aca="false">D588</f>
        <v>0.05</v>
      </c>
      <c r="E1050" s="1372" t="n">
        <f aca="false">IF('Ввод данных'!$A$373=связи1!$A$96,IF(дома!E1049&lt;связи1!$F$558,0,дома!E1049-$F$881),0)+IF(дома!E1049=0,0,IF('Ввод данных'!$A$373=связи1!$A$95,IF(дома!E1049&lt;0,0,дома!E1049-$F$881),0))+IF('Ввод данных'!$A$373=связи1!$A$98,IF(дома!E1049&lt;связи1!$F$558,0,дома!E1049-$F$881),0)</f>
        <v>0</v>
      </c>
      <c r="F1050" s="1372" t="n">
        <f aca="false">2*VLOOKUP('Ввод данных'!$F$416,связи1!$A$2:$B$3,2,0)</f>
        <v>0</v>
      </c>
      <c r="G1050" s="933" t="n">
        <f aca="false">C1050*D1050*E1050*F1050</f>
        <v>0</v>
      </c>
      <c r="H1050" s="933"/>
      <c r="I1050" s="933"/>
      <c r="J1050" s="933"/>
      <c r="K1050" s="933"/>
      <c r="L1050" s="933"/>
      <c r="M1050" s="933"/>
      <c r="N1050" s="933"/>
      <c r="O1050" s="933"/>
      <c r="P1050" s="1290"/>
      <c r="Q1050" s="1290"/>
      <c r="R1050" s="1290"/>
      <c r="S1050" s="933"/>
      <c r="T1050" s="933"/>
      <c r="U1050" s="1329"/>
      <c r="V1050" s="933"/>
      <c r="W1050" s="933"/>
      <c r="X1050" s="933"/>
      <c r="Y1050" s="1290"/>
      <c r="Z1050" s="1290"/>
      <c r="AA1050" s="933"/>
      <c r="AB1050" s="933"/>
      <c r="AC1050" s="933"/>
      <c r="AD1050" s="933"/>
    </row>
    <row r="1051" customFormat="false" ht="15.75" hidden="false" customHeight="true" outlineLevel="1" collapsed="false">
      <c r="A1051" s="1372" t="s">
        <v>3389</v>
      </c>
      <c r="B1051" s="887" t="str">
        <f aca="false">B589</f>
        <v>м.п.</v>
      </c>
      <c r="C1051" s="1372" t="n">
        <f aca="false">C589</f>
        <v>0.4</v>
      </c>
      <c r="D1051" s="1372" t="n">
        <f aca="false">D589</f>
        <v>0.05</v>
      </c>
      <c r="E1051" s="1372" t="n">
        <f aca="false">IF('Ввод данных'!$A$373=связи1!$A$96,IF(дома!E1050&lt;связи1!$F$558,0,дома!E1050-$F$881),0)+IF(дома!E1050=0,0,IF('Ввод данных'!$A$373=связи1!$A$95,IF(дома!E1050&lt;0,0,дома!E1050-$F$881),0))+IF('Ввод данных'!$A$373=связи1!$A$98,IF(дома!E1050&lt;связи1!$F$558,0,дома!E1050-$F$881),0)</f>
        <v>0</v>
      </c>
      <c r="F1051" s="1372" t="n">
        <f aca="false">2*VLOOKUP('Ввод данных'!$F$416,связи1!$A$2:$B$3,2,0)</f>
        <v>0</v>
      </c>
      <c r="G1051" s="933" t="n">
        <f aca="false">C1051*D1051*E1051*F1051</f>
        <v>0</v>
      </c>
      <c r="H1051" s="933"/>
      <c r="I1051" s="933"/>
      <c r="J1051" s="933"/>
      <c r="K1051" s="933"/>
      <c r="L1051" s="933"/>
      <c r="M1051" s="933"/>
      <c r="N1051" s="933"/>
      <c r="O1051" s="933"/>
      <c r="P1051" s="1290"/>
      <c r="Q1051" s="1290"/>
      <c r="R1051" s="1290"/>
      <c r="S1051" s="933"/>
      <c r="T1051" s="933"/>
      <c r="U1051" s="1329"/>
      <c r="V1051" s="933"/>
      <c r="W1051" s="933"/>
      <c r="X1051" s="933"/>
      <c r="Y1051" s="1290"/>
      <c r="Z1051" s="1290"/>
      <c r="AA1051" s="933"/>
      <c r="AB1051" s="933"/>
      <c r="AC1051" s="933"/>
      <c r="AD1051" s="933"/>
    </row>
    <row r="1052" s="1371" customFormat="true" ht="15.75" hidden="false" customHeight="true" outlineLevel="1" collapsed="false">
      <c r="A1052" s="1392" t="s">
        <v>3393</v>
      </c>
      <c r="B1052" s="1394"/>
      <c r="C1052" s="1394"/>
      <c r="D1052" s="1395"/>
      <c r="E1052" s="1396"/>
      <c r="F1052" s="1396" t="n">
        <f aca="false">пристройка!R90</f>
        <v>0</v>
      </c>
      <c r="G1052" s="1395"/>
      <c r="H1052" s="1395"/>
      <c r="I1052" s="1395"/>
      <c r="J1052" s="1395"/>
      <c r="K1052" s="1395"/>
      <c r="L1052" s="1395"/>
      <c r="M1052" s="1395"/>
      <c r="N1052" s="1395"/>
      <c r="O1052" s="1368" t="n">
        <f aca="false">SUM(O620:O862)</f>
        <v>1</v>
      </c>
      <c r="P1052" s="1314"/>
      <c r="Q1052" s="1314"/>
      <c r="R1052" s="1314"/>
      <c r="S1052" s="1368"/>
      <c r="T1052" s="1368" t="n">
        <f aca="false">SUM(T620:T862)</f>
        <v>0</v>
      </c>
      <c r="U1052" s="1370"/>
      <c r="V1052" s="1368" t="n">
        <f aca="false">SUM(V620:V862)</f>
        <v>0</v>
      </c>
      <c r="W1052" s="1368"/>
      <c r="X1052" s="1368"/>
      <c r="Y1052" s="1314" t="n">
        <f aca="false">SUM(Y620:Y862)</f>
        <v>0.051</v>
      </c>
      <c r="Z1052" s="1314"/>
      <c r="AA1052" s="1368"/>
      <c r="AB1052" s="1368"/>
      <c r="AC1052" s="1368"/>
      <c r="AD1052" s="1368"/>
      <c r="AE1052" s="1371" t="n">
        <f aca="false">O1052+T1052+V1052+Y1052</f>
        <v>1.051</v>
      </c>
    </row>
    <row r="1053" s="1371" customFormat="true" ht="15.75" hidden="false" customHeight="true" outlineLevel="1" collapsed="false">
      <c r="A1053" s="1392" t="s">
        <v>3394</v>
      </c>
      <c r="B1053" s="1394"/>
      <c r="C1053" s="1394"/>
      <c r="D1053" s="1395"/>
      <c r="E1053" s="1396"/>
      <c r="F1053" s="1396" t="n">
        <f aca="false">пристройка!R93</f>
        <v>0</v>
      </c>
      <c r="G1053" s="1395"/>
      <c r="H1053" s="1440"/>
      <c r="I1053" s="1440"/>
      <c r="J1053" s="1395"/>
      <c r="K1053" s="1395"/>
      <c r="L1053" s="1395"/>
      <c r="M1053" s="1395"/>
      <c r="N1053" s="1395"/>
      <c r="O1053" s="1368"/>
      <c r="P1053" s="1314"/>
      <c r="Q1053" s="1314"/>
      <c r="R1053" s="1314"/>
      <c r="S1053" s="1368"/>
      <c r="T1053" s="1368"/>
      <c r="U1053" s="1370"/>
      <c r="V1053" s="1368"/>
      <c r="W1053" s="1368"/>
      <c r="X1053" s="1368"/>
      <c r="Y1053" s="1314"/>
      <c r="Z1053" s="1314"/>
      <c r="AA1053" s="1368"/>
      <c r="AB1053" s="1368"/>
      <c r="AC1053" s="1368"/>
      <c r="AD1053" s="1368"/>
    </row>
    <row r="1054" s="1371" customFormat="true" ht="15.75" hidden="false" customHeight="true" outlineLevel="1" collapsed="false">
      <c r="A1054" s="1392" t="s">
        <v>2780</v>
      </c>
      <c r="B1054" s="1394"/>
      <c r="C1054" s="1394"/>
      <c r="D1054" s="1395"/>
      <c r="E1054" s="1396"/>
      <c r="F1054" s="1396" t="n">
        <f aca="false">пристройка!R88</f>
        <v>0</v>
      </c>
      <c r="G1054" s="1395" t="s">
        <v>3236</v>
      </c>
      <c r="H1054" s="1440"/>
      <c r="I1054" s="1440" t="n">
        <f aca="false">пристройка!R98</f>
        <v>0</v>
      </c>
      <c r="J1054" s="1395"/>
      <c r="K1054" s="1395"/>
      <c r="L1054" s="1395"/>
      <c r="M1054" s="1395"/>
      <c r="N1054" s="1395"/>
      <c r="O1054" s="1368"/>
      <c r="P1054" s="1314"/>
      <c r="Q1054" s="1314"/>
      <c r="R1054" s="1314"/>
      <c r="S1054" s="1368"/>
      <c r="T1054" s="1368"/>
      <c r="U1054" s="1370"/>
      <c r="V1054" s="1368"/>
      <c r="W1054" s="1368"/>
      <c r="X1054" s="1368"/>
      <c r="Y1054" s="1314"/>
      <c r="Z1054" s="1314"/>
      <c r="AA1054" s="1368"/>
      <c r="AB1054" s="1368"/>
      <c r="AC1054" s="1368"/>
      <c r="AD1054" s="1368"/>
    </row>
    <row r="1055" s="1371" customFormat="true" ht="15.75" hidden="false" customHeight="true" outlineLevel="1" collapsed="false">
      <c r="A1055" s="1392" t="s">
        <v>3395</v>
      </c>
      <c r="B1055" s="1394"/>
      <c r="C1055" s="1394"/>
      <c r="D1055" s="1395"/>
      <c r="E1055" s="1396"/>
      <c r="F1055" s="1397" t="n">
        <f aca="false">F1052+F1053+F1054</f>
        <v>0</v>
      </c>
      <c r="G1055" s="1395"/>
      <c r="H1055" s="1440"/>
      <c r="I1055" s="1440"/>
      <c r="J1055" s="1395"/>
      <c r="K1055" s="1395"/>
      <c r="L1055" s="1395"/>
      <c r="M1055" s="1395"/>
      <c r="N1055" s="1395"/>
      <c r="O1055" s="1368"/>
      <c r="P1055" s="1314"/>
      <c r="Q1055" s="1314"/>
      <c r="R1055" s="1314"/>
      <c r="S1055" s="1368"/>
      <c r="T1055" s="1368"/>
      <c r="U1055" s="1370"/>
      <c r="V1055" s="1368"/>
      <c r="W1055" s="1368"/>
      <c r="X1055" s="1368"/>
      <c r="Y1055" s="1314"/>
      <c r="Z1055" s="1314"/>
      <c r="AA1055" s="1368"/>
      <c r="AB1055" s="1368"/>
      <c r="AC1055" s="1368"/>
      <c r="AD1055" s="1368"/>
    </row>
    <row r="1056" s="1371" customFormat="true" ht="15.75" hidden="false" customHeight="true" outlineLevel="1" collapsed="false">
      <c r="A1056" s="1392" t="s">
        <v>3396</v>
      </c>
      <c r="B1056" s="1394"/>
      <c r="C1056" s="1394"/>
      <c r="D1056" s="1395"/>
      <c r="E1056" s="1396"/>
      <c r="F1056" s="1396" t="n">
        <f aca="false">F1052+F1054</f>
        <v>0</v>
      </c>
      <c r="G1056" s="1395"/>
      <c r="H1056" s="1440"/>
      <c r="I1056" s="1440"/>
      <c r="J1056" s="1395"/>
      <c r="K1056" s="1395"/>
      <c r="L1056" s="1395"/>
      <c r="M1056" s="1395"/>
      <c r="N1056" s="1395"/>
      <c r="O1056" s="1368"/>
      <c r="P1056" s="1314"/>
      <c r="Q1056" s="1314"/>
      <c r="R1056" s="1314"/>
      <c r="S1056" s="1368"/>
      <c r="T1056" s="1368"/>
      <c r="U1056" s="1370"/>
      <c r="V1056" s="1368"/>
      <c r="W1056" s="1368"/>
      <c r="X1056" s="1368"/>
      <c r="Y1056" s="1314"/>
      <c r="Z1056" s="1314"/>
      <c r="AA1056" s="1368"/>
      <c r="AB1056" s="1368"/>
      <c r="AC1056" s="1368"/>
      <c r="AD1056" s="1368"/>
    </row>
    <row r="1057" s="1371" customFormat="true" ht="15.75" hidden="false" customHeight="true" outlineLevel="1" collapsed="false">
      <c r="A1057" s="1398" t="s">
        <v>3232</v>
      </c>
      <c r="B1057" s="1441"/>
      <c r="C1057" s="1441"/>
      <c r="D1057" s="1398"/>
      <c r="E1057" s="1398"/>
      <c r="F1057" s="1398" t="n">
        <f aca="false">C1253*D1229</f>
        <v>0</v>
      </c>
      <c r="G1057" s="1398"/>
      <c r="H1057" s="1442"/>
      <c r="I1057" s="1442"/>
      <c r="J1057" s="1398"/>
      <c r="K1057" s="1398"/>
      <c r="L1057" s="1398"/>
      <c r="M1057" s="1398"/>
      <c r="N1057" s="1398"/>
      <c r="O1057" s="1331" t="s">
        <v>3236</v>
      </c>
      <c r="P1057" s="1331" t="s">
        <v>3397</v>
      </c>
      <c r="Q1057" s="1332"/>
      <c r="R1057" s="1332"/>
      <c r="S1057" s="1331"/>
      <c r="T1057" s="1331" t="n">
        <f aca="false">T834+T840+T845+T850+T855</f>
        <v>0</v>
      </c>
      <c r="U1057" s="1443" t="s">
        <v>2591</v>
      </c>
      <c r="V1057" s="1419" t="n">
        <f aca="false">T1057-Y1057</f>
        <v>0</v>
      </c>
      <c r="W1057" s="1368"/>
      <c r="X1057" s="1368"/>
      <c r="Y1057" s="1332" t="n">
        <f aca="false">Y850+Y840</f>
        <v>0</v>
      </c>
      <c r="Z1057" s="1331" t="s">
        <v>3248</v>
      </c>
      <c r="AA1057" s="1331"/>
      <c r="AB1057" s="1331"/>
      <c r="AC1057" s="1331"/>
      <c r="AD1057" s="1331"/>
      <c r="AE1057" s="1444"/>
    </row>
    <row r="1058" s="1371" customFormat="true" ht="15.75" hidden="false" customHeight="true" outlineLevel="1" collapsed="false">
      <c r="A1058" s="1398" t="s">
        <v>3398</v>
      </c>
      <c r="B1058" s="1441"/>
      <c r="C1058" s="1441"/>
      <c r="D1058" s="1398"/>
      <c r="E1058" s="1398"/>
      <c r="F1058" s="1398" t="n">
        <f aca="false">C1257*D1229</f>
        <v>0</v>
      </c>
      <c r="G1058" s="1398"/>
      <c r="H1058" s="1442"/>
      <c r="I1058" s="1442"/>
      <c r="J1058" s="1398"/>
      <c r="K1058" s="1398"/>
      <c r="L1058" s="1398"/>
      <c r="M1058" s="1398"/>
      <c r="N1058" s="1398"/>
      <c r="O1058" s="1331"/>
      <c r="P1058" s="1331"/>
      <c r="Q1058" s="1332"/>
      <c r="R1058" s="1332"/>
      <c r="S1058" s="1331"/>
      <c r="T1058" s="1331"/>
      <c r="U1058" s="1443"/>
      <c r="V1058" s="1419"/>
      <c r="W1058" s="1368"/>
      <c r="X1058" s="1368"/>
      <c r="Y1058" s="1332"/>
      <c r="Z1058" s="1331"/>
      <c r="AA1058" s="1331"/>
      <c r="AB1058" s="1445"/>
      <c r="AC1058" s="1445"/>
      <c r="AD1058" s="1445"/>
      <c r="AE1058" s="1444"/>
    </row>
    <row r="1059" s="1371" customFormat="true" ht="15.75" hidden="false" customHeight="true" outlineLevel="1" collapsed="false">
      <c r="A1059" s="1398" t="s">
        <v>3399</v>
      </c>
      <c r="B1059" s="1441"/>
      <c r="C1059" s="1441"/>
      <c r="D1059" s="1398"/>
      <c r="E1059" s="1398"/>
      <c r="F1059" s="1446" t="n">
        <f aca="false">F1057+F1058</f>
        <v>0</v>
      </c>
      <c r="G1059" s="1398" t="s">
        <v>3236</v>
      </c>
      <c r="H1059" s="1442"/>
      <c r="I1059" s="1442" t="n">
        <f aca="false">C1254*D1229</f>
        <v>0</v>
      </c>
      <c r="J1059" s="1398"/>
      <c r="K1059" s="1398"/>
      <c r="L1059" s="1398"/>
      <c r="M1059" s="1398"/>
      <c r="N1059" s="1398"/>
      <c r="O1059" s="1331"/>
      <c r="P1059" s="1331"/>
      <c r="Q1059" s="1332"/>
      <c r="R1059" s="1332"/>
      <c r="S1059" s="1331"/>
      <c r="T1059" s="1331"/>
      <c r="U1059" s="1443"/>
      <c r="V1059" s="1419"/>
      <c r="W1059" s="1368"/>
      <c r="X1059" s="1368"/>
      <c r="Y1059" s="1332"/>
      <c r="Z1059" s="1331"/>
      <c r="AA1059" s="1331"/>
      <c r="AB1059" s="1445"/>
      <c r="AC1059" s="1445"/>
      <c r="AD1059" s="1445"/>
      <c r="AE1059" s="1444"/>
    </row>
    <row r="1060" s="1371" customFormat="true" ht="15.75" hidden="false" customHeight="true" outlineLevel="1" collapsed="false">
      <c r="A1060" s="1398" t="s">
        <v>3396</v>
      </c>
      <c r="B1060" s="1441"/>
      <c r="C1060" s="1441"/>
      <c r="D1060" s="1398"/>
      <c r="E1060" s="1398"/>
      <c r="F1060" s="1398" t="n">
        <f aca="false">C1253*D1229</f>
        <v>0</v>
      </c>
      <c r="G1060" s="1398"/>
      <c r="H1060" s="1442"/>
      <c r="I1060" s="1442"/>
      <c r="J1060" s="1398"/>
      <c r="K1060" s="1398"/>
      <c r="L1060" s="1398"/>
      <c r="M1060" s="1398"/>
      <c r="N1060" s="1398"/>
      <c r="O1060" s="1331"/>
      <c r="P1060" s="1331"/>
      <c r="Q1060" s="1332"/>
      <c r="R1060" s="1332"/>
      <c r="S1060" s="1331"/>
      <c r="T1060" s="1331"/>
      <c r="U1060" s="1443"/>
      <c r="V1060" s="1419"/>
      <c r="W1060" s="1368"/>
      <c r="X1060" s="1368"/>
      <c r="Y1060" s="1332"/>
      <c r="Z1060" s="1331"/>
      <c r="AA1060" s="1331"/>
      <c r="AB1060" s="1445"/>
      <c r="AC1060" s="1445"/>
      <c r="AD1060" s="1445"/>
      <c r="AE1060" s="1444"/>
    </row>
    <row r="1061" customFormat="false" ht="15.75" hidden="false" customHeight="true" outlineLevel="1" collapsed="false">
      <c r="A1061" s="1402" t="s">
        <v>3237</v>
      </c>
      <c r="B1061" s="1447"/>
      <c r="C1061" s="1448"/>
      <c r="D1061" s="1405"/>
      <c r="E1061" s="1405"/>
      <c r="F1061" s="1405" t="n">
        <f aca="false">F626</f>
        <v>0</v>
      </c>
      <c r="G1061" s="1405"/>
      <c r="H1061" s="1405"/>
      <c r="I1061" s="1449"/>
      <c r="J1061" s="1448"/>
      <c r="K1061" s="1450"/>
      <c r="L1061" s="1450"/>
      <c r="M1061" s="1450"/>
      <c r="N1061" s="1450"/>
      <c r="O1061" s="1314"/>
      <c r="P1061" s="1314"/>
      <c r="Q1061" s="1314"/>
      <c r="R1061" s="1368"/>
      <c r="S1061" s="1368"/>
      <c r="T1061" s="1368"/>
      <c r="U1061" s="1314"/>
      <c r="V1061" s="1314"/>
      <c r="W1061" s="1314"/>
      <c r="X1061" s="1314"/>
      <c r="Y1061" s="1314"/>
      <c r="Z1061" s="1368"/>
      <c r="AA1061" s="1368"/>
    </row>
    <row r="1062" customFormat="false" ht="15.75" hidden="false" customHeight="true" outlineLevel="1" collapsed="false">
      <c r="A1062" s="1402" t="s">
        <v>3238</v>
      </c>
      <c r="B1062" s="1448"/>
      <c r="C1062" s="1448"/>
      <c r="D1062" s="1405"/>
      <c r="E1062" s="1405"/>
      <c r="F1062" s="1405" t="n">
        <f aca="false">F836+F837+F838+F839+F846+F847+F848+F849</f>
        <v>0</v>
      </c>
      <c r="G1062" s="1405"/>
      <c r="H1062" s="1405"/>
      <c r="I1062" s="1449"/>
      <c r="J1062" s="1448"/>
      <c r="K1062" s="1450"/>
      <c r="L1062" s="1450"/>
      <c r="M1062" s="1450"/>
      <c r="N1062" s="1450"/>
      <c r="O1062" s="1314"/>
      <c r="P1062" s="1314"/>
      <c r="Q1062" s="1314"/>
      <c r="R1062" s="1368"/>
      <c r="S1062" s="1368"/>
      <c r="T1062" s="1368"/>
      <c r="U1062" s="1314"/>
      <c r="V1062" s="1314"/>
      <c r="W1062" s="1314"/>
      <c r="X1062" s="1314"/>
      <c r="Y1062" s="1314"/>
      <c r="Z1062" s="1368"/>
      <c r="AA1062" s="1368"/>
    </row>
    <row r="1063" customFormat="false" ht="15.75" hidden="false" customHeight="true" outlineLevel="1" collapsed="false">
      <c r="A1063" s="1402" t="s">
        <v>3239</v>
      </c>
      <c r="B1063" s="1448"/>
      <c r="C1063" s="1448"/>
      <c r="D1063" s="1405"/>
      <c r="E1063" s="1405"/>
      <c r="F1063" s="1405" t="n">
        <f aca="false">F841+F842+F843+F844+F851+F852+F853+F854</f>
        <v>0</v>
      </c>
      <c r="G1063" s="1405"/>
      <c r="H1063" s="1405"/>
      <c r="I1063" s="1449"/>
      <c r="J1063" s="1448"/>
      <c r="K1063" s="1448"/>
      <c r="L1063" s="1448"/>
      <c r="M1063" s="1448"/>
      <c r="N1063" s="1448"/>
      <c r="O1063" s="1314"/>
      <c r="P1063" s="1314"/>
      <c r="Q1063" s="1314"/>
      <c r="R1063" s="1314"/>
      <c r="S1063" s="1314"/>
      <c r="T1063" s="1314"/>
      <c r="U1063" s="1314"/>
      <c r="V1063" s="1314"/>
      <c r="W1063" s="1314"/>
      <c r="X1063" s="1314"/>
      <c r="Y1063" s="1314"/>
      <c r="Z1063" s="1368"/>
      <c r="AA1063" s="1368"/>
    </row>
    <row r="1064" customFormat="false" ht="15.75" hidden="false" customHeight="true" outlineLevel="1" collapsed="false">
      <c r="A1064" s="1402" t="s">
        <v>3240</v>
      </c>
      <c r="B1064" s="1448"/>
      <c r="C1064" s="1448"/>
      <c r="D1064" s="1405"/>
      <c r="E1064" s="1405"/>
      <c r="F1064" s="1446" t="n">
        <f aca="false">F1052+F1057+F1061-E52-E53-E54-E55-E56-E58+F1067-I1059+F1053+F1058-I1054</f>
        <v>0</v>
      </c>
      <c r="G1064" s="1405"/>
      <c r="H1064" s="1405"/>
      <c r="I1064" s="1449"/>
      <c r="J1064" s="1448"/>
      <c r="K1064" s="1448"/>
      <c r="L1064" s="1451"/>
      <c r="M1064" s="1451"/>
      <c r="N1064" s="1451"/>
      <c r="O1064" s="1452"/>
      <c r="P1064" s="1452"/>
      <c r="Q1064" s="1452"/>
      <c r="R1064" s="1452"/>
      <c r="S1064" s="1452"/>
      <c r="T1064" s="1452"/>
      <c r="U1064" s="1452"/>
      <c r="V1064" s="1452"/>
      <c r="W1064" s="1452"/>
      <c r="X1064" s="1452"/>
      <c r="Y1064" s="1452"/>
      <c r="Z1064" s="1453"/>
      <c r="AA1064" s="1453"/>
    </row>
    <row r="1065" customFormat="false" ht="15.75" hidden="false" customHeight="true" outlineLevel="1" collapsed="false">
      <c r="A1065" s="1402" t="s">
        <v>3400</v>
      </c>
      <c r="B1065" s="1448"/>
      <c r="C1065" s="1448"/>
      <c r="D1065" s="1405"/>
      <c r="E1065" s="1405"/>
      <c r="F1065" s="1446" t="n">
        <f aca="false">F1052+F1057+F1061+F1054-I1054-I1059</f>
        <v>0</v>
      </c>
      <c r="G1065" s="1405"/>
      <c r="H1065" s="1405"/>
      <c r="I1065" s="1449"/>
      <c r="J1065" s="1448"/>
      <c r="K1065" s="1448"/>
      <c r="L1065" s="1451"/>
      <c r="M1065" s="1451"/>
      <c r="N1065" s="1451"/>
      <c r="O1065" s="1452"/>
      <c r="P1065" s="1452"/>
      <c r="Q1065" s="1452"/>
      <c r="R1065" s="1452"/>
      <c r="S1065" s="1452"/>
      <c r="T1065" s="1452"/>
      <c r="U1065" s="1452"/>
      <c r="V1065" s="1452"/>
      <c r="W1065" s="1452"/>
      <c r="X1065" s="1452"/>
      <c r="Y1065" s="1452"/>
      <c r="Z1065" s="1453"/>
      <c r="AA1065" s="1453"/>
    </row>
    <row r="1066" customFormat="false" ht="15.75" hidden="false" customHeight="true" outlineLevel="1" collapsed="false">
      <c r="A1066" s="1402" t="s">
        <v>3241</v>
      </c>
      <c r="B1066" s="1454" t="s">
        <v>3242</v>
      </c>
      <c r="C1066" s="1454"/>
      <c r="D1066" s="1407"/>
      <c r="E1066" s="1407"/>
      <c r="F1066" s="1407" t="n">
        <f aca="false">F1052+F1057+F1061-E52-E53-E54-E55-E56-E58-I1059-I1054</f>
        <v>0</v>
      </c>
      <c r="G1066" s="1405"/>
      <c r="H1066" s="1405"/>
      <c r="I1066" s="1449"/>
      <c r="J1066" s="1448"/>
      <c r="K1066" s="1448"/>
      <c r="L1066" s="1451"/>
      <c r="M1066" s="1451"/>
      <c r="N1066" s="1451"/>
      <c r="O1066" s="1452"/>
      <c r="P1066" s="1452"/>
      <c r="Q1066" s="1452"/>
      <c r="R1066" s="1452"/>
      <c r="S1066" s="1452"/>
      <c r="T1066" s="1452"/>
      <c r="U1066" s="1452"/>
      <c r="V1066" s="1452"/>
      <c r="W1066" s="1452"/>
      <c r="X1066" s="1452"/>
      <c r="Y1066" s="1452"/>
      <c r="Z1066" s="1453"/>
      <c r="AA1066" s="1453"/>
    </row>
    <row r="1067" customFormat="false" ht="15.75" hidden="false" customHeight="true" outlineLevel="1" collapsed="false">
      <c r="A1067" s="1402" t="s">
        <v>3401</v>
      </c>
      <c r="B1067" s="1448"/>
      <c r="C1067" s="1448"/>
      <c r="D1067" s="1405"/>
      <c r="E1067" s="1405"/>
      <c r="F1067" s="1405" t="n">
        <f aca="false">S834*E45*D45</f>
        <v>0</v>
      </c>
      <c r="G1067" s="1405" t="s">
        <v>293</v>
      </c>
      <c r="H1067" s="1405"/>
      <c r="I1067" s="1449"/>
      <c r="J1067" s="1448"/>
      <c r="K1067" s="1448" t="s">
        <v>3245</v>
      </c>
      <c r="L1067" s="1451"/>
      <c r="M1067" s="1451"/>
      <c r="N1067" s="1451"/>
      <c r="O1067" s="1452"/>
      <c r="P1067" s="1452"/>
      <c r="Q1067" s="1452"/>
      <c r="R1067" s="1452"/>
      <c r="S1067" s="1452"/>
      <c r="T1067" s="1452"/>
      <c r="U1067" s="1452"/>
      <c r="V1067" s="1452"/>
      <c r="W1067" s="1452"/>
      <c r="X1067" s="1452"/>
      <c r="Y1067" s="1452"/>
      <c r="Z1067" s="1453"/>
      <c r="AA1067" s="1453"/>
    </row>
    <row r="1068" customFormat="false" ht="15.75" hidden="false" customHeight="true" outlineLevel="1" collapsed="false">
      <c r="A1068" s="1455" t="s">
        <v>3246</v>
      </c>
      <c r="B1068" s="1456"/>
      <c r="C1068" s="1456"/>
      <c r="D1068" s="1412"/>
      <c r="E1068" s="1412"/>
      <c r="F1068" s="1412" t="n">
        <f aca="false">(S840+S845+S850+S855)*E834</f>
        <v>0</v>
      </c>
      <c r="G1068" s="1405" t="n">
        <f aca="false">E620+E621</f>
        <v>0</v>
      </c>
      <c r="H1068" s="1405"/>
      <c r="I1068" s="1449" t="n">
        <f aca="false">G1068/D1532*1000</f>
        <v>0</v>
      </c>
      <c r="J1068" s="1448" t="n">
        <f aca="false">CEILING(I1068/3+1,1)</f>
        <v>1</v>
      </c>
      <c r="K1068" s="1448" t="n">
        <f aca="false">F1068*J1068*2</f>
        <v>0</v>
      </c>
      <c r="L1068" s="1451"/>
      <c r="M1068" s="1451"/>
      <c r="N1068" s="1451"/>
      <c r="O1068" s="1452"/>
      <c r="P1068" s="1452"/>
      <c r="Q1068" s="1452"/>
      <c r="R1068" s="1452"/>
      <c r="S1068" s="1452"/>
      <c r="T1068" s="1452"/>
      <c r="U1068" s="1452"/>
      <c r="V1068" s="1452"/>
      <c r="W1068" s="1452"/>
      <c r="X1068" s="1452"/>
      <c r="Y1068" s="1452"/>
      <c r="Z1068" s="1453"/>
      <c r="AA1068" s="1453"/>
    </row>
    <row r="1069" customFormat="false" ht="15.75" hidden="false" customHeight="true" outlineLevel="0" collapsed="false">
      <c r="A1069" s="1457" t="s">
        <v>3402</v>
      </c>
      <c r="B1069" s="1458"/>
      <c r="C1069" s="1458"/>
      <c r="D1069" s="1459"/>
      <c r="E1069" s="1459"/>
      <c r="F1069" s="1459"/>
      <c r="G1069" s="1459"/>
      <c r="H1069" s="1459"/>
      <c r="I1069" s="1460"/>
      <c r="J1069" s="1458"/>
      <c r="K1069" s="1458"/>
      <c r="L1069" s="1461"/>
      <c r="M1069" s="1461"/>
      <c r="N1069" s="1461"/>
      <c r="O1069" s="1462"/>
      <c r="P1069" s="1462"/>
      <c r="Q1069" s="1462"/>
      <c r="R1069" s="1462"/>
      <c r="S1069" s="1462"/>
      <c r="T1069" s="1462"/>
      <c r="U1069" s="1462"/>
      <c r="V1069" s="1462"/>
      <c r="W1069" s="1230"/>
      <c r="X1069" s="1230"/>
      <c r="Y1069" s="1230"/>
    </row>
    <row r="1070" customFormat="false" ht="15.75" hidden="true" customHeight="true" outlineLevel="1" collapsed="false">
      <c r="A1070" s="1463" t="s">
        <v>3403</v>
      </c>
      <c r="B1070" s="1464"/>
      <c r="C1070" s="1464"/>
      <c r="D1070" s="1463"/>
      <c r="E1070" s="1463"/>
      <c r="F1070" s="1463"/>
      <c r="G1070" s="1463"/>
      <c r="H1070" s="1463"/>
      <c r="I1070" s="1463"/>
      <c r="J1070" s="1463"/>
      <c r="K1070" s="1458"/>
      <c r="L1070" s="1461"/>
      <c r="M1070" s="1461"/>
      <c r="N1070" s="1461"/>
      <c r="O1070" s="1462"/>
      <c r="P1070" s="1462"/>
      <c r="Q1070" s="1462"/>
      <c r="R1070" s="1462"/>
      <c r="S1070" s="1462"/>
      <c r="T1070" s="1462"/>
      <c r="U1070" s="1462"/>
      <c r="V1070" s="1462"/>
      <c r="W1070" s="1230"/>
      <c r="X1070" s="1230"/>
      <c r="Y1070" s="1230"/>
    </row>
    <row r="1071" customFormat="false" ht="15.75" hidden="true" customHeight="true" outlineLevel="1" collapsed="false">
      <c r="A1071" s="1457" t="s">
        <v>3404</v>
      </c>
      <c r="B1071" s="1464" t="s">
        <v>120</v>
      </c>
      <c r="C1071" s="1464" t="s">
        <v>1966</v>
      </c>
      <c r="D1071" s="1463" t="s">
        <v>1970</v>
      </c>
      <c r="E1071" s="1459" t="s">
        <v>2017</v>
      </c>
      <c r="F1071" s="1459" t="s">
        <v>2018</v>
      </c>
      <c r="G1071" s="1465"/>
      <c r="H1071" s="1465"/>
      <c r="I1071" s="1464" t="s">
        <v>1966</v>
      </c>
      <c r="J1071" s="1463" t="s">
        <v>1970</v>
      </c>
      <c r="K1071" s="1459" t="s">
        <v>2017</v>
      </c>
      <c r="L1071" s="1466"/>
      <c r="M1071" s="1466"/>
      <c r="N1071" s="1466"/>
      <c r="O1071" s="1467" t="s">
        <v>2018</v>
      </c>
      <c r="P1071" s="1468"/>
      <c r="Q1071" s="1469" t="s">
        <v>1966</v>
      </c>
      <c r="R1071" s="1470" t="s">
        <v>1970</v>
      </c>
      <c r="S1071" s="1471" t="s">
        <v>2017</v>
      </c>
      <c r="T1071" s="1471" t="s">
        <v>2018</v>
      </c>
      <c r="U1071" s="1468"/>
      <c r="V1071" s="1468"/>
      <c r="W1071" s="1217"/>
      <c r="X1071" s="1217"/>
      <c r="Y1071" s="1226"/>
      <c r="Z1071" s="1472"/>
      <c r="AA1071" s="1193"/>
      <c r="AB1071" s="998"/>
      <c r="AC1071" s="998"/>
      <c r="AD1071" s="998"/>
      <c r="AE1071" s="1217"/>
      <c r="AF1071" s="1226"/>
    </row>
    <row r="1072" customFormat="false" ht="15.75" hidden="true" customHeight="true" outlineLevel="1" collapsed="false">
      <c r="A1072" s="1457" t="s">
        <v>2986</v>
      </c>
      <c r="B1072" s="1464" t="s">
        <v>156</v>
      </c>
      <c r="C1072" s="1464" t="n">
        <f aca="false">пристройка!C34</f>
        <v>6</v>
      </c>
      <c r="D1072" s="1463" t="n">
        <f aca="false">пристройка!D34</f>
        <v>3</v>
      </c>
      <c r="E1072" s="1463" t="n">
        <f aca="false">пристройка!E34</f>
        <v>3</v>
      </c>
      <c r="F1072" s="1463" t="n">
        <f aca="false">пристройка!F34</f>
        <v>5</v>
      </c>
      <c r="G1072" s="1460"/>
      <c r="H1072" s="1460"/>
      <c r="I1072" s="1463" t="n">
        <f aca="false">пристройка!H34</f>
        <v>6</v>
      </c>
      <c r="J1072" s="1463" t="n">
        <f aca="false">пристройка!I34</f>
        <v>3</v>
      </c>
      <c r="K1072" s="1463" t="n">
        <f aca="false">пристройка!J34</f>
        <v>3</v>
      </c>
      <c r="L1072" s="1473"/>
      <c r="M1072" s="1473"/>
      <c r="N1072" s="1473"/>
      <c r="O1072" s="1474" t="n">
        <f aca="false">пристройка!K34</f>
        <v>5</v>
      </c>
      <c r="P1072" s="1468"/>
      <c r="Q1072" s="1470" t="n">
        <f aca="false">пристройка!M34</f>
        <v>6</v>
      </c>
      <c r="R1072" s="1470" t="n">
        <f aca="false">пристройка!N34</f>
        <v>3</v>
      </c>
      <c r="S1072" s="1470" t="n">
        <f aca="false">пристройка!O34</f>
        <v>3</v>
      </c>
      <c r="T1072" s="1470" t="n">
        <f aca="false">пристройка!P34</f>
        <v>5</v>
      </c>
      <c r="U1072" s="1468"/>
      <c r="V1072" s="1468"/>
      <c r="W1072" s="1226"/>
      <c r="X1072" s="1226"/>
      <c r="Y1072" s="888"/>
      <c r="Z1072" s="1193"/>
      <c r="AA1072" s="1193"/>
      <c r="AB1072" s="998"/>
      <c r="AC1072" s="998"/>
      <c r="AD1072" s="998"/>
      <c r="AE1072" s="1226"/>
      <c r="AF1072" s="888"/>
    </row>
    <row r="1073" customFormat="false" ht="15.75" hidden="true" customHeight="true" outlineLevel="1" collapsed="false">
      <c r="A1073" s="1457" t="s">
        <v>2990</v>
      </c>
      <c r="B1073" s="1464" t="s">
        <v>156</v>
      </c>
      <c r="C1073" s="1464" t="n">
        <f aca="false">пристройка!C33</f>
        <v>3</v>
      </c>
      <c r="D1073" s="1463" t="n">
        <f aca="false">пристройка!D33</f>
        <v>3</v>
      </c>
      <c r="E1073" s="1463" t="n">
        <f aca="false">пристройка!E33</f>
        <v>3</v>
      </c>
      <c r="F1073" s="1463" t="n">
        <f aca="false">пристройка!F33</f>
        <v>3</v>
      </c>
      <c r="G1073" s="1460"/>
      <c r="H1073" s="1460"/>
      <c r="I1073" s="1463" t="n">
        <f aca="false">пристройка!H33</f>
        <v>3</v>
      </c>
      <c r="J1073" s="1463" t="n">
        <f aca="false">пристройка!I33</f>
        <v>3</v>
      </c>
      <c r="K1073" s="1463" t="n">
        <f aca="false">пристройка!J33</f>
        <v>3</v>
      </c>
      <c r="L1073" s="1473"/>
      <c r="M1073" s="1473"/>
      <c r="N1073" s="1473"/>
      <c r="O1073" s="1474" t="n">
        <f aca="false">пристройка!K33</f>
        <v>3</v>
      </c>
      <c r="P1073" s="1468"/>
      <c r="Q1073" s="1470" t="n">
        <f aca="false">пристройка!M33</f>
        <v>3</v>
      </c>
      <c r="R1073" s="1470" t="n">
        <f aca="false">пристройка!N33</f>
        <v>3</v>
      </c>
      <c r="S1073" s="1470" t="n">
        <f aca="false">пристройка!O33</f>
        <v>3</v>
      </c>
      <c r="T1073" s="1470" t="n">
        <f aca="false">пристройка!P33</f>
        <v>3</v>
      </c>
      <c r="U1073" s="1468"/>
      <c r="V1073" s="1468"/>
      <c r="W1073" s="1226"/>
      <c r="X1073" s="1226"/>
      <c r="Y1073" s="888"/>
      <c r="Z1073" s="1193"/>
      <c r="AA1073" s="1193"/>
      <c r="AB1073" s="998"/>
      <c r="AC1073" s="998"/>
      <c r="AD1073" s="998"/>
      <c r="AE1073" s="1226"/>
      <c r="AF1073" s="888"/>
    </row>
    <row r="1074" customFormat="false" ht="15.75" hidden="true" customHeight="true" outlineLevel="1" collapsed="false">
      <c r="A1074" s="1457" t="s">
        <v>2991</v>
      </c>
      <c r="B1074" s="1464" t="s">
        <v>156</v>
      </c>
      <c r="C1074" s="1464" t="n">
        <f aca="false">пристройка!C33</f>
        <v>3</v>
      </c>
      <c r="D1074" s="1463" t="n">
        <f aca="false">пристройка!D33</f>
        <v>3</v>
      </c>
      <c r="E1074" s="1463" t="n">
        <f aca="false">пристройка!E33</f>
        <v>3</v>
      </c>
      <c r="F1074" s="1463" t="n">
        <f aca="false">пристройка!F33</f>
        <v>3</v>
      </c>
      <c r="G1074" s="1460"/>
      <c r="H1074" s="1460"/>
      <c r="I1074" s="1463" t="n">
        <f aca="false">пристройка!H33</f>
        <v>3</v>
      </c>
      <c r="J1074" s="1463" t="n">
        <f aca="false">пристройка!I33</f>
        <v>3</v>
      </c>
      <c r="K1074" s="1463" t="n">
        <f aca="false">пристройка!J33</f>
        <v>3</v>
      </c>
      <c r="L1074" s="1473"/>
      <c r="M1074" s="1473"/>
      <c r="N1074" s="1473"/>
      <c r="O1074" s="1474" t="n">
        <f aca="false">пристройка!K33</f>
        <v>3</v>
      </c>
      <c r="P1074" s="1468"/>
      <c r="Q1074" s="1470" t="n">
        <f aca="false">пристройка!M33</f>
        <v>3</v>
      </c>
      <c r="R1074" s="1470" t="n">
        <f aca="false">пристройка!N33</f>
        <v>3</v>
      </c>
      <c r="S1074" s="1470" t="n">
        <f aca="false">пристройка!O33</f>
        <v>3</v>
      </c>
      <c r="T1074" s="1470" t="n">
        <f aca="false">пристройка!P33</f>
        <v>3</v>
      </c>
      <c r="U1074" s="1468"/>
      <c r="V1074" s="1468"/>
      <c r="W1074" s="1226"/>
      <c r="X1074" s="1226"/>
      <c r="Y1074" s="888"/>
      <c r="Z1074" s="1193"/>
      <c r="AA1074" s="1193"/>
      <c r="AB1074" s="998"/>
      <c r="AC1074" s="998"/>
      <c r="AD1074" s="998"/>
      <c r="AE1074" s="1226"/>
      <c r="AF1074" s="888"/>
    </row>
    <row r="1075" customFormat="false" ht="15.75" hidden="true" customHeight="true" outlineLevel="1" collapsed="false">
      <c r="A1075" s="1457" t="s">
        <v>3405</v>
      </c>
      <c r="B1075" s="1464"/>
      <c r="C1075" s="1464" t="n">
        <f aca="false">пристройка!C37</f>
        <v>1.2</v>
      </c>
      <c r="D1075" s="1463" t="n">
        <f aca="false">пристройка!D37</f>
        <v>2.9</v>
      </c>
      <c r="E1075" s="1463" t="n">
        <f aca="false">пристройка!E37</f>
        <v>2.9</v>
      </c>
      <c r="F1075" s="1463" t="n">
        <f aca="false">пристройка!F37</f>
        <v>3</v>
      </c>
      <c r="G1075" s="1460"/>
      <c r="H1075" s="1460"/>
      <c r="I1075" s="1463" t="n">
        <f aca="false">пристройка!H37</f>
        <v>1.2</v>
      </c>
      <c r="J1075" s="1463" t="n">
        <f aca="false">пристройка!I37</f>
        <v>2.9</v>
      </c>
      <c r="K1075" s="1463" t="n">
        <f aca="false">пристройка!J37</f>
        <v>2.9</v>
      </c>
      <c r="L1075" s="1473"/>
      <c r="M1075" s="1473"/>
      <c r="N1075" s="1473"/>
      <c r="O1075" s="1474" t="n">
        <f aca="false">пристройка!K37</f>
        <v>3</v>
      </c>
      <c r="P1075" s="1468"/>
      <c r="Q1075" s="1470" t="n">
        <f aca="false">пристройка!M37</f>
        <v>1.2</v>
      </c>
      <c r="R1075" s="1470" t="n">
        <f aca="false">пристройка!N37</f>
        <v>2.9</v>
      </c>
      <c r="S1075" s="1470" t="n">
        <f aca="false">пристройка!O37</f>
        <v>2.9</v>
      </c>
      <c r="T1075" s="1470" t="n">
        <f aca="false">пристройка!P37</f>
        <v>3</v>
      </c>
      <c r="U1075" s="1468"/>
      <c r="V1075" s="1468"/>
      <c r="W1075" s="1226"/>
      <c r="X1075" s="1226"/>
      <c r="Y1075" s="888"/>
      <c r="Z1075" s="1193"/>
      <c r="AA1075" s="1193"/>
      <c r="AB1075" s="998"/>
      <c r="AC1075" s="998"/>
      <c r="AD1075" s="998"/>
      <c r="AE1075" s="1226"/>
      <c r="AF1075" s="888"/>
    </row>
    <row r="1076" customFormat="false" ht="15.75" hidden="true" customHeight="true" outlineLevel="1" collapsed="false">
      <c r="A1076" s="1457" t="s">
        <v>3402</v>
      </c>
      <c r="B1076" s="1464"/>
      <c r="C1076" s="1464"/>
      <c r="D1076" s="1463"/>
      <c r="E1076" s="1459"/>
      <c r="F1076" s="1459"/>
      <c r="G1076" s="1465"/>
      <c r="H1076" s="1465"/>
      <c r="I1076" s="1460"/>
      <c r="J1076" s="1464"/>
      <c r="K1076" s="1463"/>
      <c r="L1076" s="1473"/>
      <c r="M1076" s="1473"/>
      <c r="N1076" s="1473"/>
      <c r="O1076" s="1467"/>
      <c r="P1076" s="1468"/>
      <c r="Q1076" s="1475"/>
      <c r="R1076" s="1476"/>
      <c r="S1076" s="1469"/>
      <c r="T1076" s="1470"/>
      <c r="U1076" s="1468"/>
      <c r="V1076" s="1468"/>
      <c r="W1076" s="1217"/>
      <c r="X1076" s="1217"/>
      <c r="Y1076" s="1226"/>
      <c r="Z1076" s="1472"/>
      <c r="AA1076" s="1193"/>
      <c r="AB1076" s="998"/>
      <c r="AC1076" s="998"/>
      <c r="AD1076" s="998"/>
      <c r="AE1076" s="1217"/>
      <c r="AF1076" s="1226"/>
    </row>
    <row r="1077" customFormat="false" ht="15.75" hidden="true" customHeight="true" outlineLevel="1" collapsed="false">
      <c r="A1077" s="1457" t="s">
        <v>2986</v>
      </c>
      <c r="B1077" s="1464" t="s">
        <v>156</v>
      </c>
      <c r="C1077" s="1464" t="n">
        <f aca="false">C1072</f>
        <v>6</v>
      </c>
      <c r="D1077" s="1463" t="n">
        <f aca="false">D1072</f>
        <v>3</v>
      </c>
      <c r="E1077" s="1463" t="n">
        <f aca="false">E1072</f>
        <v>3</v>
      </c>
      <c r="F1077" s="1463" t="n">
        <f aca="false">F1072</f>
        <v>5</v>
      </c>
      <c r="G1077" s="1460"/>
      <c r="H1077" s="1460"/>
      <c r="I1077" s="1463" t="n">
        <f aca="false">I1072</f>
        <v>6</v>
      </c>
      <c r="J1077" s="1463" t="n">
        <f aca="false">J1072</f>
        <v>3</v>
      </c>
      <c r="K1077" s="1463" t="n">
        <f aca="false">K1072</f>
        <v>3</v>
      </c>
      <c r="L1077" s="1473"/>
      <c r="M1077" s="1473"/>
      <c r="N1077" s="1473"/>
      <c r="O1077" s="1474" t="n">
        <f aca="false">O1072</f>
        <v>5</v>
      </c>
      <c r="P1077" s="1468"/>
      <c r="Q1077" s="1470" t="n">
        <f aca="false">Q1072</f>
        <v>6</v>
      </c>
      <c r="R1077" s="1470" t="n">
        <f aca="false">R1072</f>
        <v>3</v>
      </c>
      <c r="S1077" s="1470" t="n">
        <f aca="false">S1072</f>
        <v>3</v>
      </c>
      <c r="T1077" s="1470" t="n">
        <f aca="false">T1072</f>
        <v>5</v>
      </c>
      <c r="U1077" s="1468"/>
      <c r="V1077" s="1468"/>
      <c r="W1077" s="1226"/>
      <c r="X1077" s="1226"/>
      <c r="Y1077" s="888"/>
      <c r="Z1077" s="1193"/>
      <c r="AA1077" s="1193"/>
      <c r="AB1077" s="998"/>
      <c r="AC1077" s="998"/>
      <c r="AD1077" s="998"/>
      <c r="AE1077" s="1226"/>
      <c r="AF1077" s="888"/>
    </row>
    <row r="1078" customFormat="false" ht="15.75" hidden="true" customHeight="true" outlineLevel="1" collapsed="false">
      <c r="A1078" s="1457" t="s">
        <v>3254</v>
      </c>
      <c r="B1078" s="1464" t="s">
        <v>156</v>
      </c>
      <c r="C1078" s="1464" t="n">
        <f aca="false">C1073</f>
        <v>3</v>
      </c>
      <c r="D1078" s="1463" t="n">
        <f aca="false">D1073</f>
        <v>3</v>
      </c>
      <c r="E1078" s="1463" t="n">
        <f aca="false">E1073</f>
        <v>3</v>
      </c>
      <c r="F1078" s="1463" t="n">
        <f aca="false">F1073</f>
        <v>3</v>
      </c>
      <c r="G1078" s="1460"/>
      <c r="H1078" s="1460"/>
      <c r="I1078" s="1463" t="n">
        <f aca="false">I1073</f>
        <v>3</v>
      </c>
      <c r="J1078" s="1463" t="n">
        <f aca="false">J1073</f>
        <v>3</v>
      </c>
      <c r="K1078" s="1463" t="n">
        <f aca="false">K1073</f>
        <v>3</v>
      </c>
      <c r="L1078" s="1473"/>
      <c r="M1078" s="1473"/>
      <c r="N1078" s="1473"/>
      <c r="O1078" s="1474" t="n">
        <f aca="false">O1073</f>
        <v>3</v>
      </c>
      <c r="P1078" s="1468"/>
      <c r="Q1078" s="1470" t="n">
        <f aca="false">Q1073</f>
        <v>3</v>
      </c>
      <c r="R1078" s="1470" t="n">
        <f aca="false">R1073</f>
        <v>3</v>
      </c>
      <c r="S1078" s="1470" t="n">
        <f aca="false">S1073</f>
        <v>3</v>
      </c>
      <c r="T1078" s="1470" t="n">
        <f aca="false">T1073</f>
        <v>3</v>
      </c>
      <c r="U1078" s="1468"/>
      <c r="V1078" s="1468"/>
      <c r="W1078" s="1226"/>
      <c r="X1078" s="1226"/>
      <c r="Y1078" s="888"/>
      <c r="Z1078" s="1193"/>
      <c r="AA1078" s="1193"/>
      <c r="AB1078" s="998"/>
      <c r="AC1078" s="998"/>
      <c r="AD1078" s="998"/>
      <c r="AE1078" s="1226"/>
      <c r="AF1078" s="888"/>
    </row>
    <row r="1079" customFormat="false" ht="15.75" hidden="true" customHeight="true" outlineLevel="1" collapsed="false">
      <c r="A1079" s="1457" t="s">
        <v>3255</v>
      </c>
      <c r="B1079" s="1464" t="s">
        <v>156</v>
      </c>
      <c r="C1079" s="1464" t="n">
        <f aca="false">C1074</f>
        <v>3</v>
      </c>
      <c r="D1079" s="1463" t="n">
        <f aca="false">D1074</f>
        <v>3</v>
      </c>
      <c r="E1079" s="1463" t="n">
        <f aca="false">E1074</f>
        <v>3</v>
      </c>
      <c r="F1079" s="1463" t="n">
        <f aca="false">F1074</f>
        <v>3</v>
      </c>
      <c r="G1079" s="1460"/>
      <c r="H1079" s="1460"/>
      <c r="I1079" s="1463" t="n">
        <f aca="false">I1074</f>
        <v>3</v>
      </c>
      <c r="J1079" s="1463" t="n">
        <f aca="false">J1074</f>
        <v>3</v>
      </c>
      <c r="K1079" s="1463" t="n">
        <f aca="false">K1074</f>
        <v>3</v>
      </c>
      <c r="L1079" s="1473"/>
      <c r="M1079" s="1473"/>
      <c r="N1079" s="1473"/>
      <c r="O1079" s="1474" t="n">
        <f aca="false">O1074</f>
        <v>3</v>
      </c>
      <c r="P1079" s="1468"/>
      <c r="Q1079" s="1470" t="n">
        <f aca="false">Q1074</f>
        <v>3</v>
      </c>
      <c r="R1079" s="1470" t="n">
        <f aca="false">R1074</f>
        <v>3</v>
      </c>
      <c r="S1079" s="1470" t="n">
        <f aca="false">S1074</f>
        <v>3</v>
      </c>
      <c r="T1079" s="1470" t="n">
        <f aca="false">T1074</f>
        <v>3</v>
      </c>
      <c r="U1079" s="1468"/>
      <c r="V1079" s="1468"/>
      <c r="W1079" s="1226"/>
      <c r="X1079" s="1226"/>
      <c r="Y1079" s="888"/>
      <c r="Z1079" s="1193"/>
      <c r="AA1079" s="1193"/>
      <c r="AB1079" s="998"/>
      <c r="AC1079" s="998"/>
      <c r="AD1079" s="998"/>
      <c r="AE1079" s="1226"/>
      <c r="AF1079" s="888"/>
    </row>
    <row r="1080" customFormat="false" ht="15.75" hidden="true" customHeight="true" outlineLevel="1" collapsed="false">
      <c r="A1080" s="1457" t="s">
        <v>3405</v>
      </c>
      <c r="B1080" s="1464"/>
      <c r="C1080" s="1464" t="n">
        <f aca="false">пристройка!C40</f>
        <v>0</v>
      </c>
      <c r="D1080" s="1463" t="n">
        <f aca="false">пристройка!D40</f>
        <v>2.2</v>
      </c>
      <c r="E1080" s="1463" t="n">
        <f aca="false">пристройка!E40</f>
        <v>1.5</v>
      </c>
      <c r="F1080" s="1463" t="n">
        <f aca="false">пристройка!F40</f>
        <v>0</v>
      </c>
      <c r="G1080" s="1460"/>
      <c r="H1080" s="1460"/>
      <c r="I1080" s="1463" t="n">
        <f aca="false">пристройка!H40</f>
        <v>0</v>
      </c>
      <c r="J1080" s="1463" t="n">
        <f aca="false">пристройка!I40</f>
        <v>2.2</v>
      </c>
      <c r="K1080" s="1463" t="n">
        <f aca="false">пристройка!J40</f>
        <v>1.5</v>
      </c>
      <c r="L1080" s="1473"/>
      <c r="M1080" s="1473"/>
      <c r="N1080" s="1473"/>
      <c r="O1080" s="1474" t="n">
        <f aca="false">пристройка!K40</f>
        <v>0</v>
      </c>
      <c r="P1080" s="1468"/>
      <c r="Q1080" s="1470" t="n">
        <f aca="false">пристройка!M40</f>
        <v>0</v>
      </c>
      <c r="R1080" s="1470" t="n">
        <f aca="false">пристройка!N40</f>
        <v>2.2</v>
      </c>
      <c r="S1080" s="1470" t="n">
        <f aca="false">пристройка!O40</f>
        <v>1.5</v>
      </c>
      <c r="T1080" s="1470" t="n">
        <f aca="false">пристройка!P40</f>
        <v>0</v>
      </c>
      <c r="U1080" s="1468"/>
      <c r="V1080" s="1468"/>
      <c r="W1080" s="1226"/>
      <c r="X1080" s="1226"/>
      <c r="Y1080" s="888"/>
      <c r="Z1080" s="1193"/>
      <c r="AA1080" s="1193"/>
      <c r="AB1080" s="998"/>
      <c r="AC1080" s="998"/>
      <c r="AD1080" s="998"/>
      <c r="AE1080" s="1226"/>
      <c r="AF1080" s="888"/>
    </row>
    <row r="1081" customFormat="false" ht="15.75" hidden="true" customHeight="true" outlineLevel="1" collapsed="false">
      <c r="A1081" s="1457"/>
      <c r="B1081" s="1464"/>
      <c r="C1081" s="1464"/>
      <c r="D1081" s="1463"/>
      <c r="E1081" s="1459"/>
      <c r="F1081" s="1459"/>
      <c r="G1081" s="1460"/>
      <c r="H1081" s="1460"/>
      <c r="I1081" s="1458"/>
      <c r="J1081" s="1463"/>
      <c r="K1081" s="1463"/>
      <c r="L1081" s="1477"/>
      <c r="M1081" s="1477"/>
      <c r="N1081" s="1477"/>
      <c r="O1081" s="1468"/>
      <c r="P1081" s="1468"/>
      <c r="Q1081" s="1478"/>
      <c r="R1081" s="1479"/>
      <c r="S1081" s="1480"/>
      <c r="T1081" s="1480"/>
      <c r="U1081" s="1468"/>
      <c r="V1081" s="1468"/>
      <c r="W1081" s="1226"/>
      <c r="X1081" s="1226"/>
      <c r="Y1081" s="888"/>
      <c r="Z1081" s="1193"/>
      <c r="AA1081" s="1193"/>
      <c r="AB1081" s="998"/>
      <c r="AC1081" s="998"/>
      <c r="AD1081" s="998"/>
      <c r="AE1081" s="1226"/>
      <c r="AF1081" s="888"/>
    </row>
    <row r="1082" customFormat="false" ht="15.75" hidden="false" customHeight="true" outlineLevel="0" collapsed="false">
      <c r="A1082" s="1457" t="s">
        <v>3406</v>
      </c>
      <c r="B1082" s="1464"/>
      <c r="C1082" s="1464"/>
      <c r="D1082" s="1463"/>
      <c r="E1082" s="1459"/>
      <c r="F1082" s="1459"/>
      <c r="G1082" s="1460"/>
      <c r="H1082" s="1460"/>
      <c r="I1082" s="1458"/>
      <c r="J1082" s="1463"/>
      <c r="K1082" s="1463"/>
      <c r="L1082" s="1477"/>
      <c r="M1082" s="1477"/>
      <c r="N1082" s="1477"/>
      <c r="O1082" s="1468"/>
      <c r="P1082" s="1468"/>
      <c r="Q1082" s="1478"/>
      <c r="R1082" s="1479"/>
      <c r="S1082" s="1480"/>
      <c r="T1082" s="1480"/>
      <c r="U1082" s="1468"/>
      <c r="V1082" s="1468"/>
      <c r="W1082" s="1226"/>
      <c r="X1082" s="1226"/>
      <c r="Y1082" s="888"/>
      <c r="Z1082" s="1193"/>
      <c r="AA1082" s="1193"/>
      <c r="AB1082" s="998"/>
      <c r="AC1082" s="998"/>
      <c r="AD1082" s="998"/>
      <c r="AE1082" s="1226"/>
      <c r="AF1082" s="888"/>
    </row>
    <row r="1083" customFormat="false" ht="15.75" hidden="false" customHeight="true" outlineLevel="0" collapsed="false">
      <c r="A1083" s="1481"/>
      <c r="B1083" s="1482"/>
      <c r="C1083" s="1482"/>
      <c r="D1083" s="1480"/>
      <c r="E1083" s="1468"/>
      <c r="F1083" s="1468"/>
      <c r="G1083" s="1483"/>
      <c r="H1083" s="1483"/>
      <c r="I1083" s="1484"/>
      <c r="J1083" s="1485"/>
      <c r="K1083" s="1485"/>
      <c r="L1083" s="1485"/>
      <c r="M1083" s="1485"/>
      <c r="N1083" s="1485"/>
      <c r="O1083" s="1486"/>
      <c r="P1083" s="1486"/>
      <c r="Q1083" s="998"/>
      <c r="R1083" s="998"/>
      <c r="S1083" s="998"/>
      <c r="T1083" s="1487"/>
      <c r="U1083" s="1484"/>
      <c r="V1083" s="1485"/>
      <c r="W1083" s="1226"/>
      <c r="X1083" s="1226"/>
      <c r="Y1083" s="888"/>
      <c r="Z1083" s="1193"/>
      <c r="AA1083" s="1193"/>
      <c r="AB1083" s="998"/>
      <c r="AC1083" s="998"/>
      <c r="AD1083" s="998"/>
      <c r="AE1083" s="1226"/>
      <c r="AF1083" s="888"/>
    </row>
    <row r="1084" customFormat="false" ht="15.75" hidden="false" customHeight="true" outlineLevel="1" collapsed="false">
      <c r="A1084" s="1291" t="s">
        <v>3407</v>
      </c>
      <c r="B1084" s="1295" t="s">
        <v>120</v>
      </c>
      <c r="C1084" s="1295" t="s">
        <v>2572</v>
      </c>
      <c r="D1084" s="930" t="s">
        <v>3408</v>
      </c>
      <c r="E1084" s="933"/>
      <c r="F1084" s="1295" t="s">
        <v>3409</v>
      </c>
      <c r="G1084" s="1486"/>
      <c r="H1084" s="1486"/>
      <c r="I1084" s="1483"/>
      <c r="J1084" s="1484"/>
      <c r="K1084" s="1484"/>
      <c r="L1084" s="1484"/>
      <c r="M1084" s="1484"/>
      <c r="N1084" s="1484"/>
      <c r="O1084" s="1488"/>
      <c r="P1084" s="1489"/>
      <c r="Q1084" s="998"/>
      <c r="R1084" s="1489"/>
      <c r="S1084" s="1489"/>
      <c r="T1084" s="1489"/>
      <c r="U1084" s="1489"/>
      <c r="V1084" s="1489"/>
      <c r="W1084" s="1230"/>
      <c r="X1084" s="1230"/>
      <c r="Y1084" s="1230"/>
    </row>
    <row r="1085" customFormat="false" ht="15.75" hidden="false" customHeight="true" outlineLevel="1" collapsed="false">
      <c r="A1085" s="1294"/>
      <c r="B1085" s="1295" t="s">
        <v>133</v>
      </c>
      <c r="C1085" s="1293" t="s">
        <v>3410</v>
      </c>
      <c r="D1085" s="1294" t="s">
        <v>3411</v>
      </c>
      <c r="E1085" s="933" t="s">
        <v>3412</v>
      </c>
      <c r="F1085" s="930" t="n">
        <f aca="false">J91+J96+J101</f>
        <v>100</v>
      </c>
      <c r="G1085" s="1486"/>
      <c r="H1085" s="1486"/>
      <c r="I1085" s="1483"/>
      <c r="J1085" s="1484"/>
      <c r="K1085" s="1484"/>
      <c r="L1085" s="1484"/>
      <c r="M1085" s="1484"/>
      <c r="N1085" s="1484"/>
      <c r="O1085" s="1488"/>
      <c r="P1085" s="1489"/>
      <c r="Q1085" s="998"/>
      <c r="R1085" s="1489"/>
      <c r="S1085" s="1489"/>
      <c r="T1085" s="1489"/>
      <c r="U1085" s="1489"/>
      <c r="V1085" s="1489"/>
      <c r="W1085" s="1230"/>
      <c r="X1085" s="1230"/>
      <c r="Y1085" s="1230"/>
    </row>
    <row r="1086" customFormat="false" ht="15.75" hidden="false" customHeight="true" outlineLevel="1" collapsed="false">
      <c r="A1086" s="1291" t="s">
        <v>3413</v>
      </c>
      <c r="B1086" s="1295" t="s">
        <v>133</v>
      </c>
      <c r="C1086" s="1293"/>
      <c r="D1086" s="930"/>
      <c r="E1086" s="933"/>
      <c r="F1086" s="930" t="n">
        <f aca="false">F1085</f>
        <v>100</v>
      </c>
      <c r="G1086" s="1486"/>
      <c r="H1086" s="1486"/>
      <c r="I1086" s="1483"/>
      <c r="J1086" s="1484"/>
      <c r="K1086" s="1484"/>
      <c r="L1086" s="1484"/>
      <c r="M1086" s="1484"/>
      <c r="N1086" s="1484"/>
      <c r="O1086" s="1488"/>
      <c r="P1086" s="1489"/>
      <c r="Q1086" s="998"/>
      <c r="R1086" s="1489"/>
      <c r="S1086" s="1489"/>
      <c r="T1086" s="1489"/>
      <c r="U1086" s="1489"/>
      <c r="V1086" s="1489"/>
      <c r="W1086" s="1230"/>
      <c r="X1086" s="1230"/>
      <c r="Y1086" s="1230"/>
    </row>
    <row r="1087" customFormat="false" ht="15.75" hidden="false" customHeight="true" outlineLevel="1" collapsed="false">
      <c r="A1087" s="1490" t="s">
        <v>2557</v>
      </c>
      <c r="B1087" s="1491" t="s">
        <v>133</v>
      </c>
      <c r="C1087" s="1492" t="n">
        <f aca="false">(C620+C620+C624+C625)*E43+пристройка!R33</f>
        <v>0</v>
      </c>
      <c r="D1087" s="1493" t="n">
        <f aca="false">F1339</f>
        <v>48</v>
      </c>
      <c r="E1087" s="933" t="n">
        <f aca="false">F1340</f>
        <v>23.4</v>
      </c>
      <c r="F1087" s="1493" t="n">
        <f aca="false">J92+J97+J102</f>
        <v>100</v>
      </c>
      <c r="G1087" s="1486"/>
      <c r="H1087" s="1486"/>
      <c r="I1087" s="1483"/>
      <c r="J1087" s="1484"/>
      <c r="K1087" s="1484"/>
      <c r="L1087" s="1484"/>
      <c r="M1087" s="1484"/>
      <c r="N1087" s="1484"/>
      <c r="O1087" s="1488"/>
      <c r="P1087" s="1489"/>
      <c r="Q1087" s="998"/>
      <c r="R1087" s="1489"/>
      <c r="S1087" s="1489"/>
      <c r="T1087" s="1489"/>
      <c r="U1087" s="1489"/>
      <c r="V1087" s="1489"/>
      <c r="W1087" s="1230"/>
      <c r="X1087" s="1230"/>
      <c r="Y1087" s="1230"/>
    </row>
    <row r="1088" customFormat="false" ht="15.75" hidden="false" customHeight="true" outlineLevel="1" collapsed="false">
      <c r="A1088" s="1490" t="s">
        <v>3414</v>
      </c>
      <c r="B1088" s="1491"/>
      <c r="C1088" s="1492"/>
      <c r="D1088" s="1493"/>
      <c r="E1088" s="933"/>
      <c r="F1088" s="1493" t="n">
        <v>0</v>
      </c>
      <c r="G1088" s="1486"/>
      <c r="H1088" s="1486"/>
      <c r="I1088" s="1483"/>
      <c r="J1088" s="1484"/>
      <c r="K1088" s="1484"/>
      <c r="L1088" s="1484"/>
      <c r="M1088" s="1484"/>
      <c r="N1088" s="1484"/>
      <c r="O1088" s="1488"/>
      <c r="P1088" s="1489"/>
      <c r="Q1088" s="998"/>
      <c r="R1088" s="1489"/>
      <c r="S1088" s="1489"/>
      <c r="T1088" s="1489"/>
      <c r="U1088" s="1489"/>
      <c r="V1088" s="1489"/>
      <c r="W1088" s="1230"/>
      <c r="X1088" s="1230"/>
      <c r="Y1088" s="1230"/>
    </row>
    <row r="1089" customFormat="false" ht="15.75" hidden="false" customHeight="true" outlineLevel="1" collapsed="false">
      <c r="A1089" s="1490" t="s">
        <v>3414</v>
      </c>
      <c r="B1089" s="1491"/>
      <c r="C1089" s="1492"/>
      <c r="D1089" s="1493"/>
      <c r="E1089" s="933"/>
      <c r="F1089" s="1493" t="n">
        <v>0</v>
      </c>
      <c r="G1089" s="1486"/>
      <c r="H1089" s="1486"/>
      <c r="I1089" s="1483"/>
      <c r="J1089" s="1484"/>
      <c r="K1089" s="1484"/>
      <c r="L1089" s="1484"/>
      <c r="M1089" s="1484"/>
      <c r="N1089" s="1484"/>
      <c r="O1089" s="1488"/>
      <c r="P1089" s="1489"/>
      <c r="Q1089" s="998"/>
      <c r="R1089" s="1489"/>
      <c r="S1089" s="1489"/>
      <c r="T1089" s="1489"/>
      <c r="U1089" s="1489"/>
      <c r="V1089" s="1489"/>
      <c r="W1089" s="1230"/>
      <c r="X1089" s="1230"/>
      <c r="Y1089" s="1230"/>
    </row>
    <row r="1090" customFormat="false" ht="15.75" hidden="false" customHeight="true" outlineLevel="1" collapsed="false">
      <c r="A1090" s="1494" t="s">
        <v>2558</v>
      </c>
      <c r="B1090" s="1495" t="s">
        <v>133</v>
      </c>
      <c r="C1090" s="1496" t="n">
        <f aca="false">(C620+C620+C624+C625)*E44+пристройка!R35</f>
        <v>0</v>
      </c>
      <c r="D1090" s="1497" t="n">
        <f aca="false">R1339</f>
        <v>0</v>
      </c>
      <c r="E1090" s="933" t="n">
        <f aca="false">R1340</f>
        <v>0</v>
      </c>
      <c r="F1090" s="1497" t="n">
        <f aca="false">J93+J98+J103</f>
        <v>0</v>
      </c>
      <c r="G1090" s="1486"/>
      <c r="H1090" s="1486"/>
      <c r="I1090" s="1483"/>
      <c r="J1090" s="1484"/>
      <c r="K1090" s="1484"/>
      <c r="L1090" s="1484"/>
      <c r="M1090" s="1484"/>
      <c r="N1090" s="1484"/>
      <c r="O1090" s="1488"/>
      <c r="P1090" s="1489"/>
      <c r="Q1090" s="998"/>
      <c r="R1090" s="1489"/>
      <c r="S1090" s="1489"/>
      <c r="T1090" s="1489"/>
      <c r="U1090" s="1489"/>
      <c r="V1090" s="1489"/>
      <c r="W1090" s="1230"/>
      <c r="X1090" s="1230"/>
      <c r="Y1090" s="1230"/>
    </row>
    <row r="1091" customFormat="false" ht="15.75" hidden="false" customHeight="true" outlineLevel="1" collapsed="false">
      <c r="A1091" s="1490" t="s">
        <v>3414</v>
      </c>
      <c r="B1091" s="1495"/>
      <c r="C1091" s="1496"/>
      <c r="D1091" s="1497"/>
      <c r="E1091" s="933"/>
      <c r="F1091" s="1497" t="n">
        <v>0</v>
      </c>
      <c r="G1091" s="1486"/>
      <c r="H1091" s="1486"/>
      <c r="I1091" s="1483"/>
      <c r="J1091" s="1484"/>
      <c r="K1091" s="1484"/>
      <c r="L1091" s="1484"/>
      <c r="M1091" s="1484"/>
      <c r="N1091" s="1484"/>
      <c r="O1091" s="1488"/>
      <c r="P1091" s="1489"/>
      <c r="Q1091" s="998"/>
      <c r="R1091" s="1489"/>
      <c r="S1091" s="1489"/>
      <c r="T1091" s="1489"/>
      <c r="U1091" s="1489"/>
      <c r="V1091" s="1489"/>
      <c r="W1091" s="1230"/>
      <c r="X1091" s="1230"/>
      <c r="Y1091" s="1230"/>
    </row>
    <row r="1092" customFormat="false" ht="15.75" hidden="false" customHeight="true" outlineLevel="1" collapsed="false">
      <c r="A1092" s="1490" t="s">
        <v>3414</v>
      </c>
      <c r="B1092" s="1495"/>
      <c r="C1092" s="1496"/>
      <c r="D1092" s="1497"/>
      <c r="E1092" s="933"/>
      <c r="F1092" s="1497" t="n">
        <v>0</v>
      </c>
      <c r="G1092" s="1486"/>
      <c r="H1092" s="1486"/>
      <c r="I1092" s="1483"/>
      <c r="J1092" s="1484"/>
      <c r="K1092" s="1484"/>
      <c r="L1092" s="1484"/>
      <c r="M1092" s="1484"/>
      <c r="N1092" s="1484"/>
      <c r="O1092" s="1488"/>
      <c r="P1092" s="1489"/>
      <c r="Q1092" s="998"/>
      <c r="R1092" s="1489"/>
      <c r="S1092" s="1489"/>
      <c r="T1092" s="1489"/>
      <c r="U1092" s="1489"/>
      <c r="V1092" s="1489"/>
      <c r="W1092" s="1230"/>
      <c r="X1092" s="1230"/>
      <c r="Y1092" s="1230"/>
    </row>
    <row r="1093" customFormat="false" ht="15.75" hidden="false" customHeight="true" outlineLevel="1" collapsed="false">
      <c r="A1093" s="1291" t="s">
        <v>2591</v>
      </c>
      <c r="B1093" s="1295"/>
      <c r="C1093" s="1293" t="n">
        <f aca="false">C1087+C1090</f>
        <v>0</v>
      </c>
      <c r="D1093" s="930" t="n">
        <f aca="false">SUM(D1087:D1090)</f>
        <v>48</v>
      </c>
      <c r="E1093" s="933" t="n">
        <f aca="false">SUM(E1087:E1090)</f>
        <v>23.4</v>
      </c>
      <c r="F1093" s="930" t="n">
        <f aca="false">F1086+F1087+F1090</f>
        <v>200</v>
      </c>
      <c r="G1093" s="1486"/>
      <c r="H1093" s="1486"/>
      <c r="I1093" s="1483"/>
      <c r="J1093" s="1484"/>
      <c r="K1093" s="1484"/>
      <c r="L1093" s="1484"/>
      <c r="M1093" s="1484"/>
      <c r="N1093" s="1484"/>
      <c r="O1093" s="1488"/>
      <c r="P1093" s="1489"/>
      <c r="Q1093" s="998"/>
      <c r="R1093" s="1489"/>
      <c r="S1093" s="1489"/>
      <c r="T1093" s="1489"/>
      <c r="U1093" s="1489"/>
      <c r="V1093" s="1489"/>
      <c r="W1093" s="1230"/>
      <c r="X1093" s="1230"/>
      <c r="Y1093" s="1230"/>
    </row>
    <row r="1094" customFormat="false" ht="15.75" hidden="false" customHeight="true" outlineLevel="1" collapsed="false">
      <c r="A1094" s="1291" t="s">
        <v>2994</v>
      </c>
      <c r="B1094" s="1295"/>
      <c r="C1094" s="1293" t="n">
        <v>0.2</v>
      </c>
      <c r="D1094" s="930" t="n">
        <v>0.15</v>
      </c>
      <c r="E1094" s="933" t="n">
        <v>0.1</v>
      </c>
      <c r="F1094" s="930"/>
      <c r="G1094" s="1486"/>
      <c r="H1094" s="1486"/>
      <c r="I1094" s="1483"/>
      <c r="J1094" s="1484"/>
      <c r="K1094" s="1484"/>
      <c r="L1094" s="1484"/>
      <c r="M1094" s="1484"/>
      <c r="N1094" s="1484"/>
      <c r="O1094" s="1488"/>
      <c r="P1094" s="1489"/>
      <c r="Q1094" s="998"/>
      <c r="R1094" s="1489"/>
      <c r="S1094" s="1489"/>
      <c r="T1094" s="1489"/>
      <c r="U1094" s="1489"/>
      <c r="V1094" s="1489"/>
      <c r="W1094" s="1230"/>
      <c r="X1094" s="1230"/>
      <c r="Y1094" s="1230"/>
    </row>
    <row r="1095" customFormat="false" ht="15.75" hidden="false" customHeight="true" outlineLevel="1" collapsed="false">
      <c r="A1095" s="1291" t="s">
        <v>3415</v>
      </c>
      <c r="B1095" s="1295"/>
      <c r="C1095" s="1293" t="n">
        <f aca="false">(C1087+C1090)*C1094</f>
        <v>0</v>
      </c>
      <c r="D1095" s="930" t="n">
        <f aca="false">D1093*D1094</f>
        <v>7.2</v>
      </c>
      <c r="E1095" s="933" t="n">
        <f aca="false">E1093*E1094</f>
        <v>2.34</v>
      </c>
      <c r="F1095" s="930" t="n">
        <f aca="false">C1095+D1095+E1095</f>
        <v>9.54</v>
      </c>
      <c r="G1095" s="1486"/>
      <c r="H1095" s="1486"/>
      <c r="I1095" s="1483"/>
      <c r="J1095" s="1484"/>
      <c r="K1095" s="1484"/>
      <c r="L1095" s="1484"/>
      <c r="M1095" s="1484"/>
      <c r="N1095" s="1484"/>
      <c r="O1095" s="1488"/>
      <c r="P1095" s="1489"/>
      <c r="Q1095" s="998"/>
      <c r="R1095" s="1489"/>
      <c r="S1095" s="1489"/>
      <c r="T1095" s="1489"/>
      <c r="U1095" s="1489"/>
      <c r="V1095" s="1489"/>
      <c r="W1095" s="1230"/>
      <c r="X1095" s="1230"/>
      <c r="Y1095" s="1230"/>
    </row>
    <row r="1096" customFormat="false" ht="15.75" hidden="false" customHeight="true" outlineLevel="1" collapsed="false">
      <c r="A1096" s="1291" t="s">
        <v>3416</v>
      </c>
      <c r="B1096" s="1295" t="s">
        <v>120</v>
      </c>
      <c r="C1096" s="1295" t="s">
        <v>2850</v>
      </c>
      <c r="D1096" s="930" t="s">
        <v>2851</v>
      </c>
      <c r="E1096" s="933"/>
      <c r="F1096" s="1295" t="s">
        <v>3417</v>
      </c>
      <c r="G1096" s="1486"/>
      <c r="H1096" s="1486"/>
      <c r="I1096" s="1483"/>
      <c r="J1096" s="1484"/>
      <c r="K1096" s="1484"/>
      <c r="L1096" s="1484"/>
      <c r="M1096" s="1484"/>
      <c r="N1096" s="1484"/>
      <c r="O1096" s="1488"/>
      <c r="P1096" s="1489"/>
      <c r="Q1096" s="998"/>
      <c r="R1096" s="1489"/>
      <c r="S1096" s="1489"/>
      <c r="T1096" s="1489"/>
      <c r="U1096" s="1489"/>
      <c r="V1096" s="1489"/>
      <c r="W1096" s="1230"/>
      <c r="X1096" s="1230"/>
      <c r="Y1096" s="1230"/>
    </row>
    <row r="1097" customFormat="false" ht="15.75" hidden="false" customHeight="true" outlineLevel="1" collapsed="false">
      <c r="A1097" s="1490" t="s">
        <v>2560</v>
      </c>
      <c r="B1097" s="1491" t="s">
        <v>133</v>
      </c>
      <c r="C1097" s="1492" t="n">
        <f aca="false">K91</f>
        <v>100</v>
      </c>
      <c r="D1097" s="1493" t="n">
        <f aca="false">пристройка!R12</f>
        <v>0</v>
      </c>
      <c r="E1097" s="933"/>
      <c r="F1097" s="1498" t="n">
        <f aca="false">C1097+D1097-C1098</f>
        <v>100</v>
      </c>
      <c r="G1097" s="1486"/>
      <c r="H1097" s="1486"/>
      <c r="I1097" s="1483"/>
      <c r="J1097" s="1484"/>
      <c r="K1097" s="1484"/>
      <c r="L1097" s="1484"/>
      <c r="M1097" s="1484"/>
      <c r="N1097" s="1484"/>
      <c r="O1097" s="1488"/>
      <c r="P1097" s="1489"/>
      <c r="Q1097" s="998"/>
      <c r="R1097" s="1489"/>
      <c r="S1097" s="1489"/>
      <c r="T1097" s="1489"/>
      <c r="U1097" s="1489"/>
      <c r="V1097" s="1489"/>
      <c r="W1097" s="1230"/>
      <c r="X1097" s="1230"/>
      <c r="Y1097" s="1230"/>
    </row>
    <row r="1098" customFormat="false" ht="15.75" hidden="false" customHeight="true" outlineLevel="1" collapsed="false">
      <c r="A1098" s="1490" t="s">
        <v>3418</v>
      </c>
      <c r="B1098" s="1491"/>
      <c r="C1098" s="1492" t="n">
        <f aca="false">V617</f>
        <v>0</v>
      </c>
      <c r="D1098" s="1493"/>
      <c r="E1098" s="933"/>
      <c r="F1098" s="1498"/>
      <c r="G1098" s="1486"/>
      <c r="H1098" s="1486"/>
      <c r="I1098" s="1483"/>
      <c r="J1098" s="1484"/>
      <c r="K1098" s="1484"/>
      <c r="L1098" s="1484"/>
      <c r="M1098" s="1484"/>
      <c r="N1098" s="1484"/>
      <c r="O1098" s="1488"/>
      <c r="P1098" s="1489"/>
      <c r="Q1098" s="998"/>
      <c r="R1098" s="1489"/>
      <c r="S1098" s="1489"/>
      <c r="T1098" s="1489"/>
      <c r="U1098" s="1489"/>
      <c r="V1098" s="1489"/>
      <c r="W1098" s="1230"/>
      <c r="X1098" s="1230"/>
      <c r="Y1098" s="1230"/>
    </row>
    <row r="1099" customFormat="false" ht="15.75" hidden="false" customHeight="true" outlineLevel="1" collapsed="false">
      <c r="A1099" s="1494" t="s">
        <v>2561</v>
      </c>
      <c r="B1099" s="1495" t="s">
        <v>133</v>
      </c>
      <c r="C1099" s="1496" t="n">
        <f aca="false">K92</f>
        <v>0</v>
      </c>
      <c r="D1099" s="1497" t="n">
        <f aca="false">пристройка!R13</f>
        <v>0</v>
      </c>
      <c r="E1099" s="933"/>
      <c r="F1099" s="1499" t="n">
        <f aca="false">C1099+D1099-C1100</f>
        <v>0</v>
      </c>
      <c r="G1099" s="1486"/>
      <c r="H1099" s="1486"/>
      <c r="I1099" s="1483"/>
      <c r="J1099" s="1484"/>
      <c r="K1099" s="1484"/>
      <c r="L1099" s="1484"/>
      <c r="M1099" s="1484"/>
      <c r="N1099" s="1484"/>
      <c r="O1099" s="1488"/>
      <c r="P1099" s="1489"/>
      <c r="Q1099" s="998"/>
      <c r="R1099" s="1489"/>
      <c r="S1099" s="1489"/>
      <c r="T1099" s="1489"/>
      <c r="U1099" s="1489"/>
      <c r="V1099" s="1489"/>
      <c r="W1099" s="1230"/>
      <c r="X1099" s="1230"/>
      <c r="Y1099" s="1230"/>
    </row>
    <row r="1100" customFormat="false" ht="15.75" hidden="false" customHeight="true" outlineLevel="1" collapsed="false">
      <c r="A1100" s="1494" t="s">
        <v>3419</v>
      </c>
      <c r="B1100" s="1495"/>
      <c r="C1100" s="1496" t="n">
        <f aca="false">V1057</f>
        <v>0</v>
      </c>
      <c r="D1100" s="1497"/>
      <c r="E1100" s="933"/>
      <c r="F1100" s="1499"/>
      <c r="G1100" s="1486"/>
      <c r="H1100" s="1486"/>
      <c r="I1100" s="1483"/>
      <c r="J1100" s="1484"/>
      <c r="K1100" s="1484"/>
      <c r="L1100" s="1484"/>
      <c r="M1100" s="1484"/>
      <c r="N1100" s="1484"/>
      <c r="O1100" s="1488"/>
      <c r="P1100" s="1489"/>
      <c r="Q1100" s="998"/>
      <c r="R1100" s="1489"/>
      <c r="S1100" s="1489"/>
      <c r="T1100" s="1489"/>
      <c r="U1100" s="1489"/>
      <c r="V1100" s="1489"/>
      <c r="W1100" s="1230"/>
      <c r="X1100" s="1230"/>
      <c r="Y1100" s="1230"/>
    </row>
    <row r="1101" customFormat="false" ht="15.75" hidden="false" customHeight="true" outlineLevel="1" collapsed="false">
      <c r="A1101" s="1291" t="s">
        <v>2591</v>
      </c>
      <c r="B1101" s="1295"/>
      <c r="C1101" s="1293"/>
      <c r="D1101" s="930"/>
      <c r="E1101" s="933"/>
      <c r="F1101" s="1294" t="n">
        <f aca="false">F1099+F1097</f>
        <v>100</v>
      </c>
      <c r="G1101" s="1486"/>
      <c r="H1101" s="1486"/>
      <c r="I1101" s="1483"/>
      <c r="J1101" s="1484"/>
      <c r="K1101" s="1484"/>
      <c r="L1101" s="1484"/>
      <c r="M1101" s="1484"/>
      <c r="N1101" s="1484"/>
      <c r="O1101" s="1488"/>
      <c r="P1101" s="1489"/>
      <c r="Q1101" s="998"/>
      <c r="R1101" s="1489"/>
      <c r="S1101" s="1489"/>
      <c r="T1101" s="1489"/>
      <c r="U1101" s="1489"/>
      <c r="V1101" s="1489"/>
      <c r="W1101" s="1230"/>
      <c r="X1101" s="1230"/>
      <c r="Y1101" s="1230"/>
    </row>
    <row r="1102" customFormat="false" ht="15.75" hidden="false" customHeight="true" outlineLevel="1" collapsed="false">
      <c r="A1102" s="1291" t="s">
        <v>2386</v>
      </c>
      <c r="B1102" s="1295" t="s">
        <v>120</v>
      </c>
      <c r="C1102" s="1295" t="s">
        <v>2850</v>
      </c>
      <c r="D1102" s="930" t="s">
        <v>2851</v>
      </c>
      <c r="E1102" s="933"/>
      <c r="F1102" s="1295" t="s">
        <v>3417</v>
      </c>
      <c r="G1102" s="1486"/>
      <c r="H1102" s="1486"/>
      <c r="I1102" s="1483"/>
      <c r="J1102" s="1484"/>
      <c r="K1102" s="1484"/>
      <c r="L1102" s="1484"/>
      <c r="M1102" s="1484"/>
      <c r="N1102" s="1484"/>
      <c r="O1102" s="1488"/>
      <c r="P1102" s="1489"/>
      <c r="Q1102" s="998"/>
      <c r="R1102" s="1489"/>
      <c r="S1102" s="1489"/>
      <c r="T1102" s="1489"/>
      <c r="U1102" s="1489"/>
      <c r="V1102" s="1489"/>
      <c r="W1102" s="1230"/>
      <c r="X1102" s="1230"/>
      <c r="Y1102" s="1230"/>
    </row>
    <row r="1103" customFormat="false" ht="15.75" hidden="false" customHeight="true" outlineLevel="1" collapsed="false">
      <c r="A1103" s="1490" t="s">
        <v>3420</v>
      </c>
      <c r="B1103" s="1491" t="s">
        <v>133</v>
      </c>
      <c r="C1103" s="1492" t="n">
        <f aca="false">J92</f>
        <v>100</v>
      </c>
      <c r="D1103" s="1493" t="n">
        <f aca="false">пристройка!R14</f>
        <v>0</v>
      </c>
      <c r="E1103" s="933"/>
      <c r="F1103" s="1498" t="n">
        <f aca="false">L92</f>
        <v>100</v>
      </c>
      <c r="G1103" s="1486"/>
      <c r="H1103" s="1486"/>
      <c r="I1103" s="1483"/>
      <c r="J1103" s="1484"/>
      <c r="K1103" s="1484"/>
      <c r="L1103" s="1484"/>
      <c r="M1103" s="1484"/>
      <c r="N1103" s="1484"/>
      <c r="O1103" s="1488"/>
      <c r="P1103" s="1489"/>
      <c r="Q1103" s="998"/>
      <c r="R1103" s="1489"/>
      <c r="S1103" s="1489"/>
      <c r="T1103" s="1489"/>
      <c r="U1103" s="1489"/>
      <c r="V1103" s="1489"/>
      <c r="W1103" s="1230"/>
      <c r="X1103" s="1230"/>
      <c r="Y1103" s="1230"/>
    </row>
    <row r="1104" customFormat="false" ht="15.75" hidden="false" customHeight="true" outlineLevel="1" collapsed="false">
      <c r="A1104" s="1494" t="s">
        <v>3420</v>
      </c>
      <c r="B1104" s="1495" t="s">
        <v>133</v>
      </c>
      <c r="C1104" s="1496" t="n">
        <f aca="false">J93</f>
        <v>0</v>
      </c>
      <c r="D1104" s="1497" t="n">
        <f aca="false">пристройка!R15</f>
        <v>0</v>
      </c>
      <c r="E1104" s="933"/>
      <c r="F1104" s="1499" t="n">
        <f aca="false">L93</f>
        <v>0</v>
      </c>
      <c r="G1104" s="1486"/>
      <c r="H1104" s="1486"/>
      <c r="I1104" s="1483"/>
      <c r="J1104" s="1484"/>
      <c r="K1104" s="1484"/>
      <c r="L1104" s="1484"/>
      <c r="M1104" s="1484"/>
      <c r="N1104" s="1484"/>
      <c r="O1104" s="1488"/>
      <c r="P1104" s="1489"/>
      <c r="Q1104" s="998"/>
      <c r="R1104" s="1489"/>
      <c r="S1104" s="1489"/>
      <c r="T1104" s="1489"/>
      <c r="U1104" s="1489"/>
      <c r="V1104" s="1489"/>
      <c r="W1104" s="1230"/>
      <c r="X1104" s="1230"/>
      <c r="Y1104" s="1230"/>
    </row>
    <row r="1105" customFormat="false" ht="15.75" hidden="false" customHeight="true" outlineLevel="1" collapsed="false">
      <c r="A1105" s="1500" t="s">
        <v>2591</v>
      </c>
      <c r="B1105" s="1501"/>
      <c r="C1105" s="1502"/>
      <c r="D1105" s="1503"/>
      <c r="E1105" s="933"/>
      <c r="F1105" s="1214" t="n">
        <f aca="false">F1103+F1104</f>
        <v>100</v>
      </c>
      <c r="G1105" s="1486"/>
      <c r="H1105" s="1486"/>
      <c r="I1105" s="1483"/>
      <c r="J1105" s="1484"/>
      <c r="K1105" s="1484"/>
      <c r="L1105" s="1484"/>
      <c r="M1105" s="1484"/>
      <c r="N1105" s="1484"/>
      <c r="O1105" s="1488"/>
      <c r="P1105" s="1489"/>
      <c r="Q1105" s="998"/>
      <c r="R1105" s="1489"/>
      <c r="S1105" s="1489"/>
      <c r="T1105" s="1489"/>
      <c r="U1105" s="1489"/>
      <c r="V1105" s="1489"/>
      <c r="W1105" s="1230"/>
      <c r="X1105" s="1230"/>
      <c r="Y1105" s="1230"/>
    </row>
    <row r="1106" customFormat="false" ht="15.75" hidden="false" customHeight="true" outlineLevel="1" collapsed="false">
      <c r="A1106" s="1291" t="s">
        <v>3421</v>
      </c>
      <c r="B1106" s="1295" t="s">
        <v>133</v>
      </c>
      <c r="C1106" s="1293" t="n">
        <f aca="false">G101</f>
        <v>0</v>
      </c>
      <c r="D1106" s="930" t="n">
        <f aca="false">пристройка!R113</f>
        <v>-35.024069612055</v>
      </c>
      <c r="E1106" s="933"/>
      <c r="F1106" s="1294" t="n">
        <f aca="false">C1106+D1106</f>
        <v>-35.024069612055</v>
      </c>
      <c r="G1106" s="1486"/>
      <c r="H1106" s="1486"/>
      <c r="I1106" s="1483"/>
      <c r="J1106" s="1484"/>
      <c r="K1106" s="1484"/>
      <c r="L1106" s="1484"/>
      <c r="M1106" s="1484"/>
      <c r="N1106" s="1484"/>
      <c r="O1106" s="1488"/>
      <c r="P1106" s="1489"/>
      <c r="Q1106" s="998"/>
      <c r="R1106" s="1489"/>
      <c r="S1106" s="1489"/>
      <c r="T1106" s="1489"/>
      <c r="U1106" s="1489"/>
      <c r="V1106" s="1489"/>
      <c r="W1106" s="1230"/>
      <c r="X1106" s="1230"/>
      <c r="Y1106" s="1230"/>
    </row>
    <row r="1107" customFormat="false" ht="15.75" hidden="false" customHeight="true" outlineLevel="1" collapsed="false">
      <c r="A1107" s="1291" t="s">
        <v>3422</v>
      </c>
      <c r="B1107" s="1295"/>
      <c r="C1107" s="1293"/>
      <c r="D1107" s="930" t="n">
        <f aca="false">пристройка!R112</f>
        <v>-41.4607528565437</v>
      </c>
      <c r="E1107" s="933"/>
      <c r="F1107" s="1294" t="n">
        <f aca="false">C1107+D1107</f>
        <v>-41.4607528565437</v>
      </c>
      <c r="G1107" s="1486"/>
      <c r="H1107" s="1486"/>
      <c r="I1107" s="1483"/>
      <c r="J1107" s="1484"/>
      <c r="K1107" s="1484"/>
      <c r="L1107" s="1484"/>
      <c r="M1107" s="1484"/>
      <c r="N1107" s="1484"/>
      <c r="O1107" s="1488"/>
      <c r="P1107" s="1489"/>
      <c r="Q1107" s="998"/>
      <c r="R1107" s="1489"/>
      <c r="S1107" s="1489"/>
      <c r="T1107" s="1489"/>
      <c r="U1107" s="1489"/>
      <c r="V1107" s="1489"/>
      <c r="W1107" s="1230"/>
      <c r="X1107" s="1230"/>
      <c r="Y1107" s="1230"/>
    </row>
    <row r="1108" customFormat="false" ht="15.75" hidden="false" customHeight="true" outlineLevel="1" collapsed="false">
      <c r="A1108" s="1504" t="s">
        <v>3423</v>
      </c>
      <c r="B1108" s="1213"/>
      <c r="C1108" s="1213"/>
      <c r="D1108" s="957"/>
      <c r="E1108" s="933"/>
      <c r="F1108" s="957" t="n">
        <f aca="false">F1106+F1107</f>
        <v>-76.4848224685987</v>
      </c>
      <c r="G1108" s="1486"/>
      <c r="H1108" s="1486"/>
      <c r="I1108" s="1483"/>
      <c r="J1108" s="1484"/>
      <c r="K1108" s="1484"/>
      <c r="L1108" s="1484"/>
      <c r="M1108" s="1484"/>
      <c r="N1108" s="1484"/>
      <c r="O1108" s="1488"/>
      <c r="P1108" s="1489"/>
      <c r="Q1108" s="998"/>
      <c r="R1108" s="1489"/>
      <c r="S1108" s="1489"/>
      <c r="T1108" s="1489"/>
      <c r="U1108" s="1489"/>
      <c r="V1108" s="1489"/>
      <c r="W1108" s="1230"/>
      <c r="X1108" s="1230"/>
      <c r="Y1108" s="1230"/>
    </row>
    <row r="1109" customFormat="false" ht="15.75" hidden="false" customHeight="true" outlineLevel="1" collapsed="false">
      <c r="A1109" s="1291" t="s">
        <v>2591</v>
      </c>
      <c r="B1109" s="1295"/>
      <c r="C1109" s="1293"/>
      <c r="D1109" s="930"/>
      <c r="E1109" s="933"/>
      <c r="F1109" s="930" t="n">
        <f aca="false">SUM(F1103:F1107)</f>
        <v>123.515177531401</v>
      </c>
      <c r="G1109" s="1486"/>
      <c r="H1109" s="1486"/>
      <c r="I1109" s="1483"/>
      <c r="J1109" s="1484"/>
      <c r="K1109" s="1484"/>
      <c r="L1109" s="1484"/>
      <c r="M1109" s="1484"/>
      <c r="N1109" s="1484"/>
      <c r="O1109" s="1488"/>
      <c r="P1109" s="1489"/>
      <c r="Q1109" s="998"/>
      <c r="R1109" s="1489"/>
      <c r="S1109" s="1489"/>
      <c r="T1109" s="1489"/>
      <c r="U1109" s="1489"/>
      <c r="V1109" s="1489"/>
      <c r="W1109" s="1230"/>
      <c r="X1109" s="1230"/>
      <c r="Y1109" s="1230"/>
    </row>
    <row r="1110" customFormat="false" ht="15.75" hidden="false" customHeight="true" outlineLevel="1" collapsed="false">
      <c r="A1110" s="1505"/>
      <c r="B1110" s="1472"/>
      <c r="C1110" s="1506"/>
      <c r="D1110" s="1507"/>
      <c r="E1110" s="1507"/>
      <c r="F1110" s="1486"/>
      <c r="G1110" s="1486"/>
      <c r="H1110" s="1486"/>
      <c r="I1110" s="1483"/>
      <c r="J1110" s="1484"/>
      <c r="K1110" s="1484"/>
      <c r="L1110" s="1484"/>
      <c r="M1110" s="1484"/>
      <c r="N1110" s="1484"/>
      <c r="O1110" s="1488"/>
      <c r="P1110" s="1489"/>
      <c r="Q1110" s="998"/>
      <c r="R1110" s="1489"/>
      <c r="S1110" s="1489"/>
      <c r="T1110" s="1489"/>
      <c r="U1110" s="1489"/>
      <c r="V1110" s="1489"/>
      <c r="W1110" s="1230"/>
      <c r="X1110" s="1230"/>
      <c r="Y1110" s="1230"/>
    </row>
    <row r="1111" customFormat="false" ht="15.75" hidden="false" customHeight="true" outlineLevel="0" collapsed="false">
      <c r="A1111" s="1508" t="s">
        <v>3424</v>
      </c>
      <c r="B1111" s="1509"/>
      <c r="C1111" s="1510"/>
      <c r="D1111" s="1511"/>
      <c r="E1111" s="1511"/>
      <c r="F1111" s="1512"/>
      <c r="G1111" s="1512"/>
      <c r="H1111" s="1512"/>
      <c r="I1111" s="1513"/>
      <c r="J1111" s="1514"/>
      <c r="K1111" s="1514"/>
      <c r="L1111" s="1514"/>
      <c r="M1111" s="1514"/>
      <c r="N1111" s="1514"/>
      <c r="O1111" s="1515"/>
      <c r="P1111" s="1515"/>
      <c r="Q1111" s="1515"/>
      <c r="R1111" s="1515"/>
      <c r="S1111" s="1515"/>
      <c r="T1111" s="1515"/>
      <c r="U1111" s="1515"/>
      <c r="V1111" s="1515"/>
      <c r="W1111" s="1230"/>
      <c r="X1111" s="1230"/>
      <c r="Y1111" s="1230"/>
    </row>
    <row r="1112" customFormat="false" ht="15.75" hidden="true" customHeight="true" outlineLevel="1" collapsed="false">
      <c r="A1112" s="1516" t="s">
        <v>2635</v>
      </c>
      <c r="B1112" s="1517"/>
      <c r="C1112" s="1518" t="n">
        <v>1</v>
      </c>
      <c r="E1112" s="1519" t="s">
        <v>2543</v>
      </c>
      <c r="F1112" s="1519" t="n">
        <f aca="false">B1</f>
        <v>0</v>
      </c>
      <c r="G1112" s="1519" t="n">
        <f aca="false">F1112</f>
        <v>0</v>
      </c>
      <c r="H1112" s="1519"/>
      <c r="I1112" s="1519" t="n">
        <f aca="false">F1112</f>
        <v>0</v>
      </c>
      <c r="J1112" s="1519" t="n">
        <f aca="false">I1112</f>
        <v>0</v>
      </c>
      <c r="K1112" s="1520" t="s">
        <v>3425</v>
      </c>
      <c r="L1112" s="1520"/>
      <c r="M1112" s="1520"/>
      <c r="N1112" s="1520"/>
      <c r="O1112" s="1520"/>
      <c r="P1112" s="1519" t="n">
        <f aca="false">Q1112</f>
        <v>0</v>
      </c>
      <c r="Q1112" s="1519" t="n">
        <f aca="false">B1</f>
        <v>0</v>
      </c>
      <c r="R1112" s="489"/>
      <c r="S1112" s="1230"/>
      <c r="T1112" s="1230"/>
      <c r="U1112" s="1230"/>
      <c r="V1112" s="1230"/>
      <c r="W1112" s="1230"/>
      <c r="X1112" s="1230"/>
      <c r="Y1112" s="1230"/>
    </row>
    <row r="1113" customFormat="false" ht="15.75" hidden="true" customHeight="true" outlineLevel="1" collapsed="false">
      <c r="A1113" s="1189" t="s">
        <v>3426</v>
      </c>
      <c r="B1113" s="1192" t="s">
        <v>156</v>
      </c>
      <c r="C1113" s="1192" t="n">
        <f aca="false">C16+C16+C17+C17+C1321*D1321+C1322*D1322+C1323*D1323+C1324*D1324+C1329*D1329+C1330*D1330+C1331*D1331+C1332*D1332+пристройка!D2*(пристройка!C28+пристройка!D28+пристройка!E28+пристройка!F28+пристройка!H28+пристройка!I28+пристройка!J28+пристройка!K28+пристройка!M28+пристройка!N28+пристройка!O28+пристройка!P28)+D1229*C1275+D2019*D2027*IF('Ввод данных'!A529=связи1!A480,1,0)*VLOOKUP('Ввод данных'!F617,связи1!A2:B3,2,0)+VLOOKUP('Ввод данных'!F693,связи1!A2:B3,2,0)*IF('Ввод данных'!A661=связи1!A480,1,0)*('Ввод данных'!C624+'Ввод данных'!C625+'Ввод данных'!C625)</f>
        <v>56</v>
      </c>
      <c r="D1113" s="1193"/>
      <c r="E1113" s="1521"/>
      <c r="F1113" s="1519" t="n">
        <f aca="false">B2</f>
        <v>1</v>
      </c>
      <c r="G1113" s="1519" t="n">
        <f aca="false">F1113</f>
        <v>1</v>
      </c>
      <c r="H1113" s="1519"/>
      <c r="I1113" s="1519" t="n">
        <f aca="false">C1112</f>
        <v>1</v>
      </c>
      <c r="J1113" s="1519" t="n">
        <f aca="false">I1113</f>
        <v>1</v>
      </c>
      <c r="K1113" s="1520" t="s">
        <v>2546</v>
      </c>
      <c r="L1113" s="1520"/>
      <c r="M1113" s="1520"/>
      <c r="N1113" s="1520"/>
      <c r="O1113" s="1520"/>
      <c r="P1113" s="1519" t="n">
        <f aca="false">Q1113</f>
        <v>1</v>
      </c>
      <c r="Q1113" s="1519" t="n">
        <f aca="false">B2</f>
        <v>1</v>
      </c>
      <c r="R1113" s="489"/>
      <c r="S1113" s="1230"/>
      <c r="T1113" s="1230"/>
      <c r="U1113" s="1230"/>
      <c r="V1113" s="1230"/>
      <c r="W1113" s="1230"/>
      <c r="X1113" s="1230"/>
      <c r="Y1113" s="1230"/>
    </row>
    <row r="1114" customFormat="false" ht="15.75" hidden="true" customHeight="true" outlineLevel="1" collapsed="false">
      <c r="A1114" s="1189" t="s">
        <v>3427</v>
      </c>
      <c r="B1114" s="1190" t="s">
        <v>133</v>
      </c>
      <c r="C1114" s="1190" t="n">
        <f aca="false">C16*C17</f>
        <v>100</v>
      </c>
      <c r="D1114" s="349"/>
      <c r="E1114" s="349"/>
      <c r="G1114" s="492"/>
      <c r="H1114" s="492"/>
      <c r="I1114" s="1522"/>
      <c r="J1114" s="1523" t="n">
        <f aca="false">I1115</f>
        <v>0</v>
      </c>
      <c r="K1114" s="1524" t="s">
        <v>2554</v>
      </c>
      <c r="L1114" s="1311"/>
      <c r="M1114" s="1311"/>
      <c r="N1114" s="1311"/>
      <c r="O1114" s="1230"/>
      <c r="P1114" s="1230"/>
      <c r="Q1114" s="1230"/>
      <c r="R1114" s="1230"/>
      <c r="S1114" s="1230"/>
      <c r="T1114" s="1230"/>
      <c r="U1114" s="1230"/>
      <c r="V1114" s="1230"/>
      <c r="W1114" s="1230"/>
      <c r="X1114" s="1230"/>
      <c r="Y1114" s="1230"/>
    </row>
    <row r="1115" customFormat="false" ht="15.75" hidden="true" customHeight="true" outlineLevel="1" collapsed="false">
      <c r="A1115" s="1525" t="s">
        <v>1925</v>
      </c>
      <c r="B1115" s="1526" t="n">
        <f aca="false">VLOOKUP('Ввод данных'!F237,связи1!A2:B3,2,0)</f>
        <v>0</v>
      </c>
      <c r="C1115" s="1527" t="n">
        <f aca="false">B1115</f>
        <v>0</v>
      </c>
      <c r="D1115" s="1528" t="n">
        <f aca="false">VLOOKUP('Ввод данных'!F237,связи1!A2:B3,2,0)</f>
        <v>0</v>
      </c>
      <c r="E1115" s="1150" t="n">
        <f aca="false">D1115</f>
        <v>0</v>
      </c>
      <c r="F1115" s="1529" t="s">
        <v>1942</v>
      </c>
      <c r="G1115" s="933"/>
      <c r="H1115" s="932"/>
      <c r="I1115" s="1530" t="n">
        <f aca="false">VLOOKUP('Ввод данных'!F273,связи1!A2:B3,2,0)</f>
        <v>0</v>
      </c>
      <c r="J1115" s="1178" t="s">
        <v>3428</v>
      </c>
      <c r="K1115" s="1178"/>
      <c r="L1115" s="1531" t="n">
        <f aca="false">VLOOKUP('Ввод данных'!F312,связи1!A2:B3,2,0)</f>
        <v>0</v>
      </c>
      <c r="M1115" s="1531"/>
      <c r="N1115" s="1531"/>
      <c r="O1115" s="933" t="s">
        <v>3429</v>
      </c>
      <c r="P1115" s="933"/>
      <c r="Q1115" s="1230" t="n">
        <f aca="false">VLOOKUP('Ввод данных'!F194,связи1!A2:B3,2,0)</f>
        <v>0</v>
      </c>
      <c r="R1115" s="1230"/>
      <c r="S1115" s="1230"/>
      <c r="T1115" s="1230"/>
      <c r="U1115" s="1230"/>
      <c r="V1115" s="1230"/>
      <c r="W1115" s="1230"/>
      <c r="X1115" s="1230"/>
      <c r="Y1115" s="1230"/>
    </row>
    <row r="1116" customFormat="false" ht="15.75" hidden="true" customHeight="true" outlineLevel="1" collapsed="false">
      <c r="A1116" s="1153" t="s">
        <v>2734</v>
      </c>
      <c r="B1116" s="1154" t="n">
        <v>1</v>
      </c>
      <c r="C1116" s="986"/>
      <c r="D1116" s="541"/>
      <c r="E1116" s="446"/>
      <c r="F1116" s="933"/>
      <c r="G1116" s="537"/>
      <c r="H1116" s="349"/>
      <c r="I1116" s="1532"/>
      <c r="J1116" s="537"/>
      <c r="K1116" s="537"/>
      <c r="L1116" s="349"/>
      <c r="M1116" s="349"/>
      <c r="N1116" s="349"/>
      <c r="O1116" s="1290"/>
      <c r="P1116" s="933"/>
      <c r="Q1116" s="1230"/>
      <c r="R1116" s="1230"/>
      <c r="S1116" s="1230"/>
      <c r="T1116" s="1230"/>
      <c r="U1116" s="1230"/>
      <c r="V1116" s="1230"/>
      <c r="W1116" s="1230"/>
      <c r="X1116" s="1230"/>
      <c r="Y1116" s="1230"/>
    </row>
    <row r="1117" customFormat="false" ht="15.75" hidden="true" customHeight="true" outlineLevel="1" collapsed="false">
      <c r="A1117" s="1533" t="s">
        <v>1929</v>
      </c>
      <c r="B1117" s="1154"/>
      <c r="C1117" s="887"/>
      <c r="D1117" s="1534" t="n">
        <f aca="false">'Ввод данных'!BD209</f>
        <v>4.7</v>
      </c>
      <c r="E1117" s="1535" t="n">
        <f aca="false">'Ввод данных'!BD209</f>
        <v>4.7</v>
      </c>
      <c r="F1117" s="933"/>
      <c r="G1117" s="537"/>
      <c r="H1117" s="349"/>
      <c r="I1117" s="1532"/>
      <c r="J1117" s="537"/>
      <c r="K1117" s="537" t="n">
        <f aca="false">'Ввод данных'!BD285</f>
        <v>3.7</v>
      </c>
      <c r="L1117" s="349"/>
      <c r="M1117" s="349"/>
      <c r="N1117" s="349"/>
      <c r="O1117" s="1290"/>
      <c r="P1117" s="537"/>
      <c r="Q1117" s="1230"/>
      <c r="R1117" s="1230"/>
      <c r="S1117" s="1230"/>
      <c r="T1117" s="1230"/>
      <c r="U1117" s="1230"/>
      <c r="V1117" s="1230"/>
      <c r="W1117" s="1230"/>
      <c r="X1117" s="1230"/>
      <c r="Y1117" s="1230"/>
    </row>
    <row r="1118" customFormat="false" ht="15.75" hidden="true" customHeight="true" outlineLevel="1" collapsed="false">
      <c r="A1118" s="1533" t="s">
        <v>1933</v>
      </c>
      <c r="B1118" s="1536"/>
      <c r="C1118" s="887"/>
      <c r="D1118" s="1537" t="n">
        <f aca="false">'Ввод данных'!BD212</f>
        <v>5</v>
      </c>
      <c r="E1118" s="1538" t="n">
        <f aca="false">D1117</f>
        <v>4.7</v>
      </c>
      <c r="F1118" s="933"/>
      <c r="G1118" s="933"/>
      <c r="H1118" s="998"/>
      <c r="I1118" s="1532"/>
      <c r="J1118" s="537" t="s">
        <v>3430</v>
      </c>
      <c r="K1118" s="537" t="n">
        <f aca="false">'Ввод данных'!BD286</f>
        <v>4</v>
      </c>
      <c r="L1118" s="349"/>
      <c r="M1118" s="349"/>
      <c r="N1118" s="349"/>
      <c r="O1118" s="537"/>
      <c r="P1118" s="537"/>
      <c r="R1118" s="1230"/>
      <c r="S1118" s="1230"/>
      <c r="T1118" s="1230"/>
      <c r="U1118" s="1230"/>
      <c r="V1118" s="1230"/>
      <c r="W1118" s="1230"/>
      <c r="X1118" s="1230"/>
      <c r="Y1118" s="1230"/>
    </row>
    <row r="1119" customFormat="false" ht="15.75" hidden="true" customHeight="true" outlineLevel="1" collapsed="false">
      <c r="A1119" s="1533" t="s">
        <v>1931</v>
      </c>
      <c r="B1119" s="1154"/>
      <c r="C1119" s="887"/>
      <c r="D1119" s="1534" t="n">
        <f aca="false">'Ввод данных'!BD210</f>
        <v>5.3</v>
      </c>
      <c r="E1119" s="349"/>
      <c r="F1119" s="933"/>
      <c r="G1119" s="537" t="n">
        <f aca="false">'Ввод данных'!AY249</f>
        <v>5.3</v>
      </c>
      <c r="H1119" s="349"/>
      <c r="J1119" s="537" t="s">
        <v>3431</v>
      </c>
      <c r="K1119" s="537" t="n">
        <f aca="false">'Ввод данных'!BD288</f>
        <v>6.4</v>
      </c>
      <c r="L1119" s="349"/>
      <c r="M1119" s="349"/>
      <c r="N1119" s="349"/>
      <c r="O1119" s="537"/>
      <c r="P1119" s="537"/>
      <c r="R1119" s="1230"/>
      <c r="S1119" s="1230"/>
      <c r="T1119" s="1230"/>
      <c r="U1119" s="1230"/>
      <c r="V1119" s="1230"/>
      <c r="W1119" s="1230"/>
      <c r="X1119" s="1230"/>
      <c r="Y1119" s="1230"/>
    </row>
    <row r="1120" customFormat="false" ht="15.75" hidden="true" customHeight="true" outlineLevel="1" collapsed="false">
      <c r="A1120" s="1533" t="s">
        <v>1944</v>
      </c>
      <c r="B1120" s="1154"/>
      <c r="C1120" s="887"/>
      <c r="D1120" s="1534"/>
      <c r="E1120" s="349"/>
      <c r="F1120" s="933"/>
      <c r="G1120" s="537" t="n">
        <f aca="false">'Ввод данных'!AY250</f>
        <v>5.6</v>
      </c>
      <c r="H1120" s="349"/>
      <c r="I1120" s="1532"/>
      <c r="J1120" s="537" t="s">
        <v>3432</v>
      </c>
      <c r="K1120" s="537" t="n">
        <f aca="false">'Ввод данных'!BD287</f>
        <v>6.1</v>
      </c>
      <c r="L1120" s="349"/>
      <c r="M1120" s="349"/>
      <c r="N1120" s="349"/>
      <c r="O1120" s="537"/>
      <c r="P1120" s="537"/>
      <c r="R1120" s="1230"/>
      <c r="S1120" s="1230"/>
      <c r="T1120" s="1230"/>
      <c r="U1120" s="1230"/>
      <c r="V1120" s="1230"/>
      <c r="W1120" s="1230"/>
      <c r="X1120" s="1230"/>
      <c r="Y1120" s="1230"/>
    </row>
    <row r="1121" customFormat="false" ht="15.75" hidden="true" customHeight="true" outlineLevel="1" collapsed="false">
      <c r="A1121" s="537" t="s">
        <v>1934</v>
      </c>
      <c r="B1121" s="1536"/>
      <c r="C1121" s="887"/>
      <c r="D1121" s="1534" t="n">
        <f aca="false">'Ввод данных'!BD213</f>
        <v>7.8</v>
      </c>
      <c r="E1121" s="349"/>
      <c r="F1121" s="933"/>
      <c r="G1121" s="537" t="n">
        <f aca="false">'Ввод данных'!AY251</f>
        <v>7.9</v>
      </c>
      <c r="H1121" s="349"/>
      <c r="I1121" s="1532"/>
      <c r="J1121" s="933"/>
      <c r="K1121" s="933"/>
      <c r="L1121" s="998"/>
      <c r="M1121" s="998"/>
      <c r="N1121" s="998"/>
      <c r="O1121" s="1290"/>
      <c r="P1121" s="1290"/>
      <c r="Q1121" s="1230"/>
      <c r="R1121" s="1230"/>
      <c r="S1121" s="1230"/>
      <c r="T1121" s="1230"/>
      <c r="U1121" s="1230"/>
      <c r="V1121" s="1230"/>
      <c r="W1121" s="1230"/>
      <c r="X1121" s="1230"/>
      <c r="Y1121" s="1230"/>
    </row>
    <row r="1122" customFormat="false" ht="15.75" hidden="true" customHeight="true" outlineLevel="1" collapsed="false">
      <c r="A1122" s="1533" t="s">
        <v>1935</v>
      </c>
      <c r="B1122" s="1536"/>
      <c r="C1122" s="887"/>
      <c r="D1122" s="1537" t="n">
        <f aca="false">'Ввод данных'!BD214</f>
        <v>8.1</v>
      </c>
      <c r="E1122" s="349"/>
      <c r="F1122" s="933"/>
      <c r="G1122" s="537" t="n">
        <f aca="false">'Ввод данных'!AY252</f>
        <v>9.1</v>
      </c>
      <c r="H1122" s="349"/>
      <c r="I1122" s="1532"/>
      <c r="J1122" s="537"/>
      <c r="K1122" s="537" t="n">
        <f aca="false">'Ввод данных'!BD289</f>
        <v>7.48</v>
      </c>
      <c r="L1122" s="349"/>
      <c r="M1122" s="349"/>
      <c r="N1122" s="349"/>
      <c r="O1122" s="1290"/>
      <c r="P1122" s="1290"/>
      <c r="Q1122" s="1230"/>
      <c r="R1122" s="1230"/>
      <c r="S1122" s="1230"/>
      <c r="T1122" s="1230"/>
      <c r="U1122" s="1230"/>
      <c r="V1122" s="1230"/>
      <c r="W1122" s="1230"/>
      <c r="X1122" s="1230"/>
      <c r="Y1122" s="1230"/>
    </row>
    <row r="1123" customFormat="false" ht="15.75" hidden="true" customHeight="true" outlineLevel="1" collapsed="false">
      <c r="A1123" s="1539" t="s">
        <v>3433</v>
      </c>
      <c r="B1123" s="1540" t="s">
        <v>1937</v>
      </c>
      <c r="C1123" s="1213" t="n">
        <f aca="false">DEGREES(C1124)</f>
        <v>40.5142342270698</v>
      </c>
      <c r="D1123" s="1541" t="n">
        <f aca="false">'Ввод данных'!BD215</f>
        <v>60</v>
      </c>
      <c r="E1123" s="1229"/>
      <c r="F1123" s="957"/>
      <c r="G1123" s="1542" t="n">
        <f aca="false">'Ввод данных'!AY253</f>
        <v>48</v>
      </c>
      <c r="H1123" s="1543"/>
      <c r="I1123" s="1544"/>
      <c r="J1123" s="957"/>
      <c r="K1123" s="1542" t="n">
        <f aca="false">'Ввод данных'!BD290</f>
        <v>25</v>
      </c>
      <c r="L1123" s="1543"/>
      <c r="M1123" s="1543"/>
      <c r="N1123" s="1543"/>
      <c r="O1123" s="1218"/>
      <c r="P1123" s="1218"/>
      <c r="Q1123" s="1230"/>
      <c r="R1123" s="1230"/>
      <c r="S1123" s="1230"/>
      <c r="T1123" s="1230"/>
      <c r="U1123" s="1230"/>
      <c r="V1123" s="1230"/>
      <c r="W1123" s="1230"/>
      <c r="X1123" s="1230"/>
      <c r="Y1123" s="1230"/>
    </row>
    <row r="1124" customFormat="false" ht="15.75" hidden="true" customHeight="true" outlineLevel="1" collapsed="false">
      <c r="A1124" s="1539"/>
      <c r="B1124" s="1545" t="s">
        <v>3434</v>
      </c>
      <c r="C1124" s="1546" t="n">
        <f aca="false">C1135/C1140</f>
        <v>0.707106781186547</v>
      </c>
      <c r="D1124" s="1542" t="n">
        <f aca="false">D1123*(3.14/180)</f>
        <v>1.04666666666667</v>
      </c>
      <c r="E1124" s="1543"/>
      <c r="F1124" s="1547" t="n">
        <f aca="false">F1135/F1167</f>
        <v>0.672672793996312</v>
      </c>
      <c r="G1124" s="1547" t="n">
        <f aca="false">G1123*(3.14/180)</f>
        <v>0.837333333333334</v>
      </c>
      <c r="H1124" s="1548"/>
      <c r="I1124" s="1544"/>
      <c r="J1124" s="1542" t="n">
        <f aca="false">J1135/J1167</f>
        <v>0.995037190209989</v>
      </c>
      <c r="K1124" s="1549" t="n">
        <f aca="false">K1123*(3.14/180)</f>
        <v>0.436111111111111</v>
      </c>
      <c r="L1124" s="1550"/>
      <c r="M1124" s="1550"/>
      <c r="N1124" s="1550"/>
      <c r="O1124" s="1546" t="n">
        <f aca="false">O1135/O1132</f>
        <v>0.5</v>
      </c>
      <c r="P1124" s="1546" t="n">
        <f aca="false">O1135/O1133</f>
        <v>0.5</v>
      </c>
      <c r="Q1124" s="1230"/>
      <c r="R1124" s="1230"/>
      <c r="S1124" s="1230"/>
      <c r="T1124" s="1230"/>
      <c r="U1124" s="1230"/>
      <c r="V1124" s="1230"/>
      <c r="W1124" s="1230"/>
      <c r="X1124" s="1230"/>
      <c r="Y1124" s="1230"/>
    </row>
    <row r="1125" customFormat="false" ht="15.75" hidden="true" customHeight="true" outlineLevel="1" collapsed="false">
      <c r="A1125" s="1539" t="s">
        <v>3435</v>
      </c>
      <c r="B1125" s="1545"/>
      <c r="C1125" s="1213"/>
      <c r="D1125" s="1551" t="n">
        <f aca="false">D1126/SIN(D1124)</f>
        <v>0.693032839628853</v>
      </c>
      <c r="E1125" s="1552" t="s">
        <v>3436</v>
      </c>
      <c r="F1125" s="1542"/>
      <c r="G1125" s="1542" t="n">
        <f aca="false">'Ввод данных'!AY254</f>
        <v>41</v>
      </c>
      <c r="H1125" s="1543"/>
      <c r="I1125" s="1544"/>
      <c r="J1125" s="957"/>
      <c r="K1125" s="1542" t="n">
        <f aca="false">'Ввод данных'!BD291</f>
        <v>70</v>
      </c>
      <c r="L1125" s="1543"/>
      <c r="M1125" s="1543"/>
      <c r="N1125" s="1543"/>
      <c r="O1125" s="1218"/>
      <c r="P1125" s="1218"/>
      <c r="Q1125" s="1230"/>
      <c r="R1125" s="1230"/>
      <c r="S1125" s="1230"/>
      <c r="T1125" s="1230"/>
      <c r="U1125" s="1230"/>
      <c r="V1125" s="1230"/>
      <c r="W1125" s="1230"/>
      <c r="X1125" s="1230"/>
      <c r="Y1125" s="1230"/>
    </row>
    <row r="1126" customFormat="false" ht="15.75" hidden="true" customHeight="true" outlineLevel="1" collapsed="false">
      <c r="A1126" s="1539"/>
      <c r="B1126" s="1545" t="s">
        <v>3434</v>
      </c>
      <c r="C1126" s="1213"/>
      <c r="D1126" s="1551" t="n">
        <f aca="false">D1119-E1118</f>
        <v>0.6</v>
      </c>
      <c r="E1126" s="1552" t="s">
        <v>2809</v>
      </c>
      <c r="F1126" s="1551" t="n">
        <f aca="false">F1135/F1159</f>
        <v>0.857492925712544</v>
      </c>
      <c r="G1126" s="1547" t="n">
        <f aca="false">G1125*(3.14/180)</f>
        <v>0.715222222222222</v>
      </c>
      <c r="H1126" s="1548"/>
      <c r="I1126" s="1544"/>
      <c r="J1126" s="1542" t="n">
        <f aca="false">J1135/J1159</f>
        <v>0.928476690885259</v>
      </c>
      <c r="K1126" s="1549" t="n">
        <f aca="false">K1125*(3.14/180)</f>
        <v>1.22111111111111</v>
      </c>
      <c r="L1126" s="1550"/>
      <c r="M1126" s="1550"/>
      <c r="N1126" s="1550"/>
      <c r="O1126" s="1218"/>
      <c r="P1126" s="1218"/>
      <c r="Q1126" s="1230"/>
      <c r="R1126" s="1230"/>
      <c r="S1126" s="1230"/>
      <c r="T1126" s="1230"/>
      <c r="U1126" s="1230"/>
      <c r="V1126" s="1230"/>
      <c r="W1126" s="1230"/>
      <c r="X1126" s="1230"/>
      <c r="Y1126" s="1230"/>
    </row>
    <row r="1127" customFormat="false" ht="15.75" hidden="true" customHeight="true" outlineLevel="1" collapsed="false">
      <c r="A1127" s="1539" t="s">
        <v>3437</v>
      </c>
      <c r="B1127" s="1545"/>
      <c r="C1127" s="1213"/>
      <c r="D1127" s="1545"/>
      <c r="E1127" s="1543"/>
      <c r="F1127" s="1551"/>
      <c r="G1127" s="1547"/>
      <c r="H1127" s="1548"/>
      <c r="I1127" s="1544"/>
      <c r="J1127" s="1542"/>
      <c r="K1127" s="1542" t="n">
        <f aca="false">'Ввод данных'!BD292</f>
        <v>24</v>
      </c>
      <c r="L1127" s="1543"/>
      <c r="M1127" s="1543"/>
      <c r="N1127" s="1543"/>
      <c r="O1127" s="1218"/>
      <c r="P1127" s="1218"/>
      <c r="Q1127" s="1230"/>
      <c r="R1127" s="1230"/>
      <c r="S1127" s="1230"/>
      <c r="T1127" s="1230"/>
      <c r="U1127" s="1230"/>
      <c r="V1127" s="1230"/>
      <c r="W1127" s="1230"/>
      <c r="X1127" s="1230"/>
      <c r="Y1127" s="1230"/>
    </row>
    <row r="1128" customFormat="false" ht="15.75" hidden="true" customHeight="true" outlineLevel="1" collapsed="false">
      <c r="A1128" s="1539"/>
      <c r="B1128" s="1545"/>
      <c r="C1128" s="1553"/>
      <c r="D1128" s="1545"/>
      <c r="E1128" s="1543"/>
      <c r="F1128" s="1551"/>
      <c r="G1128" s="1547"/>
      <c r="H1128" s="1548"/>
      <c r="I1128" s="1544"/>
      <c r="J1128" s="1542" t="n">
        <f aca="false">J1136/J1140</f>
        <v>0</v>
      </c>
      <c r="K1128" s="1549" t="n">
        <f aca="false">K1127*(3.14/180)</f>
        <v>0.418666666666667</v>
      </c>
      <c r="L1128" s="1550"/>
      <c r="M1128" s="1550"/>
      <c r="N1128" s="1550"/>
      <c r="O1128" s="1218"/>
      <c r="P1128" s="1218" t="s">
        <v>2640</v>
      </c>
      <c r="Q1128" s="1230" t="s">
        <v>2641</v>
      </c>
      <c r="R1128" s="1230"/>
      <c r="S1128" s="1230"/>
      <c r="T1128" s="1230"/>
      <c r="U1128" s="1230"/>
      <c r="V1128" s="1230"/>
      <c r="W1128" s="1230"/>
      <c r="X1128" s="1230"/>
      <c r="Y1128" s="1230"/>
    </row>
    <row r="1129" customFormat="false" ht="15.75" hidden="true" customHeight="true" outlineLevel="1" collapsed="false">
      <c r="A1129" s="1554" t="s">
        <v>1236</v>
      </c>
      <c r="B1129" s="1555" t="s">
        <v>3438</v>
      </c>
      <c r="C1129" s="1555" t="s">
        <v>1753</v>
      </c>
      <c r="D1129" s="1290"/>
      <c r="E1129" s="1230"/>
      <c r="F1129" s="537"/>
      <c r="G1129" s="933"/>
      <c r="H1129" s="998"/>
      <c r="J1129" s="933"/>
      <c r="K1129" s="933"/>
      <c r="L1129" s="998"/>
      <c r="M1129" s="998"/>
      <c r="N1129" s="998"/>
      <c r="O1129" s="933"/>
      <c r="P1129" s="1290" t="n">
        <f aca="false">VLOOKUP('Ввод данных'!B155,связи1!A2:B3,2,0)</f>
        <v>1</v>
      </c>
      <c r="Q1129" s="1230" t="n">
        <f aca="false">VLOOKUP('Ввод данных'!C155,связи1!A2:B3,2,0)</f>
        <v>0</v>
      </c>
      <c r="R1129" s="1230"/>
      <c r="S1129" s="1230"/>
      <c r="T1129" s="1230"/>
      <c r="U1129" s="1230"/>
      <c r="V1129" s="1230"/>
      <c r="W1129" s="1230"/>
      <c r="X1129" s="1230"/>
      <c r="Y1129" s="1230"/>
    </row>
    <row r="1130" customFormat="false" ht="15.75" hidden="true" customHeight="true" outlineLevel="1" collapsed="false">
      <c r="A1130" s="517" t="s">
        <v>3439</v>
      </c>
      <c r="B1130" s="1556" t="s">
        <v>156</v>
      </c>
      <c r="C1130" s="1556" t="n">
        <f aca="false">C1140*4+C1132*2</f>
        <v>48.2842712474619</v>
      </c>
      <c r="D1130" s="939" t="n">
        <v>1</v>
      </c>
      <c r="E1130" s="387"/>
      <c r="F1130" s="517" t="n">
        <f aca="false">C16+C17+C16+C17</f>
        <v>40</v>
      </c>
      <c r="G1130" s="537" t="n">
        <f aca="false">G1171*4+(F1132+F1152+F1152)*2</f>
        <v>38.1169624342752</v>
      </c>
      <c r="H1130" s="349"/>
      <c r="J1130" s="517" t="n">
        <f aca="false">J1158*2+J1132*2</f>
        <v>38</v>
      </c>
      <c r="K1130" s="1290" t="n">
        <f aca="false">(K1132+K1152+K1152)*(K1171*2)</f>
        <v>50.9829249066431</v>
      </c>
      <c r="L1130" s="1557" t="n">
        <f aca="false">J1197+J1199</f>
        <v>88.109726366466</v>
      </c>
      <c r="M1130" s="1557"/>
      <c r="N1130" s="1557"/>
      <c r="O1130" s="933" t="n">
        <f aca="false">O1133+O1133+O1142+O1142</f>
        <v>42.3606797749979</v>
      </c>
      <c r="P1130" s="537" t="n">
        <f aca="false">O1130*$P$1129</f>
        <v>42.3606797749979</v>
      </c>
      <c r="S1130" s="1230"/>
      <c r="T1130" s="1230"/>
      <c r="U1130" s="1230"/>
      <c r="V1130" s="1230"/>
      <c r="W1130" s="1230"/>
      <c r="X1130" s="1230"/>
      <c r="Y1130" s="1230"/>
    </row>
    <row r="1131" customFormat="false" ht="15.75" hidden="true" customHeight="true" outlineLevel="1" collapsed="false">
      <c r="A1131" s="517" t="s">
        <v>3440</v>
      </c>
      <c r="B1131" s="1556"/>
      <c r="C1131" s="1556"/>
      <c r="D1131" s="939"/>
      <c r="E1131" s="387"/>
      <c r="F1131" s="517"/>
      <c r="G1131" s="537"/>
      <c r="H1131" s="349"/>
      <c r="J1131" s="517"/>
      <c r="K1131" s="1290"/>
      <c r="L1131" s="1311"/>
      <c r="M1131" s="1311"/>
      <c r="N1131" s="1311"/>
      <c r="O1131" s="933" t="n">
        <f aca="false">O1132+O1132+O1140+O1140</f>
        <v>42.3606797749979</v>
      </c>
      <c r="P1131" s="537"/>
      <c r="Q1131" s="1150" t="n">
        <f aca="false">O1131*$Q$1129</f>
        <v>0</v>
      </c>
      <c r="S1131" s="1230"/>
      <c r="T1131" s="1230"/>
      <c r="U1131" s="1230"/>
      <c r="V1131" s="1230"/>
      <c r="W1131" s="1230"/>
      <c r="X1131" s="1230"/>
      <c r="Y1131" s="1230"/>
    </row>
    <row r="1132" customFormat="false" ht="15.75" hidden="true" customHeight="true" outlineLevel="1" collapsed="false">
      <c r="A1132" s="1017" t="s">
        <v>2743</v>
      </c>
      <c r="B1132" s="1558" t="s">
        <v>156</v>
      </c>
      <c r="C1132" s="1558" t="n">
        <f aca="false">C17</f>
        <v>10</v>
      </c>
      <c r="D1132" s="939"/>
      <c r="E1132" s="387"/>
      <c r="F1132" s="537" t="n">
        <f aca="false">C17</f>
        <v>10</v>
      </c>
      <c r="G1132" s="537" t="n">
        <f aca="false">F1132</f>
        <v>10</v>
      </c>
      <c r="H1132" s="349"/>
      <c r="J1132" s="1559" t="n">
        <f aca="false">дома!AI3</f>
        <v>10</v>
      </c>
      <c r="K1132" s="1195" t="n">
        <f aca="false">J1132</f>
        <v>10</v>
      </c>
      <c r="L1132" s="1560"/>
      <c r="M1132" s="1560"/>
      <c r="N1132" s="1560"/>
      <c r="O1132" s="933" t="n">
        <f aca="false">C1132</f>
        <v>10</v>
      </c>
      <c r="P1132" s="537" t="n">
        <f aca="false">O1132*$P$1129</f>
        <v>10</v>
      </c>
      <c r="S1132" s="1230"/>
      <c r="T1132" s="1230"/>
      <c r="U1132" s="1230"/>
      <c r="V1132" s="1230"/>
      <c r="W1132" s="1230"/>
      <c r="X1132" s="1230"/>
      <c r="Y1132" s="1230"/>
    </row>
    <row r="1133" customFormat="false" ht="15.75" hidden="true" customHeight="true" outlineLevel="1" collapsed="false">
      <c r="A1133" s="1017" t="s">
        <v>1903</v>
      </c>
      <c r="B1133" s="1558"/>
      <c r="C1133" s="1561" t="n">
        <f aca="false">C16</f>
        <v>10</v>
      </c>
      <c r="D1133" s="939"/>
      <c r="E1133" s="387"/>
      <c r="F1133" s="537" t="n">
        <f aca="false">C16</f>
        <v>10</v>
      </c>
      <c r="G1133" s="1533" t="n">
        <f aca="false">F1133</f>
        <v>10</v>
      </c>
      <c r="H1133" s="1562"/>
      <c r="J1133" s="1559" t="n">
        <f aca="false">дома!AI4</f>
        <v>10</v>
      </c>
      <c r="K1133" s="1195" t="n">
        <f aca="false">J1133</f>
        <v>10</v>
      </c>
      <c r="L1133" s="1560"/>
      <c r="M1133" s="1560"/>
      <c r="N1133" s="1560"/>
      <c r="O1133" s="933" t="n">
        <f aca="false">C1133</f>
        <v>10</v>
      </c>
      <c r="P1133" s="537"/>
      <c r="Q1133" s="1150" t="n">
        <f aca="false">O1133*$Q$1129</f>
        <v>0</v>
      </c>
      <c r="S1133" s="1230"/>
      <c r="T1133" s="1230"/>
      <c r="U1133" s="1230"/>
      <c r="V1133" s="1230"/>
      <c r="W1133" s="1230"/>
      <c r="X1133" s="1230"/>
      <c r="Y1133" s="1230"/>
    </row>
    <row r="1134" customFormat="false" ht="15.75" hidden="true" customHeight="true" outlineLevel="1" collapsed="false">
      <c r="A1134" s="537" t="s">
        <v>2657</v>
      </c>
      <c r="B1134" s="1178"/>
      <c r="C1134" s="1558" t="n">
        <f aca="false">IF('Ввод данных'!A6=связи1!A94,'Ввод данных'!C14,0)+IF('Ввод данных'!A6=связи1!A95,связи1!K206,0)+IF('Ввод данных'!A6=связи1!A96,связи1!K206,0)+IF('Ввод данных'!A6=связи1!A97,'Ввод данных'!C14,0)+IF('Ввод данных'!A6=связи1!A98,связи1!K206,0)</f>
        <v>8</v>
      </c>
      <c r="D1134" s="1559" t="n">
        <f aca="false">D1122-C6</f>
        <v>4.9</v>
      </c>
      <c r="E1134" s="492"/>
      <c r="F1134" s="933" t="n">
        <f aca="false">C1134</f>
        <v>8</v>
      </c>
      <c r="G1134" s="933"/>
      <c r="H1134" s="998"/>
      <c r="J1134" s="537" t="n">
        <f aca="false">C1134</f>
        <v>8</v>
      </c>
      <c r="K1134" s="537"/>
      <c r="L1134" s="349"/>
      <c r="M1134" s="349"/>
      <c r="N1134" s="349"/>
      <c r="O1134" s="933" t="n">
        <f aca="false">C1134</f>
        <v>8</v>
      </c>
      <c r="P1134" s="1290"/>
      <c r="Q1134" s="1230"/>
      <c r="R1134" s="1230"/>
      <c r="S1134" s="1230"/>
      <c r="T1134" s="1230"/>
      <c r="U1134" s="1230"/>
      <c r="V1134" s="1230"/>
      <c r="W1134" s="1230"/>
      <c r="X1134" s="1230"/>
      <c r="Y1134" s="1230"/>
    </row>
    <row r="1135" customFormat="false" ht="15.75" hidden="true" customHeight="true" outlineLevel="1" collapsed="false">
      <c r="A1135" s="1177" t="s">
        <v>3441</v>
      </c>
      <c r="B1135" s="1178"/>
      <c r="C1135" s="1178" t="n">
        <f aca="false">C1134-C1139</f>
        <v>5</v>
      </c>
      <c r="D1135" s="537" t="n">
        <f aca="false">D1121-D1119</f>
        <v>2.5</v>
      </c>
      <c r="E1135" s="998"/>
      <c r="F1135" s="537" t="n">
        <f aca="false">C1135</f>
        <v>5</v>
      </c>
      <c r="G1135" s="1533" t="n">
        <f aca="false">G1122-G1119</f>
        <v>3.8</v>
      </c>
      <c r="H1135" s="1562"/>
      <c r="I1135" s="1532"/>
      <c r="J1135" s="517" t="n">
        <f aca="false">J1134-J1139</f>
        <v>5</v>
      </c>
      <c r="K1135" s="933"/>
      <c r="L1135" s="998"/>
      <c r="M1135" s="998"/>
      <c r="N1135" s="998"/>
      <c r="O1135" s="933" t="n">
        <f aca="false">C1135</f>
        <v>5</v>
      </c>
      <c r="P1135" s="1290"/>
      <c r="Q1135" s="1230"/>
      <c r="R1135" s="1230"/>
      <c r="S1135" s="1230"/>
      <c r="T1135" s="1230"/>
      <c r="U1135" s="1230"/>
      <c r="V1135" s="1230"/>
      <c r="W1135" s="1230"/>
      <c r="X1135" s="1230"/>
      <c r="Y1135" s="1230"/>
    </row>
    <row r="1136" customFormat="false" ht="15.75" hidden="true" customHeight="true" outlineLevel="1" collapsed="false">
      <c r="A1136" s="1177" t="s">
        <v>3442</v>
      </c>
      <c r="B1136" s="1178"/>
      <c r="C1136" s="1178" t="n">
        <f aca="false">F1136</f>
        <v>0</v>
      </c>
      <c r="D1136" s="537"/>
      <c r="E1136" s="998"/>
      <c r="F1136" s="537" t="n">
        <f aca="false">C18-C20+C21-C23</f>
        <v>0</v>
      </c>
      <c r="G1136" s="1533"/>
      <c r="H1136" s="1562"/>
      <c r="I1136" s="1532"/>
      <c r="J1136" s="517" t="n">
        <f aca="false">F1136</f>
        <v>0</v>
      </c>
      <c r="K1136" s="933"/>
      <c r="L1136" s="998"/>
      <c r="M1136" s="998"/>
      <c r="N1136" s="998"/>
      <c r="O1136" s="933" t="n">
        <f aca="false">C1136</f>
        <v>0</v>
      </c>
      <c r="P1136" s="1290"/>
      <c r="Q1136" s="1230"/>
      <c r="R1136" s="1230"/>
      <c r="S1136" s="1230"/>
      <c r="T1136" s="1230"/>
      <c r="U1136" s="1230"/>
      <c r="V1136" s="1230"/>
      <c r="W1136" s="1230"/>
      <c r="X1136" s="1230"/>
      <c r="Y1136" s="1230"/>
    </row>
    <row r="1137" customFormat="false" ht="15.75" hidden="true" customHeight="true" outlineLevel="1" collapsed="false">
      <c r="A1137" s="1177" t="s">
        <v>3443</v>
      </c>
      <c r="B1137" s="1178"/>
      <c r="C1137" s="1178" t="n">
        <f aca="false">C22-C21+C19-C18</f>
        <v>5</v>
      </c>
      <c r="D1137" s="537"/>
      <c r="E1137" s="998"/>
      <c r="F1137" s="537" t="n">
        <f aca="false">C1137</f>
        <v>5</v>
      </c>
      <c r="G1137" s="1533"/>
      <c r="H1137" s="1562"/>
      <c r="I1137" s="1532"/>
      <c r="J1137" s="517" t="n">
        <f aca="false">C1137</f>
        <v>5</v>
      </c>
      <c r="K1137" s="933"/>
      <c r="L1137" s="998"/>
      <c r="M1137" s="998"/>
      <c r="N1137" s="998"/>
      <c r="O1137" s="933" t="n">
        <f aca="false">C1137</f>
        <v>5</v>
      </c>
      <c r="P1137" s="1290"/>
      <c r="Q1137" s="1230"/>
      <c r="R1137" s="1230"/>
      <c r="S1137" s="1230"/>
      <c r="T1137" s="1230"/>
      <c r="U1137" s="1230"/>
      <c r="V1137" s="1230"/>
      <c r="W1137" s="1230"/>
      <c r="X1137" s="1230"/>
      <c r="Y1137" s="1230"/>
    </row>
    <row r="1138" customFormat="false" ht="15.75" hidden="true" customHeight="true" outlineLevel="1" collapsed="false">
      <c r="A1138" s="1177" t="s">
        <v>3444</v>
      </c>
      <c r="B1138" s="1178"/>
      <c r="C1138" s="1558"/>
      <c r="D1138" s="537"/>
      <c r="E1138" s="492"/>
      <c r="F1138" s="933"/>
      <c r="G1138" s="1533"/>
      <c r="H1138" s="1562"/>
      <c r="I1138" s="1532"/>
      <c r="J1138" s="1559" t="n">
        <f aca="false">'Ввод данных'!C285</f>
        <v>0.5</v>
      </c>
      <c r="K1138" s="933"/>
      <c r="L1138" s="998"/>
      <c r="M1138" s="998"/>
      <c r="N1138" s="998"/>
      <c r="O1138" s="933"/>
      <c r="P1138" s="1290"/>
      <c r="Q1138" s="1230"/>
      <c r="R1138" s="1230"/>
      <c r="S1138" s="1230"/>
      <c r="T1138" s="1230"/>
      <c r="U1138" s="1230"/>
      <c r="V1138" s="1230"/>
      <c r="W1138" s="1230"/>
      <c r="X1138" s="1230"/>
      <c r="Y1138" s="1230"/>
    </row>
    <row r="1139" customFormat="false" ht="15.75" hidden="true" customHeight="true" outlineLevel="1" collapsed="false">
      <c r="A1139" s="1177" t="s">
        <v>1931</v>
      </c>
      <c r="B1139" s="1178"/>
      <c r="C1139" s="1178" t="n">
        <f aca="false">IF('Ввод данных'!A6=связи1!A94,'Ввод данных'!C13,0)+IF('Ввод данных'!A6=связи1!A95,'Ввод данных'!C16,0)+IF('Ввод данных'!A6=связи1!A96,связи1!K207,0)+IF('Ввод данных'!A6=связи1!A97,'Ввод данных'!C15,0)+IF('Ввод данных'!A6=связи1!A98,связи1!K207,0)</f>
        <v>3</v>
      </c>
      <c r="D1139" s="517" t="n">
        <f aca="false">D23</f>
        <v>2.1</v>
      </c>
      <c r="E1139" s="492"/>
      <c r="F1139" s="933"/>
      <c r="G1139" s="537"/>
      <c r="H1139" s="349"/>
      <c r="I1139" s="1532"/>
      <c r="J1139" s="1290" t="n">
        <f aca="false">C1139</f>
        <v>3</v>
      </c>
      <c r="K1139" s="933"/>
      <c r="L1139" s="998"/>
      <c r="M1139" s="998"/>
      <c r="N1139" s="998"/>
      <c r="O1139" s="933" t="n">
        <f aca="false">C1139</f>
        <v>3</v>
      </c>
      <c r="P1139" s="1290"/>
      <c r="Q1139" s="1230"/>
      <c r="R1139" s="1230"/>
      <c r="S1139" s="1230"/>
      <c r="T1139" s="1230"/>
      <c r="U1139" s="1230"/>
      <c r="V1139" s="1230"/>
      <c r="W1139" s="1230"/>
      <c r="X1139" s="1230"/>
      <c r="Y1139" s="1230"/>
    </row>
    <row r="1140" customFormat="false" ht="15.75" hidden="true" customHeight="true" outlineLevel="1" collapsed="false">
      <c r="A1140" s="1017" t="s">
        <v>3445</v>
      </c>
      <c r="B1140" s="1558" t="s">
        <v>156</v>
      </c>
      <c r="C1140" s="1558" t="n">
        <f aca="false">SQRT((C16/2)*(C16/2)+((C22-C23)*(C22-C23)+(C19-C20)*(C19-C20)))</f>
        <v>7.07106781186548</v>
      </c>
      <c r="D1140" s="933"/>
      <c r="F1140" s="933"/>
      <c r="G1140" s="537"/>
      <c r="H1140" s="349"/>
      <c r="I1140" s="1532"/>
      <c r="J1140" s="1290" t="n">
        <f aca="false">SQRT(J1135*J1135+J1138*J1138)</f>
        <v>5.02493781056045</v>
      </c>
      <c r="K1140" s="933"/>
      <c r="L1140" s="998"/>
      <c r="M1140" s="998"/>
      <c r="N1140" s="998"/>
      <c r="O1140" s="1382" t="n">
        <f aca="false">SQRT((C16)*(C16)+((C22-C23)*(C22-C23)+(C19-C20)*(C19-C20)))</f>
        <v>11.180339887499</v>
      </c>
      <c r="P1140" s="1290" t="n">
        <f aca="false">O1135/O1140</f>
        <v>0.447213595499958</v>
      </c>
      <c r="Q1140" s="1230"/>
      <c r="R1140" s="1230"/>
      <c r="S1140" s="1230"/>
      <c r="T1140" s="1230"/>
      <c r="U1140" s="1230"/>
      <c r="V1140" s="1230"/>
      <c r="W1140" s="1230"/>
      <c r="X1140" s="1230"/>
      <c r="Y1140" s="1230"/>
    </row>
    <row r="1141" customFormat="false" ht="15.75" hidden="true" customHeight="true" outlineLevel="1" collapsed="false">
      <c r="A1141" s="1017" t="s">
        <v>3446</v>
      </c>
      <c r="B1141" s="1558"/>
      <c r="C1141" s="1558" t="n">
        <f aca="false">C1136/SIN(C1124)</f>
        <v>0</v>
      </c>
      <c r="D1141" s="933"/>
      <c r="F1141" s="933"/>
      <c r="G1141" s="537"/>
      <c r="H1141" s="349"/>
      <c r="I1141" s="1532"/>
      <c r="J1141" s="1290"/>
      <c r="K1141" s="933"/>
      <c r="L1141" s="998"/>
      <c r="M1141" s="998"/>
      <c r="N1141" s="998"/>
      <c r="O1141" s="1382"/>
      <c r="P1141" s="1290"/>
      <c r="Q1141" s="1230"/>
      <c r="R1141" s="1230"/>
      <c r="S1141" s="1230"/>
      <c r="T1141" s="1230"/>
      <c r="U1141" s="1230"/>
      <c r="V1141" s="1230"/>
      <c r="W1141" s="1230"/>
      <c r="X1141" s="1230"/>
      <c r="Y1141" s="1230"/>
    </row>
    <row r="1142" customFormat="false" ht="15.75" hidden="true" customHeight="true" outlineLevel="1" collapsed="false">
      <c r="A1142" s="1017" t="s">
        <v>3447</v>
      </c>
      <c r="B1142" s="1558"/>
      <c r="C1142" s="1558"/>
      <c r="D1142" s="933"/>
      <c r="F1142" s="933"/>
      <c r="G1142" s="537"/>
      <c r="H1142" s="349"/>
      <c r="I1142" s="1532"/>
      <c r="J1142" s="1290"/>
      <c r="K1142" s="933"/>
      <c r="L1142" s="998"/>
      <c r="M1142" s="998"/>
      <c r="N1142" s="998"/>
      <c r="O1142" s="1382" t="n">
        <f aca="false">SQRT((C17)*(C17)+((C22-C23)*(C22-C23)+(C19-C20)*(C19-C20)))</f>
        <v>11.180339887499</v>
      </c>
      <c r="P1142" s="1290"/>
      <c r="Q1142" s="1230"/>
      <c r="R1142" s="1230"/>
      <c r="S1142" s="1230"/>
      <c r="T1142" s="1230"/>
      <c r="U1142" s="1230"/>
      <c r="V1142" s="1230"/>
      <c r="W1142" s="1230"/>
      <c r="X1142" s="1230"/>
      <c r="Y1142" s="1230"/>
    </row>
    <row r="1143" customFormat="false" ht="15.75" hidden="true" customHeight="true" outlineLevel="1" collapsed="false">
      <c r="A1143" s="1017" t="s">
        <v>3448</v>
      </c>
      <c r="B1143" s="1558"/>
      <c r="C1143" s="1558"/>
      <c r="D1143" s="933"/>
      <c r="F1143" s="933"/>
      <c r="G1143" s="537"/>
      <c r="H1143" s="349"/>
      <c r="I1143" s="1532"/>
      <c r="J1143" s="1290" t="n">
        <f aca="false">J1136/J1140</f>
        <v>0</v>
      </c>
      <c r="K1143" s="933"/>
      <c r="L1143" s="998"/>
      <c r="M1143" s="998"/>
      <c r="N1143" s="998"/>
      <c r="O1143" s="933"/>
      <c r="P1143" s="1290"/>
      <c r="Q1143" s="1230"/>
      <c r="R1143" s="1230"/>
      <c r="S1143" s="1230"/>
      <c r="T1143" s="1230"/>
      <c r="U1143" s="1230"/>
      <c r="V1143" s="1230"/>
      <c r="W1143" s="1230"/>
      <c r="X1143" s="1230"/>
      <c r="Y1143" s="1230"/>
    </row>
    <row r="1144" customFormat="false" ht="15.75" hidden="true" customHeight="true" outlineLevel="1" collapsed="false">
      <c r="A1144" s="1017" t="s">
        <v>3449</v>
      </c>
      <c r="B1144" s="1558"/>
      <c r="C1144" s="1558"/>
      <c r="D1144" s="933"/>
      <c r="F1144" s="933"/>
      <c r="G1144" s="537"/>
      <c r="H1144" s="349"/>
      <c r="I1144" s="1532"/>
      <c r="J1144" s="1290" t="n">
        <f aca="false">DEGREES(J1143)</f>
        <v>0</v>
      </c>
      <c r="K1144" s="933"/>
      <c r="L1144" s="998"/>
      <c r="M1144" s="998"/>
      <c r="N1144" s="998"/>
      <c r="O1144" s="933"/>
      <c r="P1144" s="1290"/>
      <c r="Q1144" s="1230"/>
      <c r="R1144" s="1230"/>
      <c r="S1144" s="1230"/>
      <c r="T1144" s="1230"/>
      <c r="U1144" s="1230"/>
      <c r="V1144" s="1230"/>
      <c r="W1144" s="1230"/>
      <c r="X1144" s="1230"/>
      <c r="Y1144" s="1230"/>
    </row>
    <row r="1145" customFormat="false" ht="15.75" hidden="true" customHeight="true" outlineLevel="1" collapsed="false">
      <c r="A1145" s="1017" t="s">
        <v>3450</v>
      </c>
      <c r="B1145" s="1558"/>
      <c r="C1145" s="1558"/>
      <c r="D1145" s="933"/>
      <c r="F1145" s="933"/>
      <c r="G1145" s="537"/>
      <c r="H1145" s="349"/>
      <c r="I1145" s="1532"/>
      <c r="J1145" s="1290" t="n">
        <f aca="false">90-J1144</f>
        <v>90</v>
      </c>
      <c r="K1145" s="933"/>
      <c r="L1145" s="998"/>
      <c r="M1145" s="998"/>
      <c r="N1145" s="998"/>
      <c r="O1145" s="933"/>
      <c r="P1145" s="1290"/>
      <c r="Q1145" s="1230"/>
      <c r="R1145" s="1230"/>
      <c r="S1145" s="1230"/>
      <c r="T1145" s="1230"/>
      <c r="U1145" s="1230"/>
      <c r="V1145" s="1230"/>
      <c r="W1145" s="1230"/>
      <c r="X1145" s="1230"/>
      <c r="Y1145" s="1230"/>
    </row>
    <row r="1146" customFormat="false" ht="15.75" hidden="true" customHeight="true" outlineLevel="1" collapsed="false">
      <c r="A1146" s="1017" t="s">
        <v>3451</v>
      </c>
      <c r="B1146" s="1558"/>
      <c r="C1146" s="1558"/>
      <c r="D1146" s="933"/>
      <c r="F1146" s="933"/>
      <c r="G1146" s="537"/>
      <c r="H1146" s="349"/>
      <c r="I1146" s="1532"/>
      <c r="J1146" s="1290" t="n">
        <f aca="false">RADIANS(J1145)</f>
        <v>1.5707963267949</v>
      </c>
      <c r="K1146" s="933"/>
      <c r="L1146" s="998"/>
      <c r="M1146" s="998"/>
      <c r="N1146" s="998"/>
      <c r="O1146" s="933"/>
      <c r="P1146" s="1290"/>
      <c r="S1146" s="1230"/>
      <c r="T1146" s="1230"/>
      <c r="U1146" s="1230"/>
      <c r="V1146" s="1230"/>
      <c r="W1146" s="1230"/>
      <c r="X1146" s="1230"/>
      <c r="Y1146" s="1230"/>
    </row>
    <row r="1147" customFormat="false" ht="15.75" hidden="true" customHeight="true" outlineLevel="1" collapsed="false">
      <c r="A1147" s="1017" t="s">
        <v>3452</v>
      </c>
      <c r="B1147" s="1558"/>
      <c r="C1147" s="1558"/>
      <c r="D1147" s="933"/>
      <c r="F1147" s="933"/>
      <c r="G1147" s="537"/>
      <c r="H1147" s="349"/>
      <c r="I1147" s="1532"/>
      <c r="J1147" s="1290" t="n">
        <f aca="false">J1148/COS(J1143)</f>
        <v>0.5</v>
      </c>
      <c r="K1147" s="933"/>
      <c r="L1147" s="998"/>
      <c r="M1147" s="998"/>
      <c r="N1147" s="998"/>
      <c r="O1147" s="933"/>
      <c r="P1147" s="1290"/>
      <c r="S1147" s="1230"/>
      <c r="T1147" s="1230"/>
      <c r="U1147" s="1230"/>
      <c r="V1147" s="1230"/>
      <c r="W1147" s="1230"/>
      <c r="X1147" s="1230"/>
      <c r="Y1147" s="1230"/>
    </row>
    <row r="1148" customFormat="false" ht="15.75" hidden="true" customHeight="true" outlineLevel="1" collapsed="false">
      <c r="A1148" s="1017" t="s">
        <v>1927</v>
      </c>
      <c r="B1148" s="1558" t="s">
        <v>156</v>
      </c>
      <c r="C1148" s="1203" t="n">
        <f aca="false">'Ввод данных'!C206</f>
        <v>0.5</v>
      </c>
      <c r="D1148" s="933"/>
      <c r="F1148" s="910" t="n">
        <f aca="false">'Ввод данных'!C249</f>
        <v>0.5</v>
      </c>
      <c r="G1148" s="537"/>
      <c r="H1148" s="349"/>
      <c r="I1148" s="1532"/>
      <c r="J1148" s="910" t="n">
        <f aca="false">'Ввод данных'!C288</f>
        <v>0.5</v>
      </c>
      <c r="K1148" s="910" t="n">
        <f aca="false">J1148</f>
        <v>0.5</v>
      </c>
      <c r="L1148" s="1205"/>
      <c r="M1148" s="1205"/>
      <c r="N1148" s="1205"/>
      <c r="O1148" s="933" t="n">
        <f aca="false">'Ввод данных'!C160</f>
        <v>0.8</v>
      </c>
      <c r="P1148" s="1290"/>
      <c r="Q1148" s="1230"/>
      <c r="R1148" s="1230"/>
      <c r="S1148" s="1230"/>
      <c r="T1148" s="1230"/>
      <c r="U1148" s="1230"/>
      <c r="V1148" s="1230"/>
      <c r="W1148" s="1230"/>
      <c r="X1148" s="1230"/>
      <c r="Y1148" s="1230"/>
    </row>
    <row r="1149" customFormat="false" ht="15.75" hidden="true" customHeight="true" outlineLevel="1" collapsed="false">
      <c r="A1149" s="1017" t="s">
        <v>3453</v>
      </c>
      <c r="B1149" s="1558"/>
      <c r="C1149" s="1203" t="n">
        <f aca="false">C1148/COS(C1124)</f>
        <v>0.657683069269165</v>
      </c>
      <c r="D1149" s="933"/>
      <c r="F1149" s="910"/>
      <c r="G1149" s="537"/>
      <c r="H1149" s="349"/>
      <c r="I1149" s="1532"/>
      <c r="J1149" s="910" t="n">
        <f aca="false">J1147</f>
        <v>0.5</v>
      </c>
      <c r="K1149" s="910"/>
      <c r="L1149" s="1205"/>
      <c r="M1149" s="1205"/>
      <c r="N1149" s="1205"/>
      <c r="O1149" s="1203" t="n">
        <f aca="false">O1148</f>
        <v>0.8</v>
      </c>
      <c r="P1149" s="1290"/>
      <c r="Q1149" s="1230"/>
      <c r="R1149" s="1230"/>
      <c r="S1149" s="1230"/>
      <c r="T1149" s="1230"/>
      <c r="U1149" s="1230"/>
      <c r="V1149" s="1230"/>
      <c r="W1149" s="1230"/>
      <c r="X1149" s="1230"/>
      <c r="Y1149" s="1230"/>
    </row>
    <row r="1150" customFormat="false" ht="15.75" hidden="true" customHeight="true" outlineLevel="1" collapsed="false">
      <c r="A1150" s="1017" t="s">
        <v>1927</v>
      </c>
      <c r="B1150" s="1558" t="s">
        <v>156</v>
      </c>
      <c r="C1150" s="1203" t="n">
        <f aca="false">'Ввод данных'!C207</f>
        <v>0.5</v>
      </c>
      <c r="D1150" s="933"/>
      <c r="E1150" s="492"/>
      <c r="F1150" s="933"/>
      <c r="G1150" s="537"/>
      <c r="H1150" s="349"/>
      <c r="I1150" s="1532"/>
      <c r="J1150" s="933"/>
      <c r="K1150" s="933"/>
      <c r="L1150" s="998"/>
      <c r="M1150" s="998"/>
      <c r="N1150" s="998"/>
      <c r="O1150" s="933" t="n">
        <f aca="false">'Ввод данных'!C161</f>
        <v>1</v>
      </c>
      <c r="P1150" s="1290"/>
      <c r="S1150" s="1230"/>
      <c r="T1150" s="1230"/>
      <c r="U1150" s="1230"/>
      <c r="V1150" s="1230"/>
      <c r="W1150" s="1230"/>
      <c r="X1150" s="1230"/>
      <c r="Y1150" s="1230"/>
    </row>
    <row r="1151" customFormat="false" ht="15.75" hidden="true" customHeight="true" outlineLevel="1" collapsed="false">
      <c r="A1151" s="1017" t="s">
        <v>3454</v>
      </c>
      <c r="B1151" s="1558"/>
      <c r="C1151" s="1203" t="n">
        <f aca="false">C1150/COS(C1124)</f>
        <v>0.657683069269165</v>
      </c>
      <c r="D1151" s="933"/>
      <c r="E1151" s="492"/>
      <c r="F1151" s="933"/>
      <c r="G1151" s="537"/>
      <c r="H1151" s="349"/>
      <c r="I1151" s="1532"/>
      <c r="J1151" s="933"/>
      <c r="K1151" s="933"/>
      <c r="L1151" s="998"/>
      <c r="M1151" s="998"/>
      <c r="N1151" s="998"/>
      <c r="O1151" s="933" t="n">
        <f aca="false">O1150</f>
        <v>1</v>
      </c>
      <c r="P1151" s="1290"/>
      <c r="Q1151" s="1230"/>
      <c r="R1151" s="1230"/>
      <c r="S1151" s="1230"/>
      <c r="T1151" s="1230"/>
      <c r="U1151" s="1230"/>
      <c r="V1151" s="1230"/>
      <c r="W1151" s="1230"/>
      <c r="X1151" s="1230"/>
      <c r="Y1151" s="1230"/>
    </row>
    <row r="1152" customFormat="false" ht="15.75" hidden="true" customHeight="true" outlineLevel="1" collapsed="false">
      <c r="A1152" s="1017" t="s">
        <v>1896</v>
      </c>
      <c r="B1152" s="1558" t="s">
        <v>156</v>
      </c>
      <c r="C1152" s="1203" t="n">
        <f aca="false">'Ввод данных'!C208</f>
        <v>0.8</v>
      </c>
      <c r="D1152" s="933"/>
      <c r="E1152" s="492"/>
      <c r="F1152" s="910" t="n">
        <f aca="false">'Ввод данных'!C250</f>
        <v>0.5</v>
      </c>
      <c r="G1152" s="537"/>
      <c r="H1152" s="349"/>
      <c r="I1152" s="1532"/>
      <c r="J1152" s="1559" t="n">
        <f aca="false">'Ввод данных'!C287</f>
        <v>0.5</v>
      </c>
      <c r="K1152" s="1195" t="n">
        <f aca="false">J1152</f>
        <v>0.5</v>
      </c>
      <c r="L1152" s="353" t="n">
        <f aca="false">'Ввод данных'!C285</f>
        <v>0.5</v>
      </c>
      <c r="M1152" s="353"/>
      <c r="N1152" s="353"/>
      <c r="O1152" s="933" t="n">
        <f aca="false">'Ввод данных'!C162</f>
        <v>0.7</v>
      </c>
      <c r="P1152" s="1290"/>
      <c r="Q1152" s="1230"/>
      <c r="R1152" s="1230"/>
      <c r="S1152" s="1230"/>
      <c r="T1152" s="1230"/>
      <c r="U1152" s="1230"/>
      <c r="V1152" s="1230"/>
      <c r="W1152" s="1230"/>
      <c r="X1152" s="1230"/>
      <c r="Y1152" s="1230"/>
    </row>
    <row r="1153" customFormat="false" ht="15.75" hidden="true" customHeight="true" outlineLevel="1" collapsed="false">
      <c r="A1153" s="1017" t="s">
        <v>3455</v>
      </c>
      <c r="B1153" s="1558"/>
      <c r="C1153" s="1203"/>
      <c r="D1153" s="933"/>
      <c r="E1153" s="492"/>
      <c r="F1153" s="910"/>
      <c r="G1153" s="537"/>
      <c r="H1153" s="349"/>
      <c r="I1153" s="1532"/>
      <c r="J1153" s="1559"/>
      <c r="K1153" s="1195"/>
      <c r="L1153" s="353"/>
      <c r="M1153" s="353"/>
      <c r="N1153" s="353"/>
      <c r="O1153" s="957" t="n">
        <f aca="false">O1152/COS(O1124)</f>
        <v>0.797645749127184</v>
      </c>
      <c r="P1153" s="1290"/>
      <c r="Q1153" s="1230"/>
      <c r="R1153" s="1230"/>
      <c r="S1153" s="1230"/>
      <c r="T1153" s="1230"/>
      <c r="U1153" s="1230"/>
      <c r="V1153" s="1230"/>
      <c r="W1153" s="1230"/>
      <c r="X1153" s="1230"/>
      <c r="Y1153" s="1230"/>
    </row>
    <row r="1154" customFormat="false" ht="15.75" hidden="true" customHeight="true" outlineLevel="1" collapsed="false">
      <c r="A1154" s="1017" t="s">
        <v>3456</v>
      </c>
      <c r="B1154" s="1558"/>
      <c r="C1154" s="1203"/>
      <c r="D1154" s="933"/>
      <c r="E1154" s="492"/>
      <c r="F1154" s="910"/>
      <c r="G1154" s="537"/>
      <c r="H1154" s="349"/>
      <c r="I1154" s="1532"/>
      <c r="J1154" s="1559"/>
      <c r="K1154" s="1195"/>
      <c r="L1154" s="353"/>
      <c r="M1154" s="353"/>
      <c r="N1154" s="353"/>
      <c r="O1154" s="933"/>
      <c r="P1154" s="1290"/>
      <c r="Q1154" s="1230"/>
      <c r="R1154" s="1230"/>
      <c r="S1154" s="1230"/>
      <c r="T1154" s="1230"/>
      <c r="U1154" s="1230"/>
      <c r="V1154" s="1230"/>
      <c r="W1154" s="1230"/>
      <c r="X1154" s="1230"/>
      <c r="Y1154" s="1230"/>
    </row>
    <row r="1155" customFormat="false" ht="15.75" hidden="true" customHeight="true" outlineLevel="1" collapsed="false">
      <c r="A1155" s="1017" t="s">
        <v>1897</v>
      </c>
      <c r="B1155" s="1558"/>
      <c r="C1155" s="1203" t="n">
        <f aca="false">'Ввод данных'!C209</f>
        <v>0.8</v>
      </c>
      <c r="D1155" s="933"/>
      <c r="E1155" s="998"/>
      <c r="F1155" s="933"/>
      <c r="G1155" s="537"/>
      <c r="H1155" s="349"/>
      <c r="I1155" s="1532"/>
      <c r="J1155" s="1290"/>
      <c r="K1155" s="933"/>
      <c r="L1155" s="998"/>
      <c r="M1155" s="998"/>
      <c r="N1155" s="998"/>
      <c r="O1155" s="933" t="n">
        <f aca="false">'Ввод данных'!C163</f>
        <v>1</v>
      </c>
      <c r="P1155" s="1290"/>
      <c r="Q1155" s="1230"/>
      <c r="R1155" s="1230"/>
      <c r="S1155" s="1230"/>
      <c r="T1155" s="1230"/>
      <c r="U1155" s="1230"/>
      <c r="V1155" s="1230"/>
      <c r="W1155" s="1230"/>
      <c r="X1155" s="1230"/>
      <c r="Y1155" s="1230"/>
    </row>
    <row r="1156" customFormat="false" ht="15.75" hidden="true" customHeight="true" outlineLevel="1" collapsed="false">
      <c r="A1156" s="1017" t="s">
        <v>3455</v>
      </c>
      <c r="B1156" s="1558"/>
      <c r="C1156" s="1203"/>
      <c r="D1156" s="933"/>
      <c r="E1156" s="998"/>
      <c r="F1156" s="933"/>
      <c r="G1156" s="537"/>
      <c r="H1156" s="349"/>
      <c r="I1156" s="1532"/>
      <c r="J1156" s="1290"/>
      <c r="K1156" s="933"/>
      <c r="L1156" s="998"/>
      <c r="M1156" s="998"/>
      <c r="N1156" s="998"/>
      <c r="O1156" s="957" t="n">
        <f aca="false">O1155/COS(O1124)</f>
        <v>1.13949392732455</v>
      </c>
      <c r="P1156" s="1290"/>
      <c r="Q1156" s="1230"/>
      <c r="R1156" s="1230"/>
      <c r="S1156" s="1230"/>
      <c r="T1156" s="1230"/>
      <c r="U1156" s="1230"/>
      <c r="V1156" s="1230"/>
      <c r="W1156" s="1230"/>
      <c r="X1156" s="1230"/>
      <c r="Y1156" s="1230"/>
    </row>
    <row r="1157" customFormat="false" ht="15.75" hidden="true" customHeight="true" outlineLevel="1" collapsed="false">
      <c r="A1157" s="1017" t="s">
        <v>3457</v>
      </c>
      <c r="B1157" s="1558"/>
      <c r="C1157" s="1203"/>
      <c r="D1157" s="933"/>
      <c r="E1157" s="998"/>
      <c r="F1157" s="933"/>
      <c r="G1157" s="537"/>
      <c r="H1157" s="349"/>
      <c r="I1157" s="1532"/>
      <c r="J1157" s="1290"/>
      <c r="K1157" s="933"/>
      <c r="L1157" s="998"/>
      <c r="M1157" s="998"/>
      <c r="N1157" s="998"/>
      <c r="O1157" s="933"/>
      <c r="P1157" s="1290"/>
      <c r="Q1157" s="1230"/>
      <c r="R1157" s="1230"/>
      <c r="S1157" s="1230"/>
      <c r="T1157" s="1230"/>
      <c r="U1157" s="1230"/>
      <c r="V1157" s="1230"/>
      <c r="W1157" s="1230"/>
      <c r="X1157" s="1230"/>
      <c r="Y1157" s="1230"/>
    </row>
    <row r="1158" customFormat="false" ht="15.75" hidden="true" customHeight="true" outlineLevel="1" collapsed="false">
      <c r="A1158" s="1017" t="s">
        <v>3458</v>
      </c>
      <c r="B1158" s="1558"/>
      <c r="C1158" s="1203"/>
      <c r="D1158" s="933"/>
      <c r="E1158" s="998"/>
      <c r="F1158" s="933" t="n">
        <f aca="false">F1133+F1148+F1148</f>
        <v>11</v>
      </c>
      <c r="G1158" s="537"/>
      <c r="H1158" s="349"/>
      <c r="I1158" s="1532"/>
      <c r="J1158" s="1290" t="n">
        <f aca="false">(J1133)-(J1138*2)</f>
        <v>9</v>
      </c>
      <c r="K1158" s="933"/>
      <c r="L1158" s="998"/>
      <c r="M1158" s="998"/>
      <c r="N1158" s="998"/>
      <c r="O1158" s="933"/>
      <c r="P1158" s="1290"/>
      <c r="Q1158" s="1230"/>
      <c r="R1158" s="1230"/>
      <c r="S1158" s="1230"/>
      <c r="T1158" s="1230"/>
      <c r="U1158" s="1230"/>
      <c r="V1158" s="1230"/>
      <c r="W1158" s="1230"/>
      <c r="X1158" s="1230"/>
      <c r="Y1158" s="1230"/>
    </row>
    <row r="1159" customFormat="false" ht="15.75" hidden="true" customHeight="true" outlineLevel="1" collapsed="false">
      <c r="A1159" s="1017" t="s">
        <v>3459</v>
      </c>
      <c r="B1159" s="1558"/>
      <c r="C1159" s="1203"/>
      <c r="D1159" s="933"/>
      <c r="E1159" s="998"/>
      <c r="F1159" s="517" t="n">
        <f aca="false">SQRT(F1172*F1172+F1137*F1137)</f>
        <v>5.8309518948453</v>
      </c>
      <c r="G1159" s="1533" t="n">
        <f aca="false">(G1122-G1120)/SIN(G1124)</f>
        <v>4.71151670234873</v>
      </c>
      <c r="H1159" s="1562"/>
      <c r="I1159" s="382"/>
      <c r="J1159" s="517" t="n">
        <f aca="false">SQRT(J1172*J1172+J1137*J1137)</f>
        <v>5.3851648071345</v>
      </c>
      <c r="K1159" s="537" t="n">
        <f aca="false">(K1122-K1119)/SIN(K1128)</f>
        <v>2.65654791471276</v>
      </c>
      <c r="L1159" s="1557" t="n">
        <f aca="false">K1159*Q1112+J1159*Q1113</f>
        <v>5.3851648071345</v>
      </c>
      <c r="M1159" s="1557"/>
      <c r="N1159" s="1557"/>
      <c r="O1159" s="933"/>
      <c r="P1159" s="933"/>
      <c r="Q1159" s="1230"/>
      <c r="S1159" s="1230"/>
      <c r="T1159" s="1230"/>
      <c r="U1159" s="1230"/>
      <c r="V1159" s="1230"/>
      <c r="W1159" s="1230"/>
      <c r="X1159" s="1230"/>
      <c r="Y1159" s="1230"/>
    </row>
    <row r="1160" customFormat="false" ht="15.75" hidden="true" customHeight="true" outlineLevel="1" collapsed="false">
      <c r="A1160" s="1017" t="s">
        <v>3448</v>
      </c>
      <c r="B1160" s="1558"/>
      <c r="C1160" s="1203"/>
      <c r="D1160" s="933"/>
      <c r="E1160" s="998"/>
      <c r="F1160" s="517" t="n">
        <f aca="false">F1137/F1159</f>
        <v>0.857492925712544</v>
      </c>
      <c r="G1160" s="1533"/>
      <c r="H1160" s="1562"/>
      <c r="I1160" s="382"/>
      <c r="J1160" s="517" t="n">
        <f aca="false">J1137/J1159</f>
        <v>0.928476690885259</v>
      </c>
      <c r="K1160" s="537"/>
      <c r="L1160" s="1563" t="n">
        <f aca="false">(K1122-K1119)/SIN(K1128)</f>
        <v>2.65654791471276</v>
      </c>
      <c r="M1160" s="1563"/>
      <c r="N1160" s="1563"/>
      <c r="O1160" s="933"/>
      <c r="P1160" s="1534"/>
      <c r="Q1160" s="1230"/>
      <c r="S1160" s="1230"/>
      <c r="T1160" s="1230"/>
      <c r="U1160" s="1230"/>
      <c r="V1160" s="1230"/>
      <c r="W1160" s="1230"/>
      <c r="X1160" s="1230"/>
      <c r="Y1160" s="1230"/>
    </row>
    <row r="1161" customFormat="false" ht="15.75" hidden="true" customHeight="true" outlineLevel="1" collapsed="false">
      <c r="A1161" s="1017" t="s">
        <v>3452</v>
      </c>
      <c r="B1161" s="1558"/>
      <c r="C1161" s="1203"/>
      <c r="D1161" s="933"/>
      <c r="E1161" s="998"/>
      <c r="F1161" s="517" t="n">
        <f aca="false">F1148/COS(F1160)</f>
        <v>0.76413413169808</v>
      </c>
      <c r="G1161" s="1533"/>
      <c r="H1161" s="1562"/>
      <c r="I1161" s="382"/>
      <c r="J1161" s="517" t="n">
        <f aca="false">J1148/COS(J1160)</f>
        <v>0.83464873535895</v>
      </c>
      <c r="K1161" s="537"/>
      <c r="L1161" s="1557"/>
      <c r="M1161" s="1557"/>
      <c r="N1161" s="1557"/>
      <c r="O1161" s="933"/>
      <c r="P1161" s="1534"/>
      <c r="Q1161" s="1230"/>
      <c r="S1161" s="1230"/>
      <c r="T1161" s="1230"/>
      <c r="U1161" s="1230"/>
      <c r="V1161" s="1230"/>
      <c r="W1161" s="1230"/>
      <c r="X1161" s="1230"/>
      <c r="Y1161" s="1230"/>
    </row>
    <row r="1162" customFormat="false" ht="15.75" hidden="true" customHeight="true" outlineLevel="1" collapsed="false">
      <c r="A1162" s="537" t="s">
        <v>3460</v>
      </c>
      <c r="B1162" s="1558"/>
      <c r="C1162" s="1203"/>
      <c r="D1162" s="933"/>
      <c r="E1162" s="998"/>
      <c r="F1162" s="517"/>
      <c r="G1162" s="1533"/>
      <c r="H1162" s="1562"/>
      <c r="I1162" s="382"/>
      <c r="J1162" s="517"/>
      <c r="K1162" s="537"/>
      <c r="L1162" s="1557"/>
      <c r="M1162" s="1557"/>
      <c r="N1162" s="1557"/>
      <c r="O1162" s="957" t="n">
        <f aca="false">O1133</f>
        <v>10</v>
      </c>
      <c r="P1162" s="1534"/>
      <c r="Q1162" s="1230"/>
      <c r="S1162" s="1230"/>
      <c r="T1162" s="1230"/>
      <c r="U1162" s="1230"/>
      <c r="V1162" s="1230"/>
      <c r="W1162" s="1230"/>
      <c r="X1162" s="1230"/>
      <c r="Y1162" s="1230"/>
    </row>
    <row r="1163" customFormat="false" ht="15.75" hidden="true" customHeight="true" outlineLevel="1" collapsed="false">
      <c r="A1163" s="537" t="s">
        <v>3461</v>
      </c>
      <c r="B1163" s="1558"/>
      <c r="C1163" s="1203"/>
      <c r="D1163" s="933"/>
      <c r="E1163" s="998"/>
      <c r="F1163" s="517"/>
      <c r="G1163" s="1533"/>
      <c r="H1163" s="1562"/>
      <c r="I1163" s="382"/>
      <c r="J1163" s="517"/>
      <c r="K1163" s="537"/>
      <c r="L1163" s="1557"/>
      <c r="M1163" s="1557"/>
      <c r="N1163" s="1557"/>
      <c r="O1163" s="933" t="n">
        <f aca="false">O1132</f>
        <v>10</v>
      </c>
      <c r="P1163" s="1534"/>
      <c r="Q1163" s="1230"/>
      <c r="S1163" s="1230"/>
      <c r="T1163" s="1230"/>
      <c r="U1163" s="1230"/>
      <c r="V1163" s="1230"/>
      <c r="W1163" s="1230"/>
      <c r="X1163" s="1230"/>
      <c r="Y1163" s="1230"/>
    </row>
    <row r="1164" customFormat="false" ht="15.75" hidden="true" customHeight="true" outlineLevel="1" collapsed="false">
      <c r="A1164" s="537" t="s">
        <v>3462</v>
      </c>
      <c r="B1164" s="1178" t="s">
        <v>156</v>
      </c>
      <c r="C1164" s="1178" t="n">
        <f aca="false">C1132+C1152+C1155</f>
        <v>11.6</v>
      </c>
      <c r="D1164" s="537" t="n">
        <f aca="false">C1132+C1152+C1155</f>
        <v>11.6</v>
      </c>
      <c r="E1164" s="492" t="n">
        <f aca="false">C1164*G1113+D1164*G1112</f>
        <v>11.6</v>
      </c>
      <c r="F1164" s="910" t="n">
        <f aca="false">'Ввод данных'!C248</f>
        <v>5</v>
      </c>
      <c r="G1164" s="1290" t="n">
        <f aca="false">F1132+F1152+F1152-G1172*2</f>
        <v>4.69178642196983</v>
      </c>
      <c r="H1164" s="1311"/>
      <c r="I1164" s="382" t="n">
        <f aca="false">F1164*J1113+G1164*J1112</f>
        <v>5</v>
      </c>
      <c r="J1164" s="1559" t="n">
        <f aca="false">'Ввод данных'!C286</f>
        <v>6</v>
      </c>
      <c r="K1164" s="537" t="n">
        <f aca="false">K1132+K1152+K1152-SQRT(L1160*L1160-(K1122-K1119)*(K1122-K1119))*2</f>
        <v>6.14578664532976</v>
      </c>
      <c r="L1164" s="1557" t="n">
        <f aca="false">K1164*Q1112+J1164*Q1113</f>
        <v>6</v>
      </c>
      <c r="M1164" s="1557"/>
      <c r="N1164" s="1557"/>
      <c r="O1164" s="933" t="n">
        <f aca="false">O1162+O1149+O1151</f>
        <v>11.8</v>
      </c>
      <c r="P1164" s="537" t="n">
        <f aca="false">O1164*$P$1129</f>
        <v>11.8</v>
      </c>
      <c r="Q1164" s="1230"/>
      <c r="S1164" s="1230"/>
      <c r="T1164" s="1230"/>
      <c r="U1164" s="1230"/>
      <c r="V1164" s="1230"/>
      <c r="W1164" s="1230"/>
      <c r="X1164" s="1230"/>
      <c r="Y1164" s="1230"/>
    </row>
    <row r="1165" customFormat="false" ht="15.75" hidden="true" customHeight="true" outlineLevel="1" collapsed="false">
      <c r="A1165" s="537" t="s">
        <v>3463</v>
      </c>
      <c r="B1165" s="1178"/>
      <c r="C1165" s="1178"/>
      <c r="D1165" s="537"/>
      <c r="E1165" s="492"/>
      <c r="F1165" s="910"/>
      <c r="G1165" s="1290"/>
      <c r="H1165" s="1311"/>
      <c r="I1165" s="382"/>
      <c r="J1165" s="1559"/>
      <c r="K1165" s="537"/>
      <c r="L1165" s="1557"/>
      <c r="M1165" s="1557"/>
      <c r="N1165" s="1557"/>
      <c r="O1165" s="933" t="n">
        <f aca="false">O1163+O1149+O1151</f>
        <v>11.8</v>
      </c>
      <c r="P1165" s="1534"/>
      <c r="Q1165" s="1150" t="n">
        <f aca="false">O1165*$Q$1129</f>
        <v>0</v>
      </c>
      <c r="S1165" s="1230"/>
      <c r="T1165" s="1230"/>
      <c r="U1165" s="1230"/>
      <c r="V1165" s="1230"/>
      <c r="W1165" s="1230"/>
      <c r="X1165" s="1230"/>
      <c r="Y1165" s="1230"/>
    </row>
    <row r="1166" customFormat="false" ht="15.75" hidden="true" customHeight="true" outlineLevel="1" collapsed="false">
      <c r="A1166" s="1017" t="s">
        <v>3464</v>
      </c>
      <c r="B1166" s="1558"/>
      <c r="C1166" s="1203"/>
      <c r="D1166" s="933"/>
      <c r="E1166" s="998"/>
      <c r="F1166" s="517" t="n">
        <f aca="false">F1159+F1161</f>
        <v>6.59508602654338</v>
      </c>
      <c r="G1166" s="1533"/>
      <c r="H1166" s="1562"/>
      <c r="I1166" s="382"/>
      <c r="J1166" s="517" t="n">
        <f aca="false">J1159+J1161</f>
        <v>6.21981354249345</v>
      </c>
      <c r="K1166" s="537"/>
      <c r="L1166" s="1557"/>
      <c r="M1166" s="1557"/>
      <c r="N1166" s="1557"/>
      <c r="O1166" s="933"/>
      <c r="P1166" s="1534"/>
      <c r="Q1166" s="1230"/>
      <c r="S1166" s="1230"/>
      <c r="T1166" s="1230"/>
      <c r="U1166" s="1230"/>
      <c r="V1166" s="1230"/>
      <c r="W1166" s="1230"/>
      <c r="X1166" s="1230"/>
      <c r="Y1166" s="1230"/>
    </row>
    <row r="1167" customFormat="false" ht="15.75" hidden="true" customHeight="true" outlineLevel="1" collapsed="false">
      <c r="A1167" s="537" t="s">
        <v>3465</v>
      </c>
      <c r="B1167" s="1178" t="s">
        <v>156</v>
      </c>
      <c r="C1167" s="1178" t="n">
        <f aca="false">C1140+C1149</f>
        <v>7.72875088113464</v>
      </c>
      <c r="D1167" s="537" t="n">
        <f aca="false">(D1122-D1118)/SIN(D1124)</f>
        <v>3.58066967141574</v>
      </c>
      <c r="E1167" s="492" t="n">
        <f aca="false">C1167*G1113+D1167*G1112</f>
        <v>7.72875088113464</v>
      </c>
      <c r="F1167" s="1017" t="n">
        <f aca="false">SQRT(F1137*F1137+(F1158/2)*(F1158/2))</f>
        <v>7.43303437365925</v>
      </c>
      <c r="G1167" s="1564" t="n">
        <f aca="false">(G1122-G1120)/SIN(G1126)</f>
        <v>5.337113440966</v>
      </c>
      <c r="H1167" s="1489"/>
      <c r="I1167" s="382"/>
      <c r="J1167" s="517" t="n">
        <f aca="false">SQRT(J1135*J1135+J1138*J1138)</f>
        <v>5.02493781056045</v>
      </c>
      <c r="K1167" s="537" t="n">
        <f aca="false">(K1122-K1119)/SIN(K1124)</f>
        <v>2.55671059653911</v>
      </c>
      <c r="L1167" s="1557" t="n">
        <f aca="false">K1167*Q1112+J1167*Q1113</f>
        <v>5.02493781056045</v>
      </c>
      <c r="M1167" s="1557"/>
      <c r="N1167" s="1557"/>
      <c r="O1167" s="933"/>
      <c r="P1167" s="1290"/>
      <c r="Q1167" s="1230"/>
      <c r="R1167" s="1230"/>
      <c r="S1167" s="1230"/>
      <c r="T1167" s="1230"/>
      <c r="U1167" s="1230"/>
      <c r="V1167" s="1230"/>
      <c r="W1167" s="1230"/>
      <c r="X1167" s="1230"/>
      <c r="Y1167" s="1230"/>
    </row>
    <row r="1168" customFormat="false" ht="15.75" hidden="true" customHeight="true" outlineLevel="1" collapsed="false">
      <c r="A1168" s="537" t="s">
        <v>3466</v>
      </c>
      <c r="B1168" s="1178" t="s">
        <v>156</v>
      </c>
      <c r="C1168" s="1178"/>
      <c r="D1168" s="537"/>
      <c r="E1168" s="492"/>
      <c r="F1168" s="1017"/>
      <c r="G1168" s="1564"/>
      <c r="H1168" s="1489"/>
      <c r="I1168" s="382"/>
      <c r="J1168" s="517" t="n">
        <f aca="false">J1167+J1147</f>
        <v>5.52493781056045</v>
      </c>
      <c r="K1168" s="537"/>
      <c r="L1168" s="1557"/>
      <c r="M1168" s="1557"/>
      <c r="N1168" s="1557"/>
      <c r="O1168" s="933" t="n">
        <f aca="false">O1142+O1153+O1156</f>
        <v>13.1174795639507</v>
      </c>
      <c r="P1168" s="537" t="n">
        <f aca="false">O1168*$P$1129</f>
        <v>13.1174795639507</v>
      </c>
      <c r="Q1168" s="1230"/>
      <c r="R1168" s="1230"/>
      <c r="S1168" s="1230"/>
      <c r="T1168" s="1230"/>
      <c r="U1168" s="1230"/>
      <c r="V1168" s="1230"/>
      <c r="W1168" s="1230"/>
      <c r="X1168" s="1230"/>
      <c r="Y1168" s="1230"/>
    </row>
    <row r="1169" customFormat="false" ht="15.75" hidden="true" customHeight="true" outlineLevel="1" collapsed="false">
      <c r="A1169" s="537" t="s">
        <v>3467</v>
      </c>
      <c r="B1169" s="1178" t="s">
        <v>156</v>
      </c>
      <c r="C1169" s="1178" t="n">
        <f aca="false">C1140+C1151</f>
        <v>7.72875088113464</v>
      </c>
      <c r="D1169" s="933"/>
      <c r="E1169" s="998"/>
      <c r="F1169" s="933"/>
      <c r="G1169" s="933"/>
      <c r="H1169" s="998"/>
      <c r="I1169" s="1217"/>
      <c r="J1169" s="933" t="n">
        <f aca="false">SQRT(J1171*J1171+J1137*J1137)</f>
        <v>6.72681202353686</v>
      </c>
      <c r="K1169" s="1534" t="n">
        <f aca="false">(K1119-K1118)/SIN(K1126)</f>
        <v>2.55460302940464</v>
      </c>
      <c r="L1169" s="1557" t="n">
        <f aca="false">K1169*Q1112+J1169*Q1113</f>
        <v>6.72681202353686</v>
      </c>
      <c r="M1169" s="1557"/>
      <c r="N1169" s="1557"/>
      <c r="O1169" s="933" t="n">
        <f aca="false">O1140+O1153+O1156</f>
        <v>13.1174795639507</v>
      </c>
      <c r="P1169" s="537"/>
      <c r="Q1169" s="1150" t="n">
        <f aca="false">O1169*$Q$1129</f>
        <v>0</v>
      </c>
      <c r="R1169" s="1230"/>
      <c r="S1169" s="1230"/>
      <c r="T1169" s="1230"/>
      <c r="U1169" s="1230"/>
      <c r="V1169" s="1230"/>
      <c r="W1169" s="1230"/>
      <c r="X1169" s="1230"/>
      <c r="Y1169" s="1230"/>
    </row>
    <row r="1170" customFormat="false" ht="15.75" hidden="true" customHeight="true" outlineLevel="1" collapsed="false">
      <c r="A1170" s="537" t="s">
        <v>1063</v>
      </c>
      <c r="B1170" s="1178" t="s">
        <v>156</v>
      </c>
      <c r="C1170" s="1178"/>
      <c r="D1170" s="933"/>
      <c r="E1170" s="998"/>
      <c r="F1170" s="537" t="n">
        <f aca="false">SQRT(F1166*F1166+F1171*F1171)</f>
        <v>8.58750020072825</v>
      </c>
      <c r="G1170" s="933" t="n">
        <f aca="false">SQRT(G1159*G1159+SQRT(G1167*G1167-(G1122-G1120)*(G1122-G1120)))</f>
        <v>5.12129185314407</v>
      </c>
      <c r="H1170" s="998"/>
      <c r="I1170" s="1565" t="n">
        <f aca="false">F1170*J1113+G1170*J1112</f>
        <v>8.58750020072825</v>
      </c>
      <c r="J1170" s="517" t="n">
        <f aca="false">SQRT(J1171*J1171+J1166*J1166)</f>
        <v>7.67698381549583</v>
      </c>
      <c r="K1170" s="537" t="n">
        <f aca="false">SQRT(K1159*K1159+(K1133/2)*(K1133/2))</f>
        <v>5.66191194060493</v>
      </c>
      <c r="L1170" s="1557" t="n">
        <f aca="false">K1170*Q1112+J1170*Q1113</f>
        <v>7.67698381549583</v>
      </c>
      <c r="M1170" s="1557"/>
      <c r="N1170" s="1557"/>
      <c r="O1170" s="933"/>
      <c r="P1170" s="1290"/>
      <c r="Q1170" s="1230"/>
      <c r="R1170" s="1230"/>
      <c r="S1170" s="1230"/>
      <c r="T1170" s="1230"/>
      <c r="U1170" s="1230"/>
      <c r="V1170" s="1230"/>
      <c r="W1170" s="1230"/>
      <c r="X1170" s="1230"/>
      <c r="Y1170" s="1230"/>
    </row>
    <row r="1171" customFormat="false" ht="15.75" hidden="true" customHeight="true" outlineLevel="1" collapsed="false">
      <c r="A1171" s="537" t="s">
        <v>3468</v>
      </c>
      <c r="B1171" s="1178"/>
      <c r="C1171" s="1178"/>
      <c r="D1171" s="933"/>
      <c r="E1171" s="998"/>
      <c r="F1171" s="933" t="n">
        <f aca="false">F1158/2</f>
        <v>5.5</v>
      </c>
      <c r="G1171" s="933" t="n">
        <f aca="false">SQRT(G1167*G1167-(G1122-G1120)*(G1122-G1120))</f>
        <v>4.02924060856881</v>
      </c>
      <c r="H1171" s="998"/>
      <c r="I1171" s="1217"/>
      <c r="J1171" s="933" t="n">
        <f aca="false">J1158/2</f>
        <v>4.5</v>
      </c>
      <c r="K1171" s="1178" t="n">
        <f aca="false">SQRT(K1167*K1167-(K1122-K1119)*(K1122-K1119))</f>
        <v>2.31740567757469</v>
      </c>
      <c r="L1171" s="353"/>
      <c r="M1171" s="353"/>
      <c r="N1171" s="353"/>
      <c r="O1171" s="933"/>
      <c r="P1171" s="1290"/>
      <c r="Q1171" s="1230"/>
      <c r="R1171" s="1230"/>
      <c r="S1171" s="1230"/>
      <c r="T1171" s="1230"/>
      <c r="U1171" s="1230"/>
      <c r="V1171" s="1230"/>
      <c r="W1171" s="1230"/>
      <c r="X1171" s="1230"/>
      <c r="Y1171" s="1230"/>
    </row>
    <row r="1172" customFormat="false" ht="15.75" hidden="true" customHeight="true" outlineLevel="1" collapsed="false">
      <c r="A1172" s="537" t="s">
        <v>3469</v>
      </c>
      <c r="B1172" s="1178"/>
      <c r="C1172" s="1178"/>
      <c r="D1172" s="933"/>
      <c r="E1172" s="998"/>
      <c r="F1172" s="933" t="n">
        <f aca="false">(F1132+F1152+F1152-F1164)/2</f>
        <v>3</v>
      </c>
      <c r="G1172" s="933" t="n">
        <f aca="false">SQRT(G1159*G1159-(G1122-G1120)*(G1122-G1120))</f>
        <v>3.15410678901508</v>
      </c>
      <c r="H1172" s="998"/>
      <c r="I1172" s="1217"/>
      <c r="J1172" s="933" t="n">
        <f aca="false">(J1132-J1164)/2</f>
        <v>2</v>
      </c>
      <c r="K1172" s="537"/>
      <c r="L1172" s="349"/>
      <c r="M1172" s="349"/>
      <c r="N1172" s="349"/>
      <c r="O1172" s="933"/>
      <c r="P1172" s="1534"/>
      <c r="Q1172" s="1230"/>
      <c r="R1172" s="1230"/>
      <c r="S1172" s="1230"/>
      <c r="T1172" s="1230"/>
      <c r="U1172" s="1230"/>
      <c r="V1172" s="1230"/>
      <c r="W1172" s="1230"/>
      <c r="X1172" s="1230"/>
      <c r="Y1172" s="1230"/>
    </row>
    <row r="1173" customFormat="false" ht="15.75" hidden="true" customHeight="true" outlineLevel="1" collapsed="false">
      <c r="A1173" s="537" t="s">
        <v>3470</v>
      </c>
      <c r="B1173" s="1178"/>
      <c r="C1173" s="1178"/>
      <c r="D1173" s="933"/>
      <c r="E1173" s="998"/>
      <c r="F1173" s="933" t="n">
        <f aca="false">F1166*F1171*2</f>
        <v>72.5459462919772</v>
      </c>
      <c r="G1173" s="933" t="n">
        <f aca="false">G1171*G1159*2</f>
        <v>37.9676688501074</v>
      </c>
      <c r="H1173" s="998"/>
      <c r="I1173" s="1217"/>
      <c r="J1173" s="933" t="n">
        <f aca="false">J1166*J1171*2</f>
        <v>55.9783218824411</v>
      </c>
      <c r="K1173" s="933"/>
      <c r="L1173" s="998"/>
      <c r="M1173" s="998"/>
      <c r="N1173" s="998"/>
      <c r="O1173" s="933"/>
      <c r="P1173" s="1290"/>
      <c r="Q1173" s="1230"/>
      <c r="R1173" s="1230"/>
      <c r="S1173" s="1230"/>
      <c r="T1173" s="1230"/>
      <c r="U1173" s="1230"/>
      <c r="V1173" s="1230"/>
      <c r="W1173" s="1230"/>
      <c r="X1173" s="1230"/>
      <c r="Y1173" s="1230"/>
    </row>
    <row r="1174" customFormat="false" ht="15.75" hidden="true" customHeight="true" outlineLevel="1" collapsed="false">
      <c r="A1174" s="537" t="s">
        <v>3471</v>
      </c>
      <c r="B1174" s="1178"/>
      <c r="C1174" s="1178"/>
      <c r="D1174" s="933"/>
      <c r="E1174" s="998"/>
      <c r="F1174" s="933" t="n">
        <f aca="false">F1172*F1167*2+F1167*F1164*2</f>
        <v>118.928549978548</v>
      </c>
      <c r="G1174" s="933" t="n">
        <f aca="false">G1172*G1167*2+G1167*(дома!X4+'Ввод данных'!C250+'Ввод данных'!C250-G1172*2)*2</f>
        <v>83.7488442254629</v>
      </c>
      <c r="H1174" s="998"/>
      <c r="I1174" s="1217"/>
      <c r="J1174" s="933" t="n">
        <f aca="false">J1169*(J1132+J1152+J1152)*2-J1169*J1172*2</f>
        <v>121.082616423663</v>
      </c>
      <c r="K1174" s="933"/>
      <c r="L1174" s="998"/>
      <c r="M1174" s="998"/>
      <c r="N1174" s="998"/>
      <c r="O1174" s="933"/>
      <c r="P1174" s="1290"/>
      <c r="Q1174" s="387"/>
      <c r="R1174" s="489"/>
      <c r="S1174" s="1230"/>
      <c r="T1174" s="1230"/>
      <c r="U1174" s="1230"/>
      <c r="V1174" s="1230"/>
      <c r="W1174" s="1230"/>
      <c r="X1174" s="1230"/>
      <c r="Y1174" s="1230"/>
    </row>
    <row r="1175" customFormat="false" ht="15.75" hidden="true" customHeight="true" outlineLevel="1" collapsed="false">
      <c r="A1175" s="537" t="s">
        <v>3472</v>
      </c>
      <c r="B1175" s="1178" t="s">
        <v>133</v>
      </c>
      <c r="C1175" s="1178"/>
      <c r="D1175" s="537"/>
      <c r="E1175" s="492"/>
      <c r="F1175" s="910"/>
      <c r="G1175" s="1290"/>
      <c r="H1175" s="1311"/>
      <c r="I1175" s="382"/>
      <c r="J1175" s="1559" t="n">
        <f aca="false">J1168*(J1132+J1152+J1152)</f>
        <v>60.7743159161649</v>
      </c>
      <c r="K1175" s="537"/>
      <c r="L1175" s="349"/>
      <c r="M1175" s="349"/>
      <c r="N1175" s="349"/>
      <c r="O1175" s="1290"/>
      <c r="P1175" s="1178"/>
      <c r="Q1175" s="349"/>
      <c r="R1175" s="1230"/>
      <c r="S1175" s="1230"/>
      <c r="T1175" s="1230"/>
      <c r="U1175" s="1230"/>
      <c r="V1175" s="1230"/>
      <c r="W1175" s="1230"/>
      <c r="X1175" s="1230"/>
      <c r="Y1175" s="1230"/>
    </row>
    <row r="1176" customFormat="false" ht="15.75" hidden="true" customHeight="true" outlineLevel="1" collapsed="false">
      <c r="A1176" s="537" t="s">
        <v>3473</v>
      </c>
      <c r="B1176" s="1178"/>
      <c r="C1176" s="1178"/>
      <c r="D1176" s="537"/>
      <c r="E1176" s="492"/>
      <c r="F1176" s="910"/>
      <c r="G1176" s="1290"/>
      <c r="H1176" s="1311"/>
      <c r="I1176" s="382"/>
      <c r="J1176" s="1559"/>
      <c r="K1176" s="537"/>
      <c r="L1176" s="349"/>
      <c r="M1176" s="349"/>
      <c r="N1176" s="349"/>
      <c r="O1176" s="1290"/>
      <c r="P1176" s="1178"/>
      <c r="Q1176" s="349"/>
      <c r="R1176" s="1230"/>
      <c r="S1176" s="1230"/>
      <c r="T1176" s="1230"/>
      <c r="U1176" s="1230"/>
      <c r="V1176" s="1230"/>
      <c r="W1176" s="1230"/>
      <c r="X1176" s="1230"/>
      <c r="Y1176" s="1230"/>
    </row>
    <row r="1177" customFormat="false" ht="15.75" hidden="true" customHeight="true" outlineLevel="1" collapsed="false">
      <c r="A1177" s="1017" t="s">
        <v>3474</v>
      </c>
      <c r="B1177" s="1558" t="s">
        <v>133</v>
      </c>
      <c r="C1177" s="1558" t="n">
        <f aca="false">C1140*C1132*2</f>
        <v>141.42135623731</v>
      </c>
      <c r="D1177" s="1017" t="n">
        <f aca="false">(D1167-D1125)*C1132*2</f>
        <v>57.7527366357378</v>
      </c>
      <c r="E1177" s="998"/>
      <c r="F1177" s="933" t="n">
        <f aca="false">F1181-F1179</f>
        <v>170.474496270525</v>
      </c>
      <c r="G1177" s="933"/>
      <c r="H1177" s="998"/>
      <c r="I1177" s="1217"/>
      <c r="J1177" s="933" t="n">
        <f aca="false">J1181-J1179</f>
        <v>207.785378601148</v>
      </c>
      <c r="K1177" s="933"/>
      <c r="L1177" s="998"/>
      <c r="M1177" s="998"/>
      <c r="N1177" s="998"/>
      <c r="O1177" s="957" t="n">
        <f aca="false">O1162*O1142</f>
        <v>111.80339887499</v>
      </c>
      <c r="P1177" s="537" t="n">
        <f aca="false">O1177*$P$1129</f>
        <v>111.80339887499</v>
      </c>
      <c r="Q1177" s="349"/>
      <c r="S1177" s="1230"/>
      <c r="T1177" s="1230"/>
      <c r="U1177" s="1230"/>
      <c r="V1177" s="1230"/>
      <c r="W1177" s="1230"/>
      <c r="X1177" s="1230"/>
      <c r="Y1177" s="1230"/>
    </row>
    <row r="1178" customFormat="false" ht="15.75" hidden="true" customHeight="true" outlineLevel="1" collapsed="false">
      <c r="A1178" s="1017" t="s">
        <v>3475</v>
      </c>
      <c r="B1178" s="1558"/>
      <c r="C1178" s="1558"/>
      <c r="D1178" s="1017"/>
      <c r="E1178" s="1309" t="n">
        <f aca="false">D1177*D1115+I1115*F1177+J1177*L1115+Q1115*(P1177+Q1178)</f>
        <v>0</v>
      </c>
      <c r="F1178" s="933"/>
      <c r="G1178" s="933"/>
      <c r="H1178" s="998"/>
      <c r="I1178" s="1217"/>
      <c r="J1178" s="933"/>
      <c r="K1178" s="933"/>
      <c r="L1178" s="998"/>
      <c r="M1178" s="998"/>
      <c r="N1178" s="998"/>
      <c r="O1178" s="933" t="n">
        <f aca="false">O1163*O1140</f>
        <v>111.80339887499</v>
      </c>
      <c r="P1178" s="537"/>
      <c r="Q1178" s="1150" t="n">
        <f aca="false">O1178*$Q$1129</f>
        <v>0</v>
      </c>
      <c r="S1178" s="1230"/>
      <c r="T1178" s="1230"/>
      <c r="U1178" s="1230"/>
      <c r="V1178" s="1230"/>
      <c r="W1178" s="1230"/>
      <c r="X1178" s="1230"/>
      <c r="Y1178" s="1230"/>
    </row>
    <row r="1179" customFormat="false" ht="15.75" hidden="true" customHeight="true" outlineLevel="1" collapsed="false">
      <c r="A1179" s="1017" t="s">
        <v>3476</v>
      </c>
      <c r="B1179" s="1558" t="s">
        <v>133</v>
      </c>
      <c r="C1179" s="1558" t="n">
        <f aca="false">(C1140*C1152)*2+(C1140*C1155)*2+(C1132+C1152+C1155)*C1149+(C1132+C1155+C1152)*C1151</f>
        <v>37.8856642050142</v>
      </c>
      <c r="D1179" s="1017" t="n">
        <f aca="false">D1167*C1152*2+D1167*C1155*2+D1125*C1132*2</f>
        <v>25.3187997411074</v>
      </c>
      <c r="E1179" s="998"/>
      <c r="F1179" s="1017" t="n">
        <f aca="false">(F1133+F1148+F1148)*F1152*2+F1132*2*F1148</f>
        <v>21</v>
      </c>
      <c r="G1179" s="933"/>
      <c r="H1179" s="998"/>
      <c r="I1179" s="1217"/>
      <c r="J1179" s="517" t="n">
        <f aca="false">J1158*2*J1152+J1168*4*J1152+J1132*2*J1147</f>
        <v>30.0498756211209</v>
      </c>
      <c r="K1179" s="933"/>
      <c r="L1179" s="998"/>
      <c r="M1179" s="998"/>
      <c r="N1179" s="998"/>
      <c r="O1179" s="957" t="n">
        <f aca="false">O1162*O1153+O1162*O1156+(O1142+O1153+O1156)*O1149+(O1142+O1153+O1156)*O1151</f>
        <v>42.9828599796286</v>
      </c>
      <c r="P1179" s="537" t="n">
        <f aca="false">O1179*$P$1129</f>
        <v>42.9828599796286</v>
      </c>
      <c r="S1179" s="1230"/>
      <c r="T1179" s="1230"/>
      <c r="U1179" s="1230"/>
      <c r="V1179" s="1230"/>
      <c r="W1179" s="1230"/>
      <c r="X1179" s="1230"/>
      <c r="Y1179" s="1230"/>
    </row>
    <row r="1180" customFormat="false" ht="15.75" hidden="true" customHeight="true" outlineLevel="1" collapsed="false">
      <c r="A1180" s="1017" t="s">
        <v>3477</v>
      </c>
      <c r="B1180" s="1558"/>
      <c r="C1180" s="1558"/>
      <c r="D1180" s="1017"/>
      <c r="E1180" s="998"/>
      <c r="F1180" s="1017"/>
      <c r="G1180" s="933"/>
      <c r="H1180" s="998"/>
      <c r="I1180" s="1217"/>
      <c r="J1180" s="517"/>
      <c r="K1180" s="933"/>
      <c r="L1180" s="998"/>
      <c r="M1180" s="998"/>
      <c r="N1180" s="998"/>
      <c r="O1180" s="933" t="n">
        <f aca="false">O1163*O1153+O1163*O1156+(O1140+O1153+O1156)*O1149+(O1140+O1153+O1156)*O1151</f>
        <v>42.9828599796286</v>
      </c>
      <c r="P1180" s="1017"/>
      <c r="Q1180" s="1150" t="n">
        <f aca="false">O1180*$Q$1129</f>
        <v>0</v>
      </c>
      <c r="S1180" s="1230"/>
      <c r="T1180" s="1230"/>
      <c r="U1180" s="1230"/>
      <c r="V1180" s="1230"/>
      <c r="W1180" s="1230"/>
      <c r="X1180" s="1230"/>
      <c r="Y1180" s="1230"/>
    </row>
    <row r="1181" customFormat="false" ht="15.75" hidden="true" customHeight="true" outlineLevel="1" collapsed="false">
      <c r="A1181" s="1017" t="s">
        <v>3478</v>
      </c>
      <c r="B1181" s="1558" t="s">
        <v>133</v>
      </c>
      <c r="C1181" s="1558" t="n">
        <f aca="false">C1177+C1179</f>
        <v>179.307020442324</v>
      </c>
      <c r="D1181" s="1017" t="n">
        <f aca="false">D1167*(C1132+C1152+C1152)*2</f>
        <v>83.0715363768453</v>
      </c>
      <c r="E1181" s="492" t="n">
        <f aca="false">(C1181*G1113+D1181*G1112)</f>
        <v>179.307020442324</v>
      </c>
      <c r="F1181" s="537" t="n">
        <f aca="false">F1174+F1173</f>
        <v>191.474496270525</v>
      </c>
      <c r="G1181" s="933" t="n">
        <f aca="false">G1173+G1174</f>
        <v>121.71651307557</v>
      </c>
      <c r="H1181" s="998"/>
      <c r="I1181" s="1565" t="n">
        <f aca="false">F1181*J1113+G1181*J1112</f>
        <v>191.474496270525</v>
      </c>
      <c r="J1181" s="517" t="n">
        <f aca="false">J1174+J1173+J1175</f>
        <v>237.835254222269</v>
      </c>
      <c r="K1181" s="537" t="n">
        <f aca="false">K1169*(K1132+K1152*2)*2+K1133/2*K1159*2+K1167*K1164*2+K1167*((K1132+K1152*2-K1164)/2)*2</f>
        <v>126.603560196143</v>
      </c>
      <c r="L1181" s="1557" t="n">
        <f aca="false">K1181*Q1112+J1181*Q1113</f>
        <v>237.835254222269</v>
      </c>
      <c r="M1181" s="1557"/>
      <c r="N1181" s="1557"/>
      <c r="O1181" s="957" t="n">
        <f aca="false">O1177+O1179</f>
        <v>154.786258854618</v>
      </c>
      <c r="P1181" s="537" t="n">
        <f aca="false">O1181*$P$1129</f>
        <v>154.786258854618</v>
      </c>
      <c r="S1181" s="1230"/>
      <c r="T1181" s="1230"/>
      <c r="U1181" s="1230"/>
      <c r="V1181" s="1230"/>
      <c r="W1181" s="1230"/>
      <c r="X1181" s="1230"/>
      <c r="Y1181" s="1230"/>
    </row>
    <row r="1182" customFormat="false" ht="15.75" hidden="true" customHeight="true" outlineLevel="1" collapsed="false">
      <c r="A1182" s="1017" t="s">
        <v>3479</v>
      </c>
      <c r="B1182" s="1558"/>
      <c r="C1182" s="1558"/>
      <c r="D1182" s="1017"/>
      <c r="E1182" s="492"/>
      <c r="F1182" s="537"/>
      <c r="G1182" s="933"/>
      <c r="H1182" s="998"/>
      <c r="I1182" s="1565"/>
      <c r="J1182" s="517"/>
      <c r="K1182" s="537"/>
      <c r="L1182" s="1311"/>
      <c r="M1182" s="1311"/>
      <c r="N1182" s="1311"/>
      <c r="O1182" s="933" t="n">
        <f aca="false">O1178+O1180</f>
        <v>154.786258854618</v>
      </c>
      <c r="P1182" s="537"/>
      <c r="Q1182" s="1150" t="n">
        <f aca="false">O1182*$Q$1129</f>
        <v>0</v>
      </c>
      <c r="S1182" s="1230"/>
      <c r="T1182" s="1230"/>
      <c r="U1182" s="1230"/>
      <c r="V1182" s="1230"/>
      <c r="W1182" s="1230"/>
      <c r="X1182" s="1230"/>
      <c r="Y1182" s="1230"/>
    </row>
    <row r="1183" customFormat="false" ht="15.75" hidden="true" customHeight="true" outlineLevel="1" collapsed="false">
      <c r="A1183" s="537" t="s">
        <v>3480</v>
      </c>
      <c r="B1183" s="1178" t="s">
        <v>133</v>
      </c>
      <c r="C1183" s="1178" t="n">
        <f aca="false">C1181*1.15</f>
        <v>206.203073508672</v>
      </c>
      <c r="D1183" s="537" t="n">
        <f aca="false">D1181*1.25</f>
        <v>103.839420471057</v>
      </c>
      <c r="E1183" s="492" t="n">
        <f aca="false">E1181*1.2</f>
        <v>215.168424530788</v>
      </c>
      <c r="F1183" s="1017" t="n">
        <f aca="false">F1181*1.5</f>
        <v>287.211744405788</v>
      </c>
      <c r="G1183" s="1564" t="n">
        <f aca="false">G1181*1.4</f>
        <v>170.403118305798</v>
      </c>
      <c r="H1183" s="1489"/>
      <c r="I1183" s="1565" t="n">
        <f aca="false">I1181*1.4</f>
        <v>268.064294778735</v>
      </c>
      <c r="J1183" s="517" t="n">
        <f aca="false">J1181*1.4</f>
        <v>332.969355911177</v>
      </c>
      <c r="K1183" s="933"/>
      <c r="L1183" s="998"/>
      <c r="M1183" s="998"/>
      <c r="N1183" s="998"/>
      <c r="O1183" s="957" t="n">
        <f aca="false">O1181*1.15</f>
        <v>178.004197682811</v>
      </c>
      <c r="P1183" s="537" t="n">
        <f aca="false">O1183*$P$1129</f>
        <v>178.004197682811</v>
      </c>
      <c r="Q1183" s="349"/>
      <c r="R1183" s="1230"/>
      <c r="S1183" s="1230"/>
      <c r="T1183" s="1230"/>
      <c r="U1183" s="1230"/>
      <c r="V1183" s="1230"/>
      <c r="W1183" s="1230"/>
      <c r="X1183" s="1230"/>
      <c r="Y1183" s="1230"/>
    </row>
    <row r="1184" customFormat="false" ht="15.75" hidden="true" customHeight="true" outlineLevel="1" collapsed="false">
      <c r="A1184" s="537" t="s">
        <v>3481</v>
      </c>
      <c r="B1184" s="1178"/>
      <c r="C1184" s="1178"/>
      <c r="D1184" s="537"/>
      <c r="E1184" s="492"/>
      <c r="F1184" s="1017"/>
      <c r="G1184" s="1564"/>
      <c r="H1184" s="1489"/>
      <c r="I1184" s="1565"/>
      <c r="J1184" s="517"/>
      <c r="K1184" s="933"/>
      <c r="L1184" s="998"/>
      <c r="M1184" s="998"/>
      <c r="N1184" s="998"/>
      <c r="O1184" s="933" t="n">
        <f aca="false">O1182*1.15</f>
        <v>178.004197682811</v>
      </c>
      <c r="P1184" s="1017"/>
      <c r="Q1184" s="1150" t="n">
        <f aca="false">O1184*$Q$1129</f>
        <v>0</v>
      </c>
      <c r="R1184" s="1230"/>
      <c r="S1184" s="1230"/>
      <c r="T1184" s="1230"/>
      <c r="U1184" s="1230"/>
      <c r="V1184" s="1230"/>
      <c r="W1184" s="1230"/>
      <c r="X1184" s="1230"/>
      <c r="Y1184" s="1230"/>
    </row>
    <row r="1185" customFormat="false" ht="15.75" hidden="true" customHeight="true" outlineLevel="1" collapsed="false">
      <c r="A1185" s="537" t="s">
        <v>3482</v>
      </c>
      <c r="B1185" s="1178"/>
      <c r="C1185" s="1527" t="n">
        <f aca="false">C1135*(C1133)/2*2</f>
        <v>50</v>
      </c>
      <c r="D1185" s="1017" t="n">
        <f aca="false">C16/2*D1135*2*B1</f>
        <v>0</v>
      </c>
      <c r="E1185" s="492" t="n">
        <f aca="false">C1185*G1113+D1185*G1112</f>
        <v>50</v>
      </c>
      <c r="F1185" s="933"/>
      <c r="G1185" s="933"/>
      <c r="H1185" s="998"/>
      <c r="I1185" s="1217"/>
      <c r="J1185" s="933" t="n">
        <f aca="false">(J1158*J1136+J1138*J1136)*2</f>
        <v>0</v>
      </c>
      <c r="K1185" s="537" t="n">
        <f aca="false">(K1120-дома!K1117)*K1171*2*2+(K1120-K1117)*((K1133-K1171*2))</f>
        <v>35.1235472523585</v>
      </c>
      <c r="L1185" s="1557" t="n">
        <f aca="false">K1185*Q1112+J1185*Q1113</f>
        <v>0</v>
      </c>
      <c r="M1185" s="1557"/>
      <c r="N1185" s="1557"/>
      <c r="O1185" s="933" t="n">
        <f aca="false">O1142+O1135+O1135*O1162</f>
        <v>66.180339887499</v>
      </c>
      <c r="P1185" s="537" t="n">
        <f aca="false">O1185*$P$1129</f>
        <v>66.180339887499</v>
      </c>
      <c r="Q1185" s="349"/>
      <c r="R1185" s="1230"/>
      <c r="S1185" s="1230"/>
      <c r="T1185" s="1230"/>
      <c r="U1185" s="1230"/>
      <c r="V1185" s="1230"/>
      <c r="W1185" s="1230"/>
      <c r="X1185" s="1230"/>
      <c r="Y1185" s="1230"/>
    </row>
    <row r="1186" customFormat="false" ht="15.75" hidden="true" customHeight="true" outlineLevel="1" collapsed="false">
      <c r="A1186" s="537" t="s">
        <v>3483</v>
      </c>
      <c r="B1186" s="1178"/>
      <c r="C1186" s="1527"/>
      <c r="D1186" s="1017"/>
      <c r="E1186" s="492"/>
      <c r="F1186" s="933"/>
      <c r="G1186" s="933"/>
      <c r="H1186" s="998"/>
      <c r="I1186" s="1217"/>
      <c r="J1186" s="933"/>
      <c r="K1186" s="537"/>
      <c r="L1186" s="1557"/>
      <c r="M1186" s="1311"/>
      <c r="N1186" s="1311"/>
      <c r="O1186" s="1150" t="n">
        <f aca="false">O1140*O1135+O1163*O1135</f>
        <v>105.901699437495</v>
      </c>
      <c r="P1186" s="537"/>
      <c r="Q1186" s="1150" t="n">
        <f aca="false">O1186*$Q$1129</f>
        <v>0</v>
      </c>
      <c r="R1186" s="1230"/>
      <c r="S1186" s="1230"/>
      <c r="T1186" s="1230"/>
      <c r="U1186" s="1230"/>
      <c r="V1186" s="1230"/>
      <c r="W1186" s="1230"/>
      <c r="X1186" s="1230"/>
      <c r="Y1186" s="1230"/>
    </row>
    <row r="1187" customFormat="false" ht="15.75" hidden="true" customHeight="true" outlineLevel="1" collapsed="false">
      <c r="A1187" s="537" t="s">
        <v>3484</v>
      </c>
      <c r="B1187" s="1178"/>
      <c r="C1187" s="1527" t="n">
        <f aca="false">C1137/SIN(C1124)</f>
        <v>7.69660667245985</v>
      </c>
      <c r="D1187" s="1017"/>
      <c r="E1187" s="1566" t="n">
        <f aca="false">E1190*D1115+I1115*I1190+L1190*L1115+Q1115*(Q1190)</f>
        <v>0</v>
      </c>
      <c r="F1187" s="933" t="s">
        <v>3485</v>
      </c>
      <c r="G1187" s="933"/>
      <c r="H1187" s="998"/>
      <c r="I1187" s="1217"/>
      <c r="J1187" s="933"/>
      <c r="K1187" s="537"/>
      <c r="L1187" s="1557"/>
      <c r="M1187" s="1557"/>
      <c r="N1187" s="1557"/>
      <c r="O1187" s="933"/>
      <c r="P1187" s="537"/>
      <c r="Q1187" s="349"/>
      <c r="R1187" s="1230"/>
      <c r="S1187" s="1230"/>
      <c r="T1187" s="1230"/>
      <c r="U1187" s="1230"/>
      <c r="V1187" s="1230"/>
      <c r="W1187" s="1230"/>
      <c r="X1187" s="1230"/>
      <c r="Y1187" s="1230"/>
    </row>
    <row r="1188" customFormat="false" ht="15.75" hidden="true" customHeight="true" outlineLevel="1" collapsed="false">
      <c r="A1188" s="537" t="s">
        <v>2697</v>
      </c>
      <c r="B1188" s="1178"/>
      <c r="C1188" s="1527" t="n">
        <f aca="false">SQRT(C1187*C1187-C1137*C1137)</f>
        <v>5.85130363855384</v>
      </c>
      <c r="D1188" s="1017"/>
      <c r="E1188" s="492"/>
      <c r="F1188" s="933"/>
      <c r="G1188" s="933"/>
      <c r="H1188" s="998"/>
      <c r="I1188" s="1217"/>
      <c r="J1188" s="933"/>
      <c r="K1188" s="537"/>
      <c r="L1188" s="1557"/>
      <c r="M1188" s="1557"/>
      <c r="N1188" s="1557"/>
      <c r="O1188" s="933"/>
      <c r="P1188" s="537"/>
      <c r="Q1188" s="349"/>
      <c r="R1188" s="1230"/>
      <c r="S1188" s="1230"/>
      <c r="T1188" s="1230"/>
      <c r="U1188" s="1230"/>
      <c r="V1188" s="1230"/>
      <c r="W1188" s="1230"/>
      <c r="X1188" s="1230"/>
      <c r="Y1188" s="1230"/>
    </row>
    <row r="1189" customFormat="false" ht="15.75" hidden="true" customHeight="true" outlineLevel="1" collapsed="false">
      <c r="A1189" s="1567" t="s">
        <v>3486</v>
      </c>
      <c r="B1189" s="1568"/>
      <c r="C1189" s="1569" t="n">
        <f aca="false">((C1137/SIN(C1124))*COS(C1124))*2*C1132</f>
        <v>117.026072771077</v>
      </c>
      <c r="D1189" s="1567"/>
      <c r="E1189" s="1570" t="n">
        <f aca="false">C1189</f>
        <v>117.026072771077</v>
      </c>
      <c r="F1189" s="1251" t="n">
        <f aca="false">F1133*F1132</f>
        <v>100</v>
      </c>
      <c r="G1189" s="1251"/>
      <c r="H1189" s="1252"/>
      <c r="I1189" s="1571"/>
      <c r="J1189" s="1572" t="n">
        <f aca="false">(J1158)*J1132</f>
        <v>90</v>
      </c>
      <c r="K1189" s="1573" t="n">
        <f aca="false">(K1171+K1171)*K1132</f>
        <v>46.3481135514938</v>
      </c>
      <c r="L1189" s="1574" t="n">
        <f aca="false">K1189*Q1112+J1189*Q1113</f>
        <v>90</v>
      </c>
      <c r="M1189" s="1574"/>
      <c r="N1189" s="1574"/>
      <c r="O1189" s="1575" t="n">
        <f aca="false">O1191*O1133*P1129</f>
        <v>91.5243860856226</v>
      </c>
      <c r="P1189" s="1534" t="n">
        <f aca="false">P1191*O1132*Q1129</f>
        <v>0</v>
      </c>
      <c r="Q1189" s="349"/>
      <c r="R1189" s="1230"/>
      <c r="S1189" s="1230"/>
      <c r="T1189" s="1230"/>
      <c r="U1189" s="1230"/>
      <c r="V1189" s="1230"/>
      <c r="W1189" s="1230"/>
      <c r="X1189" s="1230"/>
      <c r="Y1189" s="1230"/>
    </row>
    <row r="1190" s="1581" customFormat="true" ht="15.75" hidden="true" customHeight="true" outlineLevel="1" collapsed="false">
      <c r="A1190" s="1576" t="s">
        <v>3487</v>
      </c>
      <c r="B1190" s="1223"/>
      <c r="C1190" s="1577" t="n">
        <f aca="false">C1141*C1132*2</f>
        <v>0</v>
      </c>
      <c r="D1190" s="1576"/>
      <c r="E1190" s="1309" t="n">
        <f aca="false">E1189+C1190</f>
        <v>117.026072771077</v>
      </c>
      <c r="F1190" s="1220"/>
      <c r="G1190" s="1220"/>
      <c r="H1190" s="1309"/>
      <c r="I1190" s="1325" t="n">
        <f aca="false">G1132*G1133</f>
        <v>100</v>
      </c>
      <c r="J1190" s="1220" t="n">
        <f aca="false">J1167*J1132*2</f>
        <v>100.498756211209</v>
      </c>
      <c r="K1190" s="1576"/>
      <c r="L1190" s="1578" t="n">
        <f aca="false">J1189+J1190</f>
        <v>190.498756211209</v>
      </c>
      <c r="M1190" s="1578"/>
      <c r="N1190" s="1578"/>
      <c r="O1190" s="1579" t="n">
        <f aca="false">O1193*O1133*P1129</f>
        <v>8.4756139143774</v>
      </c>
      <c r="P1190" s="1579" t="n">
        <f aca="false">P1193*O1133*Q1129</f>
        <v>0</v>
      </c>
      <c r="Q1190" s="1580" t="n">
        <f aca="false">(O1189+P1189+O1190+P1190)*Q1115</f>
        <v>0</v>
      </c>
      <c r="R1190" s="1298"/>
      <c r="S1190" s="1298"/>
      <c r="T1190" s="1298"/>
      <c r="U1190" s="1298"/>
      <c r="V1190" s="1298"/>
      <c r="W1190" s="1298"/>
      <c r="X1190" s="1298"/>
      <c r="Y1190" s="1298"/>
    </row>
    <row r="1191" customFormat="false" ht="15.75" hidden="true" customHeight="true" outlineLevel="1" collapsed="false">
      <c r="A1191" s="1582" t="s">
        <v>3488</v>
      </c>
      <c r="B1191" s="1583" t="s">
        <v>156</v>
      </c>
      <c r="C1191" s="1584" t="n">
        <f aca="false">C1137/SIN(C1124)*COS(C1124)*2</f>
        <v>11.7026072771077</v>
      </c>
      <c r="D1191" s="1585"/>
      <c r="E1191" s="1586"/>
      <c r="F1191" s="1331"/>
      <c r="G1191" s="1331"/>
      <c r="H1191" s="1445"/>
      <c r="I1191" s="1587"/>
      <c r="J1191" s="1331" t="n">
        <f aca="false">J1189/J1132</f>
        <v>9</v>
      </c>
      <c r="K1191" s="1582"/>
      <c r="L1191" s="1588"/>
      <c r="M1191" s="1588"/>
      <c r="N1191" s="1588"/>
      <c r="O1191" s="1589" t="n">
        <f aca="false">O1137/SIN(O1124)*COS(O1124)</f>
        <v>9.15243860856226</v>
      </c>
      <c r="P1191" s="1534" t="n">
        <f aca="false">O1137/SIN(P1124)*COS(P1124)</f>
        <v>9.15243860856226</v>
      </c>
      <c r="Q1191" s="349"/>
      <c r="R1191" s="1230"/>
      <c r="S1191" s="1230"/>
      <c r="T1191" s="1230"/>
      <c r="U1191" s="1230"/>
      <c r="V1191" s="1230"/>
      <c r="W1191" s="1230"/>
      <c r="X1191" s="1230"/>
      <c r="Y1191" s="1230"/>
    </row>
    <row r="1192" customFormat="false" ht="15.75" hidden="true" customHeight="true" outlineLevel="1" collapsed="false">
      <c r="A1192" s="1582" t="s">
        <v>3489</v>
      </c>
      <c r="B1192" s="1583"/>
      <c r="C1192" s="1584" t="n">
        <f aca="false">C1133/2-C1191/2</f>
        <v>-0.851303638553844</v>
      </c>
      <c r="D1192" s="1585"/>
      <c r="E1192" s="1586"/>
      <c r="F1192" s="1331"/>
      <c r="G1192" s="1331"/>
      <c r="H1192" s="1445"/>
      <c r="I1192" s="1587"/>
      <c r="J1192" s="1584" t="n">
        <f aca="false">J1133/2-J1191/2</f>
        <v>0.5</v>
      </c>
      <c r="K1192" s="1582"/>
      <c r="L1192" s="1588"/>
      <c r="M1192" s="1588"/>
      <c r="N1192" s="1588"/>
      <c r="O1192" s="1589" t="n">
        <f aca="false">O1132-O1191</f>
        <v>0.84756139143774</v>
      </c>
      <c r="P1192" s="1589" t="n">
        <f aca="false">P1132-P1191</f>
        <v>0.84756139143774</v>
      </c>
      <c r="Q1192" s="349"/>
      <c r="R1192" s="1230"/>
      <c r="S1192" s="1230"/>
      <c r="T1192" s="1230"/>
      <c r="U1192" s="1230"/>
      <c r="V1192" s="1230"/>
      <c r="W1192" s="1230"/>
      <c r="X1192" s="1230"/>
      <c r="Y1192" s="1230"/>
    </row>
    <row r="1193" customFormat="false" ht="15.75" hidden="true" customHeight="true" outlineLevel="1" collapsed="false">
      <c r="A1193" s="1582" t="s">
        <v>3490</v>
      </c>
      <c r="B1193" s="1583"/>
      <c r="C1193" s="1584" t="n">
        <f aca="false">SQRT((C1137-C1139)*(C1137-C1139)+C1192*C1192)</f>
        <v>2.17364161834812</v>
      </c>
      <c r="D1193" s="1585"/>
      <c r="E1193" s="1586"/>
      <c r="F1193" s="1331"/>
      <c r="G1193" s="1331"/>
      <c r="H1193" s="1445"/>
      <c r="I1193" s="1587"/>
      <c r="J1193" s="1584"/>
      <c r="K1193" s="1582"/>
      <c r="L1193" s="1588"/>
      <c r="M1193" s="1588"/>
      <c r="N1193" s="1588"/>
      <c r="O1193" s="1589" t="n">
        <f aca="false">SQRT(O1192*O1192+O1136*O1136)</f>
        <v>0.84756139143774</v>
      </c>
      <c r="P1193" s="1589" t="n">
        <f aca="false">SQRT(P1192*P1192+P1136*P1136)</f>
        <v>0.84756139143774</v>
      </c>
      <c r="Q1193" s="349"/>
      <c r="R1193" s="1230"/>
      <c r="S1193" s="1230"/>
      <c r="T1193" s="1230"/>
      <c r="U1193" s="1230"/>
      <c r="V1193" s="1230"/>
      <c r="W1193" s="1230"/>
      <c r="X1193" s="1230"/>
      <c r="Y1193" s="1230"/>
    </row>
    <row r="1194" customFormat="false" ht="15.75" hidden="true" customHeight="true" outlineLevel="1" collapsed="false">
      <c r="A1194" s="1582"/>
      <c r="B1194" s="1583"/>
      <c r="C1194" s="1584" t="n">
        <f aca="false">C1191/2</f>
        <v>5.85130363855384</v>
      </c>
      <c r="D1194" s="1585"/>
      <c r="E1194" s="1586"/>
      <c r="F1194" s="1331"/>
      <c r="G1194" s="1331"/>
      <c r="H1194" s="1445"/>
      <c r="I1194" s="1590" t="n">
        <f aca="false">C1194*B1115+L1115*J1194+O1194*P1129*Q1115+Q1115*Q1129*P1194</f>
        <v>0</v>
      </c>
      <c r="J1194" s="1584" t="n">
        <f aca="false">J1191/2</f>
        <v>4.5</v>
      </c>
      <c r="K1194" s="1582"/>
      <c r="L1194" s="1588"/>
      <c r="M1194" s="1588"/>
      <c r="N1194" s="1588"/>
      <c r="O1194" s="1584" t="n">
        <f aca="false">O1191</f>
        <v>9.15243860856226</v>
      </c>
      <c r="P1194" s="1584" t="n">
        <f aca="false">P1191</f>
        <v>9.15243860856226</v>
      </c>
      <c r="Q1194" s="349"/>
      <c r="R1194" s="1230"/>
      <c r="S1194" s="1230"/>
      <c r="T1194" s="1230"/>
      <c r="U1194" s="1230"/>
      <c r="V1194" s="1230"/>
      <c r="W1194" s="1230"/>
      <c r="X1194" s="1230"/>
      <c r="Y1194" s="1230"/>
    </row>
    <row r="1195" customFormat="false" ht="15.75" hidden="true" customHeight="true" outlineLevel="1" collapsed="false">
      <c r="A1195" s="537" t="s">
        <v>3491</v>
      </c>
      <c r="B1195" s="887"/>
      <c r="C1195" s="1178" t="n">
        <f aca="false">(C1132+C1132+C1152+C1152+C1155+C1155)</f>
        <v>23.2</v>
      </c>
      <c r="D1195" s="537"/>
      <c r="E1195" s="492" t="n">
        <f aca="false">C1195</f>
        <v>23.2</v>
      </c>
      <c r="F1195" s="933" t="n">
        <f aca="false">F1197/2</f>
        <v>42</v>
      </c>
      <c r="G1195" s="933" t="n">
        <f aca="false">F1195</f>
        <v>42</v>
      </c>
      <c r="H1195" s="998"/>
      <c r="I1195" s="382" t="n">
        <f aca="false">F1195</f>
        <v>42</v>
      </c>
      <c r="J1195" s="1290" t="n">
        <f aca="false">J1197/2</f>
        <v>22</v>
      </c>
      <c r="K1195" s="1290" t="n">
        <f aca="false">(K1132+K1152+K1152)*2+K1171*2*2</f>
        <v>31.2696227102987</v>
      </c>
      <c r="L1195" s="1557" t="n">
        <f aca="false">K1195*Q1112+J1195*Q1113</f>
        <v>22</v>
      </c>
      <c r="M1195" s="1557"/>
      <c r="N1195" s="1557"/>
      <c r="O1195" s="957" t="n">
        <f aca="false">O1164</f>
        <v>11.8</v>
      </c>
      <c r="P1195" s="537" t="n">
        <f aca="false">O1195*$P$1129</f>
        <v>11.8</v>
      </c>
      <c r="Q1195" s="349"/>
      <c r="R1195" s="1230"/>
      <c r="S1195" s="1230"/>
      <c r="T1195" s="1230"/>
      <c r="U1195" s="1230"/>
      <c r="V1195" s="1230"/>
      <c r="W1195" s="1230"/>
      <c r="X1195" s="1230"/>
      <c r="Y1195" s="1230"/>
    </row>
    <row r="1196" customFormat="false" ht="15.75" hidden="true" customHeight="true" outlineLevel="1" collapsed="false">
      <c r="A1196" s="537" t="s">
        <v>3492</v>
      </c>
      <c r="B1196" s="887"/>
      <c r="C1196" s="1178"/>
      <c r="D1196" s="537"/>
      <c r="E1196" s="492"/>
      <c r="F1196" s="933"/>
      <c r="G1196" s="933"/>
      <c r="H1196" s="998"/>
      <c r="I1196" s="382"/>
      <c r="J1196" s="1290"/>
      <c r="K1196" s="1290"/>
      <c r="L1196" s="1557"/>
      <c r="M1196" s="1557"/>
      <c r="N1196" s="1557"/>
      <c r="O1196" s="933" t="n">
        <f aca="false">O1165</f>
        <v>11.8</v>
      </c>
      <c r="P1196" s="537"/>
      <c r="Q1196" s="1150" t="n">
        <f aca="false">O1196*$Q$1129</f>
        <v>0</v>
      </c>
      <c r="R1196" s="1230"/>
      <c r="S1196" s="1230"/>
      <c r="T1196" s="1230"/>
      <c r="U1196" s="1230"/>
      <c r="V1196" s="1230"/>
      <c r="W1196" s="1230"/>
      <c r="X1196" s="1230"/>
      <c r="Y1196" s="1230"/>
    </row>
    <row r="1197" customFormat="false" ht="15.75" hidden="true" customHeight="true" outlineLevel="1" collapsed="false">
      <c r="A1197" s="537" t="s">
        <v>3493</v>
      </c>
      <c r="B1197" s="887"/>
      <c r="C1197" s="1178" t="n">
        <f aca="false">C1195*2</f>
        <v>46.4</v>
      </c>
      <c r="D1197" s="537"/>
      <c r="E1197" s="492" t="n">
        <f aca="false">C1197</f>
        <v>46.4</v>
      </c>
      <c r="F1197" s="1017" t="n">
        <f aca="false">(F1132+F1152+F1152)*4+F1133*4</f>
        <v>84</v>
      </c>
      <c r="G1197" s="1017" t="n">
        <f aca="false">F1197</f>
        <v>84</v>
      </c>
      <c r="H1197" s="501"/>
      <c r="I1197" s="1565" t="n">
        <f aca="false">F1197*J1113+G1197*J1112</f>
        <v>84</v>
      </c>
      <c r="J1197" s="1290" t="n">
        <f aca="false">(J1132+J1152+J1152)*4</f>
        <v>44</v>
      </c>
      <c r="K1197" s="1290" t="n">
        <f aca="false">K1195</f>
        <v>31.2696227102987</v>
      </c>
      <c r="L1197" s="1557" t="n">
        <f aca="false">K1197*Q1112+J1197*Q1113</f>
        <v>44</v>
      </c>
      <c r="M1197" s="1557"/>
      <c r="N1197" s="1557"/>
      <c r="O1197" s="957" t="n">
        <f aca="false">O1195*1.1</f>
        <v>12.98</v>
      </c>
      <c r="P1197" s="537" t="n">
        <f aca="false">O1197*$P$1129</f>
        <v>12.98</v>
      </c>
      <c r="Q1197" s="349"/>
      <c r="R1197" s="1230"/>
      <c r="S1197" s="1230"/>
      <c r="T1197" s="1230"/>
      <c r="U1197" s="1230"/>
      <c r="V1197" s="1230"/>
      <c r="W1197" s="1230"/>
      <c r="X1197" s="1230"/>
      <c r="Y1197" s="1230"/>
    </row>
    <row r="1198" customFormat="false" ht="15.75" hidden="true" customHeight="true" outlineLevel="1" collapsed="false">
      <c r="A1198" s="537" t="s">
        <v>3494</v>
      </c>
      <c r="B1198" s="887"/>
      <c r="C1198" s="1178"/>
      <c r="D1198" s="537"/>
      <c r="E1198" s="492"/>
      <c r="F1198" s="1017"/>
      <c r="G1198" s="1017"/>
      <c r="H1198" s="501"/>
      <c r="I1198" s="1565"/>
      <c r="J1198" s="1290"/>
      <c r="K1198" s="1290"/>
      <c r="L1198" s="1557"/>
      <c r="M1198" s="1557"/>
      <c r="N1198" s="1557"/>
      <c r="O1198" s="933" t="n">
        <f aca="false">O1196*1.1</f>
        <v>12.98</v>
      </c>
      <c r="P1198" s="537"/>
      <c r="Q1198" s="1150" t="n">
        <f aca="false">O1198*$Q$1129</f>
        <v>0</v>
      </c>
      <c r="R1198" s="1230"/>
      <c r="S1198" s="1230"/>
      <c r="T1198" s="1230"/>
      <c r="U1198" s="1230"/>
      <c r="V1198" s="1230"/>
      <c r="W1198" s="1230"/>
      <c r="X1198" s="1230"/>
      <c r="Y1198" s="1230"/>
    </row>
    <row r="1199" customFormat="false" ht="15.75" hidden="true" customHeight="true" outlineLevel="1" collapsed="false">
      <c r="A1199" s="537" t="s">
        <v>3495</v>
      </c>
      <c r="B1199" s="887"/>
      <c r="C1199" s="1178" t="n">
        <f aca="false">C1167*2+C1169*2</f>
        <v>30.9150035245386</v>
      </c>
      <c r="D1199" s="537"/>
      <c r="E1199" s="492" t="n">
        <f aca="false">C1199</f>
        <v>30.9150035245386</v>
      </c>
      <c r="F1199" s="1017"/>
      <c r="G1199" s="1017"/>
      <c r="H1199" s="501"/>
      <c r="I1199" s="1565"/>
      <c r="J1199" s="537" t="n">
        <f aca="false">J1158*2*1.1+J1168*4*1.1</f>
        <v>44.109726366466</v>
      </c>
      <c r="K1199" s="537" t="n">
        <f aca="false">K1169*4</f>
        <v>10.2184121176186</v>
      </c>
      <c r="L1199" s="1557" t="n">
        <f aca="false">K1199*Q1112+J1199*Q1113</f>
        <v>44.109726366466</v>
      </c>
      <c r="M1199" s="1557"/>
      <c r="N1199" s="1557"/>
      <c r="O1199" s="957" t="n">
        <f aca="false">дома!O1164+(дома!O1142+дома!O1153+дома!O1156)*2</f>
        <v>38.0349591279014</v>
      </c>
      <c r="P1199" s="537" t="n">
        <f aca="false">O1199*$P$1129</f>
        <v>38.0349591279014</v>
      </c>
      <c r="Q1199" s="349"/>
      <c r="R1199" s="1230"/>
      <c r="S1199" s="1230"/>
      <c r="T1199" s="1230"/>
      <c r="U1199" s="1230"/>
      <c r="V1199" s="1230"/>
      <c r="W1199" s="1230"/>
      <c r="X1199" s="1230"/>
      <c r="Y1199" s="1230"/>
    </row>
    <row r="1200" customFormat="false" ht="15.75" hidden="true" customHeight="true" outlineLevel="1" collapsed="false">
      <c r="A1200" s="537" t="s">
        <v>3496</v>
      </c>
      <c r="B1200" s="887"/>
      <c r="C1200" s="1178"/>
      <c r="D1200" s="537"/>
      <c r="E1200" s="492"/>
      <c r="F1200" s="1017"/>
      <c r="G1200" s="1017"/>
      <c r="H1200" s="501"/>
      <c r="I1200" s="1565"/>
      <c r="J1200" s="537"/>
      <c r="K1200" s="537"/>
      <c r="L1200" s="1311"/>
      <c r="M1200" s="1311"/>
      <c r="N1200" s="1311"/>
      <c r="O1200" s="933" t="n">
        <f aca="false">O1165+(O1140+O1153+O1156)*2</f>
        <v>38.0349591279014</v>
      </c>
      <c r="P1200" s="537"/>
      <c r="Q1200" s="1150" t="n">
        <f aca="false">O1200*$Q$1129</f>
        <v>0</v>
      </c>
      <c r="R1200" s="1230"/>
      <c r="S1200" s="1230"/>
      <c r="T1200" s="1230"/>
      <c r="U1200" s="1230"/>
      <c r="V1200" s="1230"/>
      <c r="W1200" s="1230"/>
      <c r="X1200" s="1230"/>
      <c r="Y1200" s="1230"/>
    </row>
    <row r="1201" customFormat="false" ht="15.75" hidden="false" customHeight="true" outlineLevel="0" collapsed="false">
      <c r="A1201" s="1591" t="s">
        <v>3497</v>
      </c>
      <c r="B1201" s="1592"/>
      <c r="C1201" s="1593"/>
      <c r="D1201" s="1594"/>
      <c r="E1201" s="1595"/>
      <c r="F1201" s="1596"/>
      <c r="G1201" s="1596"/>
      <c r="H1201" s="1596"/>
      <c r="I1201" s="1596"/>
      <c r="J1201" s="1597"/>
      <c r="K1201" s="1598"/>
      <c r="L1201" s="1598"/>
      <c r="M1201" s="1598"/>
      <c r="N1201" s="1598"/>
      <c r="O1201" s="1599"/>
      <c r="P1201" s="1599"/>
      <c r="Q1201" s="1599"/>
      <c r="R1201" s="1599"/>
      <c r="S1201" s="1599"/>
      <c r="T1201" s="1599"/>
      <c r="U1201" s="1599"/>
      <c r="V1201" s="1599"/>
      <c r="W1201" s="1230"/>
      <c r="X1201" s="1230"/>
      <c r="Y1201" s="1230"/>
    </row>
    <row r="1202" customFormat="false" ht="15.75" hidden="true" customHeight="true" outlineLevel="1" collapsed="false">
      <c r="A1202" s="1600" t="s">
        <v>1965</v>
      </c>
      <c r="B1202" s="1535"/>
      <c r="C1202" s="1535"/>
      <c r="D1202" s="1601"/>
      <c r="E1202" s="1602"/>
      <c r="F1202" s="1603"/>
      <c r="G1202" s="537" t="n">
        <f aca="false">VLOOKUP('Ввод данных'!F353,связи1!A2:B3,2,0)</f>
        <v>0</v>
      </c>
      <c r="H1202" s="537"/>
      <c r="I1202" s="1534" t="n">
        <f aca="false">Q1112</f>
        <v>0</v>
      </c>
      <c r="J1202" s="1230" t="s">
        <v>3425</v>
      </c>
      <c r="K1202" s="446" t="n">
        <f aca="false">пристройка!H1</f>
        <v>0</v>
      </c>
      <c r="L1202" s="446"/>
      <c r="M1202" s="446"/>
      <c r="N1202" s="446"/>
      <c r="O1202" s="1230"/>
      <c r="P1202" s="1230"/>
      <c r="Q1202" s="1599"/>
      <c r="R1202" s="1599"/>
      <c r="S1202" s="1599"/>
      <c r="T1202" s="1599"/>
      <c r="U1202" s="1599"/>
      <c r="V1202" s="1599"/>
      <c r="W1202" s="1230"/>
      <c r="X1202" s="1230"/>
      <c r="Y1202" s="1230"/>
    </row>
    <row r="1203" customFormat="false" ht="15.75" hidden="true" customHeight="true" outlineLevel="1" collapsed="false">
      <c r="A1203" s="1600" t="s">
        <v>1236</v>
      </c>
      <c r="B1203" s="1536" t="s">
        <v>120</v>
      </c>
      <c r="C1203" s="1536" t="s">
        <v>1802</v>
      </c>
      <c r="D1203" s="1536"/>
      <c r="G1203" s="349"/>
      <c r="H1203" s="349"/>
      <c r="I1203" s="1534" t="n">
        <f aca="false">Q1113</f>
        <v>1</v>
      </c>
      <c r="J1203" s="1230" t="s">
        <v>2546</v>
      </c>
      <c r="K1203" s="446" t="n">
        <f aca="false">пристройка!H2</f>
        <v>1</v>
      </c>
      <c r="L1203" s="446"/>
      <c r="M1203" s="446"/>
      <c r="N1203" s="446"/>
      <c r="O1203" s="1230"/>
      <c r="P1203" s="1230"/>
      <c r="Q1203" s="1599"/>
      <c r="R1203" s="1599"/>
      <c r="S1203" s="1599"/>
      <c r="T1203" s="1599"/>
      <c r="U1203" s="1599"/>
      <c r="V1203" s="1599"/>
      <c r="W1203" s="1230"/>
      <c r="X1203" s="1230"/>
      <c r="Y1203" s="1230"/>
    </row>
    <row r="1204" customFormat="false" ht="15.75" hidden="true" customHeight="true" outlineLevel="1" collapsed="false">
      <c r="A1204" s="1604" t="s">
        <v>3498</v>
      </c>
      <c r="B1204" s="1605"/>
      <c r="C1204" s="1341" t="n">
        <f aca="false">VLOOKUP('Ввод данных'!C325,связи1!A2:B3,2,0)</f>
        <v>1</v>
      </c>
      <c r="D1204" s="1342" t="n">
        <f aca="false">VLOOKUP('Ввод данных'!D325,связи1!A2:B3,2,0)</f>
        <v>0</v>
      </c>
      <c r="E1204" s="933" t="n">
        <f aca="false">C1204</f>
        <v>1</v>
      </c>
      <c r="F1204" s="933" t="n">
        <f aca="false">D1204</f>
        <v>0</v>
      </c>
      <c r="G1204" s="1606"/>
      <c r="H1204" s="1606"/>
      <c r="I1204" s="1522"/>
      <c r="J1204" s="387"/>
      <c r="P1204" s="1311"/>
      <c r="Q1204" s="1599"/>
      <c r="R1204" s="1599"/>
      <c r="S1204" s="1599"/>
      <c r="T1204" s="1599"/>
      <c r="U1204" s="1599"/>
      <c r="V1204" s="1599"/>
      <c r="W1204" s="1230"/>
      <c r="X1204" s="1230"/>
      <c r="Y1204" s="1230"/>
    </row>
    <row r="1205" customFormat="false" ht="15.75" hidden="true" customHeight="true" outlineLevel="1" collapsed="false">
      <c r="A1205" s="1604"/>
      <c r="B1205" s="1605"/>
      <c r="C1205" s="1558" t="s">
        <v>2640</v>
      </c>
      <c r="D1205" s="541" t="s">
        <v>2641</v>
      </c>
      <c r="E1205" s="1017" t="s">
        <v>2640</v>
      </c>
      <c r="F1205" s="541" t="s">
        <v>2641</v>
      </c>
      <c r="G1205" s="1606"/>
      <c r="H1205" s="1606"/>
      <c r="I1205" s="1522"/>
      <c r="J1205" s="387"/>
      <c r="K1205" s="349"/>
      <c r="L1205" s="349"/>
      <c r="M1205" s="349"/>
      <c r="N1205" s="349"/>
      <c r="O1205" s="1311"/>
      <c r="P1205" s="1311"/>
      <c r="Q1205" s="1599"/>
      <c r="R1205" s="1599"/>
      <c r="S1205" s="1599"/>
      <c r="T1205" s="1599"/>
      <c r="U1205" s="1599"/>
      <c r="V1205" s="1599"/>
      <c r="W1205" s="1230"/>
      <c r="X1205" s="1230"/>
      <c r="Y1205" s="1230"/>
    </row>
    <row r="1206" customFormat="false" ht="15.75" hidden="true" customHeight="true" outlineLevel="1" collapsed="false">
      <c r="A1206" s="1604" t="s">
        <v>3499</v>
      </c>
      <c r="B1206" s="1605"/>
      <c r="C1206" s="1178" t="n">
        <f aca="false">'Ввод данных'!C326</f>
        <v>2</v>
      </c>
      <c r="D1206" s="1017" t="n">
        <f aca="false">'Ввод данных'!D326</f>
        <v>1</v>
      </c>
      <c r="E1206" s="933" t="n">
        <f aca="false">C1206</f>
        <v>2</v>
      </c>
      <c r="F1206" s="933" t="n">
        <f aca="false">D1206</f>
        <v>1</v>
      </c>
      <c r="J1206" s="387"/>
      <c r="K1206" s="349"/>
      <c r="L1206" s="349"/>
      <c r="M1206" s="349"/>
      <c r="N1206" s="349"/>
      <c r="O1206" s="1311"/>
      <c r="P1206" s="1311"/>
      <c r="Q1206" s="1599"/>
      <c r="R1206" s="1599"/>
      <c r="S1206" s="1599"/>
      <c r="T1206" s="1599"/>
      <c r="U1206" s="1599"/>
      <c r="V1206" s="1599"/>
      <c r="W1206" s="1230"/>
      <c r="X1206" s="1230"/>
      <c r="Y1206" s="1230"/>
    </row>
    <row r="1207" customFormat="false" ht="15.75" hidden="true" customHeight="true" outlineLevel="1" collapsed="false">
      <c r="A1207" s="537" t="s">
        <v>1978</v>
      </c>
      <c r="B1207" s="1607" t="s">
        <v>156</v>
      </c>
      <c r="C1207" s="887" t="n">
        <f aca="false">'Ввод данных'!C331</f>
        <v>1</v>
      </c>
      <c r="D1207" s="537" t="n">
        <v>0</v>
      </c>
      <c r="E1207" s="537" t="n">
        <f aca="false">'Ввод данных'!E340</f>
        <v>5.4</v>
      </c>
      <c r="F1207" s="537"/>
      <c r="I1207" s="489"/>
      <c r="J1207" s="1608" t="s">
        <v>2640</v>
      </c>
      <c r="K1207" s="541" t="s">
        <v>2641</v>
      </c>
      <c r="L1207" s="446"/>
      <c r="M1207" s="446"/>
      <c r="N1207" s="446"/>
      <c r="P1207" s="387"/>
      <c r="Q1207" s="1599"/>
      <c r="R1207" s="1599"/>
      <c r="S1207" s="1599"/>
      <c r="T1207" s="1599"/>
      <c r="U1207" s="1599"/>
      <c r="V1207" s="1599"/>
      <c r="W1207" s="1230"/>
      <c r="X1207" s="1230"/>
      <c r="Y1207" s="1230"/>
    </row>
    <row r="1208" customFormat="false" ht="15.75" hidden="true" customHeight="true" outlineLevel="1" collapsed="false">
      <c r="A1208" s="537" t="s">
        <v>1979</v>
      </c>
      <c r="B1208" s="1607" t="s">
        <v>156</v>
      </c>
      <c r="C1208" s="887" t="n">
        <f aca="false">'Ввод данных'!C332</f>
        <v>2</v>
      </c>
      <c r="D1208" s="537" t="n">
        <v>2.5</v>
      </c>
      <c r="E1208" s="537" t="n">
        <f aca="false">'Ввод данных'!E330</f>
        <v>6.4</v>
      </c>
      <c r="F1208" s="537"/>
      <c r="I1208" s="489"/>
      <c r="J1208" s="1608"/>
      <c r="K1208" s="541"/>
      <c r="L1208" s="446"/>
      <c r="M1208" s="446"/>
      <c r="N1208" s="446"/>
      <c r="P1208" s="387"/>
      <c r="Q1208" s="1609"/>
      <c r="R1208" s="1609"/>
      <c r="S1208" s="1609"/>
      <c r="T1208" s="1609"/>
      <c r="U1208" s="1609"/>
      <c r="V1208" s="1609"/>
      <c r="W1208" s="1311"/>
      <c r="X1208" s="1311"/>
      <c r="Y1208" s="1311"/>
    </row>
    <row r="1209" customFormat="false" ht="15.75" hidden="true" customHeight="true" outlineLevel="1" collapsed="false">
      <c r="A1209" s="537" t="s">
        <v>3500</v>
      </c>
      <c r="B1209" s="1607" t="s">
        <v>156</v>
      </c>
      <c r="C1209" s="887" t="n">
        <f aca="false">'Ввод данных'!C329</f>
        <v>2</v>
      </c>
      <c r="D1209" s="537" t="n">
        <v>2</v>
      </c>
      <c r="E1209" s="537" t="n">
        <f aca="false">'Ввод данных'!E326</f>
        <v>6.6</v>
      </c>
      <c r="F1209" s="537" t="n">
        <f aca="false">'Ввод данных'!R344</f>
        <v>6.6</v>
      </c>
      <c r="I1209" s="489"/>
      <c r="J1209" s="1608"/>
      <c r="K1209" s="541"/>
      <c r="L1209" s="446"/>
      <c r="M1209" s="446"/>
      <c r="N1209" s="446"/>
      <c r="O1209" s="387"/>
      <c r="P1209" s="387"/>
      <c r="Q1209" s="1609"/>
      <c r="R1209" s="1609"/>
      <c r="S1209" s="1609"/>
      <c r="T1209" s="1609"/>
      <c r="U1209" s="1609"/>
      <c r="V1209" s="1609"/>
      <c r="W1209" s="1311"/>
      <c r="X1209" s="1311"/>
      <c r="Y1209" s="1311"/>
    </row>
    <row r="1210" customFormat="false" ht="15.75" hidden="true" customHeight="true" outlineLevel="1" collapsed="false">
      <c r="A1210" s="1017" t="s">
        <v>1943</v>
      </c>
      <c r="B1210" s="1605" t="s">
        <v>156</v>
      </c>
      <c r="C1210" s="887" t="n">
        <f aca="false">'Ввод данных'!C333</f>
        <v>2</v>
      </c>
      <c r="D1210" s="537" t="n">
        <v>3</v>
      </c>
      <c r="E1210" s="1017" t="n">
        <f aca="false">'Ввод данных'!E322</f>
        <v>7.6</v>
      </c>
      <c r="F1210" s="1017" t="n">
        <f aca="false">'Ввод данных'!W335</f>
        <v>7.6</v>
      </c>
      <c r="I1210" s="1219" t="s">
        <v>1546</v>
      </c>
      <c r="J1210" s="537" t="n">
        <f aca="false">C1210*I1203*C1206*C1204+E1215*I1202*C1206*C1204</f>
        <v>4</v>
      </c>
      <c r="K1210" s="537" t="n">
        <f aca="false">D1210*I1203*D1206*D1204+F1215*I1202*D1206*D1204</f>
        <v>0</v>
      </c>
      <c r="L1210" s="349"/>
      <c r="M1210" s="349"/>
      <c r="N1210" s="349"/>
      <c r="O1210" s="387"/>
      <c r="P1210" s="387"/>
      <c r="Q1210" s="1609"/>
      <c r="R1210" s="1609"/>
      <c r="S1210" s="1609"/>
      <c r="T1210" s="1609"/>
      <c r="U1210" s="1609"/>
      <c r="V1210" s="1609"/>
      <c r="W1210" s="1311"/>
      <c r="X1210" s="1311"/>
      <c r="Y1210" s="1311"/>
    </row>
    <row r="1211" customFormat="false" ht="15.75" hidden="true" customHeight="true" outlineLevel="1" collapsed="false">
      <c r="A1211" s="1604" t="s">
        <v>1927</v>
      </c>
      <c r="B1211" s="1605" t="s">
        <v>156</v>
      </c>
      <c r="C1211" s="887" t="n">
        <f aca="false">'Ввод данных'!C327</f>
        <v>0.4</v>
      </c>
      <c r="D1211" s="537" t="n">
        <f aca="false">'Ввод данных'!D327</f>
        <v>0</v>
      </c>
      <c r="E1211" s="537" t="n">
        <f aca="false">'Ввод данных'!C330</f>
        <v>1</v>
      </c>
      <c r="F1211" s="1290" t="s">
        <v>3501</v>
      </c>
      <c r="I1211" s="1219" t="s">
        <v>1936</v>
      </c>
      <c r="J1211" s="537"/>
      <c r="K1211" s="537"/>
      <c r="L1211" s="349"/>
      <c r="M1211" s="349"/>
      <c r="N1211" s="349"/>
      <c r="O1211" s="387"/>
      <c r="P1211" s="387"/>
      <c r="Q1211" s="1609"/>
      <c r="R1211" s="1609"/>
      <c r="S1211" s="1609"/>
      <c r="T1211" s="1609"/>
      <c r="U1211" s="1609"/>
      <c r="V1211" s="1609"/>
      <c r="W1211" s="1311"/>
      <c r="X1211" s="1311"/>
      <c r="Y1211" s="1311"/>
    </row>
    <row r="1212" customFormat="false" ht="15.75" hidden="true" customHeight="true" outlineLevel="1" collapsed="false">
      <c r="A1212" s="1604" t="s">
        <v>1896</v>
      </c>
      <c r="B1212" s="1605" t="s">
        <v>156</v>
      </c>
      <c r="C1212" s="887" t="n">
        <f aca="false">'Ввод данных'!C328</f>
        <v>0.4</v>
      </c>
      <c r="D1212" s="537" t="n">
        <f aca="false">'Ввод данных'!D328</f>
        <v>0.4</v>
      </c>
      <c r="E1212" s="1290" t="n">
        <f aca="false">'Ввод данных'!BD327</f>
        <v>60</v>
      </c>
      <c r="F1212" s="1290" t="n">
        <f aca="false">'Ввод данных'!BD328</f>
        <v>60</v>
      </c>
      <c r="G1212" s="1150" t="s">
        <v>2048</v>
      </c>
      <c r="I1212" s="1219" t="s">
        <v>3434</v>
      </c>
      <c r="J1212" s="537"/>
      <c r="K1212" s="537"/>
      <c r="L1212" s="349"/>
      <c r="M1212" s="349"/>
      <c r="N1212" s="349"/>
      <c r="P1212" s="387"/>
      <c r="Q1212" s="1609"/>
      <c r="R1212" s="1609"/>
      <c r="S1212" s="1609"/>
      <c r="T1212" s="1609"/>
      <c r="U1212" s="1609"/>
      <c r="V1212" s="1609"/>
      <c r="W1212" s="1311"/>
      <c r="X1212" s="1311"/>
      <c r="Y1212" s="1311"/>
    </row>
    <row r="1213" customFormat="false" ht="15.75" hidden="true" customHeight="true" outlineLevel="1" collapsed="false">
      <c r="A1213" s="1604"/>
      <c r="B1213" s="1605"/>
      <c r="C1213" s="887"/>
      <c r="D1213" s="537"/>
      <c r="E1213" s="1290" t="n">
        <f aca="false">E1212*(3.14/180)</f>
        <v>1.04666666666667</v>
      </c>
      <c r="F1213" s="1290" t="n">
        <f aca="false">F1212*(3.14/180)</f>
        <v>1.04666666666667</v>
      </c>
      <c r="G1213" s="1150" t="s">
        <v>2997</v>
      </c>
      <c r="I1213" s="1219" t="s">
        <v>3502</v>
      </c>
      <c r="J1213" s="537" t="n">
        <f aca="false">C1215*C1204*C1206*I1203+E1214*C1204*C1206*I1202</f>
        <v>5.27213595499958</v>
      </c>
      <c r="K1213" s="537" t="n">
        <f aca="false">D1215*D1204*D1206*I1203+F1214*I1202*D1204*D1206</f>
        <v>0</v>
      </c>
      <c r="L1213" s="349"/>
      <c r="M1213" s="349"/>
      <c r="N1213" s="349"/>
      <c r="P1213" s="387"/>
      <c r="Q1213" s="1609"/>
      <c r="R1213" s="1609"/>
      <c r="S1213" s="1609"/>
      <c r="T1213" s="1609"/>
      <c r="U1213" s="1609"/>
      <c r="V1213" s="1609"/>
      <c r="W1213" s="1311"/>
      <c r="X1213" s="1311"/>
      <c r="Y1213" s="1311"/>
    </row>
    <row r="1214" customFormat="false" ht="15.75" hidden="true" customHeight="true" outlineLevel="1" collapsed="false">
      <c r="A1214" s="1604"/>
      <c r="B1214" s="1605"/>
      <c r="C1214" s="887"/>
      <c r="D1214" s="537"/>
      <c r="E1214" s="1290" t="n">
        <f aca="false">(E1210-E1209)/SIN(E1213)*C1206</f>
        <v>2.31010946542951</v>
      </c>
      <c r="F1214" s="1290" t="n">
        <f aca="false">(F1210-F1209)/SIN(F1213)*D1206</f>
        <v>1.15505473271476</v>
      </c>
      <c r="I1214" s="1219" t="s">
        <v>3503</v>
      </c>
      <c r="J1214" s="537" t="n">
        <f aca="false">C1216*C1204*C1206*I1203+E1216*C1206*C1204*I1202</f>
        <v>5.63874254847651</v>
      </c>
      <c r="K1214" s="537" t="n">
        <f aca="false">D1216*D1204*D1206*I1203+F1216*I1202*D1204*D1206</f>
        <v>0</v>
      </c>
      <c r="L1214" s="349"/>
      <c r="M1214" s="349"/>
      <c r="N1214" s="349"/>
      <c r="P1214" s="387"/>
      <c r="Q1214" s="1609"/>
      <c r="R1214" s="1609"/>
      <c r="S1214" s="1609"/>
      <c r="T1214" s="1609"/>
      <c r="U1214" s="1609"/>
      <c r="V1214" s="1609"/>
      <c r="W1214" s="1311"/>
      <c r="X1214" s="1311"/>
      <c r="Y1214" s="1311"/>
    </row>
    <row r="1215" customFormat="false" ht="15.75" hidden="true" customHeight="true" outlineLevel="1" collapsed="false">
      <c r="A1215" s="1017" t="s">
        <v>3504</v>
      </c>
      <c r="B1215" s="1605" t="s">
        <v>156</v>
      </c>
      <c r="C1215" s="1558" t="n">
        <f aca="false">SQRT((C1208/2)*(C1208/2)+C1209*C1209)+C1212</f>
        <v>2.63606797749979</v>
      </c>
      <c r="D1215" s="537" t="n">
        <f aca="false">SQRT(D1208/2*D1208/2+D1209*D1209)+D1211</f>
        <v>2.35849528301415</v>
      </c>
      <c r="E1215" s="1017" t="n">
        <f aca="false">'Ввод данных'!C333</f>
        <v>2</v>
      </c>
      <c r="F1215" s="1017" t="n">
        <f aca="false">D1210</f>
        <v>3</v>
      </c>
      <c r="I1215" s="1219" t="s">
        <v>2623</v>
      </c>
      <c r="J1215" s="537" t="n">
        <f aca="false">C1218*C1204*C1206*I1203+E1218*C1204*C1206*I1202</f>
        <v>20.0341166289984</v>
      </c>
      <c r="K1215" s="537" t="n">
        <f aca="false">D1218*D1204*D1206*I1203+F1218*D1204*D1206*I1202</f>
        <v>0</v>
      </c>
      <c r="L1215" s="349"/>
      <c r="M1215" s="349"/>
      <c r="N1215" s="349"/>
      <c r="P1215" s="387"/>
      <c r="Q1215" s="1609"/>
      <c r="R1215" s="1609"/>
      <c r="S1215" s="1609"/>
      <c r="T1215" s="1609"/>
      <c r="U1215" s="1609"/>
      <c r="V1215" s="1609"/>
      <c r="W1215" s="1311"/>
      <c r="X1215" s="1311"/>
      <c r="Y1215" s="1311"/>
    </row>
    <row r="1216" customFormat="false" ht="15.75" hidden="true" customHeight="true" outlineLevel="1" collapsed="false">
      <c r="A1216" s="537" t="s">
        <v>3505</v>
      </c>
      <c r="B1216" s="1607" t="s">
        <v>156</v>
      </c>
      <c r="C1216" s="1178" t="n">
        <f aca="false">SQRT((C1210-C1207)*(C1210-C1207)+C1215*C1215)</f>
        <v>2.81937127423825</v>
      </c>
      <c r="D1216" s="1290" t="n">
        <f aca="false">SQRT(D1210*D1210+D1215*D1215)</f>
        <v>3.81608438061844</v>
      </c>
      <c r="E1216" s="537" t="n">
        <f aca="false">(SQRT(E1214*E1214+('Ввод данных'!C333-'Ввод данных'!C331)*('Ввод данных'!C333-'Ввод данных'!C331)))</f>
        <v>2.51726155618899</v>
      </c>
      <c r="F1216" s="537" t="n">
        <f aca="false">SQRT(D1210*D1210+F1214*F1214)</f>
        <v>3.2146775010204</v>
      </c>
      <c r="I1216" s="1219" t="s">
        <v>3506</v>
      </c>
      <c r="J1216" s="537" t="n">
        <f aca="false">C1221*C1204*C1206*I1203+E1221*C1204*C1206*I1202</f>
        <v>4.8</v>
      </c>
      <c r="K1216" s="537" t="n">
        <f aca="false">D1221*D1204*D1206*I1203+F1221*D1204*D1206*I1202</f>
        <v>0</v>
      </c>
      <c r="L1216" s="349"/>
      <c r="M1216" s="349"/>
      <c r="N1216" s="349"/>
      <c r="P1216" s="387"/>
      <c r="Q1216" s="1609"/>
      <c r="R1216" s="1609"/>
      <c r="S1216" s="1609"/>
      <c r="T1216" s="1609"/>
      <c r="U1216" s="1609"/>
      <c r="V1216" s="1609"/>
      <c r="W1216" s="1311"/>
      <c r="X1216" s="1311"/>
      <c r="Y1216" s="1311"/>
    </row>
    <row r="1217" customFormat="false" ht="15.75" hidden="true" customHeight="true" outlineLevel="1" collapsed="false">
      <c r="A1217" s="537" t="s">
        <v>3507</v>
      </c>
      <c r="B1217" s="1605" t="s">
        <v>156</v>
      </c>
      <c r="C1217" s="1558" t="n">
        <f aca="false">SQRT(C1210*C1210+C1215*C1215)</f>
        <v>3.30890531475288</v>
      </c>
      <c r="D1217" s="537" t="n">
        <f aca="false">SQRT(D1210*D1210+D1215*D1215)</f>
        <v>3.81608438061844</v>
      </c>
      <c r="I1217" s="1219" t="s">
        <v>2827</v>
      </c>
      <c r="J1217" s="537" t="n">
        <f aca="false">C1224*C1204</f>
        <v>10</v>
      </c>
      <c r="K1217" s="537" t="n">
        <f aca="false">D1224*D1204</f>
        <v>0</v>
      </c>
      <c r="L1217" s="1610" t="n">
        <f aca="false">(J1217+K1217)*G1202</f>
        <v>0</v>
      </c>
      <c r="M1217" s="349"/>
      <c r="N1217" s="349"/>
      <c r="P1217" s="387"/>
      <c r="Q1217" s="1609"/>
      <c r="R1217" s="1609"/>
      <c r="S1217" s="1609"/>
      <c r="T1217" s="1609"/>
      <c r="U1217" s="1609"/>
      <c r="V1217" s="1609"/>
      <c r="W1217" s="1311"/>
      <c r="X1217" s="1311"/>
      <c r="Y1217" s="1311"/>
    </row>
    <row r="1218" customFormat="false" ht="15.75" hidden="true" customHeight="true" outlineLevel="1" collapsed="false">
      <c r="A1218" s="1017" t="s">
        <v>3508</v>
      </c>
      <c r="B1218" s="1605" t="s">
        <v>133</v>
      </c>
      <c r="C1218" s="1558" t="n">
        <f aca="false">(C1215*(C1210-C1207)+C1215*C1207*2+C1215*2*C1212)</f>
        <v>10.0170583144992</v>
      </c>
      <c r="D1218" s="537" t="n">
        <f aca="false">(D1210*D1215+D1215*2*D1212)</f>
        <v>8.96228207545377</v>
      </c>
      <c r="E1218" s="537" t="n">
        <f aca="false">(E1214+('Ввод данных'!C333-'Ввод данных'!C331)+E1214*'Ввод данных'!C331*2+C1212*E1214*2)</f>
        <v>9.77841596863215</v>
      </c>
      <c r="F1218" s="1290" t="n">
        <f aca="false">(F1214+D1212)*D1210</f>
        <v>4.66516419814427</v>
      </c>
      <c r="I1218" s="1219" t="s">
        <v>3509</v>
      </c>
      <c r="J1218" s="537" t="n">
        <f aca="false">C1223*C1204*C1206*I1203+E1223*C1204*C1206*I1202</f>
        <v>5.4</v>
      </c>
      <c r="K1218" s="537" t="n">
        <f aca="false">D1221*D1204*D1206*I1203+F1221*D1204*D1206*I1202</f>
        <v>0</v>
      </c>
      <c r="L1218" s="349"/>
      <c r="M1218" s="349"/>
      <c r="N1218" s="349"/>
      <c r="P1218" s="387"/>
      <c r="Q1218" s="1609"/>
      <c r="R1218" s="1609"/>
      <c r="S1218" s="1609"/>
      <c r="T1218" s="1609"/>
      <c r="U1218" s="1609"/>
      <c r="V1218" s="1609"/>
      <c r="W1218" s="1311"/>
      <c r="X1218" s="1311"/>
      <c r="Y1218" s="1311"/>
    </row>
    <row r="1219" customFormat="false" ht="15.75" hidden="true" customHeight="true" outlineLevel="1" collapsed="false">
      <c r="A1219" s="537" t="s">
        <v>3510</v>
      </c>
      <c r="B1219" s="1607" t="s">
        <v>133</v>
      </c>
      <c r="C1219" s="1178" t="n">
        <f aca="false">(SQRT(C1215*C1215-(C1208/2*C1208/2))*C1208/2+C1208*SQRT(C1207*C1207+E1211*E1211))</f>
        <v>5.26745446817632</v>
      </c>
      <c r="D1219" s="537" t="n">
        <f aca="false">SQRT(D1215*D1215-D1208/2*D1208/2)*D1206*D1208/2</f>
        <v>2.5</v>
      </c>
      <c r="E1219" s="537" t="n">
        <f aca="false">(SQRT(E1216*E1216-C1208/2*C1208/2)*(C1208/2)+SQRT(C1207*C1207+E1211*E1211)*C1208)</f>
        <v>5.1385365901757</v>
      </c>
      <c r="F1219" s="537" t="n">
        <f aca="false">SQRT(F1216*F1216-D1208/2*D1208/2)*D1208/2</f>
        <v>3.70212173868892</v>
      </c>
      <c r="I1219" s="1611" t="s">
        <v>3511</v>
      </c>
      <c r="J1219" s="537" t="n">
        <f aca="false">C1220*C1204*C1206*I1203+E1220*C1204*C1206*I1202</f>
        <v>28.0477632805978</v>
      </c>
      <c r="K1219" s="537" t="n">
        <f aca="false">D1220*D1204*D1206*I1203+F1220*D1204*D1206*I1202</f>
        <v>0</v>
      </c>
      <c r="L1219" s="349"/>
      <c r="M1219" s="349"/>
      <c r="N1219" s="349"/>
      <c r="P1219" s="387"/>
      <c r="Q1219" s="1609"/>
      <c r="R1219" s="1609"/>
      <c r="S1219" s="1609"/>
      <c r="T1219" s="1609"/>
      <c r="U1219" s="1609"/>
      <c r="V1219" s="1609"/>
      <c r="W1219" s="1311"/>
      <c r="X1219" s="1311"/>
      <c r="Y1219" s="1311"/>
    </row>
    <row r="1220" customFormat="false" ht="15.75" hidden="true" customHeight="true" outlineLevel="1" collapsed="false">
      <c r="A1220" s="1017" t="s">
        <v>3512</v>
      </c>
      <c r="B1220" s="1607" t="s">
        <v>133</v>
      </c>
      <c r="C1220" s="1178" t="n">
        <f aca="false">C1218*1.4</f>
        <v>14.0238816402989</v>
      </c>
      <c r="D1220" s="537" t="n">
        <f aca="false">D1218*1.4</f>
        <v>12.5471949056353</v>
      </c>
      <c r="E1220" s="1290" t="n">
        <f aca="false">E1218*1.4</f>
        <v>13.689782356085</v>
      </c>
      <c r="F1220" s="1290" t="n">
        <f aca="false">F1218*1.4</f>
        <v>6.53122987740198</v>
      </c>
      <c r="I1220" s="1219" t="s">
        <v>3513</v>
      </c>
      <c r="J1220" s="1290"/>
      <c r="K1220" s="1290"/>
      <c r="L1220" s="1311"/>
      <c r="M1220" s="1311"/>
      <c r="N1220" s="1311"/>
      <c r="P1220" s="387"/>
      <c r="Q1220" s="1609"/>
      <c r="R1220" s="1609"/>
      <c r="S1220" s="1609"/>
      <c r="T1220" s="1609"/>
      <c r="U1220" s="1609"/>
      <c r="V1220" s="1609"/>
      <c r="W1220" s="1311"/>
      <c r="X1220" s="1311"/>
      <c r="Y1220" s="1311"/>
    </row>
    <row r="1221" customFormat="false" ht="15.75" hidden="true" customHeight="true" outlineLevel="1" collapsed="false">
      <c r="A1221" s="1604" t="s">
        <v>3514</v>
      </c>
      <c r="B1221" s="1607" t="s">
        <v>156</v>
      </c>
      <c r="C1221" s="1178" t="n">
        <f aca="false">C1210+C1212</f>
        <v>2.4</v>
      </c>
      <c r="D1221" s="537" t="n">
        <f aca="false">D1210+D1212</f>
        <v>3.4</v>
      </c>
      <c r="E1221" s="537" t="n">
        <f aca="false">E1215+C1212</f>
        <v>2.4</v>
      </c>
      <c r="F1221" s="1290" t="n">
        <f aca="false">F1215+D1212</f>
        <v>3.4</v>
      </c>
      <c r="I1221" s="1219" t="s">
        <v>3515</v>
      </c>
      <c r="J1221" s="537" t="n">
        <f aca="false">C1224*C1204*C1206*I1203+E1224*C1204*C1206*I1202</f>
        <v>20</v>
      </c>
      <c r="K1221" s="537" t="n">
        <f aca="false">D1224*D1204*D1206*I1203+F1224*D1204*D1206*I1202</f>
        <v>0</v>
      </c>
      <c r="L1221" s="349"/>
      <c r="M1221" s="349"/>
      <c r="N1221" s="349"/>
      <c r="P1221" s="387"/>
      <c r="Q1221" s="1609"/>
      <c r="R1221" s="1609"/>
      <c r="S1221" s="1609"/>
      <c r="T1221" s="1609"/>
      <c r="U1221" s="1609"/>
      <c r="V1221" s="1609"/>
      <c r="W1221" s="1311"/>
      <c r="X1221" s="1311"/>
      <c r="Y1221" s="1311"/>
    </row>
    <row r="1222" customFormat="false" ht="15.75" hidden="true" customHeight="true" outlineLevel="1" collapsed="false">
      <c r="A1222" s="1604" t="s">
        <v>2766</v>
      </c>
      <c r="B1222" s="1607" t="s">
        <v>133</v>
      </c>
      <c r="C1222" s="1178" t="n">
        <f aca="false">C1215*2*C1212+C1207*2*C1211</f>
        <v>2.90885438199983</v>
      </c>
      <c r="D1222" s="537" t="n">
        <f aca="false">D1215*2*D1212</f>
        <v>1.88679622641132</v>
      </c>
      <c r="E1222" s="1311" t="n">
        <f aca="false">(C1207+C1212)</f>
        <v>1.4</v>
      </c>
      <c r="F1222" s="1290"/>
      <c r="I1222" s="1534" t="s">
        <v>3516</v>
      </c>
      <c r="J1222" s="537" t="n">
        <f aca="false">E1222*C1204*C1206*I1202+I1203*C1204*C1206*E1222</f>
        <v>2.8</v>
      </c>
      <c r="K1222" s="537"/>
      <c r="L1222" s="349"/>
      <c r="M1222" s="349"/>
      <c r="N1222" s="349"/>
      <c r="P1222" s="387"/>
      <c r="Q1222" s="1609"/>
      <c r="R1222" s="1609"/>
      <c r="S1222" s="1609"/>
      <c r="T1222" s="1609"/>
      <c r="U1222" s="1609"/>
      <c r="V1222" s="1609"/>
      <c r="W1222" s="1311"/>
      <c r="X1222" s="1311"/>
      <c r="Y1222" s="1311"/>
    </row>
    <row r="1223" customFormat="false" ht="15.75" hidden="true" customHeight="true" outlineLevel="1" collapsed="false">
      <c r="A1223" s="1604" t="s">
        <v>3517</v>
      </c>
      <c r="B1223" s="1607" t="s">
        <v>156</v>
      </c>
      <c r="C1223" s="1178" t="n">
        <f aca="false">C1208*1.1+0.5</f>
        <v>2.7</v>
      </c>
      <c r="D1223" s="537" t="n">
        <f aca="false">D1208*1.1+0.5</f>
        <v>3.25</v>
      </c>
      <c r="E1223" s="537" t="n">
        <f aca="false">C1223</f>
        <v>2.7</v>
      </c>
      <c r="F1223" s="1290" t="n">
        <f aca="false">D1223</f>
        <v>3.25</v>
      </c>
      <c r="Q1223" s="1612"/>
      <c r="R1223" s="1612"/>
      <c r="S1223" s="1609"/>
      <c r="T1223" s="1609"/>
      <c r="U1223" s="1609"/>
      <c r="V1223" s="1609"/>
      <c r="W1223" s="1311"/>
      <c r="X1223" s="1311"/>
      <c r="Y1223" s="1311"/>
    </row>
    <row r="1224" customFormat="false" ht="15.75" hidden="true" customHeight="true" outlineLevel="1" collapsed="false">
      <c r="A1224" s="1290" t="s">
        <v>2827</v>
      </c>
      <c r="B1224" s="1607" t="s">
        <v>133</v>
      </c>
      <c r="C1224" s="1527" t="n">
        <f aca="false">(C1207*E1211+C1208*E1211+C1208/2*C1209)*C1206</f>
        <v>10</v>
      </c>
      <c r="D1224" s="537" t="n">
        <f aca="false">(D1209*D1208/2)*D1206</f>
        <v>2.5</v>
      </c>
      <c r="E1224" s="387" t="n">
        <f aca="false">(C1207*E1211+C1208*E1211+C1208/2*C1209)</f>
        <v>5</v>
      </c>
      <c r="F1224" s="1311" t="n">
        <f aca="false">(D1209*D1208/2)</f>
        <v>2.5</v>
      </c>
      <c r="Q1224" s="1612"/>
      <c r="R1224" s="1612"/>
      <c r="S1224" s="1609"/>
      <c r="T1224" s="1609"/>
      <c r="U1224" s="1609"/>
      <c r="V1224" s="1609"/>
      <c r="W1224" s="1311"/>
      <c r="X1224" s="1311"/>
      <c r="Y1224" s="1311"/>
    </row>
    <row r="1225" customFormat="false" ht="15.75" hidden="true" customHeight="true" outlineLevel="1" collapsed="false">
      <c r="A1225" s="1613" t="s">
        <v>3518</v>
      </c>
      <c r="B1225" s="1558" t="s">
        <v>156</v>
      </c>
      <c r="C1225" s="1558" t="n">
        <f aca="false">'Ввод данных'!C342</f>
        <v>0</v>
      </c>
      <c r="D1225" s="1023" t="n">
        <v>1</v>
      </c>
      <c r="F1225" s="446"/>
      <c r="Q1225" s="1612"/>
      <c r="R1225" s="1612"/>
      <c r="S1225" s="1609"/>
      <c r="T1225" s="1609"/>
      <c r="U1225" s="1609"/>
      <c r="V1225" s="1609"/>
      <c r="W1225" s="1311"/>
      <c r="X1225" s="1311"/>
      <c r="Y1225" s="1311"/>
    </row>
    <row r="1226" customFormat="false" ht="15.75" hidden="true" customHeight="true" outlineLevel="1" collapsed="false">
      <c r="A1226" s="1613" t="s">
        <v>2632</v>
      </c>
      <c r="B1226" s="1558" t="s">
        <v>156</v>
      </c>
      <c r="C1226" s="1558" t="n">
        <f aca="false">'Ввод данных'!C343</f>
        <v>0</v>
      </c>
      <c r="D1226" s="1023" t="n">
        <v>1</v>
      </c>
      <c r="J1226" s="387"/>
      <c r="Q1226" s="1612"/>
      <c r="R1226" s="1612"/>
      <c r="S1226" s="1609"/>
      <c r="T1226" s="1609"/>
      <c r="U1226" s="1609"/>
      <c r="V1226" s="1609"/>
      <c r="W1226" s="1311"/>
      <c r="X1226" s="1311"/>
      <c r="Y1226" s="1311"/>
    </row>
    <row r="1227" s="1621" customFormat="true" ht="15.75" hidden="false" customHeight="true" outlineLevel="0" collapsed="false">
      <c r="A1227" s="1614" t="s">
        <v>1965</v>
      </c>
      <c r="B1227" s="1615"/>
      <c r="C1227" s="1615"/>
      <c r="D1227" s="1614"/>
      <c r="E1227" s="1614"/>
      <c r="F1227" s="1616"/>
      <c r="G1227" s="1614"/>
      <c r="H1227" s="1614"/>
      <c r="I1227" s="1617"/>
      <c r="J1227" s="1614"/>
      <c r="K1227" s="1618"/>
      <c r="L1227" s="1618"/>
      <c r="M1227" s="1618"/>
      <c r="N1227" s="1618"/>
      <c r="O1227" s="1618"/>
      <c r="P1227" s="1618"/>
      <c r="Q1227" s="1619"/>
      <c r="R1227" s="1619"/>
      <c r="S1227" s="1619"/>
      <c r="T1227" s="1619"/>
      <c r="U1227" s="1619"/>
      <c r="V1227" s="1619"/>
      <c r="W1227" s="1620"/>
      <c r="X1227" s="1620"/>
      <c r="Y1227" s="1620"/>
    </row>
    <row r="1228" customFormat="false" ht="15.75" hidden="false" customHeight="true" outlineLevel="1" collapsed="false">
      <c r="A1228" s="1622"/>
      <c r="B1228" s="1623"/>
      <c r="C1228" s="1623"/>
      <c r="D1228" s="1622"/>
      <c r="E1228" s="1622"/>
      <c r="F1228" s="1624"/>
      <c r="G1228" s="1625"/>
      <c r="H1228" s="1625"/>
      <c r="I1228" s="1626"/>
      <c r="J1228" s="1627"/>
      <c r="K1228" s="1627" t="s">
        <v>3519</v>
      </c>
      <c r="L1228" s="1627"/>
      <c r="M1228" s="1627"/>
      <c r="N1228" s="1627"/>
      <c r="O1228" s="1627"/>
      <c r="P1228" s="1627"/>
      <c r="Q1228" s="1628"/>
      <c r="R1228" s="1627"/>
      <c r="S1228" s="1609"/>
      <c r="T1228" s="1609"/>
      <c r="U1228" s="1609"/>
      <c r="V1228" s="1609"/>
      <c r="W1228" s="1311"/>
      <c r="X1228" s="1311"/>
      <c r="Y1228" s="1311"/>
    </row>
    <row r="1229" customFormat="false" ht="15.75" hidden="false" customHeight="true" outlineLevel="1" collapsed="false">
      <c r="A1229" s="1629" t="s">
        <v>2030</v>
      </c>
      <c r="B1229" s="1630" t="s">
        <v>120</v>
      </c>
      <c r="C1229" s="1630" t="s">
        <v>1753</v>
      </c>
      <c r="D1229" s="1631" t="n">
        <f aca="false">VLOOKUP('Ввод данных'!F458,связи1!A2:B3,2,0)</f>
        <v>0</v>
      </c>
      <c r="E1229" s="1632" t="s">
        <v>3520</v>
      </c>
      <c r="F1229" s="1633"/>
      <c r="G1229" s="1634"/>
      <c r="H1229" s="1634"/>
      <c r="I1229" s="1635" t="n">
        <f aca="false">D1229</f>
        <v>0</v>
      </c>
      <c r="J1229" s="1597"/>
      <c r="K1229" s="1636" t="s">
        <v>1903</v>
      </c>
      <c r="L1229" s="1636"/>
      <c r="M1229" s="1636"/>
      <c r="N1229" s="1636"/>
      <c r="O1229" s="1595" t="n">
        <f aca="false">'Ввод данных'!BC422</f>
        <v>1</v>
      </c>
      <c r="P1229" s="1637" t="n">
        <f aca="false">'Ввод данных'!BD426</f>
        <v>4</v>
      </c>
      <c r="Q1229" s="1511"/>
      <c r="R1229" s="1597"/>
      <c r="S1229" s="1594"/>
      <c r="T1229" s="1594"/>
      <c r="U1229" s="1594"/>
      <c r="V1229" s="1594"/>
      <c r="W1229" s="1311"/>
      <c r="X1229" s="1311"/>
      <c r="Y1229" s="1311"/>
    </row>
    <row r="1230" customFormat="false" ht="15.75" hidden="false" customHeight="true" outlineLevel="1" collapsed="false">
      <c r="A1230" s="1629"/>
      <c r="B1230" s="1630"/>
      <c r="C1230" s="1630"/>
      <c r="D1230" s="1637"/>
      <c r="E1230" s="1638"/>
      <c r="F1230" s="1633"/>
      <c r="G1230" s="1634"/>
      <c r="H1230" s="1634"/>
      <c r="I1230" s="1635"/>
      <c r="J1230" s="1597"/>
      <c r="K1230" s="1636"/>
      <c r="L1230" s="1636"/>
      <c r="M1230" s="1636"/>
      <c r="N1230" s="1636"/>
      <c r="O1230" s="1595"/>
      <c r="P1230" s="1637"/>
      <c r="Q1230" s="1511"/>
      <c r="R1230" s="1597"/>
      <c r="S1230" s="1594"/>
      <c r="T1230" s="1594"/>
      <c r="U1230" s="1594"/>
      <c r="V1230" s="1594"/>
      <c r="W1230" s="1311"/>
      <c r="X1230" s="1311"/>
      <c r="Y1230" s="1311"/>
    </row>
    <row r="1231" customFormat="false" ht="15.75" hidden="false" customHeight="true" outlineLevel="1" collapsed="false">
      <c r="A1231" s="1629"/>
      <c r="B1231" s="1630"/>
      <c r="C1231" s="1630"/>
      <c r="D1231" s="1637"/>
      <c r="E1231" s="1638"/>
      <c r="F1231" s="1633"/>
      <c r="G1231" s="1634"/>
      <c r="H1231" s="1634"/>
      <c r="I1231" s="1635"/>
      <c r="J1231" s="1597"/>
      <c r="K1231" s="1636"/>
      <c r="L1231" s="1636"/>
      <c r="M1231" s="1636"/>
      <c r="N1231" s="1636"/>
      <c r="O1231" s="1595"/>
      <c r="P1231" s="1637"/>
      <c r="Q1231" s="1511"/>
      <c r="R1231" s="1597"/>
      <c r="S1231" s="1594"/>
      <c r="T1231" s="1594"/>
      <c r="U1231" s="1594"/>
      <c r="V1231" s="1594"/>
      <c r="W1231" s="1311"/>
      <c r="X1231" s="1311"/>
      <c r="Y1231" s="1311"/>
    </row>
    <row r="1232" customFormat="false" ht="15.75" hidden="false" customHeight="true" outlineLevel="1" collapsed="false">
      <c r="A1232" s="1639" t="s">
        <v>2547</v>
      </c>
      <c r="B1232" s="1630" t="s">
        <v>159</v>
      </c>
      <c r="C1232" s="1630" t="n">
        <f aca="false">1</f>
        <v>1</v>
      </c>
      <c r="D1232" s="1598" t="n">
        <f aca="false">'Ввод данных'!C424</f>
        <v>2</v>
      </c>
      <c r="E1232" s="1598"/>
      <c r="F1232" s="1598"/>
      <c r="G1232" s="1598"/>
      <c r="H1232" s="1598"/>
      <c r="I1232" s="1635"/>
      <c r="J1232" s="1597"/>
      <c r="K1232" s="1636" t="s">
        <v>1906</v>
      </c>
      <c r="L1232" s="1636"/>
      <c r="M1232" s="1636"/>
      <c r="N1232" s="1636"/>
      <c r="O1232" s="1595" t="n">
        <f aca="false">'Ввод данных'!BC423</f>
        <v>2</v>
      </c>
      <c r="P1232" s="1637" t="n">
        <f aca="false">'Ввод данных'!BD427</f>
        <v>5</v>
      </c>
      <c r="Q1232" s="1511"/>
      <c r="R1232" s="1597"/>
      <c r="S1232" s="1594"/>
      <c r="T1232" s="1594"/>
      <c r="U1232" s="1594"/>
      <c r="V1232" s="1594"/>
      <c r="W1232" s="1311"/>
      <c r="X1232" s="1311"/>
      <c r="Y1232" s="1311"/>
    </row>
    <row r="1233" customFormat="false" ht="15.75" hidden="false" customHeight="true" outlineLevel="1" collapsed="false">
      <c r="A1233" s="1639" t="s">
        <v>2552</v>
      </c>
      <c r="B1233" s="1630" t="s">
        <v>159</v>
      </c>
      <c r="C1233" s="1630" t="n">
        <f aca="false">IF('Ввод данных'!C424=2,1,0)</f>
        <v>1</v>
      </c>
      <c r="D1233" s="1636" t="n">
        <f aca="false">'Ввод данных'!C424</f>
        <v>2</v>
      </c>
      <c r="E1233" s="1598"/>
      <c r="F1233" s="1598"/>
      <c r="G1233" s="1598"/>
      <c r="H1233" s="1598"/>
      <c r="I1233" s="1640"/>
      <c r="J1233" s="1511"/>
      <c r="K1233" s="1636" t="s">
        <v>1992</v>
      </c>
      <c r="L1233" s="1636"/>
      <c r="M1233" s="1636"/>
      <c r="N1233" s="1636"/>
      <c r="O1233" s="1595" t="n">
        <f aca="false">'Ввод данных'!BC424</f>
        <v>3</v>
      </c>
      <c r="P1233" s="1637" t="n">
        <f aca="false">'Ввод данных'!BD428</f>
        <v>3.2</v>
      </c>
      <c r="Q1233" s="1511"/>
      <c r="R1233" s="1597"/>
      <c r="S1233" s="1594"/>
      <c r="T1233" s="1594"/>
      <c r="U1233" s="1594"/>
      <c r="V1233" s="1594"/>
      <c r="W1233" s="1311"/>
      <c r="X1233" s="1311"/>
      <c r="Y1233" s="1311"/>
    </row>
    <row r="1234" customFormat="false" ht="15.75" hidden="false" customHeight="true" outlineLevel="1" collapsed="false">
      <c r="A1234" s="1633" t="s">
        <v>1236</v>
      </c>
      <c r="B1234" s="1633" t="s">
        <v>120</v>
      </c>
      <c r="C1234" s="1633" t="s">
        <v>2548</v>
      </c>
      <c r="D1234" s="1639" t="s">
        <v>2975</v>
      </c>
      <c r="E1234" s="1636"/>
      <c r="F1234" s="1636"/>
      <c r="G1234" s="1598"/>
      <c r="H1234" s="1598"/>
      <c r="I1234" s="1617"/>
      <c r="J1234" s="1512"/>
      <c r="K1234" s="1636" t="s">
        <v>1994</v>
      </c>
      <c r="L1234" s="1636"/>
      <c r="M1234" s="1636"/>
      <c r="N1234" s="1636"/>
      <c r="O1234" s="1595" t="n">
        <f aca="false">'Ввод данных'!BC425</f>
        <v>4</v>
      </c>
      <c r="P1234" s="1637" t="n">
        <f aca="false">'Ввод данных'!BD429</f>
        <v>2.2</v>
      </c>
      <c r="Q1234" s="1641"/>
      <c r="R1234" s="1597"/>
      <c r="S1234" s="1594"/>
      <c r="T1234" s="1594"/>
      <c r="U1234" s="1594"/>
      <c r="V1234" s="1594"/>
      <c r="W1234" s="1311"/>
      <c r="X1234" s="1311"/>
      <c r="Y1234" s="1311"/>
    </row>
    <row r="1235" customFormat="false" ht="15.75" hidden="false" customHeight="true" outlineLevel="1" collapsed="false">
      <c r="A1235" s="1639" t="s">
        <v>2001</v>
      </c>
      <c r="B1235" s="1630" t="s">
        <v>159</v>
      </c>
      <c r="C1235" s="1642" t="n">
        <f aca="false">(C1240*C1245+(C1244-C1240)*C1238+(C1244-C1240)*((C1245-C1238)/2))*E1235</f>
        <v>16.25</v>
      </c>
      <c r="D1235" s="1631" t="n">
        <v>0.2</v>
      </c>
      <c r="E1235" s="1643" t="n">
        <f aca="false">1</f>
        <v>1</v>
      </c>
      <c r="F1235" s="1597" t="s">
        <v>3521</v>
      </c>
      <c r="G1235" s="1598"/>
      <c r="H1235" s="1598"/>
      <c r="I1235" s="1617"/>
      <c r="J1235" s="1512"/>
      <c r="K1235" s="1636" t="s">
        <v>1995</v>
      </c>
      <c r="L1235" s="1636"/>
      <c r="M1235" s="1636"/>
      <c r="N1235" s="1636"/>
      <c r="O1235" s="1595" t="n">
        <f aca="false">'Ввод данных'!BC426</f>
        <v>5</v>
      </c>
      <c r="P1235" s="1637" t="n">
        <f aca="false">'Ввод данных'!BD430</f>
        <v>0</v>
      </c>
      <c r="Q1235" s="1641"/>
      <c r="R1235" s="1597"/>
      <c r="S1235" s="1594"/>
      <c r="T1235" s="1594"/>
      <c r="U1235" s="1594"/>
      <c r="V1235" s="1594"/>
      <c r="W1235" s="1311"/>
      <c r="X1235" s="1311"/>
      <c r="Y1235" s="1311"/>
    </row>
    <row r="1236" customFormat="false" ht="15.75" hidden="false" customHeight="true" outlineLevel="1" collapsed="false">
      <c r="A1236" s="1639" t="s">
        <v>2557</v>
      </c>
      <c r="B1236" s="1630" t="s">
        <v>159</v>
      </c>
      <c r="C1236" s="1642" t="n">
        <f aca="false">(C1240*C1245+(C1244-C1240)*C1238+(C1244-C1240)*((C1245-C1238)/2))*E1236</f>
        <v>16.25</v>
      </c>
      <c r="D1236" s="1631" t="n">
        <v>0.2</v>
      </c>
      <c r="E1236" s="1643" t="n">
        <f aca="false">1</f>
        <v>1</v>
      </c>
      <c r="F1236" s="1597" t="s">
        <v>3522</v>
      </c>
      <c r="G1236" s="1634"/>
      <c r="H1236" s="1634"/>
      <c r="I1236" s="1617"/>
      <c r="J1236" s="1512"/>
      <c r="K1236" s="1636" t="s">
        <v>1997</v>
      </c>
      <c r="L1236" s="1636"/>
      <c r="M1236" s="1636"/>
      <c r="N1236" s="1636"/>
      <c r="O1236" s="1595" t="n">
        <f aca="false">'Ввод данных'!BC427</f>
        <v>6</v>
      </c>
      <c r="P1236" s="1637" t="n">
        <f aca="false">'Ввод данных'!BD431</f>
        <v>8</v>
      </c>
      <c r="Q1236" s="1641"/>
      <c r="R1236" s="1641"/>
      <c r="S1236" s="1594"/>
      <c r="T1236" s="1594"/>
      <c r="U1236" s="1594"/>
      <c r="V1236" s="1594"/>
      <c r="W1236" s="1311"/>
      <c r="X1236" s="1311"/>
      <c r="Y1236" s="1311"/>
    </row>
    <row r="1237" customFormat="false" ht="15.75" hidden="false" customHeight="true" outlineLevel="1" collapsed="false">
      <c r="A1237" s="1639" t="s">
        <v>2558</v>
      </c>
      <c r="B1237" s="1630" t="s">
        <v>159</v>
      </c>
      <c r="C1237" s="1642" t="n">
        <f aca="false">(C1240*C1245+(C1244-C1240)*C1238+(C1244-C1240)*((C1245-C1238)/2))*E1237</f>
        <v>16.25</v>
      </c>
      <c r="D1237" s="1631" t="n">
        <v>0.2</v>
      </c>
      <c r="E1237" s="1643" t="n">
        <f aca="false">C1233</f>
        <v>1</v>
      </c>
      <c r="F1237" s="1597" t="s">
        <v>3523</v>
      </c>
      <c r="G1237" s="1510"/>
      <c r="H1237" s="1510"/>
      <c r="I1237" s="1644"/>
      <c r="J1237" s="1512"/>
      <c r="K1237" s="1636" t="s">
        <v>2039</v>
      </c>
      <c r="L1237" s="1636"/>
      <c r="M1237" s="1636"/>
      <c r="N1237" s="1636"/>
      <c r="O1237" s="1595" t="n">
        <f aca="false">'Ввод данных'!BC428</f>
        <v>7</v>
      </c>
      <c r="P1237" s="1637" t="n">
        <f aca="false">'Ввод данных'!BD432</f>
        <v>0</v>
      </c>
      <c r="Q1237" s="1641"/>
      <c r="R1237" s="1641"/>
      <c r="S1237" s="1594"/>
      <c r="T1237" s="1594"/>
      <c r="U1237" s="1594"/>
      <c r="V1237" s="1594"/>
      <c r="W1237" s="1311"/>
      <c r="X1237" s="1311"/>
      <c r="Y1237" s="1311"/>
    </row>
    <row r="1238" customFormat="false" ht="15.75" hidden="false" customHeight="true" outlineLevel="1" collapsed="false">
      <c r="A1238" s="1645" t="s">
        <v>3524</v>
      </c>
      <c r="B1238" s="1630" t="s">
        <v>156</v>
      </c>
      <c r="C1238" s="1630" t="n">
        <f aca="false">P1238</f>
        <v>2</v>
      </c>
      <c r="D1238" s="1646" t="n">
        <f aca="false">CEILING(IF(C1238&lt;=2,2,IF(C1238&gt;2,C1238/2+1,0)),1)</f>
        <v>2</v>
      </c>
      <c r="E1238" s="1633"/>
      <c r="F1238" s="1633"/>
      <c r="G1238" s="1510"/>
      <c r="H1238" s="1510"/>
      <c r="I1238" s="1644"/>
      <c r="J1238" s="1512"/>
      <c r="K1238" s="1636" t="s">
        <v>2042</v>
      </c>
      <c r="L1238" s="1636"/>
      <c r="M1238" s="1636"/>
      <c r="N1238" s="1636"/>
      <c r="O1238" s="1595" t="n">
        <f aca="false">'Ввод данных'!BC429</f>
        <v>8</v>
      </c>
      <c r="P1238" s="1637" t="n">
        <f aca="false">'Ввод данных'!BD433</f>
        <v>2</v>
      </c>
      <c r="Q1238" s="1511"/>
      <c r="R1238" s="1511"/>
      <c r="S1238" s="1594"/>
      <c r="T1238" s="1594"/>
      <c r="U1238" s="1594"/>
      <c r="V1238" s="1594"/>
      <c r="W1238" s="1311"/>
      <c r="X1238" s="1311"/>
      <c r="Y1238" s="1311"/>
    </row>
    <row r="1239" customFormat="false" ht="15.75" hidden="false" customHeight="true" outlineLevel="1" collapsed="false">
      <c r="A1239" s="1645" t="s">
        <v>3525</v>
      </c>
      <c r="B1239" s="1630" t="s">
        <v>156</v>
      </c>
      <c r="C1239" s="1630" t="n">
        <f aca="false">SQRT((C1245-C1238)/2*(C1245-C1238)/2+(C1244-C1240)*(C1244-C1240))</f>
        <v>2.91547594742265</v>
      </c>
      <c r="D1239" s="1646" t="n">
        <f aca="false">CEILING(IF(C1239&lt;=2,1,IF(C1239&gt;2,C1239/2,0)),1)*2</f>
        <v>4</v>
      </c>
      <c r="E1239" s="1633"/>
      <c r="F1239" s="1633"/>
      <c r="G1239" s="1510"/>
      <c r="H1239" s="1510"/>
      <c r="I1239" s="1644"/>
      <c r="J1239" s="1512"/>
      <c r="K1239" s="1636" t="s">
        <v>2043</v>
      </c>
      <c r="L1239" s="1636"/>
      <c r="M1239" s="1636"/>
      <c r="N1239" s="1636"/>
      <c r="O1239" s="1595" t="n">
        <f aca="false">'Ввод данных'!BC430</f>
        <v>9</v>
      </c>
      <c r="P1239" s="1637" t="n">
        <f aca="false">'Ввод данных'!BD434</f>
        <v>1.5</v>
      </c>
      <c r="Q1239" s="1511"/>
      <c r="R1239" s="1511"/>
      <c r="S1239" s="1594"/>
      <c r="T1239" s="1594"/>
      <c r="U1239" s="1594"/>
      <c r="V1239" s="1594"/>
      <c r="W1239" s="1311"/>
      <c r="X1239" s="1311"/>
      <c r="Y1239" s="1311"/>
    </row>
    <row r="1240" customFormat="false" ht="15.75" hidden="false" customHeight="true" outlineLevel="1" collapsed="false">
      <c r="A1240" s="1645" t="s">
        <v>3526</v>
      </c>
      <c r="B1240" s="1630" t="s">
        <v>156</v>
      </c>
      <c r="C1240" s="1630" t="n">
        <f aca="false">P1239</f>
        <v>1.5</v>
      </c>
      <c r="D1240" s="1631" t="n">
        <v>1</v>
      </c>
      <c r="E1240" s="1646" t="n">
        <f aca="false">CEILING(IF(C1240&lt;=2,1,IF(C1240&gt;2,C1240/2,0)),1)*2</f>
        <v>2</v>
      </c>
      <c r="F1240" s="1647" t="s">
        <v>2591</v>
      </c>
      <c r="G1240" s="1648" t="n">
        <f aca="false">D1238+D1239+E1240</f>
        <v>8</v>
      </c>
      <c r="H1240" s="1648"/>
      <c r="I1240" s="1644"/>
      <c r="J1240" s="1512"/>
      <c r="K1240" s="1637" t="s">
        <v>3527</v>
      </c>
      <c r="L1240" s="1637"/>
      <c r="M1240" s="1637"/>
      <c r="N1240" s="1637"/>
      <c r="O1240" s="1595" t="s">
        <v>2572</v>
      </c>
      <c r="P1240" s="1637" t="n">
        <f aca="false">SQRT(((P1232-P1238)/2)*((P1232-P1238)/2)+(P1229-P1239)*(P1229-P1239))</f>
        <v>2.91547594742265</v>
      </c>
      <c r="Q1240" s="1511"/>
      <c r="R1240" s="1511"/>
      <c r="S1240" s="1594"/>
      <c r="T1240" s="1594"/>
      <c r="U1240" s="1594"/>
      <c r="V1240" s="1594"/>
      <c r="W1240" s="1311"/>
      <c r="X1240" s="1311"/>
      <c r="Y1240" s="1311"/>
    </row>
    <row r="1241" customFormat="false" ht="15.75" hidden="false" customHeight="true" outlineLevel="1" collapsed="false">
      <c r="A1241" s="1645" t="s">
        <v>3528</v>
      </c>
      <c r="B1241" s="1630" t="s">
        <v>156</v>
      </c>
      <c r="C1241" s="1630" t="n">
        <f aca="false">P1233</f>
        <v>3.2</v>
      </c>
      <c r="D1241" s="1595"/>
      <c r="E1241" s="1633"/>
      <c r="F1241" s="1633"/>
      <c r="G1241" s="1510"/>
      <c r="H1241" s="1510"/>
      <c r="I1241" s="1644"/>
      <c r="J1241" s="1512"/>
      <c r="K1241" s="1649" t="s">
        <v>1999</v>
      </c>
      <c r="L1241" s="1649"/>
      <c r="M1241" s="1649"/>
      <c r="N1241" s="1649"/>
      <c r="O1241" s="1649" t="n">
        <f aca="false">P1240*2+P1239*2+P1238</f>
        <v>10.8309518948453</v>
      </c>
      <c r="P1241" s="1649" t="n">
        <f aca="false">'Ввод данных'!BD436</f>
        <v>0</v>
      </c>
      <c r="Q1241" s="1511"/>
      <c r="R1241" s="1511"/>
      <c r="S1241" s="1594"/>
      <c r="T1241" s="1594"/>
      <c r="U1241" s="1594"/>
      <c r="V1241" s="1594"/>
      <c r="W1241" s="1311"/>
      <c r="X1241" s="1311"/>
      <c r="Y1241" s="1311"/>
    </row>
    <row r="1242" customFormat="false" ht="15.75" hidden="false" customHeight="true" outlineLevel="1" collapsed="false">
      <c r="A1242" s="1650" t="s">
        <v>2038</v>
      </c>
      <c r="B1242" s="1630"/>
      <c r="C1242" s="1630" t="n">
        <f aca="false">'Ввод данных'!C431</f>
        <v>8</v>
      </c>
      <c r="D1242" s="1595"/>
      <c r="E1242" s="1633"/>
      <c r="F1242" s="1633"/>
      <c r="G1242" s="1510"/>
      <c r="H1242" s="1510"/>
      <c r="I1242" s="1644"/>
      <c r="J1242" s="1512"/>
      <c r="K1242" s="1649"/>
      <c r="L1242" s="1649"/>
      <c r="M1242" s="1649"/>
      <c r="N1242" s="1649"/>
      <c r="O1242" s="1649"/>
      <c r="P1242" s="1649"/>
      <c r="Q1242" s="1511"/>
      <c r="R1242" s="1511"/>
      <c r="S1242" s="1594"/>
      <c r="T1242" s="1594"/>
      <c r="U1242" s="1594"/>
      <c r="V1242" s="1594"/>
      <c r="W1242" s="1311"/>
      <c r="X1242" s="1311"/>
      <c r="Y1242" s="1311"/>
    </row>
    <row r="1243" customFormat="false" ht="15.75" hidden="false" customHeight="true" outlineLevel="1" collapsed="false">
      <c r="A1243" s="1645" t="s">
        <v>3529</v>
      </c>
      <c r="B1243" s="1630" t="s">
        <v>156</v>
      </c>
      <c r="C1243" s="1630" t="n">
        <f aca="false">C1242-C1241*C1232-D1236*E1236-C1246*C1233-D1237*E1237</f>
        <v>2.2</v>
      </c>
      <c r="D1243" s="1595"/>
      <c r="E1243" s="1633"/>
      <c r="F1243" s="1633"/>
      <c r="G1243" s="1510"/>
      <c r="H1243" s="1510"/>
      <c r="I1243" s="1644"/>
      <c r="J1243" s="1512"/>
      <c r="K1243" s="1649" t="s">
        <v>2001</v>
      </c>
      <c r="L1243" s="1649"/>
      <c r="M1243" s="1649"/>
      <c r="N1243" s="1649"/>
      <c r="O1243" s="1649"/>
      <c r="P1243" s="1649" t="n">
        <f aca="false">'Ввод данных'!BD437</f>
        <v>0.2</v>
      </c>
      <c r="Q1243" s="1511"/>
      <c r="R1243" s="1511"/>
      <c r="S1243" s="1594"/>
      <c r="T1243" s="1594"/>
      <c r="U1243" s="1594"/>
      <c r="V1243" s="1594"/>
      <c r="W1243" s="1311"/>
      <c r="X1243" s="1311"/>
      <c r="Y1243" s="1311"/>
    </row>
    <row r="1244" customFormat="false" ht="15.75" hidden="false" customHeight="true" outlineLevel="1" collapsed="false">
      <c r="A1244" s="1645" t="s">
        <v>3530</v>
      </c>
      <c r="B1244" s="1630" t="s">
        <v>156</v>
      </c>
      <c r="C1244" s="1630" t="n">
        <f aca="false">P1229</f>
        <v>4</v>
      </c>
      <c r="D1244" s="1633"/>
      <c r="E1244" s="1633"/>
      <c r="F1244" s="1633"/>
      <c r="G1244" s="1510"/>
      <c r="H1244" s="1510"/>
      <c r="I1244" s="1651"/>
      <c r="J1244" s="1512"/>
      <c r="K1244" s="1649" t="s">
        <v>2044</v>
      </c>
      <c r="L1244" s="1649"/>
      <c r="M1244" s="1649"/>
      <c r="N1244" s="1649"/>
      <c r="O1244" s="1649"/>
      <c r="P1244" s="1649" t="n">
        <f aca="false">'Ввод данных'!BD438</f>
        <v>3.2</v>
      </c>
      <c r="Q1244" s="1641"/>
      <c r="R1244" s="1641"/>
      <c r="S1244" s="1594"/>
      <c r="T1244" s="1594"/>
      <c r="U1244" s="1594"/>
      <c r="V1244" s="1594"/>
      <c r="W1244" s="1311"/>
      <c r="X1244" s="1311"/>
      <c r="Y1244" s="1311"/>
    </row>
    <row r="1245" customFormat="false" ht="15.75" hidden="false" customHeight="true" outlineLevel="1" collapsed="false">
      <c r="A1245" s="1645" t="s">
        <v>3531</v>
      </c>
      <c r="B1245" s="1630" t="s">
        <v>156</v>
      </c>
      <c r="C1245" s="1630" t="n">
        <f aca="false">P1232</f>
        <v>5</v>
      </c>
      <c r="D1245" s="1633"/>
      <c r="E1245" s="1633"/>
      <c r="F1245" s="1633"/>
      <c r="G1245" s="1510"/>
      <c r="H1245" s="1510"/>
      <c r="I1245" s="1644"/>
      <c r="J1245" s="1512"/>
      <c r="K1245" s="1649" t="s">
        <v>2045</v>
      </c>
      <c r="L1245" s="1649"/>
      <c r="M1245" s="1649"/>
      <c r="N1245" s="1649"/>
      <c r="O1245" s="1649"/>
      <c r="P1245" s="1649" t="n">
        <f aca="false">'Ввод данных'!BD439</f>
        <v>3.4</v>
      </c>
      <c r="Q1245" s="1641"/>
      <c r="R1245" s="1641"/>
      <c r="S1245" s="1594"/>
      <c r="T1245" s="1594"/>
      <c r="U1245" s="1594"/>
      <c r="V1245" s="1594"/>
      <c r="W1245" s="1311"/>
      <c r="X1245" s="1311"/>
      <c r="Y1245" s="1311"/>
    </row>
    <row r="1246" customFormat="false" ht="15.75" hidden="false" customHeight="true" outlineLevel="1" collapsed="false">
      <c r="A1246" s="1652" t="s">
        <v>3532</v>
      </c>
      <c r="B1246" s="1630" t="s">
        <v>156</v>
      </c>
      <c r="C1246" s="1653" t="n">
        <f aca="false">P1234</f>
        <v>2.2</v>
      </c>
      <c r="D1246" s="1636"/>
      <c r="E1246" s="1636"/>
      <c r="F1246" s="1636"/>
      <c r="G1246" s="1636"/>
      <c r="H1246" s="1636"/>
      <c r="I1246" s="1644"/>
      <c r="J1246" s="1512"/>
      <c r="K1246" s="1649" t="s">
        <v>2046</v>
      </c>
      <c r="L1246" s="1649"/>
      <c r="M1246" s="1649"/>
      <c r="N1246" s="1649"/>
      <c r="O1246" s="1649"/>
      <c r="P1246" s="1649" t="n">
        <f aca="false">'Ввод данных'!BD440</f>
        <v>5.1</v>
      </c>
      <c r="Q1246" s="1511"/>
      <c r="R1246" s="1641"/>
      <c r="S1246" s="1594"/>
      <c r="T1246" s="1594"/>
      <c r="U1246" s="1594"/>
      <c r="V1246" s="1594"/>
      <c r="W1246" s="1311"/>
      <c r="X1246" s="1311"/>
      <c r="Y1246" s="1311"/>
    </row>
    <row r="1247" customFormat="false" ht="15.75" hidden="false" customHeight="true" outlineLevel="1" collapsed="false">
      <c r="A1247" s="1652" t="s">
        <v>3533</v>
      </c>
      <c r="B1247" s="1630"/>
      <c r="C1247" s="1653" t="n">
        <f aca="false">C1241*C1232*D1229</f>
        <v>0</v>
      </c>
      <c r="D1247" s="1636"/>
      <c r="E1247" s="1636"/>
      <c r="F1247" s="1636"/>
      <c r="G1247" s="1636"/>
      <c r="H1247" s="1636"/>
      <c r="I1247" s="1644"/>
      <c r="J1247" s="1512"/>
      <c r="K1247" s="1649"/>
      <c r="L1247" s="1649"/>
      <c r="M1247" s="1649"/>
      <c r="N1247" s="1649"/>
      <c r="O1247" s="1649"/>
      <c r="P1247" s="1649"/>
      <c r="Q1247" s="1511"/>
      <c r="R1247" s="1641"/>
      <c r="S1247" s="1594"/>
      <c r="T1247" s="1594"/>
      <c r="U1247" s="1594"/>
      <c r="V1247" s="1594"/>
      <c r="W1247" s="1311"/>
      <c r="X1247" s="1311"/>
      <c r="Y1247" s="1311"/>
    </row>
    <row r="1248" customFormat="false" ht="15.75" hidden="false" customHeight="true" outlineLevel="1" collapsed="false">
      <c r="A1248" s="1652" t="s">
        <v>3534</v>
      </c>
      <c r="B1248" s="1630"/>
      <c r="C1248" s="1653" t="n">
        <f aca="false">C1246*C1233*D1229</f>
        <v>0</v>
      </c>
      <c r="D1248" s="1636"/>
      <c r="E1248" s="1636"/>
      <c r="F1248" s="1636"/>
      <c r="G1248" s="1636"/>
      <c r="H1248" s="1636"/>
      <c r="I1248" s="1644"/>
      <c r="J1248" s="1512"/>
      <c r="K1248" s="1649"/>
      <c r="L1248" s="1649"/>
      <c r="M1248" s="1649"/>
      <c r="N1248" s="1649"/>
      <c r="O1248" s="1649"/>
      <c r="P1248" s="1649"/>
      <c r="Q1248" s="1511"/>
      <c r="R1248" s="1641"/>
      <c r="S1248" s="1594"/>
      <c r="T1248" s="1594"/>
      <c r="U1248" s="1594"/>
      <c r="V1248" s="1594"/>
      <c r="W1248" s="1311"/>
      <c r="X1248" s="1311"/>
      <c r="Y1248" s="1311"/>
    </row>
    <row r="1249" customFormat="false" ht="15.75" hidden="false" customHeight="true" outlineLevel="1" collapsed="false">
      <c r="A1249" s="1652" t="s">
        <v>3535</v>
      </c>
      <c r="B1249" s="1630"/>
      <c r="C1249" s="1653" t="n">
        <f aca="false">C1241*C1232*D1229</f>
        <v>0</v>
      </c>
      <c r="D1249" s="1636"/>
      <c r="E1249" s="1636"/>
      <c r="F1249" s="1636"/>
      <c r="G1249" s="1636"/>
      <c r="H1249" s="1636"/>
      <c r="I1249" s="1644"/>
      <c r="J1249" s="1512"/>
      <c r="K1249" s="1649"/>
      <c r="L1249" s="1649"/>
      <c r="M1249" s="1649"/>
      <c r="N1249" s="1649"/>
      <c r="O1249" s="1649"/>
      <c r="P1249" s="1649"/>
      <c r="Q1249" s="1511"/>
      <c r="R1249" s="1641"/>
      <c r="S1249" s="1594"/>
      <c r="T1249" s="1594"/>
      <c r="U1249" s="1594"/>
      <c r="V1249" s="1594"/>
      <c r="W1249" s="1311"/>
      <c r="X1249" s="1311"/>
      <c r="Y1249" s="1311"/>
    </row>
    <row r="1250" customFormat="false" ht="15.75" hidden="false" customHeight="true" outlineLevel="1" collapsed="false">
      <c r="A1250" s="1652" t="s">
        <v>3536</v>
      </c>
      <c r="B1250" s="1630"/>
      <c r="C1250" s="1653" t="n">
        <f aca="false">C1246*C1233*D1229</f>
        <v>0</v>
      </c>
      <c r="D1250" s="1636"/>
      <c r="E1250" s="1636"/>
      <c r="F1250" s="1636"/>
      <c r="G1250" s="1636"/>
      <c r="H1250" s="1636"/>
      <c r="I1250" s="1644"/>
      <c r="J1250" s="1512"/>
      <c r="K1250" s="1649"/>
      <c r="L1250" s="1649"/>
      <c r="M1250" s="1649"/>
      <c r="N1250" s="1649"/>
      <c r="O1250" s="1649"/>
      <c r="P1250" s="1649"/>
      <c r="Q1250" s="1511"/>
      <c r="R1250" s="1641"/>
      <c r="S1250" s="1594"/>
      <c r="T1250" s="1594"/>
      <c r="U1250" s="1594"/>
      <c r="V1250" s="1594"/>
      <c r="W1250" s="1311"/>
      <c r="X1250" s="1311"/>
      <c r="Y1250" s="1311"/>
    </row>
    <row r="1251" customFormat="false" ht="15.75" hidden="false" customHeight="true" outlineLevel="1" collapsed="false">
      <c r="A1251" s="1649" t="s">
        <v>2784</v>
      </c>
      <c r="B1251" s="1630"/>
      <c r="C1251" s="1630" t="n">
        <f aca="false">(C1240*2+C1239*2+C1238)*C1232*C1241</f>
        <v>34.659046063505</v>
      </c>
      <c r="D1251" s="1636"/>
      <c r="E1251" s="1636"/>
      <c r="F1251" s="1636"/>
      <c r="G1251" s="1636"/>
      <c r="H1251" s="1636"/>
      <c r="I1251" s="1644"/>
      <c r="J1251" s="1512"/>
      <c r="K1251" s="1649"/>
      <c r="L1251" s="1649"/>
      <c r="M1251" s="1649"/>
      <c r="N1251" s="1649"/>
      <c r="O1251" s="1649"/>
      <c r="P1251" s="1649"/>
      <c r="Q1251" s="1511"/>
      <c r="R1251" s="1641"/>
      <c r="S1251" s="1594"/>
      <c r="T1251" s="1594"/>
      <c r="U1251" s="1594"/>
      <c r="V1251" s="1594"/>
      <c r="W1251" s="1311"/>
      <c r="X1251" s="1311"/>
      <c r="Y1251" s="1311"/>
    </row>
    <row r="1252" customFormat="false" ht="15.75" hidden="false" customHeight="true" outlineLevel="1" collapsed="false">
      <c r="A1252" s="1649" t="s">
        <v>3537</v>
      </c>
      <c r="B1252" s="1630"/>
      <c r="C1252" s="1630" t="n">
        <f aca="false">C1245*C1241*C1232</f>
        <v>16</v>
      </c>
      <c r="D1252" s="1636"/>
      <c r="E1252" s="1636"/>
      <c r="F1252" s="1636"/>
      <c r="G1252" s="1636"/>
      <c r="H1252" s="1636"/>
      <c r="I1252" s="1644"/>
      <c r="J1252" s="1512"/>
      <c r="K1252" s="1649"/>
      <c r="L1252" s="1649"/>
      <c r="M1252" s="1649"/>
      <c r="N1252" s="1649"/>
      <c r="O1252" s="1649"/>
      <c r="P1252" s="1649"/>
      <c r="Q1252" s="1511"/>
      <c r="R1252" s="1641"/>
      <c r="S1252" s="1594"/>
      <c r="T1252" s="1594"/>
      <c r="U1252" s="1594"/>
      <c r="V1252" s="1594"/>
      <c r="W1252" s="1311"/>
      <c r="X1252" s="1311"/>
      <c r="Y1252" s="1311"/>
    </row>
    <row r="1253" customFormat="false" ht="15.75" hidden="false" customHeight="true" outlineLevel="1" collapsed="false">
      <c r="A1253" s="1649" t="s">
        <v>2785</v>
      </c>
      <c r="B1253" s="1630"/>
      <c r="C1253" s="1630" t="n">
        <f aca="false">(C1240*2+C1239*2+C1238)*C1233*C1246</f>
        <v>23.8280941686597</v>
      </c>
      <c r="D1253" s="1636"/>
      <c r="E1253" s="1636"/>
      <c r="F1253" s="1636"/>
      <c r="G1253" s="1636"/>
      <c r="H1253" s="1636"/>
      <c r="I1253" s="1644"/>
      <c r="J1253" s="1512"/>
      <c r="K1253" s="1649"/>
      <c r="L1253" s="1649"/>
      <c r="M1253" s="1649"/>
      <c r="N1253" s="1649"/>
      <c r="O1253" s="1649"/>
      <c r="P1253" s="1649"/>
      <c r="Q1253" s="1511"/>
      <c r="R1253" s="1641"/>
      <c r="S1253" s="1594"/>
      <c r="T1253" s="1594"/>
      <c r="U1253" s="1594"/>
      <c r="V1253" s="1594"/>
      <c r="W1253" s="1311"/>
      <c r="X1253" s="1311"/>
      <c r="Y1253" s="1311"/>
    </row>
    <row r="1254" customFormat="false" ht="15.75" hidden="false" customHeight="true" outlineLevel="1" collapsed="false">
      <c r="A1254" s="1649" t="s">
        <v>3538</v>
      </c>
      <c r="B1254" s="1630"/>
      <c r="C1254" s="1630" t="n">
        <f aca="false">C1245*C1246*C1233</f>
        <v>11</v>
      </c>
      <c r="D1254" s="1636"/>
      <c r="E1254" s="1636"/>
      <c r="F1254" s="1636"/>
      <c r="G1254" s="1636"/>
      <c r="H1254" s="1636"/>
      <c r="I1254" s="1644"/>
      <c r="J1254" s="1512"/>
      <c r="K1254" s="1649"/>
      <c r="L1254" s="1649"/>
      <c r="M1254" s="1649"/>
      <c r="N1254" s="1649"/>
      <c r="O1254" s="1649"/>
      <c r="P1254" s="1649"/>
      <c r="Q1254" s="1511"/>
      <c r="R1254" s="1641"/>
      <c r="S1254" s="1594"/>
      <c r="T1254" s="1594"/>
      <c r="U1254" s="1594"/>
      <c r="V1254" s="1594"/>
      <c r="W1254" s="1311"/>
      <c r="X1254" s="1311"/>
      <c r="Y1254" s="1311"/>
    </row>
    <row r="1255" customFormat="false" ht="15.75" hidden="false" customHeight="true" outlineLevel="1" collapsed="false">
      <c r="A1255" s="1649" t="s">
        <v>3539</v>
      </c>
      <c r="B1255" s="1630"/>
      <c r="C1255" s="1630" t="n">
        <f aca="false">(C1240*2+C1239*2+C1238)*C1232*D1235*E1235</f>
        <v>2.16619037896906</v>
      </c>
      <c r="D1255" s="1636"/>
      <c r="E1255" s="1636"/>
      <c r="F1255" s="1636"/>
      <c r="G1255" s="1636"/>
      <c r="H1255" s="1636"/>
      <c r="I1255" s="1644"/>
      <c r="J1255" s="1512"/>
      <c r="K1255" s="1649"/>
      <c r="L1255" s="1649"/>
      <c r="M1255" s="1649"/>
      <c r="N1255" s="1649"/>
      <c r="O1255" s="1649"/>
      <c r="P1255" s="1649"/>
      <c r="Q1255" s="1511"/>
      <c r="R1255" s="1641"/>
      <c r="S1255" s="1594"/>
      <c r="T1255" s="1594"/>
      <c r="U1255" s="1594"/>
      <c r="V1255" s="1594"/>
      <c r="W1255" s="1311"/>
      <c r="X1255" s="1311"/>
      <c r="Y1255" s="1311"/>
    </row>
    <row r="1256" customFormat="false" ht="15.75" hidden="false" customHeight="true" outlineLevel="1" collapsed="false">
      <c r="A1256" s="1649" t="s">
        <v>3540</v>
      </c>
      <c r="B1256" s="1630"/>
      <c r="C1256" s="1630" t="n">
        <f aca="false">(C1240*2+C1239*2+C1238)*C1232*D1236*E1236</f>
        <v>2.16619037896906</v>
      </c>
      <c r="D1256" s="1636"/>
      <c r="E1256" s="1636"/>
      <c r="F1256" s="1636"/>
      <c r="G1256" s="1636"/>
      <c r="H1256" s="1636"/>
      <c r="I1256" s="1644"/>
      <c r="J1256" s="1512"/>
      <c r="K1256" s="1649"/>
      <c r="L1256" s="1649"/>
      <c r="M1256" s="1649"/>
      <c r="N1256" s="1649"/>
      <c r="O1256" s="1649"/>
      <c r="P1256" s="1649"/>
      <c r="Q1256" s="1511"/>
      <c r="R1256" s="1641"/>
      <c r="S1256" s="1594"/>
      <c r="T1256" s="1594"/>
      <c r="U1256" s="1594"/>
      <c r="V1256" s="1594"/>
      <c r="W1256" s="1311"/>
      <c r="X1256" s="1311"/>
      <c r="Y1256" s="1311"/>
    </row>
    <row r="1257" customFormat="false" ht="15.75" hidden="false" customHeight="true" outlineLevel="1" collapsed="false">
      <c r="A1257" s="1649" t="s">
        <v>2661</v>
      </c>
      <c r="B1257" s="1630"/>
      <c r="C1257" s="1630" t="n">
        <f aca="false">(C1240*2+C1239*2+C1238)*C1232*D1237*E1237</f>
        <v>2.16619037896906</v>
      </c>
      <c r="D1257" s="1636"/>
      <c r="E1257" s="1636"/>
      <c r="F1257" s="1636"/>
      <c r="G1257" s="1636"/>
      <c r="H1257" s="1636"/>
      <c r="I1257" s="1644"/>
      <c r="J1257" s="1512"/>
      <c r="K1257" s="1649"/>
      <c r="L1257" s="1649"/>
      <c r="M1257" s="1649"/>
      <c r="N1257" s="1649"/>
      <c r="O1257" s="1649"/>
      <c r="P1257" s="1649"/>
      <c r="Q1257" s="1511"/>
      <c r="R1257" s="1641"/>
      <c r="S1257" s="1594"/>
      <c r="T1257" s="1594"/>
      <c r="U1257" s="1594"/>
      <c r="V1257" s="1594"/>
      <c r="W1257" s="1311"/>
      <c r="X1257" s="1311"/>
      <c r="Y1257" s="1311"/>
    </row>
    <row r="1258" customFormat="false" ht="15.75" hidden="false" customHeight="true" outlineLevel="1" collapsed="false">
      <c r="A1258" s="1654" t="s">
        <v>3541</v>
      </c>
      <c r="B1258" s="1655" t="s">
        <v>133</v>
      </c>
      <c r="C1258" s="1655" t="n">
        <f aca="false">C1251+C1253+C1255+C1256+C1257</f>
        <v>64.9857113690718</v>
      </c>
      <c r="D1258" s="1636" t="n">
        <f aca="false">(P1238+P1239*2+P1240*2)*(P1244-P1243+C1233*(P1246-P1245))+D1275*(D1235*E1235+D1236*E1236+D1237*E1237)</f>
        <v>57.4040450426801</v>
      </c>
      <c r="E1258" s="1636"/>
      <c r="F1258" s="1509"/>
      <c r="G1258" s="1510"/>
      <c r="H1258" s="1510"/>
      <c r="I1258" s="1644"/>
      <c r="J1258" s="1512"/>
      <c r="K1258" s="1649" t="s">
        <v>2047</v>
      </c>
      <c r="L1258" s="1649"/>
      <c r="M1258" s="1649"/>
      <c r="N1258" s="1649"/>
      <c r="O1258" s="1649"/>
      <c r="P1258" s="1649" t="n">
        <f aca="false">'Ввод данных'!BD441</f>
        <v>5.1</v>
      </c>
      <c r="Q1258" s="1656"/>
      <c r="R1258" s="1511"/>
      <c r="S1258" s="1511"/>
      <c r="T1258" s="1511"/>
      <c r="U1258" s="1511"/>
      <c r="V1258" s="1594"/>
      <c r="W1258" s="1311"/>
      <c r="X1258" s="1311"/>
      <c r="Y1258" s="1311"/>
    </row>
    <row r="1259" customFormat="false" ht="15.75" hidden="false" customHeight="true" outlineLevel="1" collapsed="false">
      <c r="A1259" s="1649" t="s">
        <v>3542</v>
      </c>
      <c r="B1259" s="1642" t="s">
        <v>133</v>
      </c>
      <c r="C1259" s="1642" t="n">
        <f aca="false">C1258</f>
        <v>64.9857113690718</v>
      </c>
      <c r="D1259" s="1649" t="n">
        <f aca="false">D1258-F1259-F1260-F1261-F1265-F1266</f>
        <v>57.4040450426801</v>
      </c>
      <c r="E1259" s="1636"/>
      <c r="F1259" s="1635"/>
      <c r="G1259" s="1510"/>
      <c r="H1259" s="1510"/>
      <c r="I1259" s="1644"/>
      <c r="J1259" s="1512"/>
      <c r="K1259" s="1649" t="s">
        <v>1546</v>
      </c>
      <c r="L1259" s="1649"/>
      <c r="M1259" s="1649"/>
      <c r="N1259" s="1649"/>
      <c r="O1259" s="1649"/>
      <c r="P1259" s="1649" t="n">
        <f aca="false">'Ввод данных'!BD442</f>
        <v>6.2</v>
      </c>
      <c r="Q1259" s="1656"/>
      <c r="R1259" s="1511"/>
      <c r="S1259" s="1511"/>
      <c r="T1259" s="1511"/>
      <c r="U1259" s="1511"/>
      <c r="V1259" s="1594"/>
      <c r="W1259" s="1311"/>
      <c r="X1259" s="1311"/>
      <c r="Y1259" s="1311"/>
    </row>
    <row r="1260" customFormat="false" ht="15.75" hidden="false" customHeight="true" outlineLevel="1" collapsed="false">
      <c r="A1260" s="1657" t="s">
        <v>3543</v>
      </c>
      <c r="B1260" s="1657"/>
      <c r="C1260" s="1658" t="s">
        <v>120</v>
      </c>
      <c r="D1260" s="1659" t="s">
        <v>853</v>
      </c>
      <c r="E1260" s="1643" t="n">
        <v>1</v>
      </c>
      <c r="F1260" s="1635"/>
      <c r="G1260" s="1510"/>
      <c r="H1260" s="1510"/>
      <c r="I1260" s="1644"/>
      <c r="J1260" s="1512"/>
      <c r="K1260" s="1643" t="s">
        <v>2048</v>
      </c>
      <c r="L1260" s="1643"/>
      <c r="M1260" s="1643"/>
      <c r="N1260" s="1643"/>
      <c r="O1260" s="1649"/>
      <c r="P1260" s="1649" t="n">
        <f aca="false">'Ввод данных'!BD443</f>
        <v>25</v>
      </c>
      <c r="Q1260" s="1656"/>
      <c r="R1260" s="1511"/>
      <c r="S1260" s="1511"/>
      <c r="T1260" s="1511"/>
      <c r="U1260" s="1511"/>
      <c r="V1260" s="1594"/>
      <c r="W1260" s="1311"/>
      <c r="X1260" s="1311"/>
      <c r="Y1260" s="1311"/>
    </row>
    <row r="1261" customFormat="false" ht="15.75" hidden="false" customHeight="true" outlineLevel="1" collapsed="false">
      <c r="A1261" s="1660" t="s">
        <v>3544</v>
      </c>
      <c r="B1261" s="1661"/>
      <c r="C1261" s="1642" t="s">
        <v>156</v>
      </c>
      <c r="D1261" s="1649" t="n">
        <f aca="false">SQRT((C1245/2)*(C1245/2)+C1243*C1243)</f>
        <v>3.33016516106934</v>
      </c>
      <c r="E1261" s="1662"/>
      <c r="F1261" s="1635"/>
      <c r="G1261" s="1594"/>
      <c r="H1261" s="1594"/>
      <c r="I1261" s="1644"/>
      <c r="J1261" s="1512"/>
      <c r="K1261" s="1643" t="s">
        <v>2048</v>
      </c>
      <c r="L1261" s="1643"/>
      <c r="M1261" s="1643"/>
      <c r="N1261" s="1643"/>
      <c r="O1261" s="1649"/>
      <c r="P1261" s="1649" t="n">
        <f aca="false">'Ввод данных'!BD444</f>
        <v>20</v>
      </c>
      <c r="Q1261" s="1656"/>
      <c r="R1261" s="1511"/>
      <c r="S1261" s="1511"/>
      <c r="T1261" s="1511"/>
      <c r="U1261" s="1511"/>
      <c r="V1261" s="1594"/>
      <c r="W1261" s="1311"/>
      <c r="X1261" s="1311"/>
      <c r="Y1261" s="1311"/>
    </row>
    <row r="1262" customFormat="false" ht="15.75" hidden="false" customHeight="true" outlineLevel="1" collapsed="false">
      <c r="A1262" s="1663" t="s">
        <v>3545</v>
      </c>
      <c r="B1262" s="1664"/>
      <c r="C1262" s="1658" t="s">
        <v>156</v>
      </c>
      <c r="D1262" s="1631" t="n">
        <f aca="false">'Ввод данных'!C433</f>
        <v>0.8</v>
      </c>
      <c r="E1262" s="1662"/>
      <c r="F1262" s="1635"/>
      <c r="G1262" s="1594"/>
      <c r="H1262" s="1594"/>
      <c r="I1262" s="1644"/>
      <c r="J1262" s="1512"/>
      <c r="K1262" s="1637"/>
      <c r="L1262" s="1637"/>
      <c r="M1262" s="1637"/>
      <c r="N1262" s="1637"/>
      <c r="O1262" s="1511"/>
      <c r="P1262" s="1511"/>
      <c r="Q1262" s="1656"/>
      <c r="R1262" s="1511"/>
      <c r="S1262" s="1511"/>
      <c r="T1262" s="1511"/>
      <c r="U1262" s="1511"/>
      <c r="V1262" s="1594"/>
      <c r="W1262" s="1311"/>
      <c r="X1262" s="1311"/>
      <c r="Y1262" s="1311"/>
    </row>
    <row r="1263" customFormat="false" ht="15.75" hidden="false" customHeight="true" outlineLevel="1" collapsed="false">
      <c r="A1263" s="1660" t="s">
        <v>3546</v>
      </c>
      <c r="B1263" s="1661"/>
      <c r="C1263" s="1642" t="s">
        <v>3434</v>
      </c>
      <c r="D1263" s="1649" t="n">
        <f aca="false">C1243/D1261</f>
        <v>0.660627894892025</v>
      </c>
      <c r="E1263" s="1662"/>
      <c r="F1263" s="1635"/>
      <c r="G1263" s="1594"/>
      <c r="H1263" s="1594"/>
      <c r="I1263" s="1644"/>
      <c r="J1263" s="1512"/>
      <c r="K1263" s="1637"/>
      <c r="L1263" s="1637"/>
      <c r="M1263" s="1637"/>
      <c r="N1263" s="1637"/>
      <c r="O1263" s="1511"/>
      <c r="P1263" s="1511"/>
      <c r="Q1263" s="1656"/>
      <c r="R1263" s="1511"/>
      <c r="S1263" s="1511"/>
      <c r="T1263" s="1511"/>
      <c r="U1263" s="1511"/>
      <c r="V1263" s="1594"/>
      <c r="W1263" s="1311"/>
      <c r="X1263" s="1311"/>
      <c r="Y1263" s="1311"/>
    </row>
    <row r="1264" customFormat="false" ht="15.75" hidden="false" customHeight="true" outlineLevel="1" collapsed="false">
      <c r="A1264" s="1660" t="s">
        <v>3547</v>
      </c>
      <c r="B1264" s="1665"/>
      <c r="C1264" s="1665"/>
      <c r="D1264" s="1596" t="n">
        <f aca="false">D1262/COS(D1263)</f>
        <v>1.01316211202677</v>
      </c>
      <c r="E1264" s="1662"/>
      <c r="F1264" s="1635"/>
      <c r="G1264" s="1594"/>
      <c r="H1264" s="1594"/>
      <c r="I1264" s="1644"/>
      <c r="J1264" s="1512"/>
      <c r="K1264" s="1637"/>
      <c r="L1264" s="1637"/>
      <c r="M1264" s="1637"/>
      <c r="N1264" s="1637"/>
      <c r="O1264" s="1511"/>
      <c r="P1264" s="1511"/>
      <c r="Q1264" s="1656"/>
      <c r="R1264" s="1511"/>
      <c r="S1264" s="1511"/>
      <c r="T1264" s="1511"/>
      <c r="U1264" s="1511"/>
      <c r="V1264" s="1594"/>
      <c r="W1264" s="1311"/>
      <c r="X1264" s="1311"/>
      <c r="Y1264" s="1311"/>
    </row>
    <row r="1265" customFormat="false" ht="15.75" hidden="false" customHeight="true" outlineLevel="1" collapsed="false">
      <c r="A1265" s="1660" t="s">
        <v>3548</v>
      </c>
      <c r="B1265" s="1661"/>
      <c r="C1265" s="1642" t="s">
        <v>156</v>
      </c>
      <c r="D1265" s="1649" t="n">
        <f aca="false">SQRT(D1261*D1261+C1240*C1240)</f>
        <v>3.65239647354993</v>
      </c>
      <c r="E1265" s="1662"/>
      <c r="F1265" s="1635"/>
      <c r="G1265" s="1594"/>
      <c r="H1265" s="1594"/>
      <c r="I1265" s="1644"/>
      <c r="J1265" s="1512"/>
      <c r="K1265" s="1637"/>
      <c r="L1265" s="1637"/>
      <c r="M1265" s="1637"/>
      <c r="N1265" s="1637"/>
      <c r="O1265" s="1511"/>
      <c r="P1265" s="1511"/>
      <c r="Q1265" s="1656"/>
      <c r="R1265" s="1511"/>
      <c r="S1265" s="1511"/>
      <c r="T1265" s="1511"/>
      <c r="U1265" s="1511"/>
      <c r="V1265" s="1594"/>
      <c r="W1265" s="1311"/>
      <c r="X1265" s="1311"/>
      <c r="Y1265" s="1311"/>
    </row>
    <row r="1266" customFormat="false" ht="15.75" hidden="false" customHeight="true" outlineLevel="1" collapsed="false">
      <c r="A1266" s="1660" t="s">
        <v>3549</v>
      </c>
      <c r="B1266" s="1661"/>
      <c r="C1266" s="1642" t="s">
        <v>156</v>
      </c>
      <c r="D1266" s="1649" t="n">
        <f aca="false">SQRT(D1265*D1265+C1239*C1239)</f>
        <v>4.67332857821917</v>
      </c>
      <c r="E1266" s="1662"/>
      <c r="F1266" s="1635"/>
      <c r="G1266" s="1510"/>
      <c r="H1266" s="1510"/>
      <c r="I1266" s="1644"/>
      <c r="J1266" s="1512"/>
      <c r="K1266" s="1637"/>
      <c r="L1266" s="1637"/>
      <c r="M1266" s="1637"/>
      <c r="N1266" s="1637"/>
      <c r="O1266" s="1511"/>
      <c r="P1266" s="1511"/>
      <c r="Q1266" s="1656"/>
      <c r="R1266" s="1511"/>
      <c r="S1266" s="1511"/>
      <c r="T1266" s="1511"/>
      <c r="U1266" s="1511"/>
      <c r="V1266" s="1594"/>
      <c r="W1266" s="1311"/>
      <c r="X1266" s="1311"/>
      <c r="Y1266" s="1311"/>
    </row>
    <row r="1267" customFormat="false" ht="15.75" hidden="false" customHeight="true" outlineLevel="1" collapsed="false">
      <c r="A1267" s="1663" t="s">
        <v>2609</v>
      </c>
      <c r="B1267" s="1664"/>
      <c r="C1267" s="1658" t="s">
        <v>133</v>
      </c>
      <c r="D1267" s="1659" t="n">
        <f aca="false">D1261*C1240+D1265*C1239*1.1+(C1238/2)*SQRT(C1244*C1244+C1243*C1243)</f>
        <v>21.2736541018041</v>
      </c>
      <c r="E1267" s="1662"/>
      <c r="F1267" s="1511"/>
      <c r="G1267" s="1510"/>
      <c r="H1267" s="1510"/>
      <c r="I1267" s="1644"/>
      <c r="J1267" s="1512" t="s">
        <v>3236</v>
      </c>
      <c r="K1267" s="1637"/>
      <c r="L1267" s="1637"/>
      <c r="M1267" s="1637"/>
      <c r="N1267" s="1637"/>
      <c r="O1267" s="1511"/>
      <c r="P1267" s="1511"/>
      <c r="Q1267" s="1656"/>
      <c r="R1267" s="1511"/>
      <c r="S1267" s="1511"/>
      <c r="T1267" s="1511"/>
      <c r="U1267" s="1511"/>
      <c r="V1267" s="1594"/>
      <c r="W1267" s="1311"/>
      <c r="X1267" s="1311"/>
      <c r="Y1267" s="1311"/>
    </row>
    <row r="1268" customFormat="false" ht="15.75" hidden="false" customHeight="true" outlineLevel="1" collapsed="false">
      <c r="A1268" s="1660" t="s">
        <v>3550</v>
      </c>
      <c r="B1268" s="1661"/>
      <c r="C1268" s="1642" t="s">
        <v>156</v>
      </c>
      <c r="D1268" s="1649" t="n">
        <f aca="false">D1261+D1264</f>
        <v>4.34332727309611</v>
      </c>
      <c r="E1268" s="1662"/>
      <c r="F1268" s="1636" t="s">
        <v>3551</v>
      </c>
      <c r="G1268" s="1658" t="n">
        <f aca="false">(C1241+C1246*C1233+D1235*E1235+D1236*E1236+D1237*E1237)*C1245</f>
        <v>30</v>
      </c>
      <c r="H1268" s="1666"/>
      <c r="I1268" s="1667" t="n">
        <f aca="false">((P1244-P1243+C1233*(P1246-P1245))+D1275*(D1236*E1236+D1237*E1237))*P1232</f>
        <v>45.1619037896906</v>
      </c>
      <c r="J1268" s="1668" t="n">
        <f aca="false">I1268*пристройка!AF190+G1268*пристройка!AF191</f>
        <v>30</v>
      </c>
      <c r="K1268" s="1637"/>
      <c r="L1268" s="1637"/>
      <c r="M1268" s="1637"/>
      <c r="N1268" s="1637"/>
      <c r="O1268" s="1511"/>
      <c r="P1268" s="1511"/>
      <c r="Q1268" s="1511"/>
      <c r="R1268" s="1511"/>
      <c r="S1268" s="1511"/>
      <c r="T1268" s="1511"/>
      <c r="U1268" s="1511"/>
      <c r="V1268" s="1594"/>
      <c r="W1268" s="1311"/>
      <c r="X1268" s="1311"/>
      <c r="Y1268" s="1311"/>
    </row>
    <row r="1269" customFormat="false" ht="15.75" hidden="false" customHeight="true" outlineLevel="1" collapsed="false">
      <c r="A1269" s="1660" t="s">
        <v>3552</v>
      </c>
      <c r="B1269" s="1661"/>
      <c r="C1269" s="1642" t="s">
        <v>156</v>
      </c>
      <c r="D1269" s="1649" t="n">
        <f aca="false">D1265+D1264</f>
        <v>4.6655585855767</v>
      </c>
      <c r="E1269" s="1662"/>
      <c r="F1269" s="1636"/>
      <c r="G1269" s="1510"/>
      <c r="H1269" s="1510"/>
      <c r="I1269" s="1644" t="s">
        <v>3553</v>
      </c>
      <c r="J1269" s="1668" t="n">
        <f aca="false">C1259*пристройка!AF191+D1259*пристройка!AF190</f>
        <v>64.9857113690718</v>
      </c>
      <c r="K1269" s="1637"/>
      <c r="L1269" s="1637"/>
      <c r="M1269" s="1637"/>
      <c r="N1269" s="1637"/>
      <c r="O1269" s="1511"/>
      <c r="P1269" s="1511"/>
      <c r="Q1269" s="1511"/>
      <c r="R1269" s="1511"/>
      <c r="S1269" s="1511"/>
      <c r="T1269" s="1511"/>
      <c r="U1269" s="1511"/>
      <c r="V1269" s="1594"/>
      <c r="W1269" s="1311"/>
      <c r="X1269" s="1311"/>
      <c r="Y1269" s="1311"/>
    </row>
    <row r="1270" customFormat="false" ht="15.75" hidden="false" customHeight="true" outlineLevel="1" collapsed="false">
      <c r="A1270" s="1660" t="s">
        <v>3554</v>
      </c>
      <c r="B1270" s="1661"/>
      <c r="C1270" s="1642" t="s">
        <v>156</v>
      </c>
      <c r="D1270" s="1649" t="n">
        <f aca="false">D1266+D1264</f>
        <v>5.68649069024593</v>
      </c>
      <c r="E1270" s="1662"/>
      <c r="F1270" s="1669" t="s">
        <v>3555</v>
      </c>
      <c r="G1270" s="1510"/>
      <c r="H1270" s="1510"/>
      <c r="I1270" s="1644" t="n">
        <f aca="false">J1269</f>
        <v>64.9857113690718</v>
      </c>
      <c r="J1270" s="1512" t="n">
        <f aca="false">J1268</f>
        <v>30</v>
      </c>
      <c r="K1270" s="1637"/>
      <c r="L1270" s="1637"/>
      <c r="M1270" s="1637"/>
      <c r="N1270" s="1637"/>
      <c r="O1270" s="1511"/>
      <c r="P1270" s="1511"/>
      <c r="Q1270" s="1514"/>
      <c r="R1270" s="1514"/>
      <c r="S1270" s="1662"/>
      <c r="T1270" s="1662"/>
      <c r="U1270" s="1637"/>
      <c r="V1270" s="1594"/>
      <c r="W1270" s="1311"/>
      <c r="X1270" s="1311"/>
      <c r="Y1270" s="1311"/>
    </row>
    <row r="1271" customFormat="false" ht="15.75" hidden="false" customHeight="true" outlineLevel="1" collapsed="false">
      <c r="A1271" s="1643" t="s">
        <v>3556</v>
      </c>
      <c r="B1271" s="1658"/>
      <c r="C1271" s="1658" t="s">
        <v>133</v>
      </c>
      <c r="D1271" s="1643" t="n">
        <f aca="false">D1268*C1240+D1269*C1239*1.2+SQRT(D1270*D1270-C1238/2*C1238/2)*C1238/2</f>
        <v>28.4356520007582</v>
      </c>
      <c r="E1271" s="1662"/>
      <c r="F1271" s="1662" t="s">
        <v>1873</v>
      </c>
      <c r="G1271" s="1510" t="n">
        <f aca="false">(P1259-P1258)/SIN(J1271)</f>
        <v>2.60405708906762</v>
      </c>
      <c r="H1271" s="1510"/>
      <c r="I1271" s="1644" t="s">
        <v>2997</v>
      </c>
      <c r="J1271" s="1512" t="n">
        <f aca="false">P1260*(3.14/180)</f>
        <v>0.436111111111111</v>
      </c>
      <c r="K1271" s="1637"/>
      <c r="L1271" s="1637"/>
      <c r="M1271" s="1637"/>
      <c r="N1271" s="1637"/>
      <c r="O1271" s="1511"/>
      <c r="P1271" s="1511"/>
      <c r="Q1271" s="1670"/>
      <c r="R1271" s="1670"/>
      <c r="S1271" s="1509"/>
      <c r="T1271" s="1511"/>
      <c r="U1271" s="1662"/>
      <c r="V1271" s="1594"/>
      <c r="W1271" s="1311"/>
      <c r="X1271" s="1311"/>
      <c r="Y1271" s="1311"/>
    </row>
    <row r="1272" customFormat="false" ht="15.75" hidden="false" customHeight="true" outlineLevel="1" collapsed="false">
      <c r="A1272" s="1663" t="s">
        <v>2610</v>
      </c>
      <c r="B1272" s="1664"/>
      <c r="C1272" s="1658" t="s">
        <v>133</v>
      </c>
      <c r="D1272" s="1659" t="n">
        <f aca="false">D1271</f>
        <v>28.4356520007582</v>
      </c>
      <c r="E1272" s="1659" t="n">
        <f aca="false">D1267</f>
        <v>21.2736541018041</v>
      </c>
      <c r="F1272" s="1662"/>
      <c r="G1272" s="1510"/>
      <c r="H1272" s="1510"/>
      <c r="I1272" s="1644"/>
      <c r="J1272" s="1512"/>
      <c r="K1272" s="1637"/>
      <c r="L1272" s="1637"/>
      <c r="M1272" s="1637"/>
      <c r="N1272" s="1637"/>
      <c r="O1272" s="1511"/>
      <c r="P1272" s="1511"/>
      <c r="Q1272" s="1670"/>
      <c r="R1272" s="1670"/>
      <c r="S1272" s="1509"/>
      <c r="T1272" s="1511"/>
      <c r="U1272" s="1662"/>
      <c r="V1272" s="1594"/>
      <c r="W1272" s="1311"/>
      <c r="X1272" s="1311"/>
      <c r="Y1272" s="1311"/>
    </row>
    <row r="1273" customFormat="false" ht="15.75" hidden="false" customHeight="true" outlineLevel="1" collapsed="false">
      <c r="A1273" s="1663" t="s">
        <v>3557</v>
      </c>
      <c r="B1273" s="1664"/>
      <c r="C1273" s="1658" t="s">
        <v>133</v>
      </c>
      <c r="D1273" s="1659" t="n">
        <f aca="false">D1272*1.55</f>
        <v>44.0752606011752</v>
      </c>
      <c r="E1273" s="1659"/>
      <c r="F1273" s="1662"/>
      <c r="G1273" s="1510"/>
      <c r="H1273" s="1510"/>
      <c r="I1273" s="1644"/>
      <c r="J1273" s="1512"/>
      <c r="K1273" s="1637"/>
      <c r="L1273" s="1637"/>
      <c r="M1273" s="1637"/>
      <c r="N1273" s="1637"/>
      <c r="O1273" s="1511"/>
      <c r="P1273" s="1511"/>
      <c r="Q1273" s="1670"/>
      <c r="R1273" s="1670"/>
      <c r="S1273" s="1509"/>
      <c r="T1273" s="1511"/>
      <c r="U1273" s="1662"/>
      <c r="V1273" s="1594"/>
      <c r="W1273" s="1311"/>
      <c r="X1273" s="1311"/>
      <c r="Y1273" s="1311"/>
    </row>
    <row r="1274" customFormat="false" ht="15.75" hidden="false" customHeight="true" outlineLevel="1" collapsed="false">
      <c r="A1274" s="1671" t="s">
        <v>2635</v>
      </c>
      <c r="B1274" s="1672"/>
      <c r="C1274" s="1672"/>
      <c r="D1274" s="1671"/>
      <c r="E1274" s="1643" t="n">
        <v>1</v>
      </c>
      <c r="F1274" s="1662" t="s">
        <v>1874</v>
      </c>
      <c r="G1274" s="1510" t="n">
        <f aca="false">SQRT(G1271*G1271+P1239*1.1*P1239)</f>
        <v>3.04238612327944</v>
      </c>
      <c r="H1274" s="1510"/>
      <c r="I1274" s="1644" t="s">
        <v>2997</v>
      </c>
      <c r="J1274" s="1512" t="n">
        <f aca="false">P1261*(3.14/180)</f>
        <v>0.348888888888889</v>
      </c>
      <c r="K1274" s="1637"/>
      <c r="L1274" s="1637"/>
      <c r="M1274" s="1637"/>
      <c r="N1274" s="1637"/>
      <c r="O1274" s="1511"/>
      <c r="P1274" s="1511"/>
      <c r="Q1274" s="1669"/>
      <c r="R1274" s="1669"/>
      <c r="S1274" s="1510"/>
      <c r="T1274" s="1637"/>
      <c r="U1274" s="1662"/>
      <c r="V1274" s="1594"/>
      <c r="W1274" s="1311"/>
      <c r="X1274" s="1311"/>
      <c r="Y1274" s="1311"/>
    </row>
    <row r="1275" customFormat="false" ht="15.75" hidden="false" customHeight="true" outlineLevel="1" collapsed="false">
      <c r="A1275" s="1654" t="s">
        <v>2572</v>
      </c>
      <c r="B1275" s="1655" t="s">
        <v>156</v>
      </c>
      <c r="C1275" s="1655" t="n">
        <f aca="false">C1240*2+C1239*2+C1238</f>
        <v>10.8309518948453</v>
      </c>
      <c r="D1275" s="1511" t="n">
        <f aca="false">P1238+P1239*2+P1240*2</f>
        <v>10.8309518948453</v>
      </c>
      <c r="E1275" s="1511" t="s">
        <v>2543</v>
      </c>
      <c r="F1275" s="1662" t="s">
        <v>2041</v>
      </c>
      <c r="G1275" s="1510" t="n">
        <f aca="false">(P1259-P1258)/SIN(J1274)*1.1</f>
        <v>3.53952428836402</v>
      </c>
      <c r="H1275" s="1510"/>
      <c r="I1275" s="1644"/>
      <c r="J1275" s="1512"/>
      <c r="K1275" s="1511"/>
      <c r="L1275" s="1511"/>
      <c r="M1275" s="1511"/>
      <c r="N1275" s="1511"/>
      <c r="O1275" s="1511"/>
      <c r="P1275" s="1511"/>
      <c r="Q1275" s="1670"/>
      <c r="R1275" s="1670"/>
      <c r="S1275" s="1509"/>
      <c r="T1275" s="1511"/>
      <c r="U1275" s="1662"/>
      <c r="V1275" s="1594"/>
      <c r="W1275" s="1311"/>
      <c r="X1275" s="1311"/>
      <c r="Y1275" s="1311"/>
    </row>
    <row r="1276" customFormat="false" ht="15.75" hidden="false" customHeight="true" outlineLevel="1" collapsed="false">
      <c r="A1276" s="1649" t="s">
        <v>3558</v>
      </c>
      <c r="B1276" s="1655"/>
      <c r="C1276" s="1655" t="n">
        <f aca="false">E1272*пристройка!AF191+G1280*пристройка!AF190</f>
        <v>21.2736541018041</v>
      </c>
      <c r="D1276" s="1511"/>
      <c r="E1276" s="1511"/>
      <c r="F1276" s="1662" t="s">
        <v>3559</v>
      </c>
      <c r="G1276" s="1510" t="n">
        <f aca="false">G1275*1.05</f>
        <v>3.71650050278222</v>
      </c>
      <c r="H1276" s="1510"/>
      <c r="I1276" s="1644"/>
      <c r="J1276" s="1512"/>
      <c r="K1276" s="1511"/>
      <c r="L1276" s="1511"/>
      <c r="M1276" s="1511"/>
      <c r="N1276" s="1511"/>
      <c r="O1276" s="1595"/>
      <c r="P1276" s="1511"/>
      <c r="Q1276" s="1670"/>
      <c r="R1276" s="1670"/>
      <c r="S1276" s="1509"/>
      <c r="T1276" s="1511"/>
      <c r="U1276" s="1662"/>
      <c r="V1276" s="1594"/>
      <c r="W1276" s="1311"/>
      <c r="X1276" s="1311"/>
      <c r="Y1276" s="1311"/>
    </row>
    <row r="1277" customFormat="false" ht="15.75" hidden="false" customHeight="true" outlineLevel="1" collapsed="false">
      <c r="A1277" s="1649" t="s">
        <v>3427</v>
      </c>
      <c r="B1277" s="1642" t="s">
        <v>133</v>
      </c>
      <c r="C1277" s="1642" t="n">
        <f aca="false">C1235*E1235+C1236*E1237</f>
        <v>32.5</v>
      </c>
      <c r="D1277" s="1511"/>
      <c r="E1277" s="1511"/>
      <c r="F1277" s="1662" t="s">
        <v>3560</v>
      </c>
      <c r="G1277" s="1510" t="n">
        <f aca="false">G1271*P1239</f>
        <v>3.90608563360143</v>
      </c>
      <c r="H1277" s="1510"/>
      <c r="I1277" s="1644"/>
      <c r="J1277" s="1512"/>
      <c r="K1277" s="1511"/>
      <c r="L1277" s="1511"/>
      <c r="M1277" s="1511"/>
      <c r="N1277" s="1511"/>
      <c r="O1277" s="1635"/>
      <c r="P1277" s="1635"/>
      <c r="Q1277" s="1670"/>
      <c r="R1277" s="1670"/>
      <c r="S1277" s="1509"/>
      <c r="T1277" s="1511"/>
      <c r="U1277" s="1662"/>
      <c r="V1277" s="1594"/>
      <c r="W1277" s="1311"/>
      <c r="X1277" s="1311"/>
      <c r="Y1277" s="1311"/>
    </row>
    <row r="1278" customFormat="false" ht="15.75" hidden="false" customHeight="true" outlineLevel="1" collapsed="false">
      <c r="A1278" s="1596"/>
      <c r="B1278" s="1673"/>
      <c r="C1278" s="1673"/>
      <c r="D1278" s="1596"/>
      <c r="E1278" s="1612"/>
      <c r="F1278" s="1662" t="s">
        <v>3561</v>
      </c>
      <c r="G1278" s="1510" t="n">
        <f aca="false">G1274*P1240</f>
        <v>8.87000356519366</v>
      </c>
      <c r="H1278" s="1510"/>
      <c r="I1278" s="1644"/>
      <c r="J1278" s="1512"/>
      <c r="K1278" s="1511"/>
      <c r="L1278" s="1511"/>
      <c r="M1278" s="1511"/>
      <c r="N1278" s="1511"/>
      <c r="O1278" s="1635"/>
      <c r="P1278" s="1635"/>
      <c r="Q1278" s="1670"/>
      <c r="R1278" s="1670"/>
      <c r="S1278" s="1509"/>
      <c r="T1278" s="1511"/>
      <c r="U1278" s="1662"/>
      <c r="V1278" s="1594"/>
      <c r="W1278" s="1311"/>
      <c r="X1278" s="1311"/>
      <c r="Y1278" s="1311"/>
    </row>
    <row r="1279" customFormat="false" ht="15.75" hidden="false" customHeight="true" outlineLevel="1" collapsed="false">
      <c r="A1279" s="1649" t="s">
        <v>3562</v>
      </c>
      <c r="B1279" s="1642"/>
      <c r="C1279" s="1642" t="n">
        <f aca="false">(C1240*C1245+(C1244-C1240)*C1238+(C1244-C1240)*((C1245-C1238)/2))*E1235</f>
        <v>16.25</v>
      </c>
      <c r="D1279" s="1511"/>
      <c r="E1279" s="1511"/>
      <c r="F1279" s="1662" t="s">
        <v>3563</v>
      </c>
      <c r="G1279" s="1510" t="n">
        <f aca="false">G1275*P1238*1.05/2</f>
        <v>3.71650050278222</v>
      </c>
      <c r="H1279" s="1510"/>
      <c r="I1279" s="1644"/>
      <c r="J1279" s="1512"/>
      <c r="K1279" s="1511"/>
      <c r="L1279" s="1511"/>
      <c r="M1279" s="1511"/>
      <c r="N1279" s="1511"/>
      <c r="O1279" s="1635"/>
      <c r="P1279" s="1635"/>
      <c r="Q1279" s="1669"/>
      <c r="R1279" s="1669"/>
      <c r="S1279" s="1510"/>
      <c r="T1279" s="1662"/>
      <c r="U1279" s="1662"/>
      <c r="V1279" s="1594"/>
      <c r="W1279" s="1311"/>
      <c r="X1279" s="1311"/>
      <c r="Y1279" s="1311"/>
    </row>
    <row r="1280" customFormat="false" ht="15.75" hidden="false" customHeight="true" outlineLevel="1" collapsed="false">
      <c r="A1280" s="1674" t="s">
        <v>3564</v>
      </c>
      <c r="B1280" s="1642" t="s">
        <v>156</v>
      </c>
      <c r="C1280" s="1642" t="n">
        <f aca="false">(D1268*2*1.1)*E1285+G1271*2*1.1*E1284</f>
        <v>9.55532000081144</v>
      </c>
      <c r="D1280" s="1636"/>
      <c r="E1280" s="1636"/>
      <c r="F1280" s="1662"/>
      <c r="G1280" s="1510" t="n">
        <f aca="false">SUM(G1276:G1279)</f>
        <v>20.2090902043595</v>
      </c>
      <c r="H1280" s="1510"/>
      <c r="I1280" s="1644" t="s">
        <v>3565</v>
      </c>
      <c r="J1280" s="1512"/>
      <c r="K1280" s="1675"/>
      <c r="L1280" s="1675"/>
      <c r="M1280" s="1675"/>
      <c r="N1280" s="1675"/>
      <c r="O1280" s="1635"/>
      <c r="P1280" s="1635"/>
      <c r="Q1280" s="1670"/>
      <c r="R1280" s="1670"/>
      <c r="S1280" s="1509"/>
      <c r="T1280" s="1511"/>
      <c r="U1280" s="1662"/>
      <c r="V1280" s="1594"/>
      <c r="W1280" s="1311"/>
      <c r="X1280" s="1311"/>
      <c r="Y1280" s="1311"/>
    </row>
    <row r="1281" customFormat="false" ht="15.75" hidden="false" customHeight="true" outlineLevel="1" collapsed="false">
      <c r="A1281" s="1674" t="s">
        <v>3566</v>
      </c>
      <c r="B1281" s="1642" t="s">
        <v>156</v>
      </c>
      <c r="C1281" s="1642" t="n">
        <f aca="false">(D1269*2*1.1+D1270*2*1.1)*E1285+(G1274*2*1.1+G1275*2*1.1)*E1284</f>
        <v>22.7745084068098</v>
      </c>
      <c r="D1281" s="1636"/>
      <c r="E1281" s="1636"/>
      <c r="F1281" s="1662"/>
      <c r="G1281" s="1658" t="n">
        <f aca="false">G1280*1.5</f>
        <v>30.3136353065393</v>
      </c>
      <c r="H1281" s="1658"/>
      <c r="I1281" s="1676" t="s">
        <v>3567</v>
      </c>
      <c r="J1281" s="1512"/>
      <c r="K1281" s="1675"/>
      <c r="L1281" s="1675"/>
      <c r="M1281" s="1675"/>
      <c r="N1281" s="1675"/>
      <c r="O1281" s="1635"/>
      <c r="P1281" s="1635"/>
      <c r="Q1281" s="1670"/>
      <c r="R1281" s="1670"/>
      <c r="S1281" s="1509"/>
      <c r="T1281" s="1511"/>
      <c r="U1281" s="1662"/>
      <c r="V1281" s="1594"/>
      <c r="W1281" s="1311"/>
      <c r="X1281" s="1311"/>
      <c r="Y1281" s="1311"/>
    </row>
    <row r="1282" customFormat="false" ht="15.75" hidden="false" customHeight="true" outlineLevel="1" collapsed="false">
      <c r="A1282" s="1674" t="s">
        <v>3516</v>
      </c>
      <c r="B1282" s="1642" t="s">
        <v>156</v>
      </c>
      <c r="C1282" s="1642" t="n">
        <f aca="false">C1240*D1240*1.3*2+C1239*1.3*2+C1238*1.3</f>
        <v>14.0802374632989</v>
      </c>
      <c r="D1282" s="1636"/>
      <c r="E1282" s="1636"/>
      <c r="F1282" s="1511" t="s">
        <v>3568</v>
      </c>
      <c r="G1282" s="1510"/>
      <c r="H1282" s="1510"/>
      <c r="I1282" s="1644"/>
      <c r="J1282" s="1512"/>
      <c r="K1282" s="1675"/>
      <c r="L1282" s="1675"/>
      <c r="M1282" s="1675"/>
      <c r="N1282" s="1675"/>
      <c r="O1282" s="1511"/>
      <c r="P1282" s="1511"/>
      <c r="Q1282" s="1670"/>
      <c r="R1282" s="1670"/>
      <c r="S1282" s="1509"/>
      <c r="T1282" s="1511"/>
      <c r="U1282" s="1662"/>
      <c r="V1282" s="1594"/>
      <c r="W1282" s="1311"/>
      <c r="X1282" s="1311"/>
      <c r="Y1282" s="1311"/>
    </row>
    <row r="1283" customFormat="false" ht="15.75" hidden="false" customHeight="true" outlineLevel="1" collapsed="false">
      <c r="A1283" s="1677" t="s">
        <v>1080</v>
      </c>
      <c r="B1283" s="1658" t="s">
        <v>156</v>
      </c>
      <c r="C1283" s="1658" t="n">
        <f aca="false">C1282</f>
        <v>14.0802374632989</v>
      </c>
      <c r="D1283" s="1636"/>
      <c r="E1283" s="1636"/>
      <c r="F1283" s="1662"/>
      <c r="G1283" s="1510"/>
      <c r="H1283" s="1510"/>
      <c r="I1283" s="1644"/>
      <c r="J1283" s="1512"/>
      <c r="K1283" s="1678"/>
      <c r="L1283" s="1678"/>
      <c r="M1283" s="1678"/>
      <c r="N1283" s="1678"/>
      <c r="O1283" s="1637"/>
      <c r="P1283" s="1510"/>
      <c r="Q1283" s="1656"/>
      <c r="R1283" s="1656"/>
      <c r="S1283" s="1656"/>
      <c r="T1283" s="1656"/>
      <c r="U1283" s="1662"/>
      <c r="V1283" s="1594"/>
      <c r="W1283" s="1311"/>
      <c r="X1283" s="1311"/>
      <c r="Y1283" s="1311"/>
    </row>
    <row r="1284" customFormat="false" ht="15.75" hidden="false" customHeight="true" outlineLevel="1" collapsed="false">
      <c r="A1284" s="1674" t="s">
        <v>3569</v>
      </c>
      <c r="B1284" s="1642"/>
      <c r="C1284" s="1642" t="n">
        <f aca="false">(E1272-C1275*1.2*D1262)*E1285+(G1280-D1275*1.2*D1262)*E1284</f>
        <v>10.8759402827526</v>
      </c>
      <c r="D1284" s="1636" t="s">
        <v>2543</v>
      </c>
      <c r="E1284" s="1636" t="n">
        <f aca="false">пристройка!AF190</f>
        <v>0</v>
      </c>
      <c r="F1284" s="1662"/>
      <c r="G1284" s="1596"/>
      <c r="H1284" s="1596"/>
      <c r="I1284" s="1679"/>
      <c r="J1284" s="1512"/>
      <c r="K1284" s="1675"/>
      <c r="L1284" s="1675"/>
      <c r="M1284" s="1675"/>
      <c r="N1284" s="1675"/>
      <c r="O1284" s="1637"/>
      <c r="P1284" s="1510"/>
      <c r="Q1284" s="1669"/>
      <c r="R1284" s="1669"/>
      <c r="S1284" s="1510"/>
      <c r="T1284" s="1662"/>
      <c r="U1284" s="1662"/>
      <c r="V1284" s="1594"/>
      <c r="W1284" s="1311"/>
      <c r="X1284" s="1311"/>
      <c r="Y1284" s="1311"/>
    </row>
    <row r="1285" customFormat="false" ht="15.75" hidden="false" customHeight="true" outlineLevel="1" collapsed="false">
      <c r="A1285" s="1677" t="s">
        <v>3565</v>
      </c>
      <c r="B1285" s="1642"/>
      <c r="C1285" s="1658" t="n">
        <f aca="false">D1272</f>
        <v>28.4356520007582</v>
      </c>
      <c r="D1285" s="1636" t="s">
        <v>2546</v>
      </c>
      <c r="E1285" s="1636" t="n">
        <f aca="false">пристройка!AF191</f>
        <v>1</v>
      </c>
      <c r="F1285" s="1662"/>
      <c r="G1285" s="1596"/>
      <c r="H1285" s="1596"/>
      <c r="I1285" s="1679"/>
      <c r="J1285" s="1512"/>
      <c r="K1285" s="1678"/>
      <c r="L1285" s="1678"/>
      <c r="M1285" s="1678"/>
      <c r="N1285" s="1678"/>
      <c r="O1285" s="1669"/>
      <c r="P1285" s="1510"/>
      <c r="Q1285" s="1656"/>
      <c r="R1285" s="1656"/>
      <c r="S1285" s="1656"/>
      <c r="T1285" s="1656"/>
      <c r="U1285" s="1656"/>
      <c r="V1285" s="1594"/>
      <c r="W1285" s="1311"/>
      <c r="X1285" s="1311"/>
      <c r="Y1285" s="1311"/>
    </row>
    <row r="1286" customFormat="false" ht="15.75" hidden="false" customHeight="true" outlineLevel="1" collapsed="false">
      <c r="A1286" s="1677" t="s">
        <v>3567</v>
      </c>
      <c r="B1286" s="1642"/>
      <c r="C1286" s="1658" t="n">
        <f aca="false">D1273</f>
        <v>44.0752606011752</v>
      </c>
      <c r="D1286" s="1596"/>
      <c r="E1286" s="1597"/>
      <c r="F1286" s="1662"/>
      <c r="G1286" s="1510"/>
      <c r="H1286" s="1510"/>
      <c r="I1286" s="1644"/>
      <c r="J1286" s="1512"/>
      <c r="K1286" s="1678"/>
      <c r="L1286" s="1678"/>
      <c r="M1286" s="1678"/>
      <c r="N1286" s="1678"/>
      <c r="O1286" s="1669"/>
      <c r="P1286" s="1510"/>
      <c r="Q1286" s="1508"/>
      <c r="R1286" s="1508"/>
      <c r="S1286" s="1508"/>
      <c r="T1286" s="1508"/>
      <c r="U1286" s="1637"/>
      <c r="V1286" s="1594"/>
      <c r="W1286" s="1311"/>
      <c r="X1286" s="1311"/>
      <c r="Y1286" s="1311"/>
    </row>
    <row r="1287" s="1621" customFormat="true" ht="15.75" hidden="false" customHeight="true" outlineLevel="0" collapsed="false">
      <c r="A1287" s="1680" t="s">
        <v>2852</v>
      </c>
      <c r="B1287" s="1681"/>
      <c r="C1287" s="1681"/>
      <c r="D1287" s="1680"/>
      <c r="E1287" s="1675"/>
      <c r="F1287" s="1675"/>
      <c r="G1287" s="1680"/>
      <c r="H1287" s="1680"/>
      <c r="I1287" s="1644"/>
      <c r="J1287" s="1512"/>
      <c r="K1287" s="1512"/>
      <c r="L1287" s="1512"/>
      <c r="M1287" s="1512"/>
      <c r="N1287" s="1512"/>
      <c r="O1287" s="1675"/>
      <c r="P1287" s="1675"/>
      <c r="Q1287" s="1675"/>
      <c r="R1287" s="1675"/>
      <c r="S1287" s="1619"/>
      <c r="T1287" s="1619"/>
      <c r="U1287" s="1619"/>
      <c r="V1287" s="1619"/>
      <c r="W1287" s="1620"/>
      <c r="X1287" s="1620"/>
      <c r="Y1287" s="1620"/>
    </row>
    <row r="1288" customFormat="false" ht="15.75" hidden="true" customHeight="true" outlineLevel="1" collapsed="false">
      <c r="A1288" s="1682" t="s">
        <v>3570</v>
      </c>
      <c r="B1288" s="1683"/>
      <c r="C1288" s="1683"/>
      <c r="D1288" s="1684"/>
      <c r="E1288" s="1684"/>
      <c r="F1288" s="1685"/>
      <c r="G1288" s="1682" t="s">
        <v>3571</v>
      </c>
      <c r="H1288" s="1684"/>
      <c r="I1288" s="1686"/>
      <c r="J1288" s="1684"/>
      <c r="K1288" s="1684"/>
      <c r="L1288" s="1684"/>
      <c r="M1288" s="1684"/>
      <c r="N1288" s="1684"/>
      <c r="O1288" s="1684"/>
      <c r="P1288" s="1685"/>
      <c r="Q1288" s="1230"/>
      <c r="R1288" s="1230"/>
      <c r="S1288" s="1230"/>
      <c r="T1288" s="1230"/>
      <c r="U1288" s="1230"/>
      <c r="V1288" s="1230"/>
      <c r="W1288" s="1230"/>
      <c r="X1288" s="1230"/>
      <c r="Y1288" s="1230"/>
    </row>
    <row r="1289" customFormat="false" ht="15.75" hidden="true" customHeight="true" outlineLevel="1" collapsed="false">
      <c r="A1289" s="1354" t="s">
        <v>1515</v>
      </c>
      <c r="B1289" s="1687" t="s">
        <v>1800</v>
      </c>
      <c r="C1289" s="1687" t="s">
        <v>293</v>
      </c>
      <c r="D1289" s="1354" t="s">
        <v>1802</v>
      </c>
      <c r="E1289" s="1354"/>
      <c r="F1289" s="1354" t="s">
        <v>3572</v>
      </c>
      <c r="G1289" s="1354" t="s">
        <v>2593</v>
      </c>
      <c r="H1289" s="1354"/>
      <c r="I1289" s="1688" t="s">
        <v>1800</v>
      </c>
      <c r="J1289" s="1354" t="s">
        <v>293</v>
      </c>
      <c r="K1289" s="1354" t="s">
        <v>1802</v>
      </c>
      <c r="L1289" s="1354" t="s">
        <v>209</v>
      </c>
      <c r="M1289" s="1354" t="s">
        <v>512</v>
      </c>
      <c r="N1289" s="1354"/>
      <c r="O1289" s="1354"/>
      <c r="P1289" s="1354" t="s">
        <v>3573</v>
      </c>
      <c r="Q1289" s="1311"/>
      <c r="R1289" s="1230"/>
      <c r="S1289" s="1230"/>
      <c r="T1289" s="1230"/>
      <c r="U1289" s="1230"/>
      <c r="V1289" s="1230"/>
      <c r="W1289" s="1230"/>
      <c r="X1289" s="1230"/>
      <c r="Y1289" s="1230"/>
    </row>
    <row r="1290" customFormat="false" ht="15.75" hidden="true" customHeight="true" outlineLevel="1" collapsed="false">
      <c r="A1290" s="1290" t="str">
        <f aca="false">'Ввод данных'!A68</f>
        <v>Окна, Вариант 1, первый этаж</v>
      </c>
      <c r="B1290" s="1689" t="n">
        <f aca="false">B47</f>
        <v>1</v>
      </c>
      <c r="C1290" s="1689" t="n">
        <f aca="false">C47</f>
        <v>1.2</v>
      </c>
      <c r="D1290" s="1690" t="n">
        <f aca="false">D47</f>
        <v>1</v>
      </c>
      <c r="E1290" s="1290"/>
      <c r="F1290" s="1290" t="n">
        <f aca="false">B1290*C1290*D1290</f>
        <v>1.2</v>
      </c>
      <c r="G1290" s="1691" t="str">
        <f aca="false">'Ввод данных'!A91</f>
        <v>Дверь. Вариант 1, первый этаж</v>
      </c>
      <c r="H1290" s="1691" t="str">
        <f aca="false">'Ввод данных'!B91</f>
        <v>м.п.</v>
      </c>
      <c r="I1290" s="1691" t="n">
        <f aca="false">'Ввод данных'!C91</f>
        <v>0.8</v>
      </c>
      <c r="J1290" s="1691" t="n">
        <f aca="false">'Ввод данных'!D91</f>
        <v>2.1</v>
      </c>
      <c r="K1290" s="1691" t="n">
        <f aca="false">'Ввод данных'!E91</f>
        <v>0</v>
      </c>
      <c r="L1290" s="1691" t="n">
        <f aca="false">(J1290+J1290+I1290)*K1290</f>
        <v>0</v>
      </c>
      <c r="M1290" s="1691" t="n">
        <f aca="false">I1290*J1290*K1290</f>
        <v>0</v>
      </c>
      <c r="N1290" s="1690"/>
      <c r="O1290" s="1290"/>
      <c r="P1290" s="1290" t="n">
        <f aca="false">I1290*J1290*K1290</f>
        <v>0</v>
      </c>
      <c r="Q1290" s="1311"/>
      <c r="R1290" s="1230"/>
      <c r="S1290" s="1230"/>
      <c r="T1290" s="1230"/>
      <c r="U1290" s="1230"/>
      <c r="V1290" s="1230"/>
      <c r="W1290" s="1230"/>
      <c r="X1290" s="1230"/>
      <c r="Y1290" s="1230"/>
    </row>
    <row r="1291" customFormat="false" ht="15.75" hidden="true" customHeight="true" outlineLevel="1" collapsed="false">
      <c r="A1291" s="1290" t="str">
        <f aca="false">'Ввод данных'!A69</f>
        <v>Окна, Вариант 2, первый этаж</v>
      </c>
      <c r="B1291" s="1689" t="n">
        <f aca="false">B48</f>
        <v>0.6</v>
      </c>
      <c r="C1291" s="1689" t="n">
        <f aca="false">C48</f>
        <v>0.6</v>
      </c>
      <c r="D1291" s="1690" t="n">
        <f aca="false">D48</f>
        <v>0</v>
      </c>
      <c r="E1291" s="1290"/>
      <c r="F1291" s="1290" t="n">
        <f aca="false">B1291*C1291*D1291</f>
        <v>0</v>
      </c>
      <c r="G1291" s="1691" t="str">
        <f aca="false">'Ввод данных'!A92</f>
        <v>Дверь. Вариант 2, первый этаж</v>
      </c>
      <c r="H1291" s="1691" t="str">
        <f aca="false">'Ввод данных'!B92</f>
        <v>м.п.</v>
      </c>
      <c r="I1291" s="1691" t="n">
        <f aca="false">'Ввод данных'!C92</f>
        <v>0.6</v>
      </c>
      <c r="J1291" s="1691" t="n">
        <f aca="false">'Ввод данных'!D92</f>
        <v>2</v>
      </c>
      <c r="K1291" s="1691" t="n">
        <f aca="false">'Ввод данных'!E92</f>
        <v>0</v>
      </c>
      <c r="L1291" s="1691" t="n">
        <f aca="false">(J1291+J1291+I1291)*K1291</f>
        <v>0</v>
      </c>
      <c r="M1291" s="1691" t="n">
        <f aca="false">I1291*J1291*K1291</f>
        <v>0</v>
      </c>
      <c r="N1291" s="1690"/>
      <c r="O1291" s="1290"/>
      <c r="P1291" s="1290" t="n">
        <f aca="false">I1291*J1291*K1291</f>
        <v>0</v>
      </c>
      <c r="Q1291" s="1311"/>
      <c r="R1291" s="1230"/>
      <c r="S1291" s="1230"/>
      <c r="T1291" s="1230"/>
      <c r="U1291" s="1230"/>
      <c r="V1291" s="1230"/>
      <c r="W1291" s="1230"/>
      <c r="X1291" s="1230"/>
      <c r="Y1291" s="1230"/>
    </row>
    <row r="1292" customFormat="false" ht="15.75" hidden="true" customHeight="true" outlineLevel="1" collapsed="false">
      <c r="A1292" s="1290" t="str">
        <f aca="false">'Ввод данных'!A70</f>
        <v>Окна, Вариант 3, первый этаж</v>
      </c>
      <c r="B1292" s="1689" t="n">
        <f aca="false">B49</f>
        <v>1</v>
      </c>
      <c r="C1292" s="1689" t="n">
        <f aca="false">C49</f>
        <v>2</v>
      </c>
      <c r="D1292" s="1690" t="n">
        <f aca="false">D49</f>
        <v>0</v>
      </c>
      <c r="E1292" s="1290"/>
      <c r="F1292" s="1290" t="n">
        <f aca="false">B1292*C1292*D1292</f>
        <v>0</v>
      </c>
      <c r="G1292" s="1691" t="str">
        <f aca="false">'Ввод данных'!A93</f>
        <v>Проем без дверей Вариант 1, 1 этаж</v>
      </c>
      <c r="H1292" s="1691" t="str">
        <f aca="false">'Ввод данных'!B93</f>
        <v>м.п.</v>
      </c>
      <c r="I1292" s="1691" t="n">
        <f aca="false">'Ввод данных'!C93</f>
        <v>2</v>
      </c>
      <c r="J1292" s="1691" t="n">
        <f aca="false">'Ввод данных'!D93</f>
        <v>2.3</v>
      </c>
      <c r="K1292" s="1691" t="n">
        <f aca="false">'Ввод данных'!E93</f>
        <v>0</v>
      </c>
      <c r="L1292" s="1691" t="n">
        <f aca="false">(J1292+J1292+I1292)*K1292</f>
        <v>0</v>
      </c>
      <c r="M1292" s="1691" t="n">
        <f aca="false">I1292*J1292*K1292</f>
        <v>0</v>
      </c>
      <c r="N1292" s="1690"/>
      <c r="O1292" s="1290"/>
      <c r="P1292" s="1290" t="n">
        <f aca="false">I1292*J1292*K1292</f>
        <v>0</v>
      </c>
      <c r="Q1292" s="1311"/>
      <c r="R1292" s="1230"/>
      <c r="S1292" s="1230"/>
      <c r="T1292" s="1230"/>
      <c r="U1292" s="1230"/>
      <c r="V1292" s="1230"/>
      <c r="W1292" s="1230"/>
      <c r="X1292" s="1230"/>
      <c r="Y1292" s="1230"/>
    </row>
    <row r="1293" customFormat="false" ht="15.75" hidden="true" customHeight="true" outlineLevel="1" collapsed="false">
      <c r="A1293" s="1290" t="str">
        <f aca="false">'Ввод данных'!A71</f>
        <v>Окна, Вариант 4, первый этаж</v>
      </c>
      <c r="B1293" s="1689" t="n">
        <f aca="false">B50</f>
        <v>0.6</v>
      </c>
      <c r="C1293" s="1689" t="n">
        <f aca="false">C50</f>
        <v>1.5</v>
      </c>
      <c r="D1293" s="1690" t="n">
        <f aca="false">D50</f>
        <v>0</v>
      </c>
      <c r="E1293" s="1290"/>
      <c r="F1293" s="1290" t="n">
        <f aca="false">B1293*C1293*D1293</f>
        <v>0</v>
      </c>
      <c r="G1293" s="1290" t="str">
        <f aca="false">'Ввод данных'!A95</f>
        <v>Дверь. Вариант 3, первый этаж</v>
      </c>
      <c r="H1293" s="1290" t="str">
        <f aca="false">'Ввод данных'!B95</f>
        <v>м.п.</v>
      </c>
      <c r="I1293" s="1290" t="n">
        <f aca="false">'Ввод данных'!C95</f>
        <v>0.9</v>
      </c>
      <c r="J1293" s="1290" t="n">
        <f aca="false">'Ввод данных'!D95</f>
        <v>2.1</v>
      </c>
      <c r="K1293" s="1290" t="n">
        <f aca="false">'Ввод данных'!E95</f>
        <v>0</v>
      </c>
      <c r="L1293" s="1690" t="n">
        <f aca="false">(J1293+J1293+I1293)*K1293</f>
        <v>0</v>
      </c>
      <c r="M1293" s="1690" t="n">
        <f aca="false">I1293*J1293*K1293</f>
        <v>0</v>
      </c>
      <c r="N1293" s="1690"/>
      <c r="O1293" s="1290"/>
      <c r="P1293" s="1290" t="n">
        <f aca="false">I1293*J1293*K1293</f>
        <v>0</v>
      </c>
      <c r="Q1293" s="1311"/>
      <c r="R1293" s="1230"/>
      <c r="S1293" s="1230"/>
      <c r="T1293" s="1230"/>
      <c r="U1293" s="1230"/>
      <c r="V1293" s="1230"/>
      <c r="W1293" s="1230"/>
      <c r="X1293" s="1230"/>
      <c r="Y1293" s="1230"/>
    </row>
    <row r="1294" customFormat="false" ht="15.75" hidden="true" customHeight="true" outlineLevel="1" collapsed="false">
      <c r="A1294" s="1290" t="str">
        <f aca="false">'Ввод данных'!A72</f>
        <v>Окна, Вариант 5, первый этаж</v>
      </c>
      <c r="B1294" s="1689" t="n">
        <f aca="false">B51</f>
        <v>0.5</v>
      </c>
      <c r="C1294" s="1689" t="n">
        <f aca="false">C51</f>
        <v>1.5</v>
      </c>
      <c r="D1294" s="1690" t="n">
        <f aca="false">D51</f>
        <v>0</v>
      </c>
      <c r="E1294" s="1290"/>
      <c r="F1294" s="1290" t="n">
        <f aca="false">B1294*C1294*D1294</f>
        <v>0</v>
      </c>
      <c r="G1294" s="1290" t="str">
        <f aca="false">'Ввод данных'!A96</f>
        <v>Дверь. Вариант 4, первый этаж</v>
      </c>
      <c r="H1294" s="1290" t="n">
        <f aca="false">'Ввод данных'!B96</f>
        <v>0</v>
      </c>
      <c r="I1294" s="1290" t="n">
        <f aca="false">'Ввод данных'!C96</f>
        <v>1</v>
      </c>
      <c r="J1294" s="1290" t="n">
        <f aca="false">'Ввод данных'!D96</f>
        <v>2</v>
      </c>
      <c r="K1294" s="1290" t="n">
        <f aca="false">'Ввод данных'!E96</f>
        <v>0</v>
      </c>
      <c r="L1294" s="1690" t="n">
        <f aca="false">(J1294+J1294+I1294)*K1294</f>
        <v>0</v>
      </c>
      <c r="M1294" s="1690" t="n">
        <f aca="false">I1294*J1294*K1294</f>
        <v>0</v>
      </c>
      <c r="N1294" s="1690"/>
      <c r="O1294" s="1290"/>
      <c r="P1294" s="1290" t="n">
        <f aca="false">I1294*J1294*K1294</f>
        <v>0</v>
      </c>
      <c r="Q1294" s="1311"/>
      <c r="R1294" s="1230"/>
      <c r="S1294" s="1230"/>
      <c r="T1294" s="1230"/>
      <c r="U1294" s="1230"/>
      <c r="V1294" s="1230"/>
      <c r="W1294" s="1230"/>
      <c r="X1294" s="1230"/>
      <c r="Y1294" s="1230"/>
    </row>
    <row r="1295" customFormat="false" ht="15.75" hidden="true" customHeight="true" outlineLevel="1" collapsed="false">
      <c r="A1295" s="1290" t="str">
        <f aca="false">'Ввод данных'!A77</f>
        <v>Окна, Вариант 6, второй этаж</v>
      </c>
      <c r="B1295" s="1689" t="n">
        <f aca="false">B52</f>
        <v>0.6</v>
      </c>
      <c r="C1295" s="1689" t="n">
        <f aca="false">C52</f>
        <v>0.6</v>
      </c>
      <c r="D1295" s="1690" t="n">
        <f aca="false">D52</f>
        <v>0</v>
      </c>
      <c r="E1295" s="1290"/>
      <c r="F1295" s="1290" t="n">
        <f aca="false">B1295*C1295*D1295</f>
        <v>0</v>
      </c>
      <c r="G1295" s="1290" t="str">
        <f aca="false">'Ввод данных'!A97</f>
        <v>Проем без дверей Вариант 2, 1 этаж</v>
      </c>
      <c r="H1295" s="1290" t="str">
        <f aca="false">'Ввод данных'!B97</f>
        <v>м.п.</v>
      </c>
      <c r="I1295" s="1290" t="n">
        <f aca="false">'Ввод данных'!C97</f>
        <v>1.4</v>
      </c>
      <c r="J1295" s="1290" t="n">
        <f aca="false">'Ввод данных'!D97</f>
        <v>3</v>
      </c>
      <c r="K1295" s="1290" t="n">
        <f aca="false">'Ввод данных'!E97</f>
        <v>0</v>
      </c>
      <c r="L1295" s="1690" t="n">
        <f aca="false">(J1295+J1295+I1295)*K1295</f>
        <v>0</v>
      </c>
      <c r="M1295" s="1690" t="n">
        <f aca="false">I1295*J1295*K1295</f>
        <v>0</v>
      </c>
      <c r="N1295" s="1690"/>
      <c r="O1295" s="1290"/>
      <c r="P1295" s="1290" t="n">
        <f aca="false">I1295*J1295*K1295</f>
        <v>0</v>
      </c>
      <c r="Q1295" s="1311"/>
      <c r="R1295" s="1230"/>
      <c r="S1295" s="1230"/>
      <c r="T1295" s="1230"/>
      <c r="U1295" s="1230"/>
      <c r="V1295" s="1230"/>
      <c r="W1295" s="1230"/>
      <c r="X1295" s="1230"/>
      <c r="Y1295" s="1230"/>
    </row>
    <row r="1296" customFormat="false" ht="15.75" hidden="true" customHeight="true" outlineLevel="1" collapsed="false">
      <c r="A1296" s="1290" t="str">
        <f aca="false">'Ввод данных'!A78</f>
        <v>Окна, Вариант 7, второй этаж</v>
      </c>
      <c r="B1296" s="1689" t="n">
        <f aca="false">B53</f>
        <v>0.8</v>
      </c>
      <c r="C1296" s="1689" t="n">
        <f aca="false">C53</f>
        <v>0.8</v>
      </c>
      <c r="D1296" s="1690" t="n">
        <f aca="false">D53</f>
        <v>0</v>
      </c>
      <c r="E1296" s="1290"/>
      <c r="F1296" s="1290" t="n">
        <f aca="false">B1296*C1296*D1296</f>
        <v>0</v>
      </c>
      <c r="G1296" s="1691" t="str">
        <f aca="false">'Ввод данных'!A99</f>
        <v>Дверь. Вариант 5, второй этаж</v>
      </c>
      <c r="H1296" s="1691" t="str">
        <f aca="false">'Ввод данных'!B99</f>
        <v>м.п.</v>
      </c>
      <c r="I1296" s="1691" t="n">
        <f aca="false">'Ввод данных'!C99</f>
        <v>0.8</v>
      </c>
      <c r="J1296" s="1691" t="n">
        <f aca="false">'Ввод данных'!D99</f>
        <v>2.1</v>
      </c>
      <c r="K1296" s="1691" t="n">
        <f aca="false">'Ввод данных'!E99</f>
        <v>0</v>
      </c>
      <c r="L1296" s="1691" t="n">
        <f aca="false">(J1296+J1296+I1296)*K1296</f>
        <v>0</v>
      </c>
      <c r="M1296" s="1691" t="n">
        <f aca="false">I1296*J1296*K1296</f>
        <v>0</v>
      </c>
      <c r="N1296" s="1690"/>
      <c r="O1296" s="1290"/>
      <c r="P1296" s="1290" t="n">
        <f aca="false">I1296*J1296*K1296</f>
        <v>0</v>
      </c>
      <c r="Q1296" s="1311"/>
      <c r="R1296" s="1230"/>
      <c r="S1296" s="1230"/>
      <c r="T1296" s="1230"/>
      <c r="U1296" s="1230"/>
      <c r="V1296" s="1230"/>
      <c r="W1296" s="1230"/>
      <c r="X1296" s="1230"/>
      <c r="Y1296" s="1230"/>
    </row>
    <row r="1297" customFormat="false" ht="15.75" hidden="true" customHeight="true" outlineLevel="1" collapsed="false">
      <c r="A1297" s="1290" t="str">
        <f aca="false">'Ввод данных'!A79</f>
        <v>Окна, Вариант 8, второй этаж</v>
      </c>
      <c r="B1297" s="1689" t="n">
        <f aca="false">B54</f>
        <v>1</v>
      </c>
      <c r="C1297" s="1689" t="n">
        <f aca="false">C54</f>
        <v>0.7</v>
      </c>
      <c r="D1297" s="1690" t="n">
        <f aca="false">D54</f>
        <v>0</v>
      </c>
      <c r="E1297" s="1290"/>
      <c r="F1297" s="1290" t="n">
        <f aca="false">B1297*C1297*D1297</f>
        <v>0</v>
      </c>
      <c r="G1297" s="1691" t="str">
        <f aca="false">'Ввод данных'!A100</f>
        <v>Дверь. Вариант 6, второй этаж</v>
      </c>
      <c r="H1297" s="1691" t="str">
        <f aca="false">'Ввод данных'!B100</f>
        <v>м.п.</v>
      </c>
      <c r="I1297" s="1691" t="n">
        <f aca="false">'Ввод данных'!C100</f>
        <v>1</v>
      </c>
      <c r="J1297" s="1691" t="n">
        <f aca="false">'Ввод данных'!D100</f>
        <v>2</v>
      </c>
      <c r="K1297" s="1691" t="n">
        <f aca="false">'Ввод данных'!E100</f>
        <v>0</v>
      </c>
      <c r="L1297" s="1691" t="n">
        <f aca="false">(J1297+J1297+I1297)*K1297</f>
        <v>0</v>
      </c>
      <c r="M1297" s="1691" t="n">
        <f aca="false">I1297*J1297*K1297</f>
        <v>0</v>
      </c>
      <c r="N1297" s="1690"/>
      <c r="O1297" s="1290"/>
      <c r="P1297" s="1290"/>
      <c r="Q1297" s="1311"/>
      <c r="R1297" s="1230"/>
      <c r="S1297" s="1230"/>
      <c r="T1297" s="1230"/>
      <c r="U1297" s="1230"/>
      <c r="V1297" s="1230"/>
      <c r="W1297" s="1230"/>
      <c r="X1297" s="1230"/>
      <c r="Y1297" s="1230"/>
    </row>
    <row r="1298" customFormat="false" ht="15.75" hidden="true" customHeight="true" outlineLevel="1" collapsed="false">
      <c r="A1298" s="1290" t="str">
        <f aca="false">'Ввод данных'!A80</f>
        <v>Окна, Вариант 9, второй этаж</v>
      </c>
      <c r="B1298" s="1689" t="n">
        <f aca="false">B55</f>
        <v>5</v>
      </c>
      <c r="C1298" s="1689" t="n">
        <f aca="false">C55</f>
        <v>3</v>
      </c>
      <c r="D1298" s="1690" t="n">
        <f aca="false">D55</f>
        <v>0</v>
      </c>
      <c r="E1298" s="1290"/>
      <c r="F1298" s="1290" t="n">
        <f aca="false">B1298*C1298*D1298</f>
        <v>0</v>
      </c>
      <c r="G1298" s="1691" t="str">
        <f aca="false">'Ввод данных'!A101</f>
        <v>Проем без дверей Вариант 3, 2 этаж</v>
      </c>
      <c r="H1298" s="1691" t="str">
        <f aca="false">'Ввод данных'!B101</f>
        <v>м.п.</v>
      </c>
      <c r="I1298" s="1691" t="n">
        <f aca="false">'Ввод данных'!C101</f>
        <v>2</v>
      </c>
      <c r="J1298" s="1691" t="n">
        <f aca="false">'Ввод данных'!D101</f>
        <v>2.2</v>
      </c>
      <c r="K1298" s="1691" t="n">
        <f aca="false">'Ввод данных'!E101</f>
        <v>0</v>
      </c>
      <c r="L1298" s="1691" t="n">
        <f aca="false">(J1298+J1298+I1298)*K1298</f>
        <v>0</v>
      </c>
      <c r="M1298" s="1691" t="n">
        <f aca="false">I1298*J1298*K1298</f>
        <v>0</v>
      </c>
      <c r="N1298" s="1690"/>
      <c r="O1298" s="1290"/>
      <c r="P1298" s="1290"/>
      <c r="Q1298" s="1311"/>
      <c r="R1298" s="1230"/>
      <c r="S1298" s="1230"/>
      <c r="T1298" s="1230"/>
      <c r="U1298" s="1230"/>
      <c r="V1298" s="1230"/>
      <c r="W1298" s="1230"/>
      <c r="X1298" s="1230"/>
      <c r="Y1298" s="1230"/>
    </row>
    <row r="1299" customFormat="false" ht="15.75" hidden="true" customHeight="true" outlineLevel="1" collapsed="false">
      <c r="A1299" s="1290" t="str">
        <f aca="false">'Ввод данных'!A81</f>
        <v>Окна, Вариант 10, второй этаж</v>
      </c>
      <c r="B1299" s="1689" t="n">
        <f aca="false">B56</f>
        <v>6</v>
      </c>
      <c r="C1299" s="1689" t="n">
        <f aca="false">C56</f>
        <v>2</v>
      </c>
      <c r="D1299" s="1690" t="n">
        <f aca="false">D56</f>
        <v>0</v>
      </c>
      <c r="E1299" s="1290"/>
      <c r="F1299" s="1290" t="n">
        <f aca="false">B1299*C1299*D1299</f>
        <v>0</v>
      </c>
      <c r="G1299" s="1290" t="str">
        <f aca="false">'Ввод данных'!A103</f>
        <v>Дверь. Вариант 7, второй этаж</v>
      </c>
      <c r="H1299" s="1290" t="str">
        <f aca="false">'Ввод данных'!B103</f>
        <v>м.п.</v>
      </c>
      <c r="I1299" s="1290" t="n">
        <f aca="false">'Ввод данных'!C103</f>
        <v>1</v>
      </c>
      <c r="J1299" s="1290" t="n">
        <f aca="false">'Ввод данных'!D103</f>
        <v>2</v>
      </c>
      <c r="K1299" s="1290" t="n">
        <f aca="false">'Ввод данных'!E103</f>
        <v>0</v>
      </c>
      <c r="L1299" s="1690" t="n">
        <f aca="false">(J1299+J1299+I1299)*K1299</f>
        <v>0</v>
      </c>
      <c r="M1299" s="1690" t="n">
        <f aca="false">I1299*J1299*K1299</f>
        <v>0</v>
      </c>
      <c r="N1299" s="1690"/>
      <c r="O1299" s="1290"/>
      <c r="P1299" s="1290"/>
      <c r="Q1299" s="1311"/>
      <c r="R1299" s="1230"/>
      <c r="S1299" s="1230"/>
      <c r="T1299" s="1230"/>
      <c r="U1299" s="1230"/>
      <c r="V1299" s="1230"/>
      <c r="W1299" s="1230"/>
      <c r="X1299" s="1230"/>
      <c r="Y1299" s="1230"/>
    </row>
    <row r="1300" customFormat="false" ht="15.75" hidden="true" customHeight="true" outlineLevel="1" collapsed="false">
      <c r="A1300" s="1290" t="str">
        <f aca="false">'Ввод данных'!A73</f>
        <v>Дверь на балкон , первый этаж</v>
      </c>
      <c r="B1300" s="1689" t="n">
        <f aca="false">B57</f>
        <v>0.8</v>
      </c>
      <c r="C1300" s="1689" t="n">
        <f aca="false">C57</f>
        <v>2.1</v>
      </c>
      <c r="D1300" s="1690" t="n">
        <f aca="false">D57</f>
        <v>0</v>
      </c>
      <c r="E1300" s="1290"/>
      <c r="F1300" s="1290" t="n">
        <f aca="false">B1300*C1300*D1300</f>
        <v>0</v>
      </c>
      <c r="G1300" s="1290" t="str">
        <f aca="false">'Ввод данных'!A104</f>
        <v>Дверь. Вариант 8, второй этаж</v>
      </c>
      <c r="H1300" s="1290" t="str">
        <f aca="false">'Ввод данных'!B104</f>
        <v>м.п.</v>
      </c>
      <c r="I1300" s="1290" t="n">
        <f aca="false">'Ввод данных'!C104</f>
        <v>1</v>
      </c>
      <c r="J1300" s="1290" t="n">
        <f aca="false">'Ввод данных'!D104</f>
        <v>2</v>
      </c>
      <c r="K1300" s="1290" t="n">
        <f aca="false">'Ввод данных'!E104</f>
        <v>0</v>
      </c>
      <c r="L1300" s="1690" t="n">
        <f aca="false">(J1300+J1300+I1300)*K1300</f>
        <v>0</v>
      </c>
      <c r="M1300" s="1690" t="n">
        <f aca="false">I1300*J1300*K1300</f>
        <v>0</v>
      </c>
      <c r="N1300" s="1690"/>
      <c r="O1300" s="1290"/>
      <c r="P1300" s="1290"/>
      <c r="Q1300" s="1311"/>
      <c r="R1300" s="1230"/>
      <c r="S1300" s="1230"/>
      <c r="T1300" s="1230"/>
      <c r="U1300" s="1230"/>
      <c r="V1300" s="1230"/>
      <c r="W1300" s="1230"/>
      <c r="X1300" s="1230"/>
      <c r="Y1300" s="1230"/>
    </row>
    <row r="1301" customFormat="false" ht="15.75" hidden="true" customHeight="true" outlineLevel="1" collapsed="false">
      <c r="A1301" s="1290" t="str">
        <f aca="false">'Ввод данных'!A74</f>
        <v>Французское окно, Вариант 1</v>
      </c>
      <c r="B1301" s="1689" t="n">
        <f aca="false">B59</f>
        <v>2</v>
      </c>
      <c r="C1301" s="1689" t="n">
        <f aca="false">C59</f>
        <v>2</v>
      </c>
      <c r="D1301" s="1690" t="n">
        <f aca="false">D59</f>
        <v>0</v>
      </c>
      <c r="E1301" s="1290"/>
      <c r="F1301" s="1290" t="n">
        <f aca="false">B1301*C1301*D1301</f>
        <v>0</v>
      </c>
      <c r="G1301" s="1290" t="str">
        <f aca="false">'Ввод данных'!A105</f>
        <v>Проем без дверей Вариант 4, 2 этаж</v>
      </c>
      <c r="H1301" s="1290" t="str">
        <f aca="false">'Ввод данных'!B105</f>
        <v>м.п.</v>
      </c>
      <c r="I1301" s="1290" t="n">
        <f aca="false">'Ввод данных'!C105</f>
        <v>2</v>
      </c>
      <c r="J1301" s="1290" t="n">
        <f aca="false">'Ввод данных'!D105</f>
        <v>2</v>
      </c>
      <c r="K1301" s="1290" t="n">
        <f aca="false">'Ввод данных'!E105</f>
        <v>0</v>
      </c>
      <c r="L1301" s="1690" t="n">
        <f aca="false">(J1301+J1301+I1301)*K1301</f>
        <v>0</v>
      </c>
      <c r="M1301" s="1690" t="n">
        <f aca="false">I1301*J1301*K1301</f>
        <v>0</v>
      </c>
      <c r="N1301" s="1690"/>
      <c r="O1301" s="1290"/>
      <c r="P1301" s="1290"/>
      <c r="Q1301" s="1311"/>
      <c r="R1301" s="1230"/>
      <c r="S1301" s="1230"/>
      <c r="T1301" s="1230"/>
      <c r="U1301" s="1230"/>
      <c r="V1301" s="1230"/>
      <c r="W1301" s="1230"/>
      <c r="X1301" s="1230"/>
      <c r="Y1301" s="1230"/>
    </row>
    <row r="1302" customFormat="false" ht="15.75" hidden="true" customHeight="true" outlineLevel="1" collapsed="false">
      <c r="A1302" s="1290" t="str">
        <f aca="false">'Ввод данных'!A75</f>
        <v>Фрунцузское окно, Вариант 2</v>
      </c>
      <c r="B1302" s="1689" t="n">
        <f aca="false">B60</f>
        <v>0</v>
      </c>
      <c r="C1302" s="1689" t="n">
        <f aca="false">C60</f>
        <v>3</v>
      </c>
      <c r="D1302" s="1690" t="n">
        <f aca="false">D60</f>
        <v>0</v>
      </c>
      <c r="E1302" s="1290"/>
      <c r="F1302" s="1290" t="n">
        <f aca="false">B1302*C1302*D1302</f>
        <v>0</v>
      </c>
      <c r="G1302" s="1290"/>
      <c r="H1302" s="1290"/>
      <c r="I1302" s="1692"/>
      <c r="J1302" s="1690"/>
      <c r="K1302" s="1690"/>
      <c r="L1302" s="1690"/>
      <c r="M1302" s="1690"/>
      <c r="N1302" s="1690"/>
      <c r="O1302" s="1290"/>
      <c r="P1302" s="1290"/>
      <c r="Q1302" s="1311"/>
      <c r="R1302" s="1230"/>
      <c r="S1302" s="1230"/>
      <c r="T1302" s="1230"/>
      <c r="U1302" s="1230"/>
      <c r="V1302" s="1230"/>
      <c r="W1302" s="1230"/>
      <c r="X1302" s="1230"/>
      <c r="Y1302" s="1230"/>
    </row>
    <row r="1303" customFormat="false" ht="15.75" hidden="true" customHeight="true" outlineLevel="1" collapsed="false">
      <c r="A1303" s="1557" t="s">
        <v>3574</v>
      </c>
      <c r="B1303" s="1693"/>
      <c r="C1303" s="1693"/>
      <c r="D1303" s="1694"/>
      <c r="E1303" s="1695"/>
      <c r="F1303" s="1290" t="n">
        <f aca="false">SUM(F1290:F1302)</f>
        <v>1.2</v>
      </c>
      <c r="G1303" s="1290" t="s">
        <v>3575</v>
      </c>
      <c r="H1303" s="1290" t="s">
        <v>133</v>
      </c>
      <c r="I1303" s="1290" t="n">
        <f aca="false">M1290+M1291</f>
        <v>0</v>
      </c>
      <c r="J1303" s="1290"/>
      <c r="K1303" s="1290"/>
      <c r="L1303" s="933"/>
      <c r="M1303" s="1694"/>
      <c r="N1303" s="1694"/>
      <c r="O1303" s="1695"/>
      <c r="P1303" s="1290" t="n">
        <f aca="false">SUM(P1290:P1296)</f>
        <v>0</v>
      </c>
      <c r="Q1303" s="1696"/>
      <c r="R1303" s="1230"/>
      <c r="S1303" s="1230"/>
      <c r="T1303" s="1230"/>
      <c r="U1303" s="1230"/>
      <c r="V1303" s="1230"/>
      <c r="W1303" s="1230"/>
      <c r="X1303" s="1230"/>
      <c r="Y1303" s="1230"/>
    </row>
    <row r="1304" customFormat="false" ht="15.75" hidden="true" customHeight="true" outlineLevel="1" collapsed="false">
      <c r="A1304" s="1557"/>
      <c r="B1304" s="1693"/>
      <c r="C1304" s="1693"/>
      <c r="D1304" s="1694"/>
      <c r="E1304" s="1695"/>
      <c r="F1304" s="1290"/>
      <c r="G1304" s="1290" t="s">
        <v>3576</v>
      </c>
      <c r="H1304" s="1290" t="s">
        <v>133</v>
      </c>
      <c r="I1304" s="1290" t="n">
        <f aca="false">M1293+M1294</f>
        <v>0</v>
      </c>
      <c r="J1304" s="1290"/>
      <c r="K1304" s="1290"/>
      <c r="L1304" s="933"/>
      <c r="M1304" s="1694"/>
      <c r="N1304" s="1694"/>
      <c r="O1304" s="1695"/>
      <c r="P1304" s="1290"/>
      <c r="Q1304" s="1696"/>
      <c r="R1304" s="1230"/>
      <c r="S1304" s="1230"/>
      <c r="T1304" s="1230"/>
      <c r="U1304" s="1230"/>
      <c r="V1304" s="1230"/>
      <c r="W1304" s="1230"/>
      <c r="X1304" s="1230"/>
      <c r="Y1304" s="1230"/>
    </row>
    <row r="1305" customFormat="false" ht="15.75" hidden="true" customHeight="true" outlineLevel="1" collapsed="false">
      <c r="A1305" s="1557"/>
      <c r="B1305" s="1693"/>
      <c r="C1305" s="1693"/>
      <c r="D1305" s="1694"/>
      <c r="E1305" s="1695"/>
      <c r="F1305" s="1290"/>
      <c r="G1305" s="1290" t="s">
        <v>3577</v>
      </c>
      <c r="H1305" s="1290" t="s">
        <v>133</v>
      </c>
      <c r="I1305" s="1290" t="n">
        <f aca="false">M1296+M1297</f>
        <v>0</v>
      </c>
      <c r="J1305" s="1290"/>
      <c r="K1305" s="1290"/>
      <c r="L1305" s="933"/>
      <c r="M1305" s="1694"/>
      <c r="N1305" s="1694"/>
      <c r="O1305" s="1695"/>
      <c r="P1305" s="1290"/>
      <c r="Q1305" s="1696"/>
      <c r="R1305" s="1230"/>
      <c r="S1305" s="1230"/>
      <c r="T1305" s="1230"/>
      <c r="U1305" s="1230"/>
      <c r="V1305" s="1230"/>
      <c r="W1305" s="1230"/>
      <c r="X1305" s="1230"/>
      <c r="Y1305" s="1230"/>
    </row>
    <row r="1306" customFormat="false" ht="15.75" hidden="true" customHeight="true" outlineLevel="1" collapsed="false">
      <c r="A1306" s="1557"/>
      <c r="B1306" s="1693"/>
      <c r="C1306" s="1693"/>
      <c r="D1306" s="1694"/>
      <c r="E1306" s="1695"/>
      <c r="F1306" s="1290"/>
      <c r="G1306" s="1290" t="s">
        <v>3578</v>
      </c>
      <c r="H1306" s="1290" t="s">
        <v>133</v>
      </c>
      <c r="I1306" s="1290" t="n">
        <f aca="false">M1299+M1300</f>
        <v>0</v>
      </c>
      <c r="J1306" s="1290"/>
      <c r="K1306" s="1290"/>
      <c r="L1306" s="933"/>
      <c r="M1306" s="1694"/>
      <c r="N1306" s="1694"/>
      <c r="O1306" s="1695"/>
      <c r="P1306" s="1290"/>
      <c r="Q1306" s="1696"/>
      <c r="R1306" s="1230"/>
      <c r="S1306" s="1230"/>
      <c r="T1306" s="1230"/>
      <c r="U1306" s="1230"/>
      <c r="V1306" s="1230"/>
      <c r="W1306" s="1230"/>
      <c r="X1306" s="1230"/>
      <c r="Y1306" s="1230"/>
    </row>
    <row r="1307" customFormat="false" ht="15.75" hidden="true" customHeight="true" outlineLevel="1" collapsed="false">
      <c r="A1307" s="1557"/>
      <c r="B1307" s="1693"/>
      <c r="C1307" s="1693"/>
      <c r="D1307" s="1694"/>
      <c r="E1307" s="1695"/>
      <c r="F1307" s="1290"/>
      <c r="G1307" s="1290" t="s">
        <v>3579</v>
      </c>
      <c r="H1307" s="1290"/>
      <c r="I1307" s="1290" t="n">
        <f aca="false">L1290+L1291+L1292</f>
        <v>0</v>
      </c>
      <c r="J1307" s="1290"/>
      <c r="K1307" s="1290"/>
      <c r="L1307" s="933"/>
      <c r="M1307" s="1694"/>
      <c r="N1307" s="1694"/>
      <c r="O1307" s="1695"/>
      <c r="P1307" s="1290"/>
      <c r="Q1307" s="1696"/>
      <c r="R1307" s="1230"/>
      <c r="S1307" s="1230"/>
      <c r="T1307" s="1230"/>
      <c r="U1307" s="1230"/>
      <c r="V1307" s="1230"/>
      <c r="W1307" s="1230"/>
      <c r="X1307" s="1230"/>
      <c r="Y1307" s="1230"/>
    </row>
    <row r="1308" customFormat="false" ht="15.75" hidden="true" customHeight="true" outlineLevel="1" collapsed="false">
      <c r="A1308" s="1557"/>
      <c r="B1308" s="1693"/>
      <c r="C1308" s="1693"/>
      <c r="D1308" s="1694"/>
      <c r="E1308" s="1695"/>
      <c r="F1308" s="1290"/>
      <c r="G1308" s="1290" t="s">
        <v>3580</v>
      </c>
      <c r="H1308" s="1290"/>
      <c r="I1308" s="1290" t="n">
        <f aca="false">L1293+L1294+L1295</f>
        <v>0</v>
      </c>
      <c r="J1308" s="1290"/>
      <c r="K1308" s="1290"/>
      <c r="L1308" s="933"/>
      <c r="M1308" s="1694"/>
      <c r="N1308" s="1694"/>
      <c r="O1308" s="1695"/>
      <c r="P1308" s="1290"/>
      <c r="Q1308" s="1696"/>
      <c r="R1308" s="1230"/>
      <c r="S1308" s="1230"/>
      <c r="T1308" s="1230"/>
      <c r="U1308" s="1230"/>
      <c r="V1308" s="1230"/>
      <c r="W1308" s="1230"/>
      <c r="X1308" s="1230"/>
      <c r="Y1308" s="1230"/>
    </row>
    <row r="1309" customFormat="false" ht="15.75" hidden="true" customHeight="true" outlineLevel="1" collapsed="false">
      <c r="A1309" s="1557"/>
      <c r="B1309" s="1693"/>
      <c r="C1309" s="1693"/>
      <c r="D1309" s="1694"/>
      <c r="E1309" s="1695"/>
      <c r="F1309" s="1290"/>
      <c r="G1309" s="1290" t="s">
        <v>3579</v>
      </c>
      <c r="H1309" s="1290"/>
      <c r="I1309" s="1290" t="n">
        <f aca="false">L1296+L1297+L1298</f>
        <v>0</v>
      </c>
      <c r="J1309" s="1290"/>
      <c r="K1309" s="1290"/>
      <c r="L1309" s="933"/>
      <c r="M1309" s="1694"/>
      <c r="N1309" s="1694"/>
      <c r="O1309" s="1695"/>
      <c r="P1309" s="1290"/>
      <c r="Q1309" s="1696"/>
      <c r="R1309" s="1230"/>
      <c r="S1309" s="1230"/>
      <c r="T1309" s="1230"/>
      <c r="U1309" s="1230"/>
      <c r="V1309" s="1230"/>
      <c r="W1309" s="1230"/>
      <c r="X1309" s="1230"/>
      <c r="Y1309" s="1230"/>
    </row>
    <row r="1310" customFormat="false" ht="15.75" hidden="true" customHeight="true" outlineLevel="1" collapsed="false">
      <c r="A1310" s="1557"/>
      <c r="B1310" s="1693"/>
      <c r="C1310" s="1693"/>
      <c r="D1310" s="1694"/>
      <c r="E1310" s="1695"/>
      <c r="F1310" s="1290"/>
      <c r="G1310" s="1290" t="s">
        <v>3580</v>
      </c>
      <c r="H1310" s="1290"/>
      <c r="I1310" s="1290" t="n">
        <f aca="false">L1299+L1300+L1301</f>
        <v>0</v>
      </c>
      <c r="J1310" s="1290"/>
      <c r="K1310" s="1290"/>
      <c r="L1310" s="933"/>
      <c r="M1310" s="1694"/>
      <c r="N1310" s="1694"/>
      <c r="O1310" s="1695"/>
      <c r="P1310" s="1290"/>
      <c r="Q1310" s="1696"/>
      <c r="R1310" s="1230"/>
      <c r="S1310" s="1230"/>
      <c r="T1310" s="1230"/>
      <c r="U1310" s="1230"/>
      <c r="V1310" s="1230"/>
      <c r="W1310" s="1230"/>
      <c r="X1310" s="1230"/>
      <c r="Y1310" s="1230"/>
    </row>
    <row r="1311" customFormat="false" ht="15.75" hidden="true" customHeight="true" outlineLevel="1" collapsed="false">
      <c r="A1311" s="1354" t="s">
        <v>2069</v>
      </c>
      <c r="B1311" s="1687" t="s">
        <v>209</v>
      </c>
      <c r="C1311" s="1687" t="s">
        <v>273</v>
      </c>
      <c r="D1311" s="1354" t="s">
        <v>1802</v>
      </c>
      <c r="E1311" s="1354"/>
      <c r="F1311" s="1354" t="s">
        <v>3581</v>
      </c>
      <c r="G1311" s="1354" t="s">
        <v>1217</v>
      </c>
      <c r="H1311" s="1354"/>
      <c r="I1311" s="1688" t="s">
        <v>1800</v>
      </c>
      <c r="J1311" s="1354" t="s">
        <v>293</v>
      </c>
      <c r="K1311" s="1354" t="s">
        <v>1802</v>
      </c>
      <c r="L1311" s="1354"/>
      <c r="M1311" s="1354"/>
      <c r="N1311" s="1354"/>
      <c r="O1311" s="1354"/>
      <c r="P1311" s="1354" t="s">
        <v>3573</v>
      </c>
      <c r="Q1311" s="1311"/>
      <c r="R1311" s="1230"/>
      <c r="S1311" s="1230"/>
      <c r="T1311" s="1230"/>
      <c r="U1311" s="1230"/>
      <c r="V1311" s="1230"/>
      <c r="W1311" s="1230"/>
      <c r="X1311" s="1230"/>
      <c r="Y1311" s="1230"/>
    </row>
    <row r="1312" customFormat="false" ht="15.75" hidden="true" customHeight="true" outlineLevel="1" collapsed="false">
      <c r="A1312" s="1290" t="s">
        <v>2069</v>
      </c>
      <c r="B1312" s="1689"/>
      <c r="C1312" s="1689"/>
      <c r="D1312" s="1690"/>
      <c r="E1312" s="1690"/>
      <c r="F1312" s="1290" t="n">
        <f aca="false">B1312*C1312*D1312</f>
        <v>0</v>
      </c>
      <c r="G1312" s="1290" t="s">
        <v>3582</v>
      </c>
      <c r="H1312" s="1290"/>
      <c r="I1312" s="1692" t="n">
        <f aca="false">B74</f>
        <v>0.8</v>
      </c>
      <c r="J1312" s="1690" t="n">
        <f aca="false">C74</f>
        <v>2</v>
      </c>
      <c r="K1312" s="1690" t="n">
        <f aca="false">D74</f>
        <v>0</v>
      </c>
      <c r="L1312" s="1690"/>
      <c r="M1312" s="1690"/>
      <c r="N1312" s="1690"/>
      <c r="O1312" s="1290"/>
      <c r="P1312" s="1290" t="n">
        <f aca="false">I1312*J1312*K1312</f>
        <v>0</v>
      </c>
      <c r="Q1312" s="1696"/>
      <c r="R1312" s="1230"/>
      <c r="S1312" s="1230"/>
      <c r="T1312" s="1230"/>
      <c r="U1312" s="1230"/>
      <c r="V1312" s="1230"/>
      <c r="W1312" s="1230"/>
      <c r="X1312" s="1230"/>
      <c r="Y1312" s="1230"/>
    </row>
    <row r="1313" customFormat="false" ht="15.75" hidden="true" customHeight="true" outlineLevel="1" collapsed="false">
      <c r="A1313" s="1290"/>
      <c r="B1313" s="1527"/>
      <c r="C1313" s="1527"/>
      <c r="D1313" s="1290"/>
      <c r="E1313" s="1290"/>
      <c r="F1313" s="1290"/>
      <c r="G1313" s="1290" t="s">
        <v>1184</v>
      </c>
      <c r="H1313" s="1290"/>
      <c r="I1313" s="1692" t="n">
        <f aca="false">B75</f>
        <v>0.9</v>
      </c>
      <c r="J1313" s="1690" t="n">
        <f aca="false">C75</f>
        <v>2.1</v>
      </c>
      <c r="K1313" s="1690" t="n">
        <f aca="false">D75</f>
        <v>0</v>
      </c>
      <c r="L1313" s="1690"/>
      <c r="M1313" s="1690"/>
      <c r="N1313" s="1690"/>
      <c r="O1313" s="1290"/>
      <c r="P1313" s="1290" t="n">
        <f aca="false">I1313*J1313*K1313</f>
        <v>0</v>
      </c>
      <c r="Q1313" s="1696"/>
      <c r="R1313" s="1230"/>
      <c r="S1313" s="1230"/>
      <c r="T1313" s="1230"/>
      <c r="U1313" s="1230"/>
      <c r="V1313" s="1230"/>
      <c r="W1313" s="1230"/>
      <c r="X1313" s="1230"/>
      <c r="Y1313" s="1230"/>
    </row>
    <row r="1314" customFormat="false" ht="15.75" hidden="true" customHeight="true" outlineLevel="1" collapsed="false">
      <c r="A1314" s="1290"/>
      <c r="B1314" s="1527"/>
      <c r="C1314" s="1527"/>
      <c r="D1314" s="1290"/>
      <c r="E1314" s="1290"/>
      <c r="F1314" s="1290"/>
      <c r="G1314" s="1290"/>
      <c r="H1314" s="1290"/>
      <c r="I1314" s="1692" t="n">
        <f aca="false">B76</f>
        <v>1</v>
      </c>
      <c r="J1314" s="1690" t="n">
        <f aca="false">C76</f>
        <v>2</v>
      </c>
      <c r="K1314" s="1690" t="n">
        <f aca="false">D76</f>
        <v>0</v>
      </c>
      <c r="L1314" s="1690"/>
      <c r="M1314" s="1690"/>
      <c r="N1314" s="1690"/>
      <c r="O1314" s="1290"/>
      <c r="P1314" s="1290" t="n">
        <f aca="false">I1314*J1314*K1314</f>
        <v>0</v>
      </c>
      <c r="Q1314" s="1696"/>
      <c r="R1314" s="1230"/>
      <c r="S1314" s="1230"/>
      <c r="T1314" s="1230"/>
      <c r="U1314" s="1230"/>
      <c r="V1314" s="1230"/>
      <c r="W1314" s="1230"/>
      <c r="X1314" s="1230"/>
      <c r="Y1314" s="1230"/>
    </row>
    <row r="1315" customFormat="false" ht="15.75" hidden="true" customHeight="true" outlineLevel="1" collapsed="false">
      <c r="A1315" s="1557" t="s">
        <v>3583</v>
      </c>
      <c r="B1315" s="1693"/>
      <c r="C1315" s="1693"/>
      <c r="D1315" s="1694"/>
      <c r="E1315" s="1695"/>
      <c r="F1315" s="1290" t="n">
        <f aca="false">F1312</f>
        <v>0</v>
      </c>
      <c r="G1315" s="1557" t="s">
        <v>3584</v>
      </c>
      <c r="H1315" s="1694"/>
      <c r="I1315" s="1697"/>
      <c r="J1315" s="1694"/>
      <c r="K1315" s="1694"/>
      <c r="L1315" s="1694"/>
      <c r="M1315" s="1694"/>
      <c r="N1315" s="1694"/>
      <c r="O1315" s="1695"/>
      <c r="P1315" s="1290" t="n">
        <f aca="false">SUM(P1312:P1313)</f>
        <v>0</v>
      </c>
      <c r="Q1315" s="1696"/>
      <c r="R1315" s="1311"/>
      <c r="S1315" s="1311"/>
      <c r="T1315" s="1311"/>
      <c r="U1315" s="1311"/>
      <c r="V1315" s="1311"/>
      <c r="W1315" s="1311"/>
      <c r="X1315" s="1311"/>
      <c r="Y1315" s="1230"/>
    </row>
    <row r="1316" customFormat="false" ht="15.75" hidden="false" customHeight="true" outlineLevel="0" collapsed="false">
      <c r="A1316" s="1698" t="s">
        <v>3585</v>
      </c>
      <c r="B1316" s="1699"/>
      <c r="C1316" s="1699"/>
      <c r="D1316" s="1700"/>
      <c r="E1316" s="1700"/>
      <c r="F1316" s="1619"/>
      <c r="G1316" s="1700"/>
      <c r="H1316" s="1700"/>
      <c r="I1316" s="1700"/>
      <c r="J1316" s="1700"/>
      <c r="K1316" s="1700"/>
      <c r="L1316" s="1700"/>
      <c r="M1316" s="1700"/>
      <c r="N1316" s="1700"/>
      <c r="O1316" s="1700"/>
      <c r="P1316" s="1619"/>
      <c r="Q1316" s="1701"/>
      <c r="R1316" s="1619"/>
      <c r="S1316" s="1619"/>
      <c r="T1316" s="1619"/>
      <c r="U1316" s="1619"/>
      <c r="V1316" s="1619"/>
      <c r="W1316" s="1702"/>
      <c r="X1316" s="1702"/>
      <c r="Y1316" s="1311"/>
    </row>
    <row r="1317" customFormat="false" ht="15.75" hidden="true" customHeight="true" outlineLevel="1" collapsed="false">
      <c r="A1317" s="1682" t="s">
        <v>3586</v>
      </c>
      <c r="B1317" s="1683"/>
      <c r="C1317" s="1683"/>
      <c r="D1317" s="1684"/>
      <c r="E1317" s="1684"/>
      <c r="F1317" s="1684"/>
      <c r="G1317" s="1684"/>
      <c r="H1317" s="1684"/>
      <c r="I1317" s="1686"/>
      <c r="J1317" s="1685"/>
      <c r="K1317" s="1703"/>
      <c r="L1317" s="1703"/>
      <c r="M1317" s="1703"/>
      <c r="N1317" s="1703"/>
      <c r="O1317" s="1703"/>
      <c r="P1317" s="1702"/>
      <c r="Q1317" s="1696"/>
      <c r="R1317" s="1702"/>
      <c r="S1317" s="1702"/>
      <c r="T1317" s="1702"/>
      <c r="U1317" s="1702"/>
      <c r="V1317" s="1702"/>
      <c r="W1317" s="1702"/>
      <c r="X1317" s="1702"/>
      <c r="Y1317" s="1311"/>
    </row>
    <row r="1318" customFormat="false" ht="15.75" hidden="true" customHeight="true" outlineLevel="1" collapsed="false">
      <c r="A1318" s="1354" t="s">
        <v>1093</v>
      </c>
      <c r="B1318" s="1687" t="s">
        <v>3587</v>
      </c>
      <c r="C1318" s="1687" t="s">
        <v>1800</v>
      </c>
      <c r="D1318" s="1354" t="s">
        <v>853</v>
      </c>
      <c r="E1318" s="1354" t="s">
        <v>1992</v>
      </c>
      <c r="F1318" s="1354" t="s">
        <v>1931</v>
      </c>
      <c r="G1318" s="1704" t="s">
        <v>2751</v>
      </c>
      <c r="H1318" s="1704"/>
      <c r="I1318" s="1705" t="s">
        <v>3588</v>
      </c>
      <c r="J1318" s="1706"/>
      <c r="K1318" s="1230"/>
      <c r="L1318" s="1230"/>
      <c r="M1318" s="1230"/>
      <c r="N1318" s="1230"/>
      <c r="O1318" s="1311"/>
      <c r="P1318" s="1311"/>
      <c r="Q1318" s="1311"/>
      <c r="R1318" s="1311"/>
      <c r="S1318" s="1311"/>
      <c r="T1318" s="1311"/>
      <c r="U1318" s="1311"/>
      <c r="V1318" s="1311"/>
      <c r="W1318" s="1702"/>
      <c r="X1318" s="1702"/>
      <c r="Y1318" s="1230"/>
    </row>
    <row r="1319" customFormat="false" ht="15.75" hidden="true" customHeight="true" outlineLevel="1" collapsed="false">
      <c r="A1319" s="1290" t="s">
        <v>3589</v>
      </c>
      <c r="B1319" s="1707" t="n">
        <f aca="false">C15</f>
        <v>1</v>
      </c>
      <c r="C1319" s="1707" t="n">
        <f aca="false">C16</f>
        <v>10</v>
      </c>
      <c r="D1319" s="1708" t="n">
        <f aca="false">C17</f>
        <v>10</v>
      </c>
      <c r="E1319" s="1708" t="n">
        <f aca="false">C18</f>
        <v>3</v>
      </c>
      <c r="F1319" s="1708" t="n">
        <f aca="false">C23</f>
        <v>0</v>
      </c>
      <c r="G1319" s="1708" t="n">
        <f aca="false">C21</f>
        <v>0</v>
      </c>
      <c r="H1319" s="1708"/>
      <c r="I1319" s="1709" t="n">
        <f aca="false">C22</f>
        <v>0</v>
      </c>
      <c r="J1319" s="1710"/>
      <c r="K1319" s="1230"/>
      <c r="L1319" s="1230"/>
      <c r="M1319" s="1230"/>
      <c r="N1319" s="1230"/>
      <c r="O1319" s="1311"/>
      <c r="P1319" s="1311"/>
      <c r="Q1319" s="1311"/>
      <c r="R1319" s="1311"/>
      <c r="S1319" s="1311"/>
      <c r="T1319" s="1311"/>
      <c r="U1319" s="1311"/>
      <c r="V1319" s="1311"/>
      <c r="W1319" s="1702"/>
      <c r="X1319" s="1702"/>
      <c r="Y1319" s="1230"/>
    </row>
    <row r="1320" customFormat="false" ht="15.75" hidden="true" customHeight="true" outlineLevel="1" collapsed="false">
      <c r="A1320" s="1711" t="s">
        <v>1236</v>
      </c>
      <c r="B1320" s="1712" t="s">
        <v>120</v>
      </c>
      <c r="C1320" s="1713" t="s">
        <v>3590</v>
      </c>
      <c r="D1320" s="1711" t="s">
        <v>1802</v>
      </c>
      <c r="E1320" s="1711" t="s">
        <v>3591</v>
      </c>
      <c r="F1320" s="933" t="str">
        <f aca="false">'Ввод данных'!E111</f>
        <v>Высота L1</v>
      </c>
      <c r="G1320" s="933" t="str">
        <f aca="false">'Ввод данных'!F111</f>
        <v>Высота L2</v>
      </c>
      <c r="H1320" s="933"/>
      <c r="I1320" s="933" t="s">
        <v>3592</v>
      </c>
      <c r="J1320" s="933" t="s">
        <v>2860</v>
      </c>
      <c r="K1320" s="1714" t="s">
        <v>1236</v>
      </c>
      <c r="L1320" s="933"/>
      <c r="M1320" s="1711" t="s">
        <v>3593</v>
      </c>
      <c r="N1320" s="1711" t="s">
        <v>3594</v>
      </c>
      <c r="O1320" s="1711" t="s">
        <v>1802</v>
      </c>
      <c r="P1320" s="1711" t="s">
        <v>3573</v>
      </c>
      <c r="Q1320" s="933" t="str">
        <f aca="false">'Ввод данных'!E111</f>
        <v>Высота L1</v>
      </c>
      <c r="R1320" s="933" t="str">
        <f aca="false">'Ввод данных'!F111</f>
        <v>Высота L2</v>
      </c>
      <c r="S1320" s="1711" t="s">
        <v>3595</v>
      </c>
      <c r="T1320" s="933" t="s">
        <v>2860</v>
      </c>
      <c r="U1320" s="998"/>
      <c r="V1320" s="1311"/>
      <c r="W1320" s="1702"/>
      <c r="X1320" s="1702"/>
      <c r="Y1320" s="1311"/>
    </row>
    <row r="1321" customFormat="false" ht="15.75" hidden="true" customHeight="true" outlineLevel="1" collapsed="false">
      <c r="A1321" s="1608" t="s">
        <v>3596</v>
      </c>
      <c r="B1321" s="1527" t="s">
        <v>156</v>
      </c>
      <c r="C1321" s="1715" t="n">
        <f aca="false">'Ввод данных'!C112</f>
        <v>6</v>
      </c>
      <c r="D1321" s="1715" t="n">
        <f aca="false">'Ввод данных'!D112</f>
        <v>2</v>
      </c>
      <c r="E1321" s="1290" t="n">
        <f aca="false">J1321</f>
        <v>36</v>
      </c>
      <c r="F1321" s="933" t="n">
        <f aca="false">'Ввод данных'!E112</f>
        <v>0</v>
      </c>
      <c r="G1321" s="933" t="n">
        <f aca="false">'Ввод данных'!F112</f>
        <v>0</v>
      </c>
      <c r="H1321" s="933"/>
      <c r="I1321" s="933" t="n">
        <f aca="false">$I$1194</f>
        <v>0</v>
      </c>
      <c r="J1321" s="933" t="n">
        <f aca="false">(IF('Ввод данных'!$A$6=связи1!$A$97,(C1321)*F1321+(C1321*(G1321-F1321)/2),0)+IF('Ввод данных'!$A$6=связи1!$A$94,'Ввод данных'!$C$13*дома!C1321,0)+IF('Ввод данных'!$A$6=связи1!$A$95,'Ввод данных'!$C$13*дома!C1321,0)+IF('Ввод данных'!$A$6=связи1!$A$96,'Ввод данных'!$C$13*дома!C1321,0)+IF('Ввод данных'!$A$6=связи1!$A$98,'Ввод данных'!$C$13*дома!C1321,0))*D1321</f>
        <v>36</v>
      </c>
      <c r="K1321" s="1716" t="s">
        <v>3597</v>
      </c>
      <c r="L1321" s="1716"/>
      <c r="M1321" s="1290" t="s">
        <v>156</v>
      </c>
      <c r="N1321" s="1690" t="n">
        <f aca="false">'Ввод данных'!C128</f>
        <v>3.5</v>
      </c>
      <c r="O1321" s="1690" t="n">
        <f aca="false">'Ввод данных'!D128</f>
        <v>1</v>
      </c>
      <c r="P1321" s="1290" t="n">
        <f aca="false">T1321</f>
        <v>0</v>
      </c>
      <c r="Q1321" s="933" t="n">
        <f aca="false">'Ввод данных'!E128</f>
        <v>1.1</v>
      </c>
      <c r="R1321" s="933" t="n">
        <f aca="false">'Ввод данных'!F128</f>
        <v>2.2</v>
      </c>
      <c r="S1321" s="1690" t="n">
        <f aca="false">$I$1194</f>
        <v>0</v>
      </c>
      <c r="T1321" s="933" t="n">
        <f aca="false">(IF('Ввод данных'!$A$6=связи1!$A$96,(N1321)*Q1321+(N1321*(R1321-Q1321)/2),0)+IF('Ввод данных'!$A$6=связи1!$A$94,0,0)+IF('Ввод данных'!$A$6=связи1!$A$95,'Ввод данных'!$C$16*дома!N1321,0)+IF('Ввод данных'!$A$6=связи1!$A$97,0,0)+IF('Ввод данных'!$A$6=связи1!$A$98,(дома!N1321-дома!S1321)*(дома!R1321-дома!Q1321)+дома!N1321*дома!Q1321+дома!S1321*(дома!R1321-дома!Q1321)/2,0))*дома!O1321</f>
        <v>0</v>
      </c>
      <c r="U1321" s="998"/>
      <c r="V1321" s="1311"/>
      <c r="W1321" s="1702"/>
      <c r="X1321" s="1702"/>
      <c r="Y1321" s="1311"/>
    </row>
    <row r="1322" customFormat="false" ht="15.75" hidden="true" customHeight="true" outlineLevel="1" collapsed="false">
      <c r="A1322" s="1717"/>
      <c r="B1322" s="1527" t="s">
        <v>156</v>
      </c>
      <c r="C1322" s="1715" t="n">
        <f aca="false">'Ввод данных'!C113</f>
        <v>4</v>
      </c>
      <c r="D1322" s="1715" t="n">
        <f aca="false">'Ввод данных'!D113</f>
        <v>1</v>
      </c>
      <c r="E1322" s="1290" t="n">
        <f aca="false">J1322</f>
        <v>12</v>
      </c>
      <c r="F1322" s="933" t="n">
        <f aca="false">'Ввод данных'!E113</f>
        <v>0</v>
      </c>
      <c r="G1322" s="933" t="n">
        <f aca="false">'Ввод данных'!F113</f>
        <v>0</v>
      </c>
      <c r="H1322" s="933"/>
      <c r="I1322" s="933" t="n">
        <f aca="false">$I$1194</f>
        <v>0</v>
      </c>
      <c r="J1322" s="933" t="n">
        <f aca="false">(IF('Ввод данных'!$A$6=связи1!$A$97,(C1322)*F1322+(C1322*(G1322-F1322)/2),0)+IF('Ввод данных'!$A$6=связи1!$A$94,'Ввод данных'!$C$13*дома!C1322,0)+IF('Ввод данных'!$A$6=связи1!$A$95,'Ввод данных'!$C$13*дома!C1322,0)+IF('Ввод данных'!$A$6=связи1!$A$96,'Ввод данных'!$C$13*дома!C1322,0)+IF('Ввод данных'!$A$6=связи1!$A$98,'Ввод данных'!$C$13*дома!C1322,0))*D1322</f>
        <v>12</v>
      </c>
      <c r="K1322" s="1716"/>
      <c r="L1322" s="1716"/>
      <c r="M1322" s="1290" t="s">
        <v>156</v>
      </c>
      <c r="N1322" s="1690" t="n">
        <f aca="false">'Ввод данных'!C129</f>
        <v>0</v>
      </c>
      <c r="O1322" s="1690" t="n">
        <f aca="false">'Ввод данных'!D129</f>
        <v>0</v>
      </c>
      <c r="P1322" s="1290" t="n">
        <f aca="false">T1322</f>
        <v>0</v>
      </c>
      <c r="Q1322" s="933" t="n">
        <f aca="false">'Ввод данных'!E129</f>
        <v>0</v>
      </c>
      <c r="R1322" s="933" t="n">
        <f aca="false">'Ввод данных'!F129</f>
        <v>0</v>
      </c>
      <c r="S1322" s="1690" t="n">
        <f aca="false">$I$1194</f>
        <v>0</v>
      </c>
      <c r="T1322" s="933" t="n">
        <f aca="false">(IF('Ввод данных'!$A$6=связи1!$A$96,(N1322)*Q1322+(N1322*(R1322-Q1322)/2),0)+IF('Ввод данных'!$A$6=связи1!$A$94,0,0)+IF('Ввод данных'!$A$6=связи1!$A$95,'Ввод данных'!$C$16*дома!N1322,0)+IF('Ввод данных'!$A$6=связи1!$A$97,0,0)+IF('Ввод данных'!$A$6=связи1!$A$98,(дома!N1322-дома!S1322)*(дома!R1322-дома!Q1322)+дома!N1322*дома!Q1322+дома!S1322*(дома!R1322-дома!Q1322)/2,0))*дома!O1322</f>
        <v>0</v>
      </c>
      <c r="U1322" s="998"/>
      <c r="V1322" s="1311"/>
      <c r="W1322" s="1702"/>
      <c r="X1322" s="1702"/>
      <c r="Y1322" s="1311"/>
    </row>
    <row r="1323" customFormat="false" ht="15.75" hidden="true" customHeight="true" outlineLevel="1" collapsed="false">
      <c r="A1323" s="1717"/>
      <c r="B1323" s="1527" t="s">
        <v>156</v>
      </c>
      <c r="C1323" s="1715" t="n">
        <f aca="false">'Ввод данных'!C114</f>
        <v>0</v>
      </c>
      <c r="D1323" s="1715" t="n">
        <f aca="false">'Ввод данных'!D114</f>
        <v>0</v>
      </c>
      <c r="E1323" s="1290" t="n">
        <f aca="false">J1323</f>
        <v>0</v>
      </c>
      <c r="F1323" s="933" t="n">
        <f aca="false">'Ввод данных'!E114</f>
        <v>0</v>
      </c>
      <c r="G1323" s="933" t="n">
        <f aca="false">'Ввод данных'!F114</f>
        <v>0</v>
      </c>
      <c r="H1323" s="933"/>
      <c r="I1323" s="933" t="n">
        <f aca="false">$I$1194</f>
        <v>0</v>
      </c>
      <c r="J1323" s="933" t="n">
        <f aca="false">(IF('Ввод данных'!$A$6=связи1!$A$97,(C1323)*F1323+(C1323*(G1323-F1323)/2),0)+IF('Ввод данных'!$A$6=связи1!$A$94,'Ввод данных'!$C$13*дома!C1323,0)+IF('Ввод данных'!$A$6=связи1!$A$95,'Ввод данных'!$C$13*дома!C1323,0)+IF('Ввод данных'!$A$6=связи1!$A$96,'Ввод данных'!$C$13*дома!C1323,0)+IF('Ввод данных'!$A$6=связи1!$A$98,'Ввод данных'!$C$13*дома!C1323,0))*D1323</f>
        <v>0</v>
      </c>
      <c r="K1323" s="1716"/>
      <c r="L1323" s="1716"/>
      <c r="M1323" s="1290" t="s">
        <v>156</v>
      </c>
      <c r="N1323" s="1690" t="n">
        <f aca="false">'Ввод данных'!C130</f>
        <v>0</v>
      </c>
      <c r="O1323" s="1690" t="n">
        <f aca="false">'Ввод данных'!D130</f>
        <v>0</v>
      </c>
      <c r="P1323" s="1290" t="n">
        <f aca="false">T1323</f>
        <v>0</v>
      </c>
      <c r="Q1323" s="933" t="n">
        <f aca="false">'Ввод данных'!E130</f>
        <v>0</v>
      </c>
      <c r="R1323" s="933" t="n">
        <f aca="false">'Ввод данных'!F130</f>
        <v>0</v>
      </c>
      <c r="S1323" s="1690" t="n">
        <f aca="false">$I$1194</f>
        <v>0</v>
      </c>
      <c r="T1323" s="933" t="n">
        <f aca="false">(IF('Ввод данных'!$A$6=связи1!$A$96,(N1323)*Q1323+(N1323*(R1323-Q1323)/2),0)+IF('Ввод данных'!$A$6=связи1!$A$94,0,0)+IF('Ввод данных'!$A$6=связи1!$A$95,'Ввод данных'!$C$16*дома!N1323,0)+IF('Ввод данных'!$A$6=связи1!$A$97,0,0)+IF('Ввод данных'!$A$6=связи1!$A$98,(дома!N1323-дома!S1323)*(дома!R1323-дома!Q1323)+дома!N1323*дома!Q1323+дома!S1323*(дома!R1323-дома!Q1323)/2,0))*дома!O1323</f>
        <v>0</v>
      </c>
      <c r="U1323" s="998"/>
      <c r="V1323" s="1311"/>
      <c r="W1323" s="1702"/>
      <c r="X1323" s="1702"/>
      <c r="Y1323" s="1311"/>
    </row>
    <row r="1324" customFormat="false" ht="15.75" hidden="true" customHeight="true" outlineLevel="1" collapsed="false">
      <c r="A1324" s="1718"/>
      <c r="B1324" s="1527"/>
      <c r="C1324" s="1715" t="n">
        <f aca="false">'Ввод данных'!C115</f>
        <v>0</v>
      </c>
      <c r="D1324" s="1715" t="n">
        <f aca="false">'Ввод данных'!D115</f>
        <v>0</v>
      </c>
      <c r="E1324" s="1290" t="n">
        <f aca="false">J1324</f>
        <v>0</v>
      </c>
      <c r="F1324" s="933" t="n">
        <f aca="false">'Ввод данных'!E115</f>
        <v>0</v>
      </c>
      <c r="G1324" s="933" t="n">
        <f aca="false">'Ввод данных'!F115</f>
        <v>0</v>
      </c>
      <c r="H1324" s="933"/>
      <c r="I1324" s="933" t="n">
        <f aca="false">$I$1194</f>
        <v>0</v>
      </c>
      <c r="J1324" s="933" t="n">
        <f aca="false">(IF('Ввод данных'!$A$6=связи1!$A$97,(C1324)*F1324+(C1324*(G1324-F1324)/2),0)+IF('Ввод данных'!$A$6=связи1!$A$94,'Ввод данных'!$C$13*дома!C1324,0)+IF('Ввод данных'!$A$6=связи1!$A$95,'Ввод данных'!$C$13*дома!C1324,0)+IF('Ввод данных'!$A$6=связи1!$A$96,'Ввод данных'!$C$13*дома!C1324,0)+IF('Ввод данных'!$A$6=связи1!$A$98,'Ввод данных'!$C$13*дома!C1324,0))*D1324</f>
        <v>0</v>
      </c>
      <c r="K1324" s="1716"/>
      <c r="L1324" s="1716"/>
      <c r="M1324" s="1290" t="s">
        <v>156</v>
      </c>
      <c r="N1324" s="1690" t="n">
        <f aca="false">'Ввод данных'!C131</f>
        <v>0</v>
      </c>
      <c r="O1324" s="1690" t="n">
        <f aca="false">'Ввод данных'!D131</f>
        <v>0</v>
      </c>
      <c r="P1324" s="1290" t="n">
        <f aca="false">T1324</f>
        <v>0</v>
      </c>
      <c r="Q1324" s="933" t="n">
        <f aca="false">'Ввод данных'!E131</f>
        <v>0</v>
      </c>
      <c r="R1324" s="933" t="n">
        <f aca="false">'Ввод данных'!F131</f>
        <v>0</v>
      </c>
      <c r="S1324" s="1690" t="n">
        <f aca="false">$I$1194</f>
        <v>0</v>
      </c>
      <c r="T1324" s="933" t="n">
        <f aca="false">(IF('Ввод данных'!$A$6=связи1!$A$96,(N1324)*Q1324+(N1324*(R1324-Q1324)/2),0)+IF('Ввод данных'!$A$6=связи1!$A$94,0,0)+IF('Ввод данных'!$A$6=связи1!$A$95,'Ввод данных'!$C$16*дома!N1324,0)+IF('Ввод данных'!$A$6=связи1!$A$97,0,0)+IF('Ввод данных'!$A$6=связи1!$A$98,(дома!N1324-дома!S1324)*(дома!R1324-дома!Q1324)+дома!N1324*дома!Q1324+дома!S1324*(дома!R1324-дома!Q1324)/2,0))*дома!O1324</f>
        <v>0</v>
      </c>
      <c r="U1324" s="998"/>
      <c r="V1324" s="1311"/>
      <c r="W1324" s="1702"/>
      <c r="X1324" s="1702"/>
      <c r="Y1324" s="1311"/>
    </row>
    <row r="1325" customFormat="false" ht="15.75" hidden="true" customHeight="true" outlineLevel="1" collapsed="false">
      <c r="A1325" s="1608" t="s">
        <v>3598</v>
      </c>
      <c r="B1325" s="1527"/>
      <c r="C1325" s="1715" t="n">
        <f aca="false">'Ввод данных'!C116</f>
        <v>1.8</v>
      </c>
      <c r="D1325" s="1715" t="n">
        <f aca="false">'Ввод данных'!D116</f>
        <v>1</v>
      </c>
      <c r="E1325" s="1290" t="n">
        <f aca="false">J1325</f>
        <v>5.4</v>
      </c>
      <c r="F1325" s="933" t="n">
        <f aca="false">'Ввод данных'!E116</f>
        <v>0</v>
      </c>
      <c r="G1325" s="933" t="n">
        <f aca="false">'Ввод данных'!F116</f>
        <v>0</v>
      </c>
      <c r="H1325" s="933"/>
      <c r="I1325" s="933" t="n">
        <f aca="false">$I$1194</f>
        <v>0</v>
      </c>
      <c r="J1325" s="933" t="n">
        <f aca="false">(IF('Ввод данных'!$A$6=связи1!$A$97,(C1325)*F1325+(C1325*(G1325-F1325)/2),0)+IF('Ввод данных'!$A$6=связи1!$A$94,'Ввод данных'!$C$13*дома!C1325,0)+IF('Ввод данных'!$A$6=связи1!$A$95,'Ввод данных'!$C$13*дома!C1325,0)+IF('Ввод данных'!$A$6=связи1!$A$96,'Ввод данных'!$C$13*дома!C1325,0)+IF('Ввод данных'!$A$6=связи1!$A$98,'Ввод данных'!$C$13*дома!C1325,0))*D1325</f>
        <v>5.4</v>
      </c>
      <c r="K1325" s="1716" t="s">
        <v>3599</v>
      </c>
      <c r="L1325" s="1716"/>
      <c r="M1325" s="1290" t="s">
        <v>156</v>
      </c>
      <c r="N1325" s="1690" t="n">
        <f aca="false">'Ввод данных'!C132</f>
        <v>0</v>
      </c>
      <c r="O1325" s="1690" t="n">
        <f aca="false">'Ввод данных'!D132</f>
        <v>0</v>
      </c>
      <c r="P1325" s="1290" t="n">
        <f aca="false">T1325</f>
        <v>0</v>
      </c>
      <c r="Q1325" s="933" t="n">
        <f aca="false">'Ввод данных'!E132</f>
        <v>0</v>
      </c>
      <c r="R1325" s="933" t="n">
        <f aca="false">'Ввод данных'!F132</f>
        <v>0</v>
      </c>
      <c r="S1325" s="1690" t="n">
        <f aca="false">$I$1194</f>
        <v>0</v>
      </c>
      <c r="T1325" s="933" t="n">
        <f aca="false">(IF('Ввод данных'!$A$6=связи1!$A$96,(N1325)*Q1325+(N1325*(R1325-Q1325)/2),0)+IF('Ввод данных'!$A$6=связи1!$A$94,0,0)+IF('Ввод данных'!$A$6=связи1!$A$95,'Ввод данных'!$C$16*дома!N1325,0)+IF('Ввод данных'!$A$6=связи1!$A$97,0,0)+IF('Ввод данных'!$A$6=связи1!$A$98,(дома!N1325-дома!S1325)*(дома!R1325-дома!Q1325)+дома!N1325*дома!Q1325+дома!S1325*(дома!R1325-дома!Q1325)/2,0))*дома!O1325</f>
        <v>0</v>
      </c>
      <c r="U1325" s="998"/>
      <c r="V1325" s="1311"/>
      <c r="W1325" s="1702"/>
      <c r="X1325" s="1702"/>
      <c r="Y1325" s="1311"/>
    </row>
    <row r="1326" customFormat="false" ht="15.75" hidden="true" customHeight="true" outlineLevel="1" collapsed="false">
      <c r="A1326" s="1717"/>
      <c r="B1326" s="1527"/>
      <c r="C1326" s="1715" t="n">
        <f aca="false">'Ввод данных'!C117</f>
        <v>0</v>
      </c>
      <c r="D1326" s="1715" t="n">
        <f aca="false">'Ввод данных'!D117</f>
        <v>0</v>
      </c>
      <c r="E1326" s="1290" t="n">
        <f aca="false">J1326</f>
        <v>0</v>
      </c>
      <c r="F1326" s="933" t="n">
        <f aca="false">'Ввод данных'!E117</f>
        <v>0</v>
      </c>
      <c r="G1326" s="933" t="n">
        <f aca="false">'Ввод данных'!F117</f>
        <v>0</v>
      </c>
      <c r="H1326" s="933"/>
      <c r="I1326" s="933" t="n">
        <f aca="false">$I$1194</f>
        <v>0</v>
      </c>
      <c r="J1326" s="933" t="n">
        <f aca="false">(IF('Ввод данных'!$A$6=связи1!$A$97,(C1326)*F1326+(C1326*(G1326-F1326)/2),0)+IF('Ввод данных'!$A$6=связи1!$A$94,'Ввод данных'!$C$13*дома!C1326,0)+IF('Ввод данных'!$A$6=связи1!$A$95,'Ввод данных'!$C$13*дома!C1326,0)+IF('Ввод данных'!$A$6=связи1!$A$96,'Ввод данных'!$C$13*дома!C1326,0)+IF('Ввод данных'!$A$6=связи1!$A$98,'Ввод данных'!$C$13*дома!C1326,0))*D1326</f>
        <v>0</v>
      </c>
      <c r="K1326" s="1716"/>
      <c r="L1326" s="1716"/>
      <c r="M1326" s="1290" t="s">
        <v>156</v>
      </c>
      <c r="N1326" s="1690" t="n">
        <f aca="false">'Ввод данных'!C133</f>
        <v>0</v>
      </c>
      <c r="O1326" s="1690" t="n">
        <f aca="false">'Ввод данных'!D133</f>
        <v>0</v>
      </c>
      <c r="P1326" s="1290" t="n">
        <f aca="false">T1326</f>
        <v>0</v>
      </c>
      <c r="Q1326" s="933" t="n">
        <f aca="false">'Ввод данных'!E133</f>
        <v>0</v>
      </c>
      <c r="R1326" s="933" t="n">
        <f aca="false">'Ввод данных'!F133</f>
        <v>0</v>
      </c>
      <c r="S1326" s="1690" t="n">
        <f aca="false">$I$1194</f>
        <v>0</v>
      </c>
      <c r="T1326" s="933" t="n">
        <f aca="false">(IF('Ввод данных'!$A$6=связи1!$A$96,(N1326)*Q1326+(N1326*(R1326-Q1326)/2),0)+IF('Ввод данных'!$A$6=связи1!$A$94,0,0)+IF('Ввод данных'!$A$6=связи1!$A$95,'Ввод данных'!$C$16*дома!N1326,0)+IF('Ввод данных'!$A$6=связи1!$A$97,0,0)+IF('Ввод данных'!$A$6=связи1!$A$98,(дома!N1326-дома!S1326)*(дома!R1326-дома!Q1326)+дома!N1326*дома!Q1326+дома!S1326*(дома!R1326-дома!Q1326)/2,0))*дома!O1326</f>
        <v>0</v>
      </c>
      <c r="U1326" s="998"/>
      <c r="V1326" s="1311"/>
      <c r="W1326" s="1702"/>
      <c r="X1326" s="1702"/>
      <c r="Y1326" s="1311"/>
    </row>
    <row r="1327" customFormat="false" ht="15.75" hidden="true" customHeight="true" outlineLevel="1" collapsed="false">
      <c r="A1327" s="1717"/>
      <c r="B1327" s="1527"/>
      <c r="C1327" s="1715" t="n">
        <f aca="false">'Ввод данных'!C118</f>
        <v>0</v>
      </c>
      <c r="D1327" s="1715" t="n">
        <f aca="false">'Ввод данных'!D118</f>
        <v>0</v>
      </c>
      <c r="E1327" s="1290" t="n">
        <f aca="false">J1327</f>
        <v>0</v>
      </c>
      <c r="F1327" s="933" t="n">
        <f aca="false">'Ввод данных'!E118</f>
        <v>0</v>
      </c>
      <c r="G1327" s="933" t="n">
        <f aca="false">'Ввод данных'!F118</f>
        <v>0</v>
      </c>
      <c r="H1327" s="933"/>
      <c r="I1327" s="933" t="n">
        <f aca="false">$I$1194</f>
        <v>0</v>
      </c>
      <c r="J1327" s="933" t="n">
        <f aca="false">(IF('Ввод данных'!$A$6=связи1!$A$97,(C1327)*F1327+(C1327*(G1327-F1327)/2),0)+IF('Ввод данных'!$A$6=связи1!$A$94,'Ввод данных'!$C$13*дома!C1327,0)+IF('Ввод данных'!$A$6=связи1!$A$95,'Ввод данных'!$C$13*дома!C1327,0)+IF('Ввод данных'!$A$6=связи1!$A$96,'Ввод данных'!$C$13*дома!C1327,0)+IF('Ввод данных'!$A$6=связи1!$A$98,'Ввод данных'!$C$13*дома!C1327,0))*D1327</f>
        <v>0</v>
      </c>
      <c r="K1327" s="1716"/>
      <c r="L1327" s="1716"/>
      <c r="M1327" s="1290" t="s">
        <v>156</v>
      </c>
      <c r="N1327" s="1690" t="n">
        <f aca="false">'Ввод данных'!C134</f>
        <v>0</v>
      </c>
      <c r="O1327" s="1690" t="n">
        <f aca="false">'Ввод данных'!D134</f>
        <v>0</v>
      </c>
      <c r="P1327" s="1290" t="n">
        <f aca="false">T1327</f>
        <v>0</v>
      </c>
      <c r="Q1327" s="933" t="n">
        <f aca="false">'Ввод данных'!E134</f>
        <v>0</v>
      </c>
      <c r="R1327" s="933" t="n">
        <f aca="false">'Ввод данных'!F134</f>
        <v>0</v>
      </c>
      <c r="S1327" s="1690" t="n">
        <f aca="false">$I$1194</f>
        <v>0</v>
      </c>
      <c r="T1327" s="933" t="n">
        <f aca="false">(IF('Ввод данных'!$A$6=связи1!$A$96,(N1327)*Q1327+(N1327*(R1327-Q1327)/2),0)+IF('Ввод данных'!$A$6=связи1!$A$94,0,0)+IF('Ввод данных'!$A$6=связи1!$A$95,'Ввод данных'!$C$16*дома!N1327,0)+IF('Ввод данных'!$A$6=связи1!$A$97,0,0)+IF('Ввод данных'!$A$6=связи1!$A$98,(дома!N1327-дома!S1327)*(дома!R1327-дома!Q1327)+дома!N1327*дома!Q1327+дома!S1327*(дома!R1327-дома!Q1327)/2,0))*дома!O1327</f>
        <v>0</v>
      </c>
      <c r="U1327" s="998"/>
      <c r="V1327" s="1311"/>
      <c r="W1327" s="1702"/>
      <c r="X1327" s="1702"/>
      <c r="Y1327" s="1311"/>
    </row>
    <row r="1328" customFormat="false" ht="15.75" hidden="true" customHeight="true" outlineLevel="1" collapsed="false">
      <c r="A1328" s="1718"/>
      <c r="B1328" s="1527"/>
      <c r="C1328" s="1715" t="n">
        <f aca="false">'Ввод данных'!C119</f>
        <v>0</v>
      </c>
      <c r="D1328" s="1715" t="n">
        <f aca="false">'Ввод данных'!D119</f>
        <v>0</v>
      </c>
      <c r="E1328" s="1290" t="n">
        <f aca="false">J1328</f>
        <v>0</v>
      </c>
      <c r="F1328" s="933" t="n">
        <f aca="false">'Ввод данных'!E119</f>
        <v>0</v>
      </c>
      <c r="G1328" s="933" t="n">
        <f aca="false">'Ввод данных'!F119</f>
        <v>0</v>
      </c>
      <c r="H1328" s="933"/>
      <c r="I1328" s="933" t="n">
        <f aca="false">$I$1194</f>
        <v>0</v>
      </c>
      <c r="J1328" s="933" t="n">
        <f aca="false">(IF('Ввод данных'!$A$6=связи1!$A$97,(C1328)*F1328+(C1328*(G1328-F1328)/2),0)+IF('Ввод данных'!$A$6=связи1!$A$94,'Ввод данных'!$C$13*дома!C1328,0)+IF('Ввод данных'!$A$6=связи1!$A$95,'Ввод данных'!$C$13*дома!C1328,0)+IF('Ввод данных'!$A$6=связи1!$A$96,'Ввод данных'!$C$13*дома!C1328,0)+IF('Ввод данных'!$A$6=связи1!$A$98,'Ввод данных'!$C$13*дома!C1328,0))*D1328</f>
        <v>0</v>
      </c>
      <c r="K1328" s="1716"/>
      <c r="L1328" s="1716"/>
      <c r="M1328" s="1290" t="s">
        <v>156</v>
      </c>
      <c r="N1328" s="1690" t="n">
        <f aca="false">'Ввод данных'!C135</f>
        <v>0</v>
      </c>
      <c r="O1328" s="1690" t="n">
        <f aca="false">'Ввод данных'!D135</f>
        <v>0</v>
      </c>
      <c r="P1328" s="1290" t="n">
        <f aca="false">T1328</f>
        <v>0</v>
      </c>
      <c r="Q1328" s="933" t="n">
        <f aca="false">'Ввод данных'!E135</f>
        <v>0</v>
      </c>
      <c r="R1328" s="933" t="n">
        <f aca="false">'Ввод данных'!F135</f>
        <v>0</v>
      </c>
      <c r="S1328" s="1690" t="n">
        <f aca="false">$I$1194</f>
        <v>0</v>
      </c>
      <c r="T1328" s="933" t="n">
        <f aca="false">(IF('Ввод данных'!$A$6=связи1!$A$96,(N1328)*Q1328+(N1328*(R1328-Q1328)/2),0)+IF('Ввод данных'!$A$6=связи1!$A$94,0,0)+IF('Ввод данных'!$A$6=связи1!$A$95,'Ввод данных'!$C$16*дома!N1328,0)+IF('Ввод данных'!$A$6=связи1!$A$97,0,0)+IF('Ввод данных'!$A$6=связи1!$A$98,(дома!N1328-дома!S1328)*(дома!R1328-дома!Q1328)+дома!N1328*дома!Q1328+дома!S1328*(дома!R1328-дома!Q1328)/2,0))*дома!O1328</f>
        <v>0</v>
      </c>
      <c r="U1328" s="998"/>
      <c r="V1328" s="1311"/>
      <c r="W1328" s="1702"/>
      <c r="X1328" s="1702"/>
      <c r="Y1328" s="1311"/>
    </row>
    <row r="1329" customFormat="false" ht="15.75" hidden="true" customHeight="true" outlineLevel="1" collapsed="false">
      <c r="A1329" s="1608" t="s">
        <v>3600</v>
      </c>
      <c r="B1329" s="1527" t="s">
        <v>156</v>
      </c>
      <c r="C1329" s="1715" t="n">
        <f aca="false">'Ввод данных'!C120</f>
        <v>0</v>
      </c>
      <c r="D1329" s="1715" t="n">
        <f aca="false">'Ввод данных'!D120</f>
        <v>0</v>
      </c>
      <c r="E1329" s="1290" t="n">
        <f aca="false">J1329</f>
        <v>0</v>
      </c>
      <c r="F1329" s="933" t="n">
        <f aca="false">'Ввод данных'!E120</f>
        <v>0</v>
      </c>
      <c r="G1329" s="933" t="n">
        <f aca="false">'Ввод данных'!F120</f>
        <v>0</v>
      </c>
      <c r="H1329" s="933"/>
      <c r="I1329" s="933"/>
      <c r="J1329" s="933" t="n">
        <f aca="false">(IF('Ввод данных'!$A$6=связи1!$A$97,(C1329)*G1329,0)+IF('Ввод данных'!$A$6=связи1!$A$94,'Ввод данных'!$C$13*дома!C1329,0)+IF('Ввод данных'!$A$6=связи1!$A$95,'Ввод данных'!$C$13*дома!C1329,0)+IF('Ввод данных'!$A$6=связи1!$A$96,'Ввод данных'!$C$13*дома!C1329,0)+IF('Ввод данных'!$A$6=связи1!$A$98,'Ввод данных'!$C$13*дома!C1329,0))*D1329</f>
        <v>0</v>
      </c>
      <c r="K1329" s="1716" t="s">
        <v>3601</v>
      </c>
      <c r="L1329" s="1716"/>
      <c r="M1329" s="1290" t="s">
        <v>156</v>
      </c>
      <c r="N1329" s="1690" t="n">
        <f aca="false">'Ввод данных'!C136</f>
        <v>4</v>
      </c>
      <c r="O1329" s="1690" t="n">
        <f aca="false">'Ввод данных'!D136</f>
        <v>1</v>
      </c>
      <c r="P1329" s="1290" t="n">
        <f aca="false">T1329</f>
        <v>0</v>
      </c>
      <c r="Q1329" s="933" t="n">
        <f aca="false">'Ввод данных'!E136</f>
        <v>0</v>
      </c>
      <c r="R1329" s="933" t="n">
        <f aca="false">'Ввод данных'!F136</f>
        <v>2.2</v>
      </c>
      <c r="S1329" s="1690"/>
      <c r="T1329" s="933" t="n">
        <f aca="false">(IF('Ввод данных'!$A$6=связи1!$A$96,N1329*R1329,0)+IF('Ввод данных'!$A$6=связи1!$A$94,0,0)+IF('Ввод данных'!$A$6=связи1!$A$95,'Ввод данных'!$C$16*дома!N1329,0)+IF('Ввод данных'!$A$6=связи1!$A$97,0,0)+IF('Ввод данных'!$A$6=связи1!$A$98,N1329*'Ввод данных'!$C$16,0))*дома!O1329</f>
        <v>0</v>
      </c>
      <c r="U1329" s="998"/>
      <c r="V1329" s="1311"/>
      <c r="W1329" s="1702"/>
      <c r="X1329" s="1702"/>
      <c r="Y1329" s="1311"/>
    </row>
    <row r="1330" customFormat="false" ht="15.75" hidden="true" customHeight="true" outlineLevel="1" collapsed="false">
      <c r="A1330" s="1717"/>
      <c r="B1330" s="1527" t="s">
        <v>156</v>
      </c>
      <c r="C1330" s="1715" t="n">
        <f aca="false">'Ввод данных'!C121</f>
        <v>0</v>
      </c>
      <c r="D1330" s="1715" t="n">
        <f aca="false">'Ввод данных'!D121</f>
        <v>0</v>
      </c>
      <c r="E1330" s="1290" t="n">
        <f aca="false">J1330</f>
        <v>0</v>
      </c>
      <c r="F1330" s="933" t="n">
        <f aca="false">'Ввод данных'!E121</f>
        <v>0</v>
      </c>
      <c r="G1330" s="933" t="n">
        <f aca="false">'Ввод данных'!F121</f>
        <v>0</v>
      </c>
      <c r="H1330" s="933"/>
      <c r="I1330" s="933"/>
      <c r="J1330" s="933" t="n">
        <f aca="false">(IF('Ввод данных'!$A$6=связи1!$A$97,(C1330)*G1330,0)+IF('Ввод данных'!$A$6=связи1!$A$94,'Ввод данных'!$C$13*дома!C1330,0)+IF('Ввод данных'!$A$6=связи1!$A$95,'Ввод данных'!$C$13*дома!C1330,0)+IF('Ввод данных'!$A$6=связи1!$A$96,'Ввод данных'!$C$13*дома!C1330,0)+IF('Ввод данных'!$A$6=связи1!$A$98,'Ввод данных'!$C$13*дома!C1330,0))*D1330</f>
        <v>0</v>
      </c>
      <c r="K1330" s="1716"/>
      <c r="L1330" s="1716"/>
      <c r="M1330" s="1290" t="s">
        <v>156</v>
      </c>
      <c r="N1330" s="1690" t="n">
        <f aca="false">'Ввод данных'!C137</f>
        <v>2</v>
      </c>
      <c r="O1330" s="1690" t="n">
        <f aca="false">'Ввод данных'!D137</f>
        <v>1</v>
      </c>
      <c r="P1330" s="1290" t="n">
        <f aca="false">T1330</f>
        <v>0</v>
      </c>
      <c r="Q1330" s="933" t="n">
        <f aca="false">'Ввод данных'!E137</f>
        <v>0</v>
      </c>
      <c r="R1330" s="933" t="n">
        <f aca="false">'Ввод данных'!F137</f>
        <v>2.2</v>
      </c>
      <c r="S1330" s="1690"/>
      <c r="T1330" s="933" t="n">
        <f aca="false">(IF('Ввод данных'!$A$6=связи1!$A$96,N1330*R1330,0)+IF('Ввод данных'!$A$6=связи1!$A$94,0,0)+IF('Ввод данных'!$A$6=связи1!$A$95,'Ввод данных'!$C$16*дома!N1330,0)+IF('Ввод данных'!$A$6=связи1!$A$97,0,0)+IF('Ввод данных'!$A$6=связи1!$A$98,N1330*'Ввод данных'!$C$16,0))*дома!O1330</f>
        <v>0</v>
      </c>
      <c r="U1330" s="998"/>
      <c r="V1330" s="1311"/>
      <c r="W1330" s="1311"/>
      <c r="X1330" s="1311"/>
      <c r="Y1330" s="1311"/>
    </row>
    <row r="1331" customFormat="false" ht="15.75" hidden="true" customHeight="true" outlineLevel="1" collapsed="false">
      <c r="A1331" s="1717"/>
      <c r="B1331" s="1527" t="s">
        <v>156</v>
      </c>
      <c r="C1331" s="1715" t="n">
        <f aca="false">'Ввод данных'!C122</f>
        <v>0</v>
      </c>
      <c r="D1331" s="1715" t="n">
        <f aca="false">'Ввод данных'!D122</f>
        <v>0</v>
      </c>
      <c r="E1331" s="1290" t="n">
        <f aca="false">J1331</f>
        <v>0</v>
      </c>
      <c r="F1331" s="933" t="n">
        <f aca="false">'Ввод данных'!E122</f>
        <v>0</v>
      </c>
      <c r="G1331" s="933" t="n">
        <f aca="false">'Ввод данных'!F122</f>
        <v>0</v>
      </c>
      <c r="H1331" s="933"/>
      <c r="I1331" s="933"/>
      <c r="J1331" s="933" t="n">
        <f aca="false">(IF('Ввод данных'!$A$6=связи1!$A$97,(C1331)*G1331,0)+IF('Ввод данных'!$A$6=связи1!$A$94,'Ввод данных'!$C$13*дома!C1331,0)+IF('Ввод данных'!$A$6=связи1!$A$95,'Ввод данных'!$C$13*дома!C1331,0)+IF('Ввод данных'!$A$6=связи1!$A$96,'Ввод данных'!$C$13*дома!C1331,0)+IF('Ввод данных'!$A$6=связи1!$A$98,'Ввод данных'!$C$13*дома!C1331,0))*D1331</f>
        <v>0</v>
      </c>
      <c r="K1331" s="1716"/>
      <c r="L1331" s="1716"/>
      <c r="M1331" s="1290" t="s">
        <v>156</v>
      </c>
      <c r="N1331" s="1690" t="n">
        <f aca="false">'Ввод данных'!C138</f>
        <v>3</v>
      </c>
      <c r="O1331" s="1690" t="n">
        <f aca="false">'Ввод данных'!D138</f>
        <v>1</v>
      </c>
      <c r="P1331" s="1290" t="n">
        <f aca="false">T1331</f>
        <v>0</v>
      </c>
      <c r="Q1331" s="933" t="n">
        <f aca="false">'Ввод данных'!E138</f>
        <v>0</v>
      </c>
      <c r="R1331" s="933" t="n">
        <f aca="false">'Ввод данных'!F138</f>
        <v>2.2</v>
      </c>
      <c r="S1331" s="1690"/>
      <c r="T1331" s="933" t="n">
        <f aca="false">(IF('Ввод данных'!$A$6=связи1!$A$96,N1331*R1331,0)+IF('Ввод данных'!$A$6=связи1!$A$94,0,0)+IF('Ввод данных'!$A$6=связи1!$A$95,'Ввод данных'!$C$16*дома!N1331,0)+IF('Ввод данных'!$A$6=связи1!$A$97,0,0)+IF('Ввод данных'!$A$6=связи1!$A$98,N1331*'Ввод данных'!$C$16,0))*дома!O1331</f>
        <v>0</v>
      </c>
      <c r="U1331" s="998"/>
      <c r="V1331" s="1311"/>
      <c r="W1331" s="1311"/>
      <c r="X1331" s="1311"/>
      <c r="Y1331" s="1311"/>
    </row>
    <row r="1332" customFormat="false" ht="15.75" hidden="true" customHeight="true" outlineLevel="1" collapsed="false">
      <c r="A1332" s="1718"/>
      <c r="B1332" s="1527"/>
      <c r="C1332" s="1715" t="n">
        <f aca="false">'Ввод данных'!C123</f>
        <v>0</v>
      </c>
      <c r="D1332" s="1715" t="n">
        <f aca="false">'Ввод данных'!D123</f>
        <v>0</v>
      </c>
      <c r="E1332" s="1290" t="n">
        <f aca="false">J1332</f>
        <v>0</v>
      </c>
      <c r="F1332" s="933" t="n">
        <f aca="false">'Ввод данных'!E123</f>
        <v>0</v>
      </c>
      <c r="G1332" s="933" t="n">
        <f aca="false">'Ввод данных'!F123</f>
        <v>0</v>
      </c>
      <c r="H1332" s="933"/>
      <c r="I1332" s="933"/>
      <c r="J1332" s="933" t="n">
        <f aca="false">(IF('Ввод данных'!$A$6=связи1!$A$97,(C1332)*G1332,0)+IF('Ввод данных'!$A$6=связи1!$A$94,'Ввод данных'!$C$13*дома!C1332,0)+IF('Ввод данных'!$A$6=связи1!$A$95,'Ввод данных'!$C$13*дома!C1332,0)+IF('Ввод данных'!$A$6=связи1!$A$96,'Ввод данных'!$C$13*дома!C1332,0)+IF('Ввод данных'!$A$6=связи1!$A$98,'Ввод данных'!$C$13*дома!C1332,0))*D1332</f>
        <v>0</v>
      </c>
      <c r="K1332" s="1716"/>
      <c r="L1332" s="1716"/>
      <c r="M1332" s="1290" t="s">
        <v>156</v>
      </c>
      <c r="N1332" s="1690" t="n">
        <f aca="false">'Ввод данных'!C139</f>
        <v>0</v>
      </c>
      <c r="O1332" s="1690" t="n">
        <f aca="false">'Ввод данных'!D139</f>
        <v>0</v>
      </c>
      <c r="P1332" s="1290" t="n">
        <f aca="false">T1332</f>
        <v>0</v>
      </c>
      <c r="Q1332" s="933" t="n">
        <f aca="false">'Ввод данных'!E139</f>
        <v>0</v>
      </c>
      <c r="R1332" s="933" t="n">
        <f aca="false">'Ввод данных'!F139</f>
        <v>0</v>
      </c>
      <c r="S1332" s="1690"/>
      <c r="T1332" s="933" t="n">
        <f aca="false">(IF('Ввод данных'!$A$6=связи1!$A$96,N1332*R1332,0)+IF('Ввод данных'!$A$6=связи1!$A$94,0,0)+IF('Ввод данных'!$A$6=связи1!$A$95,'Ввод данных'!$C$16*дома!N1332,0)+IF('Ввод данных'!$A$6=связи1!$A$97,0,0)+IF('Ввод данных'!$A$6=связи1!$A$98,N1332*'Ввод данных'!$C$16,0))*дома!O1332</f>
        <v>0</v>
      </c>
      <c r="U1332" s="998"/>
      <c r="V1332" s="1311"/>
      <c r="W1332" s="1311"/>
      <c r="X1332" s="1311"/>
      <c r="Y1332" s="1311"/>
    </row>
    <row r="1333" customFormat="false" ht="15.75" hidden="true" customHeight="true" outlineLevel="1" collapsed="false">
      <c r="A1333" s="1608" t="s">
        <v>3602</v>
      </c>
      <c r="B1333" s="1527"/>
      <c r="C1333" s="1715" t="n">
        <f aca="false">'Ввод данных'!C124</f>
        <v>3</v>
      </c>
      <c r="D1333" s="1715" t="n">
        <f aca="false">'Ввод данных'!D124</f>
        <v>2</v>
      </c>
      <c r="E1333" s="1290" t="n">
        <f aca="false">J1333</f>
        <v>18</v>
      </c>
      <c r="F1333" s="933" t="n">
        <f aca="false">'Ввод данных'!E124</f>
        <v>0</v>
      </c>
      <c r="G1333" s="933" t="n">
        <f aca="false">'Ввод данных'!F124</f>
        <v>0</v>
      </c>
      <c r="H1333" s="933"/>
      <c r="I1333" s="933"/>
      <c r="J1333" s="933" t="n">
        <f aca="false">(IF('Ввод данных'!$A$6=связи1!$A$97,(C1333)*G1333,0)+IF('Ввод данных'!$A$6=связи1!$A$94,'Ввод данных'!$C$13*дома!C1333,0)+IF('Ввод данных'!$A$6=связи1!$A$95,'Ввод данных'!$C$13*дома!C1333,0)+IF('Ввод данных'!$A$6=связи1!$A$96,'Ввод данных'!$C$13*дома!C1333,0)+IF('Ввод данных'!$A$6=связи1!$A$98,'Ввод данных'!$C$13*дома!C1333,0))*D1333</f>
        <v>18</v>
      </c>
      <c r="K1333" s="1716" t="s">
        <v>3603</v>
      </c>
      <c r="L1333" s="1716"/>
      <c r="M1333" s="1290" t="s">
        <v>156</v>
      </c>
      <c r="N1333" s="1690" t="n">
        <f aca="false">'Ввод данных'!C140</f>
        <v>0</v>
      </c>
      <c r="O1333" s="1690" t="n">
        <f aca="false">'Ввод данных'!D140</f>
        <v>0</v>
      </c>
      <c r="P1333" s="1290" t="n">
        <f aca="false">T1333</f>
        <v>0</v>
      </c>
      <c r="Q1333" s="933" t="n">
        <f aca="false">'Ввод данных'!E140</f>
        <v>0</v>
      </c>
      <c r="R1333" s="933" t="n">
        <f aca="false">'Ввод данных'!F140</f>
        <v>0</v>
      </c>
      <c r="S1333" s="1690"/>
      <c r="T1333" s="933" t="n">
        <f aca="false">(IF('Ввод данных'!$A$6=связи1!$A$96,N1333*R1333,0)+IF('Ввод данных'!$A$6=связи1!$A$94,0,0)+IF('Ввод данных'!$A$6=связи1!$A$95,'Ввод данных'!$C$16*дома!N1333,0)+IF('Ввод данных'!$A$6=связи1!$A$97,0,0)+IF('Ввод данных'!$A$6=связи1!$A$98,N1333*'Ввод данных'!$C$16,0))*дома!O1333</f>
        <v>0</v>
      </c>
      <c r="U1333" s="998"/>
      <c r="V1333" s="1311"/>
      <c r="W1333" s="1311"/>
      <c r="X1333" s="1311"/>
      <c r="Y1333" s="1311"/>
    </row>
    <row r="1334" customFormat="false" ht="15.75" hidden="true" customHeight="true" outlineLevel="1" collapsed="false">
      <c r="A1334" s="1717"/>
      <c r="B1334" s="1527"/>
      <c r="C1334" s="1715" t="n">
        <f aca="false">'Ввод данных'!C125</f>
        <v>0</v>
      </c>
      <c r="D1334" s="1715" t="n">
        <f aca="false">'Ввод данных'!D125</f>
        <v>0</v>
      </c>
      <c r="E1334" s="1290" t="n">
        <f aca="false">J1334</f>
        <v>0</v>
      </c>
      <c r="F1334" s="933" t="n">
        <f aca="false">'Ввод данных'!E125</f>
        <v>0</v>
      </c>
      <c r="G1334" s="933" t="n">
        <f aca="false">'Ввод данных'!F125</f>
        <v>0</v>
      </c>
      <c r="H1334" s="933"/>
      <c r="I1334" s="933"/>
      <c r="J1334" s="933" t="n">
        <f aca="false">(IF('Ввод данных'!$A$6=связи1!$A$97,(C1334)*G1334,0)+IF('Ввод данных'!$A$6=связи1!$A$94,'Ввод данных'!$C$13*дома!C1334,0)+IF('Ввод данных'!$A$6=связи1!$A$95,'Ввод данных'!$C$13*дома!C1334,0)+IF('Ввод данных'!$A$6=связи1!$A$96,'Ввод данных'!$C$13*дома!C1334,0)+IF('Ввод данных'!$A$6=связи1!$A$98,'Ввод данных'!$C$13*дома!C1334,0))*D1334</f>
        <v>0</v>
      </c>
      <c r="K1334" s="1716"/>
      <c r="L1334" s="1716"/>
      <c r="M1334" s="1290" t="s">
        <v>156</v>
      </c>
      <c r="N1334" s="1690" t="n">
        <f aca="false">'Ввод данных'!C141</f>
        <v>0</v>
      </c>
      <c r="O1334" s="1690" t="n">
        <f aca="false">'Ввод данных'!D141</f>
        <v>0</v>
      </c>
      <c r="P1334" s="1290" t="n">
        <f aca="false">T1334</f>
        <v>0</v>
      </c>
      <c r="Q1334" s="933" t="n">
        <f aca="false">'Ввод данных'!E141</f>
        <v>0</v>
      </c>
      <c r="R1334" s="933" t="n">
        <f aca="false">'Ввод данных'!F141</f>
        <v>0</v>
      </c>
      <c r="S1334" s="1690"/>
      <c r="T1334" s="933" t="n">
        <f aca="false">(IF('Ввод данных'!$A$6=связи1!$A$96,N1334*R1334,0)+IF('Ввод данных'!$A$6=связи1!$A$94,0,0)+IF('Ввод данных'!$A$6=связи1!$A$95,'Ввод данных'!$C$16*дома!N1334,0)+IF('Ввод данных'!$A$6=связи1!$A$97,0,0)+IF('Ввод данных'!$A$6=связи1!$A$98,N1334*'Ввод данных'!$C$16,0))*дома!O1334</f>
        <v>0</v>
      </c>
      <c r="U1334" s="998"/>
      <c r="V1334" s="1311"/>
      <c r="W1334" s="1311"/>
      <c r="X1334" s="1311"/>
      <c r="Y1334" s="1311"/>
    </row>
    <row r="1335" customFormat="false" ht="15.75" hidden="true" customHeight="true" outlineLevel="1" collapsed="false">
      <c r="A1335" s="1717"/>
      <c r="B1335" s="1527"/>
      <c r="C1335" s="1715" t="n">
        <f aca="false">'Ввод данных'!C126</f>
        <v>0</v>
      </c>
      <c r="D1335" s="1715" t="n">
        <f aca="false">'Ввод данных'!D126</f>
        <v>0</v>
      </c>
      <c r="E1335" s="1290" t="n">
        <f aca="false">J1335</f>
        <v>0</v>
      </c>
      <c r="F1335" s="933" t="n">
        <f aca="false">'Ввод данных'!E126</f>
        <v>0</v>
      </c>
      <c r="G1335" s="933" t="n">
        <f aca="false">'Ввод данных'!F126</f>
        <v>0</v>
      </c>
      <c r="H1335" s="933"/>
      <c r="I1335" s="933"/>
      <c r="J1335" s="933" t="n">
        <f aca="false">(IF('Ввод данных'!$A$6=связи1!$A$97,(C1335)*G1335,0)+IF('Ввод данных'!$A$6=связи1!$A$94,'Ввод данных'!$C$13*дома!C1335,0)+IF('Ввод данных'!$A$6=связи1!$A$95,'Ввод данных'!$C$13*дома!C1335,0)+IF('Ввод данных'!$A$6=связи1!$A$96,'Ввод данных'!$C$13*дома!C1335,0)+IF('Ввод данных'!$A$6=связи1!$A$98,'Ввод данных'!$C$13*дома!C1335,0))*D1335</f>
        <v>0</v>
      </c>
      <c r="K1335" s="1716"/>
      <c r="L1335" s="1716"/>
      <c r="M1335" s="1290" t="s">
        <v>156</v>
      </c>
      <c r="N1335" s="1690" t="n">
        <f aca="false">'Ввод данных'!C142</f>
        <v>0</v>
      </c>
      <c r="O1335" s="1690" t="n">
        <f aca="false">'Ввод данных'!D142</f>
        <v>0</v>
      </c>
      <c r="P1335" s="1290" t="n">
        <f aca="false">T1335</f>
        <v>0</v>
      </c>
      <c r="Q1335" s="933" t="n">
        <f aca="false">'Ввод данных'!E142</f>
        <v>0</v>
      </c>
      <c r="R1335" s="933" t="n">
        <f aca="false">'Ввод данных'!F142</f>
        <v>0</v>
      </c>
      <c r="S1335" s="1690"/>
      <c r="T1335" s="933" t="n">
        <f aca="false">(IF('Ввод данных'!$A$6=связи1!$A$96,N1335*R1335,0)+IF('Ввод данных'!$A$6=связи1!$A$94,0,0)+IF('Ввод данных'!$A$6=связи1!$A$95,'Ввод данных'!$C$16*дома!N1335,0)+IF('Ввод данных'!$A$6=связи1!$A$97,0,0)+IF('Ввод данных'!$A$6=связи1!$A$98,N1335*'Ввод данных'!$C$16,0))*дома!O1335</f>
        <v>0</v>
      </c>
      <c r="U1335" s="998"/>
      <c r="V1335" s="1311"/>
      <c r="W1335" s="1311"/>
      <c r="X1335" s="1311"/>
      <c r="Y1335" s="1311"/>
    </row>
    <row r="1336" customFormat="false" ht="15.75" hidden="true" customHeight="true" outlineLevel="1" collapsed="false">
      <c r="A1336" s="1718"/>
      <c r="B1336" s="1527"/>
      <c r="C1336" s="1715" t="n">
        <f aca="false">'Ввод данных'!C127</f>
        <v>0</v>
      </c>
      <c r="D1336" s="1715" t="n">
        <f aca="false">'Ввод данных'!D127</f>
        <v>0</v>
      </c>
      <c r="E1336" s="1290" t="n">
        <f aca="false">J1336</f>
        <v>0</v>
      </c>
      <c r="F1336" s="933" t="n">
        <f aca="false">'Ввод данных'!E127</f>
        <v>0</v>
      </c>
      <c r="G1336" s="933" t="n">
        <f aca="false">'Ввод данных'!F127</f>
        <v>0</v>
      </c>
      <c r="H1336" s="933"/>
      <c r="I1336" s="933"/>
      <c r="J1336" s="933" t="n">
        <f aca="false">(IF('Ввод данных'!$A$6=связи1!$A$97,(C1336)*G1336,0)+IF('Ввод данных'!$A$6=связи1!$A$94,'Ввод данных'!$C$13*дома!C1336,0)+IF('Ввод данных'!$A$6=связи1!$A$95,'Ввод данных'!$C$13*дома!C1336,0)+IF('Ввод данных'!$A$6=связи1!$A$96,'Ввод данных'!$C$13*дома!C1336,0)+IF('Ввод данных'!$A$6=связи1!$A$98,'Ввод данных'!$C$13*дома!C1336,0))*D1336</f>
        <v>0</v>
      </c>
      <c r="K1336" s="1716"/>
      <c r="L1336" s="1716"/>
      <c r="M1336" s="1290" t="s">
        <v>156</v>
      </c>
      <c r="N1336" s="1690" t="n">
        <f aca="false">'Ввод данных'!C143</f>
        <v>0</v>
      </c>
      <c r="O1336" s="1690" t="n">
        <f aca="false">'Ввод данных'!D143</f>
        <v>0</v>
      </c>
      <c r="P1336" s="1290" t="n">
        <f aca="false">T1336</f>
        <v>0</v>
      </c>
      <c r="Q1336" s="933" t="n">
        <f aca="false">'Ввод данных'!E143</f>
        <v>0</v>
      </c>
      <c r="R1336" s="933" t="n">
        <f aca="false">'Ввод данных'!F143</f>
        <v>0</v>
      </c>
      <c r="S1336" s="1690"/>
      <c r="T1336" s="933" t="n">
        <f aca="false">(IF('Ввод данных'!$A$6=связи1!$A$96,N1336*R1336,0)+IF('Ввод данных'!$A$6=связи1!$A$94,0,0)+IF('Ввод данных'!$A$6=связи1!$A$95,'Ввод данных'!$C$16*дома!N1336,0)+IF('Ввод данных'!$A$6=связи1!$A$97,0,0)+IF('Ввод данных'!$A$6=связи1!$A$98,N1336*'Ввод данных'!$C$16,0))*дома!O1336</f>
        <v>0</v>
      </c>
      <c r="U1336" s="998"/>
      <c r="V1336" s="1311"/>
      <c r="W1336" s="1311"/>
      <c r="X1336" s="1311"/>
      <c r="Y1336" s="1311"/>
    </row>
    <row r="1337" s="1150" customFormat="true" ht="15.75" hidden="true" customHeight="true" outlineLevel="1" collapsed="false">
      <c r="A1337" s="501"/>
      <c r="B1337" s="1719"/>
      <c r="C1337" s="1720"/>
      <c r="D1337" s="1023" t="s">
        <v>3604</v>
      </c>
      <c r="E1337" s="1690"/>
      <c r="F1337" s="1290" t="n">
        <f aca="false">E1321+E1322+E1323+E1324+E1329+E1330+E1331+E1332</f>
        <v>48</v>
      </c>
      <c r="K1337" s="501"/>
      <c r="L1337" s="498"/>
      <c r="M1337" s="1311"/>
      <c r="N1337" s="1023" t="s">
        <v>3605</v>
      </c>
      <c r="O1337" s="1023"/>
      <c r="P1337" s="1023"/>
      <c r="Q1337" s="1023"/>
      <c r="R1337" s="1290" t="n">
        <f aca="false">P1321+P1322+P1323+P1324+P1329+P1330+P1331+P1332</f>
        <v>0</v>
      </c>
      <c r="T1337" s="1311"/>
      <c r="U1337" s="1311"/>
      <c r="V1337" s="1311"/>
      <c r="W1337" s="1311"/>
      <c r="X1337" s="1311"/>
      <c r="Y1337" s="1311"/>
    </row>
    <row r="1338" s="1150" customFormat="true" ht="15.75" hidden="true" customHeight="true" outlineLevel="1" collapsed="false">
      <c r="A1338" s="501"/>
      <c r="B1338" s="1719"/>
      <c r="C1338" s="1720"/>
      <c r="D1338" s="1023" t="s">
        <v>3606</v>
      </c>
      <c r="E1338" s="1690"/>
      <c r="F1338" s="1290" t="n">
        <f aca="false">E1325+E1326+E1327+E1328+E1333+E1334+E1335+E1336</f>
        <v>23.4</v>
      </c>
      <c r="K1338" s="501"/>
      <c r="L1338" s="498"/>
      <c r="M1338" s="1311"/>
      <c r="N1338" s="1023" t="s">
        <v>3607</v>
      </c>
      <c r="O1338" s="1023"/>
      <c r="P1338" s="1023"/>
      <c r="Q1338" s="1023"/>
      <c r="R1338" s="1290" t="n">
        <f aca="false">P1325+P1326+P1327+P1328+P1333+P1334+P1335+P1336</f>
        <v>0</v>
      </c>
      <c r="T1338" s="1311"/>
      <c r="U1338" s="1311"/>
      <c r="V1338" s="1311"/>
      <c r="W1338" s="1311"/>
      <c r="X1338" s="1311"/>
      <c r="Y1338" s="1311"/>
    </row>
    <row r="1339" s="1150" customFormat="true" ht="15.75" hidden="true" customHeight="true" outlineLevel="1" collapsed="false">
      <c r="A1339" s="500"/>
      <c r="B1339" s="1719"/>
      <c r="C1339" s="1721"/>
      <c r="D1339" s="1290" t="s">
        <v>3608</v>
      </c>
      <c r="E1339" s="933"/>
      <c r="F1339" s="1290" t="n">
        <f aca="false">E1321+E1322+E1323+E1324+E1329+E1330+E1331+E1332</f>
        <v>48</v>
      </c>
      <c r="G1339" s="1150" t="n">
        <f aca="false">F1339+R1339</f>
        <v>48</v>
      </c>
      <c r="K1339" s="1722"/>
      <c r="L1339" s="1723"/>
      <c r="M1339" s="1702"/>
      <c r="N1339" s="1290" t="s">
        <v>3608</v>
      </c>
      <c r="O1339" s="1290"/>
      <c r="P1339" s="1290"/>
      <c r="Q1339" s="1290"/>
      <c r="R1339" s="1290" t="n">
        <f aca="false">(P1321+P1322+P1323+P1324+P1329+P1330+P1331+P1332)*(B1319-1)</f>
        <v>0</v>
      </c>
      <c r="T1339" s="1311"/>
      <c r="U1339" s="1311"/>
      <c r="V1339" s="1311"/>
      <c r="W1339" s="1311"/>
      <c r="X1339" s="1311"/>
      <c r="Y1339" s="1311"/>
    </row>
    <row r="1340" s="1150" customFormat="true" ht="15.75" hidden="true" customHeight="true" outlineLevel="1" collapsed="false">
      <c r="A1340" s="1311"/>
      <c r="B1340" s="1721"/>
      <c r="C1340" s="1721"/>
      <c r="D1340" s="1710" t="s">
        <v>3609</v>
      </c>
      <c r="E1340" s="1710" t="s">
        <v>3412</v>
      </c>
      <c r="F1340" s="1710" t="n">
        <f aca="false">E1325+E1326+E1327+E1328+E1333+E1334+E1335+E1336</f>
        <v>23.4</v>
      </c>
      <c r="G1340" s="1150" t="n">
        <f aca="false">R1340+F1340</f>
        <v>23.4</v>
      </c>
      <c r="K1340" s="1702"/>
      <c r="L1340" s="1703"/>
      <c r="M1340" s="1702"/>
      <c r="N1340" s="1710" t="s">
        <v>3609</v>
      </c>
      <c r="O1340" s="1710"/>
      <c r="P1340" s="1710"/>
      <c r="Q1340" s="1710"/>
      <c r="R1340" s="1290" t="n">
        <f aca="false">(P1325+P1326+P1327+P1328+P1333+P1334+P1335+P1336)*(B1319-1)</f>
        <v>0</v>
      </c>
      <c r="T1340" s="1311"/>
      <c r="U1340" s="1311"/>
      <c r="V1340" s="1311"/>
      <c r="W1340" s="1311"/>
      <c r="X1340" s="1311"/>
      <c r="Y1340" s="1311"/>
    </row>
    <row r="1341" customFormat="false" ht="15.75" hidden="true" customHeight="true" outlineLevel="1" collapsed="false">
      <c r="A1341" s="1311"/>
      <c r="B1341" s="1721"/>
      <c r="C1341" s="1721"/>
      <c r="D1341" s="1702"/>
      <c r="E1341" s="1702"/>
      <c r="F1341" s="1702"/>
      <c r="G1341" s="1702"/>
      <c r="H1341" s="1702"/>
      <c r="I1341" s="1703"/>
      <c r="J1341" s="1702"/>
      <c r="K1341" s="1702"/>
      <c r="L1341" s="1702"/>
      <c r="M1341" s="1702"/>
      <c r="N1341" s="1702"/>
      <c r="O1341" s="1311"/>
      <c r="Q1341" s="1311"/>
      <c r="R1341" s="1311"/>
      <c r="S1341" s="1311"/>
      <c r="T1341" s="1311"/>
      <c r="U1341" s="1311"/>
      <c r="V1341" s="1311"/>
      <c r="W1341" s="1311"/>
      <c r="X1341" s="1311"/>
      <c r="Y1341" s="1311"/>
    </row>
    <row r="1342" customFormat="false" ht="15.75" hidden="false" customHeight="true" outlineLevel="0" collapsed="false">
      <c r="A1342" s="1619" t="s">
        <v>3610</v>
      </c>
      <c r="B1342" s="1699"/>
      <c r="C1342" s="1699"/>
      <c r="D1342" s="1619"/>
      <c r="E1342" s="1619"/>
      <c r="F1342" s="1619"/>
      <c r="G1342" s="1619"/>
      <c r="H1342" s="1619"/>
      <c r="I1342" s="1700"/>
      <c r="J1342" s="1619"/>
      <c r="K1342" s="1619"/>
      <c r="L1342" s="1619"/>
      <c r="M1342" s="1619"/>
      <c r="N1342" s="1619"/>
      <c r="O1342" s="1619"/>
      <c r="P1342" s="1619"/>
      <c r="Q1342" s="1619"/>
      <c r="R1342" s="1619"/>
      <c r="S1342" s="1619"/>
      <c r="T1342" s="1619"/>
      <c r="U1342" s="1619"/>
      <c r="V1342" s="1619"/>
      <c r="W1342" s="1311"/>
      <c r="X1342" s="1311"/>
      <c r="Y1342" s="1311"/>
    </row>
    <row r="1343" customFormat="false" ht="15.75" hidden="true" customHeight="true" outlineLevel="1" collapsed="false">
      <c r="A1343" s="1724" t="s">
        <v>2364</v>
      </c>
      <c r="B1343" s="1725"/>
      <c r="C1343" s="1725"/>
      <c r="D1343" s="1726"/>
      <c r="E1343" s="1726"/>
      <c r="F1343" s="1726"/>
      <c r="G1343" s="1726"/>
      <c r="H1343" s="1726"/>
      <c r="I1343" s="1727"/>
      <c r="J1343" s="1728"/>
      <c r="K1343" s="1728"/>
      <c r="L1343" s="1728"/>
      <c r="M1343" s="1728"/>
      <c r="N1343" s="1728"/>
      <c r="O1343" s="1729" t="n">
        <f aca="false">CEILING((C1319/2+1)*2+(D1319/2-1)*2+(C1321/2-P1345)*D1321+(C1322/2-P1346)*D1322+(C1323/2-P1347)*D1323+(C1324/2-P1348)*D1324+(C1329/2-P1350)*D1329+(C1330/2-P1351)*D1330+(C1331/2-P1352)*D1331+(C1332/2-P1353)*D1332+пристройка!D2*(пристройка!R49)+D1229*(G1240)*E1274+D2019*(CEILING(IF('Ввод данных'!C522&lt;=2,2,IF('Ввод данных'!C522&gt;2,('Ввод данных'!C522/2+1)))+IF('Ввод данных'!C523&lt;=2,2,IF('Ввод данных'!C523&gt;2,('Ввод данных'!C523/2+1)*2)),1))*IF('Ввод данных'!A529=связи1!A480,1,0),1)</f>
        <v>25</v>
      </c>
      <c r="P1343" s="1730"/>
      <c r="Q1343" s="1290"/>
      <c r="R1343" s="1290"/>
      <c r="S1343" s="1311"/>
      <c r="T1343" s="1311"/>
      <c r="U1343" s="1311"/>
      <c r="V1343" s="1311"/>
      <c r="W1343" s="1311"/>
      <c r="X1343" s="1311"/>
      <c r="Y1343" s="1311"/>
    </row>
    <row r="1344" customFormat="false" ht="15.75" hidden="true" customHeight="true" outlineLevel="1" collapsed="false">
      <c r="A1344" s="1731"/>
      <c r="B1344" s="1732"/>
      <c r="C1344" s="1732"/>
      <c r="D1344" s="1733"/>
      <c r="E1344" s="1733"/>
      <c r="F1344" s="1733"/>
      <c r="G1344" s="1733"/>
      <c r="H1344" s="1733"/>
      <c r="I1344" s="1734"/>
      <c r="J1344" s="1728"/>
      <c r="K1344" s="1728"/>
      <c r="L1344" s="1728"/>
      <c r="M1344" s="1728"/>
      <c r="N1344" s="1728"/>
      <c r="O1344" s="1290"/>
      <c r="P1344" s="1730"/>
      <c r="Q1344" s="1290"/>
      <c r="R1344" s="1290"/>
      <c r="S1344" s="1311"/>
      <c r="T1344" s="1311"/>
      <c r="U1344" s="1311"/>
      <c r="V1344" s="1311"/>
      <c r="W1344" s="1311"/>
      <c r="X1344" s="1311"/>
      <c r="Y1344" s="1311"/>
    </row>
    <row r="1345" customFormat="false" ht="15.75" hidden="true" customHeight="true" outlineLevel="1" collapsed="false">
      <c r="A1345" s="1735" t="s">
        <v>1806</v>
      </c>
      <c r="B1345" s="1736"/>
      <c r="C1345" s="1736"/>
      <c r="D1345" s="1164"/>
      <c r="E1345" s="1164"/>
      <c r="F1345" s="1737"/>
      <c r="G1345" s="1738" t="n">
        <f aca="false">'Ввод данных'!D995</f>
        <v>1</v>
      </c>
      <c r="H1345" s="1738"/>
      <c r="I1345" s="1739" t="n">
        <f aca="false">'Ввод данных'!D996</f>
        <v>1</v>
      </c>
      <c r="J1345" s="1728"/>
      <c r="K1345" s="1740" t="s">
        <v>3611</v>
      </c>
      <c r="L1345" s="1740"/>
      <c r="M1345" s="1740"/>
      <c r="N1345" s="1740"/>
      <c r="O1345" s="1290" t="n">
        <f aca="false">C1321</f>
        <v>6</v>
      </c>
      <c r="P1345" s="1730" t="n">
        <f aca="false">IF(O1345&lt;=2,0,1)</f>
        <v>1</v>
      </c>
      <c r="Q1345" s="1290" t="n">
        <f aca="false">пристройка!C34</f>
        <v>6</v>
      </c>
      <c r="R1345" s="1290" t="n">
        <f aca="false">IF(Q1345&lt;=2,0,1)</f>
        <v>1</v>
      </c>
      <c r="S1345" s="1311"/>
      <c r="T1345" s="1311"/>
      <c r="U1345" s="1311"/>
      <c r="V1345" s="1311"/>
      <c r="W1345" s="1311"/>
      <c r="X1345" s="1311"/>
      <c r="Y1345" s="1311"/>
    </row>
    <row r="1346" customFormat="false" ht="15.75" hidden="true" customHeight="true" outlineLevel="1" collapsed="false">
      <c r="A1346" s="1290" t="s">
        <v>3612</v>
      </c>
      <c r="B1346" s="1527" t="s">
        <v>156</v>
      </c>
      <c r="C1346" s="1527" t="n">
        <f aca="false">'Ввод данных'!C998</f>
        <v>0</v>
      </c>
      <c r="D1346" s="1311"/>
      <c r="E1346" s="1728"/>
      <c r="F1346" s="1311"/>
      <c r="G1346" s="1311"/>
      <c r="H1346" s="1311"/>
      <c r="I1346" s="1696"/>
      <c r="J1346" s="1311"/>
      <c r="K1346" s="1728"/>
      <c r="L1346" s="1728"/>
      <c r="M1346" s="1728"/>
      <c r="N1346" s="1728"/>
      <c r="O1346" s="1290" t="n">
        <f aca="false">C1322</f>
        <v>4</v>
      </c>
      <c r="P1346" s="1730" t="n">
        <f aca="false">IF(O1346&lt;=2,0,1)</f>
        <v>1</v>
      </c>
      <c r="Q1346" s="1290" t="n">
        <f aca="false">пристройка!C33</f>
        <v>3</v>
      </c>
      <c r="R1346" s="1290" t="n">
        <f aca="false">IF(Q1346&lt;=2,0,1)</f>
        <v>1</v>
      </c>
      <c r="S1346" s="1311"/>
      <c r="T1346" s="1311"/>
      <c r="U1346" s="1311"/>
      <c r="V1346" s="1311"/>
      <c r="W1346" s="1311"/>
      <c r="X1346" s="1311"/>
      <c r="Y1346" s="1311"/>
    </row>
    <row r="1347" customFormat="false" ht="15.75" hidden="true" customHeight="true" outlineLevel="1" collapsed="false">
      <c r="A1347" s="1290" t="s">
        <v>3613</v>
      </c>
      <c r="B1347" s="1527" t="s">
        <v>156</v>
      </c>
      <c r="C1347" s="1527" t="n">
        <f aca="false">'Ввод данных'!C999</f>
        <v>0</v>
      </c>
      <c r="D1347" s="1311"/>
      <c r="E1347" s="1728"/>
      <c r="F1347" s="1311"/>
      <c r="G1347" s="1311"/>
      <c r="H1347" s="1311"/>
      <c r="I1347" s="1696"/>
      <c r="J1347" s="1311"/>
      <c r="K1347" s="1311"/>
      <c r="L1347" s="1311"/>
      <c r="M1347" s="1311"/>
      <c r="N1347" s="1311"/>
      <c r="O1347" s="1290" t="n">
        <f aca="false">C1323</f>
        <v>0</v>
      </c>
      <c r="P1347" s="1730" t="n">
        <f aca="false">IF(O1347&lt;=2,0,1)</f>
        <v>0</v>
      </c>
      <c r="Q1347" s="1290" t="n">
        <f aca="false">пристройка!C33</f>
        <v>3</v>
      </c>
      <c r="R1347" s="1290" t="n">
        <f aca="false">IF(Q1347&lt;=2,0,1)</f>
        <v>1</v>
      </c>
      <c r="S1347" s="1311"/>
      <c r="T1347" s="1311"/>
      <c r="U1347" s="1311"/>
      <c r="V1347" s="1311"/>
      <c r="W1347" s="1311"/>
      <c r="X1347" s="1311"/>
      <c r="Y1347" s="1311"/>
    </row>
    <row r="1348" customFormat="false" ht="15.75" hidden="true" customHeight="true" outlineLevel="1" collapsed="false">
      <c r="A1348" s="1290" t="s">
        <v>2560</v>
      </c>
      <c r="B1348" s="1527" t="s">
        <v>156</v>
      </c>
      <c r="C1348" s="1527"/>
      <c r="D1348" s="1311"/>
      <c r="E1348" s="1741" t="s">
        <v>3614</v>
      </c>
      <c r="F1348" s="1311"/>
      <c r="G1348" s="1311"/>
      <c r="H1348" s="1311"/>
      <c r="I1348" s="1696"/>
      <c r="J1348" s="1311"/>
      <c r="K1348" s="1311"/>
      <c r="L1348" s="1311"/>
      <c r="M1348" s="1311"/>
      <c r="N1348" s="1311"/>
      <c r="O1348" s="1290" t="n">
        <f aca="false">C1324</f>
        <v>0</v>
      </c>
      <c r="P1348" s="1730" t="n">
        <f aca="false">IF(O1348&lt;=2,0,1)</f>
        <v>0</v>
      </c>
      <c r="Q1348" s="1290" t="n">
        <f aca="false">пристройка!D34</f>
        <v>3</v>
      </c>
      <c r="R1348" s="1290" t="n">
        <f aca="false">IF(Q1348&lt;=2,0,1)</f>
        <v>1</v>
      </c>
      <c r="S1348" s="1311"/>
      <c r="T1348" s="1311"/>
      <c r="U1348" s="1311"/>
      <c r="V1348" s="1311"/>
      <c r="W1348" s="1311"/>
      <c r="X1348" s="1311"/>
      <c r="Y1348" s="1311"/>
    </row>
    <row r="1349" customFormat="false" ht="15.75" hidden="true" customHeight="true" outlineLevel="1" collapsed="false">
      <c r="A1349" s="1608" t="s">
        <v>3615</v>
      </c>
      <c r="B1349" s="1527" t="s">
        <v>156</v>
      </c>
      <c r="C1349" s="1742" t="n">
        <v>0</v>
      </c>
      <c r="D1349" s="1743" t="n">
        <v>0</v>
      </c>
      <c r="E1349" s="1290"/>
      <c r="O1349" s="1290"/>
      <c r="P1349" s="1730"/>
      <c r="Q1349" s="1290" t="n">
        <f aca="false">пристройка!D33</f>
        <v>3</v>
      </c>
      <c r="R1349" s="1290" t="n">
        <f aca="false">IF(Q1349&lt;=2,0,1)</f>
        <v>1</v>
      </c>
      <c r="S1349" s="1311"/>
      <c r="T1349" s="1311"/>
      <c r="U1349" s="1311"/>
      <c r="V1349" s="1311"/>
      <c r="W1349" s="1311"/>
      <c r="X1349" s="1311"/>
      <c r="Y1349" s="1311"/>
    </row>
    <row r="1350" customFormat="false" ht="15.75" hidden="true" customHeight="true" outlineLevel="1" collapsed="false">
      <c r="A1350" s="1718"/>
      <c r="B1350" s="1527" t="s">
        <v>156</v>
      </c>
      <c r="C1350" s="1742" t="n">
        <f aca="false">VLOOKUP(A1396,связи1!A297:D309,4,0)</f>
        <v>0.15</v>
      </c>
      <c r="D1350" s="1743" t="n">
        <v>1</v>
      </c>
      <c r="E1350" s="1290"/>
      <c r="F1350" s="1230"/>
      <c r="O1350" s="1290" t="n">
        <f aca="false">C1329</f>
        <v>0</v>
      </c>
      <c r="P1350" s="1730" t="n">
        <f aca="false">IF(O1350&lt;=2,0,1)</f>
        <v>0</v>
      </c>
      <c r="Q1350" s="1290" t="n">
        <f aca="false">пристройка!D33</f>
        <v>3</v>
      </c>
      <c r="R1350" s="1290" t="n">
        <f aca="false">IF(Q1350&lt;=2,0,1)</f>
        <v>1</v>
      </c>
      <c r="S1350" s="1311"/>
      <c r="T1350" s="1311"/>
      <c r="U1350" s="1311"/>
      <c r="V1350" s="1311"/>
      <c r="W1350" s="1311"/>
      <c r="X1350" s="1311"/>
      <c r="Y1350" s="1311"/>
    </row>
    <row r="1351" customFormat="false" ht="15.75" hidden="true" customHeight="true" outlineLevel="1" collapsed="false">
      <c r="A1351" s="1608" t="s">
        <v>3616</v>
      </c>
      <c r="B1351" s="1527" t="s">
        <v>156</v>
      </c>
      <c r="C1351" s="1527" t="n">
        <v>0</v>
      </c>
      <c r="D1351" s="1743" t="n">
        <v>0</v>
      </c>
      <c r="E1351" s="1290"/>
      <c r="F1351" s="1230"/>
      <c r="O1351" s="1290" t="n">
        <f aca="false">C1330</f>
        <v>0</v>
      </c>
      <c r="P1351" s="1730" t="n">
        <f aca="false">IF(O1351&lt;=2,0,1)</f>
        <v>0</v>
      </c>
      <c r="Q1351" s="1290" t="n">
        <f aca="false">пристройка!E34</f>
        <v>3</v>
      </c>
      <c r="R1351" s="1290" t="n">
        <f aca="false">IF(Q1351&lt;=2,0,1)</f>
        <v>1</v>
      </c>
      <c r="S1351" s="1311"/>
      <c r="T1351" s="1311"/>
      <c r="U1351" s="1311"/>
      <c r="V1351" s="1311"/>
      <c r="W1351" s="1311"/>
      <c r="X1351" s="1311"/>
      <c r="Y1351" s="1311"/>
    </row>
    <row r="1352" customFormat="false" ht="15.75" hidden="true" customHeight="true" outlineLevel="1" collapsed="false">
      <c r="A1352" s="1718"/>
      <c r="B1352" s="1527" t="s">
        <v>156</v>
      </c>
      <c r="C1352" s="1527" t="n">
        <f aca="false">VLOOKUP(A1397,связи1!A297:D309,4,0)</f>
        <v>0.15</v>
      </c>
      <c r="D1352" s="1743" t="n">
        <v>1</v>
      </c>
      <c r="E1352" s="1290"/>
      <c r="F1352" s="1230"/>
      <c r="O1352" s="1290" t="n">
        <f aca="false">C1331</f>
        <v>0</v>
      </c>
      <c r="P1352" s="1730" t="n">
        <f aca="false">IF(O1352&lt;=2,0,1)</f>
        <v>0</v>
      </c>
      <c r="Q1352" s="1290" t="n">
        <f aca="false">пристройка!E33</f>
        <v>3</v>
      </c>
      <c r="R1352" s="1290" t="n">
        <f aca="false">IF(Q1352&lt;=2,0,1)</f>
        <v>1</v>
      </c>
      <c r="S1352" s="1311"/>
      <c r="T1352" s="1311"/>
      <c r="U1352" s="1311"/>
      <c r="V1352" s="1311"/>
      <c r="W1352" s="1311"/>
      <c r="X1352" s="1311"/>
      <c r="Y1352" s="1311"/>
    </row>
    <row r="1353" customFormat="false" ht="15.75" hidden="true" customHeight="true" outlineLevel="1" collapsed="false">
      <c r="F1353" s="1230"/>
      <c r="O1353" s="1290" t="n">
        <f aca="false">C1332</f>
        <v>0</v>
      </c>
      <c r="P1353" s="1730" t="n">
        <f aca="false">IF(O1353&lt;=2,0,1)</f>
        <v>0</v>
      </c>
      <c r="Q1353" s="1290" t="n">
        <f aca="false">пристройка!E33</f>
        <v>3</v>
      </c>
      <c r="R1353" s="1290" t="n">
        <f aca="false">IF(Q1353&lt;=2,0,1)</f>
        <v>1</v>
      </c>
      <c r="S1353" s="1311"/>
      <c r="T1353" s="1311"/>
      <c r="U1353" s="1311"/>
      <c r="V1353" s="1311"/>
      <c r="W1353" s="1311"/>
      <c r="X1353" s="1311"/>
      <c r="Y1353" s="1311"/>
    </row>
    <row r="1354" customFormat="false" ht="15.75" hidden="true" customHeight="true" outlineLevel="1" collapsed="false">
      <c r="F1354" s="1230"/>
      <c r="O1354" s="1290"/>
      <c r="P1354" s="1730"/>
      <c r="Q1354" s="1290" t="n">
        <f aca="false">пристройка!F34</f>
        <v>5</v>
      </c>
      <c r="R1354" s="1290" t="n">
        <f aca="false">IF(Q1354&lt;=2,0,1)</f>
        <v>1</v>
      </c>
      <c r="S1354" s="1311"/>
      <c r="T1354" s="1311"/>
      <c r="U1354" s="1311"/>
      <c r="V1354" s="1311"/>
      <c r="W1354" s="1311"/>
      <c r="X1354" s="1311"/>
      <c r="Y1354" s="1311"/>
    </row>
    <row r="1355" customFormat="false" ht="15.75" hidden="true" customHeight="true" outlineLevel="1" collapsed="false">
      <c r="A1355" s="1290" t="s">
        <v>3617</v>
      </c>
      <c r="B1355" s="1527" t="s">
        <v>159</v>
      </c>
      <c r="C1355" s="1527" t="n">
        <v>0</v>
      </c>
      <c r="D1355" s="1743" t="n">
        <v>1</v>
      </c>
      <c r="E1355" s="1290"/>
      <c r="F1355" s="1230"/>
      <c r="O1355" s="1290" t="n">
        <f aca="false">C1238</f>
        <v>2</v>
      </c>
      <c r="P1355" s="1730" t="n">
        <f aca="false">IF(O1355&lt;=2,0,1)</f>
        <v>0</v>
      </c>
      <c r="Q1355" s="1290" t="n">
        <f aca="false">пристройка!F33</f>
        <v>3</v>
      </c>
      <c r="R1355" s="1290" t="n">
        <f aca="false">IF(Q1355&lt;=2,0,1)</f>
        <v>1</v>
      </c>
      <c r="S1355" s="1311"/>
      <c r="T1355" s="1311"/>
      <c r="U1355" s="1311"/>
      <c r="V1355" s="1311"/>
      <c r="W1355" s="1311"/>
      <c r="X1355" s="1311"/>
      <c r="Y1355" s="1311"/>
    </row>
    <row r="1356" customFormat="false" ht="15.75" hidden="true" customHeight="true" outlineLevel="1" collapsed="false">
      <c r="A1356" s="933" t="s">
        <v>3618</v>
      </c>
      <c r="B1356" s="1527" t="s">
        <v>133</v>
      </c>
      <c r="C1356" s="1527" t="n">
        <f aca="false">'Ввод данных'!C1007</f>
        <v>0</v>
      </c>
      <c r="D1356" s="1743" t="n">
        <v>1</v>
      </c>
      <c r="E1356" s="1290"/>
      <c r="F1356" s="1230"/>
      <c r="O1356" s="1290" t="n">
        <f aca="false">C1239</f>
        <v>2.91547594742265</v>
      </c>
      <c r="P1356" s="1730" t="n">
        <f aca="false">IF(O1356&lt;=2,0,1)</f>
        <v>1</v>
      </c>
      <c r="Q1356" s="1290" t="n">
        <f aca="false">пристройка!F33</f>
        <v>3</v>
      </c>
      <c r="R1356" s="1290" t="n">
        <f aca="false">IF(Q1356&lt;=2,0,1)</f>
        <v>1</v>
      </c>
      <c r="S1356" s="1311"/>
      <c r="T1356" s="1311"/>
      <c r="U1356" s="1311"/>
      <c r="V1356" s="1311"/>
      <c r="W1356" s="1311"/>
      <c r="X1356" s="1311"/>
      <c r="Y1356" s="1311"/>
    </row>
    <row r="1357" customFormat="false" ht="15.75" hidden="true" customHeight="true" outlineLevel="1" collapsed="false">
      <c r="A1357" s="933" t="s">
        <v>3619</v>
      </c>
      <c r="B1357" s="1527" t="s">
        <v>133</v>
      </c>
      <c r="C1357" s="1527" t="n">
        <v>0</v>
      </c>
      <c r="D1357" s="1743" t="n">
        <v>1</v>
      </c>
      <c r="E1357" s="1290"/>
      <c r="F1357" s="1230"/>
      <c r="O1357" s="1290" t="n">
        <f aca="false">O1356</f>
        <v>2.91547594742265</v>
      </c>
      <c r="P1357" s="1730" t="n">
        <f aca="false">IF(O1357&lt;=2,0,1)</f>
        <v>1</v>
      </c>
      <c r="Q1357" s="1290" t="n">
        <f aca="false">пристройка!H34</f>
        <v>6</v>
      </c>
      <c r="R1357" s="1290" t="n">
        <f aca="false">IF(Q1357&lt;=2,0,1)</f>
        <v>1</v>
      </c>
      <c r="S1357" s="1311"/>
      <c r="T1357" s="1311"/>
      <c r="U1357" s="1311"/>
      <c r="V1357" s="1311"/>
      <c r="W1357" s="1311"/>
      <c r="X1357" s="1311"/>
      <c r="Y1357" s="1311"/>
    </row>
    <row r="1358" customFormat="false" ht="15.75" hidden="true" customHeight="true" outlineLevel="1" collapsed="false">
      <c r="A1358" s="1290" t="s">
        <v>3620</v>
      </c>
      <c r="B1358" s="1527" t="s">
        <v>156</v>
      </c>
      <c r="C1358" s="1527" t="n">
        <v>1</v>
      </c>
      <c r="D1358" s="1743" t="n">
        <v>1</v>
      </c>
      <c r="E1358" s="1290"/>
      <c r="F1358" s="1230"/>
      <c r="O1358" s="1290" t="n">
        <f aca="false">C1240</f>
        <v>1.5</v>
      </c>
      <c r="P1358" s="1730" t="n">
        <f aca="false">IF(O1358&lt;=2,0,1)</f>
        <v>0</v>
      </c>
      <c r="Q1358" s="1290" t="n">
        <f aca="false">пристройка!H33</f>
        <v>3</v>
      </c>
      <c r="R1358" s="1290" t="n">
        <f aca="false">IF(Q1358&lt;=2,0,1)</f>
        <v>1</v>
      </c>
      <c r="S1358" s="1311"/>
      <c r="T1358" s="1311"/>
      <c r="U1358" s="1311"/>
      <c r="V1358" s="1311"/>
      <c r="W1358" s="1311"/>
      <c r="X1358" s="1311"/>
      <c r="Y1358" s="1311"/>
    </row>
    <row r="1359" customFormat="false" ht="15.75" hidden="true" customHeight="true" outlineLevel="1" collapsed="false">
      <c r="A1359" s="1608" t="s">
        <v>3621</v>
      </c>
      <c r="B1359" s="1527" t="s">
        <v>156</v>
      </c>
      <c r="C1359" s="1527" t="n">
        <v>0</v>
      </c>
      <c r="D1359" s="1743" t="n">
        <v>0</v>
      </c>
      <c r="E1359" s="1290" t="n">
        <v>0.2</v>
      </c>
      <c r="F1359" s="1744" t="s">
        <v>3622</v>
      </c>
      <c r="G1359" s="1744"/>
      <c r="H1359" s="1744"/>
      <c r="I1359" s="1744"/>
      <c r="O1359" s="1290" t="n">
        <f aca="false">C1241</f>
        <v>3.2</v>
      </c>
      <c r="P1359" s="1730" t="n">
        <f aca="false">IF(O1359&lt;=2,0,1)</f>
        <v>1</v>
      </c>
      <c r="Q1359" s="1290" t="n">
        <f aca="false">пристройка!H33</f>
        <v>3</v>
      </c>
      <c r="R1359" s="1290" t="n">
        <f aca="false">IF(Q1359&lt;=2,0,1)</f>
        <v>1</v>
      </c>
      <c r="S1359" s="1311"/>
      <c r="T1359" s="1311"/>
      <c r="U1359" s="1311"/>
      <c r="V1359" s="1311"/>
      <c r="W1359" s="1311"/>
      <c r="X1359" s="1311"/>
      <c r="Y1359" s="1311"/>
    </row>
    <row r="1360" customFormat="false" ht="15.75" hidden="true" customHeight="true" outlineLevel="1" collapsed="false">
      <c r="A1360" s="1718"/>
      <c r="B1360" s="1527" t="s">
        <v>156</v>
      </c>
      <c r="C1360" s="1745" t="n">
        <f aca="false">VLOOKUP(A1408,связи1!A297:D309,4,0)</f>
        <v>0</v>
      </c>
      <c r="D1360" s="1743" t="n">
        <v>1</v>
      </c>
      <c r="E1360" s="1290" t="n">
        <v>0.15</v>
      </c>
      <c r="F1360" s="1744"/>
      <c r="G1360" s="1744"/>
      <c r="H1360" s="1744"/>
      <c r="I1360" s="1744"/>
      <c r="O1360" s="1290"/>
      <c r="P1360" s="1730"/>
      <c r="Q1360" s="1290" t="n">
        <f aca="false">пристройка!I34</f>
        <v>3</v>
      </c>
      <c r="R1360" s="1290" t="n">
        <f aca="false">IF(Q1360&lt;=2,0,1)</f>
        <v>1</v>
      </c>
      <c r="S1360" s="1311"/>
      <c r="T1360" s="1311"/>
      <c r="U1360" s="1311"/>
      <c r="V1360" s="1311"/>
      <c r="W1360" s="1311"/>
      <c r="X1360" s="1311"/>
      <c r="Y1360" s="1311"/>
    </row>
    <row r="1361" customFormat="false" ht="15.75" hidden="true" customHeight="true" outlineLevel="1" collapsed="false">
      <c r="A1361" s="1746" t="s">
        <v>3623</v>
      </c>
      <c r="B1361" s="1527" t="s">
        <v>159</v>
      </c>
      <c r="C1361" s="1689" t="e">
        <f aca="false">VLOOKUP('Ввод данных'!C1011,связи1!A2:B3,2,0)</f>
        <v>#N/A</v>
      </c>
      <c r="D1361" s="1311"/>
      <c r="E1361" s="1311"/>
      <c r="F1361" s="1527" t="s">
        <v>2850</v>
      </c>
      <c r="G1361" s="1527" t="s">
        <v>3624</v>
      </c>
      <c r="H1361" s="1527"/>
      <c r="I1361" s="1527" t="s">
        <v>2852</v>
      </c>
      <c r="O1361" s="1290" t="n">
        <f aca="false">'Ввод данных'!C522</f>
        <v>3</v>
      </c>
      <c r="P1361" s="1730" t="n">
        <f aca="false">IF(O1361&lt;=2,0,1)</f>
        <v>1</v>
      </c>
      <c r="Q1361" s="1290" t="n">
        <f aca="false">пристройка!I33</f>
        <v>3</v>
      </c>
      <c r="R1361" s="1290" t="n">
        <f aca="false">IF(Q1361&lt;=2,0,1)</f>
        <v>1</v>
      </c>
      <c r="S1361" s="1311"/>
      <c r="T1361" s="1311"/>
      <c r="U1361" s="1311"/>
      <c r="V1361" s="1311"/>
      <c r="W1361" s="1311"/>
      <c r="X1361" s="1311"/>
      <c r="Y1361" s="1311"/>
    </row>
    <row r="1362" customFormat="false" ht="15.75" hidden="true" customHeight="true" outlineLevel="1" collapsed="false">
      <c r="A1362" s="1604" t="s">
        <v>3625</v>
      </c>
      <c r="B1362" s="1527" t="s">
        <v>159</v>
      </c>
      <c r="C1362" s="1689" t="n">
        <f aca="false">'Ввод данных'!C1009</f>
        <v>2</v>
      </c>
      <c r="D1362" s="1311"/>
      <c r="E1362" s="1311"/>
      <c r="F1362" s="1527" t="n">
        <f aca="false">(C16+C17+C16+C17)*D43*E43+(C16+C17+C16+C17)*D44*E44+(C16+C17+C16+C17)*D45*E45</f>
        <v>8</v>
      </c>
      <c r="G1362" s="1527" t="n">
        <f aca="false">пристройка!D2*(пристройка!C85*пристройка!C21*пристройка!C25+пристройка!C85*пристройка!C22*пристройка!C26+пристройка!C85*пристройка!C23*пристройка!C27)</f>
        <v>0</v>
      </c>
      <c r="H1362" s="1527"/>
      <c r="I1362" s="1527" t="n">
        <f aca="false">D1229*(C1275*D1235*E1235+D1236*E1236*C1275+C1275*D1237*E1237)</f>
        <v>0</v>
      </c>
      <c r="O1362" s="1290" t="n">
        <f aca="false">'Ввод данных'!C523</f>
        <v>3</v>
      </c>
      <c r="P1362" s="1730" t="n">
        <f aca="false">IF(O1362&lt;=2,0,1)</f>
        <v>1</v>
      </c>
      <c r="Q1362" s="1290" t="n">
        <f aca="false">пристройка!I33</f>
        <v>3</v>
      </c>
      <c r="R1362" s="1290" t="n">
        <f aca="false">IF(Q1362&lt;=2,0,1)</f>
        <v>1</v>
      </c>
      <c r="S1362" s="1311"/>
      <c r="T1362" s="1311"/>
      <c r="U1362" s="1311"/>
      <c r="V1362" s="1311"/>
      <c r="W1362" s="1311"/>
      <c r="X1362" s="1311"/>
      <c r="Y1362" s="1311"/>
    </row>
    <row r="1363" customFormat="false" ht="15.75" hidden="true" customHeight="true" outlineLevel="1" collapsed="false">
      <c r="A1363" s="1747" t="s">
        <v>3626</v>
      </c>
      <c r="B1363" s="1748"/>
      <c r="C1363" s="1749"/>
      <c r="D1363" s="1719"/>
      <c r="E1363" s="1719"/>
      <c r="F1363" s="1527" t="n">
        <f aca="false">E1367+E1368+E1369</f>
        <v>9.57</v>
      </c>
      <c r="G1363" s="1290" t="n">
        <f aca="false">F1362+G1362+I1362</f>
        <v>8</v>
      </c>
      <c r="H1363" s="1290"/>
      <c r="I1363" s="933"/>
      <c r="J1363" s="1750" t="n">
        <f aca="false">F1363+G1363+I1363</f>
        <v>17.57</v>
      </c>
      <c r="O1363" s="1290" t="n">
        <f aca="false">'Ввод данных'!C523</f>
        <v>3</v>
      </c>
      <c r="P1363" s="1611" t="n">
        <f aca="false">IF(O1363&lt;=2,0,1)</f>
        <v>1</v>
      </c>
      <c r="Q1363" s="1290" t="n">
        <f aca="false">пристройка!J34</f>
        <v>3</v>
      </c>
      <c r="R1363" s="1290" t="n">
        <f aca="false">IF(Q1363&lt;=2,0,1)</f>
        <v>1</v>
      </c>
      <c r="S1363" s="1311"/>
      <c r="T1363" s="1311"/>
      <c r="U1363" s="1311"/>
      <c r="V1363" s="1311"/>
      <c r="W1363" s="1311"/>
      <c r="X1363" s="1311"/>
      <c r="Y1363" s="1311"/>
    </row>
    <row r="1364" customFormat="false" ht="15.75" hidden="true" customHeight="true" outlineLevel="1" collapsed="false">
      <c r="A1364" s="1751" t="s">
        <v>3627</v>
      </c>
      <c r="B1364" s="1527" t="s">
        <v>133</v>
      </c>
      <c r="C1364" s="152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364" s="1719"/>
      <c r="E1364" s="1719"/>
      <c r="F1364" s="1719"/>
      <c r="Q1364" s="1290" t="n">
        <f aca="false">пристройка!J33</f>
        <v>3</v>
      </c>
      <c r="R1364" s="1290" t="n">
        <f aca="false">IF(Q1364&lt;=2,0,1)</f>
        <v>1</v>
      </c>
      <c r="S1364" s="1311"/>
      <c r="T1364" s="1311"/>
      <c r="U1364" s="1311"/>
      <c r="V1364" s="1311"/>
      <c r="W1364" s="1311"/>
      <c r="X1364" s="1311"/>
      <c r="Y1364" s="1311"/>
    </row>
    <row r="1365" customFormat="false" ht="15.75" hidden="true" customHeight="true" outlineLevel="1" collapsed="false">
      <c r="A1365" s="1751" t="s">
        <v>3628</v>
      </c>
      <c r="B1365" s="1527" t="s">
        <v>133</v>
      </c>
      <c r="C1365" s="1527" t="n">
        <f aca="false">C1377</f>
        <v>0</v>
      </c>
      <c r="D1365" s="1719"/>
      <c r="E1365" s="1719"/>
      <c r="F1365" s="1719"/>
      <c r="Q1365" s="1290" t="n">
        <f aca="false">пристройка!J33</f>
        <v>3</v>
      </c>
      <c r="R1365" s="1290" t="n">
        <f aca="false">IF(Q1365&lt;=2,0,1)</f>
        <v>1</v>
      </c>
      <c r="S1365" s="1311"/>
      <c r="T1365" s="1311"/>
      <c r="U1365" s="1311"/>
      <c r="V1365" s="1311"/>
      <c r="W1365" s="1311"/>
      <c r="X1365" s="1311"/>
      <c r="Y1365" s="1311"/>
    </row>
    <row r="1366" customFormat="false" ht="15.75" hidden="true" customHeight="true" outlineLevel="1" collapsed="false">
      <c r="A1366" s="1751" t="s">
        <v>3629</v>
      </c>
      <c r="B1366" s="1527" t="s">
        <v>156</v>
      </c>
      <c r="C1366" s="1527" t="n">
        <f aca="false">C1319+D1319+C1319+D1319+(C1321*D1321)+(C1322*D1322)+(C1323*D1323)+C1324*D1324*C1329*D1329+C1330*D1330+C1331*D1331+C1332*D1332+пристройка!D2*пристройка!R85+D1229*C1275*E1274</f>
        <v>56</v>
      </c>
      <c r="D1366" s="1719"/>
      <c r="E1366" s="1719"/>
      <c r="F1366" s="1719"/>
      <c r="Q1366" s="1290" t="n">
        <f aca="false">пристройка!K34</f>
        <v>5</v>
      </c>
      <c r="R1366" s="1290" t="n">
        <f aca="false">IF(Q1366&lt;=2,0,1)</f>
        <v>1</v>
      </c>
      <c r="S1366" s="1311"/>
      <c r="T1366" s="1311"/>
      <c r="U1366" s="1311"/>
      <c r="V1366" s="1311"/>
      <c r="W1366" s="1311"/>
      <c r="X1366" s="1311"/>
      <c r="Y1366" s="1311"/>
    </row>
    <row r="1367" customFormat="false" ht="15.75" hidden="true" customHeight="true" outlineLevel="1" collapsed="false">
      <c r="A1367" s="1751" t="s">
        <v>3630</v>
      </c>
      <c r="B1367" s="1527" t="s">
        <v>156</v>
      </c>
      <c r="C1367" s="1527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367" s="1719" t="n">
        <f aca="false">C1349*D1349+C1350*D1350</f>
        <v>0.15</v>
      </c>
      <c r="E1367" s="1719" t="n">
        <f aca="false">C1367*D1367</f>
        <v>6</v>
      </c>
      <c r="F1367" s="1719"/>
      <c r="Q1367" s="1290" t="n">
        <f aca="false">пристройка!K33</f>
        <v>3</v>
      </c>
      <c r="R1367" s="1290" t="n">
        <f aca="false">IF(Q1367&lt;=2,0,1)</f>
        <v>1</v>
      </c>
      <c r="S1367" s="1311"/>
      <c r="T1367" s="1311"/>
      <c r="U1367" s="1311"/>
      <c r="V1367" s="1311"/>
      <c r="W1367" s="1311"/>
      <c r="X1367" s="1311"/>
      <c r="Y1367" s="1311"/>
    </row>
    <row r="1368" customFormat="false" ht="15.75" hidden="true" customHeight="true" outlineLevel="1" collapsed="false">
      <c r="A1368" s="1751" t="s">
        <v>3631</v>
      </c>
      <c r="B1368" s="1527" t="s">
        <v>156</v>
      </c>
      <c r="C1368" s="1527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D1368" s="1719" t="n">
        <f aca="false">C1351*D1351+C1352*D1352</f>
        <v>0.15</v>
      </c>
      <c r="E1368" s="1719" t="n">
        <f aca="false">C1368*D1368</f>
        <v>2.4</v>
      </c>
      <c r="F1368" s="1719"/>
      <c r="O1368" s="1311"/>
      <c r="P1368" s="1696"/>
      <c r="Q1368" s="1290" t="n">
        <f aca="false">пристройка!K33</f>
        <v>3</v>
      </c>
      <c r="R1368" s="1290" t="n">
        <f aca="false">IF(Q1368&lt;=2,0,1)</f>
        <v>1</v>
      </c>
      <c r="S1368" s="1311"/>
      <c r="T1368" s="1311"/>
      <c r="U1368" s="1311"/>
      <c r="V1368" s="1311"/>
      <c r="W1368" s="1311"/>
      <c r="X1368" s="1311"/>
      <c r="Y1368" s="1311"/>
    </row>
    <row r="1369" customFormat="false" ht="15.75" hidden="true" customHeight="true" outlineLevel="1" collapsed="false">
      <c r="A1369" s="1751" t="s">
        <v>3632</v>
      </c>
      <c r="B1369" s="1527" t="s">
        <v>156</v>
      </c>
      <c r="C1369" s="1527" t="n">
        <f aca="false">(C1325*D1325+C1326*D1326+C1327*D1327+C1328*D1328+C1333*D1333+C1334*D1334+C1335*D1335)+(C1336*D1336+N1325*O1325+N1326*O1326+N1327*O1327+N1328*O1328+N1333*O1333+N1334*O1334+N1335*O1335+N1336*O1336)*(B1319-1)</f>
        <v>7.8</v>
      </c>
      <c r="D1369" s="1719" t="n">
        <f aca="false">C1351*D1351+C1352*D1352</f>
        <v>0.15</v>
      </c>
      <c r="E1369" s="1719" t="n">
        <f aca="false">C1369*D1369</f>
        <v>1.17</v>
      </c>
      <c r="F1369" s="1719"/>
      <c r="S1369" s="1311"/>
      <c r="T1369" s="1311"/>
      <c r="U1369" s="1311"/>
      <c r="V1369" s="1311"/>
      <c r="W1369" s="1311"/>
      <c r="X1369" s="1311"/>
      <c r="Y1369" s="1311"/>
    </row>
    <row r="1370" customFormat="false" ht="15.75" hidden="true" customHeight="true" outlineLevel="1" collapsed="false">
      <c r="A1370" s="1752" t="s">
        <v>3633</v>
      </c>
      <c r="B1370" s="1753" t="s">
        <v>133</v>
      </c>
      <c r="C1370" s="1753" t="n">
        <f aca="false">связи1!C157</f>
        <v>0</v>
      </c>
      <c r="D1370" s="1719" t="n">
        <f aca="false">C1370*2.2*(D1351*E1351+D1352*E1352)*0.05*G1345</f>
        <v>0</v>
      </c>
      <c r="E1370" s="1719"/>
      <c r="F1370" s="1719"/>
      <c r="S1370" s="1311"/>
      <c r="T1370" s="1311"/>
      <c r="U1370" s="1311"/>
      <c r="V1370" s="1311"/>
      <c r="W1370" s="1311"/>
      <c r="X1370" s="1311"/>
      <c r="Y1370" s="1311"/>
    </row>
    <row r="1371" customFormat="false" ht="15.75" hidden="true" customHeight="true" outlineLevel="1" collapsed="false">
      <c r="A1371" s="1751" t="s">
        <v>3634</v>
      </c>
      <c r="B1371" s="1527" t="s">
        <v>133</v>
      </c>
      <c r="C1371" s="1527" t="n">
        <f aca="false">(C1319*2+D1319*2)*E1319+(B1319-1)*(F1319*2*E1319+C1319/2*(G1319+F1319)/2*2-C1319/2*(I1319-G1319))*2+пристройка!R95*пристройка!D2</f>
        <v>120</v>
      </c>
      <c r="S1371" s="1311"/>
      <c r="T1371" s="1311"/>
      <c r="U1371" s="1311"/>
      <c r="V1371" s="1311"/>
      <c r="W1371" s="1311"/>
      <c r="X1371" s="1311"/>
      <c r="Y1371" s="1311"/>
    </row>
    <row r="1372" customFormat="false" ht="15.75" hidden="true" customHeight="true" outlineLevel="1" collapsed="false">
      <c r="A1372" s="1752" t="s">
        <v>3635</v>
      </c>
      <c r="B1372" s="1753"/>
      <c r="C1372" s="1753" t="n">
        <f aca="false">связи1!D157</f>
        <v>0</v>
      </c>
      <c r="V1372" s="1311"/>
      <c r="W1372" s="1311"/>
      <c r="X1372" s="1311"/>
      <c r="Y1372" s="1311"/>
    </row>
    <row r="1373" customFormat="false" ht="15.75" hidden="true" customHeight="true" outlineLevel="1" collapsed="false">
      <c r="A1373" s="1752" t="s">
        <v>3636</v>
      </c>
      <c r="B1373" s="1753" t="s">
        <v>133</v>
      </c>
      <c r="C1373" s="1753" t="n">
        <f aca="false">связи1!E157</f>
        <v>0</v>
      </c>
      <c r="V1373" s="1311"/>
      <c r="W1373" s="1311"/>
      <c r="X1373" s="1311"/>
      <c r="Y1373" s="1311"/>
    </row>
    <row r="1374" customFormat="false" ht="15.75" hidden="true" customHeight="true" outlineLevel="1" collapsed="false">
      <c r="A1374" s="1751" t="s">
        <v>3637</v>
      </c>
      <c r="B1374" s="1527"/>
      <c r="C1374" s="1527" t="n">
        <f aca="false">(C1350*D1350)*E1319*4+(C1350*D1350)*F1319*4*(B1319-1)</f>
        <v>1.8</v>
      </c>
      <c r="I1374" s="1696"/>
      <c r="J1374" s="1702"/>
      <c r="K1374" s="1311"/>
      <c r="L1374" s="1311"/>
      <c r="M1374" s="1311"/>
      <c r="N1374" s="1311"/>
      <c r="S1374" s="1311"/>
      <c r="T1374" s="1311"/>
      <c r="U1374" s="1311"/>
      <c r="V1374" s="1311"/>
      <c r="W1374" s="1311"/>
      <c r="X1374" s="1311"/>
      <c r="Y1374" s="1311"/>
    </row>
    <row r="1375" customFormat="false" ht="15.75" hidden="true" customHeight="true" outlineLevel="1" collapsed="false">
      <c r="A1375" s="1751" t="s">
        <v>3638</v>
      </c>
      <c r="B1375" s="1527" t="s">
        <v>133</v>
      </c>
      <c r="C1375" s="1527" t="n">
        <f aca="false">C1373+C1372</f>
        <v>0</v>
      </c>
      <c r="G1375" s="1311"/>
      <c r="H1375" s="1311"/>
      <c r="I1375" s="1696"/>
      <c r="J1375" s="1702"/>
      <c r="K1375" s="1311"/>
      <c r="L1375" s="1311"/>
      <c r="M1375" s="1311"/>
      <c r="N1375" s="1311"/>
      <c r="S1375" s="1311"/>
      <c r="T1375" s="1311"/>
      <c r="U1375" s="1311"/>
      <c r="V1375" s="1311"/>
      <c r="W1375" s="1311"/>
      <c r="X1375" s="1311"/>
      <c r="Y1375" s="1311"/>
    </row>
    <row r="1376" customFormat="false" ht="15.75" hidden="true" customHeight="true" outlineLevel="1" collapsed="false">
      <c r="A1376" s="1751" t="s">
        <v>3639</v>
      </c>
      <c r="B1376" s="1527" t="s">
        <v>133</v>
      </c>
      <c r="C1376" s="1527" t="n">
        <f aca="false">IF('Ввод данных'!A8=связи1!A157,дома!F1105+дома!F1108,0)+IF('Ввод данных'!A8=связи1!A168,дома!F1104+дома!F1108,0)+IF('Ввод данных'!A8=связи1!A176,дома!F1104+дома!F1108,0)+IF('Ввод данных'!A8=связи1!A183,дома!F1104+дома!F1108,0)</f>
        <v>0</v>
      </c>
      <c r="D1376" s="1719"/>
      <c r="E1376" s="1719"/>
      <c r="F1376" s="1719"/>
      <c r="I1376" s="1696"/>
      <c r="J1376" s="1702"/>
      <c r="K1376" s="1311"/>
      <c r="L1376" s="1311"/>
      <c r="M1376" s="1311"/>
      <c r="N1376" s="1311"/>
      <c r="S1376" s="1311"/>
      <c r="T1376" s="1311"/>
      <c r="U1376" s="1311"/>
      <c r="V1376" s="1311"/>
      <c r="W1376" s="1311"/>
      <c r="X1376" s="1311"/>
      <c r="Y1376" s="1311"/>
    </row>
    <row r="1377" customFormat="false" ht="15.75" hidden="true" customHeight="true" outlineLevel="1" collapsed="false">
      <c r="A1377" s="1751" t="s">
        <v>3640</v>
      </c>
      <c r="B1377" s="1527" t="s">
        <v>133</v>
      </c>
      <c r="C1377" s="1527" t="n">
        <f aca="false">IF('Ввод данных'!A8=связи1!A157,дома!S93,0)+IF('Ввод данных'!A8=связи1!A168,дома!Q93,0)+IF('Ввод данных'!A8=связи1!A176,дома!Q93,0)+IF('Ввод данных'!A8=связи1!A183,дома!Q93,0)</f>
        <v>0</v>
      </c>
      <c r="D1377" s="1719"/>
      <c r="E1377" s="1719"/>
      <c r="F1377" s="1719"/>
      <c r="G1377" s="1311"/>
      <c r="H1377" s="1311"/>
      <c r="I1377" s="1696"/>
      <c r="J1377" s="1702"/>
      <c r="K1377" s="1311"/>
      <c r="L1377" s="1311"/>
      <c r="M1377" s="1311"/>
      <c r="N1377" s="1311"/>
      <c r="S1377" s="1311"/>
      <c r="T1377" s="1311"/>
      <c r="U1377" s="1311"/>
      <c r="V1377" s="1311"/>
      <c r="W1377" s="1311"/>
      <c r="X1377" s="1311"/>
      <c r="Y1377" s="1311"/>
    </row>
    <row r="1378" customFormat="false" ht="15.75" hidden="true" customHeight="true" outlineLevel="1" collapsed="false">
      <c r="A1378" s="1751" t="s">
        <v>3641</v>
      </c>
      <c r="B1378" s="1527"/>
      <c r="C1378" s="1527"/>
      <c r="D1378" s="1719"/>
      <c r="E1378" s="1719"/>
      <c r="F1378" s="1719"/>
      <c r="G1378" s="1311"/>
      <c r="H1378" s="1311"/>
      <c r="I1378" s="1696"/>
      <c r="J1378" s="1702"/>
      <c r="K1378" s="1311"/>
      <c r="L1378" s="1311"/>
      <c r="M1378" s="1311"/>
      <c r="N1378" s="1311"/>
      <c r="S1378" s="1311"/>
      <c r="T1378" s="1311"/>
      <c r="U1378" s="1311"/>
      <c r="V1378" s="1311"/>
      <c r="W1378" s="1311"/>
      <c r="X1378" s="1311"/>
      <c r="Y1378" s="1311"/>
    </row>
    <row r="1379" customFormat="false" ht="15.75" hidden="true" customHeight="true" outlineLevel="1" collapsed="false">
      <c r="A1379" s="1751" t="s">
        <v>3642</v>
      </c>
      <c r="B1379" s="1527" t="s">
        <v>133</v>
      </c>
      <c r="C1379" s="1527"/>
      <c r="D1379" s="1719"/>
      <c r="E1379" s="1719"/>
      <c r="F1379" s="1719"/>
      <c r="G1379" s="1311"/>
      <c r="H1379" s="1311"/>
      <c r="I1379" s="1696"/>
      <c r="J1379" s="1702"/>
      <c r="K1379" s="1311"/>
      <c r="L1379" s="1311"/>
      <c r="M1379" s="1311"/>
      <c r="N1379" s="1311"/>
      <c r="S1379" s="1311"/>
      <c r="T1379" s="1311"/>
      <c r="U1379" s="1311"/>
      <c r="V1379" s="1311"/>
      <c r="W1379" s="1311"/>
      <c r="X1379" s="1311"/>
      <c r="Y1379" s="1311"/>
    </row>
    <row r="1380" customFormat="false" ht="15.75" hidden="true" customHeight="true" outlineLevel="1" collapsed="false">
      <c r="A1380" s="1751" t="s">
        <v>3643</v>
      </c>
      <c r="B1380" s="1527" t="s">
        <v>133</v>
      </c>
      <c r="C1380" s="1527"/>
      <c r="D1380" s="1719"/>
      <c r="E1380" s="1719"/>
      <c r="F1380" s="1719"/>
      <c r="G1380" s="1311"/>
      <c r="H1380" s="1311"/>
      <c r="I1380" s="1696"/>
      <c r="J1380" s="1702"/>
      <c r="K1380" s="1311"/>
      <c r="L1380" s="1311"/>
      <c r="M1380" s="1311"/>
      <c r="N1380" s="1311"/>
      <c r="S1380" s="1311"/>
      <c r="T1380" s="1311"/>
      <c r="U1380" s="1311"/>
      <c r="V1380" s="1311"/>
      <c r="W1380" s="1311"/>
      <c r="X1380" s="1311"/>
      <c r="Y1380" s="1311"/>
    </row>
    <row r="1381" customFormat="false" ht="15.75" hidden="true" customHeight="true" outlineLevel="1" collapsed="false">
      <c r="A1381" s="1751" t="s">
        <v>3644</v>
      </c>
      <c r="B1381" s="1527" t="s">
        <v>133</v>
      </c>
      <c r="C1381" s="1527"/>
      <c r="D1381" s="1719"/>
      <c r="E1381" s="1719"/>
      <c r="F1381" s="1719"/>
      <c r="G1381" s="1311"/>
      <c r="H1381" s="1311"/>
      <c r="I1381" s="1696"/>
      <c r="J1381" s="1702"/>
      <c r="K1381" s="1311"/>
      <c r="L1381" s="1311"/>
      <c r="M1381" s="1311"/>
      <c r="N1381" s="1311"/>
      <c r="S1381" s="1311"/>
      <c r="T1381" s="1311"/>
      <c r="U1381" s="1311"/>
      <c r="V1381" s="1311"/>
      <c r="W1381" s="1311"/>
      <c r="X1381" s="1311"/>
      <c r="Y1381" s="1311"/>
    </row>
    <row r="1382" customFormat="false" ht="15.75" hidden="true" customHeight="true" outlineLevel="1" collapsed="false">
      <c r="A1382" s="1751" t="s">
        <v>3645</v>
      </c>
      <c r="B1382" s="1527" t="s">
        <v>133</v>
      </c>
      <c r="C1382" s="1527"/>
      <c r="D1382" s="1719"/>
      <c r="E1382" s="1719"/>
      <c r="F1382" s="1719"/>
      <c r="G1382" s="1311"/>
      <c r="H1382" s="1311"/>
      <c r="I1382" s="1696"/>
      <c r="J1382" s="1702"/>
      <c r="K1382" s="1311"/>
      <c r="L1382" s="1311"/>
      <c r="M1382" s="1311"/>
      <c r="N1382" s="1311"/>
      <c r="S1382" s="1311"/>
      <c r="T1382" s="1311"/>
      <c r="U1382" s="1311"/>
      <c r="V1382" s="1311"/>
      <c r="W1382" s="1311"/>
      <c r="X1382" s="1311"/>
      <c r="Y1382" s="1311"/>
    </row>
    <row r="1383" customFormat="false" ht="15.75" hidden="true" customHeight="true" outlineLevel="1" collapsed="false">
      <c r="A1383" s="1754" t="s">
        <v>3543</v>
      </c>
      <c r="B1383" s="1755"/>
      <c r="C1383" s="1756"/>
      <c r="D1383" s="1719"/>
      <c r="E1383" s="1719"/>
      <c r="F1383" s="1719"/>
      <c r="G1383" s="1311"/>
      <c r="H1383" s="1311"/>
      <c r="I1383" s="1696"/>
      <c r="J1383" s="1702"/>
      <c r="K1383" s="1311"/>
      <c r="L1383" s="1311"/>
      <c r="M1383" s="1311"/>
      <c r="N1383" s="1311"/>
      <c r="S1383" s="1311"/>
      <c r="T1383" s="1311"/>
      <c r="U1383" s="1311"/>
      <c r="V1383" s="1311"/>
      <c r="W1383" s="1311"/>
      <c r="X1383" s="1311"/>
      <c r="Y1383" s="1311"/>
    </row>
    <row r="1384" customFormat="false" ht="15.75" hidden="true" customHeight="true" outlineLevel="1" collapsed="false">
      <c r="A1384" s="1290" t="s">
        <v>2623</v>
      </c>
      <c r="B1384" s="1527" t="s">
        <v>133</v>
      </c>
      <c r="C1384" s="1527" t="n">
        <f aca="false">B1115*E1181+I1115*I1181+L1115*L1181+D1229*G1281+G1202*(J1215+K1215)+пристройка!G196+пристройка!L196+Q1115*(P1181+Q1182)</f>
        <v>0</v>
      </c>
      <c r="D1384" s="1719"/>
      <c r="E1384" s="1719"/>
      <c r="F1384" s="1719"/>
      <c r="G1384" s="1311"/>
      <c r="H1384" s="1311"/>
      <c r="I1384" s="1696"/>
      <c r="J1384" s="1702"/>
      <c r="K1384" s="1311"/>
      <c r="L1384" s="1311"/>
      <c r="M1384" s="1311"/>
      <c r="N1384" s="1311"/>
      <c r="S1384" s="1311"/>
      <c r="T1384" s="1311"/>
      <c r="U1384" s="1311"/>
      <c r="V1384" s="1311"/>
      <c r="W1384" s="1311"/>
      <c r="X1384" s="1311"/>
      <c r="Y1384" s="1311"/>
    </row>
    <row r="1385" customFormat="false" ht="15.75" hidden="true" customHeight="true" outlineLevel="1" collapsed="false">
      <c r="A1385" s="1290" t="s">
        <v>1546</v>
      </c>
      <c r="B1385" s="1527" t="s">
        <v>156</v>
      </c>
      <c r="C1385" s="1527" t="n">
        <f aca="false">B1115*E1164+I1115*I1164+L1115*L1164+G1202*(J1216+K1216)+Q1115*(P1164+Q1165)</f>
        <v>0</v>
      </c>
      <c r="D1385" s="1719"/>
      <c r="E1385" s="1719"/>
      <c r="F1385" s="1719"/>
      <c r="G1385" s="1311"/>
      <c r="H1385" s="1311"/>
      <c r="I1385" s="1696"/>
      <c r="J1385" s="1702"/>
      <c r="K1385" s="1311"/>
      <c r="L1385" s="1311"/>
      <c r="M1385" s="1311"/>
      <c r="N1385" s="1311"/>
      <c r="S1385" s="1311"/>
      <c r="T1385" s="1311"/>
      <c r="U1385" s="1311"/>
      <c r="V1385" s="1311"/>
      <c r="W1385" s="1311"/>
      <c r="X1385" s="1311"/>
      <c r="Y1385" s="1311"/>
    </row>
    <row r="1386" customFormat="false" ht="15.75" hidden="true" customHeight="true" outlineLevel="1" collapsed="false">
      <c r="A1386" s="1290" t="s">
        <v>3646</v>
      </c>
      <c r="B1386" s="1527" t="s">
        <v>156</v>
      </c>
      <c r="C1386" s="1527" t="n">
        <f aca="false">I1115*I1170+L1115*L1170*4+D1229</f>
        <v>0</v>
      </c>
      <c r="D1386" s="1719"/>
      <c r="E1386" s="1719"/>
      <c r="F1386" s="1719"/>
      <c r="G1386" s="1311"/>
      <c r="H1386" s="1311"/>
      <c r="I1386" s="1696"/>
      <c r="J1386" s="1702"/>
      <c r="K1386" s="1311"/>
      <c r="L1386" s="1311"/>
      <c r="M1386" s="1311"/>
      <c r="N1386" s="1311"/>
      <c r="S1386" s="1311"/>
      <c r="T1386" s="1311"/>
      <c r="U1386" s="1311"/>
      <c r="V1386" s="1311"/>
      <c r="W1386" s="1311"/>
      <c r="X1386" s="1311"/>
      <c r="Y1386" s="1311"/>
    </row>
    <row r="1387" customFormat="false" ht="15.75" hidden="true" customHeight="true" outlineLevel="1" collapsed="false">
      <c r="A1387" s="1290" t="s">
        <v>3647</v>
      </c>
      <c r="B1387" s="1527"/>
      <c r="C1387" s="1527" t="n">
        <f aca="false">B1115*(C1132*C1148+E1167*C1152*2+E1167*C1155*2)+I1115*((F1132+F1152+F1152)*F1148+F1133*F1152)+((K1132+K1152+K1152)*J1138+K1133*K1152)*L1115+G1202*(C1222*C1206*C1204+D1222*D1206*D1204)+G2093*D2019*(I2111*E2108*2+I2110*2*E2107)+пристройка!D2*пристройка!R78+Q1115*(P1179+Q1180)+(C1276-C1284)*D1229</f>
        <v>0</v>
      </c>
      <c r="D1387" s="1719"/>
      <c r="E1387" s="1719"/>
      <c r="F1387" s="1719"/>
      <c r="G1387" s="1311"/>
      <c r="H1387" s="1311"/>
      <c r="I1387" s="1696"/>
      <c r="J1387" s="1702"/>
      <c r="K1387" s="1311"/>
      <c r="L1387" s="1311"/>
      <c r="M1387" s="1311"/>
      <c r="N1387" s="1311"/>
      <c r="S1387" s="1311"/>
      <c r="T1387" s="1311"/>
      <c r="U1387" s="1311"/>
      <c r="V1387" s="1311"/>
      <c r="W1387" s="1311"/>
      <c r="X1387" s="1311"/>
      <c r="Y1387" s="1311"/>
    </row>
    <row r="1388" customFormat="false" ht="15.75" hidden="true" customHeight="true" outlineLevel="1" collapsed="false">
      <c r="A1388" s="1290"/>
      <c r="B1388" s="1527"/>
      <c r="C1388" s="1527"/>
      <c r="D1388" s="1719"/>
      <c r="E1388" s="1719"/>
      <c r="F1388" s="1719"/>
      <c r="G1388" s="1311"/>
      <c r="H1388" s="1311"/>
      <c r="I1388" s="1696"/>
      <c r="J1388" s="1702"/>
      <c r="K1388" s="1311"/>
      <c r="L1388" s="1311"/>
      <c r="M1388" s="1311"/>
      <c r="N1388" s="1311"/>
      <c r="S1388" s="1311"/>
      <c r="T1388" s="1311"/>
      <c r="U1388" s="1311"/>
      <c r="V1388" s="1311"/>
      <c r="W1388" s="1311"/>
      <c r="X1388" s="1311"/>
      <c r="Y1388" s="1311"/>
    </row>
    <row r="1389" customFormat="false" ht="15.75" hidden="true" customHeight="true" outlineLevel="1" collapsed="false">
      <c r="A1389" s="1290" t="s">
        <v>3502</v>
      </c>
      <c r="B1389" s="1527" t="s">
        <v>156</v>
      </c>
      <c r="C1389" s="1527" t="n">
        <f aca="false">(SQRT(((C1319/2)*(C1319/2))+((I1319/2)*(I1319/2))))+C1390</f>
        <v>5</v>
      </c>
      <c r="D1389" s="1719"/>
      <c r="E1389" s="1719"/>
      <c r="F1389" s="1719"/>
      <c r="G1389" s="1311"/>
      <c r="H1389" s="1311"/>
      <c r="I1389" s="1696"/>
      <c r="J1389" s="1702"/>
      <c r="K1389" s="1311"/>
      <c r="L1389" s="1311"/>
      <c r="M1389" s="1311"/>
      <c r="N1389" s="1311"/>
      <c r="S1389" s="1311"/>
      <c r="T1389" s="1311"/>
      <c r="U1389" s="1311"/>
      <c r="V1389" s="1311"/>
      <c r="W1389" s="1311"/>
      <c r="X1389" s="1311"/>
      <c r="Y1389" s="1311"/>
    </row>
    <row r="1390" customFormat="false" ht="15.75" hidden="true" customHeight="true" outlineLevel="1" collapsed="false">
      <c r="A1390" s="1290" t="s">
        <v>1972</v>
      </c>
      <c r="B1390" s="1527" t="s">
        <v>156</v>
      </c>
      <c r="C1390" s="1757"/>
      <c r="D1390" s="1719"/>
      <c r="E1390" s="1719"/>
      <c r="F1390" s="1719"/>
      <c r="G1390" s="1311"/>
      <c r="H1390" s="1311"/>
      <c r="I1390" s="1696"/>
      <c r="J1390" s="1702"/>
      <c r="K1390" s="1311"/>
      <c r="L1390" s="1311"/>
      <c r="M1390" s="1311"/>
      <c r="N1390" s="1311"/>
      <c r="S1390" s="1311"/>
      <c r="T1390" s="1311"/>
      <c r="U1390" s="1311"/>
      <c r="V1390" s="1311"/>
      <c r="W1390" s="1311"/>
      <c r="X1390" s="1311"/>
      <c r="Y1390" s="1311"/>
    </row>
    <row r="1391" customFormat="false" ht="15.75" hidden="true" customHeight="true" outlineLevel="1" collapsed="false">
      <c r="A1391" s="1758" t="s">
        <v>1975</v>
      </c>
      <c r="B1391" s="1745" t="s">
        <v>156</v>
      </c>
      <c r="C1391" s="1759"/>
      <c r="D1391" s="1719"/>
      <c r="E1391" s="1719"/>
      <c r="F1391" s="1719"/>
      <c r="G1391" s="1311"/>
      <c r="H1391" s="1311"/>
      <c r="I1391" s="1696"/>
      <c r="J1391" s="1702"/>
      <c r="K1391" s="1311"/>
      <c r="L1391" s="1311"/>
      <c r="M1391" s="1311"/>
      <c r="N1391" s="1311"/>
      <c r="O1391" s="1311"/>
      <c r="P1391" s="1311"/>
      <c r="Q1391" s="1311"/>
      <c r="R1391" s="1311"/>
      <c r="S1391" s="1311"/>
      <c r="T1391" s="1311"/>
      <c r="U1391" s="1311"/>
      <c r="V1391" s="1311"/>
      <c r="W1391" s="1311"/>
      <c r="X1391" s="1311"/>
      <c r="Y1391" s="1311"/>
    </row>
    <row r="1392" customFormat="false" ht="15.75" hidden="true" customHeight="true" outlineLevel="1" collapsed="false">
      <c r="A1392" s="1760" t="s">
        <v>3648</v>
      </c>
      <c r="B1392" s="1761"/>
      <c r="C1392" s="1761"/>
      <c r="D1392" s="1762"/>
      <c r="E1392" s="1762"/>
      <c r="F1392" s="1762"/>
      <c r="G1392" s="1762"/>
      <c r="H1392" s="1762"/>
      <c r="I1392" s="1763"/>
      <c r="J1392" s="1762"/>
      <c r="K1392" s="1762"/>
      <c r="L1392" s="1762"/>
      <c r="M1392" s="1762"/>
      <c r="N1392" s="1762"/>
      <c r="O1392" s="1762"/>
      <c r="P1392" s="1764"/>
      <c r="Q1392" s="1702"/>
      <c r="R1392" s="1702"/>
      <c r="S1392" s="1311"/>
      <c r="T1392" s="1311"/>
      <c r="U1392" s="1311"/>
      <c r="V1392" s="1311"/>
      <c r="W1392" s="1311"/>
      <c r="X1392" s="1311"/>
      <c r="Y1392" s="1311"/>
    </row>
    <row r="1393" customFormat="false" ht="15.75" hidden="true" customHeight="true" outlineLevel="1" collapsed="false">
      <c r="A1393" s="1751" t="s">
        <v>2720</v>
      </c>
      <c r="B1393" s="1527" t="s">
        <v>1094</v>
      </c>
      <c r="C1393" s="1527" t="s">
        <v>1802</v>
      </c>
      <c r="D1393" s="1527" t="s">
        <v>3649</v>
      </c>
      <c r="E1393" s="1290" t="s">
        <v>2722</v>
      </c>
      <c r="F1393" s="1311"/>
      <c r="G1393" s="1150" t="s">
        <v>3650</v>
      </c>
      <c r="I1393" s="1152" t="s">
        <v>3651</v>
      </c>
      <c r="K1393" s="1765"/>
      <c r="L1393" s="1557" t="s">
        <v>3652</v>
      </c>
      <c r="M1393" s="1527" t="s">
        <v>1094</v>
      </c>
      <c r="N1393" s="1290" t="s">
        <v>1802</v>
      </c>
      <c r="O1393" s="1290" t="s">
        <v>2721</v>
      </c>
      <c r="P1393" s="1290" t="s">
        <v>2722</v>
      </c>
      <c r="Q1393" s="1311"/>
      <c r="R1393" s="1311"/>
      <c r="S1393" s="1311"/>
      <c r="T1393" s="1311"/>
      <c r="U1393" s="1311"/>
      <c r="V1393" s="1311"/>
      <c r="W1393" s="1311"/>
      <c r="X1393" s="1311"/>
      <c r="Y1393" s="1311"/>
    </row>
    <row r="1394" customFormat="false" ht="15.75" hidden="true" customHeight="true" outlineLevel="1" collapsed="false">
      <c r="A1394" s="1751" t="str">
        <f aca="false">'Ввод данных'!A1026</f>
        <v>Брус естественной влажности, 150*150мм</v>
      </c>
      <c r="B1394" s="1527" t="s">
        <v>135</v>
      </c>
      <c r="C1394" s="1527" t="n">
        <f aca="false">(C1367+C1368)*VLOOKUP(A1394,связи1!A204:E213,5,0)*G1345</f>
        <v>1.26</v>
      </c>
      <c r="D1394" s="1527" t="n">
        <f aca="false">VLOOKUP(A1394,связи1!A204:D213,4,0)</f>
        <v>6500</v>
      </c>
      <c r="E1394" s="1290" t="n">
        <f aca="false">C1394*D1394</f>
        <v>8190</v>
      </c>
      <c r="F1394" s="1311"/>
      <c r="K1394" s="1219"/>
      <c r="L1394" s="1290" t="str">
        <f aca="false">'Прайс лист'!B1654</f>
        <v>монтаж обвязочного бруса</v>
      </c>
      <c r="M1394" s="1290" t="str">
        <f aca="false">'Прайс лист'!C1654</f>
        <v>м.п.</v>
      </c>
      <c r="N1394" s="1290" t="n">
        <f aca="false">C1366*I1345</f>
        <v>56</v>
      </c>
      <c r="O1394" s="1290" t="n">
        <f aca="false">'Прайс лист'!G1654</f>
        <v>200</v>
      </c>
      <c r="P1394" s="1290" t="n">
        <f aca="false">N1394*O1394</f>
        <v>11200</v>
      </c>
      <c r="Q1394" s="1311"/>
      <c r="R1394" s="1311"/>
      <c r="S1394" s="1311"/>
      <c r="T1394" s="1311"/>
      <c r="U1394" s="1311"/>
      <c r="V1394" s="1311"/>
      <c r="W1394" s="1311"/>
      <c r="X1394" s="1311"/>
      <c r="Y1394" s="1311"/>
    </row>
    <row r="1395" customFormat="false" ht="15.75" hidden="true" customHeight="true" outlineLevel="1" collapsed="false">
      <c r="A1395" s="1751" t="s">
        <v>1465</v>
      </c>
      <c r="B1395" s="1527" t="s">
        <v>396</v>
      </c>
      <c r="C1395" s="1527" t="n">
        <f aca="false">C1394*7*G1345</f>
        <v>8.82</v>
      </c>
      <c r="D1395" s="1527" t="n">
        <f aca="false">'Прайс лист'!G789</f>
        <v>60</v>
      </c>
      <c r="E1395" s="1290" t="n">
        <f aca="false">C1395*D1395</f>
        <v>529.2</v>
      </c>
      <c r="F1395" s="1311"/>
      <c r="I1395" s="1152" t="s">
        <v>209</v>
      </c>
      <c r="J1395" s="1150" t="s">
        <v>1800</v>
      </c>
      <c r="K1395" s="1611" t="s">
        <v>2975</v>
      </c>
      <c r="L1395" s="1290" t="str">
        <f aca="false">'Прайс лист'!B1655</f>
        <v>обработка мастикой</v>
      </c>
      <c r="M1395" s="1290" t="str">
        <f aca="false">'Прайс лист'!C1655</f>
        <v>м.п.</v>
      </c>
      <c r="N1395" s="1290" t="n">
        <f aca="false">N1394*I1345</f>
        <v>56</v>
      </c>
      <c r="O1395" s="1290" t="n">
        <f aca="false">'Прайс лист'!G1655</f>
        <v>200</v>
      </c>
      <c r="P1395" s="1290" t="n">
        <f aca="false">N1395*O1395</f>
        <v>11200</v>
      </c>
      <c r="Q1395" s="1311"/>
      <c r="R1395" s="1311"/>
      <c r="S1395" s="1311"/>
      <c r="T1395" s="1311"/>
      <c r="U1395" s="1311"/>
      <c r="V1395" s="1311"/>
      <c r="W1395" s="1311"/>
      <c r="X1395" s="1311"/>
      <c r="Y1395" s="1311"/>
    </row>
    <row r="1396" customFormat="false" ht="15.75" hidden="true" customHeight="true" outlineLevel="1" collapsed="false">
      <c r="A1396" s="1150" t="str">
        <f aca="false">'Ввод данных'!A1001</f>
        <v>Sip панель 2800*1250*174мм</v>
      </c>
      <c r="B1396" s="1527" t="s">
        <v>133</v>
      </c>
      <c r="C1396" s="1527" t="n">
        <f aca="false">(C1370-C1374)*G1345</f>
        <v>-1.8</v>
      </c>
      <c r="D1396" s="1527" t="n">
        <f aca="false">VLOOKUP(A1396,связи1!A297:B309,2,0)</f>
        <v>1200</v>
      </c>
      <c r="E1396" s="1290" t="n">
        <f aca="false">C1396*D1396</f>
        <v>-2160</v>
      </c>
      <c r="F1396" s="933" t="n">
        <f aca="false">VLOOKUP(A1396,связи1!A297:H309,8,0)</f>
        <v>3.5</v>
      </c>
      <c r="G1396" s="1219" t="n">
        <f aca="false">CEILING(C1396/F1396+1,1)</f>
        <v>1</v>
      </c>
      <c r="H1396" s="1217"/>
      <c r="I1396" s="1152" t="n">
        <f aca="false">VLOOKUP(A1396,связи1!A297:J309,9,0)</f>
        <v>2.8</v>
      </c>
      <c r="J1396" s="1150" t="n">
        <f aca="false">VLOOKUP(A1396,связи1!A297:J309,10,0)</f>
        <v>1.25</v>
      </c>
      <c r="K1396" s="1611" t="n">
        <f aca="false">VLOOKUP(A1396,связи1!A297:J309,6,0)</f>
        <v>0.174</v>
      </c>
      <c r="L1396" s="1290" t="str">
        <f aca="false">'Прайс лист'!B1656</f>
        <v>монтаж наружних стен сиппанели</v>
      </c>
      <c r="M1396" s="1290" t="str">
        <f aca="false">'Прайс лист'!C1656</f>
        <v>м2</v>
      </c>
      <c r="N1396" s="1290" t="n">
        <f aca="false">(C1370)*I1345</f>
        <v>0</v>
      </c>
      <c r="O1396" s="1290" t="n">
        <f aca="false">'Прайс лист'!G1656</f>
        <v>400</v>
      </c>
      <c r="P1396" s="1290" t="n">
        <f aca="false">N1396*O1396</f>
        <v>0</v>
      </c>
      <c r="Q1396" s="1311"/>
      <c r="R1396" s="1311"/>
      <c r="S1396" s="1311"/>
      <c r="T1396" s="1311"/>
      <c r="U1396" s="1311"/>
      <c r="V1396" s="1311"/>
      <c r="W1396" s="1311"/>
      <c r="X1396" s="1311"/>
      <c r="Y1396" s="1311"/>
    </row>
    <row r="1397" customFormat="false" ht="15.75" hidden="true" customHeight="true" outlineLevel="1" collapsed="false">
      <c r="A1397" s="1751" t="str">
        <f aca="false">'Ввод данных'!A1003</f>
        <v>Sip панель 2800*1250*174мм</v>
      </c>
      <c r="B1397" s="1527" t="s">
        <v>133</v>
      </c>
      <c r="C1397" s="1527" t="n">
        <f aca="false">C1372*G1345</f>
        <v>0</v>
      </c>
      <c r="D1397" s="1527" t="n">
        <f aca="false">VLOOKUP(A1397,связи1!A297:B309,2,0)</f>
        <v>1200</v>
      </c>
      <c r="E1397" s="1290" t="n">
        <f aca="false">C1397*D1397</f>
        <v>0</v>
      </c>
      <c r="F1397" s="933" t="n">
        <f aca="false">VLOOKUP(A1397,связи1!A297:H309,8,0)</f>
        <v>3.5</v>
      </c>
      <c r="G1397" s="1219" t="n">
        <f aca="false">CEILING(C1397/F1397+1,1)</f>
        <v>1</v>
      </c>
      <c r="H1397" s="1217"/>
      <c r="I1397" s="1152" t="n">
        <f aca="false">VLOOKUP(A1397,связи1!A297:J309,9,0)</f>
        <v>2.8</v>
      </c>
      <c r="J1397" s="1150" t="n">
        <f aca="false">VLOOKUP(A1397,связи1!A297:J309,10,0)</f>
        <v>1.25</v>
      </c>
      <c r="K1397" s="1219" t="n">
        <f aca="false">VLOOKUP(A1397,связи1!A297:J309,6,0)</f>
        <v>0.174</v>
      </c>
      <c r="L1397" s="1290" t="str">
        <f aca="false">'Прайс лист'!B1657</f>
        <v>Монтаж несущих перегородок сип панели</v>
      </c>
      <c r="M1397" s="1290" t="str">
        <f aca="false">'Прайс лист'!C1657</f>
        <v>м2</v>
      </c>
      <c r="N1397" s="933" t="n">
        <f aca="false">C1372</f>
        <v>0</v>
      </c>
      <c r="O1397" s="1290" t="n">
        <f aca="false">'Прайс лист'!G1657</f>
        <v>400</v>
      </c>
      <c r="P1397" s="1290" t="n">
        <f aca="false">N1397*O1397</f>
        <v>0</v>
      </c>
      <c r="Q1397" s="1311"/>
      <c r="R1397" s="1311"/>
      <c r="S1397" s="1311"/>
      <c r="T1397" s="1311"/>
      <c r="U1397" s="1311"/>
      <c r="V1397" s="1311"/>
      <c r="W1397" s="1311"/>
      <c r="X1397" s="1311"/>
      <c r="Y1397" s="1311"/>
    </row>
    <row r="1398" customFormat="false" ht="15.75" hidden="true" customHeight="true" outlineLevel="1" collapsed="false">
      <c r="A1398" s="1751" t="str">
        <f aca="false">'Ввод данных'!A1005</f>
        <v>Sip панель 2800*1250*124мм</v>
      </c>
      <c r="B1398" s="1527" t="s">
        <v>133</v>
      </c>
      <c r="C1398" s="1527" t="n">
        <f aca="false">C1373</f>
        <v>0</v>
      </c>
      <c r="D1398" s="1527" t="n">
        <f aca="false">VLOOKUP(A1398,связи1!A297:E309,2,0)</f>
        <v>800</v>
      </c>
      <c r="E1398" s="1290" t="n">
        <f aca="false">C1398*D1398</f>
        <v>0</v>
      </c>
      <c r="F1398" s="933" t="n">
        <f aca="false">VLOOKUP(A1398,связи1!A297:H309,8,0)</f>
        <v>3.5</v>
      </c>
      <c r="G1398" s="1219" t="n">
        <f aca="false">CEILING(C1398/F1398+1,1)</f>
        <v>1</v>
      </c>
      <c r="H1398" s="1217"/>
      <c r="I1398" s="1152" t="n">
        <f aca="false">VLOOKUP(A1398,связи1!A297:J309,9,0)</f>
        <v>2.8</v>
      </c>
      <c r="J1398" s="1150" t="n">
        <f aca="false">VLOOKUP(A1398,связи1!A297:J309,10,0)</f>
        <v>1.25</v>
      </c>
      <c r="K1398" s="1219" t="n">
        <f aca="false">VLOOKUP(A1398,связи1!A297:J309,6,0)</f>
        <v>0.124</v>
      </c>
      <c r="L1398" s="1290"/>
      <c r="M1398" s="1290"/>
      <c r="N1398" s="933"/>
      <c r="O1398" s="1290"/>
      <c r="P1398" s="1290"/>
      <c r="Q1398" s="1311"/>
      <c r="R1398" s="1311"/>
      <c r="S1398" s="1311"/>
      <c r="T1398" s="1311"/>
      <c r="U1398" s="1311"/>
      <c r="V1398" s="1311"/>
      <c r="W1398" s="1311"/>
      <c r="X1398" s="1311"/>
      <c r="Y1398" s="1311"/>
    </row>
    <row r="1399" customFormat="false" ht="15.75" hidden="true" customHeight="true" outlineLevel="1" collapsed="false">
      <c r="A1399" s="1751" t="str">
        <f aca="false">'Прайс лист'!B864</f>
        <v>Болты анкерные с гайкой 12,0 х 280</v>
      </c>
      <c r="B1399" s="1527" t="s">
        <v>159</v>
      </c>
      <c r="C1399" s="1527" t="n">
        <f aca="false">C1366*2*G1345</f>
        <v>112</v>
      </c>
      <c r="D1399" s="1527" t="n">
        <f aca="false">'Прайс лист'!G864</f>
        <v>27.1</v>
      </c>
      <c r="E1399" s="1290" t="n">
        <f aca="false">C1399*D1399</f>
        <v>3035.2</v>
      </c>
      <c r="G1399" s="1152"/>
      <c r="H1399" s="1152"/>
      <c r="K1399" s="1219"/>
      <c r="L1399" s="1290" t="str">
        <f aca="false">'Прайс лист'!B1658</f>
        <v>Монтаж перегородок сип панели</v>
      </c>
      <c r="M1399" s="1290" t="str">
        <f aca="false">'Прайс лист'!C1658</f>
        <v>м2</v>
      </c>
      <c r="N1399" s="933" t="n">
        <f aca="false">C1373</f>
        <v>0</v>
      </c>
      <c r="O1399" s="1290" t="n">
        <f aca="false">'Прайс лист'!G1658</f>
        <v>300</v>
      </c>
      <c r="P1399" s="1290" t="n">
        <f aca="false">N1399*O1399</f>
        <v>0</v>
      </c>
      <c r="Q1399" s="1311"/>
      <c r="R1399" s="1311"/>
      <c r="S1399" s="1311"/>
      <c r="T1399" s="1311"/>
      <c r="U1399" s="1311"/>
      <c r="V1399" s="1311"/>
      <c r="W1399" s="1311"/>
      <c r="X1399" s="1311"/>
      <c r="Y1399" s="1311"/>
    </row>
    <row r="1400" customFormat="false" ht="15.75" hidden="true" customHeight="true" outlineLevel="1" collapsed="false">
      <c r="A1400" s="1751" t="s">
        <v>3653</v>
      </c>
      <c r="B1400" s="1527" t="s">
        <v>135</v>
      </c>
      <c r="C1400" s="1527" t="n">
        <f aca="false">C1367*(C1350*D1350)*0.05*2*G1345</f>
        <v>0.6</v>
      </c>
      <c r="D1400" s="1527" t="n">
        <f aca="false">VLOOKUP(A1396,связи1!A297:E309,5,0)</f>
        <v>9000</v>
      </c>
      <c r="E1400" s="1290" t="n">
        <f aca="false">C1400*D1400</f>
        <v>5400</v>
      </c>
      <c r="G1400" s="1152"/>
      <c r="H1400" s="1152"/>
      <c r="K1400" s="1611"/>
      <c r="L1400" s="1290" t="str">
        <f aca="false">'Прайс лист'!B1659</f>
        <v>монтаж покрытия кровли</v>
      </c>
      <c r="M1400" s="1290" t="str">
        <f aca="false">'Прайс лист'!C1659</f>
        <v>м2</v>
      </c>
      <c r="N1400" s="1290" t="n">
        <f aca="false">C1408*D1356*I1345*IF(дома!A1408=связи1!A297,0,1)</f>
        <v>0</v>
      </c>
      <c r="O1400" s="1290" t="n">
        <f aca="false">'Прайс лист'!G1659</f>
        <v>400</v>
      </c>
      <c r="P1400" s="1290" t="n">
        <f aca="false">N1400*O1400</f>
        <v>0</v>
      </c>
      <c r="Q1400" s="1311"/>
      <c r="R1400" s="1311"/>
      <c r="S1400" s="1311"/>
      <c r="T1400" s="1311"/>
      <c r="U1400" s="1311"/>
      <c r="V1400" s="1311"/>
      <c r="W1400" s="1311"/>
      <c r="X1400" s="1311"/>
      <c r="Y1400" s="1311"/>
    </row>
    <row r="1401" customFormat="false" ht="15.75" hidden="true" customHeight="true" outlineLevel="1" collapsed="false">
      <c r="A1401" s="1751" t="s">
        <v>3654</v>
      </c>
      <c r="B1401" s="1527" t="s">
        <v>135</v>
      </c>
      <c r="C1401" s="1527" t="n">
        <f aca="false">C1368*(D1352*C1352)*0.05*2*G1345</f>
        <v>0.24</v>
      </c>
      <c r="D1401" s="1527" t="n">
        <f aca="false">VLOOKUP(A1397,связи1!A297:E309,5,0)</f>
        <v>9000</v>
      </c>
      <c r="E1401" s="1290" t="n">
        <f aca="false">C1401*D1401</f>
        <v>2160</v>
      </c>
      <c r="G1401" s="1152"/>
      <c r="H1401" s="1152"/>
      <c r="K1401" s="1765"/>
      <c r="L1401" s="1557"/>
      <c r="M1401" s="1290"/>
      <c r="N1401" s="1290"/>
      <c r="O1401" s="1290"/>
      <c r="P1401" s="1290" t="n">
        <f aca="false">N1401*O1401</f>
        <v>0</v>
      </c>
      <c r="Q1401" s="1311"/>
      <c r="R1401" s="1311"/>
      <c r="S1401" s="1311"/>
      <c r="T1401" s="1311"/>
      <c r="U1401" s="1311"/>
      <c r="V1401" s="1311"/>
      <c r="W1401" s="1311"/>
      <c r="X1401" s="1311"/>
      <c r="Y1401" s="1311"/>
    </row>
    <row r="1402" customFormat="false" ht="15.75" hidden="true" customHeight="true" outlineLevel="1" collapsed="false">
      <c r="A1402" s="1751" t="s">
        <v>3654</v>
      </c>
      <c r="B1402" s="1527" t="s">
        <v>135</v>
      </c>
      <c r="C1402" s="1527" t="n">
        <f aca="false">C1369*(D1352*C1352)*0.05*2*G1345</f>
        <v>0.117</v>
      </c>
      <c r="D1402" s="1527" t="n">
        <f aca="false">VLOOKUP(A1398,связи1!A297:E309,5,0)</f>
        <v>9000</v>
      </c>
      <c r="E1402" s="1290" t="n">
        <f aca="false">C1402*D1402</f>
        <v>1053</v>
      </c>
      <c r="G1402" s="1152"/>
      <c r="H1402" s="1152"/>
      <c r="K1402" s="1765"/>
      <c r="L1402" s="1557"/>
      <c r="M1402" s="1290"/>
      <c r="N1402" s="1290"/>
      <c r="O1402" s="1290"/>
      <c r="P1402" s="1290"/>
      <c r="Q1402" s="1311"/>
      <c r="R1402" s="1311"/>
      <c r="S1402" s="1311"/>
      <c r="T1402" s="1311"/>
      <c r="U1402" s="1311"/>
      <c r="V1402" s="1311"/>
      <c r="W1402" s="1311"/>
      <c r="X1402" s="1311"/>
      <c r="Y1402" s="1311"/>
    </row>
    <row r="1403" customFormat="false" ht="15.75" hidden="true" customHeight="true" outlineLevel="1" collapsed="false">
      <c r="A1403" s="1751" t="s">
        <v>3655</v>
      </c>
      <c r="B1403" s="1527" t="s">
        <v>135</v>
      </c>
      <c r="C1403" s="1527" t="n">
        <f aca="false">C1370*2.2*(D1352*C1352)*0.05*G1345</f>
        <v>0</v>
      </c>
      <c r="D1403" s="1527" t="n">
        <f aca="false">VLOOKUP(A1396,связи1!A297:E309,5,0)</f>
        <v>9000</v>
      </c>
      <c r="E1403" s="1290" t="n">
        <f aca="false">C1403*D1403</f>
        <v>0</v>
      </c>
      <c r="G1403" s="1152"/>
      <c r="H1403" s="1152"/>
      <c r="K1403" s="1765"/>
      <c r="L1403" s="1557"/>
      <c r="M1403" s="1290"/>
      <c r="N1403" s="1290"/>
      <c r="O1403" s="1290"/>
      <c r="P1403" s="1290" t="n">
        <f aca="false">N1403*O1403</f>
        <v>0</v>
      </c>
      <c r="Q1403" s="1311"/>
      <c r="R1403" s="1311"/>
      <c r="S1403" s="1311"/>
      <c r="T1403" s="1311"/>
      <c r="U1403" s="1311"/>
      <c r="V1403" s="1311"/>
      <c r="W1403" s="1311"/>
      <c r="X1403" s="1311"/>
      <c r="Y1403" s="1311"/>
    </row>
    <row r="1404" customFormat="false" ht="15.75" hidden="true" customHeight="true" outlineLevel="1" collapsed="false">
      <c r="A1404" s="1751" t="s">
        <v>3656</v>
      </c>
      <c r="B1404" s="1527" t="s">
        <v>135</v>
      </c>
      <c r="C1404" s="1527" t="n">
        <f aca="false">C1372*2.2*(D1352*C1352)*0.05*G1345</f>
        <v>0</v>
      </c>
      <c r="D1404" s="1527" t="n">
        <f aca="false">VLOOKUP(A1397,связи1!A297:E309,5,0)</f>
        <v>9000</v>
      </c>
      <c r="E1404" s="1290" t="n">
        <f aca="false">C1404*D1404</f>
        <v>0</v>
      </c>
      <c r="G1404" s="1152"/>
      <c r="H1404" s="1152"/>
      <c r="K1404" s="1765"/>
      <c r="L1404" s="1557"/>
      <c r="M1404" s="1290"/>
      <c r="N1404" s="1290"/>
      <c r="O1404" s="1290"/>
      <c r="P1404" s="1290" t="n">
        <f aca="false">N1404*O1404</f>
        <v>0</v>
      </c>
      <c r="Q1404" s="1311"/>
      <c r="R1404" s="1311"/>
      <c r="S1404" s="1311"/>
      <c r="T1404" s="1311"/>
      <c r="U1404" s="1311"/>
      <c r="V1404" s="1311"/>
      <c r="W1404" s="1311"/>
      <c r="X1404" s="1311"/>
      <c r="Y1404" s="1311"/>
    </row>
    <row r="1405" customFormat="false" ht="15.75" hidden="true" customHeight="true" outlineLevel="1" collapsed="false">
      <c r="A1405" s="1751" t="s">
        <v>3657</v>
      </c>
      <c r="B1405" s="1527" t="s">
        <v>135</v>
      </c>
      <c r="C1405" s="1527" t="n">
        <f aca="false">C1373*2.2*(D1352*C1352)*0.05*G1345</f>
        <v>0</v>
      </c>
      <c r="D1405" s="1527" t="n">
        <f aca="false">VLOOKUP(A1398,связи1!A297:E309,5,0)</f>
        <v>9000</v>
      </c>
      <c r="E1405" s="1290" t="n">
        <f aca="false">C1405*D1405</f>
        <v>0</v>
      </c>
      <c r="G1405" s="1152"/>
      <c r="H1405" s="1152"/>
      <c r="K1405" s="1765"/>
      <c r="L1405" s="1557"/>
      <c r="M1405" s="1290"/>
      <c r="N1405" s="1290"/>
      <c r="O1405" s="1290"/>
      <c r="P1405" s="1290"/>
      <c r="Q1405" s="1311"/>
      <c r="R1405" s="1311"/>
      <c r="S1405" s="1311"/>
      <c r="T1405" s="1311"/>
      <c r="U1405" s="1311"/>
      <c r="V1405" s="1311"/>
      <c r="W1405" s="1311"/>
      <c r="X1405" s="1311"/>
      <c r="Y1405" s="1311"/>
    </row>
    <row r="1406" customFormat="false" ht="15.75" hidden="true" customHeight="true" outlineLevel="1" collapsed="false">
      <c r="A1406" s="1751" t="s">
        <v>3658</v>
      </c>
      <c r="B1406" s="1527" t="s">
        <v>135</v>
      </c>
      <c r="C1406" s="1527" t="n">
        <f aca="false">C1384*2.8*(D1360*C1360)*0.05*2*G1345*D1356-C1407</f>
        <v>-0.15</v>
      </c>
      <c r="D1406" s="1527" t="n">
        <f aca="false">VLOOKUP(A1408,связи1!A297:E309,5,0)</f>
        <v>0</v>
      </c>
      <c r="E1406" s="1290" t="n">
        <f aca="false">C1406*D1406</f>
        <v>-0</v>
      </c>
      <c r="G1406" s="1152"/>
      <c r="H1406" s="1152"/>
      <c r="K1406" s="1765"/>
      <c r="L1406" s="1557"/>
      <c r="M1406" s="1290"/>
      <c r="N1406" s="1290"/>
      <c r="O1406" s="1290"/>
      <c r="P1406" s="1290" t="n">
        <f aca="false">N1406*O1406</f>
        <v>0</v>
      </c>
      <c r="Q1406" s="1311"/>
      <c r="R1406" s="1311"/>
      <c r="S1406" s="1311"/>
      <c r="T1406" s="1311"/>
      <c r="U1406" s="1311"/>
      <c r="V1406" s="1311"/>
      <c r="W1406" s="1311"/>
      <c r="X1406" s="1311"/>
      <c r="Y1406" s="1311"/>
    </row>
    <row r="1407" customFormat="false" ht="15.75" hidden="true" customHeight="true" outlineLevel="1" collapsed="false">
      <c r="A1407" s="1751" t="s">
        <v>3659</v>
      </c>
      <c r="B1407" s="1527" t="s">
        <v>135</v>
      </c>
      <c r="C1407" s="1527" t="n">
        <f aca="false">((C1385+C1385+(C1389*4))*(D1359*E1359+D1360*E1360))*G1345*0.05*D1356</f>
        <v>0.15</v>
      </c>
      <c r="D1407" s="1527" t="n">
        <f aca="false">VLOOKUP(A1408,связи1!A297:E309,5,0)</f>
        <v>0</v>
      </c>
      <c r="E1407" s="1290" t="n">
        <f aca="false">C1407*D1407</f>
        <v>0</v>
      </c>
      <c r="G1407" s="1152"/>
      <c r="H1407" s="1152"/>
      <c r="K1407" s="1766"/>
      <c r="L1407" s="1557"/>
      <c r="M1407" s="1290"/>
      <c r="N1407" s="1290"/>
      <c r="O1407" s="1290"/>
      <c r="P1407" s="1290" t="n">
        <f aca="false">N1407*O1407</f>
        <v>0</v>
      </c>
      <c r="Q1407" s="1311"/>
      <c r="R1407" s="1311"/>
      <c r="S1407" s="1311"/>
      <c r="T1407" s="1311"/>
      <c r="U1407" s="1311"/>
      <c r="V1407" s="1311"/>
      <c r="W1407" s="1311"/>
      <c r="X1407" s="1311"/>
      <c r="Y1407" s="1311"/>
    </row>
    <row r="1408" customFormat="false" ht="15.75" hidden="true" customHeight="true" outlineLevel="1" collapsed="false">
      <c r="A1408" s="1751" t="str">
        <f aca="false">'Ввод данных'!A1007</f>
        <v>Нет</v>
      </c>
      <c r="B1408" s="1527" t="s">
        <v>133</v>
      </c>
      <c r="C1408" s="1527" t="n">
        <f aca="false">C1384*D1356*G1345</f>
        <v>0</v>
      </c>
      <c r="D1408" s="1527" t="n">
        <f aca="false">VLOOKUP(A1408,связи1!A297:D309,2,0)</f>
        <v>0</v>
      </c>
      <c r="E1408" s="1290" t="n">
        <f aca="false">C1408*D1408</f>
        <v>0</v>
      </c>
      <c r="F1408" s="933" t="n">
        <f aca="false">VLOOKUP(A1408,'Прайс лист'!B258:G270,3,0)</f>
        <v>0</v>
      </c>
      <c r="G1408" s="1219" t="n">
        <f aca="false">CEILING(C1408/IF(F1408=0,1,F1408)+1,1)*IF(F1408=0,0,1)</f>
        <v>0</v>
      </c>
      <c r="H1408" s="1219"/>
      <c r="I1408" s="1219" t="n">
        <f aca="false">VLOOKUP(A1408,связи1!A297:J309,9,0)</f>
        <v>0</v>
      </c>
      <c r="J1408" s="933" t="n">
        <f aca="false">VLOOKUP(A1408,связи1!A297:J309,10,0)</f>
        <v>0</v>
      </c>
      <c r="K1408" s="1611" t="n">
        <f aca="false">VLOOKUP(A1408,связи1!A297:J309,6,0)</f>
        <v>0</v>
      </c>
      <c r="L1408" s="1557"/>
      <c r="M1408" s="1290"/>
      <c r="N1408" s="1290"/>
      <c r="O1408" s="1290"/>
      <c r="P1408" s="1290" t="n">
        <f aca="false">N1408*O1408</f>
        <v>0</v>
      </c>
      <c r="Q1408" s="1311"/>
      <c r="R1408" s="1311"/>
      <c r="S1408" s="1311"/>
      <c r="T1408" s="1311"/>
      <c r="U1408" s="1311"/>
      <c r="V1408" s="1311"/>
      <c r="W1408" s="1311"/>
      <c r="X1408" s="1311"/>
      <c r="Y1408" s="1311"/>
    </row>
    <row r="1409" customFormat="false" ht="15.75" hidden="true" customHeight="true" outlineLevel="1" collapsed="false">
      <c r="A1409" s="1751" t="str">
        <f aca="false">'Прайс лист'!B903</f>
        <v>Пена монтажная, всесезонняя 800мл</v>
      </c>
      <c r="B1409" s="1527" t="s">
        <v>159</v>
      </c>
      <c r="C1409" s="1527" t="n">
        <f aca="false">(C1364+C1372+C1373+C1370+C1376+C1377)/10*G1345</f>
        <v>10</v>
      </c>
      <c r="D1409" s="1527" t="n">
        <f aca="false">'Прайс лист'!G903</f>
        <v>300</v>
      </c>
      <c r="E1409" s="1290" t="n">
        <f aca="false">C1409*D1409</f>
        <v>3000</v>
      </c>
      <c r="F1409" s="1311"/>
      <c r="J1409" s="1767"/>
      <c r="K1409" s="1768"/>
      <c r="M1409" s="1290"/>
      <c r="N1409" s="1290"/>
      <c r="O1409" s="1290"/>
      <c r="P1409" s="1290" t="n">
        <f aca="false">N1409*O1409</f>
        <v>0</v>
      </c>
      <c r="Q1409" s="1311"/>
      <c r="R1409" s="1311"/>
      <c r="S1409" s="1311"/>
      <c r="T1409" s="1311"/>
      <c r="U1409" s="1311"/>
      <c r="V1409" s="1311"/>
      <c r="W1409" s="1311"/>
      <c r="X1409" s="1311"/>
      <c r="Y1409" s="1311"/>
    </row>
    <row r="1410" customFormat="false" ht="15.75" hidden="true" customHeight="true" outlineLevel="1" collapsed="false">
      <c r="A1410" s="1751" t="str">
        <f aca="false">'Прайс лист'!B878</f>
        <v>Саморезы 3,5 x 55</v>
      </c>
      <c r="B1410" s="1527" t="s">
        <v>188</v>
      </c>
      <c r="C1410" s="1527" t="n">
        <f aca="false">(C1364+C1370+C1373+C1382+C1384+C1408)/30*G1345</f>
        <v>3.33333333333333</v>
      </c>
      <c r="D1410" s="1527" t="n">
        <f aca="false">'Прайс лист'!G878</f>
        <v>105.62</v>
      </c>
      <c r="E1410" s="1290" t="n">
        <f aca="false">C1410*D1410</f>
        <v>352.066666666667</v>
      </c>
      <c r="F1410" s="1311"/>
      <c r="J1410" s="1557"/>
      <c r="K1410" s="1765"/>
      <c r="M1410" s="1290"/>
      <c r="N1410" s="1290"/>
      <c r="O1410" s="1290"/>
      <c r="P1410" s="1290" t="n">
        <f aca="false">N1410*O1410</f>
        <v>0</v>
      </c>
      <c r="Q1410" s="1311"/>
      <c r="R1410" s="1311"/>
      <c r="S1410" s="1311"/>
      <c r="T1410" s="1311"/>
      <c r="U1410" s="1311"/>
      <c r="V1410" s="1311"/>
      <c r="W1410" s="1311"/>
      <c r="X1410" s="1311"/>
      <c r="Y1410" s="1311"/>
    </row>
    <row r="1411" customFormat="false" ht="15.75" hidden="true" customHeight="true" outlineLevel="1" collapsed="false">
      <c r="A1411" s="1751" t="str">
        <f aca="false">'Прайс лист'!B880</f>
        <v>Саморезы 4,2 x 90</v>
      </c>
      <c r="B1411" s="1527" t="s">
        <v>159</v>
      </c>
      <c r="C1411" s="1527" t="n">
        <f aca="false">(C1364+C1370+C1373+C1382+C1384+C1408)/30*G1345</f>
        <v>3.33333333333333</v>
      </c>
      <c r="D1411" s="1527" t="n">
        <f aca="false">'Прайс лист'!G880</f>
        <v>107.62</v>
      </c>
      <c r="E1411" s="1290" t="n">
        <f aca="false">C1411*D1411</f>
        <v>358.733333333333</v>
      </c>
      <c r="F1411" s="1311"/>
      <c r="J1411" s="1557"/>
      <c r="K1411" s="1765"/>
      <c r="M1411" s="1290"/>
      <c r="N1411" s="1290"/>
      <c r="O1411" s="1290"/>
      <c r="P1411" s="1290" t="n">
        <f aca="false">N1411*O1411</f>
        <v>0</v>
      </c>
      <c r="Q1411" s="1311"/>
      <c r="R1411" s="1311"/>
      <c r="S1411" s="1311"/>
      <c r="T1411" s="1311"/>
      <c r="U1411" s="1311"/>
      <c r="V1411" s="1311"/>
      <c r="W1411" s="1311"/>
      <c r="X1411" s="1311"/>
      <c r="Y1411" s="1311"/>
    </row>
    <row r="1412" customFormat="false" ht="15.75" hidden="true" customHeight="true" outlineLevel="1" collapsed="false">
      <c r="A1412" s="1746" t="str">
        <f aca="false">'Ввод данных'!A1116</f>
        <v>Командировочные расходы</v>
      </c>
      <c r="B1412" s="1745" t="s">
        <v>1796</v>
      </c>
      <c r="C1412" s="1150" t="n">
        <f aca="false">1</f>
        <v>1</v>
      </c>
      <c r="D1412" s="1745" t="n">
        <f aca="false">'Ввод данных'!C1014*'Ввод данных'!C1015*'Ввод данных'!C1016*VLOOKUP('Ввод данных'!C1013,связи1!A2:B3,2,0)</f>
        <v>0</v>
      </c>
      <c r="E1412" s="1290" t="n">
        <f aca="false">C1412*D1412</f>
        <v>0</v>
      </c>
      <c r="F1412" s="1311"/>
      <c r="J1412" s="1557"/>
      <c r="K1412" s="1765"/>
      <c r="M1412" s="1290"/>
      <c r="N1412" s="1758"/>
      <c r="O1412" s="1758"/>
      <c r="P1412" s="1290"/>
      <c r="Q1412" s="1311"/>
      <c r="R1412" s="1311"/>
      <c r="S1412" s="1311"/>
      <c r="T1412" s="1311"/>
      <c r="U1412" s="1311"/>
      <c r="V1412" s="1311"/>
      <c r="W1412" s="1311"/>
      <c r="X1412" s="1311"/>
      <c r="Y1412" s="1311"/>
    </row>
    <row r="1413" customFormat="false" ht="15.75" hidden="true" customHeight="true" outlineLevel="1" collapsed="false">
      <c r="A1413" s="1746"/>
      <c r="B1413" s="1745"/>
      <c r="C1413" s="1745"/>
      <c r="D1413" s="1527"/>
      <c r="E1413" s="1290"/>
      <c r="F1413" s="1311"/>
      <c r="J1413" s="1557"/>
      <c r="K1413" s="1765"/>
      <c r="M1413" s="1290"/>
      <c r="N1413" s="1758"/>
      <c r="O1413" s="1758"/>
      <c r="P1413" s="1290"/>
      <c r="Q1413" s="1311"/>
      <c r="R1413" s="1311"/>
      <c r="S1413" s="1311"/>
      <c r="T1413" s="1311"/>
      <c r="U1413" s="1311"/>
      <c r="V1413" s="1311"/>
      <c r="W1413" s="1311"/>
      <c r="X1413" s="1311"/>
      <c r="Y1413" s="1311"/>
    </row>
    <row r="1414" customFormat="false" ht="15.75" hidden="true" customHeight="true" outlineLevel="1" collapsed="false">
      <c r="A1414" s="1746"/>
      <c r="B1414" s="1745"/>
      <c r="C1414" s="1745"/>
      <c r="D1414" s="1527"/>
      <c r="E1414" s="1290"/>
      <c r="F1414" s="1311"/>
      <c r="J1414" s="1557"/>
      <c r="K1414" s="1765"/>
      <c r="M1414" s="1290"/>
      <c r="N1414" s="1758"/>
      <c r="O1414" s="1758"/>
      <c r="P1414" s="1290"/>
      <c r="Q1414" s="1311"/>
      <c r="R1414" s="1311"/>
      <c r="S1414" s="1311"/>
      <c r="T1414" s="1311"/>
      <c r="U1414" s="1311"/>
      <c r="V1414" s="1311"/>
      <c r="W1414" s="1311"/>
      <c r="X1414" s="1311"/>
      <c r="Y1414" s="1311"/>
    </row>
    <row r="1415" customFormat="false" ht="15.75" hidden="true" customHeight="true" outlineLevel="1" collapsed="false">
      <c r="A1415" s="1746" t="str">
        <f aca="false">'Ввод данных'!A1011</f>
        <v>расходные материалы сип панели</v>
      </c>
      <c r="B1415" s="1745" t="s">
        <v>159</v>
      </c>
      <c r="C1415" s="1745" t="n">
        <f aca="false">1</f>
        <v>1</v>
      </c>
      <c r="D1415" s="1527" t="n">
        <f aca="false">'Ввод данных'!C1011</f>
        <v>3000</v>
      </c>
      <c r="E1415" s="1290" t="n">
        <f aca="false">C1415*D1415</f>
        <v>3000</v>
      </c>
      <c r="F1415" s="1230"/>
      <c r="J1415" s="1557"/>
      <c r="K1415" s="1765"/>
      <c r="M1415" s="1290"/>
      <c r="N1415" s="1758"/>
      <c r="O1415" s="1758"/>
      <c r="P1415" s="1290" t="n">
        <f aca="false">N1415*O1415</f>
        <v>0</v>
      </c>
      <c r="Q1415" s="1230"/>
      <c r="R1415" s="1230"/>
      <c r="S1415" s="1230"/>
      <c r="T1415" s="1230"/>
      <c r="U1415" s="1230"/>
      <c r="V1415" s="1230"/>
      <c r="W1415" s="1230"/>
      <c r="X1415" s="1230"/>
      <c r="Y1415" s="1230"/>
    </row>
    <row r="1416" customFormat="false" ht="15.75" hidden="true" customHeight="true" outlineLevel="1" collapsed="false">
      <c r="A1416" s="1751" t="str">
        <f aca="false">'Ввод данных'!A1009</f>
        <v>Нет техники</v>
      </c>
      <c r="B1416" s="1527" t="s">
        <v>159</v>
      </c>
      <c r="C1416" s="1527" t="n">
        <f aca="false">'Ввод данных'!C1009</f>
        <v>2</v>
      </c>
      <c r="D1416" s="1527" t="n">
        <f aca="false">VLOOKUP(A1416,'Прайс лист'!B180:G194,6,0)</f>
        <v>0</v>
      </c>
      <c r="E1416" s="1758" t="n">
        <f aca="false">C1416*D1416</f>
        <v>0</v>
      </c>
      <c r="F1416" s="1230"/>
      <c r="J1416" s="1557"/>
      <c r="K1416" s="1765"/>
      <c r="M1416" s="1290"/>
      <c r="N1416" s="1290"/>
      <c r="O1416" s="1290"/>
      <c r="P1416" s="1758" t="n">
        <f aca="false">N1416*O1416</f>
        <v>0</v>
      </c>
      <c r="Q1416" s="1230"/>
      <c r="R1416" s="1230"/>
      <c r="S1416" s="1230"/>
      <c r="T1416" s="1230"/>
      <c r="U1416" s="1230"/>
      <c r="V1416" s="1230"/>
      <c r="W1416" s="1230"/>
      <c r="X1416" s="1230"/>
      <c r="Y1416" s="1230"/>
    </row>
    <row r="1417" customFormat="false" ht="15.75" hidden="true" customHeight="true" outlineLevel="1" collapsed="false">
      <c r="A1417" s="1769"/>
      <c r="B1417" s="1719"/>
      <c r="C1417" s="1719"/>
      <c r="D1417" s="1719"/>
      <c r="E1417" s="1611" t="n">
        <f aca="false">SUM(E1394:E1416)</f>
        <v>24918.2</v>
      </c>
      <c r="F1417" s="1230"/>
      <c r="G1417" s="1230"/>
      <c r="H1417" s="1230"/>
      <c r="I1417" s="1770"/>
      <c r="J1417" s="1230"/>
      <c r="K1417" s="1230"/>
      <c r="L1417" s="1230"/>
      <c r="M1417" s="1230"/>
      <c r="N1417" s="1230"/>
      <c r="O1417" s="1230"/>
      <c r="P1417" s="1290" t="n">
        <f aca="false">SUM(P1394:P1416)</f>
        <v>22400</v>
      </c>
      <c r="Q1417" s="1230"/>
      <c r="R1417" s="1230"/>
      <c r="S1417" s="1230"/>
      <c r="T1417" s="1230"/>
      <c r="U1417" s="1230"/>
      <c r="V1417" s="1230"/>
      <c r="W1417" s="1230"/>
      <c r="X1417" s="1230"/>
      <c r="Y1417" s="1230"/>
    </row>
    <row r="1418" customFormat="false" ht="15.75" hidden="true" customHeight="true" outlineLevel="1" collapsed="false">
      <c r="A1418" s="1751" t="s">
        <v>3660</v>
      </c>
      <c r="B1418" s="1527" t="n">
        <f aca="false">E1417</f>
        <v>24918.2</v>
      </c>
      <c r="C1418" s="1771"/>
      <c r="D1418" s="1230"/>
      <c r="E1418" s="1230"/>
      <c r="F1418" s="1230"/>
      <c r="G1418" s="1230"/>
      <c r="H1418" s="1230"/>
      <c r="I1418" s="1770"/>
      <c r="J1418" s="1230"/>
      <c r="K1418" s="1230"/>
      <c r="L1418" s="1230"/>
      <c r="M1418" s="1230"/>
      <c r="N1418" s="1230"/>
      <c r="O1418" s="1230"/>
      <c r="P1418" s="1230"/>
      <c r="Q1418" s="1230"/>
      <c r="R1418" s="1230"/>
      <c r="S1418" s="1230"/>
      <c r="T1418" s="1230"/>
      <c r="U1418" s="1230"/>
      <c r="V1418" s="1230"/>
      <c r="W1418" s="1230"/>
      <c r="X1418" s="1230"/>
      <c r="Y1418" s="1230"/>
    </row>
    <row r="1419" customFormat="false" ht="15.75" hidden="true" customHeight="true" outlineLevel="1" collapsed="false">
      <c r="A1419" s="1751" t="s">
        <v>3661</v>
      </c>
      <c r="B1419" s="1527" t="n">
        <f aca="false">P1417</f>
        <v>22400</v>
      </c>
      <c r="C1419" s="1771"/>
      <c r="D1419" s="1230"/>
      <c r="E1419" s="1230"/>
      <c r="F1419" s="1230"/>
      <c r="G1419" s="1230"/>
      <c r="H1419" s="1230"/>
      <c r="I1419" s="1770"/>
      <c r="J1419" s="1230"/>
      <c r="K1419" s="1230"/>
      <c r="L1419" s="1230"/>
      <c r="M1419" s="1230"/>
      <c r="N1419" s="1230"/>
      <c r="O1419" s="1230"/>
      <c r="P1419" s="1230"/>
      <c r="Q1419" s="1230"/>
      <c r="R1419" s="1230"/>
      <c r="S1419" s="1230"/>
      <c r="T1419" s="1230"/>
      <c r="U1419" s="1230"/>
      <c r="V1419" s="1230"/>
      <c r="W1419" s="1230"/>
      <c r="X1419" s="1230"/>
      <c r="Y1419" s="1230"/>
    </row>
    <row r="1420" customFormat="false" ht="15.75" hidden="true" customHeight="true" outlineLevel="1" collapsed="false">
      <c r="A1420" s="1290" t="s">
        <v>2728</v>
      </c>
      <c r="B1420" s="1527"/>
      <c r="C1420" s="1771"/>
      <c r="D1420" s="1230"/>
      <c r="E1420" s="1230"/>
      <c r="F1420" s="1230"/>
      <c r="G1420" s="1230"/>
      <c r="H1420" s="1230"/>
      <c r="I1420" s="1770"/>
      <c r="J1420" s="1230"/>
      <c r="K1420" s="1230"/>
      <c r="L1420" s="1230"/>
      <c r="M1420" s="1230"/>
      <c r="N1420" s="1230"/>
      <c r="O1420" s="1230"/>
      <c r="P1420" s="1230"/>
      <c r="Q1420" s="1230"/>
      <c r="R1420" s="1230"/>
      <c r="S1420" s="1230"/>
      <c r="T1420" s="1230"/>
      <c r="U1420" s="1230"/>
      <c r="V1420" s="1230"/>
      <c r="W1420" s="1230"/>
      <c r="X1420" s="1230"/>
      <c r="Y1420" s="1230"/>
    </row>
    <row r="1421" customFormat="false" ht="15.75" hidden="false" customHeight="true" outlineLevel="0" collapsed="false">
      <c r="A1421" s="1772" t="s">
        <v>3662</v>
      </c>
      <c r="B1421" s="1689"/>
      <c r="C1421" s="1773" t="s">
        <v>3663</v>
      </c>
      <c r="D1421" s="1694"/>
      <c r="E1421" s="1694"/>
      <c r="F1421" s="1695"/>
      <c r="G1421" s="1230"/>
      <c r="H1421" s="1230"/>
      <c r="I1421" s="1770"/>
      <c r="J1421" s="1230"/>
      <c r="K1421" s="1230"/>
      <c r="L1421" s="1230"/>
      <c r="M1421" s="1230"/>
      <c r="N1421" s="1230"/>
      <c r="O1421" s="1230"/>
      <c r="P1421" s="1230"/>
      <c r="Q1421" s="1230"/>
      <c r="R1421" s="1230"/>
      <c r="S1421" s="1230"/>
      <c r="T1421" s="1230"/>
      <c r="U1421" s="1230"/>
      <c r="V1421" s="1230"/>
      <c r="W1421" s="1230"/>
      <c r="X1421" s="1230"/>
      <c r="Y1421" s="1230"/>
    </row>
    <row r="1422" customFormat="false" ht="15.75" hidden="false" customHeight="true" outlineLevel="0" collapsed="false">
      <c r="A1422" s="1230"/>
      <c r="B1422" s="1771"/>
      <c r="C1422" s="1771"/>
      <c r="D1422" s="1230"/>
      <c r="E1422" s="1230"/>
      <c r="F1422" s="1230"/>
      <c r="G1422" s="1230"/>
      <c r="H1422" s="1230"/>
      <c r="I1422" s="1770"/>
      <c r="J1422" s="1230"/>
      <c r="K1422" s="1230"/>
      <c r="L1422" s="1230"/>
      <c r="M1422" s="1230"/>
      <c r="N1422" s="1230"/>
      <c r="O1422" s="1230"/>
      <c r="P1422" s="1230"/>
      <c r="Q1422" s="1230"/>
      <c r="R1422" s="1230"/>
      <c r="S1422" s="1230"/>
      <c r="T1422" s="1230"/>
      <c r="U1422" s="1230"/>
      <c r="V1422" s="1230"/>
      <c r="W1422" s="1230"/>
      <c r="X1422" s="1230"/>
      <c r="Y1422" s="1230"/>
    </row>
    <row r="1423" customFormat="false" ht="15.75" hidden="false" customHeight="true" outlineLevel="1" collapsed="false">
      <c r="A1423" s="1774" t="s">
        <v>3664</v>
      </c>
      <c r="B1423" s="1775"/>
      <c r="C1423" s="1775"/>
      <c r="D1423" s="1776"/>
      <c r="E1423" s="1776"/>
      <c r="F1423" s="1776"/>
      <c r="G1423" s="1776"/>
      <c r="H1423" s="1776"/>
      <c r="I1423" s="1777"/>
      <c r="J1423" s="1776"/>
      <c r="K1423" s="1776"/>
      <c r="L1423" s="1776"/>
      <c r="M1423" s="1776"/>
      <c r="N1423" s="1776"/>
      <c r="O1423" s="1776"/>
      <c r="P1423" s="1776"/>
      <c r="Q1423" s="1778"/>
      <c r="R1423" s="1230"/>
      <c r="S1423" s="1230"/>
      <c r="T1423" s="1230"/>
      <c r="U1423" s="1230"/>
      <c r="V1423" s="1230"/>
      <c r="W1423" s="1230"/>
      <c r="X1423" s="1230"/>
      <c r="Y1423" s="1230"/>
    </row>
    <row r="1424" customFormat="false" ht="15.75" hidden="false" customHeight="true" outlineLevel="1" collapsed="false">
      <c r="A1424" s="1779"/>
      <c r="B1424" s="1780"/>
      <c r="C1424" s="1780"/>
      <c r="D1424" s="1781"/>
      <c r="E1424" s="1781"/>
      <c r="F1424" s="1781"/>
      <c r="G1424" s="1781"/>
      <c r="H1424" s="1781"/>
      <c r="I1424" s="1782"/>
      <c r="J1424" s="1781"/>
      <c r="K1424" s="1781"/>
      <c r="L1424" s="1781"/>
      <c r="M1424" s="1781"/>
      <c r="N1424" s="1781"/>
      <c r="O1424" s="1781"/>
      <c r="P1424" s="1781"/>
      <c r="Q1424" s="1783"/>
      <c r="R1424" s="1230"/>
      <c r="S1424" s="1230"/>
      <c r="T1424" s="1230"/>
      <c r="U1424" s="1230"/>
      <c r="V1424" s="1230"/>
      <c r="W1424" s="1230"/>
      <c r="X1424" s="1230"/>
      <c r="Y1424" s="1230"/>
    </row>
    <row r="1425" customFormat="false" ht="15.75" hidden="false" customHeight="true" outlineLevel="1" collapsed="false">
      <c r="A1425" s="1735" t="s">
        <v>1806</v>
      </c>
      <c r="B1425" s="1736"/>
      <c r="C1425" s="1736"/>
      <c r="D1425" s="1164"/>
      <c r="E1425" s="1164"/>
      <c r="F1425" s="1737"/>
      <c r="G1425" s="1784" t="n">
        <f aca="false">'Ввод данных'!D1022</f>
        <v>1</v>
      </c>
      <c r="H1425" s="1785"/>
      <c r="I1425" s="1723" t="n">
        <f aca="false">'Ввод данных'!D1023</f>
        <v>1</v>
      </c>
      <c r="J1425" s="1722"/>
      <c r="K1425" s="1722"/>
      <c r="L1425" s="1722"/>
      <c r="M1425" s="1722"/>
      <c r="N1425" s="1722"/>
      <c r="O1425" s="1722"/>
      <c r="P1425" s="1722"/>
      <c r="Q1425" s="1722"/>
      <c r="R1425" s="1230"/>
      <c r="S1425" s="1230"/>
      <c r="T1425" s="1230"/>
      <c r="U1425" s="1230"/>
      <c r="V1425" s="1230"/>
      <c r="W1425" s="1230"/>
      <c r="X1425" s="1230"/>
      <c r="Y1425" s="1230"/>
    </row>
    <row r="1426" customFormat="false" ht="15.75" hidden="false" customHeight="true" outlineLevel="1" collapsed="false">
      <c r="A1426" s="1758" t="s">
        <v>3665</v>
      </c>
      <c r="B1426" s="1527" t="s">
        <v>156</v>
      </c>
      <c r="C1426" s="1527"/>
      <c r="D1426" s="1311"/>
      <c r="E1426" s="1728"/>
      <c r="F1426" s="1311"/>
      <c r="G1426" s="1230"/>
      <c r="H1426" s="1230"/>
      <c r="I1426" s="1770"/>
      <c r="J1426" s="1230"/>
      <c r="K1426" s="1230"/>
      <c r="L1426" s="1230"/>
      <c r="M1426" s="1230"/>
      <c r="N1426" s="1230"/>
      <c r="O1426" s="1230"/>
      <c r="P1426" s="1230"/>
      <c r="Q1426" s="1230"/>
      <c r="R1426" s="1230"/>
      <c r="S1426" s="1230"/>
      <c r="T1426" s="1230"/>
      <c r="U1426" s="1230"/>
      <c r="V1426" s="1230"/>
      <c r="W1426" s="1230"/>
      <c r="X1426" s="1230"/>
      <c r="Y1426" s="1230"/>
    </row>
    <row r="1427" customFormat="false" ht="15.75" hidden="false" customHeight="true" outlineLevel="1" collapsed="false">
      <c r="A1427" s="1608" t="s">
        <v>3666</v>
      </c>
      <c r="B1427" s="1527" t="s">
        <v>156</v>
      </c>
      <c r="C1427" s="1527"/>
      <c r="D1427" s="1690" t="n">
        <v>1</v>
      </c>
      <c r="E1427" s="1230"/>
      <c r="F1427" s="1230"/>
      <c r="G1427" s="1230"/>
      <c r="H1427" s="1230"/>
      <c r="I1427" s="1770"/>
      <c r="J1427" s="1230"/>
      <c r="K1427" s="1230"/>
      <c r="L1427" s="1230"/>
      <c r="M1427" s="1230"/>
      <c r="N1427" s="1230"/>
      <c r="O1427" s="1230"/>
      <c r="P1427" s="1230"/>
      <c r="Q1427" s="1230"/>
      <c r="R1427" s="1230"/>
      <c r="S1427" s="1230"/>
      <c r="T1427" s="1230"/>
      <c r="U1427" s="1230"/>
      <c r="V1427" s="1230"/>
      <c r="W1427" s="1230"/>
      <c r="X1427" s="1230"/>
      <c r="Y1427" s="1230"/>
    </row>
    <row r="1428" customFormat="false" ht="15.75" hidden="false" customHeight="true" outlineLevel="1" collapsed="false">
      <c r="A1428" s="1718"/>
      <c r="B1428" s="1527" t="s">
        <v>156</v>
      </c>
      <c r="C1428" s="1527"/>
      <c r="D1428" s="1690" t="n">
        <v>0</v>
      </c>
      <c r="E1428" s="1230"/>
      <c r="F1428" s="1230"/>
      <c r="G1428" s="1230"/>
      <c r="H1428" s="1230"/>
      <c r="I1428" s="1770"/>
      <c r="J1428" s="1230"/>
      <c r="K1428" s="1230"/>
      <c r="L1428" s="1230"/>
      <c r="M1428" s="1230"/>
      <c r="N1428" s="1230"/>
      <c r="O1428" s="1230"/>
      <c r="P1428" s="1230"/>
      <c r="Q1428" s="1230"/>
      <c r="R1428" s="1230"/>
      <c r="S1428" s="1230"/>
      <c r="T1428" s="1230"/>
      <c r="U1428" s="1230"/>
      <c r="V1428" s="1230"/>
      <c r="W1428" s="1230"/>
      <c r="X1428" s="1230"/>
      <c r="Y1428" s="1230"/>
    </row>
    <row r="1429" customFormat="false" ht="15.75" hidden="false" customHeight="true" outlineLevel="1" collapsed="false">
      <c r="A1429" s="1608" t="s">
        <v>3667</v>
      </c>
      <c r="B1429" s="1527" t="s">
        <v>156</v>
      </c>
      <c r="C1429" s="1527"/>
      <c r="D1429" s="1690" t="n">
        <v>1</v>
      </c>
      <c r="E1429" s="1230"/>
      <c r="F1429" s="1230"/>
      <c r="G1429" s="1230"/>
      <c r="H1429" s="1230"/>
      <c r="I1429" s="1770"/>
      <c r="J1429" s="1230"/>
      <c r="K1429" s="1230"/>
      <c r="L1429" s="1230"/>
      <c r="M1429" s="1230"/>
      <c r="N1429" s="1230"/>
      <c r="O1429" s="1230"/>
      <c r="P1429" s="1230"/>
      <c r="Q1429" s="1230"/>
      <c r="R1429" s="1230"/>
      <c r="S1429" s="1230"/>
      <c r="T1429" s="1230"/>
      <c r="U1429" s="1230"/>
      <c r="V1429" s="1230"/>
      <c r="W1429" s="1230"/>
      <c r="X1429" s="1230"/>
      <c r="Y1429" s="1230"/>
    </row>
    <row r="1430" customFormat="false" ht="15.75" hidden="false" customHeight="true" outlineLevel="1" collapsed="false">
      <c r="A1430" s="1718"/>
      <c r="B1430" s="1527" t="s">
        <v>156</v>
      </c>
      <c r="C1430" s="1527"/>
      <c r="D1430" s="1690" t="n">
        <v>0</v>
      </c>
      <c r="E1430" s="1230"/>
      <c r="F1430" s="1230"/>
      <c r="G1430" s="1230"/>
      <c r="H1430" s="1230"/>
      <c r="I1430" s="1770"/>
      <c r="J1430" s="1230"/>
      <c r="K1430" s="1230"/>
      <c r="L1430" s="1230"/>
      <c r="M1430" s="1230"/>
      <c r="N1430" s="1230"/>
      <c r="O1430" s="1230"/>
      <c r="P1430" s="1230"/>
      <c r="Q1430" s="1230"/>
      <c r="R1430" s="1230"/>
      <c r="S1430" s="1230"/>
      <c r="T1430" s="1230"/>
      <c r="U1430" s="1230"/>
      <c r="V1430" s="1230"/>
      <c r="W1430" s="1230"/>
      <c r="X1430" s="1230"/>
      <c r="Y1430" s="1230"/>
    </row>
    <row r="1431" customFormat="false" ht="15.75" hidden="false" customHeight="true" outlineLevel="1" collapsed="false">
      <c r="A1431" s="1786" t="s">
        <v>3668</v>
      </c>
      <c r="B1431" s="1527" t="s">
        <v>156</v>
      </c>
      <c r="C1431" s="1527"/>
      <c r="D1431" s="1690" t="n">
        <v>1</v>
      </c>
      <c r="E1431" s="1230"/>
      <c r="F1431" s="1230"/>
      <c r="G1431" s="1230"/>
      <c r="H1431" s="1230"/>
      <c r="I1431" s="1770"/>
      <c r="J1431" s="1230"/>
      <c r="K1431" s="1230"/>
      <c r="L1431" s="1230"/>
      <c r="M1431" s="1230"/>
      <c r="N1431" s="1230"/>
      <c r="O1431" s="1230"/>
      <c r="P1431" s="1230"/>
      <c r="Q1431" s="1230"/>
      <c r="R1431" s="1230"/>
      <c r="S1431" s="1230"/>
      <c r="T1431" s="1230"/>
      <c r="U1431" s="1230"/>
      <c r="V1431" s="1230"/>
      <c r="W1431" s="1230"/>
      <c r="X1431" s="1230"/>
      <c r="Y1431" s="1230"/>
    </row>
    <row r="1432" customFormat="false" ht="15.75" hidden="false" customHeight="true" outlineLevel="1" collapsed="false">
      <c r="A1432" s="1786" t="s">
        <v>3669</v>
      </c>
      <c r="B1432" s="1527" t="s">
        <v>156</v>
      </c>
      <c r="C1432" s="1527"/>
      <c r="D1432" s="1690" t="n">
        <f aca="false">IF(C1432&gt;0,1,0)</f>
        <v>0</v>
      </c>
      <c r="E1432" s="1230"/>
      <c r="F1432" s="1230"/>
      <c r="G1432" s="1230"/>
      <c r="H1432" s="1230"/>
      <c r="I1432" s="1770"/>
      <c r="J1432" s="1230"/>
      <c r="K1432" s="1230"/>
      <c r="L1432" s="1230"/>
      <c r="M1432" s="1230"/>
      <c r="N1432" s="1230"/>
      <c r="O1432" s="1230"/>
      <c r="P1432" s="1230"/>
      <c r="Q1432" s="1230"/>
      <c r="R1432" s="1230"/>
      <c r="S1432" s="1230"/>
      <c r="T1432" s="1230"/>
      <c r="U1432" s="1230"/>
      <c r="V1432" s="1230"/>
      <c r="W1432" s="1230"/>
      <c r="X1432" s="1230"/>
      <c r="Y1432" s="1230"/>
      <c r="AQ1432" s="933" t="s">
        <v>3670</v>
      </c>
      <c r="AR1432" s="933"/>
      <c r="AS1432" s="933"/>
      <c r="AT1432" s="933"/>
      <c r="AU1432" s="933"/>
    </row>
    <row r="1433" customFormat="false" ht="15.75" hidden="false" customHeight="true" outlineLevel="1" collapsed="false">
      <c r="A1433" s="1786" t="s">
        <v>3671</v>
      </c>
      <c r="B1433" s="1527" t="s">
        <v>156</v>
      </c>
      <c r="C1433" s="1527"/>
      <c r="D1433" s="1690" t="n">
        <f aca="false">IF(C1433&gt;0,1,0)</f>
        <v>0</v>
      </c>
      <c r="E1433" s="1230"/>
      <c r="F1433" s="1230"/>
      <c r="G1433" s="1230"/>
      <c r="H1433" s="1230"/>
      <c r="I1433" s="1770"/>
      <c r="J1433" s="1230"/>
      <c r="K1433" s="1230"/>
      <c r="L1433" s="1230"/>
      <c r="M1433" s="1230"/>
      <c r="N1433" s="1230"/>
      <c r="O1433" s="1230"/>
      <c r="P1433" s="1230"/>
      <c r="Q1433" s="1230"/>
      <c r="R1433" s="1230"/>
      <c r="S1433" s="1230"/>
      <c r="T1433" s="1230"/>
      <c r="U1433" s="1230"/>
      <c r="V1433" s="1230"/>
      <c r="W1433" s="1230"/>
      <c r="X1433" s="1230"/>
      <c r="Y1433" s="1230"/>
      <c r="AQ1433" s="933" t="str">
        <f aca="false">AL1465</f>
        <v>Работа</v>
      </c>
      <c r="AR1433" s="933" t="str">
        <f aca="false">AM1465</f>
        <v>кол-во</v>
      </c>
      <c r="AS1433" s="933" t="str">
        <f aca="false">AN1465</f>
        <v>цена 1</v>
      </c>
      <c r="AT1433" s="933" t="str">
        <f aca="false">AO1465</f>
        <v>общ цена</v>
      </c>
      <c r="AU1433" s="933"/>
    </row>
    <row r="1434" customFormat="false" ht="15.75" hidden="false" customHeight="true" outlineLevel="1" collapsed="false">
      <c r="A1434" s="1786" t="s">
        <v>3672</v>
      </c>
      <c r="B1434" s="1527" t="s">
        <v>133</v>
      </c>
      <c r="C1434" s="1527" t="n">
        <f aca="false">C1454</f>
        <v>0</v>
      </c>
      <c r="D1434" s="1690" t="n">
        <f aca="false">IF('Ввод данных'!A1041='Прайс лист'!B1027,0,1)</f>
        <v>0</v>
      </c>
      <c r="E1434" s="1230"/>
      <c r="F1434" s="1230"/>
      <c r="G1434" s="1230"/>
      <c r="H1434" s="1230"/>
      <c r="I1434" s="1770"/>
      <c r="J1434" s="1230"/>
      <c r="K1434" s="1230"/>
      <c r="L1434" s="1230"/>
      <c r="M1434" s="1230"/>
      <c r="N1434" s="1230"/>
      <c r="O1434" s="1230"/>
      <c r="P1434" s="1230"/>
      <c r="Q1434" s="1230"/>
      <c r="R1434" s="1230"/>
      <c r="S1434" s="1230"/>
      <c r="T1434" s="1230"/>
      <c r="U1434" s="1230"/>
      <c r="V1434" s="1230"/>
      <c r="W1434" s="1230"/>
      <c r="X1434" s="1230"/>
      <c r="Y1434" s="1230"/>
      <c r="AQ1434" s="933" t="str">
        <f aca="false">AL1466</f>
        <v>монтаж обвязки</v>
      </c>
      <c r="AR1434" s="933" t="n">
        <f aca="false">AM1466</f>
        <v>0</v>
      </c>
      <c r="AS1434" s="933" t="n">
        <f aca="false">AN1466</f>
        <v>200</v>
      </c>
      <c r="AT1434" s="933" t="n">
        <f aca="false">AO1466</f>
        <v>0</v>
      </c>
    </row>
    <row r="1435" customFormat="false" ht="15.75" hidden="false" customHeight="true" outlineLevel="1" collapsed="false">
      <c r="A1435" s="1786" t="s">
        <v>3673</v>
      </c>
      <c r="B1435" s="1527" t="s">
        <v>133</v>
      </c>
      <c r="C1435" s="1527" t="n">
        <f aca="false">C1457*2</f>
        <v>0</v>
      </c>
      <c r="D1435" s="1690" t="n">
        <f aca="false">IF('Ввод данных'!A1043='Прайс лист'!B1027,0,1)</f>
        <v>0</v>
      </c>
      <c r="E1435" s="1230"/>
      <c r="F1435" s="1230"/>
      <c r="G1435" s="1230"/>
      <c r="H1435" s="1230"/>
      <c r="I1435" s="1770"/>
      <c r="J1435" s="1230"/>
      <c r="K1435" s="1230"/>
      <c r="L1435" s="1230"/>
      <c r="M1435" s="1230"/>
      <c r="N1435" s="1230"/>
      <c r="O1435" s="1230"/>
      <c r="P1435" s="1230"/>
      <c r="Q1435" s="1230"/>
      <c r="R1435" s="1230"/>
      <c r="S1435" s="1230"/>
      <c r="T1435" s="1230"/>
      <c r="U1435" s="1230"/>
      <c r="V1435" s="1230"/>
      <c r="W1435" s="1230"/>
      <c r="X1435" s="1230"/>
      <c r="Y1435" s="1230"/>
      <c r="AQ1435" s="933" t="str">
        <f aca="false">AL1467</f>
        <v>монтаж стен каркаса</v>
      </c>
      <c r="AR1435" s="933" t="n">
        <f aca="false">AM1467</f>
        <v>0</v>
      </c>
      <c r="AS1435" s="933" t="n">
        <f aca="false">AN1467</f>
        <v>400</v>
      </c>
      <c r="AT1435" s="933" t="n">
        <f aca="false">AO1467</f>
        <v>0</v>
      </c>
    </row>
    <row r="1436" customFormat="false" ht="15.75" hidden="false" customHeight="true" outlineLevel="1" collapsed="false">
      <c r="A1436" s="1786" t="s">
        <v>3674</v>
      </c>
      <c r="B1436" s="1527" t="s">
        <v>133</v>
      </c>
      <c r="C1436" s="1527" t="n">
        <f aca="false">C1458</f>
        <v>100</v>
      </c>
      <c r="D1436" s="1690" t="n">
        <f aca="false">IF('Ввод данных'!A1045='Прайс лист'!B1027,0,1)</f>
        <v>0</v>
      </c>
      <c r="E1436" s="1230"/>
      <c r="F1436" s="1230"/>
      <c r="G1436" s="1230"/>
      <c r="H1436" s="1230"/>
      <c r="I1436" s="1770"/>
      <c r="J1436" s="1230"/>
      <c r="K1436" s="1230"/>
      <c r="L1436" s="1230"/>
      <c r="M1436" s="1230"/>
      <c r="N1436" s="1230"/>
      <c r="O1436" s="1230"/>
      <c r="P1436" s="1230"/>
      <c r="Q1436" s="1230"/>
      <c r="R1436" s="1230"/>
      <c r="S1436" s="1230"/>
      <c r="T1436" s="1230"/>
      <c r="U1436" s="1230"/>
      <c r="V1436" s="1230"/>
      <c r="W1436" s="1230"/>
      <c r="X1436" s="1230"/>
      <c r="Y1436" s="1230"/>
      <c r="AQ1436" s="933" t="str">
        <f aca="false">AL1468</f>
        <v>Монтаж несущих перегородок</v>
      </c>
      <c r="AR1436" s="933" t="n">
        <f aca="false">AM1468</f>
        <v>0</v>
      </c>
      <c r="AS1436" s="933" t="n">
        <f aca="false">AN1468</f>
        <v>400</v>
      </c>
      <c r="AT1436" s="933" t="n">
        <f aca="false">AO1468</f>
        <v>0</v>
      </c>
    </row>
    <row r="1437" customFormat="false" ht="15.75" hidden="false" customHeight="true" outlineLevel="1" collapsed="false">
      <c r="A1437" s="1608" t="s">
        <v>3675</v>
      </c>
      <c r="B1437" s="1527" t="s">
        <v>133</v>
      </c>
      <c r="C1437" s="1527" t="n">
        <f aca="false">C1459</f>
        <v>100</v>
      </c>
      <c r="D1437" s="1690" t="n">
        <f aca="false">IF('Ввод данных'!A1047='Прайс лист'!B1027,0,1)</f>
        <v>1</v>
      </c>
      <c r="E1437" s="1230"/>
      <c r="F1437" s="1230"/>
      <c r="G1437" s="1230"/>
      <c r="H1437" s="1230"/>
      <c r="I1437" s="1770"/>
      <c r="J1437" s="1230"/>
      <c r="K1437" s="1230"/>
      <c r="L1437" s="1230"/>
      <c r="M1437" s="1230"/>
      <c r="N1437" s="1230"/>
      <c r="O1437" s="1230"/>
      <c r="P1437" s="1230"/>
      <c r="Q1437" s="1230"/>
      <c r="R1437" s="1230"/>
      <c r="S1437" s="1230"/>
      <c r="T1437" s="1230"/>
      <c r="U1437" s="1230"/>
      <c r="V1437" s="1230"/>
      <c r="W1437" s="1230"/>
      <c r="X1437" s="1230"/>
      <c r="Y1437" s="1230"/>
      <c r="AQ1437" s="933" t="str">
        <f aca="false">AL1469</f>
        <v>Монтаж перегородок</v>
      </c>
      <c r="AR1437" s="933" t="n">
        <f aca="false">AM1469</f>
        <v>0</v>
      </c>
      <c r="AS1437" s="933" t="n">
        <f aca="false">AN1469</f>
        <v>400</v>
      </c>
      <c r="AT1437" s="933" t="n">
        <f aca="false">AO1469</f>
        <v>0</v>
      </c>
    </row>
    <row r="1438" customFormat="false" ht="15.75" hidden="false" customHeight="true" outlineLevel="1" collapsed="false">
      <c r="A1438" s="1758" t="s">
        <v>2388</v>
      </c>
      <c r="B1438" s="1527" t="s">
        <v>159</v>
      </c>
      <c r="C1438" s="1527" t="n">
        <f aca="false">'Ввод данных'!C1048</f>
        <v>0</v>
      </c>
      <c r="D1438" s="1690" t="n">
        <f aca="false">IF('Ввод данных'!A1049=связи1!A418,0,1)</f>
        <v>0</v>
      </c>
      <c r="E1438" s="1230"/>
      <c r="F1438" s="1230"/>
      <c r="G1438" s="1230"/>
      <c r="H1438" s="1230"/>
      <c r="I1438" s="1770"/>
      <c r="J1438" s="1230"/>
      <c r="K1438" s="1230"/>
      <c r="L1438" s="1230"/>
      <c r="M1438" s="1230"/>
      <c r="N1438" s="1230"/>
      <c r="O1438" s="1230"/>
      <c r="P1438" s="1230"/>
      <c r="Q1438" s="1230"/>
      <c r="R1438" s="1230"/>
      <c r="S1438" s="1230"/>
      <c r="T1438" s="1230"/>
      <c r="U1438" s="1230"/>
      <c r="V1438" s="1230"/>
      <c r="W1438" s="1230"/>
      <c r="X1438" s="1230"/>
      <c r="Y1438" s="1230"/>
      <c r="AQ1438" s="933" t="str">
        <f aca="false">AL1470</f>
        <v>Монтаж вентиляционного зазора</v>
      </c>
      <c r="AR1438" s="933" t="n">
        <f aca="false">AM1470</f>
        <v>0</v>
      </c>
      <c r="AS1438" s="933" t="n">
        <f aca="false">AN1470</f>
        <v>80</v>
      </c>
      <c r="AT1438" s="933" t="n">
        <f aca="false">AO1470</f>
        <v>0</v>
      </c>
    </row>
    <row r="1439" customFormat="false" ht="15.75" hidden="false" customHeight="true" outlineLevel="1" collapsed="false">
      <c r="A1439" s="1758" t="s">
        <v>2390</v>
      </c>
      <c r="B1439" s="1527" t="s">
        <v>159</v>
      </c>
      <c r="C1439" s="1527" t="n">
        <f aca="false">'Ввод данных'!C1050</f>
        <v>0</v>
      </c>
      <c r="D1439" s="1690" t="n">
        <f aca="false">IF('Ввод данных'!A1051=связи1!A418,0,1)</f>
        <v>0</v>
      </c>
      <c r="E1439" s="1230"/>
      <c r="U1439" s="1230"/>
      <c r="V1439" s="1230"/>
      <c r="W1439" s="1230"/>
      <c r="X1439" s="1230"/>
      <c r="Y1439" s="1230"/>
      <c r="AQ1439" s="933" t="str">
        <f aca="false">AL1471</f>
        <v>Монтаж технологического зазора</v>
      </c>
      <c r="AR1439" s="933" t="n">
        <f aca="false">AM1471</f>
        <v>0</v>
      </c>
      <c r="AS1439" s="933" t="n">
        <f aca="false">AN1471</f>
        <v>80</v>
      </c>
      <c r="AT1439" s="933" t="n">
        <f aca="false">AO1471</f>
        <v>0</v>
      </c>
    </row>
    <row r="1440" customFormat="false" ht="15.75" hidden="false" customHeight="true" outlineLevel="1" collapsed="false">
      <c r="A1440" s="1758" t="s">
        <v>3676</v>
      </c>
      <c r="B1440" s="1527" t="s">
        <v>159</v>
      </c>
      <c r="C1440" s="1527"/>
      <c r="D1440" s="1690" t="n">
        <f aca="false">IF('Ввод данных'!A1053='Прайс лист'!B793,0,1)</f>
        <v>0</v>
      </c>
      <c r="E1440" s="1230"/>
      <c r="U1440" s="1230"/>
      <c r="V1440" s="1230"/>
      <c r="W1440" s="1230"/>
      <c r="X1440" s="1230"/>
      <c r="Y1440" s="1230"/>
      <c r="AQ1440" s="933" t="str">
        <f aca="false">AL1472</f>
        <v>монтаж ветроизоляции стен</v>
      </c>
      <c r="AR1440" s="933" t="n">
        <f aca="false">AM1472</f>
        <v>0</v>
      </c>
      <c r="AS1440" s="933" t="n">
        <f aca="false">AN1472</f>
        <v>100</v>
      </c>
      <c r="AT1440" s="933" t="n">
        <f aca="false">AO1472</f>
        <v>0</v>
      </c>
    </row>
    <row r="1441" customFormat="false" ht="15.75" hidden="false" customHeight="true" outlineLevel="1" collapsed="false">
      <c r="A1441" s="1758" t="s">
        <v>3677</v>
      </c>
      <c r="B1441" s="1527" t="s">
        <v>159</v>
      </c>
      <c r="C1441" s="1527"/>
      <c r="D1441" s="1690" t="n">
        <f aca="false">IF('Ввод данных'!A1055='Прайс лист'!B820,0,1)</f>
        <v>0</v>
      </c>
      <c r="E1441" s="1230"/>
      <c r="U1441" s="1230"/>
      <c r="V1441" s="1230"/>
      <c r="W1441" s="1230"/>
      <c r="X1441" s="1230"/>
      <c r="Y1441" s="1230"/>
      <c r="AQ1441" s="933" t="str">
        <f aca="false">AL1473</f>
        <v>монтаж пароизоляции стен</v>
      </c>
      <c r="AR1441" s="933" t="n">
        <f aca="false">AM1473</f>
        <v>0</v>
      </c>
      <c r="AS1441" s="933" t="n">
        <f aca="false">AN1473</f>
        <v>100</v>
      </c>
      <c r="AT1441" s="933" t="n">
        <f aca="false">AO1473</f>
        <v>0</v>
      </c>
    </row>
    <row r="1442" customFormat="false" ht="15.75" hidden="false" customHeight="true" outlineLevel="1" collapsed="false">
      <c r="A1442" s="1604" t="s">
        <v>3625</v>
      </c>
      <c r="B1442" s="1527" t="s">
        <v>159</v>
      </c>
      <c r="C1442" s="1689" t="n">
        <f aca="false">'Ввод данных'!C1057</f>
        <v>2</v>
      </c>
      <c r="D1442" s="1311"/>
      <c r="E1442" s="1311"/>
      <c r="F1442" s="1230"/>
      <c r="G1442" s="1230"/>
      <c r="H1442" s="1230"/>
      <c r="I1442" s="1770"/>
      <c r="J1442" s="1230"/>
      <c r="K1442" s="1230"/>
      <c r="L1442" s="1230"/>
      <c r="M1442" s="1230"/>
      <c r="N1442" s="1230"/>
      <c r="O1442" s="1230"/>
      <c r="P1442" s="1230"/>
      <c r="Q1442" s="1230"/>
      <c r="R1442" s="1230"/>
      <c r="S1442" s="1230"/>
      <c r="T1442" s="1230"/>
      <c r="U1442" s="1230"/>
      <c r="V1442" s="1230"/>
      <c r="W1442" s="1230"/>
      <c r="X1442" s="1230"/>
      <c r="Y1442" s="1230"/>
      <c r="AQ1442" s="933" t="str">
        <f aca="false">AL1474</f>
        <v>монтаж osb/фанера наруж стены</v>
      </c>
      <c r="AR1442" s="933" t="n">
        <f aca="false">AM1474</f>
        <v>0</v>
      </c>
      <c r="AS1442" s="933" t="n">
        <f aca="false">AN1474</f>
        <v>200</v>
      </c>
      <c r="AT1442" s="933" t="n">
        <f aca="false">AO1474</f>
        <v>0</v>
      </c>
    </row>
    <row r="1443" customFormat="false" ht="15.75" hidden="false" customHeight="true" outlineLevel="1" collapsed="false">
      <c r="A1443" s="1787" t="s">
        <v>3626</v>
      </c>
      <c r="B1443" s="1788"/>
      <c r="C1443" s="1789"/>
      <c r="D1443" s="1719"/>
      <c r="E1443" s="1719"/>
      <c r="F1443" s="1719"/>
      <c r="G1443" s="1230"/>
      <c r="H1443" s="1230"/>
      <c r="I1443" s="1770"/>
      <c r="J1443" s="1230"/>
      <c r="K1443" s="1230"/>
      <c r="L1443" s="1230"/>
      <c r="M1443" s="1230"/>
      <c r="N1443" s="1230"/>
      <c r="O1443" s="1230"/>
      <c r="P1443" s="1230"/>
      <c r="Q1443" s="1230"/>
      <c r="R1443" s="1230"/>
      <c r="S1443" s="1230"/>
      <c r="T1443" s="1230"/>
      <c r="U1443" s="1230"/>
      <c r="V1443" s="1230"/>
      <c r="W1443" s="1230"/>
      <c r="X1443" s="1230"/>
      <c r="Y1443" s="1230"/>
      <c r="AQ1443" s="933" t="str">
        <f aca="false">AL1475</f>
        <v>монтаж osb/фанера потолок</v>
      </c>
      <c r="AR1443" s="933" t="n">
        <f aca="false">AM1475</f>
        <v>0</v>
      </c>
      <c r="AS1443" s="933" t="n">
        <f aca="false">AN1475</f>
        <v>200</v>
      </c>
      <c r="AT1443" s="933" t="n">
        <f aca="false">AO1475</f>
        <v>0</v>
      </c>
    </row>
    <row r="1444" customFormat="false" ht="15.75" hidden="false" customHeight="true" outlineLevel="1" collapsed="false">
      <c r="A1444" s="1751" t="s">
        <v>3678</v>
      </c>
      <c r="B1444" s="1527" t="s">
        <v>133</v>
      </c>
      <c r="C1444" s="152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444" s="1719"/>
      <c r="E1444" s="1769"/>
      <c r="F1444" s="1311"/>
      <c r="G1444" s="1696"/>
      <c r="H1444" s="1696"/>
      <c r="I1444" s="1770"/>
      <c r="J1444" s="1230"/>
      <c r="K1444" s="1230"/>
      <c r="L1444" s="1230"/>
      <c r="M1444" s="1230"/>
      <c r="N1444" s="1230"/>
      <c r="O1444" s="1230"/>
      <c r="P1444" s="1230"/>
      <c r="Q1444" s="1230"/>
      <c r="R1444" s="1230"/>
      <c r="S1444" s="1230"/>
      <c r="T1444" s="1230"/>
      <c r="U1444" s="1230"/>
      <c r="V1444" s="1230"/>
      <c r="W1444" s="1230"/>
      <c r="X1444" s="1230"/>
      <c r="Y1444" s="1230"/>
      <c r="AQ1444" s="933" t="str">
        <f aca="false">AL1476</f>
        <v>монтаж osb/фанера перегородки</v>
      </c>
      <c r="AR1444" s="933" t="n">
        <f aca="false">AM1476</f>
        <v>0</v>
      </c>
      <c r="AS1444" s="933" t="n">
        <f aca="false">AN1476</f>
        <v>200</v>
      </c>
      <c r="AT1444" s="933" t="n">
        <f aca="false">AO1476</f>
        <v>0</v>
      </c>
    </row>
    <row r="1445" customFormat="false" ht="15.75" hidden="false" customHeight="true" outlineLevel="1" collapsed="false">
      <c r="A1445" s="1751" t="s">
        <v>3679</v>
      </c>
      <c r="B1445" s="1527" t="s">
        <v>133</v>
      </c>
      <c r="C1445" s="1527" t="n">
        <f aca="false">C1459</f>
        <v>100</v>
      </c>
      <c r="D1445" s="1719"/>
      <c r="E1445" s="1769"/>
      <c r="F1445" s="1311"/>
      <c r="G1445" s="1696"/>
      <c r="H1445" s="1696"/>
      <c r="I1445" s="1770"/>
      <c r="J1445" s="1230"/>
      <c r="K1445" s="1230"/>
      <c r="L1445" s="1230"/>
      <c r="M1445" s="1230"/>
      <c r="N1445" s="1230"/>
      <c r="O1445" s="1230"/>
      <c r="P1445" s="1230"/>
      <c r="Q1445" s="1230"/>
      <c r="R1445" s="1230"/>
      <c r="S1445" s="1230"/>
      <c r="T1445" s="1230"/>
      <c r="U1445" s="1230"/>
      <c r="V1445" s="1230"/>
      <c r="W1445" s="1230"/>
      <c r="X1445" s="1230"/>
      <c r="Y1445" s="1230"/>
      <c r="AQ1445" s="933" t="str">
        <f aca="false">AL1477</f>
        <v>монтаж osb/фанера пол</v>
      </c>
      <c r="AR1445" s="933" t="n">
        <f aca="false">AM1477</f>
        <v>100</v>
      </c>
      <c r="AS1445" s="933" t="n">
        <f aca="false">AN1477</f>
        <v>200</v>
      </c>
      <c r="AT1445" s="933" t="n">
        <f aca="false">AO1477</f>
        <v>20000</v>
      </c>
    </row>
    <row r="1446" customFormat="false" ht="15.75" hidden="false" customHeight="true" outlineLevel="1" collapsed="false">
      <c r="A1446" s="1751" t="s">
        <v>3680</v>
      </c>
      <c r="B1446" s="1527" t="s">
        <v>156</v>
      </c>
      <c r="C1446" s="1527" t="n">
        <f aca="false">C1367+C1368</f>
        <v>56</v>
      </c>
      <c r="D1446" s="1719"/>
      <c r="E1446" s="1769"/>
      <c r="F1446" s="1311"/>
      <c r="G1446" s="1696"/>
      <c r="H1446" s="1696"/>
      <c r="I1446" s="1770"/>
      <c r="J1446" s="1230"/>
      <c r="K1446" s="1230"/>
      <c r="L1446" s="1230"/>
      <c r="M1446" s="1230"/>
      <c r="N1446" s="1230"/>
      <c r="O1446" s="1230"/>
      <c r="P1446" s="1230"/>
      <c r="Q1446" s="1230"/>
      <c r="R1446" s="1230"/>
      <c r="S1446" s="1230"/>
      <c r="T1446" s="1230"/>
      <c r="U1446" s="1230"/>
      <c r="V1446" s="1230"/>
      <c r="W1446" s="1230"/>
      <c r="X1446" s="1230"/>
      <c r="Y1446" s="1230"/>
      <c r="AQ1446" s="933" t="str">
        <f aca="false">AL1478</f>
        <v>утепление наружних стен</v>
      </c>
      <c r="AR1446" s="933" t="n">
        <f aca="false">AM1478</f>
        <v>0</v>
      </c>
      <c r="AS1446" s="933" t="n">
        <f aca="false">AN1478</f>
        <v>200</v>
      </c>
      <c r="AT1446" s="933" t="n">
        <f aca="false">AO1478</f>
        <v>0</v>
      </c>
    </row>
    <row r="1447" customFormat="false" ht="15.75" hidden="false" customHeight="true" outlineLevel="1" collapsed="false">
      <c r="A1447" s="1751" t="s">
        <v>3681</v>
      </c>
      <c r="B1447" s="1527" t="s">
        <v>156</v>
      </c>
      <c r="C1447" s="1584" t="n">
        <v>0</v>
      </c>
      <c r="D1447" s="1719" t="n">
        <f aca="false">(C1427*D1427+C1428*D1428)*C1447/3</f>
        <v>0</v>
      </c>
      <c r="E1447" s="1769" t="n">
        <f aca="false">D1447*(C1427*D1427+C1428*D1428)</f>
        <v>0</v>
      </c>
      <c r="F1447" s="1311"/>
      <c r="G1447" s="1696" t="n">
        <f aca="false">((C1319+D1319+C1319+D1319)*B1319+D1229*C1275*E1274*C1232+D1229*C1233*C1275*E1274)</f>
        <v>40</v>
      </c>
      <c r="H1447" s="1696"/>
      <c r="I1447" s="1770"/>
      <c r="J1447" s="1230"/>
      <c r="K1447" s="1230"/>
      <c r="L1447" s="1230"/>
      <c r="M1447" s="1230"/>
      <c r="N1447" s="1230"/>
      <c r="O1447" s="1230"/>
      <c r="P1447" s="1230"/>
      <c r="Q1447" s="1230"/>
      <c r="R1447" s="1230"/>
      <c r="S1447" s="1230"/>
      <c r="T1447" s="1230"/>
      <c r="U1447" s="1230"/>
      <c r="V1447" s="1230"/>
      <c r="W1447" s="1230"/>
      <c r="X1447" s="1230"/>
      <c r="Y1447" s="1230"/>
      <c r="AQ1447" s="933" t="str">
        <f aca="false">AL1479</f>
        <v>Утепление перегородок</v>
      </c>
      <c r="AR1447" s="933" t="n">
        <f aca="false">AM1479</f>
        <v>0</v>
      </c>
      <c r="AS1447" s="933" t="n">
        <f aca="false">AN1479</f>
        <v>200</v>
      </c>
      <c r="AT1447" s="933" t="n">
        <f aca="false">AO1479</f>
        <v>0</v>
      </c>
    </row>
    <row r="1448" customFormat="false" ht="15.75" hidden="false" customHeight="true" outlineLevel="1" collapsed="false">
      <c r="A1448" s="1751" t="s">
        <v>3682</v>
      </c>
      <c r="B1448" s="1527" t="s">
        <v>156</v>
      </c>
      <c r="C1448" s="1584" t="n">
        <v>0</v>
      </c>
      <c r="D1448" s="1719" t="n">
        <f aca="false">C1448*(C1429*D1429+C1430*D1430)/3</f>
        <v>0</v>
      </c>
      <c r="E1448" s="1769" t="n">
        <f aca="false">D1448*(C1429*D1429+C1430*D1430)</f>
        <v>0</v>
      </c>
      <c r="F1448" s="1311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G1448" s="1696"/>
      <c r="H1448" s="1696"/>
      <c r="I1448" s="1770"/>
      <c r="J1448" s="1230"/>
      <c r="K1448" s="1230"/>
      <c r="L1448" s="1230"/>
      <c r="M1448" s="1230"/>
      <c r="N1448" s="1230"/>
      <c r="O1448" s="1230"/>
      <c r="P1448" s="1230"/>
      <c r="Q1448" s="1230"/>
      <c r="R1448" s="1230"/>
      <c r="S1448" s="1230"/>
      <c r="T1448" s="1230"/>
      <c r="U1448" s="1230"/>
      <c r="V1448" s="1230"/>
      <c r="W1448" s="1230"/>
      <c r="X1448" s="1230"/>
      <c r="Y1448" s="1230"/>
      <c r="AQ1448" s="933" t="str">
        <f aca="false">X1466</f>
        <v>Монтаж горизонтальной обрешетки</v>
      </c>
      <c r="AR1448" s="933" t="n">
        <f aca="false">Y1466</f>
        <v>0</v>
      </c>
      <c r="AS1448" s="933" t="n">
        <f aca="false">Z1466</f>
        <v>100</v>
      </c>
      <c r="AT1448" s="933" t="n">
        <f aca="false">AA1466</f>
        <v>0</v>
      </c>
    </row>
    <row r="1449" customFormat="false" ht="15.75" hidden="false" customHeight="true" outlineLevel="1" collapsed="false">
      <c r="A1449" s="1751" t="s">
        <v>3683</v>
      </c>
      <c r="B1449" s="1527" t="s">
        <v>156</v>
      </c>
      <c r="C1449" s="1584" t="n">
        <v>0</v>
      </c>
      <c r="D1449" s="1719" t="n">
        <f aca="false">C1449*(C1431)</f>
        <v>0</v>
      </c>
      <c r="E1449" s="1769" t="n">
        <f aca="false">D1449*(C1431*D1431)</f>
        <v>0</v>
      </c>
      <c r="F1449" s="1311" t="n">
        <f aca="false">(C1325*D1325+C1326*D1326+C1327*D1327+C1328*D1328+C1333*D1333+C1334*D1334+C1335*D1335)+(C1336*D1336+N1325*O1325+N1326*O1326+N1327*O1327+N1328*O1328+N1333*O1333+N1334*O1334+N1335*O1335+N1336*O1336)*(B1319-1)</f>
        <v>7.8</v>
      </c>
      <c r="G1449" s="1696"/>
      <c r="H1449" s="1696"/>
      <c r="I1449" s="1770"/>
      <c r="J1449" s="1230"/>
      <c r="K1449" s="1230"/>
      <c r="L1449" s="1230"/>
      <c r="M1449" s="1230"/>
      <c r="N1449" s="1230"/>
      <c r="O1449" s="1230"/>
      <c r="P1449" s="1230"/>
      <c r="Q1449" s="1230"/>
      <c r="R1449" s="1230"/>
      <c r="S1449" s="1230"/>
      <c r="T1449" s="1230"/>
      <c r="U1449" s="1230"/>
      <c r="V1449" s="1230"/>
      <c r="W1449" s="1230"/>
      <c r="X1449" s="1230"/>
      <c r="Y1449" s="1230"/>
      <c r="AQ1449" s="933" t="str">
        <f aca="false">X1467</f>
        <v>Монтаж вертикальной обрешетки</v>
      </c>
      <c r="AR1449" s="933" t="n">
        <f aca="false">Y1467</f>
        <v>0</v>
      </c>
      <c r="AS1449" s="933" t="n">
        <f aca="false">Z1467</f>
        <v>100</v>
      </c>
      <c r="AT1449" s="933" t="n">
        <f aca="false">AA1467</f>
        <v>0</v>
      </c>
    </row>
    <row r="1450" customFormat="false" ht="15.75" hidden="false" customHeight="true" outlineLevel="1" collapsed="false">
      <c r="A1450" s="1751" t="s">
        <v>3684</v>
      </c>
      <c r="B1450" s="1527" t="s">
        <v>156</v>
      </c>
      <c r="C1450" s="1584" t="n">
        <f aca="false">Спецификация!F745</f>
        <v>0</v>
      </c>
      <c r="D1450" s="1719"/>
      <c r="E1450" s="1769"/>
      <c r="F1450" s="1311"/>
      <c r="G1450" s="1696"/>
      <c r="H1450" s="1696"/>
      <c r="I1450" s="1770"/>
      <c r="J1450" s="1230"/>
      <c r="K1450" s="1230"/>
      <c r="L1450" s="1230"/>
      <c r="M1450" s="1230"/>
      <c r="N1450" s="1230"/>
      <c r="O1450" s="1230"/>
      <c r="P1450" s="1230"/>
      <c r="Q1450" s="1230"/>
      <c r="R1450" s="1230"/>
      <c r="S1450" s="1230"/>
      <c r="T1450" s="1230"/>
      <c r="U1450" s="1230"/>
      <c r="V1450" s="1230"/>
      <c r="W1450" s="1230"/>
      <c r="X1450" s="1230"/>
      <c r="Y1450" s="1230"/>
      <c r="AQ1450" s="933" t="str">
        <f aca="false">X1468</f>
        <v>Монтаж обрешетки потолок</v>
      </c>
      <c r="AR1450" s="933" t="n">
        <f aca="false">Y1468</f>
        <v>0</v>
      </c>
      <c r="AS1450" s="933" t="n">
        <f aca="false">Z1468</f>
        <v>100</v>
      </c>
      <c r="AT1450" s="933" t="n">
        <f aca="false">AA1468</f>
        <v>0</v>
      </c>
    </row>
    <row r="1451" customFormat="false" ht="15.75" hidden="false" customHeight="true" outlineLevel="1" collapsed="false">
      <c r="A1451" s="1751" t="s">
        <v>3685</v>
      </c>
      <c r="B1451" s="1527"/>
      <c r="C1451" s="1584" t="n">
        <f aca="false">Спецификация!F746</f>
        <v>0</v>
      </c>
      <c r="D1451" s="1719"/>
      <c r="E1451" s="1769"/>
      <c r="F1451" s="1311"/>
      <c r="G1451" s="1696"/>
      <c r="H1451" s="1696"/>
      <c r="I1451" s="1770"/>
      <c r="J1451" s="1230"/>
      <c r="K1451" s="1230"/>
      <c r="L1451" s="1230"/>
      <c r="M1451" s="1230"/>
      <c r="N1451" s="1230"/>
      <c r="O1451" s="1230"/>
      <c r="P1451" s="1230"/>
      <c r="Q1451" s="1230"/>
      <c r="R1451" s="1230"/>
      <c r="S1451" s="1230"/>
      <c r="T1451" s="1230"/>
      <c r="U1451" s="1230"/>
      <c r="V1451" s="1230"/>
      <c r="W1451" s="1230"/>
      <c r="X1451" s="1230"/>
      <c r="Y1451" s="1230"/>
      <c r="AQ1451" s="933" t="str">
        <f aca="false">X1469</f>
        <v>Монтаж профлист потолок</v>
      </c>
      <c r="AR1451" s="933" t="n">
        <f aca="false">Y1469</f>
        <v>0</v>
      </c>
      <c r="AS1451" s="933" t="n">
        <f aca="false">Z1469</f>
        <v>100</v>
      </c>
      <c r="AT1451" s="933" t="n">
        <f aca="false">AA1469</f>
        <v>0</v>
      </c>
    </row>
    <row r="1452" customFormat="false" ht="15.75" hidden="false" customHeight="true" outlineLevel="1" collapsed="false">
      <c r="A1452" s="1751" t="s">
        <v>3686</v>
      </c>
      <c r="B1452" s="1527" t="s">
        <v>156</v>
      </c>
      <c r="C1452" s="1584" t="n">
        <f aca="false">Спецификация!F747</f>
        <v>0</v>
      </c>
      <c r="D1452" s="1719"/>
      <c r="E1452" s="1769"/>
      <c r="F1452" s="1311"/>
      <c r="G1452" s="1696"/>
      <c r="H1452" s="1696"/>
      <c r="I1452" s="1770"/>
      <c r="J1452" s="1230"/>
      <c r="K1452" s="1230"/>
      <c r="L1452" s="1230"/>
      <c r="M1452" s="1230"/>
      <c r="N1452" s="1230"/>
      <c r="O1452" s="1230"/>
      <c r="P1452" s="1230"/>
      <c r="Q1452" s="1230"/>
      <c r="R1452" s="1230"/>
      <c r="S1452" s="1230"/>
      <c r="T1452" s="1230"/>
      <c r="U1452" s="1230"/>
      <c r="V1452" s="1230"/>
      <c r="W1452" s="1230"/>
      <c r="X1452" s="1230"/>
      <c r="Y1452" s="1230"/>
      <c r="AQ1452" s="933" t="str">
        <f aca="false">X1470</f>
        <v>Монтаж обрешетки пол</v>
      </c>
      <c r="AR1452" s="933" t="n">
        <f aca="false">Y1470</f>
        <v>0</v>
      </c>
      <c r="AS1452" s="933" t="n">
        <f aca="false">Z1470</f>
        <v>100</v>
      </c>
      <c r="AT1452" s="933" t="n">
        <f aca="false">AA1470</f>
        <v>0</v>
      </c>
    </row>
    <row r="1453" customFormat="false" ht="15.75" hidden="false" customHeight="true" outlineLevel="1" collapsed="false">
      <c r="A1453" s="1751" t="s">
        <v>3633</v>
      </c>
      <c r="B1453" s="1527" t="s">
        <v>133</v>
      </c>
      <c r="C1453" s="1753" t="n">
        <f aca="false">связи1!C150</f>
        <v>0</v>
      </c>
      <c r="D1453" s="1719"/>
      <c r="E1453" s="1769"/>
      <c r="F1453" s="1311"/>
      <c r="G1453" s="1696"/>
      <c r="H1453" s="1696"/>
      <c r="I1453" s="1770"/>
      <c r="J1453" s="1230"/>
      <c r="K1453" s="1230"/>
      <c r="L1453" s="1230"/>
      <c r="M1453" s="1230"/>
      <c r="N1453" s="1230"/>
      <c r="O1453" s="1230"/>
      <c r="P1453" s="1230"/>
      <c r="Q1453" s="1230"/>
      <c r="R1453" s="1230"/>
      <c r="S1453" s="1230"/>
      <c r="T1453" s="1230"/>
      <c r="U1453" s="1230"/>
      <c r="V1453" s="1230"/>
      <c r="W1453" s="1230"/>
      <c r="X1453" s="1230"/>
      <c r="Y1453" s="1230"/>
      <c r="AQ1453" s="933" t="str">
        <f aca="false">X1471</f>
        <v>Монтаж профлист пол</v>
      </c>
      <c r="AR1453" s="933" t="n">
        <f aca="false">Y1471</f>
        <v>0</v>
      </c>
      <c r="AS1453" s="933" t="n">
        <f aca="false">Z1471</f>
        <v>100</v>
      </c>
      <c r="AT1453" s="933" t="n">
        <f aca="false">AA1471</f>
        <v>0</v>
      </c>
    </row>
    <row r="1454" customFormat="false" ht="15.75" hidden="false" customHeight="true" outlineLevel="1" collapsed="false">
      <c r="A1454" s="1751" t="s">
        <v>3687</v>
      </c>
      <c r="B1454" s="1527" t="s">
        <v>133</v>
      </c>
      <c r="C1454" s="1753" t="n">
        <f aca="false">C1453</f>
        <v>0</v>
      </c>
      <c r="D1454" s="1719"/>
      <c r="E1454" s="1769"/>
      <c r="F1454" s="1311"/>
      <c r="G1454" s="1696"/>
      <c r="H1454" s="1696"/>
      <c r="I1454" s="1770"/>
      <c r="J1454" s="1230"/>
      <c r="K1454" s="1230"/>
      <c r="L1454" s="1230"/>
      <c r="M1454" s="1230"/>
      <c r="N1454" s="1230"/>
      <c r="O1454" s="1230"/>
      <c r="P1454" s="1230"/>
      <c r="Q1454" s="1230"/>
      <c r="R1454" s="1230"/>
      <c r="S1454" s="1230"/>
      <c r="T1454" s="1230"/>
      <c r="U1454" s="1230"/>
      <c r="V1454" s="1230"/>
      <c r="W1454" s="1230"/>
      <c r="X1454" s="1230"/>
      <c r="Y1454" s="1230"/>
      <c r="AQ1454" s="933" t="str">
        <f aca="false">X1472</f>
        <v>монтаж osb/фанера пол</v>
      </c>
      <c r="AR1454" s="933" t="n">
        <f aca="false">Y1472</f>
        <v>100</v>
      </c>
      <c r="AS1454" s="933" t="n">
        <f aca="false">Z1472</f>
        <v>200</v>
      </c>
      <c r="AT1454" s="933" t="n">
        <f aca="false">AA1472</f>
        <v>0</v>
      </c>
    </row>
    <row r="1455" customFormat="false" ht="15.75" hidden="false" customHeight="true" outlineLevel="1" collapsed="false">
      <c r="A1455" s="1751" t="s">
        <v>3688</v>
      </c>
      <c r="B1455" s="1527" t="s">
        <v>133</v>
      </c>
      <c r="C1455" s="1753" t="n">
        <f aca="false">связи1!D150</f>
        <v>0</v>
      </c>
      <c r="D1455" s="1719"/>
      <c r="E1455" s="1769"/>
      <c r="F1455" s="1311"/>
      <c r="G1455" s="1696"/>
      <c r="H1455" s="1696"/>
      <c r="I1455" s="1770"/>
      <c r="J1455" s="1230"/>
      <c r="K1455" s="1230"/>
      <c r="L1455" s="1230"/>
      <c r="M1455" s="1230"/>
      <c r="N1455" s="1230"/>
      <c r="O1455" s="1230"/>
      <c r="P1455" s="1230"/>
      <c r="Q1455" s="1230"/>
      <c r="R1455" s="1230"/>
      <c r="S1455" s="1230"/>
      <c r="T1455" s="1230"/>
      <c r="U1455" s="1230"/>
      <c r="V1455" s="1230"/>
      <c r="W1455" s="1230"/>
      <c r="X1455" s="1230"/>
      <c r="Y1455" s="1230"/>
    </row>
    <row r="1456" customFormat="false" ht="15.75" hidden="false" customHeight="true" outlineLevel="1" collapsed="false">
      <c r="A1456" s="1751" t="s">
        <v>3689</v>
      </c>
      <c r="B1456" s="1527"/>
      <c r="C1456" s="1753" t="n">
        <f aca="false">связи1!E150</f>
        <v>0</v>
      </c>
      <c r="D1456" s="1719"/>
      <c r="E1456" s="1769"/>
      <c r="F1456" s="1311"/>
      <c r="G1456" s="1696"/>
      <c r="H1456" s="1696"/>
      <c r="I1456" s="1770"/>
      <c r="J1456" s="1230"/>
      <c r="K1456" s="1230"/>
      <c r="L1456" s="1230"/>
      <c r="M1456" s="1230"/>
      <c r="N1456" s="1230"/>
      <c r="O1456" s="1230"/>
      <c r="P1456" s="1230"/>
      <c r="Q1456" s="1230"/>
      <c r="R1456" s="1230"/>
      <c r="S1456" s="1230"/>
      <c r="T1456" s="1230"/>
      <c r="U1456" s="1230"/>
      <c r="V1456" s="1230"/>
      <c r="W1456" s="1230"/>
      <c r="X1456" s="1230"/>
      <c r="Y1456" s="1230"/>
    </row>
    <row r="1457" customFormat="false" ht="15.75" hidden="false" customHeight="true" outlineLevel="1" collapsed="false">
      <c r="A1457" s="1751" t="s">
        <v>3638</v>
      </c>
      <c r="B1457" s="1527" t="s">
        <v>133</v>
      </c>
      <c r="C1457" s="1753" t="n">
        <f aca="false">C1455+C1456</f>
        <v>0</v>
      </c>
      <c r="D1457" s="1719"/>
      <c r="E1457" s="1719"/>
      <c r="F1457" s="1719"/>
      <c r="G1457" s="1230"/>
      <c r="H1457" s="1230"/>
      <c r="I1457" s="1770"/>
      <c r="J1457" s="1230"/>
      <c r="K1457" s="1230"/>
      <c r="L1457" s="1230"/>
      <c r="M1457" s="1230"/>
      <c r="N1457" s="1230"/>
      <c r="O1457" s="1230"/>
      <c r="P1457" s="1230"/>
      <c r="Q1457" s="1230"/>
      <c r="R1457" s="1230"/>
      <c r="S1457" s="1230"/>
      <c r="T1457" s="1230"/>
      <c r="U1457" s="1230"/>
      <c r="V1457" s="1230"/>
      <c r="W1457" s="1230"/>
      <c r="X1457" s="1230"/>
      <c r="Y1457" s="1230"/>
    </row>
    <row r="1458" customFormat="false" ht="15.75" hidden="false" customHeight="true" outlineLevel="1" collapsed="false">
      <c r="A1458" s="1752" t="s">
        <v>3639</v>
      </c>
      <c r="B1458" s="1753" t="s">
        <v>133</v>
      </c>
      <c r="C1458" s="1753" t="n">
        <f aca="false">J107</f>
        <v>100</v>
      </c>
      <c r="D1458" s="1719"/>
      <c r="E1458" s="1719"/>
      <c r="F1458" s="1719"/>
      <c r="G1458" s="1230"/>
      <c r="H1458" s="1230"/>
      <c r="I1458" s="1770"/>
      <c r="J1458" s="1230"/>
      <c r="K1458" s="1230"/>
      <c r="L1458" s="1230"/>
      <c r="M1458" s="1230"/>
      <c r="N1458" s="1230"/>
      <c r="O1458" s="1230"/>
      <c r="P1458" s="1230"/>
      <c r="Q1458" s="1230"/>
      <c r="R1458" s="1230"/>
      <c r="S1458" s="1230"/>
      <c r="T1458" s="1230"/>
      <c r="U1458" s="1230"/>
      <c r="V1458" s="1230"/>
      <c r="W1458" s="1230"/>
      <c r="X1458" s="1230"/>
      <c r="Y1458" s="1230"/>
    </row>
    <row r="1459" customFormat="false" ht="15.75" hidden="false" customHeight="true" outlineLevel="1" collapsed="false">
      <c r="A1459" s="1752" t="s">
        <v>3690</v>
      </c>
      <c r="B1459" s="1753" t="s">
        <v>133</v>
      </c>
      <c r="C1459" s="1753" t="n">
        <f aca="false">J106</f>
        <v>100</v>
      </c>
      <c r="D1459" s="1719"/>
      <c r="E1459" s="1719"/>
      <c r="F1459" s="1719"/>
      <c r="G1459" s="1230"/>
      <c r="H1459" s="1230"/>
      <c r="I1459" s="1770"/>
      <c r="J1459" s="1230"/>
      <c r="K1459" s="1230"/>
      <c r="L1459" s="1230"/>
      <c r="M1459" s="1230"/>
      <c r="N1459" s="1230"/>
      <c r="O1459" s="1230"/>
      <c r="P1459" s="1230"/>
      <c r="Q1459" s="1230"/>
      <c r="R1459" s="1230"/>
      <c r="S1459" s="1230"/>
      <c r="T1459" s="1230"/>
      <c r="U1459" s="1230"/>
      <c r="V1459" s="1230"/>
      <c r="W1459" s="1230"/>
      <c r="X1459" s="1230"/>
      <c r="Y1459" s="1230"/>
    </row>
    <row r="1460" customFormat="false" ht="15.75" hidden="false" customHeight="true" outlineLevel="1" collapsed="false">
      <c r="A1460" s="1752" t="s">
        <v>3642</v>
      </c>
      <c r="B1460" s="1753" t="s">
        <v>133</v>
      </c>
      <c r="C1460" s="1753" t="n">
        <f aca="false">J91+J96+J101</f>
        <v>100</v>
      </c>
      <c r="D1460" s="1719"/>
      <c r="E1460" s="1719"/>
      <c r="F1460" s="1719"/>
      <c r="G1460" s="1230"/>
      <c r="H1460" s="1230"/>
      <c r="I1460" s="1770"/>
      <c r="J1460" s="1230"/>
      <c r="K1460" s="1230"/>
      <c r="L1460" s="1230"/>
      <c r="M1460" s="1230"/>
      <c r="N1460" s="1230"/>
      <c r="O1460" s="1230"/>
      <c r="P1460" s="1230"/>
      <c r="Q1460" s="1230"/>
      <c r="R1460" s="1230"/>
      <c r="S1460" s="1230"/>
      <c r="T1460" s="1230"/>
      <c r="U1460" s="1230"/>
      <c r="V1460" s="1230"/>
      <c r="W1460" s="1230"/>
      <c r="X1460" s="1230"/>
      <c r="Y1460" s="1230"/>
    </row>
    <row r="1461" customFormat="false" ht="15.75" hidden="false" customHeight="true" outlineLevel="1" collapsed="false">
      <c r="A1461" s="1752" t="s">
        <v>3643</v>
      </c>
      <c r="B1461" s="1753" t="s">
        <v>133</v>
      </c>
      <c r="C1461" s="1753" t="n">
        <f aca="false">J92+J97+J102</f>
        <v>100</v>
      </c>
      <c r="D1461" s="1719"/>
      <c r="E1461" s="1719"/>
      <c r="F1461" s="1719"/>
      <c r="G1461" s="1230"/>
      <c r="H1461" s="1230"/>
      <c r="I1461" s="1770"/>
      <c r="J1461" s="1230"/>
      <c r="K1461" s="1230"/>
      <c r="L1461" s="1230"/>
      <c r="M1461" s="1230"/>
      <c r="N1461" s="1230"/>
      <c r="O1461" s="1230"/>
      <c r="P1461" s="1230"/>
      <c r="Q1461" s="1230"/>
      <c r="R1461" s="1230"/>
      <c r="S1461" s="1230"/>
      <c r="T1461" s="1230"/>
      <c r="U1461" s="1230"/>
      <c r="V1461" s="1230"/>
      <c r="W1461" s="1230"/>
      <c r="X1461" s="1230"/>
      <c r="Y1461" s="1230"/>
    </row>
    <row r="1462" customFormat="false" ht="15.75" hidden="false" customHeight="true" outlineLevel="1" collapsed="false">
      <c r="A1462" s="1752" t="s">
        <v>3644</v>
      </c>
      <c r="B1462" s="1753" t="s">
        <v>133</v>
      </c>
      <c r="C1462" s="1753" t="n">
        <f aca="false">J93+J98+J103</f>
        <v>0</v>
      </c>
      <c r="D1462" s="1719"/>
      <c r="E1462" s="1719"/>
      <c r="F1462" s="1719"/>
      <c r="G1462" s="1230"/>
      <c r="H1462" s="1230"/>
      <c r="I1462" s="1770"/>
      <c r="J1462" s="1230"/>
      <c r="K1462" s="1230"/>
      <c r="L1462" s="1230"/>
      <c r="M1462" s="1230"/>
      <c r="N1462" s="1230"/>
      <c r="O1462" s="1230"/>
      <c r="P1462" s="1230"/>
      <c r="Q1462" s="1230"/>
      <c r="R1462" s="1230"/>
      <c r="S1462" s="1230"/>
      <c r="T1462" s="1230"/>
      <c r="U1462" s="1230"/>
      <c r="V1462" s="1230"/>
      <c r="W1462" s="1230"/>
      <c r="X1462" s="1230"/>
      <c r="Y1462" s="1230"/>
    </row>
    <row r="1463" customFormat="false" ht="15.75" hidden="false" customHeight="true" outlineLevel="1" collapsed="false">
      <c r="A1463" s="1752" t="s">
        <v>3645</v>
      </c>
      <c r="B1463" s="1753" t="s">
        <v>133</v>
      </c>
      <c r="C1463" s="1753" t="n">
        <f aca="false">SUM(C1460:C1462)</f>
        <v>200</v>
      </c>
      <c r="D1463" s="1719" t="n">
        <v>1</v>
      </c>
      <c r="E1463" s="1719" t="n">
        <v>0.4</v>
      </c>
      <c r="F1463" s="1719"/>
      <c r="G1463" s="1230"/>
      <c r="H1463" s="1230"/>
      <c r="I1463" s="1770"/>
      <c r="J1463" s="1230"/>
      <c r="K1463" s="1230"/>
      <c r="L1463" s="1230"/>
      <c r="M1463" s="1230"/>
      <c r="N1463" s="1230"/>
      <c r="O1463" s="1230"/>
      <c r="P1463" s="1230"/>
      <c r="Q1463" s="1230"/>
      <c r="R1463" s="1230"/>
      <c r="S1463" s="1230"/>
      <c r="T1463" s="1230"/>
      <c r="U1463" s="1230"/>
      <c r="V1463" s="1230"/>
      <c r="W1463" s="1230"/>
      <c r="X1463" s="1230"/>
      <c r="Y1463" s="1230"/>
    </row>
    <row r="1464" customFormat="false" ht="15.75" hidden="false" customHeight="true" outlineLevel="1" collapsed="false">
      <c r="A1464" s="1787" t="s">
        <v>3691</v>
      </c>
      <c r="B1464" s="1788"/>
      <c r="C1464" s="1788"/>
      <c r="D1464" s="1790"/>
      <c r="E1464" s="1790"/>
      <c r="F1464" s="1790"/>
      <c r="G1464" s="1790"/>
      <c r="H1464" s="1790"/>
      <c r="I1464" s="1791"/>
      <c r="J1464" s="1790"/>
      <c r="K1464" s="1790"/>
      <c r="L1464" s="1790"/>
      <c r="M1464" s="1790"/>
      <c r="N1464" s="1790"/>
      <c r="O1464" s="1792"/>
      <c r="P1464" s="1311"/>
      <c r="Q1464" s="1311"/>
      <c r="R1464" s="1702"/>
      <c r="S1464" s="1230"/>
      <c r="T1464" s="1230"/>
      <c r="U1464" s="1230"/>
      <c r="V1464" s="1230"/>
      <c r="W1464" s="1230"/>
      <c r="X1464" s="1230"/>
      <c r="Y1464" s="1230"/>
      <c r="AC1464" s="1793" t="s">
        <v>3692</v>
      </c>
      <c r="AD1464" s="933"/>
      <c r="AE1464" s="933"/>
      <c r="AF1464" s="933"/>
      <c r="AG1464" s="933"/>
      <c r="AH1464" s="933"/>
      <c r="AI1464" s="933"/>
      <c r="AJ1464" s="933"/>
      <c r="AK1464" s="933"/>
      <c r="AL1464" s="933"/>
      <c r="AM1464" s="933"/>
      <c r="AN1464" s="933"/>
      <c r="AO1464" s="933"/>
      <c r="AQ1464" s="1793" t="s">
        <v>3693</v>
      </c>
      <c r="AR1464" s="933"/>
      <c r="AS1464" s="933"/>
      <c r="AT1464" s="933"/>
      <c r="AU1464" s="933"/>
      <c r="AV1464" s="933"/>
      <c r="AW1464" s="1794"/>
      <c r="AX1464" s="1794"/>
      <c r="AY1464" s="933"/>
      <c r="AZ1464" s="933"/>
      <c r="BA1464" s="933"/>
      <c r="BB1464" s="933"/>
      <c r="BC1464" s="933"/>
      <c r="BD1464" s="933"/>
      <c r="BE1464" s="1794"/>
      <c r="BF1464" s="1794"/>
    </row>
    <row r="1465" customFormat="false" ht="15.75" hidden="false" customHeight="true" outlineLevel="1" collapsed="false">
      <c r="A1465" s="1795" t="s">
        <v>2720</v>
      </c>
      <c r="B1465" s="1796" t="s">
        <v>1094</v>
      </c>
      <c r="C1465" s="1796" t="s">
        <v>1802</v>
      </c>
      <c r="D1465" s="1796" t="s">
        <v>3694</v>
      </c>
      <c r="E1465" s="1524" t="s">
        <v>2722</v>
      </c>
      <c r="F1465" s="1230"/>
      <c r="G1465" s="1557" t="s">
        <v>3652</v>
      </c>
      <c r="H1465" s="1797"/>
      <c r="I1465" s="1766"/>
      <c r="L1465" s="1798" t="s">
        <v>1802</v>
      </c>
      <c r="M1465" s="1798"/>
      <c r="N1465" s="1798"/>
      <c r="O1465" s="1798" t="s">
        <v>2721</v>
      </c>
      <c r="P1465" s="1524" t="s">
        <v>2722</v>
      </c>
      <c r="Q1465" s="1799"/>
      <c r="R1465" s="1800"/>
      <c r="S1465" s="1801" t="s">
        <v>120</v>
      </c>
      <c r="T1465" s="1802" t="s">
        <v>1802</v>
      </c>
      <c r="U1465" s="1802" t="s">
        <v>3695</v>
      </c>
      <c r="V1465" s="1803" t="s">
        <v>3696</v>
      </c>
      <c r="W1465" s="1230"/>
      <c r="X1465" s="1804" t="s">
        <v>3697</v>
      </c>
      <c r="Y1465" s="1805" t="s">
        <v>1802</v>
      </c>
      <c r="Z1465" s="1806" t="s">
        <v>854</v>
      </c>
      <c r="AA1465" s="1807" t="s">
        <v>3698</v>
      </c>
      <c r="AC1465" s="933" t="str">
        <f aca="false">A1465</f>
        <v>Материалы</v>
      </c>
      <c r="AD1465" s="1219" t="str">
        <f aca="false">B1465</f>
        <v>ед изм</v>
      </c>
      <c r="AE1465" s="1219" t="str">
        <f aca="false">C1465</f>
        <v>кол-во</v>
      </c>
      <c r="AF1465" s="933" t="str">
        <f aca="false">D1465</f>
        <v>цена 1 м3</v>
      </c>
      <c r="AG1465" s="933" t="str">
        <f aca="false">E1465</f>
        <v>общ цена</v>
      </c>
      <c r="AH1465" s="933"/>
      <c r="AI1465" s="933"/>
      <c r="AJ1465" s="933"/>
      <c r="AK1465" s="933"/>
      <c r="AL1465" s="933" t="str">
        <f aca="false">G1465</f>
        <v>Работа</v>
      </c>
      <c r="AM1465" s="933" t="str">
        <f aca="false">L1465</f>
        <v>кол-во</v>
      </c>
      <c r="AN1465" s="933" t="str">
        <f aca="false">O1465</f>
        <v>цена 1</v>
      </c>
      <c r="AO1465" s="933" t="str">
        <f aca="false">P1465</f>
        <v>общ цена</v>
      </c>
      <c r="AQ1465" s="933" t="str">
        <f aca="false">AC1465</f>
        <v>Материалы</v>
      </c>
      <c r="AR1465" s="1219" t="str">
        <f aca="false">AD1465</f>
        <v>ед изм</v>
      </c>
      <c r="AS1465" s="933" t="str">
        <f aca="false">AE1465</f>
        <v>кол-во</v>
      </c>
      <c r="AT1465" s="933" t="str">
        <f aca="false">AF1465</f>
        <v>цена 1 м3</v>
      </c>
      <c r="AU1465" s="933" t="str">
        <f aca="false">AG1465</f>
        <v>общ цена</v>
      </c>
      <c r="AV1465" s="933" t="n">
        <f aca="false">AH1465</f>
        <v>0</v>
      </c>
      <c r="AW1465" s="1794"/>
      <c r="AX1465" s="1794"/>
      <c r="AY1465" s="933" t="n">
        <f aca="false">G1480</f>
        <v>0</v>
      </c>
      <c r="AZ1465" s="933" t="n">
        <f aca="false">H1480</f>
        <v>0</v>
      </c>
      <c r="BA1465" s="1219" t="str">
        <f aca="false">I1480</f>
        <v>ед.изм</v>
      </c>
      <c r="BB1465" s="933" t="str">
        <f aca="false">J1480</f>
        <v>кол-во</v>
      </c>
      <c r="BC1465" s="933" t="str">
        <f aca="false">K1480</f>
        <v>цена</v>
      </c>
      <c r="BD1465" s="933" t="str">
        <f aca="false">L1480</f>
        <v>цена общ</v>
      </c>
      <c r="BE1465" s="1794"/>
      <c r="BF1465" s="1794"/>
      <c r="BG1465" s="1150" t="n">
        <f aca="false">Q1465</f>
        <v>0</v>
      </c>
      <c r="BH1465" s="1150" t="n">
        <f aca="false">R1465</f>
        <v>0</v>
      </c>
      <c r="BI1465" s="1152" t="str">
        <f aca="false">S1465</f>
        <v>ед.изм</v>
      </c>
      <c r="BJ1465" s="1150" t="str">
        <f aca="false">T1465</f>
        <v>кол-во</v>
      </c>
      <c r="BK1465" s="1150" t="str">
        <f aca="false">U1465</f>
        <v>цена</v>
      </c>
      <c r="BL1465" s="1150" t="str">
        <f aca="false">V1465</f>
        <v>цена общ</v>
      </c>
    </row>
    <row r="1466" customFormat="false" ht="15.75" hidden="false" customHeight="true" outlineLevel="1" collapsed="false">
      <c r="A1466" s="1751" t="str">
        <f aca="false">'Ввод данных'!A1026</f>
        <v>Брус естественной влажности, 150*150мм</v>
      </c>
      <c r="B1466" s="1527" t="s">
        <v>135</v>
      </c>
      <c r="C1466" s="1527" t="n">
        <f aca="false">C1446*G1425*VLOOKUP(A1466,связи1!A204:E213,5,0)</f>
        <v>1.26</v>
      </c>
      <c r="D1466" s="1527" t="n">
        <f aca="false">VLOOKUP(A1466,связи1!A204:D213,4,0)</f>
        <v>6500</v>
      </c>
      <c r="E1466" s="1290" t="n">
        <f aca="false">C1466*D1466</f>
        <v>8190</v>
      </c>
      <c r="F1466" s="933" t="s">
        <v>3699</v>
      </c>
      <c r="G1466" s="1557" t="s">
        <v>3700</v>
      </c>
      <c r="H1466" s="1557"/>
      <c r="I1466" s="1611"/>
      <c r="J1466" s="933"/>
      <c r="L1466" s="1290" t="n">
        <f aca="false">G43+I43+J43</f>
        <v>0</v>
      </c>
      <c r="M1466" s="1290"/>
      <c r="N1466" s="1290"/>
      <c r="O1466" s="1290" t="n">
        <f aca="false">'Прайс лист'!G1654</f>
        <v>200</v>
      </c>
      <c r="P1466" s="1290" t="n">
        <f aca="false">L1466*O1466</f>
        <v>0</v>
      </c>
      <c r="Q1466" s="1202" t="s">
        <v>3701</v>
      </c>
      <c r="R1466" s="1202" t="str">
        <f aca="false">VLOOKUP(H1490,связи1!I458:Z488,17,0)</f>
        <v>L 50 x 50, 1,2мм</v>
      </c>
      <c r="S1466" s="1808" t="s">
        <v>156</v>
      </c>
      <c r="T1466" s="1202" t="n">
        <f aca="false">CEILING(SUM(H355:H359)+SUM(H361:H365)+SUM(H821:H825)*4,1)*VLOOKUP(H1490,связи1!I458:X488,6,0)</f>
        <v>8.1</v>
      </c>
      <c r="U1466" s="1202" t="n">
        <f aca="false">VLOOKUP(H1490,связи1!I458:Z488,18,0)</f>
        <v>77</v>
      </c>
      <c r="V1466" s="1202" t="n">
        <f aca="false">T1466*U1466</f>
        <v>623.7</v>
      </c>
      <c r="W1466" s="1230"/>
      <c r="X1466" s="1809" t="str">
        <f aca="false">'Прайс лист'!B1660</f>
        <v>Монтаж горизонтальной обрешетки</v>
      </c>
      <c r="Y1466" s="1810" t="n">
        <f aca="false">C1453*IF(R1469=связи1!I389,0,1)</f>
        <v>0</v>
      </c>
      <c r="Z1466" s="1811" t="n">
        <f aca="false">'Прайс лист'!G1660</f>
        <v>100</v>
      </c>
      <c r="AA1466" s="1812" t="n">
        <f aca="false">Y1466*Z1466</f>
        <v>0</v>
      </c>
      <c r="AC1466" s="933" t="str">
        <f aca="false">A1466</f>
        <v>Брус естественной влажности, 150*150мм</v>
      </c>
      <c r="AD1466" s="1219" t="str">
        <f aca="false">B1466</f>
        <v>м3</v>
      </c>
      <c r="AE1466" s="933" t="n">
        <f aca="false">C1466</f>
        <v>1.26</v>
      </c>
      <c r="AF1466" s="933" t="n">
        <f aca="false">D1466</f>
        <v>6500</v>
      </c>
      <c r="AG1466" s="933" t="n">
        <f aca="false">E1466</f>
        <v>8190</v>
      </c>
      <c r="AH1466" s="933" t="str">
        <f aca="false">F1466</f>
        <v>Нижняя обвязка</v>
      </c>
      <c r="AI1466" s="933"/>
      <c r="AJ1466" s="933"/>
      <c r="AK1466" s="933"/>
      <c r="AL1466" s="933" t="str">
        <f aca="false">G1466</f>
        <v>монтаж обвязки</v>
      </c>
      <c r="AM1466" s="933" t="n">
        <f aca="false">L1466</f>
        <v>0</v>
      </c>
      <c r="AN1466" s="933" t="n">
        <f aca="false">O1466</f>
        <v>200</v>
      </c>
      <c r="AO1466" s="933" t="n">
        <f aca="false">P1466</f>
        <v>0</v>
      </c>
      <c r="AQ1466" s="1150" t="str">
        <f aca="false">AC1466</f>
        <v>Брус естественной влажности, 150*150мм</v>
      </c>
      <c r="AR1466" s="1152" t="str">
        <f aca="false">AD1466</f>
        <v>м3</v>
      </c>
      <c r="AS1466" s="1150" t="n">
        <f aca="false">AE1466</f>
        <v>1.26</v>
      </c>
      <c r="AT1466" s="1150" t="n">
        <f aca="false">AF1466</f>
        <v>6500</v>
      </c>
      <c r="AU1466" s="1150" t="n">
        <f aca="false">AG1466</f>
        <v>8190</v>
      </c>
      <c r="AV1466" s="1150" t="str">
        <f aca="false">AH1466</f>
        <v>Нижняя обвязка</v>
      </c>
      <c r="AY1466" s="1150" t="str">
        <f aca="false">G1481</f>
        <v>Верхняя/нижняя обвязка каркаса наружние стены</v>
      </c>
      <c r="AZ1466" s="1150" t="str">
        <f aca="false">H1481</f>
        <v>ГПН 152х35-1,2</v>
      </c>
      <c r="BA1466" s="1152" t="str">
        <f aca="false">I1481</f>
        <v>мп.</v>
      </c>
      <c r="BB1466" s="1150" t="n">
        <f aca="false">J1481</f>
        <v>0</v>
      </c>
      <c r="BC1466" s="1150" t="n">
        <f aca="false">K1481</f>
        <v>163</v>
      </c>
      <c r="BD1466" s="1150" t="n">
        <f aca="false">L1481</f>
        <v>0</v>
      </c>
      <c r="BG1466" s="1150" t="str">
        <f aca="false">Q1466</f>
        <v>Уголок для крепления окон/дверей</v>
      </c>
      <c r="BH1466" s="1150" t="str">
        <f aca="false">R1466</f>
        <v>L 50 x 50, 1,2мм</v>
      </c>
      <c r="BI1466" s="1152" t="str">
        <f aca="false">S1466</f>
        <v>м.п.</v>
      </c>
      <c r="BJ1466" s="1150" t="n">
        <f aca="false">T1466</f>
        <v>8.1</v>
      </c>
      <c r="BK1466" s="1150" t="n">
        <f aca="false">U1466</f>
        <v>77</v>
      </c>
      <c r="BL1466" s="1150" t="n">
        <f aca="false">V1466</f>
        <v>623.7</v>
      </c>
    </row>
    <row r="1467" customFormat="false" ht="15.75" hidden="false" customHeight="true" outlineLevel="1" collapsed="false">
      <c r="A1467" s="1751" t="str">
        <f aca="false">'Прайс лист'!B864</f>
        <v>Болты анкерные с гайкой 12,0 х 280</v>
      </c>
      <c r="B1467" s="1527" t="s">
        <v>159</v>
      </c>
      <c r="C1467" s="1527" t="n">
        <f aca="false">C1446*G1425</f>
        <v>56</v>
      </c>
      <c r="D1467" s="1527" t="n">
        <f aca="false">'Прайс лист'!G864</f>
        <v>27.1</v>
      </c>
      <c r="E1467" s="1290" t="n">
        <f aca="false">C1467*D1467</f>
        <v>1517.6</v>
      </c>
      <c r="F1467" s="933" t="s">
        <v>3702</v>
      </c>
      <c r="G1467" s="1557" t="str">
        <f aca="false">'Прайс лист'!B1662</f>
        <v>монтаж стен каркаса</v>
      </c>
      <c r="H1467" s="1557"/>
      <c r="I1467" s="1611"/>
      <c r="J1467" s="933"/>
      <c r="L1467" s="1290" t="n">
        <f aca="false">C1453</f>
        <v>0</v>
      </c>
      <c r="M1467" s="1290"/>
      <c r="N1467" s="1290"/>
      <c r="O1467" s="1290" t="n">
        <f aca="false">'Прайс лист'!G1662</f>
        <v>400</v>
      </c>
      <c r="P1467" s="1290" t="n">
        <f aca="false">L1467*O1467</f>
        <v>0</v>
      </c>
      <c r="Q1467" s="1813" t="s">
        <v>3703</v>
      </c>
      <c r="R1467" s="1202" t="str">
        <f aca="false">A1469</f>
        <v>ГПС 120х50-1,5</v>
      </c>
      <c r="S1467" s="1808" t="s">
        <v>156</v>
      </c>
      <c r="T1467" s="1202" t="n">
        <f aca="false">SUM(H367:H370)+H372+H373+SUM(H827:H830)+H832+H833</f>
        <v>7.8</v>
      </c>
      <c r="U1467" s="1202" t="n">
        <f aca="false">VLOOKUP(R1467,связи1!I458:V488,4,0)</f>
        <v>65.8823529411765</v>
      </c>
      <c r="V1467" s="1202" t="n">
        <f aca="false">T1467*U1467</f>
        <v>513.882352941176</v>
      </c>
      <c r="W1467" s="1230"/>
      <c r="X1467" s="1809" t="str">
        <f aca="false">'Прайс лист'!B1661</f>
        <v>Монтаж вертикальной обрешетки</v>
      </c>
      <c r="Y1467" s="1810" t="n">
        <f aca="false">C1453*IF(R1470=связи1!I389,0,1)</f>
        <v>0</v>
      </c>
      <c r="Z1467" s="1811" t="n">
        <f aca="false">'Прайс лист'!G1661</f>
        <v>100</v>
      </c>
      <c r="AA1467" s="1812" t="n">
        <f aca="false">Y1467*Z1467</f>
        <v>0</v>
      </c>
      <c r="AC1467" s="933" t="str">
        <f aca="false">A1467</f>
        <v>Болты анкерные с гайкой 12,0 х 280</v>
      </c>
      <c r="AD1467" s="1219" t="str">
        <f aca="false">B1467</f>
        <v>шт</v>
      </c>
      <c r="AE1467" s="933" t="n">
        <f aca="false">C1467</f>
        <v>56</v>
      </c>
      <c r="AF1467" s="933" t="n">
        <f aca="false">D1467</f>
        <v>27.1</v>
      </c>
      <c r="AG1467" s="933" t="n">
        <f aca="false">E1467</f>
        <v>1517.6</v>
      </c>
      <c r="AH1467" s="933" t="str">
        <f aca="false">F1467</f>
        <v>Крепеж для нижней обвязки</v>
      </c>
      <c r="AI1467" s="933"/>
      <c r="AJ1467" s="933"/>
      <c r="AK1467" s="933"/>
      <c r="AL1467" s="933" t="str">
        <f aca="false">G1467</f>
        <v>монтаж стен каркаса</v>
      </c>
      <c r="AM1467" s="933" t="n">
        <f aca="false">L1467</f>
        <v>0</v>
      </c>
      <c r="AN1467" s="933" t="n">
        <f aca="false">O1467</f>
        <v>400</v>
      </c>
      <c r="AO1467" s="933" t="n">
        <f aca="false">P1467</f>
        <v>0</v>
      </c>
      <c r="AQ1467" s="1150" t="str">
        <f aca="false">AC1467</f>
        <v>Болты анкерные с гайкой 12,0 х 280</v>
      </c>
      <c r="AR1467" s="1152" t="str">
        <f aca="false">AD1467</f>
        <v>шт</v>
      </c>
      <c r="AS1467" s="1150" t="n">
        <f aca="false">AE1467</f>
        <v>56</v>
      </c>
      <c r="AT1467" s="1150" t="n">
        <f aca="false">AF1467</f>
        <v>27.1</v>
      </c>
      <c r="AU1467" s="1150" t="n">
        <f aca="false">AG1467</f>
        <v>1517.6</v>
      </c>
      <c r="AV1467" s="1150" t="str">
        <f aca="false">AH1467</f>
        <v>Крепеж для нижней обвязки</v>
      </c>
      <c r="AY1467" s="1150" t="str">
        <f aca="false">G1482</f>
        <v>Крепеж нижней обвязки</v>
      </c>
      <c r="AZ1467" s="1150" t="str">
        <f aca="false">H1482</f>
        <v>Болты анкерные с гайкой 12,0 x 100</v>
      </c>
      <c r="BA1467" s="1152" t="str">
        <f aca="false">I1482</f>
        <v>шт.</v>
      </c>
      <c r="BB1467" s="1150" t="n">
        <f aca="false">J1482</f>
        <v>0</v>
      </c>
      <c r="BC1467" s="1150" t="n">
        <f aca="false">K1482</f>
        <v>11.2</v>
      </c>
      <c r="BD1467" s="1150" t="n">
        <f aca="false">L1482</f>
        <v>0</v>
      </c>
      <c r="BG1467" s="1150" t="str">
        <f aca="false">Q1467</f>
        <v>Перекладины для межк дверей, проемов горизонтальные</v>
      </c>
      <c r="BH1467" s="1150" t="str">
        <f aca="false">R1467</f>
        <v>ГПС 120х50-1,5</v>
      </c>
      <c r="BI1467" s="1152" t="str">
        <f aca="false">S1467</f>
        <v>м.п.</v>
      </c>
      <c r="BJ1467" s="1150" t="n">
        <f aca="false">T1467</f>
        <v>7.8</v>
      </c>
      <c r="BK1467" s="1150" t="n">
        <f aca="false">U1467</f>
        <v>65.8823529411765</v>
      </c>
      <c r="BL1467" s="1150" t="n">
        <f aca="false">V1467</f>
        <v>513.882352941176</v>
      </c>
    </row>
    <row r="1468" s="1150" customFormat="true" ht="15.75" hidden="false" customHeight="true" outlineLevel="1" collapsed="false">
      <c r="A1468" s="1751" t="str">
        <f aca="false">'Ввод данных'!A1031</f>
        <v>ГПС 150х50-1,2</v>
      </c>
      <c r="B1468" s="1527" t="s">
        <v>135</v>
      </c>
      <c r="C1468" s="887" t="n">
        <f aca="false">(C1450+C1447)*VLOOKUP(A1468,связи1!I459:M488,5,0)*1.1</f>
        <v>0</v>
      </c>
      <c r="D1468" s="1527" t="n">
        <f aca="false">VLOOKUP(A1468,связи1!I459:J488,2,0)</f>
        <v>201</v>
      </c>
      <c r="E1468" s="1290" t="n">
        <f aca="false">C1469*D1468</f>
        <v>0</v>
      </c>
      <c r="F1468" s="933" t="s">
        <v>3704</v>
      </c>
      <c r="G1468" s="1557" t="str">
        <f aca="false">'Прайс лист'!B1663</f>
        <v>Монтаж несущих перегородок</v>
      </c>
      <c r="H1468" s="1311"/>
      <c r="L1468" s="1150" t="n">
        <f aca="false">C1455</f>
        <v>0</v>
      </c>
      <c r="O1468" s="1290" t="n">
        <f aca="false">'Прайс лист'!G1663</f>
        <v>400</v>
      </c>
      <c r="P1468" s="1290" t="n">
        <f aca="false">L1468*O1468</f>
        <v>0</v>
      </c>
      <c r="Q1468" s="1813" t="s">
        <v>3705</v>
      </c>
      <c r="R1468" s="1202" t="str">
        <f aca="false">VLOOKUP(R1467,связи1!I458:X488,13,0)</f>
        <v>Саморез 5,5 х 25</v>
      </c>
      <c r="S1468" s="1814" t="s">
        <v>799</v>
      </c>
      <c r="T1468" s="1202" t="n">
        <f aca="false">CEILING((SUM(F366:F373)+SUM(F827:F833))*6,1)</f>
        <v>48</v>
      </c>
      <c r="U1468" s="1202" t="n">
        <f aca="false">VLOOKUP(R1467,связи1!I458:X488,14,0)</f>
        <v>2.5</v>
      </c>
      <c r="V1468" s="1202" t="n">
        <f aca="false">T1468*U1468</f>
        <v>120</v>
      </c>
      <c r="W1468" s="1230"/>
      <c r="X1468" s="1809" t="str">
        <f aca="false">'Прайс лист'!B1884</f>
        <v>Монтаж обрешетки потолок</v>
      </c>
      <c r="Y1468" s="1810" t="n">
        <f aca="false">C1458*IF(R1479=связи1!I389,0,1)</f>
        <v>0</v>
      </c>
      <c r="Z1468" s="1811" t="n">
        <f aca="false">'Прайс лист'!G1884</f>
        <v>100</v>
      </c>
      <c r="AA1468" s="1812" t="n">
        <f aca="false">Y1468*Z1468</f>
        <v>0</v>
      </c>
      <c r="AC1468" s="933" t="str">
        <f aca="false">A1468</f>
        <v>ГПС 150х50-1,2</v>
      </c>
      <c r="AD1468" s="1219" t="str">
        <f aca="false">B1468</f>
        <v>м3</v>
      </c>
      <c r="AE1468" s="933" t="n">
        <f aca="false">C1468</f>
        <v>0</v>
      </c>
      <c r="AF1468" s="933" t="n">
        <f aca="false">D1468</f>
        <v>201</v>
      </c>
      <c r="AG1468" s="933" t="n">
        <f aca="false">E1468</f>
        <v>0</v>
      </c>
      <c r="AH1468" s="933" t="str">
        <f aca="false">F1468</f>
        <v>Каркас наружние стены</v>
      </c>
      <c r="AI1468" s="933"/>
      <c r="AJ1468" s="933"/>
      <c r="AK1468" s="933"/>
      <c r="AL1468" s="933" t="str">
        <f aca="false">G1468</f>
        <v>Монтаж несущих перегородок</v>
      </c>
      <c r="AM1468" s="933" t="n">
        <f aca="false">L1468</f>
        <v>0</v>
      </c>
      <c r="AN1468" s="933" t="n">
        <f aca="false">O1468</f>
        <v>400</v>
      </c>
      <c r="AO1468" s="933" t="n">
        <f aca="false">P1468</f>
        <v>0</v>
      </c>
      <c r="AQ1468" s="1150" t="str">
        <f aca="false">AC1468</f>
        <v>ГПС 150х50-1,2</v>
      </c>
      <c r="AR1468" s="1152" t="str">
        <f aca="false">AD1468</f>
        <v>м3</v>
      </c>
      <c r="AS1468" s="1150" t="n">
        <f aca="false">AE1468</f>
        <v>0</v>
      </c>
      <c r="AT1468" s="1150" t="n">
        <f aca="false">AF1468</f>
        <v>201</v>
      </c>
      <c r="AU1468" s="1150" t="n">
        <f aca="false">AG1468</f>
        <v>0</v>
      </c>
      <c r="AV1468" s="1150" t="str">
        <f aca="false">AH1468</f>
        <v>Каркас наружние стены</v>
      </c>
      <c r="AY1468" s="1150" t="str">
        <f aca="false">G1483</f>
        <v>Крепеж для монтажа стоек</v>
      </c>
      <c r="AZ1468" s="1150" t="str">
        <f aca="false">H1483</f>
        <v>Саморез 5,5 х 25</v>
      </c>
      <c r="BA1468" s="1152" t="str">
        <f aca="false">I1483</f>
        <v>шт.</v>
      </c>
      <c r="BB1468" s="1150" t="n">
        <f aca="false">J1483</f>
        <v>1644</v>
      </c>
      <c r="BC1468" s="1150" t="n">
        <f aca="false">K1483</f>
        <v>2.5</v>
      </c>
      <c r="BD1468" s="1150" t="n">
        <f aca="false">L1483</f>
        <v>4110</v>
      </c>
      <c r="BG1468" s="1150" t="str">
        <f aca="false">Q1468</f>
        <v>Крепеж для монтажа перекладин межк. Дверей и проемов</v>
      </c>
      <c r="BH1468" s="1150" t="str">
        <f aca="false">R1468</f>
        <v>Саморез 5,5 х 25</v>
      </c>
      <c r="BI1468" s="1152" t="str">
        <f aca="false">S1468</f>
        <v>шт.</v>
      </c>
      <c r="BJ1468" s="1150" t="n">
        <f aca="false">T1468</f>
        <v>48</v>
      </c>
      <c r="BK1468" s="1150" t="n">
        <f aca="false">U1468</f>
        <v>2.5</v>
      </c>
      <c r="BL1468" s="1150" t="n">
        <f aca="false">V1468</f>
        <v>120</v>
      </c>
    </row>
    <row r="1469" s="1150" customFormat="true" ht="15.75" hidden="false" customHeight="true" outlineLevel="1" collapsed="false">
      <c r="A1469" s="933" t="str">
        <f aca="false">'Ввод данных'!A1033</f>
        <v>ГПС 120х50-1,5</v>
      </c>
      <c r="B1469" s="1527" t="s">
        <v>135</v>
      </c>
      <c r="C1469" s="1527" t="n">
        <f aca="false">(C1451+C1448)*G1425*VLOOKUP(A1469,связи1!I459:M488,5,0)*1.1</f>
        <v>0</v>
      </c>
      <c r="D1469" s="933" t="n">
        <f aca="false">VLOOKUP(A1469,связи1!I459:J488,2,0)</f>
        <v>224</v>
      </c>
      <c r="E1469" s="1290" t="n">
        <f aca="false">C1470*D1469</f>
        <v>0</v>
      </c>
      <c r="F1469" s="1230" t="s">
        <v>3706</v>
      </c>
      <c r="G1469" s="1557" t="str">
        <f aca="false">'Прайс лист'!B1664</f>
        <v>Монтаж перегородок</v>
      </c>
      <c r="H1469" s="1311"/>
      <c r="L1469" s="1150" t="n">
        <f aca="false">C1456</f>
        <v>0</v>
      </c>
      <c r="O1469" s="1290" t="n">
        <f aca="false">'Прайс лист'!G1664</f>
        <v>400</v>
      </c>
      <c r="P1469" s="1290" t="n">
        <f aca="false">L1469*O1469</f>
        <v>0</v>
      </c>
      <c r="Q1469" s="1815" t="s">
        <v>2378</v>
      </c>
      <c r="R1469" s="1202" t="str">
        <f aca="false">'Ввод данных'!D1032</f>
        <v>нет</v>
      </c>
      <c r="S1469" s="1808" t="s">
        <v>156</v>
      </c>
      <c r="T1469" s="1202" t="n">
        <f aca="false">CEILING((1/'Ввод данных'!P1032+0.1)*дома!C1453,1)</f>
        <v>0</v>
      </c>
      <c r="U1469" s="1202" t="n">
        <f aca="false">VLOOKUP(R1469,связи1!I389:P413,4,0)</f>
        <v>0</v>
      </c>
      <c r="V1469" s="1202" t="n">
        <f aca="false">T1469*U1469</f>
        <v>0</v>
      </c>
      <c r="W1469" s="1230"/>
      <c r="X1469" s="1809" t="str">
        <f aca="false">'Прайс лист'!B1885</f>
        <v>Монтаж профлист потолок</v>
      </c>
      <c r="Y1469" s="1810" t="n">
        <f aca="false">C1458*IF(R1480='Прайс лист'!B536,0,1)</f>
        <v>0</v>
      </c>
      <c r="Z1469" s="1811" t="n">
        <f aca="false">'Прайс лист'!G1885</f>
        <v>100</v>
      </c>
      <c r="AA1469" s="1812" t="n">
        <f aca="false">Y1469*Z1469</f>
        <v>0</v>
      </c>
      <c r="AC1469" s="933" t="str">
        <f aca="false">A1469</f>
        <v>ГПС 120х50-1,5</v>
      </c>
      <c r="AD1469" s="1219" t="str">
        <f aca="false">B1469</f>
        <v>м3</v>
      </c>
      <c r="AE1469" s="933" t="n">
        <f aca="false">C1469</f>
        <v>0</v>
      </c>
      <c r="AF1469" s="933" t="n">
        <f aca="false">D1469</f>
        <v>224</v>
      </c>
      <c r="AG1469" s="933" t="n">
        <f aca="false">E1469</f>
        <v>0</v>
      </c>
      <c r="AH1469" s="933" t="str">
        <f aca="false">F1469</f>
        <v>Каркас несущие перегородки</v>
      </c>
      <c r="AI1469" s="933"/>
      <c r="AJ1469" s="933"/>
      <c r="AK1469" s="933"/>
      <c r="AL1469" s="933" t="str">
        <f aca="false">G1469</f>
        <v>Монтаж перегородок</v>
      </c>
      <c r="AM1469" s="933" t="n">
        <f aca="false">L1469</f>
        <v>0</v>
      </c>
      <c r="AN1469" s="933" t="n">
        <f aca="false">O1469</f>
        <v>400</v>
      </c>
      <c r="AO1469" s="933" t="n">
        <f aca="false">P1469</f>
        <v>0</v>
      </c>
      <c r="AQ1469" s="1150" t="str">
        <f aca="false">AC1469</f>
        <v>ГПС 120х50-1,5</v>
      </c>
      <c r="AR1469" s="1152" t="str">
        <f aca="false">AD1469</f>
        <v>м3</v>
      </c>
      <c r="AS1469" s="1150" t="n">
        <f aca="false">AE1469</f>
        <v>0</v>
      </c>
      <c r="AT1469" s="1150" t="n">
        <f aca="false">AF1469</f>
        <v>224</v>
      </c>
      <c r="AU1469" s="1150" t="n">
        <f aca="false">AG1469</f>
        <v>0</v>
      </c>
      <c r="AV1469" s="1150" t="str">
        <f aca="false">AH1469</f>
        <v>Каркас несущие перегородки</v>
      </c>
      <c r="AY1469" s="1150" t="str">
        <f aca="false">G1484</f>
        <v>Верхняя/нижняя обвязка каркаса несущие перегородки</v>
      </c>
      <c r="AZ1469" s="1150" t="str">
        <f aca="false">H1484</f>
        <v>ГПН 122х35-1,5</v>
      </c>
      <c r="BA1469" s="1152" t="str">
        <f aca="false">I1484</f>
        <v>мп.</v>
      </c>
      <c r="BB1469" s="1150" t="n">
        <f aca="false">J1484</f>
        <v>0</v>
      </c>
      <c r="BC1469" s="1150" t="n">
        <f aca="false">K1484</f>
        <v>163</v>
      </c>
      <c r="BD1469" s="1150" t="n">
        <f aca="false">L1484</f>
        <v>0</v>
      </c>
      <c r="BG1469" s="1150" t="str">
        <f aca="false">Q1469</f>
        <v>Обрешетка горизонтальная снаружи здания</v>
      </c>
      <c r="BH1469" s="1150" t="str">
        <f aca="false">R1469</f>
        <v>нет</v>
      </c>
      <c r="BI1469" s="1152" t="str">
        <f aca="false">S1469</f>
        <v>м.п.</v>
      </c>
      <c r="BJ1469" s="1150" t="n">
        <f aca="false">T1469</f>
        <v>0</v>
      </c>
      <c r="BK1469" s="1150" t="n">
        <f aca="false">U1469</f>
        <v>0</v>
      </c>
      <c r="BL1469" s="1150" t="n">
        <f aca="false">V1469</f>
        <v>0</v>
      </c>
    </row>
    <row r="1470" customFormat="false" ht="15.75" hidden="false" customHeight="true" outlineLevel="1" collapsed="false">
      <c r="A1470" s="933" t="str">
        <f aca="false">'Ввод данных'!A1035</f>
        <v>ГПС 170х50-2,0</v>
      </c>
      <c r="B1470" s="1527" t="s">
        <v>135</v>
      </c>
      <c r="C1470" s="887" t="n">
        <f aca="false">(C1452+C1449)*VLOOKUP(A1470,связи1!I459:M488,5,0)*1.1</f>
        <v>0</v>
      </c>
      <c r="D1470" s="933" t="n">
        <f aca="false">VLOOKUP(A1470,связи1!I459:J488,2,0)</f>
        <v>358</v>
      </c>
      <c r="E1470" s="1290" t="n">
        <f aca="false">C1471*D1470</f>
        <v>35800</v>
      </c>
      <c r="F1470" s="1230" t="s">
        <v>3707</v>
      </c>
      <c r="G1470" s="1557" t="str">
        <f aca="false">'Прайс лист'!B1669</f>
        <v>Монтаж вентиляционного зазора</v>
      </c>
      <c r="H1470" s="1557"/>
      <c r="I1470" s="1611"/>
      <c r="J1470" s="933"/>
      <c r="L1470" s="1290" t="n">
        <f aca="false">C1453*D1438*I1425</f>
        <v>0</v>
      </c>
      <c r="M1470" s="1290"/>
      <c r="N1470" s="1290"/>
      <c r="O1470" s="1290" t="n">
        <f aca="false">'Прайс лист'!G1669</f>
        <v>80</v>
      </c>
      <c r="P1470" s="1290" t="n">
        <f aca="false">L1470*O1470</f>
        <v>0</v>
      </c>
      <c r="Q1470" s="1816" t="s">
        <v>2381</v>
      </c>
      <c r="R1470" s="1202" t="str">
        <f aca="false">'Ввод данных'!D1034</f>
        <v>нет</v>
      </c>
      <c r="S1470" s="1808" t="s">
        <v>156</v>
      </c>
      <c r="T1470" s="1202" t="n">
        <f aca="false">CEILING(1/'Ввод данных'!C1027*дома!C1453,1)</f>
        <v>0</v>
      </c>
      <c r="U1470" s="1202" t="n">
        <f aca="false">VLOOKUP(R1470,связи1!I389:P413,4,0)</f>
        <v>0</v>
      </c>
      <c r="V1470" s="1202" t="n">
        <f aca="false">T1470*U1470</f>
        <v>0</v>
      </c>
      <c r="W1470" s="1230"/>
      <c r="X1470" s="1809" t="str">
        <f aca="false">'Прайс лист'!B1886</f>
        <v>Монтаж обрешетки пол</v>
      </c>
      <c r="Y1470" s="1810" t="n">
        <f aca="false">IF(R1483=связи1!I389,0,1)*C1459</f>
        <v>0</v>
      </c>
      <c r="Z1470" s="1811" t="n">
        <f aca="false">'Прайс лист'!G1886</f>
        <v>100</v>
      </c>
      <c r="AA1470" s="1812" t="n">
        <f aca="false">Y1470*Z1470</f>
        <v>0</v>
      </c>
      <c r="AC1470" s="933" t="str">
        <f aca="false">A1470</f>
        <v>ГПС 170х50-2,0</v>
      </c>
      <c r="AD1470" s="1219" t="str">
        <f aca="false">B1470</f>
        <v>м3</v>
      </c>
      <c r="AE1470" s="933" t="n">
        <f aca="false">C1470</f>
        <v>0</v>
      </c>
      <c r="AF1470" s="933" t="n">
        <f aca="false">D1470</f>
        <v>358</v>
      </c>
      <c r="AG1470" s="933" t="n">
        <f aca="false">E1470</f>
        <v>35800</v>
      </c>
      <c r="AH1470" s="933" t="str">
        <f aca="false">F1470</f>
        <v>Каркас простые перегородки</v>
      </c>
      <c r="AI1470" s="933"/>
      <c r="AJ1470" s="933"/>
      <c r="AK1470" s="933"/>
      <c r="AL1470" s="933" t="str">
        <f aca="false">G1470</f>
        <v>Монтаж вентиляционного зазора</v>
      </c>
      <c r="AM1470" s="933" t="n">
        <f aca="false">L1470</f>
        <v>0</v>
      </c>
      <c r="AN1470" s="933" t="n">
        <f aca="false">O1470</f>
        <v>80</v>
      </c>
      <c r="AO1470" s="933" t="n">
        <f aca="false">P1470</f>
        <v>0</v>
      </c>
      <c r="AQ1470" s="1150" t="str">
        <f aca="false">AC1470</f>
        <v>ГПС 170х50-2,0</v>
      </c>
      <c r="AR1470" s="1152" t="str">
        <f aca="false">AD1470</f>
        <v>м3</v>
      </c>
      <c r="AS1470" s="1150" t="n">
        <f aca="false">AE1470</f>
        <v>0</v>
      </c>
      <c r="AT1470" s="1150" t="n">
        <f aca="false">AF1470</f>
        <v>358</v>
      </c>
      <c r="AU1470" s="1150" t="n">
        <f aca="false">AG1470</f>
        <v>35800</v>
      </c>
      <c r="AV1470" s="1150" t="str">
        <f aca="false">AH1470</f>
        <v>Каркас простые перегородки</v>
      </c>
      <c r="AY1470" s="1150" t="str">
        <f aca="false">G1485</f>
        <v>Крепеж нижней обвязки</v>
      </c>
      <c r="AZ1470" s="1150" t="str">
        <f aca="false">H1485</f>
        <v>Болты анкерные с гайкой 12,0 x 100</v>
      </c>
      <c r="BA1470" s="1152" t="str">
        <f aca="false">I1485</f>
        <v>шт.</v>
      </c>
      <c r="BB1470" s="1150" t="n">
        <f aca="false">J1485</f>
        <v>0</v>
      </c>
      <c r="BC1470" s="1150" t="n">
        <f aca="false">K1485</f>
        <v>11.2</v>
      </c>
      <c r="BD1470" s="1150" t="n">
        <f aca="false">L1485</f>
        <v>0</v>
      </c>
      <c r="BG1470" s="1150" t="str">
        <f aca="false">Q1470</f>
        <v>Обрешетка вертикальная снаружи здания</v>
      </c>
      <c r="BH1470" s="1150" t="str">
        <f aca="false">R1470</f>
        <v>нет</v>
      </c>
      <c r="BI1470" s="1152" t="str">
        <f aca="false">S1470</f>
        <v>м.п.</v>
      </c>
      <c r="BJ1470" s="1150" t="n">
        <f aca="false">T1470</f>
        <v>0</v>
      </c>
      <c r="BK1470" s="1150" t="n">
        <f aca="false">U1470</f>
        <v>0</v>
      </c>
      <c r="BL1470" s="1150" t="n">
        <f aca="false">V1470</f>
        <v>0</v>
      </c>
    </row>
    <row r="1471" customFormat="false" ht="15.75" hidden="false" customHeight="true" outlineLevel="1" collapsed="false">
      <c r="A1471" s="1751" t="str">
        <f aca="false">'Ввод данных'!A1047</f>
        <v>Лист ГВЛВ 2500х1200х10 мм</v>
      </c>
      <c r="B1471" s="1527" t="s">
        <v>133</v>
      </c>
      <c r="C1471" s="1527" t="n">
        <f aca="false">C1459*G1425*D1437</f>
        <v>100</v>
      </c>
      <c r="D1471" s="1527" t="n">
        <f aca="false">VLOOKUP(A1471,'Прайс лист'!B1027:G1078,6,0)</f>
        <v>150</v>
      </c>
      <c r="E1471" s="1290" t="n">
        <f aca="false">C1471*D1471</f>
        <v>15000</v>
      </c>
      <c r="F1471" s="1230" t="s">
        <v>2387</v>
      </c>
      <c r="G1471" s="1557" t="str">
        <f aca="false">'Прайс лист'!B1670</f>
        <v>Монтаж технологического зазора</v>
      </c>
      <c r="H1471" s="1557"/>
      <c r="I1471" s="1611"/>
      <c r="J1471" s="933"/>
      <c r="L1471" s="1290" t="n">
        <f aca="false">C1453*D1439*I1425</f>
        <v>0</v>
      </c>
      <c r="M1471" s="1290"/>
      <c r="N1471" s="1290"/>
      <c r="O1471" s="1290" t="n">
        <f aca="false">'Прайс лист'!G1670</f>
        <v>80</v>
      </c>
      <c r="P1471" s="1290" t="n">
        <f aca="false">L1471*O1471</f>
        <v>0</v>
      </c>
      <c r="Q1471" s="1202" t="s">
        <v>3708</v>
      </c>
      <c r="R1471" s="1202" t="n">
        <f aca="false">VLOOKUP(R1469,связи1!I389:P413,7,0)</f>
        <v>0</v>
      </c>
      <c r="S1471" s="1814" t="s">
        <v>799</v>
      </c>
      <c r="T1471" s="1202" t="n">
        <f aca="false">CEILING(T1469*'Ввод данных'!C1027*2,1)</f>
        <v>0</v>
      </c>
      <c r="U1471" s="1202" t="n">
        <f aca="false">VLOOKUP(R1469,связи1!I389:P413,8,0)</f>
        <v>0</v>
      </c>
      <c r="V1471" s="1202" t="n">
        <f aca="false">T1471*U1471</f>
        <v>0</v>
      </c>
      <c r="W1471" s="1230"/>
      <c r="X1471" s="1809" t="str">
        <f aca="false">'Прайс лист'!B1887</f>
        <v>Монтаж профлист пол</v>
      </c>
      <c r="Y1471" s="1810" t="n">
        <f aca="false">C1459*IF(R1484='Прайс лист'!B536,0,1)</f>
        <v>0</v>
      </c>
      <c r="Z1471" s="1811" t="n">
        <f aca="false">'Прайс лист'!G1887</f>
        <v>100</v>
      </c>
      <c r="AA1471" s="1812" t="n">
        <f aca="false">Y1471*Z1471</f>
        <v>0</v>
      </c>
      <c r="AC1471" s="933" t="str">
        <f aca="false">A1471</f>
        <v>Лист ГВЛВ 2500х1200х10 мм</v>
      </c>
      <c r="AD1471" s="1219" t="str">
        <f aca="false">B1471</f>
        <v>м2</v>
      </c>
      <c r="AE1471" s="933" t="n">
        <f aca="false">C1471</f>
        <v>100</v>
      </c>
      <c r="AF1471" s="933" t="n">
        <f aca="false">D1471</f>
        <v>150</v>
      </c>
      <c r="AG1471" s="933" t="n">
        <f aca="false">E1471</f>
        <v>15000</v>
      </c>
      <c r="AH1471" s="933" t="str">
        <f aca="false">F1471</f>
        <v>Половое покрытие</v>
      </c>
      <c r="AI1471" s="933"/>
      <c r="AJ1471" s="933"/>
      <c r="AK1471" s="933"/>
      <c r="AL1471" s="933" t="str">
        <f aca="false">G1471</f>
        <v>Монтаж технологического зазора</v>
      </c>
      <c r="AM1471" s="933" t="n">
        <f aca="false">L1471</f>
        <v>0</v>
      </c>
      <c r="AN1471" s="933" t="n">
        <f aca="false">O1471</f>
        <v>80</v>
      </c>
      <c r="AO1471" s="933" t="n">
        <f aca="false">P1471</f>
        <v>0</v>
      </c>
      <c r="AQ1471" s="1150" t="str">
        <f aca="false">AC1471</f>
        <v>Лист ГВЛВ 2500х1200х10 мм</v>
      </c>
      <c r="AR1471" s="1152" t="str">
        <f aca="false">AD1471</f>
        <v>м2</v>
      </c>
      <c r="AS1471" s="1150" t="n">
        <f aca="false">AE1471</f>
        <v>100</v>
      </c>
      <c r="AT1471" s="1150" t="n">
        <f aca="false">AF1471</f>
        <v>150</v>
      </c>
      <c r="AU1471" s="1150" t="n">
        <f aca="false">AG1471</f>
        <v>15000</v>
      </c>
      <c r="AV1471" s="1150" t="str">
        <f aca="false">AH1471</f>
        <v>Половое покрытие</v>
      </c>
      <c r="AY1471" s="1150" t="str">
        <f aca="false">G1486</f>
        <v>Крепеж для монтажа стоек</v>
      </c>
      <c r="AZ1471" s="1150" t="str">
        <f aca="false">H1486</f>
        <v>Саморез 5,5 х 25</v>
      </c>
      <c r="BA1471" s="1152" t="str">
        <f aca="false">I1486</f>
        <v>шт.</v>
      </c>
      <c r="BB1471" s="1150" t="n">
        <f aca="false">J1486</f>
        <v>12</v>
      </c>
      <c r="BC1471" s="1150" t="n">
        <f aca="false">K1486</f>
        <v>2.5</v>
      </c>
      <c r="BD1471" s="1150" t="n">
        <f aca="false">L1486</f>
        <v>30</v>
      </c>
      <c r="BG1471" s="1150" t="str">
        <f aca="false">Q1471</f>
        <v>Крепеж для горизонтальной обрешетки</v>
      </c>
      <c r="BH1471" s="1150" t="n">
        <f aca="false">R1471</f>
        <v>0</v>
      </c>
      <c r="BI1471" s="1152" t="str">
        <f aca="false">S1471</f>
        <v>шт.</v>
      </c>
      <c r="BJ1471" s="1150" t="n">
        <f aca="false">T1471</f>
        <v>0</v>
      </c>
      <c r="BK1471" s="1150" t="n">
        <f aca="false">U1471</f>
        <v>0</v>
      </c>
      <c r="BL1471" s="1150" t="n">
        <f aca="false">V1471</f>
        <v>0</v>
      </c>
    </row>
    <row r="1472" customFormat="false" ht="15.75" hidden="false" customHeight="true" outlineLevel="1" collapsed="false">
      <c r="A1472" s="1751" t="str">
        <f aca="false">'Ввод данных'!A1051</f>
        <v>нет</v>
      </c>
      <c r="B1472" s="1527" t="s">
        <v>156</v>
      </c>
      <c r="C1472" s="1527" t="n">
        <f aca="false">C1450*G1425+C1450*G1425</f>
        <v>0</v>
      </c>
      <c r="D1472" s="1527" t="n">
        <f aca="false">VLOOKUP(A1472,связи1!A418:D421,4,0)</f>
        <v>0</v>
      </c>
      <c r="E1472" s="1290" t="n">
        <f aca="false">C1472*D1472</f>
        <v>0</v>
      </c>
      <c r="F1472" s="1230"/>
      <c r="G1472" s="1557" t="str">
        <f aca="false">'Прайс лист'!B1673</f>
        <v>монтаж ветроизоляции стен</v>
      </c>
      <c r="H1472" s="1557"/>
      <c r="I1472" s="1611"/>
      <c r="J1472" s="933"/>
      <c r="L1472" s="1290" t="n">
        <f aca="false">C1453*D1440*I1425</f>
        <v>0</v>
      </c>
      <c r="M1472" s="1290"/>
      <c r="N1472" s="1290"/>
      <c r="O1472" s="1290" t="n">
        <f aca="false">'Прайс лист'!G1673</f>
        <v>100</v>
      </c>
      <c r="P1472" s="1290" t="n">
        <f aca="false">L1472*O1472</f>
        <v>0</v>
      </c>
      <c r="Q1472" s="1202" t="s">
        <v>3709</v>
      </c>
      <c r="R1472" s="1202" t="n">
        <f aca="false">VLOOKUP(R1470,связи1!I389:P413,7,0)</f>
        <v>0</v>
      </c>
      <c r="S1472" s="1814" t="s">
        <v>799</v>
      </c>
      <c r="T1472" s="1202" t="n">
        <f aca="false">CEILING(T1470/0.5,1)</f>
        <v>0</v>
      </c>
      <c r="U1472" s="1202" t="n">
        <f aca="false">VLOOKUP(R1470,связи1!I389:P413,8,0)</f>
        <v>0</v>
      </c>
      <c r="V1472" s="1202" t="n">
        <f aca="false">T1472*U1472</f>
        <v>0</v>
      </c>
      <c r="W1472" s="1230"/>
      <c r="X1472" s="1817" t="str">
        <f aca="false">'Прайс лист'!B1667</f>
        <v>монтаж osb/фанера пол</v>
      </c>
      <c r="Y1472" s="1818" t="n">
        <f aca="false">C1459*D1437*I1425*IF(A1471='Прайс лист'!B1027,0,1)</f>
        <v>100</v>
      </c>
      <c r="Z1472" s="1819" t="n">
        <f aca="false">'Прайс лист'!G1667</f>
        <v>200</v>
      </c>
      <c r="AA1472" s="1820" t="n">
        <f aca="false">Y1621*Z1621</f>
        <v>0</v>
      </c>
      <c r="AC1472" s="933" t="str">
        <f aca="false">A1472</f>
        <v>нет</v>
      </c>
      <c r="AD1472" s="1219" t="str">
        <f aca="false">B1472</f>
        <v>м.п.</v>
      </c>
      <c r="AE1472" s="933" t="n">
        <f aca="false">C1472</f>
        <v>0</v>
      </c>
      <c r="AF1472" s="933" t="n">
        <f aca="false">D1472</f>
        <v>0</v>
      </c>
      <c r="AG1472" s="933" t="n">
        <f aca="false">E1472</f>
        <v>0</v>
      </c>
      <c r="AH1472" s="933"/>
      <c r="AI1472" s="933"/>
      <c r="AJ1472" s="933"/>
      <c r="AK1472" s="933"/>
      <c r="AL1472" s="933" t="str">
        <f aca="false">G1472</f>
        <v>монтаж ветроизоляции стен</v>
      </c>
      <c r="AM1472" s="933" t="n">
        <f aca="false">L1472</f>
        <v>0</v>
      </c>
      <c r="AN1472" s="933" t="n">
        <f aca="false">O1472</f>
        <v>100</v>
      </c>
      <c r="AO1472" s="933" t="n">
        <f aca="false">P1472</f>
        <v>0</v>
      </c>
      <c r="AQ1472" s="1150" t="str">
        <f aca="false">AC1472</f>
        <v>нет</v>
      </c>
      <c r="AR1472" s="1152" t="str">
        <f aca="false">AD1472</f>
        <v>м.п.</v>
      </c>
      <c r="AS1472" s="1150" t="n">
        <f aca="false">AE1472</f>
        <v>0</v>
      </c>
      <c r="AT1472" s="1150" t="n">
        <f aca="false">AF1472</f>
        <v>0</v>
      </c>
      <c r="AU1472" s="1150" t="n">
        <f aca="false">AG1472</f>
        <v>0</v>
      </c>
      <c r="AY1472" s="1150" t="str">
        <f aca="false">G1487</f>
        <v>Верхняя/нижняя обвязка каркаса простые перегородки</v>
      </c>
      <c r="AZ1472" s="1150" t="str">
        <f aca="false">H1487</f>
        <v>ГПН 172х35-2,0</v>
      </c>
      <c r="BA1472" s="1152" t="str">
        <f aca="false">I1487</f>
        <v>мп.</v>
      </c>
      <c r="BB1472" s="1150" t="n">
        <f aca="false">J1487</f>
        <v>0</v>
      </c>
      <c r="BC1472" s="1150" t="n">
        <f aca="false">K1487</f>
        <v>274</v>
      </c>
      <c r="BD1472" s="1150" t="n">
        <f aca="false">L1487</f>
        <v>0</v>
      </c>
      <c r="BG1472" s="1150" t="str">
        <f aca="false">Q1472</f>
        <v>Крепеж для вертикальной обрешетки</v>
      </c>
      <c r="BH1472" s="1150" t="n">
        <f aca="false">R1472</f>
        <v>0</v>
      </c>
      <c r="BI1472" s="1152" t="str">
        <f aca="false">S1472</f>
        <v>шт.</v>
      </c>
      <c r="BJ1472" s="1150" t="n">
        <f aca="false">T1472</f>
        <v>0</v>
      </c>
      <c r="BK1472" s="1150" t="n">
        <f aca="false">U1472</f>
        <v>0</v>
      </c>
      <c r="BL1472" s="1150" t="n">
        <f aca="false">V1472</f>
        <v>0</v>
      </c>
    </row>
    <row r="1473" customFormat="false" ht="15.75" hidden="false" customHeight="true" outlineLevel="1" collapsed="false">
      <c r="A1473" s="1751" t="str">
        <f aca="false">'Ввод данных'!A1037</f>
        <v>Нет</v>
      </c>
      <c r="B1473" s="1527" t="s">
        <v>135</v>
      </c>
      <c r="C1473" s="1527" t="n">
        <f aca="false">C1453*G1425*VLOOKUP(A1473,'Прайс лист'!B744:G783,3,0)</f>
        <v>0</v>
      </c>
      <c r="D1473" s="1527" t="n">
        <f aca="false">VLOOKUP(A1473,'Прайс лист'!B744:G783,6,0)</f>
        <v>0</v>
      </c>
      <c r="E1473" s="1290" t="n">
        <f aca="false">C1473*D1473</f>
        <v>0</v>
      </c>
      <c r="F1473" s="1230" t="s">
        <v>2234</v>
      </c>
      <c r="G1473" s="1557" t="str">
        <f aca="false">'Прайс лист'!B1674</f>
        <v>монтаж пароизоляции стен</v>
      </c>
      <c r="H1473" s="1557"/>
      <c r="I1473" s="1611"/>
      <c r="J1473" s="933"/>
      <c r="L1473" s="1290" t="n">
        <f aca="false">C1453*D1441*I1425</f>
        <v>0</v>
      </c>
      <c r="M1473" s="1290"/>
      <c r="N1473" s="1290"/>
      <c r="O1473" s="1290" t="n">
        <f aca="false">'Прайс лист'!G1674</f>
        <v>100</v>
      </c>
      <c r="P1473" s="1290" t="n">
        <f aca="false">L1473*O1473</f>
        <v>0</v>
      </c>
      <c r="Q1473" s="1821" t="s">
        <v>2382</v>
      </c>
      <c r="R1473" s="1202" t="str">
        <f aca="false">'Ввод данных'!D1036</f>
        <v>нет</v>
      </c>
      <c r="S1473" s="1822" t="s">
        <v>133</v>
      </c>
      <c r="T1473" s="1202" t="n">
        <f aca="false">CEILING(C1454*G1425*D1434*1.1,1)</f>
        <v>0</v>
      </c>
      <c r="U1473" s="1202" t="n">
        <f aca="false">VLOOKUP(R1473,'Прайс лист'!B1027:G1078,6,0)</f>
        <v>0</v>
      </c>
      <c r="V1473" s="1202" t="n">
        <f aca="false">T1473*U1473</f>
        <v>0</v>
      </c>
      <c r="W1473" s="1230"/>
      <c r="X1473" s="1230"/>
      <c r="Y1473" s="1230"/>
      <c r="AC1473" s="933" t="str">
        <f aca="false">A1473</f>
        <v>Нет</v>
      </c>
      <c r="AD1473" s="1219" t="str">
        <f aca="false">B1473</f>
        <v>м3</v>
      </c>
      <c r="AE1473" s="933" t="n">
        <f aca="false">C1473</f>
        <v>0</v>
      </c>
      <c r="AF1473" s="933" t="n">
        <f aca="false">D1473</f>
        <v>0</v>
      </c>
      <c r="AG1473" s="933" t="n">
        <f aca="false">E1473</f>
        <v>0</v>
      </c>
      <c r="AH1473" s="933" t="str">
        <f aca="false">F1473</f>
        <v>Утепление наружних стен</v>
      </c>
      <c r="AI1473" s="933"/>
      <c r="AJ1473" s="933"/>
      <c r="AK1473" s="933"/>
      <c r="AL1473" s="933" t="str">
        <f aca="false">G1473</f>
        <v>монтаж пароизоляции стен</v>
      </c>
      <c r="AM1473" s="933" t="n">
        <f aca="false">L1473</f>
        <v>0</v>
      </c>
      <c r="AN1473" s="933" t="n">
        <f aca="false">O1473</f>
        <v>100</v>
      </c>
      <c r="AO1473" s="933" t="n">
        <f aca="false">P1473</f>
        <v>0</v>
      </c>
      <c r="AQ1473" s="1150" t="str">
        <f aca="false">AC1473</f>
        <v>Нет</v>
      </c>
      <c r="AR1473" s="1152" t="str">
        <f aca="false">AD1473</f>
        <v>м3</v>
      </c>
      <c r="AS1473" s="1150" t="n">
        <f aca="false">AE1473</f>
        <v>0</v>
      </c>
      <c r="AT1473" s="1150" t="n">
        <f aca="false">AF1473</f>
        <v>0</v>
      </c>
      <c r="AU1473" s="1150" t="n">
        <f aca="false">AG1473</f>
        <v>0</v>
      </c>
      <c r="AV1473" s="1150" t="str">
        <f aca="false">AH1473</f>
        <v>Утепление наружних стен</v>
      </c>
      <c r="AY1473" s="1150" t="str">
        <f aca="false">G1488</f>
        <v>Крепеж нижней обвязки</v>
      </c>
      <c r="AZ1473" s="1150" t="str">
        <f aca="false">H1488</f>
        <v>Болты анкерные с гайкой 12,0 x 100</v>
      </c>
      <c r="BA1473" s="1152" t="str">
        <f aca="false">I1488</f>
        <v>шт.</v>
      </c>
      <c r="BB1473" s="1150" t="n">
        <f aca="false">J1488</f>
        <v>0</v>
      </c>
      <c r="BC1473" s="1150" t="n">
        <f aca="false">K1488</f>
        <v>11.2</v>
      </c>
      <c r="BD1473" s="1150" t="n">
        <f aca="false">L1488</f>
        <v>0</v>
      </c>
      <c r="BG1473" s="1150" t="str">
        <f aca="false">Q1473</f>
        <v>Отделка стен снаружи здания</v>
      </c>
      <c r="BH1473" s="1150" t="str">
        <f aca="false">R1473</f>
        <v>нет</v>
      </c>
      <c r="BI1473" s="1152" t="str">
        <f aca="false">S1473</f>
        <v>м2</v>
      </c>
      <c r="BJ1473" s="1150" t="n">
        <f aca="false">T1473</f>
        <v>0</v>
      </c>
      <c r="BK1473" s="1150" t="n">
        <f aca="false">U1473</f>
        <v>0</v>
      </c>
      <c r="BL1473" s="1150" t="n">
        <f aca="false">V1473</f>
        <v>0</v>
      </c>
    </row>
    <row r="1474" customFormat="false" ht="15.75" hidden="false" customHeight="true" outlineLevel="1" collapsed="false">
      <c r="A1474" s="1751" t="str">
        <f aca="false">'Ввод данных'!A1039</f>
        <v>Нет</v>
      </c>
      <c r="B1474" s="1527" t="s">
        <v>135</v>
      </c>
      <c r="C1474" s="1527" t="n">
        <f aca="false">C1457*G1425*VLOOKUP(A1474,'Прайс лист'!B744:G783,3,0)</f>
        <v>0</v>
      </c>
      <c r="D1474" s="1527" t="n">
        <f aca="false">VLOOKUP(A1474,'Прайс лист'!B744:G783,6,0)</f>
        <v>0</v>
      </c>
      <c r="E1474" s="1290" t="n">
        <f aca="false">C1474*D1474</f>
        <v>0</v>
      </c>
      <c r="F1474" s="1230" t="s">
        <v>2384</v>
      </c>
      <c r="G1474" s="932" t="str">
        <f aca="false">'Прайс лист'!B1665</f>
        <v>монтаж osb/фанера наруж стены</v>
      </c>
      <c r="H1474" s="932"/>
      <c r="I1474" s="933"/>
      <c r="J1474" s="933"/>
      <c r="L1474" s="933" t="n">
        <f aca="false">C1454*I1425*D1434</f>
        <v>0</v>
      </c>
      <c r="M1474" s="933"/>
      <c r="N1474" s="933"/>
      <c r="O1474" s="1290" t="n">
        <f aca="false">'Прайс лист'!G1665</f>
        <v>200</v>
      </c>
      <c r="P1474" s="1290" t="n">
        <f aca="false">L1474*O1474</f>
        <v>0</v>
      </c>
      <c r="Q1474" s="1813" t="s">
        <v>3710</v>
      </c>
      <c r="R1474" s="1202" t="str">
        <f aca="false">'Прайс лист'!B876</f>
        <v>Саморезы 3,5 x 25</v>
      </c>
      <c r="S1474" s="1814" t="s">
        <v>799</v>
      </c>
      <c r="T1474" s="1202" t="n">
        <f aca="false">CEILING(C1453*10*IF(R1473='Прайс лист'!B1471,0,1),1)</f>
        <v>0</v>
      </c>
      <c r="U1474" s="1202" t="n">
        <f aca="false">'Прайс лист'!F876</f>
        <v>0.2</v>
      </c>
      <c r="V1474" s="1202" t="n">
        <f aca="false">T1474*U1474</f>
        <v>0</v>
      </c>
      <c r="W1474" s="1230"/>
      <c r="X1474" s="1230"/>
      <c r="Y1474" s="1230"/>
      <c r="AC1474" s="933" t="str">
        <f aca="false">A1474</f>
        <v>Нет</v>
      </c>
      <c r="AD1474" s="1219" t="str">
        <f aca="false">B1474</f>
        <v>м3</v>
      </c>
      <c r="AE1474" s="933" t="n">
        <f aca="false">C1474</f>
        <v>0</v>
      </c>
      <c r="AF1474" s="933" t="n">
        <f aca="false">D1474</f>
        <v>0</v>
      </c>
      <c r="AG1474" s="933" t="n">
        <f aca="false">E1474</f>
        <v>0</v>
      </c>
      <c r="AH1474" s="933" t="str">
        <f aca="false">F1474</f>
        <v>Утепление перегородок</v>
      </c>
      <c r="AI1474" s="933"/>
      <c r="AJ1474" s="933"/>
      <c r="AK1474" s="933"/>
      <c r="AL1474" s="933" t="str">
        <f aca="false">G1474</f>
        <v>монтаж osb/фанера наруж стены</v>
      </c>
      <c r="AM1474" s="933" t="n">
        <f aca="false">L1474</f>
        <v>0</v>
      </c>
      <c r="AN1474" s="933" t="n">
        <f aca="false">O1474</f>
        <v>200</v>
      </c>
      <c r="AO1474" s="933" t="n">
        <f aca="false">P1474</f>
        <v>0</v>
      </c>
      <c r="AQ1474" s="1150" t="str">
        <f aca="false">AC1474</f>
        <v>Нет</v>
      </c>
      <c r="AR1474" s="1152" t="str">
        <f aca="false">AD1474</f>
        <v>м3</v>
      </c>
      <c r="AS1474" s="1150" t="n">
        <f aca="false">AE1474</f>
        <v>0</v>
      </c>
      <c r="AT1474" s="1150" t="n">
        <f aca="false">AF1474</f>
        <v>0</v>
      </c>
      <c r="AU1474" s="1150" t="n">
        <f aca="false">AG1474</f>
        <v>0</v>
      </c>
      <c r="AV1474" s="1150" t="str">
        <f aca="false">AH1474</f>
        <v>Утепление перегородок</v>
      </c>
      <c r="AY1474" s="1150" t="str">
        <f aca="false">G1489</f>
        <v>Крепеж для монтажа стоек</v>
      </c>
      <c r="AZ1474" s="1150" t="str">
        <f aca="false">H1489</f>
        <v>Саморез 5,5 х 25</v>
      </c>
      <c r="BA1474" s="1152" t="str">
        <f aca="false">I1489</f>
        <v>шт.</v>
      </c>
      <c r="BB1474" s="1150" t="n">
        <f aca="false">J1489</f>
        <v>0</v>
      </c>
      <c r="BC1474" s="1150" t="n">
        <f aca="false">K1489</f>
        <v>2.5</v>
      </c>
      <c r="BD1474" s="1150" t="n">
        <f aca="false">L1489</f>
        <v>0</v>
      </c>
      <c r="BG1474" s="1150" t="str">
        <f aca="false">Q1474</f>
        <v>Крепеж для внешней отделки здания</v>
      </c>
      <c r="BH1474" s="1150" t="str">
        <f aca="false">R1474</f>
        <v>Саморезы 3,5 x 25</v>
      </c>
      <c r="BI1474" s="1152" t="str">
        <f aca="false">S1474</f>
        <v>шт.</v>
      </c>
      <c r="BJ1474" s="1150" t="n">
        <f aca="false">T1474</f>
        <v>0</v>
      </c>
      <c r="BK1474" s="1150" t="n">
        <f aca="false">U1474</f>
        <v>0.2</v>
      </c>
      <c r="BL1474" s="1150" t="n">
        <f aca="false">V1474</f>
        <v>0</v>
      </c>
    </row>
    <row r="1475" customFormat="false" ht="15.75" hidden="false" customHeight="true" outlineLevel="1" collapsed="false">
      <c r="A1475" s="1751" t="str">
        <f aca="false">'Ввод данных'!A1041</f>
        <v>нет</v>
      </c>
      <c r="B1475" s="1527" t="s">
        <v>133</v>
      </c>
      <c r="C1475" s="1527" t="n">
        <f aca="false">C1454*G1425*D1434</f>
        <v>0</v>
      </c>
      <c r="D1475" s="1527" t="n">
        <f aca="false">VLOOKUP(A1475,'Прайс лист'!B1027:G1078,6,0)</f>
        <v>0</v>
      </c>
      <c r="E1475" s="1290" t="n">
        <f aca="false">C1475*D1475</f>
        <v>0</v>
      </c>
      <c r="F1475" s="1230"/>
      <c r="G1475" s="932" t="str">
        <f aca="false">'Прайс лист'!B1668</f>
        <v>монтаж osb/фанера потолок</v>
      </c>
      <c r="H1475" s="932"/>
      <c r="I1475" s="1219"/>
      <c r="J1475" s="933"/>
      <c r="L1475" s="933" t="n">
        <f aca="false">C1458*I1425*D1436</f>
        <v>0</v>
      </c>
      <c r="M1475" s="933"/>
      <c r="N1475" s="933"/>
      <c r="O1475" s="1290" t="n">
        <f aca="false">'Прайс лист'!G1668</f>
        <v>200</v>
      </c>
      <c r="P1475" s="1290" t="n">
        <f aca="false">L1475*O1475</f>
        <v>0</v>
      </c>
      <c r="Q1475" s="1816" t="s">
        <v>2383</v>
      </c>
      <c r="R1475" s="1202" t="str">
        <f aca="false">'Ввод данных'!D1038</f>
        <v>нет</v>
      </c>
      <c r="S1475" s="1808" t="s">
        <v>156</v>
      </c>
      <c r="T1475" s="1202" t="n">
        <f aca="false">CEILING(C1450*G1425+C1450*G1425,1)</f>
        <v>0</v>
      </c>
      <c r="U1475" s="1202" t="n">
        <f aca="false">VLOOKUP(R1475,связи1!I389:P413,4,0)</f>
        <v>0</v>
      </c>
      <c r="V1475" s="1202" t="n">
        <f aca="false">T1475*U1475</f>
        <v>0</v>
      </c>
      <c r="W1475" s="1230"/>
      <c r="X1475" s="1230"/>
      <c r="Y1475" s="1230"/>
      <c r="AC1475" s="933" t="str">
        <f aca="false">A1475</f>
        <v>нет</v>
      </c>
      <c r="AD1475" s="1219" t="str">
        <f aca="false">B1475</f>
        <v>м2</v>
      </c>
      <c r="AE1475" s="933" t="n">
        <f aca="false">C1475</f>
        <v>0</v>
      </c>
      <c r="AF1475" s="933" t="n">
        <f aca="false">D1475</f>
        <v>0</v>
      </c>
      <c r="AG1475" s="933" t="n">
        <f aca="false">E1475</f>
        <v>0</v>
      </c>
      <c r="AH1475" s="933"/>
      <c r="AI1475" s="933"/>
      <c r="AJ1475" s="933"/>
      <c r="AK1475" s="933"/>
      <c r="AL1475" s="933" t="str">
        <f aca="false">G1475</f>
        <v>монтаж osb/фанера потолок</v>
      </c>
      <c r="AM1475" s="933" t="n">
        <f aca="false">L1475</f>
        <v>0</v>
      </c>
      <c r="AN1475" s="933" t="n">
        <f aca="false">O1475</f>
        <v>200</v>
      </c>
      <c r="AO1475" s="933" t="n">
        <f aca="false">P1475</f>
        <v>0</v>
      </c>
      <c r="AQ1475" s="1150" t="str">
        <f aca="false">AC1475</f>
        <v>нет</v>
      </c>
      <c r="AR1475" s="1152" t="str">
        <f aca="false">AD1475</f>
        <v>м2</v>
      </c>
      <c r="AS1475" s="1150" t="n">
        <f aca="false">AE1475</f>
        <v>0</v>
      </c>
      <c r="AT1475" s="1150" t="n">
        <f aca="false">AF1475</f>
        <v>0</v>
      </c>
      <c r="AU1475" s="1150" t="n">
        <f aca="false">AG1475</f>
        <v>0</v>
      </c>
      <c r="AY1475" s="1150" t="str">
        <f aca="false">G1490</f>
        <v>Перекладины для окон/дверей горизонтальные</v>
      </c>
      <c r="AZ1475" s="1150" t="str">
        <f aca="false">H1490</f>
        <v>ГПС 150х50-1,2</v>
      </c>
      <c r="BA1475" s="1152" t="str">
        <f aca="false">I1490</f>
        <v>мп.</v>
      </c>
      <c r="BB1475" s="1150" t="n">
        <f aca="false">J1490</f>
        <v>14</v>
      </c>
      <c r="BC1475" s="1150" t="n">
        <f aca="false">K1490</f>
        <v>63.0094043887147</v>
      </c>
      <c r="BD1475" s="1150" t="n">
        <f aca="false">L1490</f>
        <v>882.131661442006</v>
      </c>
      <c r="BG1475" s="1150" t="str">
        <f aca="false">Q1475</f>
        <v>Обрешетка вертикальная внутри наружние стены</v>
      </c>
      <c r="BH1475" s="1150" t="str">
        <f aca="false">R1475</f>
        <v>нет</v>
      </c>
      <c r="BI1475" s="1152" t="str">
        <f aca="false">S1475</f>
        <v>м.п.</v>
      </c>
      <c r="BJ1475" s="1150" t="n">
        <f aca="false">T1475</f>
        <v>0</v>
      </c>
      <c r="BK1475" s="1150" t="n">
        <f aca="false">U1475</f>
        <v>0</v>
      </c>
      <c r="BL1475" s="1150" t="n">
        <f aca="false">V1475</f>
        <v>0</v>
      </c>
    </row>
    <row r="1476" customFormat="false" ht="15.75" hidden="false" customHeight="true" outlineLevel="1" collapsed="false">
      <c r="A1476" s="1751" t="str">
        <f aca="false">'Ввод данных'!A1045</f>
        <v>нет</v>
      </c>
      <c r="B1476" s="1527" t="s">
        <v>133</v>
      </c>
      <c r="C1476" s="1527" t="n">
        <f aca="false">C1436*D1436*G1425</f>
        <v>0</v>
      </c>
      <c r="D1476" s="1527" t="n">
        <f aca="false">VLOOKUP(A1476,'Прайс лист'!B1027:G1078,6,0)</f>
        <v>0</v>
      </c>
      <c r="E1476" s="1290" t="n">
        <f aca="false">C1476*D1476</f>
        <v>0</v>
      </c>
      <c r="F1476" s="1230" t="s">
        <v>3711</v>
      </c>
      <c r="G1476" s="1290" t="str">
        <f aca="false">'Прайс лист'!B1666</f>
        <v>монтаж osb/фанера перегородки</v>
      </c>
      <c r="H1476" s="1290"/>
      <c r="I1476" s="1611"/>
      <c r="J1476" s="933"/>
      <c r="L1476" s="1290" t="n">
        <f aca="false">C1457*2*I1425*D1435</f>
        <v>0</v>
      </c>
      <c r="M1476" s="1290"/>
      <c r="N1476" s="1290"/>
      <c r="O1476" s="933" t="n">
        <f aca="false">'Прайс лист'!G1666</f>
        <v>200</v>
      </c>
      <c r="P1476" s="1290" t="n">
        <f aca="false">L1476*O1476</f>
        <v>0</v>
      </c>
      <c r="Q1476" s="1813" t="s">
        <v>3709</v>
      </c>
      <c r="R1476" s="1202" t="n">
        <f aca="false">VLOOKUP(R1475,связи1!I389:P413,7,0)</f>
        <v>0</v>
      </c>
      <c r="S1476" s="1814" t="s">
        <v>799</v>
      </c>
      <c r="T1476" s="1202" t="n">
        <f aca="false">CEILING(T1475/0.5,1)</f>
        <v>0</v>
      </c>
      <c r="U1476" s="1202" t="n">
        <f aca="false">VLOOKUP(R1475,связи1!I389:P413,8,0)</f>
        <v>0</v>
      </c>
      <c r="V1476" s="1202" t="n">
        <f aca="false">T1476*U1476</f>
        <v>0</v>
      </c>
      <c r="W1476" s="1230"/>
      <c r="X1476" s="1230"/>
      <c r="Y1476" s="1230"/>
      <c r="AC1476" s="933" t="str">
        <f aca="false">A1476</f>
        <v>нет</v>
      </c>
      <c r="AD1476" s="1219" t="str">
        <f aca="false">B1476</f>
        <v>м2</v>
      </c>
      <c r="AE1476" s="933" t="n">
        <f aca="false">C1476</f>
        <v>0</v>
      </c>
      <c r="AF1476" s="933" t="n">
        <f aca="false">D1476</f>
        <v>0</v>
      </c>
      <c r="AG1476" s="933" t="n">
        <f aca="false">E1476</f>
        <v>0</v>
      </c>
      <c r="AH1476" s="933" t="str">
        <f aca="false">F1476</f>
        <v>Отделка потолок</v>
      </c>
      <c r="AI1476" s="933"/>
      <c r="AJ1476" s="933"/>
      <c r="AK1476" s="933"/>
      <c r="AL1476" s="933" t="str">
        <f aca="false">G1476</f>
        <v>монтаж osb/фанера перегородки</v>
      </c>
      <c r="AM1476" s="933" t="n">
        <f aca="false">L1476</f>
        <v>0</v>
      </c>
      <c r="AN1476" s="933" t="n">
        <f aca="false">O1476</f>
        <v>200</v>
      </c>
      <c r="AO1476" s="933" t="n">
        <f aca="false">P1476</f>
        <v>0</v>
      </c>
      <c r="AQ1476" s="1150" t="str">
        <f aca="false">AC1476</f>
        <v>нет</v>
      </c>
      <c r="AR1476" s="1152" t="str">
        <f aca="false">AD1476</f>
        <v>м2</v>
      </c>
      <c r="AS1476" s="1150" t="n">
        <f aca="false">AE1476</f>
        <v>0</v>
      </c>
      <c r="AT1476" s="1150" t="n">
        <f aca="false">AF1476</f>
        <v>0</v>
      </c>
      <c r="AU1476" s="1150" t="n">
        <f aca="false">AG1476</f>
        <v>0</v>
      </c>
      <c r="AV1476" s="1150" t="str">
        <f aca="false">AH1476</f>
        <v>Отделка потолок</v>
      </c>
      <c r="AY1476" s="1150" t="str">
        <f aca="false">G1491</f>
        <v>Крепеж для монтажа стоек окон/дверей</v>
      </c>
      <c r="AZ1476" s="1150" t="str">
        <f aca="false">H1491</f>
        <v>Саморез 5,5 х 25</v>
      </c>
      <c r="BA1476" s="1152" t="str">
        <f aca="false">I1491</f>
        <v>шт.</v>
      </c>
      <c r="BB1476" s="1150" t="n">
        <f aca="false">J1491</f>
        <v>81</v>
      </c>
      <c r="BC1476" s="1150" t="n">
        <f aca="false">K1491</f>
        <v>2.5</v>
      </c>
      <c r="BD1476" s="1150" t="n">
        <f aca="false">L1491</f>
        <v>202.5</v>
      </c>
      <c r="BG1476" s="1150" t="str">
        <f aca="false">Q1476</f>
        <v>Крепеж для вертикальной обрешетки</v>
      </c>
      <c r="BH1476" s="1150" t="n">
        <f aca="false">R1476</f>
        <v>0</v>
      </c>
      <c r="BI1476" s="1152" t="str">
        <f aca="false">S1476</f>
        <v>шт.</v>
      </c>
      <c r="BJ1476" s="1150" t="n">
        <f aca="false">T1476</f>
        <v>0</v>
      </c>
      <c r="BK1476" s="1150" t="n">
        <f aca="false">U1476</f>
        <v>0</v>
      </c>
      <c r="BL1476" s="1150" t="n">
        <f aca="false">V1476</f>
        <v>0</v>
      </c>
    </row>
    <row r="1477" customFormat="false" ht="15.75" hidden="false" customHeight="true" outlineLevel="1" collapsed="false">
      <c r="A1477" s="1751" t="str">
        <f aca="false">'Ввод данных'!A1043</f>
        <v>нет</v>
      </c>
      <c r="B1477" s="1527" t="s">
        <v>133</v>
      </c>
      <c r="C1477" s="1527" t="n">
        <f aca="false">C1435*G1425*D1435</f>
        <v>0</v>
      </c>
      <c r="D1477" s="1527" t="n">
        <f aca="false">VLOOKUP(A1477,'Прайс лист'!B1027:G1078,6,0)</f>
        <v>0</v>
      </c>
      <c r="E1477" s="1290" t="n">
        <f aca="false">C1477*D1477</f>
        <v>0</v>
      </c>
      <c r="F1477" s="1230" t="s">
        <v>3712</v>
      </c>
      <c r="G1477" s="933" t="str">
        <f aca="false">'Прайс лист'!B1667</f>
        <v>монтаж osb/фанера пол</v>
      </c>
      <c r="H1477" s="933"/>
      <c r="I1477" s="1219"/>
      <c r="J1477" s="933"/>
      <c r="L1477" s="933" t="n">
        <f aca="false">C1459*D1437*I1425</f>
        <v>100</v>
      </c>
      <c r="M1477" s="933"/>
      <c r="N1477" s="933"/>
      <c r="O1477" s="933" t="n">
        <f aca="false">'Прайс лист'!G1667</f>
        <v>200</v>
      </c>
      <c r="P1477" s="1290" t="n">
        <f aca="false">L1477*O1477</f>
        <v>20000</v>
      </c>
      <c r="Q1477" s="1821" t="s">
        <v>2385</v>
      </c>
      <c r="R1477" s="1202" t="str">
        <f aca="false">'Ввод данных'!D1040</f>
        <v>нет</v>
      </c>
      <c r="S1477" s="1822" t="s">
        <v>133</v>
      </c>
      <c r="T1477" s="1202" t="n">
        <f aca="false">CEILING(C1453,1)</f>
        <v>0</v>
      </c>
      <c r="U1477" s="1202" t="n">
        <f aca="false">VLOOKUP(R1477,'Прайс лист'!B1027:G1078,6,0)</f>
        <v>0</v>
      </c>
      <c r="V1477" s="1202" t="n">
        <f aca="false">T1477*U1477</f>
        <v>0</v>
      </c>
      <c r="W1477" s="1230"/>
      <c r="X1477" s="1230"/>
      <c r="Y1477" s="1230"/>
      <c r="AC1477" s="933" t="str">
        <f aca="false">A1477</f>
        <v>нет</v>
      </c>
      <c r="AD1477" s="1219" t="str">
        <f aca="false">B1477</f>
        <v>м2</v>
      </c>
      <c r="AE1477" s="933" t="n">
        <f aca="false">C1477</f>
        <v>0</v>
      </c>
      <c r="AF1477" s="933" t="n">
        <f aca="false">D1477</f>
        <v>0</v>
      </c>
      <c r="AG1477" s="933" t="n">
        <f aca="false">E1477</f>
        <v>0</v>
      </c>
      <c r="AH1477" s="933" t="str">
        <f aca="false">F1477</f>
        <v>Отделка перегородок</v>
      </c>
      <c r="AI1477" s="933"/>
      <c r="AJ1477" s="933"/>
      <c r="AK1477" s="933"/>
      <c r="AL1477" s="933" t="str">
        <f aca="false">G1477</f>
        <v>монтаж osb/фанера пол</v>
      </c>
      <c r="AM1477" s="933" t="n">
        <f aca="false">L1477</f>
        <v>100</v>
      </c>
      <c r="AN1477" s="933" t="n">
        <f aca="false">O1477</f>
        <v>200</v>
      </c>
      <c r="AO1477" s="933" t="n">
        <f aca="false">P1477</f>
        <v>20000</v>
      </c>
      <c r="AQ1477" s="1150" t="str">
        <f aca="false">AC1477</f>
        <v>нет</v>
      </c>
      <c r="AR1477" s="1152" t="str">
        <f aca="false">AD1477</f>
        <v>м2</v>
      </c>
      <c r="AS1477" s="1150" t="n">
        <f aca="false">AE1477</f>
        <v>0</v>
      </c>
      <c r="AT1477" s="1150" t="n">
        <f aca="false">AF1477</f>
        <v>0</v>
      </c>
      <c r="AU1477" s="1150" t="n">
        <f aca="false">AG1477</f>
        <v>0</v>
      </c>
      <c r="AV1477" s="1150" t="str">
        <f aca="false">AH1477</f>
        <v>Отделка перегородок</v>
      </c>
      <c r="BG1477" s="1150" t="str">
        <f aca="false">Q1477</f>
        <v>Отделка стен наружних внутри здания</v>
      </c>
      <c r="BH1477" s="1150" t="str">
        <f aca="false">R1477</f>
        <v>нет</v>
      </c>
      <c r="BI1477" s="1152" t="str">
        <f aca="false">S1477</f>
        <v>м2</v>
      </c>
      <c r="BJ1477" s="1150" t="n">
        <f aca="false">T1477</f>
        <v>0</v>
      </c>
      <c r="BK1477" s="1150" t="n">
        <f aca="false">U1477</f>
        <v>0</v>
      </c>
      <c r="BL1477" s="1150" t="n">
        <f aca="false">V1477</f>
        <v>0</v>
      </c>
    </row>
    <row r="1478" customFormat="false" ht="15.75" hidden="false" customHeight="true" outlineLevel="1" collapsed="false">
      <c r="A1478" s="1290" t="str">
        <f aca="false">'Прайс лист'!B876</f>
        <v>Саморезы 3,5 x 25</v>
      </c>
      <c r="B1478" s="1527" t="s">
        <v>159</v>
      </c>
      <c r="C1478" s="1527" t="n">
        <f aca="false">(C1477+C1475+C1476)*10*G1425</f>
        <v>0</v>
      </c>
      <c r="D1478" s="1527" t="n">
        <f aca="false">'Прайс лист'!F876</f>
        <v>0.2</v>
      </c>
      <c r="E1478" s="1290" t="n">
        <f aca="false">C1478*D1478</f>
        <v>0</v>
      </c>
      <c r="F1478" s="1230" t="s">
        <v>3713</v>
      </c>
      <c r="G1478" s="932" t="s">
        <v>3669</v>
      </c>
      <c r="H1478" s="932"/>
      <c r="I1478" s="1219"/>
      <c r="J1478" s="933"/>
      <c r="L1478" s="933" t="n">
        <f aca="false">C1454*I1425*IF(A1473='Прайс лист'!B744,0,1)</f>
        <v>0</v>
      </c>
      <c r="M1478" s="933"/>
      <c r="N1478" s="933"/>
      <c r="O1478" s="933" t="n">
        <f aca="false">'Прайс лист'!G1671</f>
        <v>200</v>
      </c>
      <c r="P1478" s="1290" t="n">
        <f aca="false">L1478*O1478</f>
        <v>0</v>
      </c>
      <c r="Q1478" s="1202" t="s">
        <v>3714</v>
      </c>
      <c r="R1478" s="1202" t="str">
        <f aca="false">'Прайс лист'!B877</f>
        <v>Саморезы 3,5 x 45</v>
      </c>
      <c r="S1478" s="1814" t="s">
        <v>799</v>
      </c>
      <c r="T1478" s="1202" t="n">
        <f aca="false">CEILING(T1477*10*IF(дома!R1477='Прайс лист'!B1471,0,1),1)</f>
        <v>0</v>
      </c>
      <c r="U1478" s="1202" t="n">
        <f aca="false">'Прайс лист'!F877</f>
        <v>0.25</v>
      </c>
      <c r="V1478" s="1202" t="n">
        <f aca="false">T1478*U1478</f>
        <v>0</v>
      </c>
      <c r="W1478" s="1230"/>
      <c r="X1478" s="1230"/>
      <c r="Y1478" s="1230"/>
      <c r="AC1478" s="933" t="str">
        <f aca="false">A1478</f>
        <v>Саморезы 3,5 x 25</v>
      </c>
      <c r="AD1478" s="1219" t="str">
        <f aca="false">B1478</f>
        <v>шт</v>
      </c>
      <c r="AE1478" s="933" t="n">
        <f aca="false">C1478</f>
        <v>0</v>
      </c>
      <c r="AF1478" s="933" t="n">
        <f aca="false">D1478</f>
        <v>0.2</v>
      </c>
      <c r="AG1478" s="933" t="n">
        <f aca="false">E1478</f>
        <v>0</v>
      </c>
      <c r="AH1478" s="933" t="str">
        <f aca="false">F1478</f>
        <v>Крепеж для отделки потолок</v>
      </c>
      <c r="AI1478" s="933"/>
      <c r="AJ1478" s="933"/>
      <c r="AK1478" s="933"/>
      <c r="AL1478" s="933" t="str">
        <f aca="false">G1478</f>
        <v>утепление наружних стен</v>
      </c>
      <c r="AM1478" s="933" t="n">
        <f aca="false">L1478</f>
        <v>0</v>
      </c>
      <c r="AN1478" s="933" t="n">
        <f aca="false">O1478</f>
        <v>200</v>
      </c>
      <c r="AO1478" s="933" t="n">
        <f aca="false">P1478</f>
        <v>0</v>
      </c>
      <c r="AQ1478" s="1150" t="str">
        <f aca="false">AC1478</f>
        <v>Саморезы 3,5 x 25</v>
      </c>
      <c r="AR1478" s="1152" t="str">
        <f aca="false">AD1478</f>
        <v>шт</v>
      </c>
      <c r="AS1478" s="1150" t="n">
        <f aca="false">AE1478</f>
        <v>0</v>
      </c>
      <c r="AT1478" s="1150" t="n">
        <f aca="false">AF1478</f>
        <v>0.2</v>
      </c>
      <c r="AU1478" s="1150" t="n">
        <f aca="false">AG1478</f>
        <v>0</v>
      </c>
      <c r="AV1478" s="1150" t="str">
        <f aca="false">AH1478</f>
        <v>Крепеж для отделки потолок</v>
      </c>
      <c r="BG1478" s="1150" t="str">
        <f aca="false">Q1478</f>
        <v>Крепеж для внутренней отделки наружних стен</v>
      </c>
      <c r="BH1478" s="1150" t="str">
        <f aca="false">R1478</f>
        <v>Саморезы 3,5 x 45</v>
      </c>
      <c r="BI1478" s="1152" t="str">
        <f aca="false">S1478</f>
        <v>шт.</v>
      </c>
      <c r="BJ1478" s="1150" t="n">
        <f aca="false">T1478</f>
        <v>0</v>
      </c>
      <c r="BK1478" s="1150" t="n">
        <f aca="false">U1478</f>
        <v>0.25</v>
      </c>
      <c r="BL1478" s="1150" t="n">
        <f aca="false">V1478</f>
        <v>0</v>
      </c>
    </row>
    <row r="1479" customFormat="false" ht="15.75" hidden="false" customHeight="true" outlineLevel="1" collapsed="false">
      <c r="A1479" s="1751" t="str">
        <f aca="false">'Прайс лист'!B898</f>
        <v>Гвозди ершоные 2,8 х 90</v>
      </c>
      <c r="B1479" s="1527" t="s">
        <v>188</v>
      </c>
      <c r="C1479" s="1527" t="n">
        <f aca="false">(C1469+C1468+C1470)*2*G1425</f>
        <v>0</v>
      </c>
      <c r="D1479" s="1527" t="n">
        <f aca="false">'Прайс лист'!G898</f>
        <v>76.49</v>
      </c>
      <c r="E1479" s="1290" t="n">
        <f aca="false">C1479*D1479</f>
        <v>0</v>
      </c>
      <c r="F1479" s="1230"/>
      <c r="G1479" s="932" t="s">
        <v>2384</v>
      </c>
      <c r="H1479" s="932"/>
      <c r="I1479" s="1219"/>
      <c r="J1479" s="933"/>
      <c r="L1479" s="933" t="n">
        <f aca="false">C1457*I1425*IF(A1474='Прайс лист'!B744,0,1)</f>
        <v>0</v>
      </c>
      <c r="M1479" s="933"/>
      <c r="N1479" s="933"/>
      <c r="O1479" s="1290" t="n">
        <f aca="false">'Прайс лист'!G1672</f>
        <v>200</v>
      </c>
      <c r="P1479" s="1290" t="n">
        <f aca="false">L1479*O1479</f>
        <v>0</v>
      </c>
      <c r="Q1479" s="1202" t="s">
        <v>3715</v>
      </c>
      <c r="R1479" s="1202" t="str">
        <f aca="false">'Ввод данных'!D1051</f>
        <v>нет</v>
      </c>
      <c r="S1479" s="1808" t="s">
        <v>156</v>
      </c>
      <c r="T1479" s="1202" t="n">
        <f aca="false">CEILING(1/0.6*C1458*1.15,1)</f>
        <v>192</v>
      </c>
      <c r="U1479" s="1202" t="n">
        <f aca="false">VLOOKUP(R1479,связи1!I389:P413,4,0)</f>
        <v>0</v>
      </c>
      <c r="V1479" s="1202" t="n">
        <f aca="false">T1479*U1479</f>
        <v>0</v>
      </c>
      <c r="W1479" s="1230"/>
      <c r="X1479" s="1230"/>
      <c r="Y1479" s="1230"/>
      <c r="AC1479" s="933" t="str">
        <f aca="false">A1479</f>
        <v>Гвозди ершоные 2,8 х 90</v>
      </c>
      <c r="AD1479" s="1219" t="str">
        <f aca="false">B1479</f>
        <v>кг</v>
      </c>
      <c r="AE1479" s="933" t="n">
        <f aca="false">C1479</f>
        <v>0</v>
      </c>
      <c r="AF1479" s="933" t="n">
        <f aca="false">D1479</f>
        <v>76.49</v>
      </c>
      <c r="AG1479" s="933" t="n">
        <f aca="false">E1479</f>
        <v>0</v>
      </c>
      <c r="AH1479" s="933"/>
      <c r="AI1479" s="933"/>
      <c r="AJ1479" s="933"/>
      <c r="AK1479" s="933"/>
      <c r="AL1479" s="933" t="str">
        <f aca="false">G1479</f>
        <v>Утепление перегородок</v>
      </c>
      <c r="AM1479" s="933" t="n">
        <f aca="false">L1479</f>
        <v>0</v>
      </c>
      <c r="AN1479" s="933" t="n">
        <f aca="false">O1479</f>
        <v>200</v>
      </c>
      <c r="AO1479" s="933" t="n">
        <f aca="false">P1479</f>
        <v>0</v>
      </c>
      <c r="AQ1479" s="1150" t="str">
        <f aca="false">AC1479</f>
        <v>Гвозди ершоные 2,8 х 90</v>
      </c>
      <c r="AR1479" s="1152" t="str">
        <f aca="false">AD1479</f>
        <v>кг</v>
      </c>
      <c r="AS1479" s="1150" t="n">
        <f aca="false">AE1479</f>
        <v>0</v>
      </c>
      <c r="AT1479" s="1150" t="n">
        <f aca="false">AF1479</f>
        <v>76.49</v>
      </c>
      <c r="AU1479" s="1150" t="n">
        <f aca="false">AG1479</f>
        <v>0</v>
      </c>
      <c r="BG1479" s="1150" t="str">
        <f aca="false">Q1479</f>
        <v>Обрешетка потолка</v>
      </c>
      <c r="BH1479" s="1150" t="str">
        <f aca="false">R1479</f>
        <v>нет</v>
      </c>
      <c r="BI1479" s="1152" t="str">
        <f aca="false">S1479</f>
        <v>м.п.</v>
      </c>
      <c r="BJ1479" s="1150" t="n">
        <f aca="false">T1479</f>
        <v>192</v>
      </c>
      <c r="BK1479" s="1150" t="n">
        <f aca="false">U1479</f>
        <v>0</v>
      </c>
      <c r="BL1479" s="1150" t="n">
        <f aca="false">V1479</f>
        <v>0</v>
      </c>
    </row>
    <row r="1480" customFormat="false" ht="15.75" hidden="false" customHeight="true" outlineLevel="1" collapsed="false">
      <c r="A1480" s="1751" t="str">
        <f aca="false">'Прайс лист'!B897</f>
        <v>Гвозди ершоные 3,4 x 60</v>
      </c>
      <c r="B1480" s="1527" t="s">
        <v>188</v>
      </c>
      <c r="C1480" s="1527" t="n">
        <f aca="false">(C1472)/150</f>
        <v>0</v>
      </c>
      <c r="D1480" s="1527" t="n">
        <f aca="false">'Прайс лист'!G897</f>
        <v>75.51</v>
      </c>
      <c r="E1480" s="1290" t="n">
        <f aca="false">C1480*D1480</f>
        <v>0</v>
      </c>
      <c r="F1480" s="1230"/>
      <c r="G1480" s="1799"/>
      <c r="H1480" s="1800"/>
      <c r="I1480" s="1801" t="s">
        <v>120</v>
      </c>
      <c r="J1480" s="1802" t="s">
        <v>1802</v>
      </c>
      <c r="K1480" s="1802" t="s">
        <v>3695</v>
      </c>
      <c r="L1480" s="1803" t="s">
        <v>3696</v>
      </c>
      <c r="M1480" s="1524"/>
      <c r="N1480" s="1524"/>
      <c r="O1480" s="1524"/>
      <c r="P1480" s="1524"/>
      <c r="Q1480" s="1202" t="s">
        <v>3716</v>
      </c>
      <c r="R1480" s="1202" t="str">
        <f aca="false">'Ввод данных'!D1053</f>
        <v>нет</v>
      </c>
      <c r="S1480" s="1808" t="s">
        <v>156</v>
      </c>
      <c r="T1480" s="1202" t="n">
        <f aca="false">T1479</f>
        <v>192</v>
      </c>
      <c r="U1480" s="1202" t="n">
        <f aca="false">VLOOKUP(R1480,'Прайс лист'!B536:G552,6,0)</f>
        <v>0</v>
      </c>
      <c r="V1480" s="1202" t="n">
        <f aca="false">T1480*U1480</f>
        <v>0</v>
      </c>
      <c r="W1480" s="1230"/>
      <c r="X1480" s="1230"/>
      <c r="Y1480" s="1230"/>
      <c r="AC1480" s="933" t="str">
        <f aca="false">A1480</f>
        <v>Гвозди ершоные 3,4 x 60</v>
      </c>
      <c r="AD1480" s="1219" t="str">
        <f aca="false">B1480</f>
        <v>кг</v>
      </c>
      <c r="AE1480" s="933" t="n">
        <f aca="false">C1480</f>
        <v>0</v>
      </c>
      <c r="AF1480" s="933" t="n">
        <f aca="false">D1480</f>
        <v>75.51</v>
      </c>
      <c r="AG1480" s="933" t="n">
        <f aca="false">E1480</f>
        <v>0</v>
      </c>
      <c r="AH1480" s="933"/>
      <c r="AI1480" s="933"/>
      <c r="AJ1480" s="933"/>
      <c r="AK1480" s="933"/>
      <c r="AL1480" s="933" t="str">
        <f aca="false">A1484</f>
        <v>Командировочные расходы</v>
      </c>
      <c r="AM1480" s="933" t="n">
        <f aca="false">C1484</f>
        <v>1</v>
      </c>
      <c r="AN1480" s="933" t="n">
        <f aca="false">D1484</f>
        <v>0</v>
      </c>
      <c r="AO1480" s="933" t="n">
        <f aca="false">E1484</f>
        <v>0</v>
      </c>
      <c r="AQ1480" s="1150" t="str">
        <f aca="false">AC1480</f>
        <v>Гвозди ершоные 3,4 x 60</v>
      </c>
      <c r="AR1480" s="1152" t="str">
        <f aca="false">AD1480</f>
        <v>кг</v>
      </c>
      <c r="AS1480" s="1150" t="n">
        <f aca="false">AE1480</f>
        <v>0</v>
      </c>
      <c r="AT1480" s="1150" t="n">
        <f aca="false">AF1480</f>
        <v>75.51</v>
      </c>
      <c r="AU1480" s="1150" t="n">
        <f aca="false">AG1480</f>
        <v>0</v>
      </c>
      <c r="BG1480" s="1150" t="str">
        <f aca="false">Q1480</f>
        <v>Профлист потолок</v>
      </c>
      <c r="BH1480" s="1150" t="str">
        <f aca="false">R1480</f>
        <v>нет</v>
      </c>
      <c r="BI1480" s="1152" t="str">
        <f aca="false">S1480</f>
        <v>м.п.</v>
      </c>
      <c r="BJ1480" s="1150" t="n">
        <f aca="false">T1480</f>
        <v>192</v>
      </c>
      <c r="BK1480" s="1150" t="n">
        <f aca="false">U1480</f>
        <v>0</v>
      </c>
      <c r="BL1480" s="1150" t="n">
        <f aca="false">V1480</f>
        <v>0</v>
      </c>
    </row>
    <row r="1481" customFormat="false" ht="15.75" hidden="false" customHeight="true" outlineLevel="1" collapsed="false">
      <c r="A1481" s="1751" t="str">
        <f aca="false">'Ввод данных'!A1053</f>
        <v>нет ветроизоляции</v>
      </c>
      <c r="B1481" s="1527" t="s">
        <v>133</v>
      </c>
      <c r="C1481" s="1527" t="n">
        <f aca="false">C1453*1.1*G1425*D1440</f>
        <v>0</v>
      </c>
      <c r="D1481" s="1527" t="n">
        <f aca="false">VLOOKUP(A1481,'Прайс лист'!B793:G819,6,0)</f>
        <v>0</v>
      </c>
      <c r="E1481" s="1290" t="n">
        <f aca="false">C1481*D1481</f>
        <v>0</v>
      </c>
      <c r="F1481" s="1230" t="s">
        <v>3717</v>
      </c>
      <c r="G1481" s="933" t="s">
        <v>3718</v>
      </c>
      <c r="H1481" s="1823" t="str">
        <f aca="false">VLOOKUP(A1468,связи1!I458:P488,8,0)</f>
        <v>ГПН 152х35-1,2</v>
      </c>
      <c r="I1481" s="1768" t="s">
        <v>3719</v>
      </c>
      <c r="J1481" s="1150" t="n">
        <f aca="false">CEILING(D1447,1)</f>
        <v>0</v>
      </c>
      <c r="K1481" s="1150" t="n">
        <f aca="false">VLOOKUP(A1468,связи1!I458:Q488,9,0)</f>
        <v>163</v>
      </c>
      <c r="L1481" s="1524" t="n">
        <f aca="false">J1481*K1481</f>
        <v>0</v>
      </c>
      <c r="M1481" s="1524"/>
      <c r="N1481" s="1524"/>
      <c r="O1481" s="1524"/>
      <c r="P1481" s="1524"/>
      <c r="Q1481" s="1202" t="s">
        <v>3720</v>
      </c>
      <c r="R1481" s="1202" t="n">
        <f aca="false">VLOOKUP(R1479,связи1!I389:P413,7,0)</f>
        <v>0</v>
      </c>
      <c r="S1481" s="1814" t="s">
        <v>799</v>
      </c>
      <c r="T1481" s="1202" t="n">
        <f aca="false">T1479/0.5</f>
        <v>384</v>
      </c>
      <c r="U1481" s="1202" t="n">
        <f aca="false">VLOOKUP(R1479,связи1!I389:P413,8,0)</f>
        <v>0</v>
      </c>
      <c r="V1481" s="1202" t="n">
        <f aca="false">T1481*U1481</f>
        <v>0</v>
      </c>
      <c r="W1481" s="1230"/>
      <c r="X1481" s="1230"/>
      <c r="Y1481" s="1230"/>
      <c r="AC1481" s="933" t="str">
        <f aca="false">A1481</f>
        <v>нет ветроизоляции</v>
      </c>
      <c r="AD1481" s="1219" t="str">
        <f aca="false">B1481</f>
        <v>м2</v>
      </c>
      <c r="AE1481" s="933" t="n">
        <f aca="false">C1481</f>
        <v>0</v>
      </c>
      <c r="AF1481" s="933" t="n">
        <f aca="false">D1481</f>
        <v>0</v>
      </c>
      <c r="AG1481" s="933" t="n">
        <f aca="false">E1481</f>
        <v>0</v>
      </c>
      <c r="AH1481" s="933" t="str">
        <f aca="false">F1481</f>
        <v>Ветроизоляция</v>
      </c>
      <c r="AI1481" s="933"/>
      <c r="AJ1481" s="933"/>
      <c r="AK1481" s="933"/>
      <c r="AL1481" s="933" t="str">
        <f aca="false">A1485</f>
        <v>расходные материалы каркасный дом</v>
      </c>
      <c r="AM1481" s="933" t="n">
        <f aca="false">C1485</f>
        <v>1</v>
      </c>
      <c r="AN1481" s="933" t="n">
        <f aca="false">D1485</f>
        <v>12000</v>
      </c>
      <c r="AO1481" s="933" t="n">
        <f aca="false">E1485</f>
        <v>12000</v>
      </c>
      <c r="AQ1481" s="1150" t="str">
        <f aca="false">AC1481</f>
        <v>нет ветроизоляции</v>
      </c>
      <c r="AR1481" s="1152" t="str">
        <f aca="false">AD1481</f>
        <v>м2</v>
      </c>
      <c r="AS1481" s="1150" t="n">
        <f aca="false">AE1481</f>
        <v>0</v>
      </c>
      <c r="AT1481" s="1150" t="n">
        <f aca="false">AF1481</f>
        <v>0</v>
      </c>
      <c r="AU1481" s="1150" t="n">
        <f aca="false">AG1481</f>
        <v>0</v>
      </c>
      <c r="AV1481" s="1150" t="str">
        <f aca="false">AH1481</f>
        <v>Ветроизоляция</v>
      </c>
      <c r="BG1481" s="1150" t="str">
        <f aca="false">Q1481</f>
        <v>Крепеж для обрешетки потолок</v>
      </c>
      <c r="BH1481" s="1150" t="n">
        <f aca="false">R1481</f>
        <v>0</v>
      </c>
      <c r="BI1481" s="1152" t="str">
        <f aca="false">S1481</f>
        <v>шт.</v>
      </c>
      <c r="BJ1481" s="1150" t="n">
        <f aca="false">T1481</f>
        <v>384</v>
      </c>
      <c r="BK1481" s="1150" t="n">
        <f aca="false">U1481</f>
        <v>0</v>
      </c>
      <c r="BL1481" s="1150" t="n">
        <f aca="false">V1481</f>
        <v>0</v>
      </c>
    </row>
    <row r="1482" customFormat="false" ht="15.75" hidden="false" customHeight="true" outlineLevel="1" collapsed="false">
      <c r="A1482" s="1751" t="str">
        <f aca="false">'Ввод данных'!A1055</f>
        <v>нет пароизоляции</v>
      </c>
      <c r="B1482" s="1527" t="s">
        <v>133</v>
      </c>
      <c r="C1482" s="1527" t="n">
        <f aca="false">C1481*D1441*G1425</f>
        <v>0</v>
      </c>
      <c r="D1482" s="1527" t="n">
        <f aca="false">VLOOKUP(A1482,'Прайс лист'!B820:G831,6,0)</f>
        <v>0</v>
      </c>
      <c r="E1482" s="1290" t="n">
        <f aca="false">C1482*D1482</f>
        <v>0</v>
      </c>
      <c r="F1482" s="1230" t="s">
        <v>3721</v>
      </c>
      <c r="G1482" s="933" t="s">
        <v>3722</v>
      </c>
      <c r="H1482" s="1694" t="str">
        <f aca="false">VLOOKUP(A1468,связи1!I458:X488,15,0)</f>
        <v>Болты анкерные с гайкой 12,0 x 100</v>
      </c>
      <c r="I1482" s="1765" t="s">
        <v>799</v>
      </c>
      <c r="J1482" s="1150" t="n">
        <f aca="false">CEILING(J1481/7,1)</f>
        <v>0</v>
      </c>
      <c r="K1482" s="1290" t="n">
        <f aca="false">VLOOKUP(A1468,связи1!I458:X488,16,0)</f>
        <v>11.2</v>
      </c>
      <c r="L1482" s="1290" t="n">
        <f aca="false">J1482*K1482</f>
        <v>0</v>
      </c>
      <c r="M1482" s="1290"/>
      <c r="N1482" s="1290"/>
      <c r="O1482" s="1290"/>
      <c r="P1482" s="1290"/>
      <c r="Q1482" s="1202" t="s">
        <v>3723</v>
      </c>
      <c r="R1482" s="1202" t="str">
        <f aca="false">'Прайс лист'!B1138</f>
        <v>Кровельный саморез</v>
      </c>
      <c r="S1482" s="1814" t="s">
        <v>799</v>
      </c>
      <c r="T1482" s="1202" t="n">
        <f aca="false">T1480*9*IF(R1480='Прайс лист'!B536,0,1)</f>
        <v>0</v>
      </c>
      <c r="U1482" s="1202" t="n">
        <f aca="false">'Прайс лист'!G1138</f>
        <v>2</v>
      </c>
      <c r="V1482" s="1202" t="n">
        <f aca="false">T1482*U1482</f>
        <v>0</v>
      </c>
      <c r="W1482" s="1230"/>
      <c r="X1482" s="1230"/>
      <c r="Y1482" s="1230"/>
      <c r="AC1482" s="933" t="str">
        <f aca="false">A1482</f>
        <v>нет пароизоляции</v>
      </c>
      <c r="AD1482" s="1219" t="str">
        <f aca="false">B1482</f>
        <v>м2</v>
      </c>
      <c r="AE1482" s="933" t="n">
        <f aca="false">C1482</f>
        <v>0</v>
      </c>
      <c r="AF1482" s="933" t="n">
        <f aca="false">D1482</f>
        <v>0</v>
      </c>
      <c r="AG1482" s="933" t="n">
        <f aca="false">E1482</f>
        <v>0</v>
      </c>
      <c r="AH1482" s="933" t="str">
        <f aca="false">F1482</f>
        <v>Пароизоляция</v>
      </c>
      <c r="AI1482" s="933"/>
      <c r="AJ1482" s="933"/>
      <c r="AK1482" s="933"/>
      <c r="AL1482" s="933" t="str">
        <f aca="false">A1486</f>
        <v>Нет техники</v>
      </c>
      <c r="AM1482" s="933" t="n">
        <f aca="false">C1486</f>
        <v>2</v>
      </c>
      <c r="AN1482" s="933" t="n">
        <f aca="false">D1486</f>
        <v>0</v>
      </c>
      <c r="AO1482" s="933" t="n">
        <f aca="false">E1486</f>
        <v>0</v>
      </c>
      <c r="AQ1482" s="1150" t="str">
        <f aca="false">AC1482</f>
        <v>нет пароизоляции</v>
      </c>
      <c r="AR1482" s="1152" t="str">
        <f aca="false">AD1482</f>
        <v>м2</v>
      </c>
      <c r="AS1482" s="1150" t="n">
        <f aca="false">AE1482</f>
        <v>0</v>
      </c>
      <c r="AT1482" s="1150" t="n">
        <f aca="false">AF1482</f>
        <v>0</v>
      </c>
      <c r="AU1482" s="1150" t="n">
        <f aca="false">AG1482</f>
        <v>0</v>
      </c>
      <c r="AV1482" s="1150" t="str">
        <f aca="false">AH1482</f>
        <v>Пароизоляция</v>
      </c>
      <c r="BG1482" s="1150" t="str">
        <f aca="false">Q1482</f>
        <v>Крепеж для профлиста</v>
      </c>
      <c r="BH1482" s="1150" t="str">
        <f aca="false">R1482</f>
        <v>Кровельный саморез</v>
      </c>
      <c r="BI1482" s="1152" t="str">
        <f aca="false">S1482</f>
        <v>шт.</v>
      </c>
      <c r="BJ1482" s="1150" t="n">
        <f aca="false">T1482</f>
        <v>0</v>
      </c>
      <c r="BK1482" s="1150" t="n">
        <f aca="false">U1482</f>
        <v>2</v>
      </c>
      <c r="BL1482" s="1150" t="n">
        <f aca="false">V1482</f>
        <v>0</v>
      </c>
    </row>
    <row r="1483" customFormat="false" ht="15.75" hidden="false" customHeight="true" outlineLevel="1" collapsed="false">
      <c r="A1483" s="1751" t="str">
        <f aca="false">'Прайс лист'!B832</f>
        <v>Скобы для степлера, 1000шт/уп</v>
      </c>
      <c r="B1483" s="1527" t="s">
        <v>3724</v>
      </c>
      <c r="C1483" s="1527" t="n">
        <f aca="false">5*G1425</f>
        <v>5</v>
      </c>
      <c r="D1483" s="1527" t="n">
        <f aca="false">'Прайс лист'!G832</f>
        <v>100</v>
      </c>
      <c r="E1483" s="1290" t="n">
        <f aca="false">C1483*D1483</f>
        <v>500</v>
      </c>
      <c r="F1483" s="1230"/>
      <c r="G1483" s="933" t="s">
        <v>3725</v>
      </c>
      <c r="H1483" s="1694" t="str">
        <f aca="false">VLOOKUP(A1468,связи1!I458:X488,13,0)</f>
        <v>Саморез 5,5 х 25</v>
      </c>
      <c r="I1483" s="1765" t="s">
        <v>799</v>
      </c>
      <c r="J1483" s="1150" t="n">
        <f aca="false">(SUM(F143:F147)+SUM(F183:F213)+SUM(F217:F247)+SUM(F251:F254)+SUM(F261:F305)+SUM(F309:F354)+F360+F424+F425+F426+SUM(F430:F463)+SUM(F466:F468)+SUM(F472:F505)+F508+F509+F510+SUM(F514:F547)+F550+F551+F552+SUM(F556:F589)+F591+F594+SUM(F637:F641)+SUM(F652:F682)+SUM(F686:F720)+SUM(F727:F771)+SUM(F775:F819)+F886+F887+F888+SUM(F892:F925)+F928+F929+F930+SUM(F934:F967)+F970+F971+F972+SUM(F976:F1009)+F1012+F1013+F1014+SUM(F1018:F1051))*6</f>
        <v>1644</v>
      </c>
      <c r="K1483" s="1290" t="n">
        <f aca="false">VLOOKUP(A1468,связи1!I458:X488,14,0)</f>
        <v>2.5</v>
      </c>
      <c r="L1483" s="1290" t="n">
        <f aca="false">J1483*K1483</f>
        <v>4110</v>
      </c>
      <c r="M1483" s="1290"/>
      <c r="N1483" s="1290"/>
      <c r="O1483" s="1290"/>
      <c r="P1483" s="1290"/>
      <c r="Q1483" s="1815" t="s">
        <v>3726</v>
      </c>
      <c r="R1483" s="1202" t="str">
        <f aca="false">'Ввод данных'!E1058</f>
        <v>нет</v>
      </c>
      <c r="S1483" s="1808" t="s">
        <v>156</v>
      </c>
      <c r="T1483" s="1202" t="n">
        <f aca="false">CEILING(1/0.6*C1459*1.15,1)</f>
        <v>192</v>
      </c>
      <c r="U1483" s="1202" t="n">
        <f aca="false">VLOOKUP(R1483,связи1!I389:P413,4,0)</f>
        <v>0</v>
      </c>
      <c r="V1483" s="1202" t="n">
        <f aca="false">T1483*U1483</f>
        <v>0</v>
      </c>
      <c r="W1483" s="1230"/>
      <c r="X1483" s="1230"/>
      <c r="Y1483" s="1230"/>
      <c r="AC1483" s="933" t="str">
        <f aca="false">A1483</f>
        <v>Скобы для степлера, 1000шт/уп</v>
      </c>
      <c r="AD1483" s="1219" t="str">
        <f aca="false">B1483</f>
        <v>уп</v>
      </c>
      <c r="AE1483" s="933" t="n">
        <f aca="false">C1483</f>
        <v>5</v>
      </c>
      <c r="AF1483" s="933" t="n">
        <f aca="false">D1483</f>
        <v>100</v>
      </c>
      <c r="AG1483" s="933" t="n">
        <f aca="false">E1483</f>
        <v>500</v>
      </c>
      <c r="AH1483" s="933"/>
      <c r="AI1483" s="933"/>
      <c r="AJ1483" s="933"/>
      <c r="AK1483" s="933"/>
      <c r="AL1483" s="933"/>
      <c r="AM1483" s="933"/>
      <c r="AN1483" s="933"/>
      <c r="AO1483" s="933"/>
      <c r="AQ1483" s="1150" t="str">
        <f aca="false">AC1483</f>
        <v>Скобы для степлера, 1000шт/уп</v>
      </c>
      <c r="AR1483" s="1152" t="str">
        <f aca="false">AD1483</f>
        <v>уп</v>
      </c>
      <c r="AS1483" s="1150" t="n">
        <f aca="false">AE1483</f>
        <v>5</v>
      </c>
      <c r="AT1483" s="1150" t="n">
        <f aca="false">AF1483</f>
        <v>100</v>
      </c>
      <c r="AU1483" s="1150" t="n">
        <f aca="false">AG1483</f>
        <v>500</v>
      </c>
      <c r="BG1483" s="1150" t="str">
        <f aca="false">Q1483</f>
        <v>Обрешетка для пола</v>
      </c>
      <c r="BH1483" s="1150" t="str">
        <f aca="false">R1483</f>
        <v>нет</v>
      </c>
      <c r="BI1483" s="1152" t="str">
        <f aca="false">S1483</f>
        <v>м.п.</v>
      </c>
      <c r="BJ1483" s="1150" t="n">
        <f aca="false">T1483</f>
        <v>192</v>
      </c>
      <c r="BK1483" s="1150" t="n">
        <f aca="false">U1483</f>
        <v>0</v>
      </c>
      <c r="BL1483" s="1150" t="n">
        <f aca="false">V1483</f>
        <v>0</v>
      </c>
    </row>
    <row r="1484" customFormat="false" ht="15.75" hidden="false" customHeight="true" outlineLevel="1" collapsed="false">
      <c r="A1484" s="1751" t="str">
        <f aca="false">'Ввод данных'!A1062</f>
        <v>Командировочные расходы</v>
      </c>
      <c r="B1484" s="1527" t="s">
        <v>1796</v>
      </c>
      <c r="C1484" s="1527" t="n">
        <f aca="false">1</f>
        <v>1</v>
      </c>
      <c r="D1484" s="1527" t="n">
        <f aca="false">'Ввод данных'!C1063*'Ввод данных'!C1064*'Ввод данных'!C1065*VLOOKUP('Ввод данных'!C1062,связи1!A2:B3,2,0)</f>
        <v>0</v>
      </c>
      <c r="E1484" s="1290" t="n">
        <f aca="false">C1484*D1484</f>
        <v>0</v>
      </c>
      <c r="F1484" s="1230"/>
      <c r="G1484" s="933" t="s">
        <v>3727</v>
      </c>
      <c r="H1484" s="1694" t="str">
        <f aca="false">VLOOKUP(A1469,связи1!I458:P488,8,0)</f>
        <v>ГПН 122х35-1,5</v>
      </c>
      <c r="I1484" s="1765" t="s">
        <v>3719</v>
      </c>
      <c r="J1484" s="1150" t="n">
        <f aca="false">C1448</f>
        <v>0</v>
      </c>
      <c r="K1484" s="1290" t="n">
        <f aca="false">VLOOKUP(A1469,связи1!I458:Q488,9,0)</f>
        <v>163</v>
      </c>
      <c r="L1484" s="1290" t="n">
        <f aca="false">J1484*K1484</f>
        <v>0</v>
      </c>
      <c r="M1484" s="1290"/>
      <c r="N1484" s="1290"/>
      <c r="O1484" s="1290"/>
      <c r="P1484" s="1290"/>
      <c r="Q1484" s="1202" t="s">
        <v>3728</v>
      </c>
      <c r="R1484" s="1202" t="str">
        <f aca="false">'Ввод данных'!E1060</f>
        <v>нет</v>
      </c>
      <c r="S1484" s="1808" t="s">
        <v>156</v>
      </c>
      <c r="T1484" s="1202" t="n">
        <f aca="false">CEILING(C1459*1.1,1)</f>
        <v>110</v>
      </c>
      <c r="U1484" s="1202" t="n">
        <f aca="false">VLOOKUP(R1484,'Прайс лист'!B536:G552,6,0)</f>
        <v>0</v>
      </c>
      <c r="V1484" s="1202" t="n">
        <f aca="false">T1484*U1484</f>
        <v>0</v>
      </c>
      <c r="W1484" s="1230"/>
      <c r="X1484" s="1230"/>
      <c r="Y1484" s="1230"/>
      <c r="AC1484" s="933"/>
      <c r="AD1484" s="1219"/>
      <c r="AE1484" s="933"/>
      <c r="AF1484" s="933"/>
      <c r="AG1484" s="933"/>
      <c r="AH1484" s="933"/>
      <c r="AI1484" s="933"/>
      <c r="AJ1484" s="933"/>
      <c r="AK1484" s="933"/>
      <c r="AL1484" s="933"/>
      <c r="AM1484" s="933"/>
      <c r="AN1484" s="933"/>
      <c r="AO1484" s="933"/>
      <c r="AQ1484" s="1150" t="str">
        <f aca="false">AL1480</f>
        <v>Командировочные расходы</v>
      </c>
      <c r="AR1484" s="1152"/>
      <c r="AS1484" s="1150" t="n">
        <f aca="false">AM1480</f>
        <v>1</v>
      </c>
      <c r="AT1484" s="1150" t="n">
        <f aca="false">AN1480</f>
        <v>0</v>
      </c>
      <c r="AU1484" s="1150" t="n">
        <f aca="false">AO1480</f>
        <v>0</v>
      </c>
      <c r="BG1484" s="1150" t="str">
        <f aca="false">Q1484</f>
        <v>Профлист для чернового пола</v>
      </c>
      <c r="BH1484" s="1150" t="str">
        <f aca="false">R1484</f>
        <v>нет</v>
      </c>
      <c r="BI1484" s="1152" t="str">
        <f aca="false">S1484</f>
        <v>м.п.</v>
      </c>
      <c r="BJ1484" s="1150" t="n">
        <f aca="false">T1484</f>
        <v>110</v>
      </c>
      <c r="BK1484" s="1150" t="n">
        <f aca="false">U1484</f>
        <v>0</v>
      </c>
      <c r="BL1484" s="1150" t="n">
        <f aca="false">V1484</f>
        <v>0</v>
      </c>
    </row>
    <row r="1485" customFormat="false" ht="15.75" hidden="false" customHeight="true" outlineLevel="1" collapsed="false">
      <c r="A1485" s="1751" t="str">
        <f aca="false">'Ввод данных'!A1060</f>
        <v>расходные материалы каркасный дом</v>
      </c>
      <c r="B1485" s="1527" t="s">
        <v>159</v>
      </c>
      <c r="C1485" s="1527" t="n">
        <f aca="false">1</f>
        <v>1</v>
      </c>
      <c r="D1485" s="1527" t="n">
        <f aca="false">'Ввод данных'!C1060</f>
        <v>12000</v>
      </c>
      <c r="E1485" s="1290" t="n">
        <f aca="false">C1485*D1485</f>
        <v>12000</v>
      </c>
      <c r="F1485" s="1230"/>
      <c r="G1485" s="933" t="s">
        <v>3722</v>
      </c>
      <c r="H1485" s="1694" t="str">
        <f aca="false">VLOOKUP(A1469,связи1!I458:X488,15,0)</f>
        <v>Болты анкерные с гайкой 12,0 x 100</v>
      </c>
      <c r="I1485" s="1765" t="s">
        <v>799</v>
      </c>
      <c r="J1485" s="1150" t="n">
        <f aca="false">CEILING(J1484/6,1)</f>
        <v>0</v>
      </c>
      <c r="K1485" s="1290" t="n">
        <f aca="false">VLOOKUP(A1469,связи1!I458:X488,16,0)</f>
        <v>11.2</v>
      </c>
      <c r="L1485" s="1290" t="n">
        <f aca="false">J1485*K1485</f>
        <v>0</v>
      </c>
      <c r="M1485" s="1290"/>
      <c r="N1485" s="1290"/>
      <c r="O1485" s="1290"/>
      <c r="P1485" s="1290"/>
      <c r="Q1485" s="1202" t="s">
        <v>3729</v>
      </c>
      <c r="R1485" s="1202" t="n">
        <f aca="false">VLOOKUP(R1483,связи1!I389:P413,7,0)</f>
        <v>0</v>
      </c>
      <c r="S1485" s="1814" t="s">
        <v>799</v>
      </c>
      <c r="T1485" s="1202" t="n">
        <f aca="false">T1483/0.5</f>
        <v>384</v>
      </c>
      <c r="U1485" s="1202" t="n">
        <f aca="false">VLOOKUP(R1483,связи1!I389:P413,8,0)</f>
        <v>0</v>
      </c>
      <c r="V1485" s="1202" t="n">
        <f aca="false">T1485*U1485</f>
        <v>0</v>
      </c>
      <c r="W1485" s="1230"/>
      <c r="X1485" s="1230"/>
      <c r="Y1485" s="1230"/>
      <c r="AC1485" s="933"/>
      <c r="AD1485" s="1219"/>
      <c r="AE1485" s="933"/>
      <c r="AF1485" s="933"/>
      <c r="AG1485" s="933"/>
      <c r="AH1485" s="933"/>
      <c r="AI1485" s="933"/>
      <c r="AJ1485" s="933"/>
      <c r="AK1485" s="933"/>
      <c r="AL1485" s="933"/>
      <c r="AM1485" s="933"/>
      <c r="AN1485" s="933"/>
      <c r="AO1485" s="933"/>
      <c r="AQ1485" s="1150" t="str">
        <f aca="false">AL1481</f>
        <v>расходные материалы каркасный дом</v>
      </c>
      <c r="AR1485" s="1152"/>
      <c r="AS1485" s="1150" t="n">
        <f aca="false">AM1481</f>
        <v>1</v>
      </c>
      <c r="AT1485" s="1150" t="n">
        <f aca="false">AN1481</f>
        <v>12000</v>
      </c>
      <c r="AU1485" s="1150" t="n">
        <f aca="false">AO1481</f>
        <v>12000</v>
      </c>
      <c r="BG1485" s="1150" t="str">
        <f aca="false">Q1485</f>
        <v>Крепеж для обрешетки пол</v>
      </c>
      <c r="BH1485" s="1150" t="n">
        <f aca="false">R1485</f>
        <v>0</v>
      </c>
      <c r="BI1485" s="1152" t="str">
        <f aca="false">S1485</f>
        <v>шт.</v>
      </c>
      <c r="BJ1485" s="1150" t="n">
        <f aca="false">T1485</f>
        <v>384</v>
      </c>
      <c r="BK1485" s="1150" t="n">
        <f aca="false">U1485</f>
        <v>0</v>
      </c>
      <c r="BL1485" s="1150" t="n">
        <f aca="false">V1485</f>
        <v>0</v>
      </c>
    </row>
    <row r="1486" customFormat="false" ht="15.75" hidden="false" customHeight="true" outlineLevel="1" collapsed="false">
      <c r="A1486" s="1751" t="str">
        <f aca="false">'Ввод данных'!A1057</f>
        <v>Нет техники</v>
      </c>
      <c r="B1486" s="1527" t="s">
        <v>159</v>
      </c>
      <c r="C1486" s="1527" t="n">
        <f aca="false">C1442</f>
        <v>2</v>
      </c>
      <c r="D1486" s="1527" t="n">
        <f aca="false">VLOOKUP(A1486,'Прайс лист'!B180:G194,6,0)</f>
        <v>0</v>
      </c>
      <c r="E1486" s="1290" t="n">
        <f aca="false">C1486*D1486</f>
        <v>0</v>
      </c>
      <c r="F1486" s="1230"/>
      <c r="G1486" s="933" t="s">
        <v>3725</v>
      </c>
      <c r="H1486" s="1694" t="str">
        <f aca="false">VLOOKUP(A1469,связи1!I458:X488,13,0)</f>
        <v>Саморез 5,5 х 25</v>
      </c>
      <c r="I1486" s="1765" t="s">
        <v>799</v>
      </c>
      <c r="J1486" s="1150" t="n">
        <f aca="false">(F151+F366+F371+F647+F826+F831)*6</f>
        <v>12</v>
      </c>
      <c r="K1486" s="1290" t="n">
        <f aca="false">VLOOKUP(A1469,связи1!I458:X488,14,0)</f>
        <v>2.5</v>
      </c>
      <c r="L1486" s="1290" t="n">
        <f aca="false">J1486*K1486</f>
        <v>30</v>
      </c>
      <c r="M1486" s="1290"/>
      <c r="N1486" s="1290"/>
      <c r="O1486" s="1290"/>
      <c r="P1486" s="1290"/>
      <c r="Q1486" s="1202" t="s">
        <v>3730</v>
      </c>
      <c r="R1486" s="1202" t="str">
        <f aca="false">R1482</f>
        <v>Кровельный саморез</v>
      </c>
      <c r="S1486" s="1814" t="s">
        <v>799</v>
      </c>
      <c r="T1486" s="1202" t="n">
        <f aca="false">T1484*9*IF(R1484='Прайс лист'!B536,0,1)</f>
        <v>0</v>
      </c>
      <c r="U1486" s="1202" t="n">
        <f aca="false">U1482</f>
        <v>2</v>
      </c>
      <c r="V1486" s="1202" t="n">
        <f aca="false">T1486*U1486</f>
        <v>0</v>
      </c>
      <c r="W1486" s="1230"/>
      <c r="X1486" s="1230"/>
      <c r="Y1486" s="1230"/>
      <c r="AC1486" s="933"/>
      <c r="AD1486" s="1219"/>
      <c r="AE1486" s="933"/>
      <c r="AF1486" s="933"/>
      <c r="AG1486" s="933"/>
      <c r="AH1486" s="933"/>
      <c r="AI1486" s="933"/>
      <c r="AJ1486" s="933"/>
      <c r="AK1486" s="933"/>
      <c r="AL1486" s="933"/>
      <c r="AM1486" s="933"/>
      <c r="AN1486" s="933"/>
      <c r="AO1486" s="933"/>
      <c r="AQ1486" s="1150" t="str">
        <f aca="false">AL1482</f>
        <v>Нет техники</v>
      </c>
      <c r="AR1486" s="1152"/>
      <c r="AS1486" s="1150" t="n">
        <f aca="false">AM1482</f>
        <v>2</v>
      </c>
      <c r="AT1486" s="1150" t="n">
        <f aca="false">AN1482</f>
        <v>0</v>
      </c>
      <c r="AU1486" s="1150" t="n">
        <f aca="false">AO1482</f>
        <v>0</v>
      </c>
      <c r="BG1486" s="1150" t="str">
        <f aca="false">Q1486</f>
        <v>Крепеж для профлист, пол</v>
      </c>
      <c r="BH1486" s="1150" t="str">
        <f aca="false">R1486</f>
        <v>Кровельный саморез</v>
      </c>
      <c r="BI1486" s="1152" t="str">
        <f aca="false">S1486</f>
        <v>шт.</v>
      </c>
      <c r="BJ1486" s="1150" t="n">
        <f aca="false">T1486</f>
        <v>0</v>
      </c>
      <c r="BK1486" s="1150" t="n">
        <f aca="false">U1486</f>
        <v>2</v>
      </c>
      <c r="BL1486" s="1150" t="n">
        <f aca="false">V1486</f>
        <v>0</v>
      </c>
    </row>
    <row r="1487" customFormat="false" ht="15.75" hidden="false" customHeight="true" outlineLevel="1" collapsed="false">
      <c r="A1487" s="1769"/>
      <c r="B1487" s="1719"/>
      <c r="C1487" s="1719"/>
      <c r="D1487" s="1719"/>
      <c r="E1487" s="1611" t="n">
        <f aca="false">SUM(E1466:E1486)</f>
        <v>73007.6</v>
      </c>
      <c r="F1487" s="1230"/>
      <c r="G1487" s="1216" t="s">
        <v>3731</v>
      </c>
      <c r="H1487" s="1311" t="str">
        <f aca="false">VLOOKUP(A1470,связи1!I458:P488,8,0)</f>
        <v>ГПН 172х35-2,0</v>
      </c>
      <c r="I1487" s="1766" t="s">
        <v>3719</v>
      </c>
      <c r="J1487" s="1150" t="n">
        <f aca="false">C1449</f>
        <v>0</v>
      </c>
      <c r="K1487" s="1758" t="n">
        <f aca="false">VLOOKUP(A1470,связи1!I458:Q488,9,0)</f>
        <v>274</v>
      </c>
      <c r="L1487" s="1758" t="n">
        <f aca="false">J1487*K1487</f>
        <v>0</v>
      </c>
      <c r="M1487" s="1290"/>
      <c r="N1487" s="1290"/>
      <c r="O1487" s="1290"/>
      <c r="P1487" s="1290"/>
      <c r="Q1487" s="1202" t="s">
        <v>3713</v>
      </c>
      <c r="R1487" s="1202" t="str">
        <f aca="false">R1474</f>
        <v>Саморезы 3,5 x 25</v>
      </c>
      <c r="S1487" s="1814" t="s">
        <v>799</v>
      </c>
      <c r="T1487" s="1202" t="n">
        <f aca="false">C1476*10*IF(F1476='Прайс лист'!B1027,0,1)</f>
        <v>0</v>
      </c>
      <c r="U1487" s="1202" t="n">
        <f aca="false">U1474</f>
        <v>0.2</v>
      </c>
      <c r="V1487" s="1202" t="n">
        <f aca="false">T1487*U1487</f>
        <v>0</v>
      </c>
      <c r="W1487" s="1230"/>
      <c r="X1487" s="1230"/>
      <c r="Y1487" s="1230"/>
      <c r="AC1487" s="933"/>
      <c r="AD1487" s="933"/>
      <c r="AE1487" s="933"/>
      <c r="AF1487" s="933"/>
      <c r="AG1487" s="933" t="n">
        <f aca="false">E1487</f>
        <v>73007.6</v>
      </c>
      <c r="AH1487" s="933"/>
      <c r="AI1487" s="933"/>
      <c r="AJ1487" s="933"/>
      <c r="AK1487" s="933"/>
      <c r="AL1487" s="933"/>
      <c r="AM1487" s="933"/>
      <c r="AN1487" s="933"/>
      <c r="AO1487" s="933"/>
      <c r="AR1487" s="1152"/>
      <c r="BG1487" s="1150" t="str">
        <f aca="false">Q1487</f>
        <v>Крепеж для отделки потолок</v>
      </c>
      <c r="BH1487" s="1150" t="str">
        <f aca="false">R1487</f>
        <v>Саморезы 3,5 x 25</v>
      </c>
      <c r="BI1487" s="1152" t="str">
        <f aca="false">S1487</f>
        <v>шт.</v>
      </c>
      <c r="BJ1487" s="1150" t="n">
        <f aca="false">T1487</f>
        <v>0</v>
      </c>
      <c r="BK1487" s="1150" t="n">
        <f aca="false">U1487</f>
        <v>0.2</v>
      </c>
      <c r="BL1487" s="1150" t="n">
        <f aca="false">V1487</f>
        <v>0</v>
      </c>
    </row>
    <row r="1488" customFormat="false" ht="15.75" hidden="false" customHeight="true" outlineLevel="1" collapsed="false">
      <c r="F1488" s="1230"/>
      <c r="G1488" s="933" t="s">
        <v>3722</v>
      </c>
      <c r="H1488" s="1290" t="str">
        <f aca="false">VLOOKUP(A1470,связи1!I458:X488,15,0)</f>
        <v>Болты анкерные с гайкой 12,0 x 100</v>
      </c>
      <c r="I1488" s="1611" t="s">
        <v>799</v>
      </c>
      <c r="J1488" s="933" t="n">
        <f aca="false">CEILING(J1487/6,1)</f>
        <v>0</v>
      </c>
      <c r="K1488" s="1290" t="n">
        <f aca="false">VLOOKUP(A1470,связи1!I458:X488,16,0)</f>
        <v>11.2</v>
      </c>
      <c r="L1488" s="1290" t="n">
        <f aca="false">J1488*K1488</f>
        <v>0</v>
      </c>
      <c r="M1488" s="1230"/>
      <c r="N1488" s="1230"/>
      <c r="O1488" s="1230"/>
      <c r="P1488" s="1290" t="n">
        <f aca="false">SUM(P1466:P1487)</f>
        <v>20000</v>
      </c>
      <c r="Q1488" s="1202" t="s">
        <v>3732</v>
      </c>
      <c r="R1488" s="1202" t="str">
        <f aca="false">R1487</f>
        <v>Саморезы 3,5 x 25</v>
      </c>
      <c r="S1488" s="1814" t="s">
        <v>799</v>
      </c>
      <c r="T1488" s="1202" t="n">
        <f aca="false">C1471*12*IF(A1471='Прайс лист'!B1027,0,1)</f>
        <v>1200</v>
      </c>
      <c r="U1488" s="1202" t="n">
        <f aca="false">U1487</f>
        <v>0.2</v>
      </c>
      <c r="V1488" s="1202" t="n">
        <f aca="false">T1488*U1488</f>
        <v>240</v>
      </c>
      <c r="W1488" s="1230"/>
      <c r="X1488" s="1230"/>
      <c r="Y1488" s="1230"/>
      <c r="AC1488" s="933"/>
      <c r="AD1488" s="933"/>
      <c r="AE1488" s="933"/>
      <c r="AF1488" s="933"/>
      <c r="AG1488" s="933"/>
      <c r="AH1488" s="933"/>
      <c r="AI1488" s="933"/>
      <c r="AJ1488" s="933"/>
      <c r="AK1488" s="933"/>
      <c r="AL1488" s="933"/>
      <c r="AM1488" s="933"/>
      <c r="AN1488" s="933"/>
      <c r="AO1488" s="933"/>
      <c r="AR1488" s="1152"/>
      <c r="BG1488" s="1150" t="str">
        <f aca="false">Q1488</f>
        <v>Крепеж для полового покрытия</v>
      </c>
      <c r="BH1488" s="1150" t="str">
        <f aca="false">R1488</f>
        <v>Саморезы 3,5 x 25</v>
      </c>
      <c r="BI1488" s="1152" t="str">
        <f aca="false">S1488</f>
        <v>шт.</v>
      </c>
      <c r="BJ1488" s="1150" t="n">
        <f aca="false">T1488</f>
        <v>1200</v>
      </c>
      <c r="BK1488" s="1150" t="n">
        <f aca="false">U1488</f>
        <v>0.2</v>
      </c>
      <c r="BL1488" s="1150" t="n">
        <f aca="false">V1488</f>
        <v>240</v>
      </c>
    </row>
    <row r="1489" customFormat="false" ht="15.75" hidden="false" customHeight="true" outlineLevel="1" collapsed="false">
      <c r="A1489" s="1751" t="s">
        <v>3660</v>
      </c>
      <c r="B1489" s="1137" t="n">
        <f aca="false">E1487</f>
        <v>73007.6</v>
      </c>
      <c r="C1489" s="1771"/>
      <c r="D1489" s="1311"/>
      <c r="E1489" s="1230"/>
      <c r="F1489" s="1230"/>
      <c r="G1489" s="933" t="s">
        <v>3725</v>
      </c>
      <c r="H1489" s="1290" t="str">
        <f aca="false">VLOOKUP(A1470,связи1!I458:X488,13,0)</f>
        <v>Саморез 5,5 х 25</v>
      </c>
      <c r="I1489" s="1611" t="s">
        <v>799</v>
      </c>
      <c r="J1489" s="1290" t="n">
        <f aca="false">CEILING((F180+F650)*6,1)</f>
        <v>0</v>
      </c>
      <c r="K1489" s="1290" t="n">
        <f aca="false">VLOOKUP(A1470,связи1!I458:X488,14,0)</f>
        <v>2.5</v>
      </c>
      <c r="L1489" s="1290" t="n">
        <f aca="false">J1489*K1489</f>
        <v>0</v>
      </c>
      <c r="M1489" s="1230"/>
      <c r="N1489" s="1230"/>
      <c r="O1489" s="1230"/>
      <c r="P1489" s="1230"/>
      <c r="Q1489" s="1230"/>
      <c r="R1489" s="1230"/>
      <c r="S1489" s="1230"/>
      <c r="T1489" s="1230"/>
      <c r="U1489" s="1230"/>
      <c r="V1489" s="1230"/>
      <c r="W1489" s="1230"/>
      <c r="X1489" s="1230"/>
      <c r="Y1489" s="1230"/>
      <c r="AC1489" s="933" t="str">
        <f aca="false">A1489</f>
        <v>итого материалы для каркаса</v>
      </c>
      <c r="AD1489" s="933" t="n">
        <f aca="false">B1489</f>
        <v>73007.6</v>
      </c>
      <c r="AE1489" s="933"/>
      <c r="AF1489" s="933"/>
      <c r="AG1489" s="933"/>
      <c r="AH1489" s="933"/>
      <c r="AI1489" s="933"/>
      <c r="AJ1489" s="933"/>
      <c r="AK1489" s="933"/>
      <c r="AL1489" s="933"/>
      <c r="AM1489" s="933"/>
      <c r="AN1489" s="933"/>
      <c r="AO1489" s="933"/>
      <c r="AQ1489" s="1150" t="str">
        <f aca="false">AC1489</f>
        <v>итого материалы для каркаса</v>
      </c>
      <c r="AR1489" s="1152" t="n">
        <f aca="false">AD1489</f>
        <v>73007.6</v>
      </c>
    </row>
    <row r="1490" customFormat="false" ht="15.75" hidden="false" customHeight="true" outlineLevel="1" collapsed="false">
      <c r="A1490" s="1751" t="s">
        <v>3661</v>
      </c>
      <c r="B1490" s="1137" t="n">
        <f aca="false">P1488</f>
        <v>20000</v>
      </c>
      <c r="C1490" s="1771"/>
      <c r="D1490" s="1230"/>
      <c r="E1490" s="1230"/>
      <c r="F1490" s="1230"/>
      <c r="G1490" s="1290" t="s">
        <v>3733</v>
      </c>
      <c r="H1490" s="1290" t="str">
        <f aca="false">A1468</f>
        <v>ГПС 150х50-1,2</v>
      </c>
      <c r="I1490" s="1611" t="s">
        <v>3719</v>
      </c>
      <c r="J1490" s="1290" t="n">
        <f aca="false">CEILING(SUM(H355:H359)+SUM(H361:H365)+SUM(H821:H825),1)</f>
        <v>14</v>
      </c>
      <c r="K1490" s="1290" t="n">
        <f aca="false">VLOOKUP(H1490,связи1!I458:V488,4,0)</f>
        <v>63.0094043887147</v>
      </c>
      <c r="L1490" s="1290" t="n">
        <f aca="false">J1490*K1490</f>
        <v>882.131661442006</v>
      </c>
      <c r="M1490" s="1230"/>
      <c r="N1490" s="1230"/>
      <c r="O1490" s="1230"/>
      <c r="P1490" s="1230"/>
      <c r="Q1490" s="1230"/>
      <c r="R1490" s="1230"/>
      <c r="S1490" s="1230"/>
      <c r="T1490" s="1230"/>
      <c r="U1490" s="1230"/>
      <c r="V1490" s="1230"/>
      <c r="W1490" s="1230"/>
      <c r="X1490" s="1230"/>
      <c r="Y1490" s="1230"/>
      <c r="AC1490" s="933" t="str">
        <f aca="false">A1490</f>
        <v>работа, изготовление каркаса</v>
      </c>
      <c r="AD1490" s="933" t="n">
        <f aca="false">B1490</f>
        <v>20000</v>
      </c>
      <c r="AE1490" s="933"/>
      <c r="AF1490" s="933"/>
      <c r="AG1490" s="933"/>
      <c r="AH1490" s="933"/>
      <c r="AI1490" s="933"/>
      <c r="AJ1490" s="933"/>
      <c r="AK1490" s="933"/>
      <c r="AL1490" s="933"/>
      <c r="AM1490" s="933"/>
      <c r="AN1490" s="933"/>
      <c r="AO1490" s="933"/>
      <c r="AQ1490" s="1150" t="str">
        <f aca="false">AC1490</f>
        <v>работа, изготовление каркаса</v>
      </c>
      <c r="AR1490" s="1152" t="n">
        <f aca="false">AD1490</f>
        <v>20000</v>
      </c>
    </row>
    <row r="1491" customFormat="false" ht="15.75" hidden="false" customHeight="true" outlineLevel="1" collapsed="false">
      <c r="A1491" s="1290" t="s">
        <v>2728</v>
      </c>
      <c r="B1491" s="1137" t="n">
        <f aca="false">(B1489+B1490)*B1492</f>
        <v>0</v>
      </c>
      <c r="C1491" s="1771"/>
      <c r="D1491" s="1230"/>
      <c r="E1491" s="1230"/>
      <c r="F1491" s="1230"/>
      <c r="G1491" s="933" t="s">
        <v>3734</v>
      </c>
      <c r="H1491" s="1290" t="str">
        <f aca="false">VLOOKUP(H1490,связи1!I458:X488,13,0)</f>
        <v>Саморез 5,5 х 25</v>
      </c>
      <c r="I1491" s="1611" t="s">
        <v>799</v>
      </c>
      <c r="J1491" s="1290" t="n">
        <f aca="false">CEILING(SUM(H355:H359)+SUM(H361:H365)+SUM(H821:H825)*6,1)</f>
        <v>81</v>
      </c>
      <c r="K1491" s="1290" t="n">
        <f aca="false">VLOOKUP(H1490,связи1!I458:X488,14,0)</f>
        <v>2.5</v>
      </c>
      <c r="L1491" s="1290" t="n">
        <f aca="false">J1491*K1491</f>
        <v>202.5</v>
      </c>
      <c r="M1491" s="1230"/>
      <c r="N1491" s="1230"/>
      <c r="O1491" s="1230"/>
      <c r="P1491" s="1230"/>
      <c r="Q1491" s="1230"/>
      <c r="R1491" s="1230"/>
      <c r="S1491" s="1230"/>
      <c r="T1491" s="1230"/>
      <c r="U1491" s="1230"/>
      <c r="V1491" s="1230"/>
      <c r="W1491" s="1230"/>
      <c r="X1491" s="1230"/>
      <c r="Y1491" s="1230"/>
      <c r="AC1491" s="933" t="str">
        <f aca="false">A1491</f>
        <v>итого, рублей</v>
      </c>
      <c r="AD1491" s="933" t="n">
        <f aca="false">(AD1489+AD1490)*B1492</f>
        <v>0</v>
      </c>
      <c r="AE1491" s="933"/>
      <c r="AF1491" s="933"/>
      <c r="AG1491" s="933"/>
      <c r="AH1491" s="933"/>
      <c r="AI1491" s="933"/>
      <c r="AJ1491" s="933"/>
      <c r="AK1491" s="933"/>
      <c r="AL1491" s="933"/>
      <c r="AM1491" s="933"/>
      <c r="AN1491" s="933"/>
      <c r="AO1491" s="933"/>
      <c r="AQ1491" s="1150" t="str">
        <f aca="false">AC1491</f>
        <v>итого, рублей</v>
      </c>
      <c r="AR1491" s="1152" t="n">
        <f aca="false">(AR1489+AR1490)*B1492</f>
        <v>0</v>
      </c>
    </row>
    <row r="1492" customFormat="false" ht="15.75" hidden="false" customHeight="true" outlineLevel="0" collapsed="false">
      <c r="A1492" s="1824" t="s">
        <v>2396</v>
      </c>
      <c r="B1492" s="1689"/>
      <c r="C1492" s="1773" t="s">
        <v>3663</v>
      </c>
      <c r="D1492" s="1694"/>
      <c r="E1492" s="1694"/>
      <c r="F1492" s="1695"/>
      <c r="G1492" s="1230"/>
      <c r="H1492" s="1230"/>
      <c r="I1492" s="1770"/>
      <c r="J1492" s="1230"/>
      <c r="K1492" s="1230"/>
      <c r="L1492" s="1230"/>
      <c r="M1492" s="1230"/>
      <c r="N1492" s="1230"/>
      <c r="O1492" s="1230"/>
      <c r="P1492" s="1230"/>
      <c r="Q1492" s="1230"/>
      <c r="R1492" s="1230"/>
      <c r="S1492" s="1230"/>
      <c r="T1492" s="1230"/>
      <c r="U1492" s="1230"/>
      <c r="V1492" s="1230"/>
      <c r="W1492" s="1230"/>
      <c r="X1492" s="1230"/>
      <c r="Y1492" s="1230"/>
    </row>
    <row r="1493" customFormat="false" ht="15.75" hidden="false" customHeight="true" outlineLevel="0" collapsed="false">
      <c r="A1493" s="1230"/>
      <c r="B1493" s="1771"/>
      <c r="C1493" s="1771"/>
      <c r="D1493" s="1230"/>
      <c r="E1493" s="1230"/>
      <c r="F1493" s="1230"/>
      <c r="G1493" s="1230"/>
      <c r="H1493" s="1230"/>
      <c r="I1493" s="1770"/>
      <c r="J1493" s="1230"/>
      <c r="K1493" s="1230"/>
      <c r="L1493" s="1230"/>
      <c r="M1493" s="1230"/>
      <c r="N1493" s="1230"/>
      <c r="O1493" s="1230"/>
      <c r="P1493" s="1230"/>
      <c r="Q1493" s="1230"/>
      <c r="R1493" s="1230"/>
      <c r="S1493" s="1230"/>
      <c r="T1493" s="1230"/>
      <c r="U1493" s="1230"/>
      <c r="V1493" s="1230"/>
      <c r="W1493" s="1230"/>
      <c r="X1493" s="1230"/>
      <c r="Y1493" s="1230"/>
    </row>
    <row r="1494" customFormat="false" ht="15.75" hidden="true" customHeight="true" outlineLevel="1" collapsed="false">
      <c r="A1494" s="1825" t="s">
        <v>3735</v>
      </c>
      <c r="B1494" s="1826"/>
      <c r="C1494" s="1826"/>
      <c r="D1494" s="1827"/>
      <c r="E1494" s="1827"/>
      <c r="F1494" s="1827"/>
      <c r="G1494" s="1827"/>
      <c r="H1494" s="1827"/>
      <c r="I1494" s="1828"/>
      <c r="J1494" s="1827"/>
      <c r="K1494" s="1827"/>
      <c r="L1494" s="1827"/>
      <c r="M1494" s="1827"/>
      <c r="N1494" s="1827"/>
      <c r="O1494" s="1827"/>
      <c r="P1494" s="1829"/>
      <c r="Q1494" s="1606"/>
      <c r="R1494" s="1230"/>
      <c r="S1494" s="1230"/>
      <c r="T1494" s="1230"/>
      <c r="U1494" s="1230"/>
      <c r="V1494" s="1230"/>
      <c r="W1494" s="1230"/>
      <c r="X1494" s="1230"/>
      <c r="Y1494" s="1230"/>
    </row>
    <row r="1495" customFormat="false" ht="15.75" hidden="true" customHeight="true" outlineLevel="1" collapsed="false">
      <c r="A1495" s="1830"/>
      <c r="B1495" s="1831"/>
      <c r="C1495" s="1831"/>
      <c r="D1495" s="1832"/>
      <c r="E1495" s="1832"/>
      <c r="F1495" s="1832"/>
      <c r="G1495" s="1832"/>
      <c r="H1495" s="1832"/>
      <c r="I1495" s="1833"/>
      <c r="J1495" s="1832"/>
      <c r="K1495" s="1832"/>
      <c r="L1495" s="1832"/>
      <c r="M1495" s="1832"/>
      <c r="N1495" s="1832"/>
      <c r="O1495" s="1832"/>
      <c r="P1495" s="1834"/>
      <c r="Q1495" s="1606"/>
      <c r="R1495" s="1230"/>
      <c r="S1495" s="1230"/>
      <c r="T1495" s="1230"/>
      <c r="U1495" s="1230"/>
      <c r="V1495" s="1230"/>
      <c r="W1495" s="1230"/>
      <c r="X1495" s="1230"/>
      <c r="Y1495" s="1230"/>
    </row>
    <row r="1496" customFormat="false" ht="15.75" hidden="true" customHeight="true" outlineLevel="1" collapsed="false">
      <c r="A1496" s="1735" t="s">
        <v>1806</v>
      </c>
      <c r="B1496" s="1736"/>
      <c r="C1496" s="1736"/>
      <c r="D1496" s="1164"/>
      <c r="E1496" s="1164"/>
      <c r="F1496" s="1737"/>
      <c r="G1496" s="1784" t="n">
        <f aca="false">'Ввод данных'!D1071</f>
        <v>1.1</v>
      </c>
      <c r="H1496" s="1785"/>
      <c r="J1496" s="1722" t="n">
        <f aca="false">'Ввод данных'!D1072</f>
        <v>1</v>
      </c>
      <c r="K1496" s="1722"/>
      <c r="L1496" s="1722"/>
      <c r="M1496" s="1722"/>
      <c r="N1496" s="1722"/>
      <c r="O1496" s="1722"/>
      <c r="P1496" s="1722"/>
      <c r="Q1496" s="1606"/>
      <c r="R1496" s="1230"/>
      <c r="S1496" s="1230"/>
      <c r="T1496" s="1230"/>
      <c r="U1496" s="1230"/>
      <c r="V1496" s="1230"/>
      <c r="W1496" s="1230"/>
      <c r="X1496" s="1230"/>
      <c r="Y1496" s="1230"/>
    </row>
    <row r="1497" customFormat="false" ht="15.75" hidden="true" customHeight="true" outlineLevel="1" collapsed="false">
      <c r="A1497" s="1604" t="s">
        <v>3736</v>
      </c>
      <c r="B1497" s="1558" t="s">
        <v>159</v>
      </c>
      <c r="C1497" s="1558"/>
      <c r="D1497" s="1835" t="n">
        <f aca="false">IF('Ввод данных'!A8=связи1!A153,1,0)+IF('Ввод данных'!A8=связи1!A171,1,0)+IF('Ввод данных'!A8=связи1!A172,1,0)+IF('Ввод данных'!A8=связи1!A173,1,0)+IF('Ввод данных'!A8=связи1!A174,1,0)+IF('Ввод данных'!A8=связи1!A175,1,0)+IF('Ввод данных'!A8=связи1!A176,1,0)+IF('Ввод данных'!A8=связи1!A177,1,0)+IF('Ввод данных'!A8=связи1!A178,1,0)+IF('Ввод данных'!A8=связи1!A179,1,0)+IF('Ввод данных'!A8=связи1!A170,1,0)</f>
        <v>0</v>
      </c>
      <c r="E1497" s="1722"/>
      <c r="F1497" s="1722"/>
      <c r="G1497" s="1722"/>
      <c r="H1497" s="1722"/>
      <c r="I1497" s="1723"/>
      <c r="J1497" s="1722"/>
      <c r="K1497" s="1722"/>
      <c r="L1497" s="1722"/>
      <c r="M1497" s="1722"/>
      <c r="N1497" s="1722"/>
      <c r="O1497" s="1722"/>
      <c r="P1497" s="1722"/>
      <c r="Q1497" s="1606"/>
      <c r="R1497" s="1230"/>
      <c r="S1497" s="1230"/>
      <c r="T1497" s="1230"/>
      <c r="U1497" s="1230"/>
      <c r="V1497" s="1230"/>
      <c r="W1497" s="1230"/>
      <c r="X1497" s="1230"/>
      <c r="Y1497" s="1230"/>
    </row>
    <row r="1498" customFormat="false" ht="15.75" hidden="true" customHeight="true" outlineLevel="1" collapsed="false">
      <c r="A1498" s="1290" t="s">
        <v>3737</v>
      </c>
      <c r="B1498" s="1527" t="s">
        <v>156</v>
      </c>
      <c r="C1498" s="1689" t="n">
        <f aca="false">VLOOKUP('Ввод данных'!A1075,связи1!A255:F296,3,0)*0.001</f>
        <v>0.1</v>
      </c>
      <c r="D1498" s="1311"/>
      <c r="E1498" s="1728"/>
      <c r="F1498" s="1311"/>
      <c r="G1498" s="1230"/>
      <c r="H1498" s="1230"/>
      <c r="I1498" s="1770"/>
      <c r="J1498" s="1230"/>
      <c r="K1498" s="1230"/>
      <c r="L1498" s="1230"/>
      <c r="M1498" s="1230"/>
      <c r="N1498" s="1230"/>
      <c r="O1498" s="1230"/>
      <c r="P1498" s="1230"/>
      <c r="Q1498" s="1230"/>
      <c r="R1498" s="1230"/>
      <c r="S1498" s="1230"/>
      <c r="T1498" s="1230"/>
      <c r="U1498" s="1230"/>
      <c r="V1498" s="1230"/>
      <c r="W1498" s="1230"/>
      <c r="X1498" s="1230"/>
      <c r="Y1498" s="1230"/>
    </row>
    <row r="1499" customFormat="false" ht="15.75" hidden="true" customHeight="true" outlineLevel="1" collapsed="false">
      <c r="A1499" s="1290" t="s">
        <v>3738</v>
      </c>
      <c r="B1499" s="1527" t="s">
        <v>156</v>
      </c>
      <c r="C1499" s="1689" t="n">
        <f aca="false">VLOOKUP('Ввод данных'!A1077,связи1!A255:F296,3,0)*0.001</f>
        <v>0.1</v>
      </c>
      <c r="D1499" s="1311"/>
      <c r="E1499" s="1728"/>
      <c r="F1499" s="1311"/>
      <c r="G1499" s="1230"/>
      <c r="H1499" s="1230"/>
      <c r="I1499" s="1770"/>
      <c r="J1499" s="1230"/>
      <c r="K1499" s="1230"/>
      <c r="L1499" s="1230"/>
      <c r="M1499" s="1230"/>
      <c r="N1499" s="1230"/>
      <c r="O1499" s="1230"/>
      <c r="P1499" s="1230"/>
      <c r="Q1499" s="1230"/>
      <c r="R1499" s="1230"/>
      <c r="S1499" s="1230"/>
      <c r="T1499" s="1230"/>
      <c r="U1499" s="1230"/>
      <c r="V1499" s="1230"/>
      <c r="W1499" s="1230"/>
      <c r="X1499" s="1230"/>
      <c r="Y1499" s="1230"/>
    </row>
    <row r="1500" customFormat="false" ht="15.75" hidden="true" customHeight="true" outlineLevel="1" collapsed="false">
      <c r="A1500" s="1758" t="s">
        <v>3739</v>
      </c>
      <c r="B1500" s="1527" t="s">
        <v>156</v>
      </c>
      <c r="C1500" s="1689" t="n">
        <f aca="false">VLOOKUP('Ввод данных'!A1079,связи1!A255:F296,3,0)*0.001</f>
        <v>0.4</v>
      </c>
      <c r="D1500" s="1835" t="n">
        <v>1</v>
      </c>
      <c r="E1500" s="1728"/>
      <c r="F1500" s="1311"/>
      <c r="G1500" s="1230"/>
      <c r="H1500" s="1230"/>
      <c r="I1500" s="1770"/>
      <c r="J1500" s="1230"/>
      <c r="K1500" s="1230"/>
      <c r="L1500" s="1230"/>
      <c r="M1500" s="1230"/>
      <c r="N1500" s="1230"/>
      <c r="O1500" s="1230"/>
      <c r="P1500" s="1230"/>
      <c r="Q1500" s="1230"/>
      <c r="R1500" s="1230"/>
      <c r="S1500" s="1230"/>
      <c r="T1500" s="1230"/>
      <c r="U1500" s="1230"/>
      <c r="V1500" s="1230"/>
      <c r="W1500" s="1230"/>
      <c r="X1500" s="1230"/>
      <c r="Y1500" s="1230"/>
    </row>
    <row r="1501" customFormat="false" ht="15.75" hidden="true" customHeight="true" outlineLevel="1" collapsed="false">
      <c r="A1501" s="1758" t="s">
        <v>3740</v>
      </c>
      <c r="B1501" s="1527" t="s">
        <v>156</v>
      </c>
      <c r="C1501" s="1742"/>
      <c r="D1501" s="1835"/>
      <c r="E1501" s="1728"/>
      <c r="F1501" s="1311"/>
      <c r="G1501" s="1230"/>
      <c r="H1501" s="1230"/>
      <c r="I1501" s="1770"/>
      <c r="J1501" s="1230"/>
      <c r="K1501" s="1230"/>
      <c r="L1501" s="1230"/>
      <c r="M1501" s="1230"/>
      <c r="N1501" s="1230"/>
      <c r="O1501" s="1230"/>
      <c r="P1501" s="1230"/>
      <c r="Q1501" s="1230"/>
      <c r="R1501" s="1230"/>
      <c r="S1501" s="1230"/>
      <c r="T1501" s="1230"/>
      <c r="U1501" s="1230"/>
      <c r="V1501" s="1230"/>
      <c r="W1501" s="1230"/>
      <c r="X1501" s="1230"/>
      <c r="Y1501" s="1230"/>
    </row>
    <row r="1502" customFormat="false" ht="15.75" hidden="true" customHeight="true" outlineLevel="1" collapsed="false">
      <c r="A1502" s="1758" t="s">
        <v>3741</v>
      </c>
      <c r="B1502" s="1527" t="s">
        <v>156</v>
      </c>
      <c r="C1502" s="1742"/>
      <c r="D1502" s="1835"/>
      <c r="E1502" s="1728"/>
      <c r="F1502" s="1311"/>
      <c r="G1502" s="1230"/>
      <c r="H1502" s="1230"/>
      <c r="I1502" s="1770"/>
      <c r="J1502" s="1230"/>
      <c r="K1502" s="1230"/>
      <c r="L1502" s="1230"/>
      <c r="M1502" s="1230"/>
      <c r="N1502" s="1230"/>
      <c r="O1502" s="1230"/>
      <c r="P1502" s="1230"/>
      <c r="Q1502" s="1230"/>
      <c r="R1502" s="1230"/>
      <c r="S1502" s="1230"/>
      <c r="T1502" s="1230"/>
      <c r="U1502" s="1230"/>
      <c r="V1502" s="1230"/>
      <c r="W1502" s="1230"/>
      <c r="X1502" s="1230"/>
      <c r="Y1502" s="1230"/>
    </row>
    <row r="1503" customFormat="false" ht="15.75" hidden="true" customHeight="true" outlineLevel="1" collapsed="false">
      <c r="A1503" s="1758" t="s">
        <v>3742</v>
      </c>
      <c r="B1503" s="1527" t="s">
        <v>159</v>
      </c>
      <c r="C1503" s="1689" t="n">
        <v>7</v>
      </c>
      <c r="D1503" s="1489"/>
      <c r="E1503" s="1836"/>
      <c r="F1503" s="1489"/>
      <c r="G1503" s="1837"/>
      <c r="H1503" s="1837"/>
      <c r="I1503" s="1838"/>
      <c r="J1503" s="1230"/>
      <c r="K1503" s="1230"/>
      <c r="L1503" s="1230"/>
      <c r="M1503" s="1230"/>
      <c r="N1503" s="1230"/>
      <c r="O1503" s="1230"/>
      <c r="P1503" s="1230"/>
      <c r="Q1503" s="1230"/>
      <c r="R1503" s="1230"/>
      <c r="S1503" s="1230"/>
      <c r="T1503" s="1230"/>
      <c r="U1503" s="1230"/>
      <c r="V1503" s="1230"/>
      <c r="W1503" s="1230"/>
      <c r="X1503" s="1230"/>
      <c r="Y1503" s="1230"/>
    </row>
    <row r="1504" customFormat="false" ht="15.75" hidden="true" customHeight="true" outlineLevel="1" collapsed="false">
      <c r="A1504" s="1758" t="s">
        <v>3743</v>
      </c>
      <c r="B1504" s="1527" t="s">
        <v>156</v>
      </c>
      <c r="C1504" s="1742" t="n">
        <f aca="false">фундамент!C263</f>
        <v>56</v>
      </c>
      <c r="D1504" s="1839"/>
      <c r="E1504" s="1564"/>
      <c r="F1504" s="1489"/>
      <c r="G1504" s="1837"/>
      <c r="H1504" s="1837"/>
      <c r="I1504" s="1838"/>
      <c r="J1504" s="1230"/>
      <c r="K1504" s="1230"/>
      <c r="L1504" s="1230"/>
      <c r="M1504" s="1230"/>
      <c r="N1504" s="1230"/>
      <c r="O1504" s="1230"/>
      <c r="P1504" s="1230"/>
      <c r="Q1504" s="1230"/>
      <c r="R1504" s="1230"/>
      <c r="S1504" s="1230"/>
      <c r="T1504" s="1230"/>
      <c r="U1504" s="1230"/>
      <c r="V1504" s="1230"/>
      <c r="W1504" s="1230"/>
      <c r="X1504" s="1230"/>
      <c r="Y1504" s="1230"/>
    </row>
    <row r="1505" customFormat="false" ht="15.75" hidden="true" customHeight="true" outlineLevel="1" collapsed="false">
      <c r="A1505" s="1758" t="s">
        <v>3744</v>
      </c>
      <c r="B1505" s="1527" t="s">
        <v>156</v>
      </c>
      <c r="C1505" s="1742" t="e">
        <f aca="false">(C15-1)*(C16+C16+C17+C17+#REF!+#REF!+#REF!+#REF!+#REF!+#REF!+#REF!+#REF!)+пристройка!D2*(пристройка!C5*пристройка!C85*пристройка!C27)+D1229*C1233*E1237*C1275</f>
        <v>#REF!</v>
      </c>
      <c r="D1505" s="1839"/>
      <c r="E1505" s="1840"/>
      <c r="F1505" s="1489"/>
      <c r="G1505" s="1837"/>
      <c r="H1505" s="1837"/>
      <c r="I1505" s="1838"/>
      <c r="J1505" s="1230"/>
      <c r="K1505" s="1230"/>
      <c r="L1505" s="1230"/>
      <c r="M1505" s="1230"/>
      <c r="N1505" s="1230"/>
      <c r="O1505" s="1230"/>
      <c r="P1505" s="1230"/>
      <c r="Q1505" s="1230"/>
      <c r="R1505" s="1230"/>
      <c r="S1505" s="1230"/>
      <c r="T1505" s="1230"/>
      <c r="U1505" s="1230"/>
      <c r="V1505" s="1230"/>
      <c r="W1505" s="1230"/>
      <c r="X1505" s="1230"/>
      <c r="Y1505" s="1230"/>
    </row>
    <row r="1506" customFormat="false" ht="15.75" hidden="true" customHeight="true" outlineLevel="1" collapsed="false">
      <c r="A1506" s="1758"/>
      <c r="B1506" s="1527"/>
      <c r="C1506" s="1742"/>
      <c r="D1506" s="1839" t="s">
        <v>853</v>
      </c>
      <c r="E1506" s="1841" t="s">
        <v>3745</v>
      </c>
      <c r="F1506" s="933" t="s">
        <v>3746</v>
      </c>
      <c r="G1506" s="1564" t="s">
        <v>3747</v>
      </c>
      <c r="H1506" s="1489"/>
      <c r="I1506" s="1838"/>
      <c r="J1506" s="1230"/>
      <c r="K1506" s="1230"/>
      <c r="L1506" s="1230"/>
      <c r="M1506" s="1230"/>
      <c r="N1506" s="1230"/>
      <c r="O1506" s="1230"/>
      <c r="P1506" s="1230"/>
      <c r="Q1506" s="1230"/>
      <c r="R1506" s="1230"/>
      <c r="S1506" s="1230"/>
      <c r="T1506" s="1230"/>
      <c r="U1506" s="1230"/>
      <c r="V1506" s="1230"/>
      <c r="W1506" s="1230"/>
      <c r="X1506" s="1230"/>
      <c r="Y1506" s="1230"/>
    </row>
    <row r="1507" customFormat="false" ht="15.75" hidden="true" customHeight="true" outlineLevel="1" collapsed="false">
      <c r="A1507" s="1758" t="s">
        <v>3748</v>
      </c>
      <c r="B1507" s="1527" t="s">
        <v>156</v>
      </c>
      <c r="C1507" s="1527" t="n">
        <f aca="false">C1498</f>
        <v>0.1</v>
      </c>
      <c r="D1507" s="1564" t="n">
        <f aca="false">D1319+D1319+(C1319-C1498*2)*2</f>
        <v>39.6</v>
      </c>
      <c r="E1507" s="1841" t="n">
        <f aca="false">D1507*C1507*E1504</f>
        <v>0</v>
      </c>
      <c r="F1507" s="933" t="n">
        <f aca="false">D1507*(B1319-1)</f>
        <v>0</v>
      </c>
      <c r="G1507" s="1564" t="n">
        <f aca="false">D1507*(B1319-1)*C1507*E1505</f>
        <v>0</v>
      </c>
      <c r="H1507" s="1489"/>
      <c r="I1507" s="1838"/>
      <c r="J1507" s="1230"/>
      <c r="K1507" s="1230"/>
      <c r="L1507" s="1230"/>
      <c r="M1507" s="1230"/>
      <c r="N1507" s="1230"/>
      <c r="O1507" s="1230"/>
      <c r="P1507" s="1230"/>
      <c r="Q1507" s="1230"/>
      <c r="R1507" s="1230"/>
      <c r="S1507" s="1230"/>
      <c r="T1507" s="1230"/>
      <c r="U1507" s="1230"/>
      <c r="V1507" s="1230"/>
      <c r="W1507" s="1230"/>
      <c r="X1507" s="1230"/>
      <c r="Y1507" s="1230"/>
    </row>
    <row r="1508" customFormat="false" ht="15.75" hidden="true" customHeight="true" outlineLevel="1" collapsed="false">
      <c r="A1508" s="1758" t="s">
        <v>3749</v>
      </c>
      <c r="B1508" s="1527" t="s">
        <v>156</v>
      </c>
      <c r="C1508" s="1527" t="n">
        <f aca="false">C1499</f>
        <v>0.1</v>
      </c>
      <c r="D1508" s="1564" t="n">
        <f aca="false">C1321*D1321+C1322*D1322+C1323*D1323+C1324*D1324+C1329*D1329+C1330*D1330+C1331*D1331+C1332*D1332</f>
        <v>16</v>
      </c>
      <c r="E1508" s="1841" t="n">
        <f aca="false">D1508*C1508*E1504</f>
        <v>0</v>
      </c>
      <c r="F1508" s="933" t="n">
        <f aca="false">(N1321*O1321+N1322*O1322+N1323*O1323+N1324*O1324+N1329*O1329+N1330*O1330+N1331*O1331+N1332*O1332)*(B1319-1)</f>
        <v>0</v>
      </c>
      <c r="G1508" s="1564" t="n">
        <f aca="false">(N1321*O1321+N1322*O1322+N1323*O1323+N1324*O1324+N1329*O1329+N1330*O1330+N1331*O1331+N1332*O1332)*(B1319-1)*C1508*E1505</f>
        <v>0</v>
      </c>
      <c r="H1508" s="1489"/>
      <c r="I1508" s="1838"/>
      <c r="J1508" s="1230"/>
      <c r="K1508" s="1230"/>
      <c r="L1508" s="1230"/>
      <c r="M1508" s="1230"/>
      <c r="N1508" s="1230"/>
      <c r="O1508" s="1230"/>
      <c r="P1508" s="1230"/>
      <c r="Q1508" s="1230"/>
      <c r="R1508" s="1230"/>
      <c r="S1508" s="1230"/>
      <c r="T1508" s="1230"/>
      <c r="U1508" s="1230"/>
      <c r="V1508" s="1230"/>
      <c r="W1508" s="1230"/>
      <c r="X1508" s="1230"/>
      <c r="Y1508" s="1230"/>
    </row>
    <row r="1509" customFormat="false" ht="15.75" hidden="true" customHeight="true" outlineLevel="1" collapsed="false">
      <c r="A1509" s="1751" t="s">
        <v>3750</v>
      </c>
      <c r="B1509" s="1527" t="s">
        <v>154</v>
      </c>
      <c r="C1509" s="1689" t="n">
        <f aca="false">'Ввод данных'!C1110</f>
        <v>0</v>
      </c>
      <c r="D1509" s="1839" t="n">
        <v>1</v>
      </c>
      <c r="E1509" s="1836"/>
      <c r="F1509" s="1489"/>
      <c r="G1509" s="1837"/>
      <c r="H1509" s="1837"/>
      <c r="I1509" s="1838"/>
      <c r="J1509" s="1230"/>
      <c r="K1509" s="1230"/>
      <c r="L1509" s="1230"/>
      <c r="M1509" s="1230"/>
      <c r="N1509" s="1230"/>
      <c r="O1509" s="1230"/>
      <c r="P1509" s="1230"/>
      <c r="Q1509" s="1230"/>
      <c r="R1509" s="1230"/>
      <c r="S1509" s="1230"/>
      <c r="T1509" s="1230"/>
      <c r="U1509" s="1230"/>
      <c r="V1509" s="1230"/>
      <c r="W1509" s="1230"/>
      <c r="X1509" s="1230"/>
      <c r="Y1509" s="1230"/>
    </row>
    <row r="1510" customFormat="false" ht="15.75" hidden="true" customHeight="true" outlineLevel="1" collapsed="false">
      <c r="A1510" s="1786" t="s">
        <v>3669</v>
      </c>
      <c r="B1510" s="1527" t="s">
        <v>156</v>
      </c>
      <c r="C1510" s="1689" t="n">
        <f aca="false">'Ввод данных'!C1106</f>
        <v>0</v>
      </c>
      <c r="D1510" s="1284" t="n">
        <f aca="false">IF(A1579='Прайс лист'!B744,0,1)</f>
        <v>0</v>
      </c>
      <c r="F1510" s="1230"/>
      <c r="G1510" s="1230"/>
      <c r="H1510" s="1230"/>
      <c r="I1510" s="1770"/>
      <c r="J1510" s="1230"/>
      <c r="K1510" s="1230"/>
      <c r="L1510" s="1230"/>
      <c r="M1510" s="1230"/>
      <c r="N1510" s="1230"/>
      <c r="O1510" s="1230"/>
      <c r="P1510" s="1230"/>
      <c r="Q1510" s="1230"/>
      <c r="R1510" s="1230"/>
      <c r="S1510" s="1230"/>
      <c r="T1510" s="1230"/>
      <c r="U1510" s="1230"/>
      <c r="V1510" s="1230"/>
      <c r="W1510" s="1230"/>
      <c r="X1510" s="1230"/>
      <c r="Y1510" s="1230"/>
    </row>
    <row r="1511" s="1150" customFormat="true" ht="15.75" hidden="true" customHeight="true" outlineLevel="1" collapsed="false">
      <c r="A1511" s="1608" t="s">
        <v>3751</v>
      </c>
      <c r="B1511" s="1527" t="s">
        <v>133</v>
      </c>
      <c r="C1511" s="1527" t="n">
        <f aca="false">C1519*1.15</f>
        <v>0</v>
      </c>
      <c r="D1511" s="1835" t="n">
        <f aca="false">IF(A1581='Прайс лист'!B793,0,1)</f>
        <v>0</v>
      </c>
      <c r="E1511" s="1230"/>
      <c r="F1511" s="1230"/>
      <c r="G1511" s="1230"/>
      <c r="H1511" s="1230"/>
      <c r="W1511" s="1230"/>
      <c r="X1511" s="1230"/>
      <c r="Y1511" s="1230"/>
    </row>
    <row r="1512" s="1150" customFormat="true" ht="15.75" hidden="true" customHeight="true" outlineLevel="1" collapsed="false">
      <c r="A1512" s="1842" t="s">
        <v>3626</v>
      </c>
      <c r="B1512" s="1843"/>
      <c r="C1512" s="1844"/>
      <c r="D1512" s="1719"/>
      <c r="E1512" s="1719"/>
      <c r="F1512" s="1719"/>
      <c r="G1512" s="1311"/>
      <c r="H1512" s="1311"/>
      <c r="W1512" s="1230"/>
      <c r="X1512" s="1230"/>
      <c r="Y1512" s="1230"/>
    </row>
    <row r="1513" s="1150" customFormat="true" ht="15.75" hidden="true" customHeight="true" outlineLevel="1" collapsed="false">
      <c r="A1513" s="1751" t="s">
        <v>3678</v>
      </c>
      <c r="B1513" s="1527" t="s">
        <v>133</v>
      </c>
      <c r="C1513" s="152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513" s="1719"/>
      <c r="E1513" s="1719"/>
      <c r="F1513" s="1719"/>
      <c r="G1513" s="1769"/>
      <c r="H1513" s="1769"/>
      <c r="W1513" s="1230"/>
      <c r="X1513" s="1230"/>
      <c r="Y1513" s="1230"/>
    </row>
    <row r="1514" s="1150" customFormat="true" ht="15.75" hidden="true" customHeight="true" outlineLevel="1" collapsed="false">
      <c r="A1514" s="1751" t="s">
        <v>3628</v>
      </c>
      <c r="B1514" s="1527" t="s">
        <v>133</v>
      </c>
      <c r="C1514" s="1527" t="n">
        <f aca="false">C1525</f>
        <v>100</v>
      </c>
      <c r="D1514" s="1719"/>
      <c r="E1514" s="1719"/>
      <c r="F1514" s="1719"/>
      <c r="G1514" s="1769"/>
      <c r="H1514" s="1769"/>
      <c r="W1514" s="1230"/>
      <c r="X1514" s="1230"/>
      <c r="Y1514" s="1230"/>
    </row>
    <row r="1515" s="1150" customFormat="true" ht="15.75" hidden="true" customHeight="true" outlineLevel="1" collapsed="false">
      <c r="A1515" s="1751" t="s">
        <v>3680</v>
      </c>
      <c r="B1515" s="1527" t="s">
        <v>156</v>
      </c>
      <c r="C1515" s="1527" t="n">
        <f aca="false">C1366</f>
        <v>56</v>
      </c>
      <c r="D1515" s="1769"/>
      <c r="E1515" s="1719"/>
      <c r="F1515" s="1719"/>
      <c r="G1515" s="1769"/>
      <c r="H1515" s="1769"/>
      <c r="W1515" s="1230"/>
      <c r="X1515" s="1230"/>
      <c r="Y1515" s="1230"/>
    </row>
    <row r="1516" s="1150" customFormat="true" ht="15.75" hidden="true" customHeight="true" outlineLevel="1" collapsed="false">
      <c r="A1516" s="1751" t="s">
        <v>3752</v>
      </c>
      <c r="B1516" s="1527" t="s">
        <v>156</v>
      </c>
      <c r="C1516" s="1527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516" s="1769" t="n">
        <f aca="false">C1516*C1498</f>
        <v>4</v>
      </c>
      <c r="E1516" s="1719"/>
      <c r="F1516" s="1719"/>
      <c r="G1516" s="1769"/>
      <c r="H1516" s="1769"/>
      <c r="W1516" s="1230"/>
      <c r="X1516" s="1230"/>
      <c r="Y1516" s="1230"/>
    </row>
    <row r="1517" s="1150" customFormat="true" ht="15.75" hidden="true" customHeight="true" outlineLevel="1" collapsed="false">
      <c r="A1517" s="1751" t="s">
        <v>3753</v>
      </c>
      <c r="B1517" s="1527" t="s">
        <v>156</v>
      </c>
      <c r="C1517" s="1527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D1517" s="1769" t="n">
        <f aca="false">C1499*C1517</f>
        <v>1.6</v>
      </c>
      <c r="E1517" s="1719"/>
      <c r="F1517" s="1719" t="s">
        <v>3754</v>
      </c>
      <c r="G1517" s="1769" t="n">
        <f aca="false">C1498*C1498*2*E1319+(B1319-1)*F1319*2*C1498*C1498</f>
        <v>0.06</v>
      </c>
      <c r="H1517" s="1769"/>
      <c r="W1517" s="1230"/>
      <c r="X1517" s="1230"/>
      <c r="Y1517" s="1230"/>
    </row>
    <row r="1518" s="1150" customFormat="true" ht="15.75" hidden="true" customHeight="true" outlineLevel="1" collapsed="false">
      <c r="A1518" s="1751" t="s">
        <v>3755</v>
      </c>
      <c r="B1518" s="1527" t="s">
        <v>156</v>
      </c>
      <c r="C1518" s="1527" t="n">
        <f aca="false"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518" s="1769" t="n">
        <f aca="false">C1518*C1500</f>
        <v>3.12</v>
      </c>
      <c r="E1518" s="1719"/>
      <c r="F1518" s="1719"/>
      <c r="G1518" s="1769"/>
      <c r="H1518" s="1769"/>
      <c r="W1518" s="1230"/>
      <c r="X1518" s="1230"/>
      <c r="Y1518" s="1230"/>
    </row>
    <row r="1519" s="1150" customFormat="true" ht="15.75" hidden="true" customHeight="true" outlineLevel="1" collapsed="false">
      <c r="A1519" s="1751" t="s">
        <v>3633</v>
      </c>
      <c r="B1519" s="1527" t="s">
        <v>133</v>
      </c>
      <c r="C1519" s="1753" t="n">
        <f aca="false">связи1!C153*D1497</f>
        <v>0</v>
      </c>
      <c r="D1519" s="1769" t="n">
        <f aca="false">SUM(D1516:D1518)</f>
        <v>8.72</v>
      </c>
      <c r="E1519" s="1719"/>
      <c r="F1519" s="1719"/>
      <c r="G1519" s="1769"/>
      <c r="H1519" s="1769"/>
      <c r="W1519" s="1230"/>
      <c r="X1519" s="1230"/>
      <c r="Y1519" s="1230"/>
    </row>
    <row r="1520" s="1150" customFormat="true" ht="15.75" hidden="true" customHeight="true" outlineLevel="1" collapsed="false">
      <c r="A1520" s="1751" t="s">
        <v>3687</v>
      </c>
      <c r="B1520" s="1527" t="s">
        <v>133</v>
      </c>
      <c r="C1520" s="1753" t="n">
        <f aca="false">C1519</f>
        <v>0</v>
      </c>
      <c r="D1520" s="1311"/>
      <c r="E1520" s="1719"/>
      <c r="F1520" s="1719"/>
      <c r="G1520" s="1769"/>
      <c r="H1520" s="1769"/>
      <c r="W1520" s="1230"/>
      <c r="X1520" s="1230"/>
      <c r="Y1520" s="1230"/>
    </row>
    <row r="1521" s="1150" customFormat="true" ht="15.75" hidden="true" customHeight="true" outlineLevel="1" collapsed="false">
      <c r="A1521" s="1751" t="s">
        <v>3635</v>
      </c>
      <c r="B1521" s="1527"/>
      <c r="C1521" s="1753" t="n">
        <f aca="false">связи1!D153*D1497</f>
        <v>0</v>
      </c>
      <c r="D1521" s="1769"/>
      <c r="E1521" s="1719"/>
      <c r="F1521" s="1719"/>
      <c r="G1521" s="1769"/>
      <c r="H1521" s="1769"/>
      <c r="W1521" s="1230"/>
      <c r="X1521" s="1230"/>
      <c r="Y1521" s="1230"/>
    </row>
    <row r="1522" customFormat="false" ht="15.75" hidden="true" customHeight="true" outlineLevel="1" collapsed="false">
      <c r="A1522" s="1751" t="s">
        <v>3636</v>
      </c>
      <c r="B1522" s="1527" t="s">
        <v>133</v>
      </c>
      <c r="C1522" s="1753" t="n">
        <f aca="false">связи1!E153*D1497</f>
        <v>0</v>
      </c>
      <c r="D1522" s="1769"/>
      <c r="E1522" s="1719"/>
      <c r="F1522" s="1719"/>
      <c r="G1522" s="1769"/>
      <c r="H1522" s="1769"/>
      <c r="I1522" s="1696"/>
      <c r="J1522" s="1230"/>
      <c r="K1522" s="1230"/>
      <c r="L1522" s="1230"/>
      <c r="M1522" s="1230"/>
      <c r="N1522" s="1230"/>
      <c r="O1522" s="1230"/>
      <c r="P1522" s="1230"/>
      <c r="Q1522" s="1230"/>
      <c r="R1522" s="1230"/>
      <c r="S1522" s="1230"/>
      <c r="T1522" s="1230"/>
      <c r="U1522" s="1230"/>
      <c r="V1522" s="1230"/>
      <c r="W1522" s="1230"/>
      <c r="X1522" s="1230"/>
      <c r="Y1522" s="1230"/>
    </row>
    <row r="1523" customFormat="false" ht="15.75" hidden="true" customHeight="true" outlineLevel="1" collapsed="false">
      <c r="A1523" s="1751" t="s">
        <v>3638</v>
      </c>
      <c r="B1523" s="1527" t="s">
        <v>133</v>
      </c>
      <c r="C1523" s="1753" t="n">
        <f aca="false">(C1521+C1522)</f>
        <v>0</v>
      </c>
      <c r="D1523" s="1769"/>
      <c r="E1523" s="1719"/>
      <c r="F1523" s="1719"/>
      <c r="G1523" s="1769"/>
      <c r="H1523" s="1769"/>
      <c r="I1523" s="1696"/>
      <c r="J1523" s="1230"/>
      <c r="K1523" s="1230"/>
      <c r="L1523" s="1230"/>
      <c r="M1523" s="1230"/>
      <c r="N1523" s="1230"/>
      <c r="O1523" s="1230"/>
      <c r="P1523" s="1230"/>
      <c r="Q1523" s="1230"/>
      <c r="R1523" s="1230"/>
      <c r="S1523" s="1230"/>
      <c r="T1523" s="1230"/>
      <c r="U1523" s="1230"/>
      <c r="V1523" s="1230"/>
      <c r="W1523" s="1230"/>
      <c r="X1523" s="1230"/>
      <c r="Y1523" s="1230"/>
    </row>
    <row r="1524" customFormat="false" ht="15.75" hidden="true" customHeight="true" outlineLevel="1" collapsed="false">
      <c r="A1524" s="1751" t="s">
        <v>3639</v>
      </c>
      <c r="B1524" s="1527" t="s">
        <v>133</v>
      </c>
      <c r="C1524" s="1527" t="n">
        <f aca="false"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90.43</v>
      </c>
      <c r="D1524" s="1769"/>
      <c r="E1524" s="1719"/>
      <c r="F1524" s="1719"/>
      <c r="G1524" s="1769"/>
      <c r="H1524" s="1769"/>
      <c r="I1524" s="1696"/>
      <c r="J1524" s="1230"/>
      <c r="K1524" s="1230"/>
      <c r="L1524" s="1230"/>
      <c r="M1524" s="1230"/>
      <c r="N1524" s="1230"/>
      <c r="O1524" s="1230"/>
      <c r="P1524" s="1230"/>
      <c r="Q1524" s="1230"/>
      <c r="R1524" s="1230"/>
      <c r="S1524" s="1230"/>
      <c r="T1524" s="1230"/>
      <c r="U1524" s="1230"/>
      <c r="V1524" s="1230"/>
      <c r="W1524" s="1230"/>
      <c r="X1524" s="1230"/>
      <c r="Y1524" s="1230"/>
    </row>
    <row r="1525" customFormat="false" ht="15.75" hidden="true" customHeight="true" outlineLevel="1" collapsed="false">
      <c r="A1525" s="1751" t="s">
        <v>3690</v>
      </c>
      <c r="B1525" s="1527" t="s">
        <v>133</v>
      </c>
      <c r="C1525" s="1527" t="n">
        <f aca="false">C15*C16*C17+D1229*C1235+(пристройка!L12+пристройка!L13)*пристройка!D2</f>
        <v>100</v>
      </c>
      <c r="D1525" s="1769"/>
      <c r="E1525" s="1719"/>
      <c r="F1525" s="1719"/>
      <c r="G1525" s="1769"/>
      <c r="H1525" s="1769"/>
      <c r="I1525" s="1696"/>
      <c r="J1525" s="1230"/>
      <c r="K1525" s="1230"/>
      <c r="L1525" s="1230"/>
      <c r="M1525" s="1230"/>
      <c r="N1525" s="1230"/>
      <c r="O1525" s="1230"/>
      <c r="P1525" s="1230"/>
      <c r="Q1525" s="1230"/>
      <c r="R1525" s="1230"/>
      <c r="S1525" s="1230"/>
      <c r="T1525" s="1230"/>
      <c r="U1525" s="1230"/>
      <c r="V1525" s="1230"/>
      <c r="W1525" s="1230"/>
      <c r="X1525" s="1230"/>
      <c r="Y1525" s="1230"/>
    </row>
    <row r="1526" customFormat="false" ht="15.75" hidden="true" customHeight="true" outlineLevel="1" collapsed="false">
      <c r="A1526" s="1751" t="s">
        <v>3642</v>
      </c>
      <c r="B1526" s="1527" t="s">
        <v>133</v>
      </c>
      <c r="C1526" s="1527" t="n">
        <f aca="false">C1319*D1319+пристройка!D2*пристройка!C9+D1229*C1279</f>
        <v>100</v>
      </c>
      <c r="D1526" s="1769"/>
      <c r="E1526" s="1719"/>
      <c r="F1526" s="1719"/>
      <c r="G1526" s="1769"/>
      <c r="H1526" s="1769"/>
      <c r="I1526" s="1696"/>
      <c r="J1526" s="1230"/>
      <c r="K1526" s="1230"/>
      <c r="L1526" s="1230"/>
      <c r="M1526" s="1230"/>
      <c r="N1526" s="1230"/>
      <c r="O1526" s="1230"/>
      <c r="P1526" s="1230"/>
      <c r="Q1526" s="1230"/>
      <c r="R1526" s="1230"/>
      <c r="S1526" s="1230"/>
      <c r="T1526" s="1230"/>
      <c r="U1526" s="1230"/>
      <c r="V1526" s="1230"/>
      <c r="W1526" s="1230"/>
      <c r="X1526" s="1230"/>
      <c r="Y1526" s="1230"/>
    </row>
    <row r="1527" customFormat="false" ht="15.75" hidden="true" customHeight="true" outlineLevel="1" collapsed="false">
      <c r="A1527" s="1751" t="s">
        <v>3643</v>
      </c>
      <c r="B1527" s="1527" t="s">
        <v>133</v>
      </c>
      <c r="C1527" s="1527" t="n">
        <f aca="false">C1319*D1319*E44+пристройка!D2*пристройка!C10+D1229*пристройка!C10*пристройка!C26-(B1319-1)*4</f>
        <v>100</v>
      </c>
      <c r="D1527" s="1769"/>
      <c r="E1527" s="1719"/>
      <c r="F1527" s="1719"/>
      <c r="G1527" s="1769"/>
      <c r="H1527" s="1769"/>
      <c r="I1527" s="1696"/>
      <c r="J1527" s="1230"/>
      <c r="K1527" s="1230"/>
      <c r="L1527" s="1230"/>
      <c r="M1527" s="1230"/>
      <c r="N1527" s="1230"/>
      <c r="O1527" s="1230"/>
      <c r="P1527" s="1230"/>
      <c r="Q1527" s="1230"/>
      <c r="R1527" s="1230"/>
      <c r="S1527" s="1230"/>
      <c r="T1527" s="1230"/>
      <c r="U1527" s="1230"/>
      <c r="V1527" s="1230"/>
      <c r="W1527" s="1230"/>
      <c r="X1527" s="1230"/>
      <c r="Y1527" s="1230"/>
    </row>
    <row r="1528" customFormat="false" ht="15.75" hidden="true" customHeight="true" outlineLevel="1" collapsed="false">
      <c r="A1528" s="1751" t="s">
        <v>3644</v>
      </c>
      <c r="B1528" s="1527" t="s">
        <v>133</v>
      </c>
      <c r="C1528" s="1527" t="n">
        <f aca="false">C16*C17*E45+B1115*C1189*(C15-1)+I1115*F1132*F1133*(C15-1)*(I1115-E45)+L1115*L1189*(C15-1)*(L1115-E45)+пристройка!D2*пристройка!C11+D1229*C1279</f>
        <v>0</v>
      </c>
      <c r="D1528" s="1769"/>
      <c r="E1528" s="1719"/>
      <c r="F1528" s="1719"/>
      <c r="G1528" s="1769"/>
      <c r="H1528" s="1769"/>
      <c r="I1528" s="1696"/>
      <c r="J1528" s="1230"/>
      <c r="K1528" s="1230"/>
      <c r="L1528" s="1230"/>
      <c r="M1528" s="1230"/>
      <c r="N1528" s="1230"/>
      <c r="O1528" s="1230"/>
      <c r="P1528" s="1230"/>
      <c r="Q1528" s="1230"/>
      <c r="R1528" s="1230"/>
      <c r="S1528" s="1230"/>
      <c r="T1528" s="1230"/>
      <c r="U1528" s="1230"/>
      <c r="V1528" s="1230"/>
      <c r="W1528" s="1230"/>
      <c r="X1528" s="1230"/>
      <c r="Y1528" s="1230"/>
    </row>
    <row r="1529" customFormat="false" ht="15.75" hidden="true" customHeight="true" outlineLevel="1" collapsed="false">
      <c r="A1529" s="1751" t="s">
        <v>3645</v>
      </c>
      <c r="B1529" s="1527" t="s">
        <v>133</v>
      </c>
      <c r="C1529" s="1527" t="n">
        <f aca="false">SUM(C1526:C1528)</f>
        <v>200</v>
      </c>
      <c r="D1529" s="1769"/>
      <c r="E1529" s="1719"/>
      <c r="F1529" s="1719"/>
      <c r="G1529" s="1769"/>
      <c r="H1529" s="1769"/>
      <c r="I1529" s="1696"/>
      <c r="J1529" s="1230"/>
      <c r="K1529" s="1230"/>
      <c r="L1529" s="1230"/>
      <c r="M1529" s="1230"/>
      <c r="N1529" s="1230"/>
      <c r="O1529" s="1230"/>
      <c r="P1529" s="1230"/>
      <c r="Q1529" s="1230"/>
      <c r="R1529" s="1230"/>
      <c r="S1529" s="1230"/>
      <c r="T1529" s="1230"/>
      <c r="U1529" s="1230"/>
      <c r="V1529" s="1230"/>
      <c r="W1529" s="1230"/>
      <c r="X1529" s="1230"/>
      <c r="Y1529" s="1230"/>
    </row>
    <row r="1530" customFormat="false" ht="15.75" hidden="true" customHeight="true" outlineLevel="1" collapsed="false">
      <c r="A1530" s="1845" t="s">
        <v>2720</v>
      </c>
      <c r="B1530" s="1846" t="s">
        <v>1094</v>
      </c>
      <c r="C1530" s="1846" t="s">
        <v>1802</v>
      </c>
      <c r="D1530" s="933" t="s">
        <v>293</v>
      </c>
      <c r="E1530" s="933" t="s">
        <v>853</v>
      </c>
      <c r="F1530" s="1219" t="s">
        <v>1800</v>
      </c>
      <c r="G1530" s="933" t="s">
        <v>3756</v>
      </c>
      <c r="H1530" s="933"/>
      <c r="I1530" s="1846" t="s">
        <v>2721</v>
      </c>
      <c r="J1530" s="1847" t="s">
        <v>2722</v>
      </c>
      <c r="K1530" s="933" t="s">
        <v>3757</v>
      </c>
      <c r="L1530" s="933" t="s">
        <v>3758</v>
      </c>
      <c r="M1530" s="933"/>
      <c r="N1530" s="933"/>
      <c r="O1530" s="933" t="s">
        <v>293</v>
      </c>
      <c r="P1530" s="933" t="s">
        <v>853</v>
      </c>
      <c r="Q1530" s="1219" t="s">
        <v>1800</v>
      </c>
      <c r="R1530" s="933" t="s">
        <v>3757</v>
      </c>
      <c r="S1530" s="933" t="s">
        <v>3759</v>
      </c>
      <c r="T1530" s="933" t="s">
        <v>2809</v>
      </c>
    </row>
    <row r="1531" customFormat="false" ht="15.75" hidden="true" customHeight="true" outlineLevel="1" collapsed="false">
      <c r="A1531" s="1751" t="str">
        <f aca="false">'Ввод данных'!A1075</f>
        <v>Газоблок D400 200х100х390</v>
      </c>
      <c r="B1531" s="1527" t="s">
        <v>135</v>
      </c>
      <c r="C1531" s="887" t="n">
        <f aca="false">C1519*C1498-C1534-C1535-C1536</f>
        <v>-3.12</v>
      </c>
      <c r="D1531" s="933" t="n">
        <f aca="false">VLOOKUP('Ввод данных'!A1075,связи1!A255:D296,2,0)</f>
        <v>200</v>
      </c>
      <c r="E1531" s="933" t="n">
        <f aca="false">VLOOKUP('Ввод данных'!A1075,связи1!A255:D296,4,0)</f>
        <v>390</v>
      </c>
      <c r="F1531" s="1219" t="n">
        <f aca="false">VLOOKUP('Ввод данных'!A1075,связи1!A255:D296,3,0)</f>
        <v>100</v>
      </c>
      <c r="G1531" s="933" t="n">
        <f aca="false">C1531/K1531+Q29-C1537-C1538</f>
        <v>-400.72</v>
      </c>
      <c r="H1531" s="933"/>
      <c r="I1531" s="1848" t="n">
        <f aca="false">VLOOKUP('Ввод данных'!A1075,связи1!A255:F296,6,0)</f>
        <v>4200</v>
      </c>
      <c r="J1531" s="1144" t="n">
        <f aca="false">C1531*I1531</f>
        <v>-13104</v>
      </c>
      <c r="K1531" s="1849" t="n">
        <f aca="false">D1531*E1531*F1531/1000000000</f>
        <v>0.0078</v>
      </c>
      <c r="L1531" s="933" t="n">
        <f aca="false">SQRT(D1531/1000*D1531/1000+E1531/1000*E1531/1000)</f>
        <v>0.438292140016223</v>
      </c>
      <c r="M1531" s="933"/>
      <c r="N1531" s="933"/>
      <c r="O1531" s="933" t="n">
        <f aca="false">D1531-20</f>
        <v>180</v>
      </c>
      <c r="P1531" s="933" t="n">
        <f aca="false">E1531-20</f>
        <v>370</v>
      </c>
      <c r="Q1531" s="1219" t="n">
        <f aca="false">F1531</f>
        <v>100</v>
      </c>
      <c r="R1531" s="1849" t="n">
        <f aca="false">O1531*P1531*Q1531/1000000000</f>
        <v>0.00666</v>
      </c>
      <c r="S1531" s="933" t="n">
        <f aca="false">G1531*R1531</f>
        <v>-2.6687952</v>
      </c>
      <c r="T1531" s="933" t="n">
        <f aca="false">C1531-S1531</f>
        <v>-0.451204799999999</v>
      </c>
    </row>
    <row r="1532" customFormat="false" ht="15.75" hidden="true" customHeight="true" outlineLevel="1" collapsed="false">
      <c r="A1532" s="1751" t="str">
        <f aca="false">'Ввод данных'!A1077</f>
        <v>Газоблок D500 200х100х390</v>
      </c>
      <c r="B1532" s="1527" t="s">
        <v>135</v>
      </c>
      <c r="C1532" s="887" t="n">
        <f aca="false">C1521*C1499</f>
        <v>0</v>
      </c>
      <c r="D1532" s="933" t="n">
        <f aca="false">VLOOKUP('Ввод данных'!A1077,связи1!A255:D296,2,0)</f>
        <v>200</v>
      </c>
      <c r="E1532" s="933" t="n">
        <f aca="false">VLOOKUP('Ввод данных'!A1077,связи1!A255:D296,4,0)</f>
        <v>390</v>
      </c>
      <c r="F1532" s="1219" t="n">
        <f aca="false">VLOOKUP('Ввод данных'!A1077,связи1!A255:D296,2,0)</f>
        <v>200</v>
      </c>
      <c r="G1532" s="933" t="n">
        <f aca="false">C1532/K1532</f>
        <v>0</v>
      </c>
      <c r="H1532" s="933"/>
      <c r="I1532" s="1848" t="n">
        <f aca="false">VLOOKUP('Ввод данных'!A1077,связи1!A255:F296,6,0)</f>
        <v>4200</v>
      </c>
      <c r="J1532" s="1144" t="n">
        <f aca="false">C1532*I1532</f>
        <v>0</v>
      </c>
      <c r="K1532" s="1849" t="n">
        <f aca="false">D1532*E1532*F1532/1000000000</f>
        <v>0.0156</v>
      </c>
      <c r="L1532" s="933"/>
      <c r="M1532" s="933"/>
      <c r="N1532" s="933"/>
      <c r="O1532" s="933" t="n">
        <f aca="false">D1532-20</f>
        <v>180</v>
      </c>
      <c r="P1532" s="933" t="n">
        <f aca="false">E1532-20</f>
        <v>370</v>
      </c>
      <c r="Q1532" s="1219" t="n">
        <f aca="false">F1532</f>
        <v>200</v>
      </c>
      <c r="R1532" s="1849" t="n">
        <f aca="false">O1532*P1532*Q1532/1000000000</f>
        <v>0.01332</v>
      </c>
      <c r="S1532" s="933" t="n">
        <f aca="false">G1532*R1532</f>
        <v>0</v>
      </c>
      <c r="T1532" s="933" t="n">
        <f aca="false">C1532-S1532</f>
        <v>0</v>
      </c>
    </row>
    <row r="1533" customFormat="false" ht="15.75" hidden="true" customHeight="true" outlineLevel="1" collapsed="false">
      <c r="A1533" s="1751" t="str">
        <f aca="false">'Ввод данных'!A1079</f>
        <v>Газоблок D400 200х400х390</v>
      </c>
      <c r="B1533" s="1527" t="s">
        <v>135</v>
      </c>
      <c r="C1533" s="887" t="n">
        <f aca="false">C1522*C1500</f>
        <v>0</v>
      </c>
      <c r="D1533" s="933" t="n">
        <f aca="false">VLOOKUP('Ввод данных'!A1079,связи1!A255:D296,2,0)</f>
        <v>200</v>
      </c>
      <c r="E1533" s="933" t="n">
        <f aca="false">VLOOKUP('Ввод данных'!A1079,связи1!A255:D296,4,0)</f>
        <v>390</v>
      </c>
      <c r="F1533" s="1219" t="n">
        <f aca="false">VLOOKUP('Ввод данных'!A1079,связи1!A255:D296,3,0)</f>
        <v>400</v>
      </c>
      <c r="G1533" s="933" t="n">
        <f aca="false">C1533/K1533</f>
        <v>0</v>
      </c>
      <c r="H1533" s="933"/>
      <c r="I1533" s="1848" t="n">
        <f aca="false">VLOOKUP('Ввод данных'!A1079,связи1!A255:F296,6,0)</f>
        <v>4200</v>
      </c>
      <c r="J1533" s="1144" t="n">
        <f aca="false">C1533*I1533</f>
        <v>0</v>
      </c>
      <c r="K1533" s="1849" t="n">
        <f aca="false">D1533*E1533*F1533/1000000000</f>
        <v>0.0312</v>
      </c>
      <c r="L1533" s="933"/>
      <c r="M1533" s="933"/>
      <c r="N1533" s="933"/>
      <c r="O1533" s="933" t="n">
        <f aca="false">D1533-20</f>
        <v>180</v>
      </c>
      <c r="P1533" s="933" t="n">
        <f aca="false">E1533-20</f>
        <v>370</v>
      </c>
      <c r="Q1533" s="1219" t="n">
        <f aca="false">F1533</f>
        <v>400</v>
      </c>
      <c r="R1533" s="1849" t="n">
        <f aca="false">O1533*P1533*Q1533/1000000000</f>
        <v>0.02664</v>
      </c>
      <c r="S1533" s="933" t="n">
        <f aca="false">G1533*R1533</f>
        <v>0</v>
      </c>
      <c r="T1533" s="933" t="n">
        <f aca="false">C1533-S1533</f>
        <v>0</v>
      </c>
    </row>
    <row r="1534" customFormat="false" ht="15.75" hidden="true" customHeight="true" outlineLevel="1" collapsed="false">
      <c r="A1534" s="1751" t="str">
        <f aca="false">VLOOKUP('Ввод данных'!A1075,связи1!A255:W296,14,0)</f>
        <v>Газоблокпоясной  D400 200х100х390</v>
      </c>
      <c r="B1534" s="1527" t="s">
        <v>135</v>
      </c>
      <c r="C1534" s="887" t="n">
        <f aca="false">G1534*K1534</f>
        <v>3.0888</v>
      </c>
      <c r="D1534" s="933" t="n">
        <f aca="false">VLOOKUP('Ввод данных'!A1075,связи1!A255:W296,17,0)</f>
        <v>200</v>
      </c>
      <c r="E1534" s="933" t="n">
        <f aca="false">VLOOKUP('Ввод данных'!A1075,связи1!A255:W296,18,0)</f>
        <v>100</v>
      </c>
      <c r="F1534" s="1219" t="n">
        <f aca="false">VLOOKUP('Ввод данных'!A1075,связи1!A255:W296,19,0)</f>
        <v>390</v>
      </c>
      <c r="G1534" s="933" t="n">
        <f aca="false">J47/E1534*1000-G1535-G1536</f>
        <v>396</v>
      </c>
      <c r="H1534" s="933"/>
      <c r="I1534" s="1850" t="n">
        <f aca="false">VLOOKUP('Ввод данных'!A1075,связи1!A255:W296,21,0)</f>
        <v>4200</v>
      </c>
      <c r="J1534" s="1144" t="n">
        <f aca="false">C1534*I1534</f>
        <v>12972.96</v>
      </c>
      <c r="K1534" s="1849" t="n">
        <f aca="false">D1534*E1534*F1534/1000000000</f>
        <v>0.0078</v>
      </c>
      <c r="L1534" s="933" t="s">
        <v>3760</v>
      </c>
      <c r="M1534" s="933"/>
      <c r="N1534" s="933"/>
      <c r="O1534" s="933" t="n">
        <f aca="false">IF('Ввод данных'!A1096=связи1!A315,1,0)+IF('Ввод данных'!A1096=связи1!A316,1,0)</f>
        <v>1</v>
      </c>
      <c r="P1534" s="998"/>
      <c r="Q1534" s="1217"/>
      <c r="R1534" s="1851"/>
      <c r="S1534" s="998"/>
      <c r="T1534" s="998"/>
      <c r="U1534" s="1852"/>
      <c r="V1534" s="1853"/>
    </row>
    <row r="1535" customFormat="false" ht="15.75" hidden="true" customHeight="true" outlineLevel="1" collapsed="false">
      <c r="A1535" s="1751" t="str">
        <f aca="false">VLOOKUP('Ввод данных'!A1075,связи1!A255:W296,16,0)</f>
        <v>Поясной 200х100х600 угловой внешний</v>
      </c>
      <c r="B1535" s="1527" t="s">
        <v>135</v>
      </c>
      <c r="C1535" s="887" t="n">
        <f aca="false">G1535*K1535</f>
        <v>0.0312</v>
      </c>
      <c r="D1535" s="933" t="n">
        <f aca="false">VLOOKUP('Ввод данных'!A1075,связи1!A255:W296,17,0)</f>
        <v>200</v>
      </c>
      <c r="E1535" s="933" t="n">
        <f aca="false">VLOOKUP('Ввод данных'!A1075,связи1!A255:W296,18,0)</f>
        <v>100</v>
      </c>
      <c r="F1535" s="1219" t="n">
        <f aca="false">VLOOKUP('Ввод данных'!A1075,связи1!A255:W296,19,0)</f>
        <v>390</v>
      </c>
      <c r="G1535" s="933" t="n">
        <f aca="false">L48</f>
        <v>4</v>
      </c>
      <c r="H1535" s="933"/>
      <c r="I1535" s="1850" t="n">
        <f aca="false">VLOOKUP('Ввод данных'!A1075,связи1!A255:W296,21,0)</f>
        <v>4200</v>
      </c>
      <c r="J1535" s="1144" t="n">
        <f aca="false">C1535*I1535</f>
        <v>131.04</v>
      </c>
      <c r="K1535" s="1849" t="n">
        <f aca="false">D1535*E1535*F1535/1000000000</f>
        <v>0.0078</v>
      </c>
      <c r="L1535" s="933" t="s">
        <v>3760</v>
      </c>
      <c r="M1535" s="933"/>
      <c r="N1535" s="933"/>
      <c r="O1535" s="933" t="n">
        <f aca="false">IF('Ввод данных'!A1096=связи1!A317,1,0)</f>
        <v>0</v>
      </c>
      <c r="P1535" s="998"/>
      <c r="Q1535" s="1217"/>
      <c r="R1535" s="1851"/>
      <c r="S1535" s="998"/>
      <c r="T1535" s="998"/>
      <c r="U1535" s="1852"/>
      <c r="V1535" s="1853"/>
    </row>
    <row r="1536" customFormat="false" ht="15.75" hidden="true" customHeight="true" outlineLevel="1" collapsed="false">
      <c r="A1536" s="1751" t="str">
        <f aca="false">VLOOKUP('Ввод данных'!A1075,связи1!A255:W296,15,0)</f>
        <v>Поясной 200х100х600 угловой внутренний</v>
      </c>
      <c r="B1536" s="1527" t="s">
        <v>135</v>
      </c>
      <c r="C1536" s="887" t="n">
        <f aca="false">G1536*K1536</f>
        <v>0</v>
      </c>
      <c r="D1536" s="933" t="n">
        <f aca="false">VLOOKUP('Ввод данных'!A1075,связи1!A255:W296,17,0)</f>
        <v>200</v>
      </c>
      <c r="E1536" s="933" t="n">
        <f aca="false">VLOOKUP('Ввод данных'!A1075,связи1!A255:W296,18,0)</f>
        <v>100</v>
      </c>
      <c r="F1536" s="1219" t="n">
        <f aca="false">VLOOKUP('Ввод данных'!A1075,связи1!A255:W296,19,0)</f>
        <v>390</v>
      </c>
      <c r="G1536" s="933" t="n">
        <f aca="false">L49</f>
        <v>0</v>
      </c>
      <c r="H1536" s="933"/>
      <c r="I1536" s="1850" t="n">
        <f aca="false">VLOOKUP('Ввод данных'!A1075,связи1!A255:W296,21,0)</f>
        <v>4200</v>
      </c>
      <c r="J1536" s="1144" t="n">
        <f aca="false">C1536*I1536</f>
        <v>0</v>
      </c>
      <c r="K1536" s="1849" t="n">
        <f aca="false">D1536*E1536*F1536/1000000000</f>
        <v>0.0078</v>
      </c>
      <c r="L1536" s="933" t="s">
        <v>3760</v>
      </c>
      <c r="M1536" s="933"/>
      <c r="N1536" s="933"/>
      <c r="O1536" s="933" t="n">
        <f aca="false">IF('Ввод данных'!A1096=связи1!A317,1,0)</f>
        <v>0</v>
      </c>
      <c r="P1536" s="998"/>
      <c r="Q1536" s="1217"/>
      <c r="R1536" s="1851"/>
      <c r="S1536" s="998"/>
      <c r="T1536" s="998"/>
      <c r="U1536" s="1852"/>
      <c r="V1536" s="1853"/>
    </row>
    <row r="1537" customFormat="false" ht="15.75" hidden="true" customHeight="true" outlineLevel="1" collapsed="false">
      <c r="A1537" s="1751" t="str">
        <f aca="false">VLOOKUP('Ввод данных'!A1075,связи1!A255:M296,10,0)</f>
        <v>200х100х600 угловой внешний</v>
      </c>
      <c r="B1537" s="1527" t="s">
        <v>135</v>
      </c>
      <c r="C1537" s="887" t="n">
        <f aca="false">G1537*K1537</f>
        <v>0.72</v>
      </c>
      <c r="D1537" s="933" t="n">
        <f aca="false">VLOOKUP('Ввод данных'!A1075,связи1!A255:AD296,11,0)</f>
        <v>200</v>
      </c>
      <c r="E1537" s="933" t="n">
        <f aca="false">VLOOKUP('Ввод данных'!A1075,связи1!A255:AD296,12,0)</f>
        <v>100</v>
      </c>
      <c r="F1537" s="1219" t="n">
        <f aca="false">VLOOKUP('Ввод данных'!A1075,связи1!A255:AD296,13,0)</f>
        <v>600</v>
      </c>
      <c r="G1537" s="933" t="n">
        <f aca="false">G39</f>
        <v>60</v>
      </c>
      <c r="H1537" s="933"/>
      <c r="I1537" s="1850" t="n">
        <f aca="false">VLOOKUP('Ввод данных'!A1075,связи1!A255:W296,21,0)</f>
        <v>4200</v>
      </c>
      <c r="J1537" s="1144" t="n">
        <f aca="false">C1537*I1537</f>
        <v>3024</v>
      </c>
      <c r="K1537" s="1849" t="n">
        <f aca="false">D1537*E1537*F1537/1000000000</f>
        <v>0.012</v>
      </c>
      <c r="L1537" s="933"/>
      <c r="M1537" s="933"/>
      <c r="N1537" s="933"/>
      <c r="O1537" s="933" t="n">
        <f aca="false">O1536</f>
        <v>0</v>
      </c>
      <c r="U1537" s="1852"/>
      <c r="V1537" s="1853"/>
    </row>
    <row r="1538" customFormat="false" ht="15.75" hidden="true" customHeight="true" outlineLevel="1" collapsed="false">
      <c r="A1538" s="1751" t="str">
        <f aca="false">VLOOKUP('Ввод данных'!A1075,связи1!A255:M296,9,0)</f>
        <v>200х100х600 угловой внутренний</v>
      </c>
      <c r="B1538" s="1527" t="s">
        <v>3761</v>
      </c>
      <c r="C1538" s="887" t="n">
        <f aca="false">G1538*K1538</f>
        <v>0</v>
      </c>
      <c r="D1538" s="933" t="n">
        <f aca="false">VLOOKUP('Ввод данных'!A1075,связи1!A255:AD296,11,0)</f>
        <v>200</v>
      </c>
      <c r="E1538" s="933" t="n">
        <f aca="false">VLOOKUP('Ввод данных'!A1075,связи1!A255:AD296,12,0)</f>
        <v>100</v>
      </c>
      <c r="F1538" s="1219" t="n">
        <f aca="false">VLOOKUP('Ввод данных'!A1075,связи1!A255:AD296,13,0)</f>
        <v>600</v>
      </c>
      <c r="G1538" s="933" t="n">
        <f aca="false">G38</f>
        <v>0</v>
      </c>
      <c r="H1538" s="933"/>
      <c r="I1538" s="1850" t="n">
        <f aca="false">VLOOKUP('Ввод данных'!A1075,связи1!A255:W296,21,0)</f>
        <v>4200</v>
      </c>
      <c r="J1538" s="1144" t="n">
        <f aca="false">C1538*I1538</f>
        <v>0</v>
      </c>
      <c r="K1538" s="1849" t="n">
        <f aca="false">D1538*E1538*F1538/1000000000</f>
        <v>0.012</v>
      </c>
      <c r="L1538" s="997" t="s">
        <v>3760</v>
      </c>
      <c r="M1538" s="997"/>
      <c r="N1538" s="997"/>
      <c r="O1538" s="933" t="n">
        <f aca="false">IF('Ввод данных'!A1096=связи1!A318,1,0)+IF('Ввод данных'!A1096=связи1!A319,1,0)+IF('Ввод данных'!A1096=связи1!A320,1,0)+IF('Ввод данных'!A1096=связи1!A321,1,0)</f>
        <v>0</v>
      </c>
      <c r="U1538" s="1852"/>
      <c r="V1538" s="1853"/>
    </row>
    <row r="1539" customFormat="false" ht="15.75" hidden="true" customHeight="true" outlineLevel="1" collapsed="false">
      <c r="A1539" s="1751" t="str">
        <f aca="false">VLOOKUP('Ввод данных'!A1096,связи1!A315:A316,1,0)</f>
        <v>Клей монтажный ВК-100</v>
      </c>
      <c r="B1539" s="1527" t="s">
        <v>126</v>
      </c>
      <c r="C1539" s="1848" t="n">
        <f aca="false">(C1531+C1532+C1533+C1534+C1535+C1536+C1537+C1538)*2*D1497*G1496*1.05</f>
        <v>0</v>
      </c>
      <c r="D1539" s="933"/>
      <c r="E1539" s="933"/>
      <c r="F1539" s="933"/>
      <c r="G1539" s="933"/>
      <c r="H1539" s="933"/>
      <c r="I1539" s="1848" t="n">
        <f aca="false">IF('Ввод данных'!A1096=связи1!A315,связи1!D315,0)+IF('Ввод данных'!A1096=связи1!A316,связи1!D316,0)</f>
        <v>185</v>
      </c>
      <c r="J1539" s="1854" t="n">
        <f aca="false">C1539*I1539</f>
        <v>0</v>
      </c>
      <c r="K1539" s="933"/>
    </row>
    <row r="1540" customFormat="false" ht="15.75" hidden="true" customHeight="true" outlineLevel="1" collapsed="false">
      <c r="A1540" s="1751" t="e">
        <f aca="false">VLOOKUP('Ввод данных'!A1096,связи1!A317:B317,2,0)</f>
        <v>#N/A</v>
      </c>
      <c r="B1540" s="1527" t="s">
        <v>126</v>
      </c>
      <c r="C1540" s="887" t="n">
        <f aca="false">C1541*4*1.05</f>
        <v>-2.274072192</v>
      </c>
      <c r="D1540" s="933"/>
      <c r="E1540" s="933"/>
      <c r="F1540" s="933"/>
      <c r="G1540" s="933"/>
      <c r="H1540" s="933"/>
      <c r="I1540" s="1848" t="n">
        <f aca="false">IF('Ввод данных'!A1096=связи1!A317,'Прайс лист'!G175,0)</f>
        <v>0</v>
      </c>
      <c r="J1540" s="1854" t="n">
        <f aca="false">C1540*O1535*I1540</f>
        <v>0</v>
      </c>
      <c r="K1540" s="933"/>
      <c r="O1540" s="1842" t="s">
        <v>1409</v>
      </c>
      <c r="P1540" s="1855"/>
      <c r="Q1540" s="933"/>
      <c r="R1540" s="887" t="s">
        <v>208</v>
      </c>
      <c r="S1540" s="1847" t="s">
        <v>1802</v>
      </c>
      <c r="T1540" s="1847" t="s">
        <v>2721</v>
      </c>
      <c r="U1540" s="1847" t="s">
        <v>2722</v>
      </c>
      <c r="W1540" s="1853"/>
      <c r="X1540" s="1856"/>
      <c r="Y1540" s="998"/>
      <c r="Z1540" s="888"/>
      <c r="AA1540" s="1853"/>
      <c r="AB1540" s="1853"/>
      <c r="AC1540" s="1853"/>
    </row>
    <row r="1541" customFormat="false" ht="15.75" hidden="true" customHeight="true" outlineLevel="1" collapsed="false">
      <c r="A1541" s="1751" t="e">
        <f aca="false">VLOOKUP('Ввод данных'!A1096,связи1!A317:C317,3,0)</f>
        <v>#N/A</v>
      </c>
      <c r="B1541" s="1527" t="s">
        <v>135</v>
      </c>
      <c r="C1541" s="887" t="n">
        <f aca="false">(T1531+T1532+T1533)*1.2</f>
        <v>-0.541445759999999</v>
      </c>
      <c r="D1541" s="933"/>
      <c r="E1541" s="933"/>
      <c r="F1541" s="933"/>
      <c r="G1541" s="933"/>
      <c r="H1541" s="933"/>
      <c r="I1541" s="1848" t="n">
        <f aca="false">IF('Ввод данных'!A1096=связи1!A317,'Прайс лист'!G165,0)</f>
        <v>0</v>
      </c>
      <c r="J1541" s="1854" t="n">
        <f aca="false">C1541*O1536*I1541</f>
        <v>0</v>
      </c>
      <c r="K1541" s="933"/>
      <c r="O1541" s="1857" t="str">
        <f aca="false">'Прайс лист'!B1676</f>
        <v>кладка газобетона несущие стены</v>
      </c>
      <c r="P1541" s="1858"/>
      <c r="Q1541" s="933"/>
      <c r="R1541" s="887" t="s">
        <v>135</v>
      </c>
      <c r="S1541" s="1854" t="n">
        <f aca="false">C1531</f>
        <v>-3.12</v>
      </c>
      <c r="T1541" s="1854" t="n">
        <f aca="false">'Прайс лист'!G1676</f>
        <v>3500</v>
      </c>
      <c r="U1541" s="1854" t="n">
        <f aca="false">S1541*T1541</f>
        <v>-10920</v>
      </c>
      <c r="W1541" s="1853"/>
      <c r="X1541" s="1856"/>
      <c r="Y1541" s="998"/>
      <c r="Z1541" s="888"/>
      <c r="AA1541" s="1853"/>
      <c r="AB1541" s="1853"/>
      <c r="AC1541" s="1853"/>
    </row>
    <row r="1542" customFormat="false" ht="15.75" hidden="true" customHeight="true" outlineLevel="1" collapsed="false">
      <c r="A1542" s="1751" t="s">
        <v>139</v>
      </c>
      <c r="B1542" s="1527" t="s">
        <v>140</v>
      </c>
      <c r="C1542" s="887"/>
      <c r="D1542" s="933"/>
      <c r="E1542" s="933"/>
      <c r="F1542" s="933"/>
      <c r="G1542" s="933"/>
      <c r="H1542" s="933"/>
      <c r="I1542" s="1848" t="n">
        <f aca="false">IF('Ввод данных'!A1096=связи1!A317,'Прайс лист'!G166,0)</f>
        <v>0</v>
      </c>
      <c r="J1542" s="1854" t="n">
        <f aca="false">O1537*I1542</f>
        <v>0</v>
      </c>
      <c r="K1542" s="933"/>
      <c r="O1542" s="1857" t="str">
        <f aca="false">'Прайс лист'!B1677</f>
        <v>кладка газобетона несущие перегородки</v>
      </c>
      <c r="P1542" s="1859"/>
      <c r="Q1542" s="933"/>
      <c r="R1542" s="887" t="s">
        <v>135</v>
      </c>
      <c r="S1542" s="1860" t="n">
        <f aca="false">C1532</f>
        <v>0</v>
      </c>
      <c r="T1542" s="1854" t="n">
        <f aca="false">'Прайс лист'!G1677</f>
        <v>3500</v>
      </c>
      <c r="U1542" s="1854" t="n">
        <f aca="false">S1542*T1542</f>
        <v>0</v>
      </c>
      <c r="W1542" s="1853"/>
      <c r="X1542" s="1856"/>
      <c r="Y1542" s="998"/>
      <c r="Z1542" s="888"/>
      <c r="AA1542" s="1853"/>
      <c r="AB1542" s="1853"/>
      <c r="AC1542" s="1853"/>
    </row>
    <row r="1543" customFormat="false" ht="15.75" hidden="true" customHeight="true" outlineLevel="1" collapsed="false">
      <c r="A1543" s="1751" t="e">
        <f aca="false">VLOOKUP('Ввод данных'!A1096,связи1!A318:A321,1,0)</f>
        <v>#N/A</v>
      </c>
      <c r="B1543" s="1527" t="s">
        <v>135</v>
      </c>
      <c r="C1543" s="887" t="n">
        <f aca="false">C1541</f>
        <v>-0.541445759999999</v>
      </c>
      <c r="D1543" s="933"/>
      <c r="E1543" s="933"/>
      <c r="F1543" s="933"/>
      <c r="G1543" s="933"/>
      <c r="H1543" s="933"/>
      <c r="I1543" s="1848" t="n">
        <f aca="false">IF('Ввод данных'!A1096=связи1!A318,'Прайс лист'!G229,0)+IF('Ввод данных'!A1096=связи1!A319,'Прайс лист'!G230,0)+IF('Ввод данных'!A1096=связи1!A320,'Прайс лист'!G231,0)+IF('Ввод данных'!A1096=связи1!A321,'Прайс лист'!G232,0)</f>
        <v>0</v>
      </c>
      <c r="J1543" s="1854" t="n">
        <f aca="false">C1543*O1538*I1543</f>
        <v>0</v>
      </c>
      <c r="K1543" s="933"/>
      <c r="O1543" s="1857" t="str">
        <f aca="false">'Прайс лист'!B1678</f>
        <v>кладка газобетона перегородки</v>
      </c>
      <c r="P1543" s="933"/>
      <c r="Q1543" s="933"/>
      <c r="R1543" s="887" t="s">
        <v>133</v>
      </c>
      <c r="S1543" s="933" t="n">
        <f aca="false">C1522</f>
        <v>0</v>
      </c>
      <c r="T1543" s="1854" t="n">
        <f aca="false">'Прайс лист'!G1678</f>
        <v>500</v>
      </c>
      <c r="U1543" s="1854" t="n">
        <f aca="false">S1543*T1543</f>
        <v>0</v>
      </c>
      <c r="W1543" s="1853"/>
      <c r="X1543" s="1856"/>
      <c r="Y1543" s="998"/>
      <c r="Z1543" s="888"/>
      <c r="AA1543" s="1853"/>
      <c r="AB1543" s="1853"/>
      <c r="AC1543" s="1853"/>
    </row>
    <row r="1544" customFormat="false" ht="15.75" hidden="true" customHeight="true" outlineLevel="1" collapsed="false">
      <c r="A1544" s="1751" t="str">
        <f aca="false">'Ввод данных'!A1098</f>
        <v>Арматура М6 каждый 3-й ряд, 2 нити</v>
      </c>
      <c r="B1544" s="1527" t="s">
        <v>156</v>
      </c>
      <c r="C1544" s="1848" t="n">
        <f aca="false">W38</f>
        <v>480</v>
      </c>
      <c r="D1544" s="933"/>
      <c r="E1544" s="933"/>
      <c r="F1544" s="933"/>
      <c r="G1544" s="933"/>
      <c r="H1544" s="933"/>
      <c r="I1544" s="1848" t="n">
        <f aca="false">VLOOKUP('Ввод данных'!A1098,связи1!A356:F363,6,0)</f>
        <v>0</v>
      </c>
      <c r="J1544" s="1854" t="n">
        <f aca="false">C1544*I1544</f>
        <v>0</v>
      </c>
      <c r="K1544" s="933"/>
      <c r="O1544" s="932" t="str">
        <f aca="false">'Прайс лист'!B1684</f>
        <v>изготовление и монтаж перемычек для окон и дверей</v>
      </c>
      <c r="P1544" s="997"/>
      <c r="Q1544" s="933"/>
      <c r="R1544" s="887" t="s">
        <v>156</v>
      </c>
      <c r="S1544" s="933" t="n">
        <f aca="false">L1574</f>
        <v>2.52</v>
      </c>
      <c r="T1544" s="1854" t="n">
        <f aca="false">'Прайс лист'!G1684</f>
        <v>500</v>
      </c>
      <c r="U1544" s="1854" t="n">
        <f aca="false">S1544*T1544</f>
        <v>1260</v>
      </c>
      <c r="W1544" s="1853"/>
      <c r="X1544" s="1856"/>
      <c r="Y1544" s="998"/>
      <c r="Z1544" s="888"/>
      <c r="AA1544" s="1853"/>
      <c r="AB1544" s="1853"/>
      <c r="AC1544" s="1853"/>
    </row>
    <row r="1545" customFormat="false" ht="15.75" hidden="true" customHeight="true" outlineLevel="1" collapsed="false">
      <c r="A1545" s="1751" t="str">
        <f aca="false">'Ввод данных'!A1100</f>
        <v>Арматура М6 каждый 3-й ряд, 2 нити</v>
      </c>
      <c r="B1545" s="1527" t="s">
        <v>156</v>
      </c>
      <c r="C1545" s="1848" t="n">
        <f aca="false">K1068+K616</f>
        <v>0</v>
      </c>
      <c r="D1545" s="933"/>
      <c r="E1545" s="933"/>
      <c r="F1545" s="933"/>
      <c r="G1545" s="933"/>
      <c r="H1545" s="933"/>
      <c r="I1545" s="933" t="n">
        <f aca="false">VLOOKUP('Ввод данных'!A1100,связи1!A356:F363,6,0)</f>
        <v>0</v>
      </c>
      <c r="J1545" s="1854" t="n">
        <f aca="false">C1545*I1545</f>
        <v>0</v>
      </c>
      <c r="K1545" s="1854"/>
      <c r="O1545" s="932" t="str">
        <f aca="false">'Прайс лист'!B1685</f>
        <v>Замешивание раствора</v>
      </c>
      <c r="P1545" s="997"/>
      <c r="Q1545" s="933"/>
      <c r="R1545" s="887" t="s">
        <v>135</v>
      </c>
      <c r="S1545" s="933" t="n">
        <f aca="false">C1541</f>
        <v>-0.541445759999999</v>
      </c>
      <c r="T1545" s="1854" t="n">
        <f aca="false">'Прайс лист'!G1685</f>
        <v>1500</v>
      </c>
      <c r="U1545" s="1854" t="n">
        <f aca="false">S1545*T1545</f>
        <v>-812.168639999999</v>
      </c>
      <c r="W1545" s="1853"/>
      <c r="X1545" s="1856"/>
      <c r="Y1545" s="998"/>
      <c r="Z1545" s="888"/>
      <c r="AA1545" s="1853"/>
      <c r="AB1545" s="1853"/>
      <c r="AC1545" s="1853"/>
    </row>
    <row r="1546" customFormat="false" ht="15.75" hidden="true" customHeight="true" outlineLevel="1" collapsed="false">
      <c r="A1546" s="1751" t="str">
        <f aca="false">связи1!A327</f>
        <v>Перемычка оконная, 1-ый эт. Вариант 1</v>
      </c>
      <c r="B1546" s="1527" t="s">
        <v>156</v>
      </c>
      <c r="C1546" s="1848" t="n">
        <f aca="false">связи1!E327</f>
        <v>1</v>
      </c>
      <c r="D1546" s="933" t="n">
        <f aca="false">$D$1531/1000</f>
        <v>0.2</v>
      </c>
      <c r="E1546" s="933" t="n">
        <f aca="false">связи1!F327</f>
        <v>1.4</v>
      </c>
      <c r="F1546" s="933" t="n">
        <f aca="false">$F$1531</f>
        <v>100</v>
      </c>
      <c r="G1546" s="933" t="n">
        <f aca="false">C1546*(E1546+0.4)</f>
        <v>1.8</v>
      </c>
      <c r="H1546" s="933"/>
      <c r="I1546" s="1848" t="n">
        <f aca="false">связи1!J327</f>
        <v>1000</v>
      </c>
      <c r="J1546" s="1854" t="n">
        <f aca="false">I1546*E1546*IF(K1546&gt;0,1,0)</f>
        <v>1400</v>
      </c>
      <c r="K1546" s="933" t="n">
        <f aca="false">связи1!I327</f>
        <v>0.028</v>
      </c>
      <c r="L1546" s="1150" t="n">
        <f aca="false">E1546*G1546</f>
        <v>2.52</v>
      </c>
      <c r="O1546" s="932" t="str">
        <f aca="false">'Прайс лист'!B1686</f>
        <v>Армирование стен наружних и перегородок</v>
      </c>
      <c r="P1546" s="997"/>
      <c r="Q1546" s="933"/>
      <c r="R1546" s="887" t="s">
        <v>156</v>
      </c>
      <c r="S1546" s="933" t="n">
        <f aca="false">(C1544+C1545)/2</f>
        <v>240</v>
      </c>
      <c r="T1546" s="1854" t="n">
        <f aca="false">'Прайс лист'!G1686</f>
        <v>70</v>
      </c>
      <c r="U1546" s="1854" t="n">
        <f aca="false">S1546*T1546</f>
        <v>16800</v>
      </c>
      <c r="W1546" s="1853"/>
      <c r="X1546" s="1856"/>
      <c r="Y1546" s="998"/>
      <c r="Z1546" s="888"/>
      <c r="AA1546" s="1853"/>
      <c r="AB1546" s="1853"/>
      <c r="AC1546" s="1853"/>
    </row>
    <row r="1547" customFormat="false" ht="15.75" hidden="true" customHeight="true" outlineLevel="1" collapsed="false">
      <c r="A1547" s="1751" t="str">
        <f aca="false">связи1!A328</f>
        <v>Перемычка оконная, 1-ый эт. Вариант 2</v>
      </c>
      <c r="B1547" s="1527" t="s">
        <v>156</v>
      </c>
      <c r="C1547" s="1848" t="n">
        <f aca="false">связи1!E328</f>
        <v>0</v>
      </c>
      <c r="D1547" s="933" t="n">
        <f aca="false">$D$1531/1000</f>
        <v>0.2</v>
      </c>
      <c r="E1547" s="933" t="n">
        <f aca="false">связи1!F328</f>
        <v>1</v>
      </c>
      <c r="F1547" s="933" t="n">
        <f aca="false">$F$1531</f>
        <v>100</v>
      </c>
      <c r="G1547" s="933" t="n">
        <f aca="false">C1547*(E1547+0.4)</f>
        <v>0</v>
      </c>
      <c r="H1547" s="933"/>
      <c r="I1547" s="1848" t="n">
        <f aca="false">связи1!J328</f>
        <v>1000</v>
      </c>
      <c r="J1547" s="1854" t="n">
        <f aca="false">I1547*E1547*IF(K1547&gt;0,1,0)</f>
        <v>0</v>
      </c>
      <c r="K1547" s="933" t="n">
        <f aca="false">связи1!I328</f>
        <v>0</v>
      </c>
      <c r="L1547" s="1150" t="n">
        <f aca="false">E1547*G1547</f>
        <v>0</v>
      </c>
      <c r="O1547" s="932" t="str">
        <f aca="false">'Прайс лист'!B1687</f>
        <v>Установка опалубки для сейсмопояса</v>
      </c>
      <c r="P1547" s="997"/>
      <c r="Q1547" s="933"/>
      <c r="R1547" s="887" t="s">
        <v>156</v>
      </c>
      <c r="S1547" s="933" t="n">
        <f aca="false">J47+J50+J51</f>
        <v>40</v>
      </c>
      <c r="T1547" s="1854" t="n">
        <f aca="false">'Прайс лист'!G1687</f>
        <v>300</v>
      </c>
      <c r="U1547" s="1854" t="n">
        <f aca="false">S1547*T1547</f>
        <v>12000</v>
      </c>
      <c r="W1547" s="1853"/>
      <c r="X1547" s="1856"/>
      <c r="Y1547" s="998"/>
      <c r="Z1547" s="888"/>
      <c r="AA1547" s="1853"/>
      <c r="AB1547" s="1853"/>
      <c r="AC1547" s="1853"/>
    </row>
    <row r="1548" customFormat="false" ht="15.75" hidden="true" customHeight="true" outlineLevel="1" collapsed="false">
      <c r="A1548" s="1751" t="str">
        <f aca="false">связи1!A329</f>
        <v>Перемычка оконная, 1-ый эт. Вариант 3</v>
      </c>
      <c r="B1548" s="1796" t="s">
        <v>156</v>
      </c>
      <c r="C1548" s="1861" t="n">
        <f aca="false">связи1!E329</f>
        <v>0</v>
      </c>
      <c r="D1548" s="1150" t="n">
        <f aca="false">$D$1531/1000</f>
        <v>0.2</v>
      </c>
      <c r="E1548" s="1376" t="n">
        <f aca="false">связи1!F329</f>
        <v>1.4</v>
      </c>
      <c r="F1548" s="1376" t="n">
        <f aca="false">$F$1531</f>
        <v>100</v>
      </c>
      <c r="G1548" s="933" t="n">
        <f aca="false">C1548*(E1548+0.4)</f>
        <v>0</v>
      </c>
      <c r="H1548" s="1376"/>
      <c r="I1548" s="1861" t="n">
        <f aca="false">связи1!J329</f>
        <v>1000</v>
      </c>
      <c r="J1548" s="1862" t="n">
        <f aca="false">I1548*E1548*IF(K1548&gt;0,1,0)</f>
        <v>0</v>
      </c>
      <c r="K1548" s="1376" t="n">
        <f aca="false">связи1!I329</f>
        <v>0</v>
      </c>
      <c r="L1548" s="1150" t="n">
        <f aca="false">E1548*G1548</f>
        <v>0</v>
      </c>
      <c r="O1548" s="932" t="str">
        <f aca="false">'Прайс лист'!B1688</f>
        <v>Армирование сейсмопояса</v>
      </c>
      <c r="P1548" s="997"/>
      <c r="Q1548" s="933"/>
      <c r="R1548" s="887" t="s">
        <v>156</v>
      </c>
      <c r="S1548" s="933" t="n">
        <f aca="false">S1547</f>
        <v>40</v>
      </c>
      <c r="T1548" s="1854" t="n">
        <f aca="false">'Прайс лист'!G1688</f>
        <v>500</v>
      </c>
      <c r="U1548" s="1854" t="n">
        <f aca="false">S1548*T1548</f>
        <v>20000</v>
      </c>
      <c r="W1548" s="1853"/>
      <c r="X1548" s="1856"/>
      <c r="Y1548" s="998"/>
      <c r="Z1548" s="888"/>
      <c r="AA1548" s="1853"/>
      <c r="AB1548" s="1853"/>
      <c r="AC1548" s="1853"/>
    </row>
    <row r="1549" customFormat="false" ht="15.75" hidden="true" customHeight="true" outlineLevel="1" collapsed="false">
      <c r="A1549" s="1751" t="str">
        <f aca="false">связи1!A330</f>
        <v>Перемычка оконная, 1-ый эт. Вариант 4</v>
      </c>
      <c r="B1549" s="1527" t="s">
        <v>156</v>
      </c>
      <c r="C1549" s="1848" t="n">
        <f aca="false">связи1!E330</f>
        <v>0</v>
      </c>
      <c r="D1549" s="1150" t="n">
        <f aca="false">$D$1531/1000</f>
        <v>0.2</v>
      </c>
      <c r="E1549" s="933" t="n">
        <f aca="false">связи1!F330</f>
        <v>1</v>
      </c>
      <c r="F1549" s="933" t="n">
        <f aca="false">$F$1531</f>
        <v>100</v>
      </c>
      <c r="G1549" s="933" t="n">
        <f aca="false">C1549*(E1549+0.4)</f>
        <v>0</v>
      </c>
      <c r="H1549" s="933"/>
      <c r="I1549" s="1848" t="n">
        <f aca="false">связи1!J330</f>
        <v>1000</v>
      </c>
      <c r="J1549" s="1854" t="n">
        <f aca="false">I1549*E1549*IF(K1549&gt;0,1,0)</f>
        <v>0</v>
      </c>
      <c r="K1549" s="933" t="n">
        <f aca="false">связи1!I330</f>
        <v>0</v>
      </c>
      <c r="L1549" s="1150" t="n">
        <f aca="false">E1549*G1549</f>
        <v>0</v>
      </c>
      <c r="O1549" s="1857" t="str">
        <f aca="false">'Прайс лист'!B1689</f>
        <v>Заливка бетоном сейсмопояса</v>
      </c>
      <c r="P1549" s="1858"/>
      <c r="Q1549" s="933"/>
      <c r="R1549" s="887" t="s">
        <v>156</v>
      </c>
      <c r="S1549" s="1854" t="n">
        <f aca="false">S1547</f>
        <v>40</v>
      </c>
      <c r="T1549" s="1854" t="n">
        <f aca="false">'Прайс лист'!G1689</f>
        <v>700</v>
      </c>
      <c r="U1549" s="1854" t="n">
        <f aca="false">S1549*T1549</f>
        <v>28000</v>
      </c>
      <c r="W1549" s="1853"/>
      <c r="X1549" s="1856"/>
      <c r="Y1549" s="998"/>
      <c r="Z1549" s="888"/>
      <c r="AA1549" s="1853"/>
      <c r="AB1549" s="1853"/>
      <c r="AC1549" s="1853"/>
    </row>
    <row r="1550" customFormat="false" ht="15.75" hidden="true" customHeight="true" outlineLevel="1" collapsed="false">
      <c r="A1550" s="1751" t="str">
        <f aca="false">связи1!A331</f>
        <v>Перемычка оконная, 1-ый эт. Вариант 5</v>
      </c>
      <c r="B1550" s="1527" t="s">
        <v>156</v>
      </c>
      <c r="C1550" s="1848" t="n">
        <f aca="false">связи1!E331</f>
        <v>0</v>
      </c>
      <c r="D1550" s="1150" t="n">
        <f aca="false">$D$1531/1000</f>
        <v>0.2</v>
      </c>
      <c r="E1550" s="933" t="n">
        <f aca="false">связи1!F331</f>
        <v>0.9</v>
      </c>
      <c r="F1550" s="933" t="n">
        <f aca="false">$F$1531</f>
        <v>100</v>
      </c>
      <c r="G1550" s="933" t="n">
        <f aca="false">C1550*(E1550+0.4)</f>
        <v>0</v>
      </c>
      <c r="H1550" s="933"/>
      <c r="I1550" s="1848" t="n">
        <f aca="false">связи1!J331</f>
        <v>1000</v>
      </c>
      <c r="J1550" s="1854" t="n">
        <f aca="false">I1550*E1550*IF(K1550&gt;0,1,0)</f>
        <v>0</v>
      </c>
      <c r="K1550" s="933" t="n">
        <f aca="false">связи1!I331</f>
        <v>0</v>
      </c>
      <c r="L1550" s="1150" t="n">
        <f aca="false">E1550*G1550</f>
        <v>0</v>
      </c>
      <c r="O1550" s="1857" t="str">
        <f aca="false">'Прайс лист'!B1690</f>
        <v>утепление стен снаружи дома</v>
      </c>
      <c r="P1550" s="1858"/>
      <c r="Q1550" s="933"/>
      <c r="R1550" s="887" t="s">
        <v>133</v>
      </c>
      <c r="S1550" s="1854" t="n">
        <f aca="false">C1519*D1510*J1496</f>
        <v>0</v>
      </c>
      <c r="T1550" s="1854" t="n">
        <f aca="false">'Прайс лист'!G1690</f>
        <v>350</v>
      </c>
      <c r="U1550" s="1854" t="n">
        <f aca="false">S1550*T1550</f>
        <v>0</v>
      </c>
      <c r="W1550" s="1853"/>
      <c r="X1550" s="1856"/>
      <c r="Y1550" s="998"/>
      <c r="Z1550" s="888"/>
      <c r="AA1550" s="1853"/>
      <c r="AB1550" s="1853"/>
      <c r="AC1550" s="1853"/>
    </row>
    <row r="1551" customFormat="false" ht="15.75" hidden="true" customHeight="true" outlineLevel="1" collapsed="false">
      <c r="A1551" s="1751" t="str">
        <f aca="false">связи1!A332</f>
        <v>Перемычка оконная, 2-ый эт. Вариант 6</v>
      </c>
      <c r="B1551" s="1527" t="s">
        <v>156</v>
      </c>
      <c r="C1551" s="1848" t="n">
        <f aca="false">связи1!E332</f>
        <v>0</v>
      </c>
      <c r="D1551" s="1150" t="n">
        <f aca="false">$D$1531/1000</f>
        <v>0.2</v>
      </c>
      <c r="E1551" s="933" t="n">
        <f aca="false">связи1!F332</f>
        <v>1</v>
      </c>
      <c r="F1551" s="933" t="n">
        <f aca="false">$F$1531</f>
        <v>100</v>
      </c>
      <c r="G1551" s="933" t="n">
        <f aca="false">C1551*(E1551+0.4)</f>
        <v>0</v>
      </c>
      <c r="H1551" s="933"/>
      <c r="I1551" s="1848" t="n">
        <f aca="false">связи1!J332</f>
        <v>1000</v>
      </c>
      <c r="J1551" s="1854" t="n">
        <f aca="false">I1551*E1551*IF(K1551&gt;0,1,0)</f>
        <v>0</v>
      </c>
      <c r="K1551" s="933" t="n">
        <f aca="false">связи1!I332</f>
        <v>0</v>
      </c>
      <c r="L1551" s="1150" t="n">
        <f aca="false">E1551*G1551</f>
        <v>0</v>
      </c>
      <c r="O1551" s="1857" t="str">
        <f aca="false">'Прайс лист'!B1673</f>
        <v>монтаж ветроизоляции стен</v>
      </c>
      <c r="P1551" s="1858"/>
      <c r="Q1551" s="933"/>
      <c r="R1551" s="887" t="s">
        <v>133</v>
      </c>
      <c r="S1551" s="1854" t="n">
        <f aca="false">S1550*D1511</f>
        <v>0</v>
      </c>
      <c r="T1551" s="1854" t="n">
        <f aca="false">'Прайс лист'!G1673</f>
        <v>100</v>
      </c>
      <c r="U1551" s="1854" t="n">
        <f aca="false">S1551*T1551</f>
        <v>0</v>
      </c>
      <c r="W1551" s="1853"/>
      <c r="X1551" s="1856"/>
      <c r="Y1551" s="998"/>
      <c r="Z1551" s="888"/>
      <c r="AA1551" s="1853"/>
      <c r="AB1551" s="1853"/>
      <c r="AC1551" s="1853"/>
    </row>
    <row r="1552" customFormat="false" ht="15.75" hidden="true" customHeight="true" outlineLevel="1" collapsed="false">
      <c r="A1552" s="1751" t="str">
        <f aca="false">связи1!A333</f>
        <v>Перемычка оконная, 2-ый эт. Вариант 7</v>
      </c>
      <c r="B1552" s="1527" t="s">
        <v>156</v>
      </c>
      <c r="C1552" s="1848" t="n">
        <f aca="false">связи1!E333</f>
        <v>0</v>
      </c>
      <c r="D1552" s="1150" t="n">
        <f aca="false">$D$1531/1000</f>
        <v>0.2</v>
      </c>
      <c r="E1552" s="933" t="n">
        <f aca="false">связи1!F333</f>
        <v>1.2</v>
      </c>
      <c r="F1552" s="933" t="n">
        <f aca="false">$F$1531</f>
        <v>100</v>
      </c>
      <c r="G1552" s="933" t="n">
        <f aca="false">C1552*(E1552+0.4)</f>
        <v>0</v>
      </c>
      <c r="H1552" s="933"/>
      <c r="I1552" s="1848" t="n">
        <f aca="false">связи1!J333</f>
        <v>1000</v>
      </c>
      <c r="J1552" s="1854" t="n">
        <f aca="false">I1552*E1552*IF(K1552&gt;0,1,0)</f>
        <v>0</v>
      </c>
      <c r="K1552" s="933" t="n">
        <f aca="false">связи1!I333</f>
        <v>0</v>
      </c>
      <c r="L1552" s="1150" t="n">
        <f aca="false">E1552*G1552</f>
        <v>0</v>
      </c>
      <c r="O1552" s="1857"/>
      <c r="P1552" s="1858"/>
      <c r="Q1552" s="933"/>
      <c r="R1552" s="887"/>
      <c r="S1552" s="1854"/>
      <c r="T1552" s="1854"/>
      <c r="U1552" s="1854"/>
      <c r="W1552" s="1853"/>
      <c r="X1552" s="1856"/>
      <c r="Y1552" s="998"/>
      <c r="Z1552" s="888"/>
      <c r="AA1552" s="1853"/>
      <c r="AB1552" s="1853"/>
      <c r="AC1552" s="1853"/>
    </row>
    <row r="1553" customFormat="false" ht="15.75" hidden="true" customHeight="true" outlineLevel="1" collapsed="false">
      <c r="A1553" s="1751" t="str">
        <f aca="false">связи1!A334</f>
        <v>Перемычка оконная, 2-ый эт. Вариант 8</v>
      </c>
      <c r="B1553" s="1527" t="s">
        <v>156</v>
      </c>
      <c r="C1553" s="1848" t="n">
        <f aca="false">связи1!E334</f>
        <v>0</v>
      </c>
      <c r="D1553" s="1150" t="n">
        <f aca="false">$D$1531/1000</f>
        <v>0.2</v>
      </c>
      <c r="E1553" s="933" t="n">
        <f aca="false">связи1!F334</f>
        <v>1.4</v>
      </c>
      <c r="F1553" s="933" t="n">
        <f aca="false">$F$1531</f>
        <v>100</v>
      </c>
      <c r="G1553" s="933" t="n">
        <f aca="false">C1553*(E1553+0.4)</f>
        <v>0</v>
      </c>
      <c r="H1553" s="933"/>
      <c r="I1553" s="1848" t="n">
        <f aca="false">связи1!J334</f>
        <v>1000</v>
      </c>
      <c r="J1553" s="1854" t="n">
        <f aca="false">I1553*E1553*IF(K1553&gt;0,1,0)</f>
        <v>0</v>
      </c>
      <c r="K1553" s="933" t="n">
        <f aca="false">связи1!I334</f>
        <v>0</v>
      </c>
      <c r="L1553" s="1150" t="n">
        <f aca="false">E1553*G1553</f>
        <v>0</v>
      </c>
      <c r="O1553" s="1857"/>
      <c r="P1553" s="1858"/>
      <c r="Q1553" s="933"/>
      <c r="R1553" s="887"/>
      <c r="S1553" s="1854"/>
      <c r="T1553" s="1854"/>
      <c r="U1553" s="1854"/>
      <c r="W1553" s="1853"/>
      <c r="X1553" s="1856"/>
      <c r="Y1553" s="998"/>
      <c r="Z1553" s="888"/>
      <c r="AA1553" s="1853"/>
      <c r="AB1553" s="1853"/>
      <c r="AC1553" s="1853"/>
    </row>
    <row r="1554" customFormat="false" ht="15.75" hidden="true" customHeight="true" outlineLevel="1" collapsed="false">
      <c r="A1554" s="1751" t="str">
        <f aca="false">связи1!A335</f>
        <v>Перемычка оконная, 2-ый эт. Вариант 9</v>
      </c>
      <c r="B1554" s="1527" t="s">
        <v>156</v>
      </c>
      <c r="C1554" s="1848" t="n">
        <f aca="false">связи1!E335</f>
        <v>0</v>
      </c>
      <c r="D1554" s="1150" t="n">
        <f aca="false">$D$1531/1000</f>
        <v>0.2</v>
      </c>
      <c r="E1554" s="933" t="n">
        <f aca="false">связи1!F335</f>
        <v>5.4</v>
      </c>
      <c r="F1554" s="933" t="n">
        <f aca="false">$F$1531</f>
        <v>100</v>
      </c>
      <c r="G1554" s="933" t="n">
        <f aca="false">C1554*(E1554+0.4)</f>
        <v>0</v>
      </c>
      <c r="H1554" s="933"/>
      <c r="I1554" s="1848" t="n">
        <f aca="false">связи1!J335</f>
        <v>1000</v>
      </c>
      <c r="J1554" s="1854" t="n">
        <f aca="false">I1554*E1554*IF(K1554&gt;0,1,0)</f>
        <v>0</v>
      </c>
      <c r="K1554" s="933" t="n">
        <f aca="false">связи1!I335</f>
        <v>0</v>
      </c>
      <c r="L1554" s="1150" t="n">
        <f aca="false">E1554*G1554</f>
        <v>0</v>
      </c>
      <c r="O1554" s="1857"/>
      <c r="P1554" s="1858"/>
      <c r="Q1554" s="933"/>
      <c r="R1554" s="887"/>
      <c r="S1554" s="1854"/>
      <c r="T1554" s="1854"/>
      <c r="U1554" s="1854"/>
      <c r="W1554" s="1853"/>
      <c r="X1554" s="1856"/>
      <c r="Y1554" s="998"/>
      <c r="Z1554" s="888"/>
      <c r="AA1554" s="1853"/>
      <c r="AB1554" s="1853"/>
      <c r="AC1554" s="1853"/>
    </row>
    <row r="1555" customFormat="false" ht="15.75" hidden="true" customHeight="true" outlineLevel="1" collapsed="false">
      <c r="A1555" s="1751" t="str">
        <f aca="false">связи1!A336</f>
        <v>Перемычка оконная, 2-ый эт. Вариант 10</v>
      </c>
      <c r="B1555" s="1527" t="s">
        <v>156</v>
      </c>
      <c r="C1555" s="1848" t="n">
        <f aca="false">связи1!E336</f>
        <v>0</v>
      </c>
      <c r="D1555" s="1150" t="n">
        <f aca="false">$D$1531/1000</f>
        <v>0.2</v>
      </c>
      <c r="E1555" s="933" t="n">
        <f aca="false">связи1!F336</f>
        <v>6.4</v>
      </c>
      <c r="F1555" s="933" t="n">
        <f aca="false">$F$1531</f>
        <v>100</v>
      </c>
      <c r="G1555" s="933" t="n">
        <f aca="false">C1555*(E1555+0.4)</f>
        <v>0</v>
      </c>
      <c r="H1555" s="933"/>
      <c r="I1555" s="1848" t="n">
        <f aca="false">связи1!J336</f>
        <v>1000</v>
      </c>
      <c r="J1555" s="1854" t="n">
        <f aca="false">I1555*E1555*IF(K1555&gt;0,1,0)</f>
        <v>0</v>
      </c>
      <c r="K1555" s="933" t="n">
        <f aca="false">связи1!I336</f>
        <v>0</v>
      </c>
      <c r="L1555" s="1150" t="n">
        <f aca="false">E1555*G1555</f>
        <v>0</v>
      </c>
      <c r="O1555" s="1857"/>
      <c r="P1555" s="1858"/>
      <c r="Q1555" s="933"/>
      <c r="R1555" s="887"/>
      <c r="S1555" s="1854"/>
      <c r="T1555" s="1854"/>
      <c r="U1555" s="1854"/>
      <c r="W1555" s="1853"/>
      <c r="X1555" s="1856"/>
      <c r="Y1555" s="998"/>
      <c r="Z1555" s="888"/>
      <c r="AA1555" s="1853"/>
      <c r="AB1555" s="1853"/>
      <c r="AC1555" s="1853"/>
    </row>
    <row r="1556" customFormat="false" ht="15.75" hidden="true" customHeight="true" outlineLevel="1" collapsed="false">
      <c r="A1556" s="1751" t="str">
        <f aca="false">связи1!A337</f>
        <v>Перемычка дверная, 1-ый эт. Вариант 1</v>
      </c>
      <c r="B1556" s="1527" t="s">
        <v>156</v>
      </c>
      <c r="C1556" s="1848" t="n">
        <f aca="false">связи1!E337</f>
        <v>0</v>
      </c>
      <c r="D1556" s="1150" t="n">
        <f aca="false">$D$1531/1000</f>
        <v>0.2</v>
      </c>
      <c r="E1556" s="933" t="n">
        <f aca="false">связи1!F337</f>
        <v>1.2</v>
      </c>
      <c r="F1556" s="933" t="n">
        <f aca="false">$F$1532</f>
        <v>200</v>
      </c>
      <c r="G1556" s="933" t="n">
        <f aca="false">C1556*(E1556+0.4)</f>
        <v>0</v>
      </c>
      <c r="H1556" s="933"/>
      <c r="I1556" s="1848" t="n">
        <f aca="false">связи1!J337</f>
        <v>1000</v>
      </c>
      <c r="J1556" s="1854" t="n">
        <f aca="false">I1556*E1556*IF(K1556&gt;0,1,0)</f>
        <v>0</v>
      </c>
      <c r="K1556" s="933" t="n">
        <f aca="false">связи1!I337</f>
        <v>0</v>
      </c>
      <c r="L1556" s="1150" t="n">
        <f aca="false">E1556*G1556</f>
        <v>0</v>
      </c>
      <c r="O1556" s="1857"/>
      <c r="P1556" s="1858"/>
      <c r="Q1556" s="933"/>
      <c r="R1556" s="887"/>
      <c r="S1556" s="1854"/>
      <c r="T1556" s="1854"/>
      <c r="U1556" s="1854"/>
      <c r="W1556" s="1853"/>
      <c r="X1556" s="1856"/>
      <c r="Y1556" s="998"/>
      <c r="Z1556" s="888"/>
      <c r="AA1556" s="1853"/>
      <c r="AB1556" s="1853"/>
      <c r="AC1556" s="1853"/>
    </row>
    <row r="1557" customFormat="false" ht="15.75" hidden="true" customHeight="true" outlineLevel="1" collapsed="false">
      <c r="A1557" s="1751" t="str">
        <f aca="false">связи1!A338</f>
        <v>Перемычка дверная, 2-ый эт. Вариант 2</v>
      </c>
      <c r="B1557" s="1527" t="s">
        <v>156</v>
      </c>
      <c r="C1557" s="1848" t="n">
        <f aca="false">связи1!E338</f>
        <v>0</v>
      </c>
      <c r="D1557" s="1150" t="n">
        <f aca="false">$D$1531/1000</f>
        <v>0.2</v>
      </c>
      <c r="E1557" s="933" t="n">
        <f aca="false">связи1!F338</f>
        <v>1.2</v>
      </c>
      <c r="F1557" s="933" t="n">
        <f aca="false">$F$1532</f>
        <v>200</v>
      </c>
      <c r="G1557" s="933" t="n">
        <f aca="false">C1557*(E1557+0.4)</f>
        <v>0</v>
      </c>
      <c r="H1557" s="933"/>
      <c r="I1557" s="1848" t="n">
        <f aca="false">связи1!J338</f>
        <v>1000</v>
      </c>
      <c r="J1557" s="1854" t="n">
        <f aca="false">I1557*E1557*IF(K1557&gt;0,1,0)</f>
        <v>0</v>
      </c>
      <c r="K1557" s="933" t="n">
        <f aca="false">связи1!I338</f>
        <v>0</v>
      </c>
      <c r="L1557" s="1150" t="n">
        <f aca="false">E1557*G1557</f>
        <v>0</v>
      </c>
      <c r="O1557" s="1857"/>
      <c r="P1557" s="1858"/>
      <c r="Q1557" s="933"/>
      <c r="R1557" s="887"/>
      <c r="S1557" s="1854"/>
      <c r="T1557" s="1854"/>
      <c r="U1557" s="1854"/>
      <c r="W1557" s="1853"/>
      <c r="X1557" s="1856"/>
      <c r="Y1557" s="998"/>
      <c r="Z1557" s="888"/>
      <c r="AA1557" s="1853"/>
      <c r="AB1557" s="1853"/>
      <c r="AC1557" s="1853"/>
    </row>
    <row r="1558" customFormat="false" ht="15.75" hidden="true" customHeight="true" outlineLevel="1" collapsed="false">
      <c r="A1558" s="1751" t="str">
        <f aca="false">связи1!A339</f>
        <v>Перемычка оконная 1-ый эт, Вариант 11</v>
      </c>
      <c r="B1558" s="1527" t="s">
        <v>156</v>
      </c>
      <c r="C1558" s="1848" t="n">
        <f aca="false">связи1!E339</f>
        <v>0</v>
      </c>
      <c r="D1558" s="1150" t="n">
        <f aca="false">$D$1531/1000</f>
        <v>0.2</v>
      </c>
      <c r="E1558" s="933" t="n">
        <f aca="false">связи1!F339</f>
        <v>2.4</v>
      </c>
      <c r="F1558" s="933" t="n">
        <f aca="false">$F$1532</f>
        <v>200</v>
      </c>
      <c r="G1558" s="933" t="n">
        <f aca="false">C1558*(E1558+0.4)</f>
        <v>0</v>
      </c>
      <c r="H1558" s="933"/>
      <c r="I1558" s="1848" t="n">
        <f aca="false">связи1!J339</f>
        <v>1000</v>
      </c>
      <c r="J1558" s="1854" t="n">
        <f aca="false">I1558*E1558*IF(K1558&gt;0,1,0)</f>
        <v>0</v>
      </c>
      <c r="K1558" s="933" t="n">
        <f aca="false">связи1!I339</f>
        <v>0</v>
      </c>
      <c r="L1558" s="1150" t="n">
        <f aca="false">E1558*G1558</f>
        <v>0</v>
      </c>
      <c r="O1558" s="1857"/>
      <c r="P1558" s="1858"/>
      <c r="Q1558" s="933"/>
      <c r="R1558" s="887"/>
      <c r="S1558" s="1854"/>
      <c r="T1558" s="1854"/>
      <c r="U1558" s="1854"/>
      <c r="W1558" s="1853"/>
      <c r="X1558" s="1856"/>
      <c r="Y1558" s="998"/>
      <c r="Z1558" s="888"/>
      <c r="AA1558" s="1853"/>
      <c r="AB1558" s="1853"/>
      <c r="AC1558" s="1853"/>
    </row>
    <row r="1559" customFormat="false" ht="15.75" hidden="true" customHeight="true" outlineLevel="1" collapsed="false">
      <c r="A1559" s="1751" t="str">
        <f aca="false">связи1!A340</f>
        <v>Перемычка оконная 1-ый эт, Вариант 12</v>
      </c>
      <c r="B1559" s="1527" t="s">
        <v>156</v>
      </c>
      <c r="C1559" s="1848" t="n">
        <f aca="false">связи1!E340</f>
        <v>0</v>
      </c>
      <c r="D1559" s="1150" t="n">
        <f aca="false">$D$1531/1000</f>
        <v>0.2</v>
      </c>
      <c r="E1559" s="933" t="n">
        <f aca="false">связи1!F340</f>
        <v>0.4</v>
      </c>
      <c r="F1559" s="933" t="n">
        <f aca="false">$F$1532</f>
        <v>200</v>
      </c>
      <c r="G1559" s="933" t="n">
        <f aca="false">C1559*(E1559+0.4)</f>
        <v>0</v>
      </c>
      <c r="H1559" s="933"/>
      <c r="I1559" s="1848" t="n">
        <f aca="false">связи1!J340</f>
        <v>1000</v>
      </c>
      <c r="J1559" s="1854" t="n">
        <f aca="false">I1559*E1559*IF(K1559&gt;0,1,0)</f>
        <v>0</v>
      </c>
      <c r="K1559" s="933" t="n">
        <f aca="false">связи1!I340</f>
        <v>0</v>
      </c>
      <c r="L1559" s="1150" t="n">
        <f aca="false">E1559*G1559</f>
        <v>0</v>
      </c>
      <c r="W1559" s="1853"/>
      <c r="X1559" s="1856"/>
      <c r="Y1559" s="998"/>
      <c r="Z1559" s="888"/>
      <c r="AA1559" s="1853"/>
      <c r="AB1559" s="1853"/>
      <c r="AC1559" s="1853"/>
    </row>
    <row r="1560" customFormat="false" ht="15.75" hidden="true" customHeight="true" outlineLevel="1" collapsed="false">
      <c r="A1560" s="1751" t="str">
        <f aca="false">связи1!A341</f>
        <v>Перемычка дверная, 1-ый эт. Вариант 4</v>
      </c>
      <c r="B1560" s="1527" t="s">
        <v>156</v>
      </c>
      <c r="C1560" s="1848" t="n">
        <f aca="false">связи1!E341</f>
        <v>0</v>
      </c>
      <c r="D1560" s="1150" t="n">
        <f aca="false">$D$1532/1000</f>
        <v>0.2</v>
      </c>
      <c r="E1560" s="933" t="n">
        <f aca="false">связи1!F341</f>
        <v>1.2</v>
      </c>
      <c r="F1560" s="933" t="n">
        <f aca="false">$F$1532</f>
        <v>200</v>
      </c>
      <c r="G1560" s="933" t="n">
        <f aca="false">C1560*(E1560+0.4)</f>
        <v>0</v>
      </c>
      <c r="H1560" s="933"/>
      <c r="I1560" s="1848" t="n">
        <f aca="false">связи1!J341</f>
        <v>1000</v>
      </c>
      <c r="J1560" s="1854" t="n">
        <f aca="false">I1560*E1560*IF(K1560&gt;0,1,0)</f>
        <v>0</v>
      </c>
      <c r="K1560" s="933" t="n">
        <f aca="false">связи1!I341</f>
        <v>0</v>
      </c>
      <c r="L1560" s="1150" t="n">
        <f aca="false">E1560*G1560</f>
        <v>0</v>
      </c>
      <c r="W1560" s="1853"/>
      <c r="X1560" s="1856"/>
      <c r="Y1560" s="998"/>
      <c r="Z1560" s="888"/>
      <c r="AA1560" s="1853"/>
      <c r="AB1560" s="1853"/>
      <c r="AC1560" s="1853"/>
    </row>
    <row r="1561" customFormat="false" ht="15.75" hidden="true" customHeight="true" outlineLevel="1" collapsed="false">
      <c r="A1561" s="1751" t="str">
        <f aca="false">связи1!A342</f>
        <v>Перемычка дверная, 1-ый эт. Вариант 5</v>
      </c>
      <c r="B1561" s="1527" t="s">
        <v>156</v>
      </c>
      <c r="C1561" s="1848" t="n">
        <f aca="false">связи1!E342</f>
        <v>0</v>
      </c>
      <c r="D1561" s="1150" t="n">
        <f aca="false">$D$1532/1000</f>
        <v>0.2</v>
      </c>
      <c r="E1561" s="933" t="n">
        <f aca="false">связи1!F342</f>
        <v>1</v>
      </c>
      <c r="F1561" s="933" t="n">
        <f aca="false">$F$1532</f>
        <v>200</v>
      </c>
      <c r="G1561" s="933" t="n">
        <f aca="false">C1561*(E1561+0.4)</f>
        <v>0</v>
      </c>
      <c r="H1561" s="933"/>
      <c r="I1561" s="1848" t="n">
        <f aca="false">связи1!J342</f>
        <v>1000</v>
      </c>
      <c r="J1561" s="1854" t="n">
        <f aca="false">I1561*E1561*IF(K1561&gt;0,1,0)</f>
        <v>0</v>
      </c>
      <c r="K1561" s="933" t="n">
        <f aca="false">связи1!I342</f>
        <v>0</v>
      </c>
      <c r="L1561" s="1150" t="n">
        <f aca="false">E1561*G1561</f>
        <v>0</v>
      </c>
      <c r="W1561" s="1853"/>
      <c r="X1561" s="1856"/>
      <c r="Y1561" s="998"/>
      <c r="Z1561" s="888"/>
      <c r="AA1561" s="1853"/>
      <c r="AB1561" s="1853"/>
      <c r="AC1561" s="1853"/>
    </row>
    <row r="1562" customFormat="false" ht="15.75" hidden="true" customHeight="true" outlineLevel="1" collapsed="false">
      <c r="A1562" s="1751" t="str">
        <f aca="false">связи1!A343</f>
        <v>Перемычка дверная, 1-ый эт. Вариант 6</v>
      </c>
      <c r="B1562" s="1527" t="s">
        <v>156</v>
      </c>
      <c r="C1562" s="1848" t="n">
        <f aca="false">связи1!E343</f>
        <v>0</v>
      </c>
      <c r="D1562" s="1150" t="n">
        <f aca="false">$D$1532/1000</f>
        <v>0.2</v>
      </c>
      <c r="E1562" s="933" t="n">
        <f aca="false">связи1!F343</f>
        <v>1.3</v>
      </c>
      <c r="F1562" s="933" t="n">
        <f aca="false">$F$1532</f>
        <v>200</v>
      </c>
      <c r="G1562" s="933" t="n">
        <f aca="false">C1562*(E1562+0.4)</f>
        <v>0</v>
      </c>
      <c r="H1562" s="933"/>
      <c r="I1562" s="1848" t="n">
        <f aca="false">связи1!J343</f>
        <v>1000</v>
      </c>
      <c r="J1562" s="1854" t="n">
        <f aca="false">I1562*E1562*IF(K1562&gt;0,1,0)</f>
        <v>0</v>
      </c>
      <c r="K1562" s="933" t="n">
        <f aca="false">связи1!I343</f>
        <v>0</v>
      </c>
      <c r="L1562" s="1150" t="n">
        <f aca="false">E1562*G1562</f>
        <v>0</v>
      </c>
      <c r="O1562" s="1853"/>
      <c r="P1562" s="1856"/>
      <c r="Q1562" s="998"/>
      <c r="R1562" s="888"/>
      <c r="S1562" s="1853"/>
      <c r="T1562" s="1853"/>
      <c r="U1562" s="1853"/>
      <c r="W1562" s="1853"/>
      <c r="X1562" s="1856"/>
      <c r="Y1562" s="998"/>
      <c r="Z1562" s="888"/>
      <c r="AA1562" s="1853"/>
      <c r="AB1562" s="1853"/>
      <c r="AC1562" s="1853"/>
    </row>
    <row r="1563" customFormat="false" ht="15.75" hidden="true" customHeight="true" outlineLevel="1" collapsed="false">
      <c r="A1563" s="1751" t="str">
        <f aca="false">связи1!A344</f>
        <v>Перемычка дверная, 2-ый эт. Вариант 7</v>
      </c>
      <c r="B1563" s="1527" t="s">
        <v>156</v>
      </c>
      <c r="C1563" s="1848" t="n">
        <f aca="false">связи1!E344</f>
        <v>0</v>
      </c>
      <c r="D1563" s="1150" t="n">
        <f aca="false">$D$1532/1000</f>
        <v>0.2</v>
      </c>
      <c r="E1563" s="933" t="n">
        <f aca="false">связи1!F344</f>
        <v>1.2</v>
      </c>
      <c r="F1563" s="933" t="n">
        <f aca="false">$F$1532</f>
        <v>200</v>
      </c>
      <c r="G1563" s="933" t="n">
        <f aca="false">C1563*(E1563+0.4)</f>
        <v>0</v>
      </c>
      <c r="H1563" s="933"/>
      <c r="I1563" s="1848" t="n">
        <f aca="false">связи1!J344</f>
        <v>1000</v>
      </c>
      <c r="J1563" s="1854" t="n">
        <f aca="false">I1563*E1563*IF(K1563&gt;0,1,0)</f>
        <v>0</v>
      </c>
      <c r="K1563" s="933" t="n">
        <f aca="false">связи1!I344</f>
        <v>0</v>
      </c>
      <c r="L1563" s="1150" t="n">
        <f aca="false">E1563*G1563</f>
        <v>0</v>
      </c>
      <c r="O1563" s="1853"/>
      <c r="P1563" s="1856"/>
      <c r="Q1563" s="998"/>
      <c r="R1563" s="888"/>
      <c r="S1563" s="1853"/>
      <c r="T1563" s="1853"/>
      <c r="U1563" s="1853"/>
      <c r="W1563" s="1853"/>
      <c r="X1563" s="1856"/>
      <c r="Y1563" s="998"/>
      <c r="Z1563" s="888"/>
      <c r="AA1563" s="1853"/>
      <c r="AB1563" s="1853"/>
      <c r="AC1563" s="1853"/>
    </row>
    <row r="1564" customFormat="false" ht="15.75" hidden="true" customHeight="true" outlineLevel="1" collapsed="false">
      <c r="A1564" s="1751" t="str">
        <f aca="false">связи1!A345</f>
        <v>Перемычка дверная, 2-ый эт. Вариант 8</v>
      </c>
      <c r="B1564" s="1527" t="s">
        <v>156</v>
      </c>
      <c r="C1564" s="1848" t="n">
        <f aca="false">связи1!E345</f>
        <v>0</v>
      </c>
      <c r="D1564" s="1150" t="n">
        <f aca="false">$D$1532/1000</f>
        <v>0.2</v>
      </c>
      <c r="E1564" s="933" t="n">
        <f aca="false">связи1!F345</f>
        <v>1.4</v>
      </c>
      <c r="F1564" s="933" t="n">
        <f aca="false">$F$1532</f>
        <v>200</v>
      </c>
      <c r="G1564" s="933" t="n">
        <f aca="false">C1564*(E1564+0.4)</f>
        <v>0</v>
      </c>
      <c r="H1564" s="933"/>
      <c r="I1564" s="1848" t="n">
        <f aca="false">связи1!J345</f>
        <v>1000</v>
      </c>
      <c r="J1564" s="1854" t="n">
        <f aca="false">I1564*E1564*IF(K1564&gt;0,1,0)</f>
        <v>0</v>
      </c>
      <c r="K1564" s="933" t="n">
        <f aca="false">связи1!I345</f>
        <v>0</v>
      </c>
      <c r="L1564" s="1150" t="n">
        <f aca="false">E1564*G1564</f>
        <v>0</v>
      </c>
      <c r="O1564" s="1853"/>
      <c r="P1564" s="1856"/>
      <c r="Q1564" s="998"/>
      <c r="R1564" s="888"/>
      <c r="S1564" s="1853"/>
      <c r="T1564" s="1853"/>
      <c r="U1564" s="1853"/>
      <c r="W1564" s="1853"/>
      <c r="X1564" s="1856"/>
      <c r="Y1564" s="998"/>
      <c r="Z1564" s="888"/>
      <c r="AA1564" s="1853"/>
      <c r="AB1564" s="1853"/>
      <c r="AC1564" s="1853"/>
    </row>
    <row r="1565" customFormat="false" ht="15.75" hidden="true" customHeight="true" outlineLevel="1" collapsed="false">
      <c r="A1565" s="1751" t="str">
        <f aca="false">связи1!A346</f>
        <v>Перемычка дверная, 2-ый эт. Вариант 9</v>
      </c>
      <c r="B1565" s="1527" t="s">
        <v>156</v>
      </c>
      <c r="C1565" s="1527" t="n">
        <f aca="false">связи1!E346</f>
        <v>0</v>
      </c>
      <c r="D1565" s="1150" t="n">
        <f aca="false">$D$1532/1000</f>
        <v>0.2</v>
      </c>
      <c r="E1565" s="933" t="n">
        <f aca="false">связи1!F346</f>
        <v>1.4</v>
      </c>
      <c r="F1565" s="933" t="n">
        <f aca="false">$F$1532</f>
        <v>200</v>
      </c>
      <c r="G1565" s="933" t="n">
        <f aca="false">C1565*(E1565+0.4)</f>
        <v>0</v>
      </c>
      <c r="H1565" s="933"/>
      <c r="I1565" s="1848" t="n">
        <f aca="false">связи1!J346</f>
        <v>1000</v>
      </c>
      <c r="J1565" s="1854" t="n">
        <f aca="false">I1565*E1565*IF(K1565&gt;0,1,0)</f>
        <v>0</v>
      </c>
      <c r="K1565" s="933" t="n">
        <f aca="false">связи1!I346</f>
        <v>0</v>
      </c>
      <c r="L1565" s="1150" t="n">
        <f aca="false">E1565*G1565</f>
        <v>0</v>
      </c>
      <c r="O1565" s="1853"/>
      <c r="P1565" s="1856"/>
      <c r="Q1565" s="998"/>
      <c r="R1565" s="888"/>
      <c r="S1565" s="1853"/>
      <c r="T1565" s="1853"/>
      <c r="U1565" s="1853"/>
    </row>
    <row r="1566" customFormat="false" ht="15.75" hidden="true" customHeight="true" outlineLevel="1" collapsed="false">
      <c r="A1566" s="1751" t="str">
        <f aca="false">связи1!A347</f>
        <v>Перемычка проема, 1-ый эт. Вариант 10</v>
      </c>
      <c r="B1566" s="1527" t="s">
        <v>156</v>
      </c>
      <c r="C1566" s="1527" t="n">
        <f aca="false">связи1!E347</f>
        <v>0</v>
      </c>
      <c r="D1566" s="1150" t="n">
        <f aca="false">$D$1532/1000</f>
        <v>0.2</v>
      </c>
      <c r="E1566" s="933" t="n">
        <f aca="false">связи1!F347</f>
        <v>2.4</v>
      </c>
      <c r="F1566" s="933" t="n">
        <f aca="false">$F$1532</f>
        <v>200</v>
      </c>
      <c r="G1566" s="933" t="n">
        <f aca="false">C1566*(E1566+0.4)</f>
        <v>0</v>
      </c>
      <c r="H1566" s="933"/>
      <c r="I1566" s="1848" t="n">
        <f aca="false">связи1!J347</f>
        <v>1000</v>
      </c>
      <c r="J1566" s="1854" t="n">
        <f aca="false">I1566*E1566*IF(K1566&gt;0,1,0)</f>
        <v>0</v>
      </c>
      <c r="K1566" s="933" t="n">
        <f aca="false">связи1!I347</f>
        <v>0</v>
      </c>
      <c r="L1566" s="1150" t="n">
        <f aca="false">E1566*G1566</f>
        <v>0</v>
      </c>
      <c r="O1566" s="1853"/>
      <c r="P1566" s="1856"/>
      <c r="Q1566" s="998"/>
      <c r="R1566" s="888"/>
      <c r="S1566" s="1853"/>
      <c r="T1566" s="1853"/>
      <c r="U1566" s="1853"/>
    </row>
    <row r="1567" customFormat="false" ht="15.75" hidden="true" customHeight="true" outlineLevel="1" collapsed="false">
      <c r="A1567" s="1751" t="str">
        <f aca="false">связи1!A348</f>
        <v>Перемычка проема, 1-ый эт. Вариант 11</v>
      </c>
      <c r="B1567" s="1527" t="s">
        <v>156</v>
      </c>
      <c r="C1567" s="1527" t="n">
        <f aca="false">связи1!E348</f>
        <v>0</v>
      </c>
      <c r="D1567" s="1150" t="n">
        <f aca="false">$D$1532/1000</f>
        <v>0.2</v>
      </c>
      <c r="E1567" s="933" t="n">
        <f aca="false">связи1!F348</f>
        <v>1.8</v>
      </c>
      <c r="F1567" s="933" t="n">
        <f aca="false">$F$1532</f>
        <v>200</v>
      </c>
      <c r="G1567" s="933" t="n">
        <f aca="false">C1567*(E1567+0.4)</f>
        <v>0</v>
      </c>
      <c r="H1567" s="933"/>
      <c r="I1567" s="1848" t="n">
        <f aca="false">связи1!J348</f>
        <v>1000</v>
      </c>
      <c r="J1567" s="1854" t="n">
        <f aca="false">I1567*E1567*IF(K1567&gt;0,1,0)</f>
        <v>0</v>
      </c>
      <c r="K1567" s="933" t="n">
        <f aca="false">связи1!I348</f>
        <v>0</v>
      </c>
      <c r="L1567" s="1150" t="n">
        <f aca="false">E1567*G1567</f>
        <v>0</v>
      </c>
      <c r="O1567" s="1853"/>
      <c r="P1567" s="1856"/>
      <c r="Q1567" s="998"/>
      <c r="R1567" s="888"/>
      <c r="S1567" s="1853"/>
      <c r="T1567" s="1853"/>
      <c r="U1567" s="1853"/>
    </row>
    <row r="1568" customFormat="false" ht="15.75" hidden="true" customHeight="true" outlineLevel="1" collapsed="false">
      <c r="A1568" s="1751" t="str">
        <f aca="false">связи1!A349</f>
        <v>Перемычка проема, 2-ый эт. Вариант 12</v>
      </c>
      <c r="B1568" s="1527" t="s">
        <v>156</v>
      </c>
      <c r="C1568" s="1527" t="n">
        <f aca="false">связи1!E349</f>
        <v>0</v>
      </c>
      <c r="D1568" s="1150" t="n">
        <f aca="false">$D$1532/1000</f>
        <v>0.2</v>
      </c>
      <c r="E1568" s="933" t="n">
        <f aca="false">связи1!F349</f>
        <v>2.4</v>
      </c>
      <c r="F1568" s="933" t="n">
        <f aca="false">$F$1532</f>
        <v>200</v>
      </c>
      <c r="G1568" s="933" t="n">
        <f aca="false">C1568*(E1568+0.4)</f>
        <v>0</v>
      </c>
      <c r="H1568" s="933"/>
      <c r="I1568" s="1848" t="n">
        <f aca="false">связи1!J349</f>
        <v>1000</v>
      </c>
      <c r="J1568" s="1854" t="n">
        <f aca="false">I1568*E1568*IF(K1568&gt;0,1,0)</f>
        <v>0</v>
      </c>
      <c r="K1568" s="933" t="n">
        <f aca="false">связи1!I349</f>
        <v>0</v>
      </c>
      <c r="L1568" s="1150" t="n">
        <f aca="false">E1568*G1568</f>
        <v>0</v>
      </c>
      <c r="O1568" s="1853"/>
      <c r="P1568" s="1856"/>
      <c r="Q1568" s="998"/>
      <c r="R1568" s="888"/>
      <c r="S1568" s="1853"/>
      <c r="T1568" s="1853"/>
      <c r="U1568" s="1853"/>
    </row>
    <row r="1569" customFormat="false" ht="15.75" hidden="true" customHeight="true" outlineLevel="1" collapsed="false">
      <c r="A1569" s="1751" t="str">
        <f aca="false">связи1!A350</f>
        <v>Перемычка проема, 2-ый эт. Вариант 13</v>
      </c>
      <c r="B1569" s="1527" t="s">
        <v>156</v>
      </c>
      <c r="C1569" s="1527" t="n">
        <f aca="false">связи1!E350</f>
        <v>0</v>
      </c>
      <c r="D1569" s="1150" t="n">
        <f aca="false">$D$1532/1000</f>
        <v>0.2</v>
      </c>
      <c r="E1569" s="933" t="n">
        <f aca="false">связи1!F350</f>
        <v>2.4</v>
      </c>
      <c r="F1569" s="933" t="n">
        <f aca="false">$F$1532</f>
        <v>200</v>
      </c>
      <c r="G1569" s="933" t="n">
        <f aca="false">C1569*(E1569+0.4)</f>
        <v>0</v>
      </c>
      <c r="H1569" s="933"/>
      <c r="I1569" s="1848" t="n">
        <f aca="false">связи1!J350</f>
        <v>1000</v>
      </c>
      <c r="J1569" s="1854" t="n">
        <f aca="false">I1569*E1569*IF(K1569&gt;0,1,0)</f>
        <v>0</v>
      </c>
      <c r="K1569" s="933" t="n">
        <f aca="false">связи1!I350</f>
        <v>0</v>
      </c>
      <c r="L1569" s="1150" t="n">
        <f aca="false">E1569*G1569</f>
        <v>0</v>
      </c>
      <c r="O1569" s="1853"/>
      <c r="P1569" s="1856"/>
      <c r="Q1569" s="998"/>
      <c r="R1569" s="888"/>
      <c r="S1569" s="1853"/>
      <c r="T1569" s="1853"/>
      <c r="U1569" s="1853"/>
    </row>
    <row r="1570" customFormat="false" ht="15.75" hidden="true" customHeight="true" outlineLevel="1" collapsed="false">
      <c r="A1570" s="1751" t="str">
        <f aca="false">связи1!A351</f>
        <v>Перемычка дверная, 1-ый эт. Вариант 1</v>
      </c>
      <c r="B1570" s="1527" t="s">
        <v>156</v>
      </c>
      <c r="C1570" s="1527" t="n">
        <f aca="false">связи1!E351</f>
        <v>0</v>
      </c>
      <c r="D1570" s="1150" t="n">
        <f aca="false">$D$1531/1000</f>
        <v>0.2</v>
      </c>
      <c r="E1570" s="933" t="n">
        <f aca="false">связи1!F351</f>
        <v>1.2</v>
      </c>
      <c r="F1570" s="933" t="n">
        <f aca="false">$F$1531</f>
        <v>100</v>
      </c>
      <c r="G1570" s="933" t="n">
        <f aca="false">C1570*(E1570+0.4)</f>
        <v>0</v>
      </c>
      <c r="H1570" s="933"/>
      <c r="I1570" s="1848" t="n">
        <f aca="false">связи1!J351</f>
        <v>1000</v>
      </c>
      <c r="J1570" s="1854" t="n">
        <f aca="false">I1570*E1570*IF(K1570&gt;0,1,0)</f>
        <v>0</v>
      </c>
      <c r="K1570" s="933" t="n">
        <f aca="false">связи1!I351</f>
        <v>0</v>
      </c>
      <c r="L1570" s="1150" t="n">
        <f aca="false">E1570*G1570</f>
        <v>0</v>
      </c>
      <c r="O1570" s="1853"/>
      <c r="P1570" s="1856"/>
      <c r="Q1570" s="998"/>
      <c r="R1570" s="998"/>
      <c r="S1570" s="1853"/>
      <c r="T1570" s="1853"/>
      <c r="U1570" s="1853"/>
    </row>
    <row r="1571" customFormat="false" ht="15.75" hidden="true" customHeight="true" outlineLevel="1" collapsed="false">
      <c r="A1571" s="1751" t="str">
        <f aca="false">связи1!A352</f>
        <v>Перемычка дверная, 1-ый эт. Вариант 2</v>
      </c>
      <c r="B1571" s="1527" t="s">
        <v>156</v>
      </c>
      <c r="C1571" s="1527" t="n">
        <f aca="false">связи1!E352</f>
        <v>0</v>
      </c>
      <c r="D1571" s="1150" t="n">
        <f aca="false">$D$1531/1000</f>
        <v>0.2</v>
      </c>
      <c r="E1571" s="933" t="n">
        <f aca="false">связи1!F352</f>
        <v>1.3</v>
      </c>
      <c r="F1571" s="933" t="n">
        <f aca="false">$F$1531</f>
        <v>100</v>
      </c>
      <c r="G1571" s="933" t="n">
        <f aca="false">C1571*(E1571+0.4)</f>
        <v>0</v>
      </c>
      <c r="H1571" s="933"/>
      <c r="I1571" s="1848" t="n">
        <f aca="false">связи1!J352</f>
        <v>1000</v>
      </c>
      <c r="J1571" s="1854" t="n">
        <f aca="false">I1571*E1571*IF(K1571&gt;0,1,0)</f>
        <v>0</v>
      </c>
      <c r="K1571" s="933" t="n">
        <f aca="false">связи1!I352</f>
        <v>0</v>
      </c>
      <c r="L1571" s="1150" t="n">
        <f aca="false">E1571*G1571</f>
        <v>0</v>
      </c>
    </row>
    <row r="1572" customFormat="false" ht="15.75" hidden="true" customHeight="true" outlineLevel="1" collapsed="false">
      <c r="A1572" s="1751" t="str">
        <f aca="false">связи1!A353</f>
        <v>Перемычка дверная, 1-ый эт. Вариант 3</v>
      </c>
      <c r="B1572" s="1527" t="s">
        <v>156</v>
      </c>
      <c r="C1572" s="1527" t="n">
        <f aca="false">связи1!E353</f>
        <v>0</v>
      </c>
      <c r="D1572" s="1150" t="n">
        <f aca="false">$D$1531/1000</f>
        <v>0.2</v>
      </c>
      <c r="E1572" s="933" t="n">
        <f aca="false">связи1!F353</f>
        <v>1.4</v>
      </c>
      <c r="F1572" s="933" t="n">
        <f aca="false">$F$1531</f>
        <v>100</v>
      </c>
      <c r="G1572" s="933" t="n">
        <f aca="false">C1572*(E1572+0.4)</f>
        <v>0</v>
      </c>
      <c r="H1572" s="933"/>
      <c r="I1572" s="1848" t="n">
        <f aca="false">связи1!J353</f>
        <v>1000</v>
      </c>
      <c r="J1572" s="1854" t="n">
        <f aca="false">I1572*E1572*IF(K1572&gt;0,1,0)</f>
        <v>0</v>
      </c>
      <c r="K1572" s="933" t="n">
        <f aca="false">связи1!I353</f>
        <v>0</v>
      </c>
      <c r="L1572" s="1150" t="n">
        <f aca="false">E1572*G1572</f>
        <v>0</v>
      </c>
    </row>
    <row r="1573" customFormat="false" ht="15.75" hidden="true" customHeight="true" outlineLevel="1" collapsed="false">
      <c r="A1573" s="1751" t="str">
        <f aca="false">'Прайс лист'!B295</f>
        <v>Сосна влаж,200*40мм</v>
      </c>
      <c r="B1573" s="1527" t="s">
        <v>135</v>
      </c>
      <c r="C1573" s="1527" t="n">
        <f aca="false">(J47+J50*2+J51*2)*1.3*(D1531/1000+0.2)*0.04</f>
        <v>0.832</v>
      </c>
      <c r="D1573" s="933"/>
      <c r="E1573" s="933"/>
      <c r="F1573" s="933"/>
      <c r="G1573" s="933"/>
      <c r="H1573" s="933"/>
      <c r="I1573" s="1848" t="n">
        <f aca="false">'Прайс лист'!G295</f>
        <v>6500</v>
      </c>
      <c r="J1573" s="1854" t="n">
        <f aca="false">C1573*I1573</f>
        <v>5408</v>
      </c>
      <c r="K1573" s="933"/>
    </row>
    <row r="1574" customFormat="false" ht="15.75" hidden="true" customHeight="true" outlineLevel="1" collapsed="false">
      <c r="A1574" s="1751" t="str">
        <f aca="false">'Ввод данных'!A1102</f>
        <v>Сейсмопояс Арматура М10 4 нити</v>
      </c>
      <c r="B1574" s="1527" t="s">
        <v>156</v>
      </c>
      <c r="C1574" s="1527" t="n">
        <f aca="false">J47*4*1.1</f>
        <v>176</v>
      </c>
      <c r="D1574" s="933"/>
      <c r="E1574" s="933"/>
      <c r="F1574" s="933"/>
      <c r="G1574" s="933"/>
      <c r="H1574" s="933"/>
      <c r="I1574" s="1848" t="n">
        <f aca="false">VLOOKUP('Ввод данных'!A1102,связи1!A365:F372,6,0)</f>
        <v>21.0397</v>
      </c>
      <c r="J1574" s="1854" t="n">
        <f aca="false">C1574*I1574</f>
        <v>3702.9872</v>
      </c>
      <c r="K1574" s="933"/>
      <c r="L1574" s="1220" t="n">
        <f aca="false">SUM(L1546:L1573)</f>
        <v>2.52</v>
      </c>
      <c r="M1574" s="1309"/>
      <c r="N1574" s="1309"/>
    </row>
    <row r="1575" customFormat="false" ht="15.75" hidden="true" customHeight="true" outlineLevel="1" collapsed="false">
      <c r="A1575" s="1751" t="str">
        <f aca="false">'Ввод данных'!A1104</f>
        <v>Хомут для сейсмопояса Арматура М6, шаг 400мм</v>
      </c>
      <c r="B1575" s="1527" t="s">
        <v>156</v>
      </c>
      <c r="C1575" s="1527" t="n">
        <f aca="false">J47/VLOOKUP('Ввод данных'!A1104,связи1!A374:F379,3,0)*0.9</f>
        <v>90</v>
      </c>
      <c r="D1575" s="933"/>
      <c r="E1575" s="933"/>
      <c r="F1575" s="933"/>
      <c r="G1575" s="933"/>
      <c r="H1575" s="933"/>
      <c r="I1575" s="1848" t="n">
        <f aca="false">VLOOKUP('Ввод данных'!A1104,связи1!A374:F379,6,0)</f>
        <v>0</v>
      </c>
      <c r="J1575" s="1854" t="n">
        <f aca="false">C1575*I1575</f>
        <v>0</v>
      </c>
      <c r="K1575" s="933"/>
    </row>
    <row r="1576" customFormat="false" ht="15.75" hidden="true" customHeight="true" outlineLevel="1" collapsed="false">
      <c r="A1576" s="1751" t="str">
        <f aca="false">'Прайс лист'!B227</f>
        <v>Бетон, м300</v>
      </c>
      <c r="B1576" s="1527" t="s">
        <v>135</v>
      </c>
      <c r="C1576" s="1527" t="n">
        <f aca="false">((J47)*(D1531/1000)*E1531/2000+J50*D1532/1000*F1532/1000+J51*D1533/1000*F1533/1000)*1.05</f>
        <v>1.638</v>
      </c>
      <c r="D1576" s="933"/>
      <c r="E1576" s="933"/>
      <c r="F1576" s="933"/>
      <c r="G1576" s="933"/>
      <c r="H1576" s="933"/>
      <c r="I1576" s="1848" t="n">
        <f aca="false">'Прайс лист'!G227</f>
        <v>3000</v>
      </c>
      <c r="J1576" s="1854" t="n">
        <f aca="false">C1576*I1576</f>
        <v>4914</v>
      </c>
      <c r="K1576" s="933"/>
    </row>
    <row r="1577" customFormat="false" ht="15.75" hidden="true" customHeight="true" outlineLevel="1" collapsed="false">
      <c r="A1577" s="1751" t="str">
        <f aca="false">'Ввод данных'!A1110</f>
        <v>Нет техники</v>
      </c>
      <c r="B1577" s="1527" t="s">
        <v>154</v>
      </c>
      <c r="C1577" s="1527" t="n">
        <f aca="false">'Ввод данных'!C1110</f>
        <v>0</v>
      </c>
      <c r="D1577" s="933"/>
      <c r="E1577" s="933"/>
      <c r="F1577" s="933"/>
      <c r="G1577" s="933"/>
      <c r="H1577" s="933"/>
      <c r="I1577" s="1848" t="n">
        <f aca="false">VLOOKUP(A1577,'Прайс лист'!B180:G194,6,0)</f>
        <v>0</v>
      </c>
      <c r="J1577" s="1854" t="n">
        <f aca="false">C1577*I1577</f>
        <v>0</v>
      </c>
      <c r="K1577" s="933"/>
    </row>
    <row r="1578" customFormat="false" ht="15.75" hidden="true" customHeight="true" outlineLevel="1" collapsed="false">
      <c r="A1578" s="1751" t="str">
        <f aca="false">'Ввод данных'!A1111</f>
        <v>Нет техники</v>
      </c>
      <c r="B1578" s="1527" t="s">
        <v>154</v>
      </c>
      <c r="C1578" s="1527" t="n">
        <f aca="false">'Ввод данных'!C1111</f>
        <v>0</v>
      </c>
      <c r="D1578" s="933"/>
      <c r="E1578" s="933"/>
      <c r="F1578" s="933"/>
      <c r="G1578" s="933"/>
      <c r="H1578" s="933"/>
      <c r="I1578" s="1848" t="n">
        <f aca="false">VLOOKUP(A1578,'Прайс лист'!B180:G194,6,0)</f>
        <v>0</v>
      </c>
      <c r="J1578" s="1854" t="n">
        <f aca="false">C1578*I1578</f>
        <v>0</v>
      </c>
      <c r="K1578" s="933"/>
    </row>
    <row r="1579" customFormat="false" ht="15.75" hidden="true" customHeight="true" outlineLevel="1" collapsed="false">
      <c r="A1579" s="1751" t="str">
        <f aca="false">'Ввод данных'!A1106</f>
        <v>Нет</v>
      </c>
      <c r="B1579" s="1527" t="s">
        <v>135</v>
      </c>
      <c r="C1579" s="1527" t="n">
        <f aca="false">C1519*G1496*VLOOKUP(A1579,'Прайс лист'!B744:G783,3,0)</f>
        <v>0</v>
      </c>
      <c r="D1579" s="933"/>
      <c r="E1579" s="933"/>
      <c r="F1579" s="933"/>
      <c r="G1579" s="933"/>
      <c r="H1579" s="933"/>
      <c r="I1579" s="1848" t="n">
        <f aca="false">VLOOKUP(A1579,'Прайс лист'!B744:G783,6,0)</f>
        <v>0</v>
      </c>
      <c r="J1579" s="1854" t="n">
        <f aca="false">C1579*I1579</f>
        <v>0</v>
      </c>
      <c r="K1579" s="933"/>
    </row>
    <row r="1580" customFormat="false" ht="15.75" hidden="true" customHeight="true" outlineLevel="1" collapsed="false">
      <c r="A1580" s="1751" t="str">
        <f aca="false">'Прайс лист'!B783</f>
        <v>Грибок для крепления утеплителя</v>
      </c>
      <c r="B1580" s="1527" t="s">
        <v>159</v>
      </c>
      <c r="C1580" s="1527" t="n">
        <f aca="false">C1519*6*G1496*D1510</f>
        <v>0</v>
      </c>
      <c r="D1580" s="933"/>
      <c r="E1580" s="933"/>
      <c r="F1580" s="933"/>
      <c r="G1580" s="933"/>
      <c r="H1580" s="933"/>
      <c r="I1580" s="1848" t="n">
        <f aca="false">'Прайс лист'!G783</f>
        <v>15</v>
      </c>
      <c r="J1580" s="1854" t="n">
        <f aca="false">C1580*I1580</f>
        <v>0</v>
      </c>
      <c r="K1580" s="933"/>
    </row>
    <row r="1581" customFormat="false" ht="15.75" hidden="true" customHeight="true" outlineLevel="1" collapsed="false">
      <c r="A1581" s="1751" t="str">
        <f aca="false">'Ввод данных'!A1108</f>
        <v>нет ветроизоляции</v>
      </c>
      <c r="B1581" s="1527" t="s">
        <v>133</v>
      </c>
      <c r="C1581" s="1527" t="n">
        <f aca="false">C1511*G1496*D1511</f>
        <v>0</v>
      </c>
      <c r="D1581" s="933"/>
      <c r="E1581" s="933"/>
      <c r="F1581" s="933"/>
      <c r="G1581" s="933"/>
      <c r="H1581" s="933"/>
      <c r="I1581" s="1848" t="n">
        <f aca="false">VLOOKUP(A1581,'Прайс лист'!B793:G819,6,0)</f>
        <v>0</v>
      </c>
      <c r="J1581" s="1854" t="n">
        <f aca="false">C1581*I1581</f>
        <v>0</v>
      </c>
      <c r="K1581" s="933"/>
    </row>
    <row r="1582" customFormat="false" ht="15.75" hidden="true" customHeight="true" outlineLevel="1" collapsed="false">
      <c r="A1582" s="1751" t="str">
        <f aca="false">A1658</f>
        <v>Командировочные расходы</v>
      </c>
      <c r="B1582" s="1527" t="str">
        <f aca="false">B1658</f>
        <v>рублей</v>
      </c>
      <c r="C1582" s="1751" t="n">
        <f aca="false">C1658</f>
        <v>1</v>
      </c>
      <c r="D1582" s="933"/>
      <c r="E1582" s="933"/>
      <c r="F1582" s="933"/>
      <c r="G1582" s="933"/>
      <c r="H1582" s="933"/>
      <c r="I1582" s="1848" t="n">
        <f aca="false">'Ввод данных'!C1117*'Ввод данных'!C1118*'Ввод данных'!C1119*VLOOKUP('Ввод данных'!C1116,связи1!A2:B3,2,0)</f>
        <v>0</v>
      </c>
      <c r="J1582" s="1854" t="n">
        <f aca="false">C1582*I1582</f>
        <v>0</v>
      </c>
      <c r="K1582" s="933"/>
    </row>
    <row r="1583" customFormat="false" ht="15.75" hidden="true" customHeight="true" outlineLevel="1" collapsed="false">
      <c r="A1583" s="1751" t="str">
        <f aca="false">'Ввод данных'!A1114</f>
        <v>расходные материалы каменные дома</v>
      </c>
      <c r="B1583" s="1527" t="s">
        <v>159</v>
      </c>
      <c r="C1583" s="1527" t="n">
        <f aca="false">1</f>
        <v>1</v>
      </c>
      <c r="D1583" s="933"/>
      <c r="E1583" s="933"/>
      <c r="F1583" s="933"/>
      <c r="G1583" s="933"/>
      <c r="H1583" s="933"/>
      <c r="I1583" s="1848" t="n">
        <f aca="false">'Ввод данных'!C1114</f>
        <v>15000</v>
      </c>
      <c r="J1583" s="1854" t="n">
        <f aca="false">C1583*I1583</f>
        <v>15000</v>
      </c>
      <c r="K1583" s="933"/>
    </row>
    <row r="1584" customFormat="false" ht="15.75" hidden="true" customHeight="true" outlineLevel="1" collapsed="false">
      <c r="A1584" s="1751" t="str">
        <f aca="false">'Ввод данных'!A1112</f>
        <v>Нет техники</v>
      </c>
      <c r="B1584" s="1527" t="s">
        <v>159</v>
      </c>
      <c r="C1584" s="1527" t="n">
        <f aca="false">'Ввод данных'!C1112</f>
        <v>0</v>
      </c>
      <c r="D1584" s="933"/>
      <c r="E1584" s="933"/>
      <c r="F1584" s="933"/>
      <c r="G1584" s="933"/>
      <c r="H1584" s="933"/>
      <c r="I1584" s="1848" t="n">
        <f aca="false">VLOOKUP(A1584,'Прайс лист'!B180:G194,6,0)</f>
        <v>0</v>
      </c>
      <c r="J1584" s="1854" t="n">
        <f aca="false">C1584*I1584</f>
        <v>0</v>
      </c>
      <c r="K1584" s="933"/>
    </row>
    <row r="1585" customFormat="false" ht="15.75" hidden="true" customHeight="true" outlineLevel="1" collapsed="false">
      <c r="A1585" s="1769"/>
      <c r="B1585" s="1719"/>
      <c r="C1585" s="1852"/>
      <c r="I1585" s="1852"/>
      <c r="J1585" s="1863" t="n">
        <f aca="false">SUM(V1531:V1586)</f>
        <v>0</v>
      </c>
    </row>
    <row r="1586" customFormat="false" ht="15.75" hidden="true" customHeight="true" outlineLevel="1" collapsed="false"/>
    <row r="1587" customFormat="false" ht="15.75" hidden="true" customHeight="true" outlineLevel="1" collapsed="false"/>
    <row r="1588" customFormat="false" ht="15.75" hidden="true" customHeight="true" outlineLevel="1" collapsed="false">
      <c r="A1588" s="1864" t="s">
        <v>3762</v>
      </c>
      <c r="B1588" s="1719"/>
      <c r="C1588" s="1771"/>
      <c r="D1588" s="1230"/>
      <c r="E1588" s="1230"/>
      <c r="F1588" s="1230"/>
      <c r="G1588" s="1230"/>
      <c r="H1588" s="1230"/>
      <c r="I1588" s="1770"/>
      <c r="J1588" s="1230"/>
      <c r="K1588" s="1230"/>
      <c r="L1588" s="1230"/>
      <c r="M1588" s="1230"/>
      <c r="N1588" s="1230"/>
      <c r="O1588" s="1230"/>
      <c r="P1588" s="1230"/>
      <c r="Q1588" s="1230"/>
      <c r="R1588" s="1230"/>
      <c r="S1588" s="1230"/>
      <c r="T1588" s="1230"/>
      <c r="U1588" s="1230"/>
      <c r="V1588" s="1230"/>
      <c r="W1588" s="1230"/>
      <c r="X1588" s="1230"/>
      <c r="Y1588" s="1230"/>
    </row>
    <row r="1589" customFormat="false" ht="15.75" hidden="true" customHeight="true" outlineLevel="1" collapsed="false">
      <c r="A1589" s="1735" t="s">
        <v>1806</v>
      </c>
      <c r="B1589" s="1736"/>
      <c r="C1589" s="1736"/>
      <c r="D1589" s="1164"/>
      <c r="E1589" s="1164"/>
      <c r="F1589" s="1737"/>
      <c r="G1589" s="1784" t="n">
        <f aca="false">'Ввод данных'!D1071</f>
        <v>1.1</v>
      </c>
      <c r="H1589" s="1785"/>
      <c r="J1589" s="1722" t="n">
        <f aca="false">'Ввод данных'!D1072</f>
        <v>1</v>
      </c>
      <c r="K1589" s="1722"/>
      <c r="L1589" s="1722"/>
      <c r="M1589" s="1722"/>
      <c r="N1589" s="1722"/>
      <c r="O1589" s="1722"/>
      <c r="P1589" s="1230"/>
      <c r="Q1589" s="1230"/>
      <c r="R1589" s="1230"/>
      <c r="S1589" s="1230"/>
      <c r="T1589" s="1230"/>
      <c r="U1589" s="1230"/>
      <c r="V1589" s="1230"/>
      <c r="W1589" s="1230"/>
      <c r="X1589" s="1230"/>
      <c r="Y1589" s="1230"/>
    </row>
    <row r="1590" customFormat="false" ht="15.75" hidden="true" customHeight="true" outlineLevel="1" collapsed="false">
      <c r="A1590" s="1604" t="s">
        <v>3763</v>
      </c>
      <c r="B1590" s="1558" t="s">
        <v>159</v>
      </c>
      <c r="C1590" s="1558"/>
      <c r="D1590" s="1835" t="n">
        <f aca="false">IF('Ввод данных'!A8=связи1!A154,1,0)+IF('Ввод данных'!A8=связи1!A162,1,0)+IF('Ввод данных'!A8=связи1!A178,1,0)+IF('Ввод данных'!A8=связи1!A179,1,0)+IF('Ввод данных'!A8=связи1!A180,1,0)+IF('Ввод данных'!A8=связи1!A181,1,0)+IF('Ввод данных'!A8=связи1!A182,1,0)+IF('Ввод данных'!A8=связи1!A183,1,0)+IF('Ввод данных'!A8=связи1!A184,1,0)</f>
        <v>0</v>
      </c>
      <c r="E1590" s="1722"/>
      <c r="F1590" s="1722"/>
      <c r="G1590" s="1722"/>
      <c r="H1590" s="1722"/>
      <c r="I1590" s="1723"/>
      <c r="J1590" s="1722"/>
      <c r="K1590" s="1722"/>
      <c r="L1590" s="1722"/>
      <c r="M1590" s="1722"/>
      <c r="N1590" s="1722"/>
      <c r="O1590" s="1722"/>
      <c r="P1590" s="1230"/>
      <c r="Q1590" s="1230"/>
      <c r="R1590" s="1230"/>
      <c r="S1590" s="1230"/>
      <c r="T1590" s="1230"/>
      <c r="U1590" s="1230"/>
      <c r="V1590" s="1230"/>
      <c r="W1590" s="1230"/>
      <c r="X1590" s="1230"/>
      <c r="Y1590" s="1230"/>
    </row>
    <row r="1591" customFormat="false" ht="15.75" hidden="true" customHeight="true" outlineLevel="1" collapsed="false">
      <c r="A1591" s="1290" t="s">
        <v>3737</v>
      </c>
      <c r="B1591" s="1527" t="s">
        <v>156</v>
      </c>
      <c r="C1591" s="1689" t="n">
        <f aca="false">C1498</f>
        <v>0.1</v>
      </c>
      <c r="D1591" s="1311"/>
      <c r="E1591" s="1728"/>
      <c r="F1591" s="1311"/>
      <c r="G1591" s="1230"/>
      <c r="H1591" s="1230"/>
      <c r="I1591" s="1770"/>
      <c r="J1591" s="1230"/>
      <c r="K1591" s="1230"/>
      <c r="L1591" s="1230"/>
      <c r="M1591" s="1230"/>
      <c r="N1591" s="1230"/>
      <c r="O1591" s="1230"/>
      <c r="P1591" s="1230"/>
      <c r="Q1591" s="1230"/>
      <c r="R1591" s="1230"/>
      <c r="S1591" s="1230"/>
      <c r="T1591" s="1230"/>
      <c r="U1591" s="1230"/>
      <c r="V1591" s="1230"/>
      <c r="W1591" s="1230"/>
      <c r="X1591" s="1230"/>
      <c r="Y1591" s="1230"/>
    </row>
    <row r="1592" customFormat="false" ht="15.75" hidden="true" customHeight="true" outlineLevel="1" collapsed="false">
      <c r="A1592" s="1290" t="s">
        <v>3738</v>
      </c>
      <c r="B1592" s="1527" t="s">
        <v>156</v>
      </c>
      <c r="C1592" s="1689" t="n">
        <f aca="false">C1499</f>
        <v>0.1</v>
      </c>
      <c r="D1592" s="1311"/>
      <c r="E1592" s="1728"/>
      <c r="F1592" s="1311"/>
      <c r="G1592" s="1230"/>
      <c r="H1592" s="1230"/>
      <c r="I1592" s="1770"/>
      <c r="J1592" s="1230"/>
      <c r="K1592" s="1230"/>
      <c r="L1592" s="1230"/>
      <c r="M1592" s="1230"/>
      <c r="N1592" s="1230"/>
      <c r="O1592" s="1230"/>
      <c r="P1592" s="1230"/>
      <c r="Q1592" s="1230"/>
      <c r="R1592" s="1230"/>
      <c r="S1592" s="1230"/>
      <c r="T1592" s="1230"/>
      <c r="U1592" s="1230"/>
      <c r="V1592" s="1230"/>
      <c r="W1592" s="1230"/>
      <c r="X1592" s="1230"/>
      <c r="Y1592" s="1230"/>
    </row>
    <row r="1593" customFormat="false" ht="15.75" hidden="true" customHeight="true" outlineLevel="1" collapsed="false">
      <c r="A1593" s="1758" t="s">
        <v>3739</v>
      </c>
      <c r="B1593" s="1527" t="s">
        <v>156</v>
      </c>
      <c r="C1593" s="1689" t="n">
        <f aca="false">C1500</f>
        <v>0.4</v>
      </c>
      <c r="D1593" s="1835" t="n">
        <f aca="false">D1500</f>
        <v>1</v>
      </c>
      <c r="E1593" s="1728"/>
      <c r="F1593" s="1311"/>
      <c r="G1593" s="1230"/>
      <c r="H1593" s="1230"/>
      <c r="I1593" s="1770"/>
      <c r="J1593" s="1230"/>
      <c r="K1593" s="1230"/>
      <c r="L1593" s="1230"/>
      <c r="M1593" s="1230"/>
      <c r="N1593" s="1230"/>
      <c r="O1593" s="1230"/>
      <c r="P1593" s="1230"/>
      <c r="Q1593" s="1230"/>
      <c r="R1593" s="1230"/>
      <c r="S1593" s="1230"/>
      <c r="T1593" s="1230"/>
      <c r="U1593" s="1230"/>
      <c r="V1593" s="1230"/>
      <c r="W1593" s="1230"/>
      <c r="X1593" s="1230"/>
      <c r="Y1593" s="1230"/>
    </row>
    <row r="1594" customFormat="false" ht="15.75" hidden="true" customHeight="true" outlineLevel="1" collapsed="false">
      <c r="A1594" s="1758" t="s">
        <v>3742</v>
      </c>
      <c r="B1594" s="1527" t="s">
        <v>159</v>
      </c>
      <c r="C1594" s="1689" t="n">
        <f aca="false">C1503</f>
        <v>7</v>
      </c>
      <c r="D1594" s="1835" t="n">
        <f aca="false">D1503</f>
        <v>0</v>
      </c>
      <c r="E1594" s="1836" t="s">
        <v>2975</v>
      </c>
      <c r="F1594" s="1489"/>
      <c r="G1594" s="1837"/>
      <c r="H1594" s="1837"/>
      <c r="I1594" s="1838"/>
      <c r="J1594" s="1230"/>
      <c r="K1594" s="1230"/>
      <c r="L1594" s="1230"/>
      <c r="M1594" s="1230"/>
      <c r="N1594" s="1230"/>
      <c r="O1594" s="1230"/>
      <c r="P1594" s="1230"/>
      <c r="Q1594" s="1230"/>
      <c r="R1594" s="1230"/>
      <c r="S1594" s="1230"/>
      <c r="T1594" s="1230"/>
      <c r="U1594" s="1230"/>
      <c r="V1594" s="1230"/>
      <c r="W1594" s="1230"/>
      <c r="X1594" s="1230"/>
      <c r="Y1594" s="1230"/>
    </row>
    <row r="1595" customFormat="false" ht="15.75" hidden="true" customHeight="true" outlineLevel="1" collapsed="false">
      <c r="A1595" s="1751" t="s">
        <v>3750</v>
      </c>
      <c r="B1595" s="1527" t="s">
        <v>154</v>
      </c>
      <c r="C1595" s="1689" t="n">
        <f aca="false">C1509</f>
        <v>0</v>
      </c>
      <c r="D1595" s="1835" t="n">
        <f aca="false">D1509</f>
        <v>1</v>
      </c>
      <c r="E1595" s="1836"/>
      <c r="F1595" s="1489"/>
      <c r="G1595" s="1837"/>
      <c r="H1595" s="1837"/>
      <c r="I1595" s="1838"/>
      <c r="J1595" s="1230"/>
      <c r="K1595" s="1230"/>
      <c r="L1595" s="1230"/>
      <c r="M1595" s="1230"/>
      <c r="N1595" s="1230"/>
      <c r="O1595" s="1230"/>
      <c r="P1595" s="1230"/>
      <c r="Q1595" s="1230"/>
      <c r="R1595" s="1230"/>
      <c r="S1595" s="1230"/>
      <c r="T1595" s="1230"/>
      <c r="U1595" s="1230"/>
      <c r="V1595" s="1230"/>
      <c r="W1595" s="1230"/>
      <c r="X1595" s="1230"/>
      <c r="Y1595" s="1230"/>
    </row>
    <row r="1596" customFormat="false" ht="15.75" hidden="true" customHeight="true" outlineLevel="1" collapsed="false">
      <c r="A1596" s="1786" t="s">
        <v>3669</v>
      </c>
      <c r="B1596" s="1527" t="s">
        <v>156</v>
      </c>
      <c r="C1596" s="1689" t="n">
        <f aca="false">C1510</f>
        <v>0</v>
      </c>
      <c r="D1596" s="1835" t="n">
        <f aca="false">D1510</f>
        <v>0</v>
      </c>
      <c r="E1596" s="1284" t="n">
        <f aca="false">IF(C1596=0,0,1)</f>
        <v>0</v>
      </c>
      <c r="F1596" s="1230"/>
      <c r="G1596" s="1230"/>
      <c r="H1596" s="1230"/>
      <c r="I1596" s="1770"/>
      <c r="J1596" s="1230"/>
      <c r="K1596" s="1230"/>
      <c r="L1596" s="1230"/>
      <c r="M1596" s="1230"/>
      <c r="N1596" s="1230"/>
      <c r="O1596" s="1230"/>
      <c r="P1596" s="1230"/>
      <c r="Q1596" s="1230"/>
      <c r="R1596" s="1230"/>
      <c r="S1596" s="1230"/>
      <c r="T1596" s="1230"/>
      <c r="U1596" s="1230"/>
      <c r="V1596" s="1230"/>
      <c r="W1596" s="1230"/>
      <c r="X1596" s="1230"/>
      <c r="Y1596" s="1230"/>
    </row>
    <row r="1597" s="1150" customFormat="true" ht="15.75" hidden="true" customHeight="true" outlineLevel="1" collapsed="false">
      <c r="A1597" s="1608" t="s">
        <v>3751</v>
      </c>
      <c r="B1597" s="1527" t="s">
        <v>133</v>
      </c>
      <c r="C1597" s="1689" t="n">
        <f aca="false">C1511</f>
        <v>0</v>
      </c>
      <c r="D1597" s="1835" t="n">
        <f aca="false">D1511</f>
        <v>0</v>
      </c>
      <c r="E1597" s="1230"/>
      <c r="F1597" s="1230"/>
      <c r="G1597" s="1230"/>
      <c r="H1597" s="1230"/>
      <c r="P1597" s="1230"/>
      <c r="Q1597" s="1230"/>
      <c r="R1597" s="1230"/>
      <c r="S1597" s="1230"/>
      <c r="T1597" s="1230"/>
      <c r="U1597" s="1230"/>
      <c r="V1597" s="1230"/>
      <c r="W1597" s="1230"/>
      <c r="X1597" s="1230"/>
      <c r="Y1597" s="1230"/>
    </row>
    <row r="1598" s="1150" customFormat="true" ht="15.75" hidden="true" customHeight="true" outlineLevel="1" collapsed="false">
      <c r="A1598" s="1842" t="s">
        <v>3626</v>
      </c>
      <c r="B1598" s="1843"/>
      <c r="C1598" s="1844"/>
      <c r="D1598" s="1719"/>
      <c r="E1598" s="1719"/>
      <c r="F1598" s="1719"/>
      <c r="G1598" s="1311"/>
      <c r="H1598" s="1311"/>
      <c r="P1598" s="1230"/>
      <c r="Q1598" s="1230"/>
      <c r="R1598" s="1230"/>
      <c r="S1598" s="1230"/>
      <c r="T1598" s="1230"/>
      <c r="U1598" s="1230"/>
      <c r="V1598" s="1230"/>
      <c r="W1598" s="1230"/>
      <c r="X1598" s="1230"/>
      <c r="Y1598" s="1230"/>
    </row>
    <row r="1599" s="1150" customFormat="true" ht="15.75" hidden="true" customHeight="true" outlineLevel="1" collapsed="false">
      <c r="A1599" s="1751" t="s">
        <v>3678</v>
      </c>
      <c r="B1599" s="1527" t="s">
        <v>133</v>
      </c>
      <c r="C1599" s="1527" t="n">
        <f aca="false">C1513</f>
        <v>100</v>
      </c>
      <c r="D1599" s="1719"/>
      <c r="E1599" s="1719"/>
      <c r="F1599" s="1719"/>
      <c r="G1599" s="1769"/>
      <c r="H1599" s="1769"/>
      <c r="P1599" s="1230"/>
      <c r="Q1599" s="1230"/>
      <c r="R1599" s="1230"/>
      <c r="S1599" s="1230"/>
      <c r="T1599" s="1230"/>
      <c r="U1599" s="1230"/>
      <c r="V1599" s="1230"/>
      <c r="W1599" s="1230"/>
      <c r="X1599" s="1230"/>
      <c r="Y1599" s="1230"/>
    </row>
    <row r="1600" s="1150" customFormat="true" ht="15.75" hidden="true" customHeight="true" outlineLevel="1" collapsed="false">
      <c r="A1600" s="1751" t="s">
        <v>3628</v>
      </c>
      <c r="B1600" s="1527" t="s">
        <v>133</v>
      </c>
      <c r="C1600" s="1527" t="n">
        <f aca="false">C1514</f>
        <v>100</v>
      </c>
      <c r="D1600" s="1719"/>
      <c r="E1600" s="1719"/>
      <c r="F1600" s="1719"/>
      <c r="G1600" s="1769"/>
      <c r="H1600" s="1769"/>
      <c r="P1600" s="1230"/>
      <c r="Q1600" s="1230"/>
      <c r="R1600" s="1230"/>
      <c r="S1600" s="1230"/>
      <c r="T1600" s="1230"/>
      <c r="U1600" s="1230"/>
      <c r="V1600" s="1230"/>
      <c r="W1600" s="1230"/>
      <c r="X1600" s="1230"/>
      <c r="Y1600" s="1230"/>
    </row>
    <row r="1601" s="1150" customFormat="true" ht="15.75" hidden="true" customHeight="true" outlineLevel="1" collapsed="false">
      <c r="A1601" s="1751" t="s">
        <v>3680</v>
      </c>
      <c r="B1601" s="1527" t="s">
        <v>156</v>
      </c>
      <c r="C1601" s="1527" t="n">
        <f aca="false">C1515</f>
        <v>56</v>
      </c>
      <c r="D1601" s="1769"/>
      <c r="E1601" s="1719"/>
      <c r="F1601" s="1719"/>
      <c r="G1601" s="1769"/>
      <c r="H1601" s="1769"/>
      <c r="P1601" s="1230"/>
      <c r="Q1601" s="1230"/>
      <c r="R1601" s="1230"/>
      <c r="S1601" s="1230"/>
      <c r="T1601" s="1230"/>
      <c r="U1601" s="1230"/>
      <c r="V1601" s="1230"/>
      <c r="W1601" s="1230"/>
      <c r="X1601" s="1230"/>
      <c r="Y1601" s="1230"/>
    </row>
    <row r="1602" s="1150" customFormat="true" ht="15.75" hidden="true" customHeight="true" outlineLevel="1" collapsed="false">
      <c r="A1602" s="1751" t="s">
        <v>3752</v>
      </c>
      <c r="B1602" s="1527" t="s">
        <v>156</v>
      </c>
      <c r="C1602" s="1527" t="n">
        <f aca="false">C1516</f>
        <v>40</v>
      </c>
      <c r="E1602" s="1769" t="n">
        <f aca="false">C1602*C1591</f>
        <v>4</v>
      </c>
      <c r="F1602" s="1719"/>
      <c r="G1602" s="1769"/>
      <c r="H1602" s="1769"/>
      <c r="P1602" s="1230"/>
      <c r="Q1602" s="1230"/>
      <c r="R1602" s="1230"/>
      <c r="S1602" s="1230"/>
      <c r="T1602" s="1230"/>
      <c r="U1602" s="1230"/>
      <c r="V1602" s="1230"/>
      <c r="W1602" s="1230"/>
      <c r="X1602" s="1230"/>
      <c r="Y1602" s="1230"/>
    </row>
    <row r="1603" s="1150" customFormat="true" ht="15.75" hidden="true" customHeight="true" outlineLevel="1" collapsed="false">
      <c r="A1603" s="1751" t="s">
        <v>3753</v>
      </c>
      <c r="B1603" s="1527" t="s">
        <v>156</v>
      </c>
      <c r="C1603" s="1527" t="n">
        <f aca="false">C1517</f>
        <v>16</v>
      </c>
      <c r="E1603" s="1769" t="n">
        <f aca="false">C1592*C1603</f>
        <v>1.6</v>
      </c>
      <c r="F1603" s="1719" t="s">
        <v>3754</v>
      </c>
      <c r="G1603" s="1769" t="n">
        <f aca="false">G1517</f>
        <v>0.06</v>
      </c>
      <c r="H1603" s="1769"/>
      <c r="P1603" s="1230"/>
      <c r="Q1603" s="1230"/>
      <c r="R1603" s="1230"/>
      <c r="S1603" s="1230"/>
      <c r="T1603" s="1230"/>
      <c r="U1603" s="1230"/>
      <c r="V1603" s="1230"/>
      <c r="W1603" s="1230"/>
      <c r="X1603" s="1230"/>
      <c r="Y1603" s="1230"/>
    </row>
    <row r="1604" s="1150" customFormat="true" ht="15.75" hidden="true" customHeight="true" outlineLevel="1" collapsed="false">
      <c r="A1604" s="1751" t="s">
        <v>3755</v>
      </c>
      <c r="B1604" s="1527" t="s">
        <v>156</v>
      </c>
      <c r="C1604" s="1527" t="n">
        <f aca="false">C1518</f>
        <v>7.8</v>
      </c>
      <c r="E1604" s="1769" t="n">
        <f aca="false">C1604*C1593</f>
        <v>3.12</v>
      </c>
      <c r="F1604" s="1719"/>
      <c r="G1604" s="1769"/>
      <c r="H1604" s="1769"/>
      <c r="P1604" s="1230"/>
      <c r="Q1604" s="1230"/>
      <c r="R1604" s="1230"/>
      <c r="S1604" s="1230"/>
      <c r="T1604" s="1230"/>
      <c r="U1604" s="1230"/>
      <c r="V1604" s="1230"/>
      <c r="W1604" s="1230"/>
      <c r="X1604" s="1230"/>
      <c r="Y1604" s="1230"/>
    </row>
    <row r="1605" s="1150" customFormat="true" ht="15.75" hidden="true" customHeight="true" outlineLevel="1" collapsed="false">
      <c r="A1605" s="1751" t="s">
        <v>3633</v>
      </c>
      <c r="B1605" s="1527" t="s">
        <v>133</v>
      </c>
      <c r="C1605" s="1753" t="n">
        <f aca="false">связи1!C154</f>
        <v>0</v>
      </c>
      <c r="D1605" s="1865" t="n">
        <f aca="false">VLOOKUP('Ввод данных'!A1082,'Прайс лист'!B236:G253,4,0)/1000</f>
        <v>0.19</v>
      </c>
      <c r="E1605" s="1769" t="n">
        <f aca="false">SUM(E1602:E1604)</f>
        <v>8.72</v>
      </c>
      <c r="F1605" s="1719"/>
      <c r="G1605" s="1769"/>
      <c r="H1605" s="1769"/>
      <c r="P1605" s="1230"/>
      <c r="Q1605" s="1230"/>
      <c r="R1605" s="1230"/>
      <c r="S1605" s="1230"/>
      <c r="T1605" s="1230"/>
      <c r="U1605" s="1230"/>
      <c r="V1605" s="1230"/>
      <c r="W1605" s="1230"/>
      <c r="X1605" s="1230"/>
      <c r="Y1605" s="1230"/>
    </row>
    <row r="1606" s="1150" customFormat="true" ht="15.75" hidden="true" customHeight="true" outlineLevel="1" collapsed="false">
      <c r="A1606" s="1751" t="s">
        <v>3687</v>
      </c>
      <c r="B1606" s="1527" t="s">
        <v>133</v>
      </c>
      <c r="C1606" s="1753" t="n">
        <f aca="false">C1605</f>
        <v>0</v>
      </c>
      <c r="D1606" s="1769"/>
      <c r="E1606" s="1719"/>
      <c r="F1606" s="1719"/>
      <c r="G1606" s="1769"/>
      <c r="H1606" s="1769"/>
      <c r="P1606" s="1230"/>
      <c r="Q1606" s="1230"/>
      <c r="R1606" s="1230"/>
      <c r="S1606" s="1230"/>
      <c r="T1606" s="1230"/>
      <c r="U1606" s="1230"/>
      <c r="V1606" s="1230"/>
      <c r="W1606" s="1230"/>
      <c r="X1606" s="1230"/>
      <c r="Y1606" s="1230"/>
    </row>
    <row r="1607" s="1150" customFormat="true" ht="15.75" hidden="true" customHeight="true" outlineLevel="1" collapsed="false">
      <c r="A1607" s="1751" t="s">
        <v>3635</v>
      </c>
      <c r="B1607" s="1527"/>
      <c r="C1607" s="1753" t="n">
        <f aca="false">связи1!D154</f>
        <v>0</v>
      </c>
      <c r="D1607" s="1769" t="n">
        <f aca="false">VLOOKUP('Ввод данных'!A1084,'Прайс лист'!B236:G253,4,0)/1000</f>
        <v>0.19</v>
      </c>
      <c r="E1607" s="1719"/>
      <c r="F1607" s="1719"/>
      <c r="G1607" s="1769"/>
      <c r="H1607" s="1769"/>
      <c r="P1607" s="1230"/>
      <c r="Q1607" s="1230"/>
      <c r="R1607" s="1230"/>
      <c r="S1607" s="1230"/>
      <c r="T1607" s="1230"/>
      <c r="U1607" s="1230"/>
      <c r="V1607" s="1230"/>
      <c r="W1607" s="1230"/>
      <c r="X1607" s="1230"/>
      <c r="Y1607" s="1230"/>
    </row>
    <row r="1608" customFormat="false" ht="15.75" hidden="true" customHeight="true" outlineLevel="1" collapsed="false">
      <c r="A1608" s="1751" t="s">
        <v>3636</v>
      </c>
      <c r="B1608" s="1527" t="s">
        <v>133</v>
      </c>
      <c r="C1608" s="1753" t="n">
        <f aca="false">связи1!E154</f>
        <v>0</v>
      </c>
      <c r="D1608" s="1769" t="n">
        <f aca="false">VLOOKUP('Ввод данных'!A1086,'Прайс лист'!B236:G253,4,0)/1000</f>
        <v>0.09</v>
      </c>
      <c r="E1608" s="1719"/>
      <c r="F1608" s="1719"/>
      <c r="G1608" s="1769"/>
      <c r="H1608" s="1769"/>
      <c r="I1608" s="1696"/>
      <c r="J1608" s="1230"/>
      <c r="K1608" s="1230"/>
      <c r="L1608" s="1230"/>
      <c r="M1608" s="1230"/>
      <c r="N1608" s="1230"/>
      <c r="O1608" s="1230"/>
      <c r="P1608" s="1230"/>
      <c r="Q1608" s="1230"/>
      <c r="R1608" s="1230"/>
      <c r="S1608" s="1230"/>
      <c r="T1608" s="1230"/>
      <c r="U1608" s="1230"/>
      <c r="V1608" s="1230"/>
      <c r="W1608" s="1230"/>
      <c r="X1608" s="1230"/>
      <c r="Y1608" s="1230"/>
    </row>
    <row r="1609" customFormat="false" ht="15.75" hidden="true" customHeight="true" outlineLevel="1" collapsed="false">
      <c r="A1609" s="1751" t="s">
        <v>3638</v>
      </c>
      <c r="B1609" s="1527" t="s">
        <v>133</v>
      </c>
      <c r="C1609" s="1753" t="n">
        <f aca="false">(C1607+C1608)</f>
        <v>0</v>
      </c>
      <c r="D1609" s="1769"/>
      <c r="E1609" s="1719"/>
      <c r="F1609" s="1719"/>
      <c r="G1609" s="1769"/>
      <c r="H1609" s="1769"/>
      <c r="I1609" s="1696"/>
      <c r="J1609" s="1230"/>
      <c r="K1609" s="1230"/>
      <c r="L1609" s="1230"/>
      <c r="M1609" s="1230"/>
      <c r="N1609" s="1230"/>
      <c r="O1609" s="1230"/>
      <c r="P1609" s="1230"/>
      <c r="Q1609" s="1230"/>
      <c r="R1609" s="1230"/>
      <c r="S1609" s="1230"/>
      <c r="T1609" s="1230"/>
      <c r="U1609" s="1230"/>
      <c r="V1609" s="1230"/>
      <c r="W1609" s="1230"/>
      <c r="X1609" s="1230"/>
      <c r="Y1609" s="1230"/>
    </row>
    <row r="1610" customFormat="false" ht="15.75" hidden="true" customHeight="true" outlineLevel="1" collapsed="false">
      <c r="A1610" s="1751" t="s">
        <v>3639</v>
      </c>
      <c r="B1610" s="1527" t="s">
        <v>133</v>
      </c>
      <c r="C1610" s="1527" t="n">
        <f aca="false">C1524</f>
        <v>90.43</v>
      </c>
      <c r="D1610" s="1769"/>
      <c r="E1610" s="1719"/>
      <c r="F1610" s="1719"/>
      <c r="G1610" s="1769"/>
      <c r="H1610" s="1769"/>
      <c r="I1610" s="1696"/>
      <c r="J1610" s="1230"/>
      <c r="K1610" s="1230"/>
      <c r="L1610" s="1230"/>
      <c r="M1610" s="1230"/>
      <c r="N1610" s="1230"/>
      <c r="O1610" s="1230"/>
      <c r="P1610" s="1230"/>
      <c r="Q1610" s="1230"/>
      <c r="R1610" s="1230"/>
      <c r="S1610" s="1230"/>
      <c r="T1610" s="1230"/>
      <c r="U1610" s="1230"/>
      <c r="V1610" s="1230"/>
      <c r="W1610" s="1230"/>
      <c r="X1610" s="1230"/>
      <c r="Y1610" s="1230"/>
    </row>
    <row r="1611" customFormat="false" ht="15.75" hidden="true" customHeight="true" outlineLevel="1" collapsed="false">
      <c r="A1611" s="1845" t="s">
        <v>2720</v>
      </c>
      <c r="B1611" s="1846" t="s">
        <v>1094</v>
      </c>
      <c r="C1611" s="1846" t="s">
        <v>1802</v>
      </c>
      <c r="D1611" s="933" t="s">
        <v>293</v>
      </c>
      <c r="E1611" s="933" t="s">
        <v>1800</v>
      </c>
      <c r="F1611" s="933" t="s">
        <v>853</v>
      </c>
      <c r="G1611" s="933" t="s">
        <v>1802</v>
      </c>
      <c r="H1611" s="1866"/>
      <c r="I1611" s="1867" t="s">
        <v>3764</v>
      </c>
      <c r="J1611" s="1868" t="s">
        <v>2722</v>
      </c>
      <c r="K1611" s="1230"/>
      <c r="L1611" s="1842" t="s">
        <v>1409</v>
      </c>
      <c r="M1611" s="1869"/>
      <c r="N1611" s="933"/>
      <c r="O1611" s="1847" t="s">
        <v>1802</v>
      </c>
      <c r="P1611" s="1847" t="s">
        <v>2721</v>
      </c>
      <c r="Q1611" s="1847"/>
      <c r="R1611" s="1847"/>
      <c r="S1611" s="1847" t="s">
        <v>2722</v>
      </c>
      <c r="T1611" s="1230"/>
      <c r="U1611" s="1230"/>
      <c r="V1611" s="1230"/>
      <c r="W1611" s="1230"/>
      <c r="X1611" s="1230"/>
      <c r="Y1611" s="1230"/>
    </row>
    <row r="1612" customFormat="false" ht="15.75" hidden="true" customHeight="true" outlineLevel="1" collapsed="false">
      <c r="A1612" s="1751" t="str">
        <f aca="false">'Ввод данных'!A1082</f>
        <v>Керамзитобетонный блок - 390х190х188</v>
      </c>
      <c r="B1612" s="1527" t="str">
        <f aca="false">B1531</f>
        <v>м3</v>
      </c>
      <c r="C1612" s="887" t="n">
        <f aca="false">C1605*D1605</f>
        <v>0</v>
      </c>
      <c r="D1612" s="933" t="n">
        <f aca="false">VLOOKUP(A1612,'Прайс лист'!B236:G253,3,0)</f>
        <v>188</v>
      </c>
      <c r="E1612" s="933" t="n">
        <f aca="false">VLOOKUP(A1612,'Прайс лист'!B236:G253,4,0)</f>
        <v>190</v>
      </c>
      <c r="F1612" s="933" t="n">
        <f aca="false">VLOOKUP(A1612,'Прайс лист'!B236:G253,5,0)</f>
        <v>390</v>
      </c>
      <c r="G1612" s="933" t="n">
        <f aca="false">C1612/(D1612*E1612*F1612/1000000000)</f>
        <v>0</v>
      </c>
      <c r="H1612" s="933"/>
      <c r="I1612" s="1751" t="n">
        <f aca="false">VLOOKUP('Ввод данных'!A1082,'Прайс лист'!B236:G253,6,0)</f>
        <v>3200</v>
      </c>
      <c r="J1612" s="1527" t="n">
        <f aca="false">C1612*I1612</f>
        <v>0</v>
      </c>
      <c r="K1612" s="1719"/>
      <c r="L1612" s="1857" t="str">
        <f aca="false">'Прайс лист'!B1679</f>
        <v>кладка пенобетона несущие стены</v>
      </c>
      <c r="M1612" s="1696"/>
      <c r="N1612" s="1290"/>
      <c r="O1612" s="1854" t="n">
        <f aca="false">C1612</f>
        <v>0</v>
      </c>
      <c r="P1612" s="1854" t="n">
        <f aca="false">'Прайс лист'!G1679</f>
        <v>3500</v>
      </c>
      <c r="Q1612" s="1854"/>
      <c r="R1612" s="1854"/>
      <c r="S1612" s="1854" t="n">
        <f aca="false">O1612*P1612</f>
        <v>0</v>
      </c>
      <c r="T1612" s="1230"/>
      <c r="U1612" s="1230"/>
      <c r="V1612" s="1230"/>
      <c r="W1612" s="1230"/>
      <c r="X1612" s="1230"/>
      <c r="Y1612" s="1230"/>
    </row>
    <row r="1613" customFormat="false" ht="15.75" hidden="true" customHeight="true" outlineLevel="1" collapsed="false">
      <c r="A1613" s="1751" t="str">
        <f aca="false">'Ввод данных'!A1084</f>
        <v>Керамзитобетонный блок - 390х190х188</v>
      </c>
      <c r="B1613" s="1527" t="str">
        <f aca="false">B1532</f>
        <v>м3</v>
      </c>
      <c r="C1613" s="887" t="n">
        <f aca="false">C1607*D1607</f>
        <v>0</v>
      </c>
      <c r="D1613" s="933" t="n">
        <f aca="false">VLOOKUP(A1613,'Прайс лист'!B236:G253,3,0)</f>
        <v>188</v>
      </c>
      <c r="E1613" s="933" t="n">
        <f aca="false">VLOOKUP(A1613,'Прайс лист'!B236:G253,4,0)</f>
        <v>190</v>
      </c>
      <c r="F1613" s="933" t="n">
        <f aca="false">VLOOKUP(A1613,'Прайс лист'!B236:G253,5,0)</f>
        <v>390</v>
      </c>
      <c r="G1613" s="933" t="n">
        <f aca="false">C1613/(D1613*E1613*F1613/1000000000)</f>
        <v>0</v>
      </c>
      <c r="H1613" s="933"/>
      <c r="I1613" s="1751" t="n">
        <f aca="false">VLOOKUP('Ввод данных'!A1084,'Прайс лист'!B236:G253,6,0)</f>
        <v>3200</v>
      </c>
      <c r="J1613" s="1527" t="n">
        <f aca="false">C1613*I1613</f>
        <v>0</v>
      </c>
      <c r="K1613" s="1719"/>
      <c r="L1613" s="1857" t="str">
        <f aca="false">'Прайс лист'!B1680</f>
        <v>кладка пенобетона несущие перегородки</v>
      </c>
      <c r="M1613" s="1696"/>
      <c r="N1613" s="1290"/>
      <c r="O1613" s="1854" t="n">
        <f aca="false">C1613</f>
        <v>0</v>
      </c>
      <c r="P1613" s="1854" t="n">
        <f aca="false">'Прайс лист'!G1680</f>
        <v>3500</v>
      </c>
      <c r="Q1613" s="1854"/>
      <c r="R1613" s="1854"/>
      <c r="S1613" s="1854" t="n">
        <f aca="false">O1613*P1613</f>
        <v>0</v>
      </c>
      <c r="T1613" s="1230"/>
      <c r="U1613" s="1230"/>
      <c r="V1613" s="1230"/>
      <c r="W1613" s="1230"/>
      <c r="X1613" s="1230"/>
      <c r="Y1613" s="1230"/>
    </row>
    <row r="1614" customFormat="false" ht="15.75" hidden="true" customHeight="true" outlineLevel="1" collapsed="false">
      <c r="A1614" s="1751" t="str">
        <f aca="false">'Ввод данных'!A1086</f>
        <v>Керамзитобетонный блок - 390х90х188</v>
      </c>
      <c r="B1614" s="1527" t="str">
        <f aca="false">B1533</f>
        <v>м3</v>
      </c>
      <c r="C1614" s="887" t="n">
        <f aca="false">C1608*D1608</f>
        <v>0</v>
      </c>
      <c r="D1614" s="933" t="n">
        <f aca="false">VLOOKUP(A1614,'Прайс лист'!B236:G253,3,0)</f>
        <v>188</v>
      </c>
      <c r="E1614" s="933" t="n">
        <f aca="false">VLOOKUP(A1614,'Прайс лист'!B236:G253,4,0)</f>
        <v>90</v>
      </c>
      <c r="F1614" s="933" t="n">
        <f aca="false">VLOOKUP(A1614,'Прайс лист'!B236:G253,5,0)</f>
        <v>390</v>
      </c>
      <c r="G1614" s="933" t="n">
        <f aca="false">C1614/(D1614*E1614*F1614/1000000000)</f>
        <v>0</v>
      </c>
      <c r="H1614" s="933"/>
      <c r="I1614" s="1751" t="n">
        <f aca="false">VLOOKUP('Ввод данных'!A1086,'Прайс лист'!B236:G253,6,0)</f>
        <v>3200</v>
      </c>
      <c r="J1614" s="1527" t="n">
        <f aca="false">C1614*I1614</f>
        <v>0</v>
      </c>
      <c r="K1614" s="1719"/>
      <c r="L1614" s="1857" t="str">
        <f aca="false">'Прайс лист'!B1681</f>
        <v>кладка пенобетона перегородки</v>
      </c>
      <c r="M1614" s="1696"/>
      <c r="N1614" s="1290"/>
      <c r="O1614" s="1854" t="n">
        <f aca="false">C1614</f>
        <v>0</v>
      </c>
      <c r="P1614" s="1854" t="n">
        <f aca="false">'Прайс лист'!G1681</f>
        <v>450</v>
      </c>
      <c r="Q1614" s="1854"/>
      <c r="R1614" s="1854"/>
      <c r="S1614" s="1854" t="n">
        <f aca="false">O1614*P1614</f>
        <v>0</v>
      </c>
      <c r="T1614" s="1230"/>
      <c r="U1614" s="1230"/>
      <c r="V1614" s="1230"/>
      <c r="W1614" s="1230"/>
      <c r="X1614" s="1230"/>
      <c r="Y1614" s="1230"/>
    </row>
    <row r="1615" customFormat="false" ht="15.75" hidden="true" customHeight="true" outlineLevel="1" collapsed="false">
      <c r="A1615" s="1751" t="str">
        <f aca="false">A1539</f>
        <v>Клей монтажный ВК-100</v>
      </c>
      <c r="B1615" s="1527" t="str">
        <f aca="false">B1539</f>
        <v>меш</v>
      </c>
      <c r="C1615" s="887" t="n">
        <f aca="false">(C1612+C1613+C1614)*2*D1590*G1589</f>
        <v>0</v>
      </c>
      <c r="D1615" s="933"/>
      <c r="E1615" s="933"/>
      <c r="F1615" s="933"/>
      <c r="G1615" s="933"/>
      <c r="H1615" s="933"/>
      <c r="I1615" s="1751" t="n">
        <f aca="false">I1539</f>
        <v>185</v>
      </c>
      <c r="J1615" s="1527" t="n">
        <f aca="false">C1615*I1615</f>
        <v>0</v>
      </c>
      <c r="K1615" s="1719"/>
      <c r="L1615" s="932" t="str">
        <f aca="false">'Прайс лист'!B1684</f>
        <v>изготовление и монтаж перемычек для окон и дверей</v>
      </c>
      <c r="M1615" s="1696"/>
      <c r="N1615" s="1290"/>
      <c r="O1615" s="1854" t="n">
        <f aca="false">S1544</f>
        <v>2.52</v>
      </c>
      <c r="P1615" s="1854" t="n">
        <f aca="false">'Прайс лист'!G1684</f>
        <v>500</v>
      </c>
      <c r="Q1615" s="1854"/>
      <c r="R1615" s="1854"/>
      <c r="S1615" s="1854" t="n">
        <f aca="false">O1615*P1615</f>
        <v>1260</v>
      </c>
      <c r="T1615" s="1230"/>
      <c r="U1615" s="1230"/>
      <c r="V1615" s="1230"/>
      <c r="W1615" s="1230"/>
      <c r="X1615" s="1230"/>
      <c r="Y1615" s="1230"/>
    </row>
    <row r="1616" customFormat="false" ht="15.75" hidden="true" customHeight="true" outlineLevel="1" collapsed="false">
      <c r="A1616" s="1751" t="e">
        <f aca="false">A1540</f>
        <v>#N/A</v>
      </c>
      <c r="B1616" s="1527" t="str">
        <f aca="false">B1540</f>
        <v>меш</v>
      </c>
      <c r="C1616" s="887" t="n">
        <f aca="false">C1617*4</f>
        <v>0</v>
      </c>
      <c r="D1616" s="933"/>
      <c r="E1616" s="933"/>
      <c r="F1616" s="933"/>
      <c r="G1616" s="933"/>
      <c r="H1616" s="933"/>
      <c r="I1616" s="1751" t="n">
        <f aca="false">I1540</f>
        <v>0</v>
      </c>
      <c r="J1616" s="1527" t="n">
        <f aca="false">C1616*I1616</f>
        <v>0</v>
      </c>
      <c r="L1616" s="932" t="str">
        <f aca="false">'Прайс лист'!B1685</f>
        <v>Замешивание раствора</v>
      </c>
      <c r="N1616" s="933"/>
      <c r="O1616" s="1854" t="n">
        <f aca="false">C1617</f>
        <v>0</v>
      </c>
      <c r="P1616" s="1854" t="n">
        <f aca="false">'Прайс лист'!G1685</f>
        <v>1500</v>
      </c>
      <c r="Q1616" s="1854"/>
      <c r="R1616" s="1854"/>
      <c r="S1616" s="1854" t="n">
        <f aca="false">O1616*P1616</f>
        <v>0</v>
      </c>
      <c r="T1616" s="1230"/>
      <c r="U1616" s="1230"/>
      <c r="V1616" s="1230"/>
      <c r="W1616" s="1230"/>
      <c r="X1616" s="1230"/>
      <c r="Y1616" s="1230"/>
    </row>
    <row r="1617" customFormat="false" ht="15.75" hidden="true" customHeight="true" outlineLevel="1" collapsed="false">
      <c r="A1617" s="1751" t="e">
        <f aca="false">A1541</f>
        <v>#N/A</v>
      </c>
      <c r="B1617" s="1527" t="str">
        <f aca="false">B1541</f>
        <v>м3</v>
      </c>
      <c r="C1617" s="887" t="n">
        <f aca="false">(C1612+C1613+C1614)*0.2</f>
        <v>0</v>
      </c>
      <c r="D1617" s="933"/>
      <c r="E1617" s="933"/>
      <c r="F1617" s="933"/>
      <c r="G1617" s="933"/>
      <c r="H1617" s="933"/>
      <c r="I1617" s="1751" t="n">
        <f aca="false">I1541</f>
        <v>0</v>
      </c>
      <c r="J1617" s="1527" t="n">
        <f aca="false">C1617*I1617</f>
        <v>0</v>
      </c>
      <c r="K1617" s="1230"/>
      <c r="L1617" s="932" t="str">
        <f aca="false">'Прайс лист'!B1686</f>
        <v>Армирование стен наружних и перегородок</v>
      </c>
      <c r="M1617" s="1697"/>
      <c r="N1617" s="1290"/>
      <c r="O1617" s="1854" t="n">
        <f aca="false">S1546</f>
        <v>240</v>
      </c>
      <c r="P1617" s="1854" t="n">
        <f aca="false">'Прайс лист'!G1686</f>
        <v>70</v>
      </c>
      <c r="Q1617" s="1854"/>
      <c r="R1617" s="1854"/>
      <c r="S1617" s="1854" t="n">
        <f aca="false">O1617*P1617</f>
        <v>16800</v>
      </c>
      <c r="T1617" s="1230"/>
      <c r="U1617" s="1230"/>
      <c r="V1617" s="1230"/>
      <c r="W1617" s="1230"/>
      <c r="X1617" s="1230"/>
      <c r="Y1617" s="1230"/>
    </row>
    <row r="1618" customFormat="false" ht="15.75" hidden="true" customHeight="true" outlineLevel="1" collapsed="false">
      <c r="A1618" s="1751" t="str">
        <f aca="false">A1542</f>
        <v>Доставка песка</v>
      </c>
      <c r="B1618" s="1527" t="str">
        <f aca="false">B1542</f>
        <v>маш</v>
      </c>
      <c r="C1618" s="887"/>
      <c r="D1618" s="933"/>
      <c r="E1618" s="933"/>
      <c r="F1618" s="933"/>
      <c r="G1618" s="933"/>
      <c r="H1618" s="933"/>
      <c r="I1618" s="1751" t="n">
        <f aca="false">I1542</f>
        <v>0</v>
      </c>
      <c r="J1618" s="1527" t="n">
        <f aca="false">C1618*I1618</f>
        <v>0</v>
      </c>
      <c r="K1618" s="1230"/>
      <c r="L1618" s="932" t="str">
        <f aca="false">'Прайс лист'!B1687</f>
        <v>Установка опалубки для сейсмопояса</v>
      </c>
      <c r="M1618" s="1697"/>
      <c r="N1618" s="1290"/>
      <c r="O1618" s="1854" t="n">
        <f aca="false">S1547</f>
        <v>40</v>
      </c>
      <c r="P1618" s="1854" t="n">
        <f aca="false">'Прайс лист'!G1687</f>
        <v>300</v>
      </c>
      <c r="Q1618" s="1854"/>
      <c r="R1618" s="1854"/>
      <c r="S1618" s="1854" t="n">
        <f aca="false">O1618*P1618</f>
        <v>12000</v>
      </c>
      <c r="T1618" s="1230"/>
      <c r="U1618" s="1230"/>
      <c r="V1618" s="1230"/>
      <c r="W1618" s="1230"/>
      <c r="X1618" s="1230"/>
      <c r="Y1618" s="1230"/>
    </row>
    <row r="1619" customFormat="false" ht="15.75" hidden="true" customHeight="true" outlineLevel="1" collapsed="false">
      <c r="A1619" s="1751" t="e">
        <f aca="false">A1543</f>
        <v>#N/A</v>
      </c>
      <c r="B1619" s="1527" t="str">
        <f aca="false">B1543</f>
        <v>м3</v>
      </c>
      <c r="C1619" s="887" t="n">
        <f aca="false">C1617</f>
        <v>0</v>
      </c>
      <c r="D1619" s="933"/>
      <c r="E1619" s="933"/>
      <c r="F1619" s="933"/>
      <c r="G1619" s="933"/>
      <c r="H1619" s="933"/>
      <c r="I1619" s="1751" t="n">
        <f aca="false">IF('Ввод данных'!A1096=связи1!A318,'Прайс лист'!G229,0)+IF('Ввод данных'!A1096=связи1!A319,'Прайс лист'!G230,0)+IF('Ввод данных'!A1096=связи1!A320,'Прайс лист'!G231,0)+IF('Ввод данных'!A1096=связи1!A321,'Прайс лист'!G232,0)</f>
        <v>0</v>
      </c>
      <c r="J1619" s="1527" t="n">
        <f aca="false">C1619*I1619</f>
        <v>0</v>
      </c>
      <c r="K1619" s="1230"/>
      <c r="L1619" s="932" t="str">
        <f aca="false">'Прайс лист'!B1688</f>
        <v>Армирование сейсмопояса</v>
      </c>
      <c r="M1619" s="1697"/>
      <c r="N1619" s="1290"/>
      <c r="O1619" s="1854" t="n">
        <f aca="false">S1548</f>
        <v>40</v>
      </c>
      <c r="P1619" s="1854" t="n">
        <f aca="false">'Прайс лист'!G1688</f>
        <v>500</v>
      </c>
      <c r="Q1619" s="1854"/>
      <c r="R1619" s="1854"/>
      <c r="S1619" s="1854" t="n">
        <f aca="false">O1619*P1619</f>
        <v>20000</v>
      </c>
      <c r="T1619" s="1230"/>
      <c r="U1619" s="1230"/>
      <c r="V1619" s="1230"/>
      <c r="W1619" s="1230"/>
      <c r="X1619" s="1230"/>
      <c r="Y1619" s="1230"/>
    </row>
    <row r="1620" customFormat="false" ht="15.75" hidden="true" customHeight="true" outlineLevel="1" collapsed="false">
      <c r="A1620" s="1751" t="str">
        <f aca="false">A1544</f>
        <v>Арматура М6 каждый 3-й ряд, 2 нити</v>
      </c>
      <c r="B1620" s="1527" t="str">
        <f aca="false">B1544</f>
        <v>м.п.</v>
      </c>
      <c r="C1620" s="887" t="n">
        <f aca="false">C1544</f>
        <v>480</v>
      </c>
      <c r="D1620" s="933"/>
      <c r="E1620" s="933"/>
      <c r="F1620" s="933"/>
      <c r="G1620" s="933"/>
      <c r="H1620" s="933"/>
      <c r="I1620" s="1751" t="n">
        <f aca="false">I1544</f>
        <v>0</v>
      </c>
      <c r="J1620" s="1527" t="n">
        <f aca="false">C1620*I1620</f>
        <v>0</v>
      </c>
      <c r="K1620" s="1230"/>
      <c r="L1620" s="932" t="str">
        <f aca="false">'Прайс лист'!B1689</f>
        <v>Заливка бетоном сейсмопояса</v>
      </c>
      <c r="M1620" s="1697"/>
      <c r="N1620" s="1290"/>
      <c r="O1620" s="1854" t="n">
        <f aca="false">S1549</f>
        <v>40</v>
      </c>
      <c r="P1620" s="1854" t="n">
        <f aca="false">'Прайс лист'!G1689</f>
        <v>700</v>
      </c>
      <c r="Q1620" s="1854"/>
      <c r="R1620" s="1854"/>
      <c r="S1620" s="1854" t="n">
        <f aca="false">O1620*P1620</f>
        <v>28000</v>
      </c>
      <c r="T1620" s="1230"/>
      <c r="U1620" s="1230"/>
      <c r="V1620" s="1230"/>
      <c r="W1620" s="1230"/>
      <c r="X1620" s="1230"/>
      <c r="Y1620" s="1230"/>
    </row>
    <row r="1621" customFormat="false" ht="15.75" hidden="true" customHeight="true" outlineLevel="1" collapsed="false">
      <c r="A1621" s="1751" t="str">
        <f aca="false">A1545</f>
        <v>Арматура М6 каждый 3-й ряд, 2 нити</v>
      </c>
      <c r="B1621" s="1527" t="str">
        <f aca="false">B1545</f>
        <v>м.п.</v>
      </c>
      <c r="C1621" s="887" t="n">
        <f aca="false">C1545</f>
        <v>0</v>
      </c>
      <c r="D1621" s="933"/>
      <c r="E1621" s="933"/>
      <c r="F1621" s="933"/>
      <c r="G1621" s="933"/>
      <c r="H1621" s="933"/>
      <c r="I1621" s="1751" t="n">
        <f aca="false">I1545</f>
        <v>0</v>
      </c>
      <c r="J1621" s="1527" t="n">
        <f aca="false">C1621*I1621</f>
        <v>0</v>
      </c>
      <c r="K1621" s="1230"/>
      <c r="L1621" s="932" t="str">
        <f aca="false">'Прайс лист'!B1690</f>
        <v>утепление стен снаружи дома</v>
      </c>
      <c r="M1621" s="1697"/>
      <c r="N1621" s="1290"/>
      <c r="O1621" s="1854" t="n">
        <f aca="false">C1605*D1596</f>
        <v>0</v>
      </c>
      <c r="P1621" s="1854" t="n">
        <f aca="false">'Прайс лист'!G1690</f>
        <v>350</v>
      </c>
      <c r="Q1621" s="1854"/>
      <c r="R1621" s="1854"/>
      <c r="S1621" s="1854" t="n">
        <f aca="false">O1621*P1621</f>
        <v>0</v>
      </c>
      <c r="T1621" s="1230"/>
      <c r="U1621" s="1230"/>
      <c r="V1621" s="1230"/>
      <c r="W1621" s="1230"/>
      <c r="X1621" s="1230"/>
      <c r="Y1621" s="1230"/>
    </row>
    <row r="1622" customFormat="false" ht="15.75" hidden="true" customHeight="true" outlineLevel="1" collapsed="false">
      <c r="A1622" s="1751" t="str">
        <f aca="false">A1546</f>
        <v>Перемычка оконная, 1-ый эт. Вариант 1</v>
      </c>
      <c r="B1622" s="1527" t="str">
        <f aca="false">B1546</f>
        <v>м.п.</v>
      </c>
      <c r="C1622" s="887" t="n">
        <f aca="false">C1546</f>
        <v>1</v>
      </c>
      <c r="D1622" s="933" t="n">
        <f aca="false">D1612/1000</f>
        <v>0.188</v>
      </c>
      <c r="E1622" s="933" t="n">
        <f aca="false">E1546</f>
        <v>1.4</v>
      </c>
      <c r="F1622" s="933" t="n">
        <f aca="false">F1546</f>
        <v>100</v>
      </c>
      <c r="G1622" s="933" t="n">
        <f aca="false">G1546</f>
        <v>1.8</v>
      </c>
      <c r="H1622" s="933"/>
      <c r="I1622" s="1751" t="n">
        <f aca="false">I1546</f>
        <v>1000</v>
      </c>
      <c r="J1622" s="1527" t="n">
        <f aca="false">C1622*I1622</f>
        <v>1000</v>
      </c>
      <c r="K1622" s="1230"/>
      <c r="L1622" s="1857" t="str">
        <f aca="false">'Прайс лист'!B1673</f>
        <v>монтаж ветроизоляции стен</v>
      </c>
      <c r="M1622" s="1697"/>
      <c r="N1622" s="1290"/>
      <c r="O1622" s="1854" t="n">
        <f aca="false">C1605*D1597</f>
        <v>0</v>
      </c>
      <c r="P1622" s="1854" t="n">
        <f aca="false">'Прайс лист'!G1673</f>
        <v>100</v>
      </c>
      <c r="Q1622" s="1854"/>
      <c r="R1622" s="1854"/>
      <c r="S1622" s="1854" t="n">
        <f aca="false">O1622*P1622</f>
        <v>0</v>
      </c>
      <c r="T1622" s="1230"/>
      <c r="U1622" s="1230"/>
      <c r="V1622" s="1230"/>
      <c r="W1622" s="1230"/>
      <c r="X1622" s="1230"/>
      <c r="Y1622" s="1230"/>
    </row>
    <row r="1623" customFormat="false" ht="15.75" hidden="true" customHeight="true" outlineLevel="1" collapsed="false">
      <c r="A1623" s="1751" t="str">
        <f aca="false">A1547</f>
        <v>Перемычка оконная, 1-ый эт. Вариант 2</v>
      </c>
      <c r="B1623" s="1527" t="str">
        <f aca="false">B1547</f>
        <v>м.п.</v>
      </c>
      <c r="C1623" s="887" t="n">
        <f aca="false">C1547</f>
        <v>0</v>
      </c>
      <c r="D1623" s="933" t="n">
        <f aca="false">$D$1612/1000</f>
        <v>0.188</v>
      </c>
      <c r="E1623" s="933" t="n">
        <f aca="false">E1547</f>
        <v>1</v>
      </c>
      <c r="F1623" s="933" t="n">
        <f aca="false">F1547</f>
        <v>100</v>
      </c>
      <c r="G1623" s="933" t="n">
        <f aca="false">G1547</f>
        <v>0</v>
      </c>
      <c r="H1623" s="933"/>
      <c r="I1623" s="1751" t="n">
        <f aca="false">I1547</f>
        <v>1000</v>
      </c>
      <c r="J1623" s="1527" t="n">
        <f aca="false">C1623*I1623</f>
        <v>0</v>
      </c>
      <c r="K1623" s="1230"/>
      <c r="L1623" s="1557"/>
      <c r="M1623" s="1765"/>
      <c r="N1623" s="1524"/>
      <c r="O1623" s="1524"/>
      <c r="P1623" s="1524"/>
      <c r="Q1623" s="1524"/>
      <c r="R1623" s="1524"/>
      <c r="S1623" s="1524"/>
      <c r="T1623" s="1230"/>
      <c r="U1623" s="1230"/>
      <c r="V1623" s="1230"/>
      <c r="W1623" s="1230"/>
      <c r="X1623" s="1230"/>
      <c r="Y1623" s="1230"/>
    </row>
    <row r="1624" customFormat="false" ht="15.75" hidden="true" customHeight="true" outlineLevel="1" collapsed="false">
      <c r="A1624" s="1751" t="str">
        <f aca="false">A1548</f>
        <v>Перемычка оконная, 1-ый эт. Вариант 3</v>
      </c>
      <c r="B1624" s="1527" t="str">
        <f aca="false">B1548</f>
        <v>м.п.</v>
      </c>
      <c r="C1624" s="887" t="n">
        <f aca="false">C1548</f>
        <v>0</v>
      </c>
      <c r="D1624" s="933" t="n">
        <f aca="false">$D$1612/1000</f>
        <v>0.188</v>
      </c>
      <c r="E1624" s="933" t="n">
        <f aca="false">E1548</f>
        <v>1.4</v>
      </c>
      <c r="F1624" s="933" t="n">
        <f aca="false">F1548</f>
        <v>100</v>
      </c>
      <c r="G1624" s="933" t="n">
        <f aca="false">G1548</f>
        <v>0</v>
      </c>
      <c r="H1624" s="933"/>
      <c r="I1624" s="1751" t="n">
        <f aca="false">I1548</f>
        <v>1000</v>
      </c>
      <c r="J1624" s="1527" t="n">
        <f aca="false">C1624*I1624</f>
        <v>0</v>
      </c>
      <c r="K1624" s="1230"/>
      <c r="L1624" s="1557"/>
      <c r="M1624" s="1765"/>
      <c r="N1624" s="1290"/>
      <c r="O1624" s="1290"/>
      <c r="P1624" s="1290"/>
      <c r="Q1624" s="1290"/>
      <c r="R1624" s="1290"/>
      <c r="S1624" s="1290"/>
      <c r="T1624" s="1230"/>
      <c r="U1624" s="1230"/>
      <c r="V1624" s="1230"/>
      <c r="W1624" s="1230"/>
      <c r="X1624" s="1230"/>
      <c r="Y1624" s="1230"/>
    </row>
    <row r="1625" customFormat="false" ht="15.75" hidden="true" customHeight="true" outlineLevel="1" collapsed="false">
      <c r="A1625" s="1751" t="str">
        <f aca="false">A1549</f>
        <v>Перемычка оконная, 1-ый эт. Вариант 4</v>
      </c>
      <c r="B1625" s="1527" t="str">
        <f aca="false">B1549</f>
        <v>м.п.</v>
      </c>
      <c r="C1625" s="887" t="n">
        <f aca="false">C1549</f>
        <v>0</v>
      </c>
      <c r="D1625" s="933" t="n">
        <f aca="false">$D$1612/1000</f>
        <v>0.188</v>
      </c>
      <c r="E1625" s="933" t="n">
        <f aca="false">E1549</f>
        <v>1</v>
      </c>
      <c r="F1625" s="933" t="n">
        <f aca="false">F1549</f>
        <v>100</v>
      </c>
      <c r="G1625" s="933" t="n">
        <f aca="false">G1549</f>
        <v>0</v>
      </c>
      <c r="H1625" s="933"/>
      <c r="I1625" s="1751" t="n">
        <f aca="false">I1549</f>
        <v>1000</v>
      </c>
      <c r="J1625" s="1527" t="n">
        <f aca="false">C1625*I1625</f>
        <v>0</v>
      </c>
      <c r="K1625" s="1230"/>
      <c r="L1625" s="1557"/>
      <c r="M1625" s="1765"/>
      <c r="N1625" s="1290"/>
      <c r="O1625" s="1290"/>
      <c r="P1625" s="1290"/>
      <c r="Q1625" s="1290"/>
      <c r="R1625" s="1290"/>
      <c r="S1625" s="1290"/>
      <c r="T1625" s="1230"/>
      <c r="U1625" s="1230"/>
      <c r="V1625" s="1230"/>
      <c r="W1625" s="1230"/>
      <c r="X1625" s="1230"/>
      <c r="Y1625" s="1230"/>
    </row>
    <row r="1626" customFormat="false" ht="15.75" hidden="true" customHeight="true" outlineLevel="1" collapsed="false">
      <c r="A1626" s="1751" t="str">
        <f aca="false">A1550</f>
        <v>Перемычка оконная, 1-ый эт. Вариант 5</v>
      </c>
      <c r="B1626" s="1527" t="str">
        <f aca="false">B1550</f>
        <v>м.п.</v>
      </c>
      <c r="C1626" s="887" t="n">
        <f aca="false">C1550</f>
        <v>0</v>
      </c>
      <c r="D1626" s="933" t="n">
        <f aca="false">$D$1612/1000</f>
        <v>0.188</v>
      </c>
      <c r="E1626" s="933" t="n">
        <f aca="false">E1550</f>
        <v>0.9</v>
      </c>
      <c r="F1626" s="933" t="n">
        <f aca="false">F1550</f>
        <v>100</v>
      </c>
      <c r="G1626" s="933" t="n">
        <f aca="false">G1550</f>
        <v>0</v>
      </c>
      <c r="H1626" s="933"/>
      <c r="I1626" s="1751" t="n">
        <f aca="false">I1550</f>
        <v>1000</v>
      </c>
      <c r="J1626" s="1527" t="n">
        <f aca="false">C1626*I1626</f>
        <v>0</v>
      </c>
      <c r="K1626" s="1230"/>
      <c r="L1626" s="1557"/>
      <c r="M1626" s="1765"/>
      <c r="N1626" s="1290"/>
      <c r="O1626" s="1290"/>
      <c r="P1626" s="1290"/>
      <c r="Q1626" s="1290"/>
      <c r="R1626" s="1290"/>
      <c r="S1626" s="1290"/>
      <c r="T1626" s="1230"/>
      <c r="U1626" s="1230"/>
      <c r="V1626" s="1230"/>
      <c r="W1626" s="1230"/>
      <c r="X1626" s="1230"/>
      <c r="Y1626" s="1230"/>
    </row>
    <row r="1627" customFormat="false" ht="15.75" hidden="true" customHeight="true" outlineLevel="1" collapsed="false">
      <c r="A1627" s="1751" t="str">
        <f aca="false">A1551</f>
        <v>Перемычка оконная, 2-ый эт. Вариант 6</v>
      </c>
      <c r="B1627" s="1527" t="str">
        <f aca="false">B1551</f>
        <v>м.п.</v>
      </c>
      <c r="C1627" s="887" t="n">
        <f aca="false">C1551</f>
        <v>0</v>
      </c>
      <c r="D1627" s="933" t="n">
        <f aca="false">$D$1612/1000</f>
        <v>0.188</v>
      </c>
      <c r="E1627" s="933" t="n">
        <f aca="false">E1551</f>
        <v>1</v>
      </c>
      <c r="F1627" s="933" t="n">
        <f aca="false">F1551</f>
        <v>100</v>
      </c>
      <c r="G1627" s="933" t="n">
        <f aca="false">G1551</f>
        <v>0</v>
      </c>
      <c r="H1627" s="933"/>
      <c r="I1627" s="1751" t="n">
        <f aca="false">I1551</f>
        <v>1000</v>
      </c>
      <c r="J1627" s="1527" t="n">
        <f aca="false">C1627*I1627</f>
        <v>0</v>
      </c>
      <c r="K1627" s="1230"/>
      <c r="L1627" s="1557"/>
      <c r="M1627" s="1765"/>
      <c r="N1627" s="1290"/>
      <c r="O1627" s="1290"/>
      <c r="P1627" s="1290"/>
      <c r="Q1627" s="1290"/>
      <c r="R1627" s="1290"/>
      <c r="S1627" s="1290"/>
      <c r="T1627" s="1230"/>
      <c r="U1627" s="1230"/>
      <c r="V1627" s="1230"/>
      <c r="W1627" s="1230"/>
      <c r="X1627" s="1230"/>
      <c r="Y1627" s="1230"/>
    </row>
    <row r="1628" customFormat="false" ht="15.75" hidden="true" customHeight="true" outlineLevel="1" collapsed="false">
      <c r="A1628" s="1751" t="str">
        <f aca="false">A1552</f>
        <v>Перемычка оконная, 2-ый эт. Вариант 7</v>
      </c>
      <c r="B1628" s="1527" t="str">
        <f aca="false">B1552</f>
        <v>м.п.</v>
      </c>
      <c r="C1628" s="887" t="n">
        <f aca="false">C1552</f>
        <v>0</v>
      </c>
      <c r="D1628" s="933" t="n">
        <f aca="false">$D$1612/1000</f>
        <v>0.188</v>
      </c>
      <c r="E1628" s="933" t="n">
        <f aca="false">E1552</f>
        <v>1.2</v>
      </c>
      <c r="F1628" s="933" t="n">
        <f aca="false">F1552</f>
        <v>100</v>
      </c>
      <c r="G1628" s="933" t="n">
        <f aca="false">G1552</f>
        <v>0</v>
      </c>
      <c r="H1628" s="933"/>
      <c r="I1628" s="1751" t="n">
        <f aca="false">I1552</f>
        <v>1000</v>
      </c>
      <c r="J1628" s="1527" t="n">
        <f aca="false">C1628*I1628</f>
        <v>0</v>
      </c>
      <c r="K1628" s="1230"/>
      <c r="L1628" s="1557"/>
      <c r="M1628" s="1765"/>
      <c r="N1628" s="1290"/>
      <c r="O1628" s="1290"/>
      <c r="P1628" s="1290"/>
      <c r="Q1628" s="1290"/>
      <c r="R1628" s="1290"/>
      <c r="S1628" s="1290"/>
      <c r="T1628" s="1230"/>
      <c r="U1628" s="1230"/>
      <c r="V1628" s="1230"/>
      <c r="W1628" s="1230"/>
      <c r="X1628" s="1230"/>
      <c r="Y1628" s="1230"/>
    </row>
    <row r="1629" customFormat="false" ht="15.75" hidden="true" customHeight="true" outlineLevel="1" collapsed="false">
      <c r="A1629" s="1751" t="str">
        <f aca="false">A1553</f>
        <v>Перемычка оконная, 2-ый эт. Вариант 8</v>
      </c>
      <c r="B1629" s="1527" t="str">
        <f aca="false">B1553</f>
        <v>м.п.</v>
      </c>
      <c r="C1629" s="887" t="n">
        <f aca="false">C1553</f>
        <v>0</v>
      </c>
      <c r="D1629" s="933" t="n">
        <f aca="false">$D$1612/1000</f>
        <v>0.188</v>
      </c>
      <c r="E1629" s="933" t="n">
        <f aca="false">E1553</f>
        <v>1.4</v>
      </c>
      <c r="F1629" s="933" t="n">
        <f aca="false">F1553</f>
        <v>100</v>
      </c>
      <c r="G1629" s="933" t="n">
        <f aca="false">G1553</f>
        <v>0</v>
      </c>
      <c r="H1629" s="933"/>
      <c r="I1629" s="1751" t="n">
        <f aca="false">I1553</f>
        <v>1000</v>
      </c>
      <c r="J1629" s="1527" t="n">
        <f aca="false">C1629*I1629</f>
        <v>0</v>
      </c>
      <c r="K1629" s="1230"/>
      <c r="L1629" s="1557"/>
      <c r="M1629" s="1765"/>
      <c r="N1629" s="1290"/>
      <c r="O1629" s="1290"/>
      <c r="P1629" s="1290"/>
      <c r="Q1629" s="1290"/>
      <c r="R1629" s="1290"/>
      <c r="S1629" s="1290"/>
      <c r="T1629" s="1230"/>
      <c r="U1629" s="1230"/>
      <c r="V1629" s="1230"/>
      <c r="W1629" s="1230"/>
      <c r="X1629" s="1230"/>
      <c r="Y1629" s="1230"/>
    </row>
    <row r="1630" customFormat="false" ht="15.75" hidden="true" customHeight="true" outlineLevel="1" collapsed="false">
      <c r="A1630" s="1751" t="str">
        <f aca="false">A1554</f>
        <v>Перемычка оконная, 2-ый эт. Вариант 9</v>
      </c>
      <c r="B1630" s="1527" t="str">
        <f aca="false">B1554</f>
        <v>м.п.</v>
      </c>
      <c r="C1630" s="887" t="n">
        <f aca="false">C1554</f>
        <v>0</v>
      </c>
      <c r="D1630" s="933" t="n">
        <f aca="false">$D$1612/1000</f>
        <v>0.188</v>
      </c>
      <c r="E1630" s="933" t="n">
        <f aca="false">E1554</f>
        <v>5.4</v>
      </c>
      <c r="F1630" s="933" t="n">
        <f aca="false">F1554</f>
        <v>100</v>
      </c>
      <c r="G1630" s="933" t="n">
        <f aca="false">G1554</f>
        <v>0</v>
      </c>
      <c r="H1630" s="933"/>
      <c r="I1630" s="1751" t="n">
        <f aca="false">I1554</f>
        <v>1000</v>
      </c>
      <c r="J1630" s="1527" t="n">
        <f aca="false">C1630*I1630</f>
        <v>0</v>
      </c>
      <c r="K1630" s="1230"/>
      <c r="L1630" s="1557"/>
      <c r="M1630" s="1765"/>
      <c r="N1630" s="1290"/>
      <c r="O1630" s="1290"/>
      <c r="P1630" s="1290"/>
      <c r="Q1630" s="1290"/>
      <c r="R1630" s="1290"/>
      <c r="S1630" s="1290"/>
      <c r="T1630" s="1230"/>
      <c r="U1630" s="1230"/>
      <c r="V1630" s="1230"/>
      <c r="W1630" s="1230"/>
      <c r="X1630" s="1230"/>
      <c r="Y1630" s="1230"/>
    </row>
    <row r="1631" customFormat="false" ht="15.75" hidden="true" customHeight="true" outlineLevel="1" collapsed="false">
      <c r="A1631" s="1751" t="str">
        <f aca="false">A1555</f>
        <v>Перемычка оконная, 2-ый эт. Вариант 10</v>
      </c>
      <c r="B1631" s="1527" t="str">
        <f aca="false">B1555</f>
        <v>м.п.</v>
      </c>
      <c r="C1631" s="887" t="n">
        <f aca="false">C1555</f>
        <v>0</v>
      </c>
      <c r="D1631" s="933" t="n">
        <f aca="false">$D$1612/1000</f>
        <v>0.188</v>
      </c>
      <c r="E1631" s="933" t="n">
        <f aca="false">E1555</f>
        <v>6.4</v>
      </c>
      <c r="F1631" s="933" t="n">
        <f aca="false">F1555</f>
        <v>100</v>
      </c>
      <c r="G1631" s="933" t="n">
        <f aca="false">G1555</f>
        <v>0</v>
      </c>
      <c r="H1631" s="933"/>
      <c r="I1631" s="1751" t="n">
        <f aca="false">I1555</f>
        <v>1000</v>
      </c>
      <c r="J1631" s="1527" t="n">
        <f aca="false">C1631*I1631</f>
        <v>0</v>
      </c>
      <c r="K1631" s="1230"/>
      <c r="L1631" s="1557"/>
      <c r="M1631" s="1765"/>
      <c r="N1631" s="1290"/>
      <c r="O1631" s="1290"/>
      <c r="P1631" s="1290"/>
      <c r="Q1631" s="1290"/>
      <c r="R1631" s="1290"/>
      <c r="S1631" s="1290"/>
      <c r="T1631" s="1230"/>
      <c r="U1631" s="1230"/>
      <c r="V1631" s="1230"/>
      <c r="W1631" s="1230"/>
      <c r="X1631" s="1230"/>
      <c r="Y1631" s="1230"/>
    </row>
    <row r="1632" customFormat="false" ht="15.75" hidden="true" customHeight="true" outlineLevel="1" collapsed="false">
      <c r="A1632" s="1751" t="str">
        <f aca="false">A1556</f>
        <v>Перемычка дверная, 1-ый эт. Вариант 1</v>
      </c>
      <c r="B1632" s="1527" t="str">
        <f aca="false">B1556</f>
        <v>м.п.</v>
      </c>
      <c r="C1632" s="887" t="n">
        <f aca="false">C1556</f>
        <v>0</v>
      </c>
      <c r="D1632" s="933" t="n">
        <f aca="false">$D$1612/1000</f>
        <v>0.188</v>
      </c>
      <c r="E1632" s="933" t="n">
        <f aca="false">E1556</f>
        <v>1.2</v>
      </c>
      <c r="F1632" s="933" t="n">
        <f aca="false">F1556</f>
        <v>200</v>
      </c>
      <c r="G1632" s="933" t="n">
        <f aca="false">G1556</f>
        <v>0</v>
      </c>
      <c r="H1632" s="933"/>
      <c r="I1632" s="1751" t="n">
        <f aca="false">I1556</f>
        <v>1000</v>
      </c>
      <c r="J1632" s="1527" t="n">
        <f aca="false">C1632*I1632</f>
        <v>0</v>
      </c>
      <c r="K1632" s="1230"/>
      <c r="L1632" s="1557"/>
      <c r="M1632" s="1765"/>
      <c r="N1632" s="1290"/>
      <c r="O1632" s="1290"/>
      <c r="P1632" s="1290"/>
      <c r="Q1632" s="1290"/>
      <c r="R1632" s="1290"/>
      <c r="S1632" s="1290"/>
      <c r="T1632" s="1230"/>
      <c r="U1632" s="1230"/>
      <c r="V1632" s="1230"/>
      <c r="W1632" s="1230"/>
      <c r="X1632" s="1230"/>
      <c r="Y1632" s="1230"/>
    </row>
    <row r="1633" customFormat="false" ht="15.75" hidden="true" customHeight="true" outlineLevel="1" collapsed="false">
      <c r="A1633" s="1751" t="str">
        <f aca="false">A1557</f>
        <v>Перемычка дверная, 2-ый эт. Вариант 2</v>
      </c>
      <c r="B1633" s="1527" t="str">
        <f aca="false">B1557</f>
        <v>м.п.</v>
      </c>
      <c r="C1633" s="887" t="n">
        <f aca="false">C1557</f>
        <v>0</v>
      </c>
      <c r="D1633" s="933" t="n">
        <f aca="false">$D$1612/1000</f>
        <v>0.188</v>
      </c>
      <c r="E1633" s="933" t="n">
        <f aca="false">E1557</f>
        <v>1.2</v>
      </c>
      <c r="F1633" s="933" t="n">
        <f aca="false">F1557</f>
        <v>200</v>
      </c>
      <c r="G1633" s="933" t="n">
        <f aca="false">G1557</f>
        <v>0</v>
      </c>
      <c r="H1633" s="933"/>
      <c r="I1633" s="1751" t="n">
        <f aca="false">I1557</f>
        <v>1000</v>
      </c>
      <c r="J1633" s="1527" t="n">
        <f aca="false">C1633*I1633</f>
        <v>0</v>
      </c>
      <c r="K1633" s="1230"/>
      <c r="L1633" s="1557"/>
      <c r="M1633" s="1765"/>
      <c r="N1633" s="1290"/>
      <c r="O1633" s="1290"/>
      <c r="P1633" s="1290"/>
      <c r="Q1633" s="1290"/>
      <c r="R1633" s="1290"/>
      <c r="S1633" s="1290"/>
      <c r="T1633" s="1230"/>
      <c r="U1633" s="1230"/>
      <c r="V1633" s="1230"/>
      <c r="W1633" s="1230"/>
      <c r="X1633" s="1230"/>
      <c r="Y1633" s="1230"/>
    </row>
    <row r="1634" customFormat="false" ht="15.75" hidden="true" customHeight="true" outlineLevel="1" collapsed="false">
      <c r="A1634" s="1751" t="str">
        <f aca="false">A1558</f>
        <v>Перемычка оконная 1-ый эт, Вариант 11</v>
      </c>
      <c r="B1634" s="1527" t="str">
        <f aca="false">B1558</f>
        <v>м.п.</v>
      </c>
      <c r="C1634" s="887" t="n">
        <f aca="false">C1558</f>
        <v>0</v>
      </c>
      <c r="D1634" s="933" t="n">
        <f aca="false">$D$1612/1000</f>
        <v>0.188</v>
      </c>
      <c r="E1634" s="933" t="n">
        <f aca="false">E1558</f>
        <v>2.4</v>
      </c>
      <c r="F1634" s="933" t="n">
        <f aca="false">F1558</f>
        <v>200</v>
      </c>
      <c r="G1634" s="933" t="n">
        <f aca="false">G1558</f>
        <v>0</v>
      </c>
      <c r="H1634" s="933"/>
      <c r="I1634" s="1751" t="n">
        <f aca="false">I1558</f>
        <v>1000</v>
      </c>
      <c r="J1634" s="1527" t="n">
        <f aca="false">C1634*I1634</f>
        <v>0</v>
      </c>
      <c r="K1634" s="1230"/>
      <c r="L1634" s="1557"/>
      <c r="M1634" s="1765"/>
      <c r="N1634" s="1290"/>
      <c r="O1634" s="1290"/>
      <c r="P1634" s="1290"/>
      <c r="Q1634" s="1290"/>
      <c r="R1634" s="1290"/>
      <c r="S1634" s="1290"/>
      <c r="T1634" s="1230"/>
      <c r="U1634" s="1230"/>
      <c r="V1634" s="1230"/>
      <c r="W1634" s="1230"/>
      <c r="X1634" s="1230"/>
      <c r="Y1634" s="1230"/>
    </row>
    <row r="1635" customFormat="false" ht="15.75" hidden="true" customHeight="true" outlineLevel="1" collapsed="false">
      <c r="A1635" s="1751" t="str">
        <f aca="false">A1559</f>
        <v>Перемычка оконная 1-ый эт, Вариант 12</v>
      </c>
      <c r="B1635" s="1527" t="str">
        <f aca="false">B1559</f>
        <v>м.п.</v>
      </c>
      <c r="C1635" s="887" t="n">
        <f aca="false">C1559</f>
        <v>0</v>
      </c>
      <c r="D1635" s="933" t="n">
        <f aca="false">$D$1612/1000</f>
        <v>0.188</v>
      </c>
      <c r="E1635" s="933" t="n">
        <f aca="false">E1559</f>
        <v>0.4</v>
      </c>
      <c r="F1635" s="933" t="n">
        <f aca="false">F1559</f>
        <v>200</v>
      </c>
      <c r="G1635" s="933" t="n">
        <f aca="false">G1559</f>
        <v>0</v>
      </c>
      <c r="H1635" s="933"/>
      <c r="I1635" s="1751" t="n">
        <f aca="false">I1559</f>
        <v>1000</v>
      </c>
      <c r="J1635" s="1527" t="n">
        <f aca="false">C1635*I1635</f>
        <v>0</v>
      </c>
      <c r="K1635" s="1230"/>
      <c r="L1635" s="1557"/>
      <c r="M1635" s="1765"/>
      <c r="N1635" s="1290"/>
      <c r="O1635" s="1290"/>
      <c r="P1635" s="1290"/>
      <c r="Q1635" s="1290"/>
      <c r="R1635" s="1290"/>
      <c r="S1635" s="1290"/>
      <c r="T1635" s="1230"/>
      <c r="U1635" s="1230"/>
      <c r="V1635" s="1230"/>
      <c r="W1635" s="1230"/>
      <c r="X1635" s="1230"/>
      <c r="Y1635" s="1230"/>
    </row>
    <row r="1636" customFormat="false" ht="15.75" hidden="true" customHeight="true" outlineLevel="1" collapsed="false">
      <c r="A1636" s="1751" t="str">
        <f aca="false">A1560</f>
        <v>Перемычка дверная, 1-ый эт. Вариант 4</v>
      </c>
      <c r="B1636" s="1527" t="str">
        <f aca="false">B1560</f>
        <v>м.п.</v>
      </c>
      <c r="C1636" s="887" t="n">
        <f aca="false">C1560</f>
        <v>0</v>
      </c>
      <c r="D1636" s="933" t="n">
        <f aca="false">$D$1613/1000</f>
        <v>0.188</v>
      </c>
      <c r="E1636" s="933" t="n">
        <f aca="false">E1560</f>
        <v>1.2</v>
      </c>
      <c r="F1636" s="933" t="n">
        <f aca="false">F1560</f>
        <v>200</v>
      </c>
      <c r="G1636" s="933" t="n">
        <f aca="false">G1560</f>
        <v>0</v>
      </c>
      <c r="H1636" s="933"/>
      <c r="I1636" s="1751" t="n">
        <f aca="false">I1560</f>
        <v>1000</v>
      </c>
      <c r="J1636" s="1527" t="n">
        <f aca="false">C1636*I1636</f>
        <v>0</v>
      </c>
      <c r="K1636" s="1230"/>
      <c r="L1636" s="1557"/>
      <c r="M1636" s="1765"/>
      <c r="N1636" s="1290"/>
      <c r="O1636" s="1290"/>
      <c r="P1636" s="1290"/>
      <c r="Q1636" s="1290"/>
      <c r="R1636" s="1290"/>
      <c r="S1636" s="1290"/>
      <c r="T1636" s="1230"/>
      <c r="U1636" s="1230"/>
      <c r="V1636" s="1230"/>
      <c r="W1636" s="1230"/>
      <c r="X1636" s="1230"/>
      <c r="Y1636" s="1230"/>
    </row>
    <row r="1637" customFormat="false" ht="15.75" hidden="true" customHeight="true" outlineLevel="1" collapsed="false">
      <c r="A1637" s="1751" t="str">
        <f aca="false">A1561</f>
        <v>Перемычка дверная, 1-ый эт. Вариант 5</v>
      </c>
      <c r="B1637" s="1527" t="str">
        <f aca="false">B1561</f>
        <v>м.п.</v>
      </c>
      <c r="C1637" s="887" t="n">
        <f aca="false">C1561</f>
        <v>0</v>
      </c>
      <c r="D1637" s="933" t="n">
        <f aca="false">$D$1613/1000</f>
        <v>0.188</v>
      </c>
      <c r="E1637" s="933" t="n">
        <f aca="false">E1561</f>
        <v>1</v>
      </c>
      <c r="F1637" s="933" t="n">
        <f aca="false">F1561</f>
        <v>200</v>
      </c>
      <c r="G1637" s="933" t="n">
        <f aca="false">G1561</f>
        <v>0</v>
      </c>
      <c r="H1637" s="933"/>
      <c r="I1637" s="1751" t="n">
        <f aca="false">I1561</f>
        <v>1000</v>
      </c>
      <c r="J1637" s="1527" t="n">
        <f aca="false">C1637*I1637</f>
        <v>0</v>
      </c>
      <c r="K1637" s="1230"/>
      <c r="L1637" s="1557"/>
      <c r="M1637" s="1765"/>
      <c r="N1637" s="1290"/>
      <c r="O1637" s="1290"/>
      <c r="P1637" s="1290"/>
      <c r="Q1637" s="1290"/>
      <c r="R1637" s="1290"/>
      <c r="S1637" s="1290"/>
      <c r="T1637" s="1230"/>
      <c r="U1637" s="1230"/>
      <c r="V1637" s="1230"/>
      <c r="W1637" s="1230"/>
      <c r="X1637" s="1230"/>
      <c r="Y1637" s="1230"/>
    </row>
    <row r="1638" customFormat="false" ht="15.75" hidden="true" customHeight="true" outlineLevel="1" collapsed="false">
      <c r="A1638" s="1751" t="str">
        <f aca="false">A1562</f>
        <v>Перемычка дверная, 1-ый эт. Вариант 6</v>
      </c>
      <c r="B1638" s="1527" t="str">
        <f aca="false">B1562</f>
        <v>м.п.</v>
      </c>
      <c r="C1638" s="887" t="n">
        <f aca="false">C1562</f>
        <v>0</v>
      </c>
      <c r="D1638" s="933" t="n">
        <f aca="false">$D$1613/1000</f>
        <v>0.188</v>
      </c>
      <c r="E1638" s="933" t="n">
        <f aca="false">E1562</f>
        <v>1.3</v>
      </c>
      <c r="F1638" s="933" t="n">
        <f aca="false">F1562</f>
        <v>200</v>
      </c>
      <c r="G1638" s="933" t="n">
        <f aca="false">G1562</f>
        <v>0</v>
      </c>
      <c r="H1638" s="933"/>
      <c r="I1638" s="1751" t="n">
        <f aca="false">I1562</f>
        <v>1000</v>
      </c>
      <c r="J1638" s="1527" t="n">
        <f aca="false">C1638*I1638</f>
        <v>0</v>
      </c>
      <c r="K1638" s="1230"/>
      <c r="L1638" s="1557"/>
      <c r="M1638" s="1765"/>
      <c r="N1638" s="1290"/>
      <c r="O1638" s="1290"/>
      <c r="P1638" s="1290"/>
      <c r="Q1638" s="1290"/>
      <c r="R1638" s="1290"/>
      <c r="S1638" s="1290"/>
      <c r="T1638" s="1230"/>
      <c r="U1638" s="1230"/>
      <c r="V1638" s="1230"/>
      <c r="W1638" s="1230"/>
      <c r="X1638" s="1230"/>
      <c r="Y1638" s="1230"/>
    </row>
    <row r="1639" customFormat="false" ht="15.75" hidden="true" customHeight="true" outlineLevel="1" collapsed="false">
      <c r="A1639" s="1751" t="str">
        <f aca="false">A1563</f>
        <v>Перемычка дверная, 2-ый эт. Вариант 7</v>
      </c>
      <c r="B1639" s="1527" t="str">
        <f aca="false">B1563</f>
        <v>м.п.</v>
      </c>
      <c r="C1639" s="887" t="n">
        <f aca="false">C1563</f>
        <v>0</v>
      </c>
      <c r="D1639" s="933" t="n">
        <f aca="false">$D$1613/1000</f>
        <v>0.188</v>
      </c>
      <c r="E1639" s="933" t="n">
        <f aca="false">E1563</f>
        <v>1.2</v>
      </c>
      <c r="F1639" s="933" t="n">
        <f aca="false">F1563</f>
        <v>200</v>
      </c>
      <c r="G1639" s="933" t="n">
        <f aca="false">G1563</f>
        <v>0</v>
      </c>
      <c r="H1639" s="933"/>
      <c r="I1639" s="1751" t="n">
        <f aca="false">I1563</f>
        <v>1000</v>
      </c>
      <c r="J1639" s="1527" t="n">
        <f aca="false">C1639*I1639</f>
        <v>0</v>
      </c>
      <c r="K1639" s="1230"/>
      <c r="L1639" s="1557"/>
      <c r="M1639" s="1765"/>
      <c r="N1639" s="1290"/>
      <c r="O1639" s="1290"/>
      <c r="P1639" s="1290"/>
      <c r="Q1639" s="1290"/>
      <c r="R1639" s="1290"/>
      <c r="S1639" s="1290"/>
      <c r="T1639" s="1230"/>
      <c r="U1639" s="1230"/>
      <c r="V1639" s="1230"/>
      <c r="W1639" s="1230"/>
      <c r="X1639" s="1230"/>
      <c r="Y1639" s="1230"/>
    </row>
    <row r="1640" customFormat="false" ht="15.75" hidden="true" customHeight="true" outlineLevel="1" collapsed="false">
      <c r="A1640" s="1751" t="str">
        <f aca="false">A1564</f>
        <v>Перемычка дверная, 2-ый эт. Вариант 8</v>
      </c>
      <c r="B1640" s="1527" t="str">
        <f aca="false">B1564</f>
        <v>м.п.</v>
      </c>
      <c r="C1640" s="887" t="n">
        <f aca="false">C1564</f>
        <v>0</v>
      </c>
      <c r="D1640" s="933" t="n">
        <f aca="false">$D$1613/1000</f>
        <v>0.188</v>
      </c>
      <c r="E1640" s="933" t="n">
        <f aca="false">E1564</f>
        <v>1.4</v>
      </c>
      <c r="F1640" s="933" t="n">
        <f aca="false">F1564</f>
        <v>200</v>
      </c>
      <c r="G1640" s="933" t="n">
        <f aca="false">G1564</f>
        <v>0</v>
      </c>
      <c r="H1640" s="933"/>
      <c r="I1640" s="1751" t="n">
        <f aca="false">I1564</f>
        <v>1000</v>
      </c>
      <c r="J1640" s="1527" t="n">
        <f aca="false">C1640*I1640</f>
        <v>0</v>
      </c>
      <c r="K1640" s="1230"/>
      <c r="L1640" s="1557"/>
      <c r="M1640" s="1765"/>
      <c r="N1640" s="1290"/>
      <c r="O1640" s="1290"/>
      <c r="P1640" s="1290"/>
      <c r="Q1640" s="1290"/>
      <c r="R1640" s="1290"/>
      <c r="S1640" s="1290"/>
      <c r="T1640" s="1230"/>
      <c r="U1640" s="1230"/>
      <c r="V1640" s="1230"/>
      <c r="W1640" s="1230"/>
      <c r="X1640" s="1230"/>
      <c r="Y1640" s="1230"/>
    </row>
    <row r="1641" customFormat="false" ht="15.75" hidden="true" customHeight="true" outlineLevel="1" collapsed="false">
      <c r="A1641" s="1751" t="str">
        <f aca="false">A1565</f>
        <v>Перемычка дверная, 2-ый эт. Вариант 9</v>
      </c>
      <c r="B1641" s="1527" t="str">
        <f aca="false">B1565</f>
        <v>м.п.</v>
      </c>
      <c r="C1641" s="887" t="n">
        <f aca="false">C1565</f>
        <v>0</v>
      </c>
      <c r="D1641" s="933" t="n">
        <f aca="false">$D$1613/1000</f>
        <v>0.188</v>
      </c>
      <c r="E1641" s="933" t="n">
        <f aca="false">E1565</f>
        <v>1.4</v>
      </c>
      <c r="F1641" s="933" t="n">
        <f aca="false">F1565</f>
        <v>200</v>
      </c>
      <c r="G1641" s="933" t="n">
        <f aca="false">G1565</f>
        <v>0</v>
      </c>
      <c r="H1641" s="933"/>
      <c r="I1641" s="1751" t="n">
        <f aca="false">I1565</f>
        <v>1000</v>
      </c>
      <c r="J1641" s="1527" t="n">
        <f aca="false">C1641*I1641</f>
        <v>0</v>
      </c>
      <c r="K1641" s="1230"/>
      <c r="L1641" s="1557"/>
      <c r="M1641" s="1765"/>
      <c r="N1641" s="1290"/>
      <c r="O1641" s="1290"/>
      <c r="P1641" s="1290"/>
      <c r="Q1641" s="1290"/>
      <c r="R1641" s="1290"/>
      <c r="S1641" s="1290"/>
      <c r="T1641" s="1230"/>
      <c r="U1641" s="1230"/>
      <c r="V1641" s="1230"/>
      <c r="W1641" s="1230"/>
      <c r="X1641" s="1230"/>
      <c r="Y1641" s="1230"/>
    </row>
    <row r="1642" customFormat="false" ht="15.75" hidden="true" customHeight="true" outlineLevel="1" collapsed="false">
      <c r="A1642" s="1751" t="str">
        <f aca="false">A1566</f>
        <v>Перемычка проема, 1-ый эт. Вариант 10</v>
      </c>
      <c r="B1642" s="1527" t="str">
        <f aca="false">B1566</f>
        <v>м.п.</v>
      </c>
      <c r="C1642" s="887" t="n">
        <f aca="false">C1566</f>
        <v>0</v>
      </c>
      <c r="D1642" s="933" t="n">
        <f aca="false">$D$1613/1000</f>
        <v>0.188</v>
      </c>
      <c r="E1642" s="933" t="n">
        <f aca="false">E1566</f>
        <v>2.4</v>
      </c>
      <c r="F1642" s="933" t="n">
        <f aca="false">F1566</f>
        <v>200</v>
      </c>
      <c r="G1642" s="933" t="n">
        <f aca="false">G1566</f>
        <v>0</v>
      </c>
      <c r="H1642" s="933"/>
      <c r="I1642" s="1751" t="n">
        <f aca="false">I1566</f>
        <v>1000</v>
      </c>
      <c r="J1642" s="1527" t="n">
        <f aca="false">C1642*I1642</f>
        <v>0</v>
      </c>
      <c r="K1642" s="1230"/>
      <c r="L1642" s="1557"/>
      <c r="M1642" s="1765"/>
      <c r="N1642" s="1290"/>
      <c r="O1642" s="1290"/>
      <c r="P1642" s="1290"/>
      <c r="Q1642" s="1290"/>
      <c r="R1642" s="1290"/>
      <c r="S1642" s="1290"/>
      <c r="T1642" s="1230"/>
      <c r="U1642" s="1230"/>
      <c r="V1642" s="1230"/>
      <c r="W1642" s="1230"/>
      <c r="X1642" s="1230"/>
      <c r="Y1642" s="1230"/>
    </row>
    <row r="1643" customFormat="false" ht="15.75" hidden="true" customHeight="true" outlineLevel="1" collapsed="false">
      <c r="A1643" s="1751" t="str">
        <f aca="false">A1567</f>
        <v>Перемычка проема, 1-ый эт. Вариант 11</v>
      </c>
      <c r="B1643" s="1527" t="str">
        <f aca="false">B1567</f>
        <v>м.п.</v>
      </c>
      <c r="C1643" s="887" t="n">
        <f aca="false">C1567</f>
        <v>0</v>
      </c>
      <c r="D1643" s="933" t="n">
        <f aca="false">$D$1613/1000</f>
        <v>0.188</v>
      </c>
      <c r="E1643" s="933" t="n">
        <f aca="false">E1567</f>
        <v>1.8</v>
      </c>
      <c r="F1643" s="933" t="n">
        <f aca="false">F1567</f>
        <v>200</v>
      </c>
      <c r="G1643" s="933" t="n">
        <f aca="false">G1567</f>
        <v>0</v>
      </c>
      <c r="H1643" s="933"/>
      <c r="I1643" s="1751" t="n">
        <f aca="false">I1567</f>
        <v>1000</v>
      </c>
      <c r="J1643" s="1527" t="n">
        <f aca="false">C1643*I1643</f>
        <v>0</v>
      </c>
      <c r="K1643" s="1230"/>
      <c r="L1643" s="1557"/>
      <c r="M1643" s="1765"/>
      <c r="N1643" s="1290"/>
      <c r="O1643" s="1290"/>
      <c r="P1643" s="1290"/>
      <c r="Q1643" s="1290"/>
      <c r="R1643" s="1290"/>
      <c r="S1643" s="1290"/>
      <c r="T1643" s="1230"/>
      <c r="U1643" s="1230"/>
      <c r="V1643" s="1230"/>
      <c r="W1643" s="1230"/>
      <c r="X1643" s="1230"/>
      <c r="Y1643" s="1230"/>
    </row>
    <row r="1644" customFormat="false" ht="15.75" hidden="true" customHeight="true" outlineLevel="1" collapsed="false">
      <c r="A1644" s="1751" t="str">
        <f aca="false">A1568</f>
        <v>Перемычка проема, 2-ый эт. Вариант 12</v>
      </c>
      <c r="B1644" s="1527" t="str">
        <f aca="false">B1568</f>
        <v>м.п.</v>
      </c>
      <c r="C1644" s="887" t="n">
        <f aca="false">C1568</f>
        <v>0</v>
      </c>
      <c r="D1644" s="933" t="n">
        <f aca="false">$D$1613/1000</f>
        <v>0.188</v>
      </c>
      <c r="E1644" s="933" t="n">
        <f aca="false">E1568</f>
        <v>2.4</v>
      </c>
      <c r="F1644" s="933" t="n">
        <f aca="false">F1568</f>
        <v>200</v>
      </c>
      <c r="G1644" s="933" t="n">
        <f aca="false">G1568</f>
        <v>0</v>
      </c>
      <c r="H1644" s="933"/>
      <c r="I1644" s="1751" t="n">
        <f aca="false">I1568</f>
        <v>1000</v>
      </c>
      <c r="J1644" s="1527" t="n">
        <f aca="false">C1644*I1644</f>
        <v>0</v>
      </c>
      <c r="K1644" s="1230"/>
      <c r="L1644" s="1557"/>
      <c r="M1644" s="1765"/>
      <c r="N1644" s="1290"/>
      <c r="O1644" s="1290"/>
      <c r="P1644" s="1290"/>
      <c r="Q1644" s="1290"/>
      <c r="R1644" s="1290"/>
      <c r="S1644" s="1290"/>
      <c r="T1644" s="1230"/>
      <c r="U1644" s="1230"/>
      <c r="V1644" s="1230"/>
      <c r="W1644" s="1230"/>
      <c r="X1644" s="1230"/>
      <c r="Y1644" s="1230"/>
    </row>
    <row r="1645" customFormat="false" ht="15.75" hidden="true" customHeight="true" outlineLevel="1" collapsed="false">
      <c r="A1645" s="1751" t="str">
        <f aca="false">A1569</f>
        <v>Перемычка проема, 2-ый эт. Вариант 13</v>
      </c>
      <c r="B1645" s="1527" t="str">
        <f aca="false">B1569</f>
        <v>м.п.</v>
      </c>
      <c r="C1645" s="887" t="n">
        <f aca="false">C1569</f>
        <v>0</v>
      </c>
      <c r="D1645" s="933" t="n">
        <f aca="false">$D$1613/1000</f>
        <v>0.188</v>
      </c>
      <c r="E1645" s="933" t="n">
        <f aca="false">E1569</f>
        <v>2.4</v>
      </c>
      <c r="F1645" s="933" t="n">
        <f aca="false">F1569</f>
        <v>200</v>
      </c>
      <c r="G1645" s="933" t="n">
        <f aca="false">G1569</f>
        <v>0</v>
      </c>
      <c r="H1645" s="933"/>
      <c r="I1645" s="1751" t="n">
        <f aca="false">I1569</f>
        <v>1000</v>
      </c>
      <c r="J1645" s="1527" t="n">
        <f aca="false">C1645*I1645</f>
        <v>0</v>
      </c>
      <c r="K1645" s="1230"/>
      <c r="L1645" s="1557"/>
      <c r="M1645" s="1765"/>
      <c r="N1645" s="1290"/>
      <c r="O1645" s="1290"/>
      <c r="P1645" s="1290"/>
      <c r="Q1645" s="1290"/>
      <c r="R1645" s="1290"/>
      <c r="S1645" s="1290"/>
      <c r="T1645" s="1230"/>
      <c r="U1645" s="1230"/>
      <c r="V1645" s="1230"/>
      <c r="W1645" s="1230"/>
      <c r="X1645" s="1230"/>
      <c r="Y1645" s="1230"/>
    </row>
    <row r="1646" customFormat="false" ht="15.75" hidden="true" customHeight="true" outlineLevel="1" collapsed="false">
      <c r="A1646" s="1751" t="str">
        <f aca="false">A1570</f>
        <v>Перемычка дверная, 1-ый эт. Вариант 1</v>
      </c>
      <c r="B1646" s="1527" t="str">
        <f aca="false">B1570</f>
        <v>м.п.</v>
      </c>
      <c r="C1646" s="887" t="n">
        <f aca="false">C1570</f>
        <v>0</v>
      </c>
      <c r="D1646" s="933" t="n">
        <f aca="false">D1612/1000</f>
        <v>0.188</v>
      </c>
      <c r="E1646" s="933" t="n">
        <f aca="false">E1570</f>
        <v>1.2</v>
      </c>
      <c r="F1646" s="933" t="n">
        <f aca="false">F1570</f>
        <v>100</v>
      </c>
      <c r="G1646" s="933" t="n">
        <f aca="false">G1570</f>
        <v>0</v>
      </c>
      <c r="H1646" s="933"/>
      <c r="I1646" s="1751" t="n">
        <f aca="false">I1570</f>
        <v>1000</v>
      </c>
      <c r="J1646" s="1527" t="n">
        <f aca="false">C1646*I1646</f>
        <v>0</v>
      </c>
      <c r="K1646" s="1230"/>
      <c r="L1646" s="1557"/>
      <c r="M1646" s="1765"/>
      <c r="N1646" s="1290"/>
      <c r="O1646" s="1290"/>
      <c r="P1646" s="1290"/>
      <c r="Q1646" s="1290"/>
      <c r="R1646" s="1290"/>
      <c r="S1646" s="1290"/>
      <c r="T1646" s="1230"/>
      <c r="U1646" s="1230"/>
      <c r="V1646" s="1230"/>
      <c r="W1646" s="1230"/>
      <c r="X1646" s="1230"/>
      <c r="Y1646" s="1230"/>
    </row>
    <row r="1647" customFormat="false" ht="15.75" hidden="true" customHeight="true" outlineLevel="1" collapsed="false">
      <c r="A1647" s="1751" t="str">
        <f aca="false">A1571</f>
        <v>Перемычка дверная, 1-ый эт. Вариант 2</v>
      </c>
      <c r="B1647" s="1527" t="str">
        <f aca="false">B1571</f>
        <v>м.п.</v>
      </c>
      <c r="C1647" s="887" t="n">
        <f aca="false">C1571</f>
        <v>0</v>
      </c>
      <c r="D1647" s="933" t="n">
        <f aca="false">D1612/1000</f>
        <v>0.188</v>
      </c>
      <c r="E1647" s="933" t="n">
        <f aca="false">E1571</f>
        <v>1.3</v>
      </c>
      <c r="F1647" s="933" t="n">
        <f aca="false">F1571</f>
        <v>100</v>
      </c>
      <c r="G1647" s="933" t="n">
        <f aca="false">G1571</f>
        <v>0</v>
      </c>
      <c r="H1647" s="933"/>
      <c r="I1647" s="1751" t="n">
        <f aca="false">I1571</f>
        <v>1000</v>
      </c>
      <c r="J1647" s="1527" t="n">
        <f aca="false">C1647*I1647</f>
        <v>0</v>
      </c>
      <c r="K1647" s="1230"/>
      <c r="L1647" s="1557"/>
      <c r="M1647" s="1765"/>
      <c r="N1647" s="1290"/>
      <c r="O1647" s="1290"/>
      <c r="P1647" s="1290"/>
      <c r="Q1647" s="1290"/>
      <c r="R1647" s="1290"/>
      <c r="S1647" s="1290"/>
      <c r="T1647" s="1230"/>
      <c r="U1647" s="1230"/>
      <c r="V1647" s="1230"/>
      <c r="W1647" s="1230"/>
      <c r="X1647" s="1230"/>
      <c r="Y1647" s="1230"/>
    </row>
    <row r="1648" customFormat="false" ht="15.75" hidden="true" customHeight="true" outlineLevel="1" collapsed="false">
      <c r="A1648" s="1751" t="str">
        <f aca="false">A1572</f>
        <v>Перемычка дверная, 1-ый эт. Вариант 3</v>
      </c>
      <c r="B1648" s="1527" t="str">
        <f aca="false">B1572</f>
        <v>м.п.</v>
      </c>
      <c r="C1648" s="887" t="n">
        <f aca="false">C1572</f>
        <v>0</v>
      </c>
      <c r="D1648" s="933" t="n">
        <f aca="false">D1612/1000</f>
        <v>0.188</v>
      </c>
      <c r="E1648" s="933" t="n">
        <f aca="false">E1572</f>
        <v>1.4</v>
      </c>
      <c r="F1648" s="933" t="n">
        <f aca="false">F1572</f>
        <v>100</v>
      </c>
      <c r="G1648" s="933" t="n">
        <f aca="false">G1572</f>
        <v>0</v>
      </c>
      <c r="H1648" s="933"/>
      <c r="I1648" s="1751" t="n">
        <f aca="false">I1572</f>
        <v>1000</v>
      </c>
      <c r="J1648" s="1527" t="n">
        <f aca="false">C1648*I1648</f>
        <v>0</v>
      </c>
      <c r="K1648" s="1230"/>
      <c r="L1648" s="1557"/>
      <c r="M1648" s="1765"/>
      <c r="N1648" s="1290"/>
      <c r="O1648" s="1290"/>
      <c r="P1648" s="1290"/>
      <c r="Q1648" s="1290"/>
      <c r="R1648" s="1290"/>
      <c r="S1648" s="1290"/>
      <c r="T1648" s="1230"/>
      <c r="U1648" s="1230"/>
      <c r="V1648" s="1230"/>
      <c r="W1648" s="1230"/>
      <c r="X1648" s="1230"/>
      <c r="Y1648" s="1230"/>
    </row>
    <row r="1649" customFormat="false" ht="15.75" hidden="true" customHeight="true" outlineLevel="1" collapsed="false">
      <c r="A1649" s="1751" t="str">
        <f aca="false">A1573</f>
        <v>Сосна влаж,200*40мм</v>
      </c>
      <c r="B1649" s="1527" t="str">
        <f aca="false">B1573</f>
        <v>м3</v>
      </c>
      <c r="C1649" s="887" t="n">
        <f aca="false">C1573</f>
        <v>0.832</v>
      </c>
      <c r="I1649" s="1751" t="n">
        <f aca="false">I1573</f>
        <v>6500</v>
      </c>
      <c r="J1649" s="1527" t="n">
        <f aca="false">C1649*I1649</f>
        <v>5408</v>
      </c>
      <c r="K1649" s="1230"/>
      <c r="L1649" s="1557"/>
      <c r="M1649" s="1765"/>
      <c r="N1649" s="1290"/>
      <c r="O1649" s="1290"/>
      <c r="P1649" s="1290"/>
      <c r="Q1649" s="1290"/>
      <c r="R1649" s="1290"/>
      <c r="S1649" s="1290"/>
      <c r="T1649" s="1230"/>
      <c r="U1649" s="1230"/>
      <c r="V1649" s="1230"/>
      <c r="W1649" s="1230"/>
      <c r="X1649" s="1230"/>
      <c r="Y1649" s="1230"/>
    </row>
    <row r="1650" customFormat="false" ht="15.75" hidden="true" customHeight="true" outlineLevel="1" collapsed="false">
      <c r="A1650" s="1751" t="str">
        <f aca="false">A1574</f>
        <v>Сейсмопояс Арматура М10 4 нити</v>
      </c>
      <c r="B1650" s="1527" t="str">
        <f aca="false">B1574</f>
        <v>м.п.</v>
      </c>
      <c r="C1650" s="887" t="n">
        <f aca="false">C1574</f>
        <v>176</v>
      </c>
      <c r="I1650" s="1751" t="n">
        <f aca="false">I1574</f>
        <v>21.0397</v>
      </c>
      <c r="J1650" s="1527" t="n">
        <f aca="false">C1650*I1650</f>
        <v>3702.9872</v>
      </c>
      <c r="K1650" s="1230"/>
      <c r="L1650" s="1557"/>
      <c r="M1650" s="1765"/>
      <c r="N1650" s="1290"/>
      <c r="O1650" s="1290"/>
      <c r="P1650" s="1290"/>
      <c r="Q1650" s="1290"/>
      <c r="R1650" s="1290"/>
      <c r="S1650" s="1290"/>
      <c r="T1650" s="1230"/>
      <c r="U1650" s="1230"/>
      <c r="V1650" s="1230"/>
      <c r="W1650" s="1230"/>
      <c r="X1650" s="1230"/>
      <c r="Y1650" s="1230"/>
    </row>
    <row r="1651" customFormat="false" ht="15.75" hidden="true" customHeight="true" outlineLevel="1" collapsed="false">
      <c r="A1651" s="1751" t="str">
        <f aca="false">A1575</f>
        <v>Хомут для сейсмопояса Арматура М6, шаг 400мм</v>
      </c>
      <c r="B1651" s="1527" t="str">
        <f aca="false">B1575</f>
        <v>м.п.</v>
      </c>
      <c r="C1651" s="887" t="n">
        <f aca="false">C1575</f>
        <v>90</v>
      </c>
      <c r="I1651" s="1751" t="n">
        <f aca="false">I1575</f>
        <v>0</v>
      </c>
      <c r="J1651" s="1527" t="n">
        <f aca="false">C1651*I1651</f>
        <v>0</v>
      </c>
      <c r="K1651" s="1230"/>
      <c r="L1651" s="1557"/>
      <c r="M1651" s="1765"/>
      <c r="N1651" s="1290"/>
      <c r="O1651" s="1290"/>
      <c r="P1651" s="1290"/>
      <c r="Q1651" s="1290"/>
      <c r="R1651" s="1290"/>
      <c r="S1651" s="1290"/>
      <c r="T1651" s="1230"/>
      <c r="U1651" s="1230"/>
      <c r="V1651" s="1230"/>
      <c r="W1651" s="1230"/>
      <c r="X1651" s="1230"/>
      <c r="Y1651" s="1230"/>
    </row>
    <row r="1652" customFormat="false" ht="15.75" hidden="true" customHeight="true" outlineLevel="1" collapsed="false">
      <c r="A1652" s="1751" t="str">
        <f aca="false">A1576</f>
        <v>Бетон, м300</v>
      </c>
      <c r="B1652" s="1527" t="str">
        <f aca="false">B1576</f>
        <v>м3</v>
      </c>
      <c r="C1652" s="887" t="n">
        <f aca="false">C1576</f>
        <v>1.638</v>
      </c>
      <c r="I1652" s="1751" t="n">
        <f aca="false">I1576</f>
        <v>3000</v>
      </c>
      <c r="J1652" s="1527" t="n">
        <f aca="false">C1652*I1652</f>
        <v>4914</v>
      </c>
      <c r="K1652" s="1230"/>
      <c r="L1652" s="1557"/>
      <c r="M1652" s="1765"/>
      <c r="N1652" s="1290"/>
      <c r="O1652" s="1290"/>
      <c r="P1652" s="1290"/>
      <c r="Q1652" s="1290"/>
      <c r="R1652" s="1290"/>
      <c r="S1652" s="1290"/>
      <c r="T1652" s="1230"/>
      <c r="U1652" s="1230"/>
      <c r="V1652" s="1230"/>
      <c r="W1652" s="1230"/>
      <c r="X1652" s="1230"/>
      <c r="Y1652" s="1230"/>
    </row>
    <row r="1653" customFormat="false" ht="15.75" hidden="true" customHeight="true" outlineLevel="1" collapsed="false">
      <c r="A1653" s="1751" t="str">
        <f aca="false">A1577</f>
        <v>Нет техники</v>
      </c>
      <c r="B1653" s="1527" t="str">
        <f aca="false">B1577</f>
        <v>час</v>
      </c>
      <c r="C1653" s="887" t="n">
        <f aca="false">C1577</f>
        <v>0</v>
      </c>
      <c r="I1653" s="1751" t="n">
        <f aca="false">I1577</f>
        <v>0</v>
      </c>
      <c r="J1653" s="1527" t="n">
        <f aca="false">C1653*I1653</f>
        <v>0</v>
      </c>
      <c r="K1653" s="1230"/>
      <c r="L1653" s="1557"/>
      <c r="M1653" s="1765"/>
      <c r="N1653" s="1290"/>
      <c r="O1653" s="1290"/>
      <c r="P1653" s="1290"/>
      <c r="Q1653" s="1290"/>
      <c r="R1653" s="1290"/>
      <c r="S1653" s="1290"/>
      <c r="T1653" s="1230"/>
      <c r="U1653" s="1230"/>
      <c r="V1653" s="1230"/>
      <c r="W1653" s="1230"/>
      <c r="X1653" s="1230"/>
      <c r="Y1653" s="1230"/>
    </row>
    <row r="1654" customFormat="false" ht="15.75" hidden="true" customHeight="true" outlineLevel="1" collapsed="false">
      <c r="A1654" s="1751" t="str">
        <f aca="false">A1578</f>
        <v>Нет техники</v>
      </c>
      <c r="B1654" s="1527" t="str">
        <f aca="false">B1578</f>
        <v>час</v>
      </c>
      <c r="C1654" s="887" t="n">
        <f aca="false">C1578</f>
        <v>0</v>
      </c>
      <c r="I1654" s="1751" t="n">
        <f aca="false">I1578</f>
        <v>0</v>
      </c>
      <c r="J1654" s="1527" t="n">
        <f aca="false">C1654*I1654</f>
        <v>0</v>
      </c>
      <c r="K1654" s="1230"/>
      <c r="L1654" s="1557"/>
      <c r="M1654" s="1765"/>
      <c r="N1654" s="1290"/>
      <c r="O1654" s="1290"/>
      <c r="P1654" s="1290"/>
      <c r="Q1654" s="1290"/>
      <c r="R1654" s="1290"/>
      <c r="S1654" s="1290"/>
      <c r="T1654" s="1230"/>
      <c r="U1654" s="1230"/>
      <c r="V1654" s="1230"/>
      <c r="W1654" s="1230"/>
      <c r="X1654" s="1230"/>
      <c r="Y1654" s="1230"/>
    </row>
    <row r="1655" customFormat="false" ht="15.75" hidden="true" customHeight="true" outlineLevel="1" collapsed="false">
      <c r="A1655" s="1751" t="str">
        <f aca="false">A1579</f>
        <v>Нет</v>
      </c>
      <c r="B1655" s="1527" t="str">
        <f aca="false">B1579</f>
        <v>м3</v>
      </c>
      <c r="C1655" s="887" t="n">
        <f aca="false">C1579</f>
        <v>0</v>
      </c>
      <c r="I1655" s="1751" t="n">
        <f aca="false">I1579</f>
        <v>0</v>
      </c>
      <c r="J1655" s="1527" t="n">
        <f aca="false">C1655*I1655</f>
        <v>0</v>
      </c>
      <c r="K1655" s="1230"/>
      <c r="L1655" s="1557"/>
      <c r="M1655" s="1765"/>
      <c r="N1655" s="1290"/>
      <c r="O1655" s="1290"/>
      <c r="P1655" s="1290"/>
      <c r="Q1655" s="1290"/>
      <c r="R1655" s="1290"/>
      <c r="S1655" s="1290"/>
      <c r="T1655" s="1230"/>
      <c r="U1655" s="1230"/>
      <c r="V1655" s="1230"/>
      <c r="W1655" s="1230"/>
      <c r="X1655" s="1230"/>
      <c r="Y1655" s="1230"/>
    </row>
    <row r="1656" customFormat="false" ht="15.75" hidden="true" customHeight="true" outlineLevel="1" collapsed="false">
      <c r="A1656" s="1751" t="str">
        <f aca="false">A1580</f>
        <v>Грибок для крепления утеплителя</v>
      </c>
      <c r="B1656" s="1527" t="str">
        <f aca="false">B1580</f>
        <v>шт</v>
      </c>
      <c r="C1656" s="887" t="n">
        <f aca="false">C1580</f>
        <v>0</v>
      </c>
      <c r="I1656" s="1751" t="n">
        <f aca="false">I1580</f>
        <v>15</v>
      </c>
      <c r="J1656" s="1527" t="n">
        <f aca="false">C1656*I1656</f>
        <v>0</v>
      </c>
      <c r="K1656" s="1870"/>
      <c r="L1656" s="1857"/>
      <c r="M1656" s="1858"/>
      <c r="N1656" s="1854"/>
      <c r="O1656" s="1854"/>
      <c r="P1656" s="1854"/>
      <c r="Q1656" s="1854"/>
      <c r="R1656" s="1854"/>
      <c r="S1656" s="1854"/>
      <c r="T1656" s="1230"/>
      <c r="U1656" s="1230"/>
      <c r="V1656" s="1230"/>
      <c r="W1656" s="1230"/>
      <c r="X1656" s="1230"/>
      <c r="Y1656" s="1230"/>
    </row>
    <row r="1657" customFormat="false" ht="15.75" hidden="true" customHeight="true" outlineLevel="1" collapsed="false">
      <c r="A1657" s="1751" t="str">
        <f aca="false">A1581</f>
        <v>нет ветроизоляции</v>
      </c>
      <c r="B1657" s="1527" t="str">
        <f aca="false">B1581</f>
        <v>м2</v>
      </c>
      <c r="C1657" s="887" t="n">
        <f aca="false">C1581</f>
        <v>0</v>
      </c>
      <c r="I1657" s="1751" t="n">
        <f aca="false">I1581</f>
        <v>0</v>
      </c>
      <c r="J1657" s="1527" t="n">
        <f aca="false">C1657*I1657</f>
        <v>0</v>
      </c>
      <c r="K1657" s="1870"/>
      <c r="L1657" s="1860"/>
      <c r="M1657" s="1859"/>
      <c r="N1657" s="1860"/>
      <c r="O1657" s="1854"/>
      <c r="P1657" s="1854"/>
      <c r="Q1657" s="1854"/>
      <c r="R1657" s="1854"/>
      <c r="S1657" s="1854"/>
      <c r="T1657" s="1230"/>
      <c r="U1657" s="1230"/>
      <c r="V1657" s="1230"/>
      <c r="W1657" s="1230"/>
      <c r="X1657" s="1230"/>
      <c r="Y1657" s="1230"/>
    </row>
    <row r="1658" customFormat="false" ht="15.75" hidden="true" customHeight="true" outlineLevel="1" collapsed="false">
      <c r="A1658" s="1751" t="str">
        <f aca="false">'Ввод данных'!A1116</f>
        <v>Командировочные расходы</v>
      </c>
      <c r="B1658" s="1527" t="s">
        <v>1796</v>
      </c>
      <c r="C1658" s="887" t="n">
        <f aca="false">1</f>
        <v>1</v>
      </c>
      <c r="I1658" s="1751" t="n">
        <f aca="false">'Ввод данных'!C1117*'Ввод данных'!C1118*'Ввод данных'!C1119*VLOOKUP('Ввод данных'!C1116,связи1!A2:B3,2,0)</f>
        <v>0</v>
      </c>
      <c r="J1658" s="1527" t="n">
        <f aca="false">C1658*I1658</f>
        <v>0</v>
      </c>
      <c r="K1658" s="1870"/>
      <c r="L1658" s="1871"/>
      <c r="M1658" s="1872"/>
      <c r="N1658" s="1860"/>
      <c r="O1658" s="1854"/>
      <c r="P1658" s="1854"/>
      <c r="Q1658" s="1854"/>
      <c r="R1658" s="1854"/>
      <c r="S1658" s="1854"/>
      <c r="T1658" s="1230"/>
      <c r="U1658" s="1230"/>
      <c r="V1658" s="1230"/>
      <c r="W1658" s="1230"/>
      <c r="X1658" s="1230"/>
      <c r="Y1658" s="1230"/>
    </row>
    <row r="1659" customFormat="false" ht="15.75" hidden="true" customHeight="true" outlineLevel="1" collapsed="false">
      <c r="A1659" s="1751" t="str">
        <f aca="false">'Ввод данных'!A1114</f>
        <v>расходные материалы каменные дома</v>
      </c>
      <c r="B1659" s="1527" t="str">
        <f aca="false">B1583</f>
        <v>шт</v>
      </c>
      <c r="C1659" s="887" t="n">
        <f aca="false">C1583</f>
        <v>1</v>
      </c>
      <c r="I1659" s="1751" t="n">
        <f aca="false">I1583</f>
        <v>15000</v>
      </c>
      <c r="J1659" s="1527" t="n">
        <f aca="false">C1659*I1659</f>
        <v>15000</v>
      </c>
      <c r="K1659" s="1870"/>
      <c r="L1659" s="1857"/>
      <c r="M1659" s="1858"/>
      <c r="N1659" s="1854"/>
      <c r="O1659" s="1854"/>
      <c r="P1659" s="1854"/>
      <c r="Q1659" s="1854"/>
      <c r="R1659" s="1854"/>
      <c r="S1659" s="1854"/>
      <c r="T1659" s="1230"/>
      <c r="U1659" s="1230"/>
      <c r="V1659" s="1230"/>
      <c r="W1659" s="1230"/>
      <c r="X1659" s="1230"/>
      <c r="Y1659" s="1230"/>
    </row>
    <row r="1660" customFormat="false" ht="15.75" hidden="true" customHeight="true" outlineLevel="1" collapsed="false">
      <c r="A1660" s="1751" t="str">
        <f aca="false">A1584</f>
        <v>Нет техники</v>
      </c>
      <c r="B1660" s="1527" t="str">
        <f aca="false">B1584</f>
        <v>шт</v>
      </c>
      <c r="C1660" s="887" t="n">
        <f aca="false">C1584</f>
        <v>0</v>
      </c>
      <c r="I1660" s="1751" t="n">
        <f aca="false">I1584</f>
        <v>0</v>
      </c>
      <c r="J1660" s="1527" t="n">
        <f aca="false">C1660*I1660</f>
        <v>0</v>
      </c>
      <c r="K1660" s="1870"/>
      <c r="L1660" s="1873"/>
      <c r="M1660" s="1874"/>
      <c r="N1660" s="1875"/>
      <c r="O1660" s="1875"/>
      <c r="P1660" s="1875"/>
      <c r="Q1660" s="1875"/>
      <c r="R1660" s="1875"/>
      <c r="S1660" s="1875"/>
      <c r="T1660" s="1230"/>
      <c r="U1660" s="1230"/>
      <c r="V1660" s="1230"/>
      <c r="W1660" s="1230"/>
      <c r="X1660" s="1230"/>
      <c r="Y1660" s="1230"/>
    </row>
    <row r="1661" customFormat="false" ht="15.75" hidden="true" customHeight="true" outlineLevel="1" collapsed="false">
      <c r="C1661" s="1876"/>
      <c r="I1661" s="1877"/>
      <c r="J1661" s="1877" t="n">
        <f aca="false">SUM(J1612:J1660)</f>
        <v>30024.9872</v>
      </c>
      <c r="K1661" s="1870"/>
      <c r="L1661" s="1853"/>
      <c r="M1661" s="1856"/>
      <c r="N1661" s="1853"/>
      <c r="O1661" s="1853"/>
      <c r="P1661" s="1853"/>
      <c r="Q1661" s="1853"/>
      <c r="R1661" s="1853"/>
      <c r="S1661" s="1853" t="n">
        <f aca="false">SUM(S1612:S1660)</f>
        <v>78060</v>
      </c>
      <c r="T1661" s="1230"/>
      <c r="U1661" s="1230"/>
      <c r="V1661" s="1230"/>
      <c r="W1661" s="1230"/>
      <c r="X1661" s="1230"/>
      <c r="Y1661" s="1230"/>
    </row>
    <row r="1662" customFormat="false" ht="15.75" hidden="true" customHeight="true" outlineLevel="1" collapsed="false">
      <c r="F1662" s="1230"/>
      <c r="G1662" s="1311"/>
      <c r="H1662" s="1311"/>
      <c r="I1662" s="1696"/>
      <c r="J1662" s="1311"/>
      <c r="K1662" s="1311"/>
      <c r="L1662" s="1311"/>
      <c r="M1662" s="1311"/>
      <c r="N1662" s="1311"/>
      <c r="O1662" s="1311"/>
      <c r="P1662" s="1230"/>
      <c r="Q1662" s="1230"/>
      <c r="R1662" s="1230"/>
      <c r="S1662" s="1230"/>
      <c r="T1662" s="1230"/>
      <c r="U1662" s="1230"/>
      <c r="V1662" s="1230"/>
      <c r="W1662" s="1230"/>
      <c r="X1662" s="1230"/>
      <c r="Y1662" s="1230"/>
    </row>
    <row r="1663" customFormat="false" ht="15.75" hidden="false" customHeight="true" outlineLevel="0" collapsed="false">
      <c r="A1663" s="1878" t="s">
        <v>3765</v>
      </c>
      <c r="B1663" s="1689"/>
      <c r="C1663" s="1773" t="s">
        <v>3663</v>
      </c>
      <c r="D1663" s="1694"/>
      <c r="E1663" s="1694"/>
      <c r="F1663" s="1695"/>
      <c r="G1663" s="1230"/>
      <c r="H1663" s="1230"/>
      <c r="I1663" s="1770"/>
      <c r="J1663" s="1230"/>
      <c r="K1663" s="1230"/>
      <c r="L1663" s="1230"/>
      <c r="M1663" s="1230"/>
      <c r="N1663" s="1230"/>
      <c r="O1663" s="1230"/>
      <c r="P1663" s="1230"/>
      <c r="Q1663" s="1230"/>
      <c r="R1663" s="1230"/>
      <c r="S1663" s="1230"/>
      <c r="T1663" s="1230"/>
      <c r="U1663" s="1230"/>
      <c r="V1663" s="1230"/>
      <c r="W1663" s="1230"/>
      <c r="X1663" s="1230"/>
      <c r="Y1663" s="1230"/>
    </row>
    <row r="1664" customFormat="false" ht="15.75" hidden="false" customHeight="true" outlineLevel="0" collapsed="false">
      <c r="A1664" s="1230"/>
      <c r="B1664" s="1771"/>
      <c r="C1664" s="1771"/>
      <c r="D1664" s="1230"/>
      <c r="E1664" s="1230"/>
      <c r="F1664" s="1230"/>
      <c r="G1664" s="1230"/>
      <c r="H1664" s="1230"/>
      <c r="I1664" s="1770"/>
      <c r="J1664" s="1230"/>
      <c r="K1664" s="1230"/>
      <c r="L1664" s="1230"/>
      <c r="M1664" s="1230"/>
      <c r="N1664" s="1230"/>
      <c r="O1664" s="1230"/>
      <c r="P1664" s="1230"/>
      <c r="Q1664" s="1230"/>
      <c r="R1664" s="1230"/>
      <c r="S1664" s="1230"/>
      <c r="T1664" s="1230"/>
      <c r="U1664" s="1230"/>
      <c r="V1664" s="1230"/>
      <c r="W1664" s="1230"/>
      <c r="X1664" s="1230"/>
      <c r="Y1664" s="1230"/>
    </row>
    <row r="1665" customFormat="false" ht="15.75" hidden="false" customHeight="true" outlineLevel="1" collapsed="false">
      <c r="A1665" s="1879" t="s">
        <v>3766</v>
      </c>
      <c r="B1665" s="1880"/>
      <c r="C1665" s="1880"/>
      <c r="D1665" s="1881"/>
      <c r="E1665" s="1881"/>
      <c r="F1665" s="1881"/>
      <c r="G1665" s="1881"/>
      <c r="H1665" s="1881"/>
      <c r="I1665" s="1882"/>
      <c r="J1665" s="1881"/>
      <c r="K1665" s="1881"/>
      <c r="L1665" s="1881"/>
      <c r="M1665" s="1881"/>
      <c r="N1665" s="1881"/>
      <c r="O1665" s="1881"/>
      <c r="P1665" s="1883"/>
      <c r="Q1665" s="1606"/>
      <c r="R1665" s="1230"/>
      <c r="S1665" s="1230"/>
      <c r="T1665" s="1230"/>
      <c r="U1665" s="1230"/>
      <c r="V1665" s="1230"/>
      <c r="W1665" s="1230"/>
      <c r="X1665" s="1230"/>
      <c r="Y1665" s="1230"/>
    </row>
    <row r="1666" customFormat="false" ht="15.75" hidden="false" customHeight="true" outlineLevel="1" collapsed="false">
      <c r="A1666" s="1884"/>
      <c r="B1666" s="1885"/>
      <c r="C1666" s="1885"/>
      <c r="D1666" s="1886"/>
      <c r="E1666" s="1886"/>
      <c r="F1666" s="1886"/>
      <c r="G1666" s="1886"/>
      <c r="H1666" s="1886"/>
      <c r="I1666" s="1887"/>
      <c r="J1666" s="1886"/>
      <c r="K1666" s="1886"/>
      <c r="L1666" s="1886"/>
      <c r="M1666" s="1886"/>
      <c r="N1666" s="1886"/>
      <c r="O1666" s="1886"/>
      <c r="P1666" s="1888"/>
      <c r="Q1666" s="1606"/>
      <c r="R1666" s="1230"/>
      <c r="S1666" s="1230"/>
      <c r="T1666" s="1230"/>
      <c r="U1666" s="1230"/>
      <c r="V1666" s="1230"/>
      <c r="W1666" s="1230"/>
      <c r="X1666" s="1230"/>
      <c r="Y1666" s="1230"/>
    </row>
    <row r="1667" customFormat="false" ht="15.75" hidden="false" customHeight="true" outlineLevel="1" collapsed="false">
      <c r="A1667" s="1735" t="s">
        <v>1806</v>
      </c>
      <c r="B1667" s="1736"/>
      <c r="C1667" s="1736"/>
      <c r="D1667" s="1164"/>
      <c r="E1667" s="1164"/>
      <c r="F1667" s="1737"/>
      <c r="G1667" s="1784" t="n">
        <f aca="false">'Ввод данных'!D1071</f>
        <v>1.1</v>
      </c>
      <c r="H1667" s="1785"/>
      <c r="J1667" s="1722" t="n">
        <f aca="false">'Ввод данных'!D1072</f>
        <v>1</v>
      </c>
      <c r="K1667" s="1722"/>
      <c r="L1667" s="1722"/>
      <c r="M1667" s="1722"/>
      <c r="N1667" s="1722"/>
      <c r="O1667" s="1722"/>
      <c r="P1667" s="1722"/>
      <c r="Q1667" s="1606"/>
      <c r="R1667" s="1230"/>
      <c r="S1667" s="1230"/>
      <c r="T1667" s="1230"/>
      <c r="U1667" s="1230"/>
      <c r="V1667" s="1230"/>
      <c r="W1667" s="1230"/>
      <c r="X1667" s="1230"/>
      <c r="Y1667" s="1230"/>
    </row>
    <row r="1668" customFormat="false" ht="15.75" hidden="false" customHeight="true" outlineLevel="1" collapsed="false">
      <c r="A1668" s="618"/>
      <c r="B1668" s="1889"/>
      <c r="C1668" s="1889"/>
      <c r="D1668" s="1890"/>
      <c r="E1668" s="1890"/>
      <c r="F1668" s="1891"/>
      <c r="G1668" s="1892"/>
      <c r="H1668" s="1785"/>
      <c r="I1668" s="1723"/>
      <c r="J1668" s="1722"/>
      <c r="K1668" s="1722"/>
      <c r="L1668" s="1722"/>
      <c r="M1668" s="1722"/>
      <c r="N1668" s="1722"/>
      <c r="O1668" s="1722"/>
      <c r="P1668" s="1722"/>
      <c r="Q1668" s="1606"/>
      <c r="R1668" s="1230"/>
      <c r="S1668" s="1230"/>
      <c r="T1668" s="1230"/>
      <c r="U1668" s="1230"/>
      <c r="V1668" s="1230"/>
      <c r="W1668" s="1230"/>
      <c r="X1668" s="1230"/>
      <c r="Y1668" s="1230"/>
    </row>
    <row r="1669" customFormat="false" ht="15.75" hidden="false" customHeight="true" outlineLevel="1" collapsed="false">
      <c r="A1669" s="1290" t="s">
        <v>3737</v>
      </c>
      <c r="B1669" s="1527" t="s">
        <v>156</v>
      </c>
      <c r="C1669" s="1689" t="n">
        <f aca="false">'Ввод данных'!C1089</f>
        <v>0.4</v>
      </c>
      <c r="D1669" s="1311"/>
      <c r="E1669" s="1728"/>
      <c r="F1669" s="1311"/>
      <c r="G1669" s="1230"/>
      <c r="H1669" s="1230"/>
      <c r="I1669" s="1770"/>
      <c r="J1669" s="1230"/>
      <c r="K1669" s="1230"/>
      <c r="L1669" s="1230"/>
      <c r="M1669" s="1230"/>
      <c r="N1669" s="1230"/>
      <c r="O1669" s="1230"/>
      <c r="P1669" s="1230"/>
      <c r="Q1669" s="1230"/>
      <c r="R1669" s="1230"/>
      <c r="S1669" s="1230"/>
      <c r="T1669" s="1230"/>
      <c r="U1669" s="1230"/>
      <c r="V1669" s="1230"/>
      <c r="W1669" s="1230"/>
      <c r="X1669" s="1230"/>
      <c r="Y1669" s="1230"/>
    </row>
    <row r="1670" customFormat="false" ht="15.75" hidden="false" customHeight="true" outlineLevel="1" collapsed="false">
      <c r="A1670" s="1290" t="s">
        <v>3738</v>
      </c>
      <c r="B1670" s="1527" t="s">
        <v>156</v>
      </c>
      <c r="C1670" s="1689" t="n">
        <f aca="false">'Ввод данных'!C1091</f>
        <v>0.3</v>
      </c>
      <c r="D1670" s="1311"/>
      <c r="E1670" s="1728"/>
      <c r="F1670" s="1311"/>
      <c r="G1670" s="1230"/>
      <c r="H1670" s="1230"/>
      <c r="I1670" s="1770"/>
      <c r="J1670" s="1230"/>
      <c r="K1670" s="1230"/>
      <c r="L1670" s="1230"/>
      <c r="M1670" s="1230"/>
      <c r="N1670" s="1230"/>
      <c r="O1670" s="1230"/>
      <c r="P1670" s="1230"/>
      <c r="Q1670" s="1230"/>
      <c r="R1670" s="1230"/>
      <c r="S1670" s="1230"/>
      <c r="T1670" s="1230"/>
      <c r="U1670" s="1230"/>
      <c r="V1670" s="1230"/>
      <c r="W1670" s="1230"/>
      <c r="X1670" s="1230"/>
      <c r="Y1670" s="1230"/>
    </row>
    <row r="1671" customFormat="false" ht="15.75" hidden="false" customHeight="true" outlineLevel="1" collapsed="false">
      <c r="A1671" s="1758" t="s">
        <v>3739</v>
      </c>
      <c r="B1671" s="1527" t="s">
        <v>156</v>
      </c>
      <c r="C1671" s="1689" t="n">
        <f aca="false">'Ввод данных'!C1093</f>
        <v>0.2</v>
      </c>
      <c r="D1671" s="1690" t="n">
        <f aca="false">D1500</f>
        <v>1</v>
      </c>
      <c r="E1671" s="1728"/>
      <c r="F1671" s="1311"/>
      <c r="G1671" s="1230"/>
      <c r="H1671" s="1230"/>
      <c r="I1671" s="1770"/>
      <c r="J1671" s="1230"/>
      <c r="K1671" s="1230"/>
      <c r="L1671" s="1230"/>
      <c r="M1671" s="1230"/>
      <c r="N1671" s="1230"/>
      <c r="O1671" s="1230"/>
      <c r="P1671" s="1230"/>
      <c r="Q1671" s="1230"/>
      <c r="R1671" s="1230"/>
      <c r="S1671" s="1230"/>
      <c r="T1671" s="1230"/>
      <c r="U1671" s="1230"/>
      <c r="V1671" s="1230"/>
      <c r="W1671" s="1230"/>
      <c r="X1671" s="1230"/>
      <c r="Y1671" s="1230"/>
    </row>
    <row r="1672" customFormat="false" ht="15.75" hidden="false" customHeight="true" outlineLevel="1" collapsed="false">
      <c r="A1672" s="1758" t="s">
        <v>3767</v>
      </c>
      <c r="B1672" s="1527" t="s">
        <v>3768</v>
      </c>
      <c r="C1672" s="1689" t="n">
        <f aca="false">C1503</f>
        <v>7</v>
      </c>
      <c r="D1672" s="1311"/>
      <c r="E1672" s="1728"/>
      <c r="F1672" s="1311"/>
      <c r="G1672" s="1230"/>
      <c r="H1672" s="1230"/>
      <c r="I1672" s="1770"/>
      <c r="J1672" s="1230"/>
      <c r="K1672" s="1230"/>
      <c r="L1672" s="1230"/>
      <c r="M1672" s="1230"/>
      <c r="N1672" s="1230"/>
      <c r="O1672" s="1230"/>
      <c r="P1672" s="1230"/>
      <c r="Q1672" s="1230"/>
      <c r="R1672" s="1230"/>
      <c r="S1672" s="1230"/>
      <c r="T1672" s="1230"/>
      <c r="U1672" s="1230"/>
      <c r="V1672" s="1230"/>
      <c r="W1672" s="1230"/>
      <c r="X1672" s="1230"/>
      <c r="Y1672" s="1230"/>
    </row>
    <row r="1673" customFormat="false" ht="15.75" hidden="false" customHeight="true" outlineLevel="1" collapsed="false">
      <c r="A1673" s="1758" t="s">
        <v>3769</v>
      </c>
      <c r="B1673" s="1527" t="s">
        <v>156</v>
      </c>
      <c r="C1673" s="1689" t="n">
        <f aca="false">C1507</f>
        <v>0.1</v>
      </c>
      <c r="D1673" s="1311"/>
      <c r="E1673" s="1728"/>
      <c r="F1673" s="1311"/>
      <c r="G1673" s="1230"/>
      <c r="H1673" s="1230"/>
      <c r="I1673" s="1770"/>
      <c r="J1673" s="1230"/>
      <c r="K1673" s="1230"/>
      <c r="L1673" s="1230"/>
      <c r="M1673" s="1230"/>
      <c r="N1673" s="1230"/>
      <c r="O1673" s="1230"/>
      <c r="P1673" s="1230"/>
      <c r="Q1673" s="1230"/>
      <c r="R1673" s="1230"/>
      <c r="S1673" s="1230"/>
      <c r="T1673" s="1230"/>
      <c r="U1673" s="1230"/>
      <c r="V1673" s="1230"/>
      <c r="W1673" s="1230"/>
      <c r="X1673" s="1230"/>
      <c r="Y1673" s="1230"/>
    </row>
    <row r="1674" customFormat="false" ht="15.75" hidden="false" customHeight="true" outlineLevel="1" collapsed="false">
      <c r="A1674" s="1758" t="s">
        <v>3770</v>
      </c>
      <c r="B1674" s="1527" t="s">
        <v>156</v>
      </c>
      <c r="C1674" s="1689" t="n">
        <f aca="false">C1508</f>
        <v>0.1</v>
      </c>
      <c r="D1674" s="1311"/>
      <c r="E1674" s="1728"/>
      <c r="F1674" s="1311"/>
      <c r="G1674" s="1230"/>
      <c r="H1674" s="1230"/>
      <c r="I1674" s="1770"/>
      <c r="J1674" s="1230"/>
      <c r="K1674" s="1230"/>
      <c r="L1674" s="1230"/>
      <c r="M1674" s="1230"/>
      <c r="N1674" s="1230"/>
      <c r="O1674" s="1230"/>
      <c r="P1674" s="1230"/>
      <c r="Q1674" s="1230"/>
      <c r="R1674" s="1230"/>
      <c r="S1674" s="1230"/>
      <c r="T1674" s="1230"/>
      <c r="U1674" s="1230"/>
      <c r="V1674" s="1230"/>
      <c r="W1674" s="1230"/>
      <c r="X1674" s="1230"/>
      <c r="Y1674" s="1230"/>
    </row>
    <row r="1675" customFormat="false" ht="15.75" hidden="false" customHeight="true" outlineLevel="1" collapsed="false">
      <c r="A1675" s="1751" t="s">
        <v>3750</v>
      </c>
      <c r="B1675" s="1527" t="s">
        <v>154</v>
      </c>
      <c r="C1675" s="1689" t="n">
        <f aca="false">C1509</f>
        <v>0</v>
      </c>
      <c r="D1675" s="1690" t="n">
        <f aca="false">D1509</f>
        <v>1</v>
      </c>
      <c r="E1675" s="1728"/>
      <c r="F1675" s="1311"/>
      <c r="G1675" s="1230"/>
      <c r="H1675" s="1230"/>
      <c r="I1675" s="1770"/>
      <c r="J1675" s="1230"/>
      <c r="K1675" s="1230"/>
      <c r="L1675" s="1230"/>
      <c r="M1675" s="1230"/>
      <c r="N1675" s="1230"/>
      <c r="O1675" s="1230"/>
      <c r="P1675" s="1230"/>
      <c r="Q1675" s="1230"/>
      <c r="R1675" s="1230"/>
      <c r="S1675" s="1230"/>
      <c r="T1675" s="1230"/>
      <c r="U1675" s="1230"/>
      <c r="V1675" s="1230"/>
      <c r="W1675" s="1230"/>
      <c r="X1675" s="1230"/>
      <c r="Y1675" s="1230"/>
    </row>
    <row r="1676" customFormat="false" ht="15.75" hidden="false" customHeight="true" outlineLevel="1" collapsed="false">
      <c r="A1676" s="1786" t="s">
        <v>3669</v>
      </c>
      <c r="B1676" s="1527" t="s">
        <v>156</v>
      </c>
      <c r="C1676" s="1689" t="n">
        <f aca="false">C1510</f>
        <v>0</v>
      </c>
      <c r="D1676" s="1690" t="n">
        <f aca="false">IF(A1733='Прайс лист'!B744,0,1)</f>
        <v>0</v>
      </c>
      <c r="E1676" s="1230"/>
      <c r="F1676" s="1769"/>
      <c r="G1676" s="1719"/>
      <c r="H1676" s="1719"/>
      <c r="I1676" s="1719"/>
      <c r="J1676" s="1719"/>
      <c r="K1676" s="1311"/>
      <c r="L1676" s="1311"/>
      <c r="M1676" s="1311"/>
      <c r="N1676" s="1311"/>
      <c r="O1676" s="1311"/>
      <c r="P1676" s="1311"/>
      <c r="Q1676" s="1696"/>
      <c r="R1676" s="1311"/>
      <c r="S1676" s="1311"/>
      <c r="T1676" s="1311"/>
      <c r="U1676" s="1230"/>
      <c r="V1676" s="1230"/>
      <c r="W1676" s="1230"/>
      <c r="X1676" s="1230"/>
      <c r="Y1676" s="1230"/>
    </row>
    <row r="1677" customFormat="false" ht="15.75" hidden="false" customHeight="true" outlineLevel="1" collapsed="false">
      <c r="A1677" s="1786" t="s">
        <v>3751</v>
      </c>
      <c r="B1677" s="1527" t="s">
        <v>133</v>
      </c>
      <c r="C1677" s="1689" t="n">
        <f aca="false">C1511</f>
        <v>0</v>
      </c>
      <c r="D1677" s="1690" t="n">
        <f aca="false">D1511</f>
        <v>0</v>
      </c>
      <c r="E1677" s="1230"/>
      <c r="F1677" s="1769"/>
      <c r="G1677" s="1719"/>
      <c r="H1677" s="1719"/>
      <c r="I1677" s="1719"/>
      <c r="J1677" s="1719"/>
      <c r="K1677" s="1311"/>
      <c r="L1677" s="1311"/>
      <c r="M1677" s="1311"/>
      <c r="N1677" s="1311"/>
      <c r="O1677" s="1311"/>
      <c r="P1677" s="1311"/>
      <c r="Q1677" s="1311"/>
      <c r="R1677" s="1311"/>
      <c r="S1677" s="1311"/>
      <c r="T1677" s="1311"/>
      <c r="U1677" s="1230"/>
      <c r="V1677" s="1230"/>
      <c r="W1677" s="1230"/>
      <c r="X1677" s="1230"/>
      <c r="Y1677" s="1230"/>
    </row>
    <row r="1678" customFormat="false" ht="15.75" hidden="false" customHeight="true" outlineLevel="1" collapsed="false">
      <c r="A1678" s="1893" t="s">
        <v>3626</v>
      </c>
      <c r="B1678" s="1894"/>
      <c r="C1678" s="1895"/>
      <c r="D1678" s="1719"/>
      <c r="E1678" s="1719"/>
      <c r="F1678" s="1769"/>
      <c r="G1678" s="1719"/>
      <c r="H1678" s="1719"/>
      <c r="I1678" s="1719"/>
      <c r="J1678" s="1719"/>
      <c r="K1678" s="1311"/>
      <c r="L1678" s="1311"/>
      <c r="M1678" s="1311"/>
      <c r="N1678" s="1311"/>
      <c r="O1678" s="1311"/>
      <c r="P1678" s="1311"/>
      <c r="Q1678" s="1311"/>
      <c r="R1678" s="1311"/>
      <c r="S1678" s="1311"/>
      <c r="T1678" s="1311"/>
      <c r="U1678" s="1230"/>
      <c r="V1678" s="1230"/>
      <c r="W1678" s="1230"/>
      <c r="X1678" s="1230"/>
      <c r="Y1678" s="1230"/>
    </row>
    <row r="1679" customFormat="false" ht="15.75" hidden="false" customHeight="true" outlineLevel="1" collapsed="false">
      <c r="A1679" s="1751" t="s">
        <v>3678</v>
      </c>
      <c r="B1679" s="1527" t="s">
        <v>133</v>
      </c>
      <c r="C1679" s="152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679" s="1719"/>
      <c r="E1679" s="1719"/>
      <c r="F1679" s="1769"/>
      <c r="G1679" s="1719"/>
      <c r="H1679" s="1719"/>
      <c r="I1679" s="1719"/>
      <c r="J1679" s="1719"/>
      <c r="K1679" s="1311"/>
      <c r="L1679" s="1311"/>
      <c r="M1679" s="1311"/>
      <c r="N1679" s="1311"/>
      <c r="O1679" s="1311"/>
      <c r="P1679" s="1311"/>
      <c r="Q1679" s="1311"/>
      <c r="R1679" s="1311"/>
      <c r="S1679" s="1311"/>
      <c r="T1679" s="1311"/>
      <c r="U1679" s="1230"/>
      <c r="V1679" s="1230"/>
      <c r="W1679" s="1230"/>
      <c r="X1679" s="1230"/>
      <c r="Y1679" s="1230"/>
    </row>
    <row r="1680" customFormat="false" ht="15.75" hidden="false" customHeight="true" outlineLevel="1" collapsed="false">
      <c r="A1680" s="1751" t="s">
        <v>3628</v>
      </c>
      <c r="B1680" s="1527" t="s">
        <v>133</v>
      </c>
      <c r="C1680" s="1527" t="n">
        <f aca="false">C1691</f>
        <v>100</v>
      </c>
      <c r="D1680" s="1719"/>
      <c r="E1680" s="1719"/>
      <c r="F1680" s="1769"/>
      <c r="G1680" s="1719"/>
      <c r="H1680" s="1719"/>
      <c r="I1680" s="1719"/>
      <c r="J1680" s="1719"/>
      <c r="K1680" s="1311"/>
      <c r="L1680" s="1311"/>
      <c r="M1680" s="1311"/>
      <c r="N1680" s="1311"/>
      <c r="O1680" s="1311"/>
      <c r="P1680" s="1311"/>
      <c r="Q1680" s="1311"/>
      <c r="R1680" s="1311"/>
      <c r="S1680" s="1311"/>
      <c r="T1680" s="1311"/>
      <c r="U1680" s="1230"/>
      <c r="V1680" s="1230"/>
      <c r="W1680" s="1230"/>
      <c r="X1680" s="1230"/>
      <c r="Y1680" s="1230"/>
    </row>
    <row r="1681" customFormat="false" ht="15.75" hidden="false" customHeight="true" outlineLevel="1" collapsed="false">
      <c r="A1681" s="1751" t="s">
        <v>3680</v>
      </c>
      <c r="B1681" s="1527" t="s">
        <v>156</v>
      </c>
      <c r="C1681" s="1527" t="n">
        <f aca="false">C1515</f>
        <v>56</v>
      </c>
      <c r="D1681" s="1719"/>
      <c r="E1681" s="1719"/>
      <c r="F1681" s="1769"/>
      <c r="G1681" s="1719"/>
      <c r="H1681" s="1719"/>
      <c r="I1681" s="1719"/>
      <c r="J1681" s="1719"/>
      <c r="K1681" s="1311"/>
      <c r="L1681" s="1311"/>
      <c r="M1681" s="1311"/>
      <c r="N1681" s="1311"/>
      <c r="O1681" s="1311"/>
      <c r="P1681" s="1311"/>
      <c r="Q1681" s="1311"/>
      <c r="R1681" s="1311"/>
      <c r="S1681" s="1311"/>
      <c r="T1681" s="1311"/>
      <c r="U1681" s="1230"/>
      <c r="V1681" s="1230"/>
      <c r="W1681" s="1230"/>
      <c r="X1681" s="1230"/>
      <c r="Y1681" s="1230"/>
    </row>
    <row r="1682" customFormat="false" ht="15.75" hidden="false" customHeight="true" outlineLevel="1" collapsed="false">
      <c r="A1682" s="1751" t="s">
        <v>3752</v>
      </c>
      <c r="B1682" s="1527" t="s">
        <v>156</v>
      </c>
      <c r="C1682" s="1527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682" s="1719" t="n">
        <f aca="false">D1516</f>
        <v>4</v>
      </c>
      <c r="E1682" s="1719"/>
      <c r="F1682" s="1769"/>
      <c r="G1682" s="1719"/>
      <c r="H1682" s="1719"/>
      <c r="I1682" s="1719"/>
      <c r="J1682" s="1719"/>
      <c r="K1682" s="1311"/>
      <c r="L1682" s="1311"/>
      <c r="M1682" s="1311"/>
      <c r="N1682" s="1311"/>
      <c r="O1682" s="1311"/>
      <c r="P1682" s="1311"/>
      <c r="Q1682" s="1311"/>
      <c r="R1682" s="1311"/>
      <c r="S1682" s="1311"/>
      <c r="T1682" s="1311"/>
      <c r="U1682" s="1230"/>
      <c r="V1682" s="1230"/>
      <c r="W1682" s="1230"/>
      <c r="X1682" s="1230"/>
      <c r="Y1682" s="1230"/>
    </row>
    <row r="1683" customFormat="false" ht="15.75" hidden="false" customHeight="true" outlineLevel="1" collapsed="false">
      <c r="A1683" s="1751" t="s">
        <v>3753</v>
      </c>
      <c r="B1683" s="1527" t="s">
        <v>156</v>
      </c>
      <c r="C1683" s="1527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D1683" s="1719" t="n">
        <f aca="false">D1517</f>
        <v>1.6</v>
      </c>
      <c r="E1683" s="1719"/>
      <c r="F1683" s="1719"/>
      <c r="G1683" s="1230"/>
      <c r="H1683" s="1230"/>
      <c r="I1683" s="1770"/>
      <c r="J1683" s="1230"/>
      <c r="K1683" s="1230"/>
      <c r="L1683" s="1230"/>
      <c r="M1683" s="1230"/>
      <c r="N1683" s="1230"/>
      <c r="O1683" s="1230"/>
      <c r="P1683" s="1230"/>
      <c r="Q1683" s="1230"/>
      <c r="R1683" s="1230"/>
      <c r="S1683" s="1230"/>
      <c r="T1683" s="1230"/>
      <c r="U1683" s="1230"/>
      <c r="V1683" s="1230"/>
      <c r="W1683" s="1230"/>
      <c r="X1683" s="1230"/>
      <c r="Y1683" s="1230"/>
    </row>
    <row r="1684" customFormat="false" ht="15.75" hidden="false" customHeight="true" outlineLevel="1" collapsed="false">
      <c r="A1684" s="1751" t="s">
        <v>3755</v>
      </c>
      <c r="B1684" s="1527" t="s">
        <v>156</v>
      </c>
      <c r="C1684" s="1527" t="n">
        <f aca="false"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684" s="1719" t="n">
        <f aca="false">D1518</f>
        <v>3.12</v>
      </c>
      <c r="E1684" s="1719"/>
      <c r="F1684" s="1719"/>
      <c r="G1684" s="1230"/>
      <c r="H1684" s="1230"/>
      <c r="I1684" s="1770"/>
      <c r="J1684" s="1230"/>
      <c r="K1684" s="1230"/>
      <c r="L1684" s="1230"/>
      <c r="M1684" s="1230"/>
      <c r="N1684" s="1230"/>
      <c r="O1684" s="1230"/>
      <c r="P1684" s="1230"/>
      <c r="Q1684" s="1230"/>
      <c r="R1684" s="1230"/>
      <c r="S1684" s="1230"/>
      <c r="T1684" s="1230"/>
      <c r="U1684" s="1230"/>
      <c r="V1684" s="1230"/>
      <c r="W1684" s="1230"/>
      <c r="X1684" s="1230"/>
      <c r="Y1684" s="1230"/>
    </row>
    <row r="1685" customFormat="false" ht="15.75" hidden="false" customHeight="true" outlineLevel="1" collapsed="false">
      <c r="A1685" s="1751" t="s">
        <v>3633</v>
      </c>
      <c r="B1685" s="1527" t="s">
        <v>133</v>
      </c>
      <c r="C1685" s="1753" t="n">
        <f aca="false">связи1!C155</f>
        <v>118.8</v>
      </c>
      <c r="D1685" s="1719" t="n">
        <f aca="false">SUM(D1682:D1684)</f>
        <v>8.72</v>
      </c>
      <c r="E1685" s="1719"/>
      <c r="F1685" s="1719"/>
      <c r="G1685" s="1230"/>
      <c r="H1685" s="1230"/>
      <c r="I1685" s="1770"/>
      <c r="J1685" s="1230"/>
      <c r="K1685" s="1230"/>
      <c r="L1685" s="1230"/>
      <c r="M1685" s="1230"/>
      <c r="N1685" s="1230"/>
      <c r="O1685" s="1230"/>
      <c r="P1685" s="1230"/>
      <c r="Q1685" s="1230"/>
      <c r="R1685" s="1230"/>
      <c r="S1685" s="1230"/>
      <c r="T1685" s="1230"/>
      <c r="U1685" s="1230"/>
      <c r="V1685" s="1230"/>
      <c r="W1685" s="1230"/>
      <c r="X1685" s="1230"/>
      <c r="Y1685" s="1230"/>
    </row>
    <row r="1686" customFormat="false" ht="15.75" hidden="false" customHeight="true" outlineLevel="1" collapsed="false">
      <c r="A1686" s="1751" t="s">
        <v>3687</v>
      </c>
      <c r="B1686" s="1527" t="s">
        <v>133</v>
      </c>
      <c r="C1686" s="1753" t="n">
        <f aca="false">C1685</f>
        <v>118.8</v>
      </c>
      <c r="D1686" s="1719"/>
      <c r="E1686" s="1719"/>
      <c r="F1686" s="1719"/>
      <c r="G1686" s="1230"/>
      <c r="H1686" s="1230"/>
      <c r="I1686" s="1770"/>
      <c r="J1686" s="1230"/>
      <c r="K1686" s="1230"/>
      <c r="L1686" s="1230"/>
      <c r="M1686" s="1230"/>
      <c r="N1686" s="1230"/>
      <c r="O1686" s="1230"/>
      <c r="P1686" s="1230"/>
      <c r="Q1686" s="1230"/>
      <c r="R1686" s="1230"/>
      <c r="S1686" s="1230"/>
      <c r="T1686" s="1230"/>
      <c r="U1686" s="1230"/>
      <c r="V1686" s="1230"/>
      <c r="W1686" s="1230"/>
      <c r="X1686" s="1230"/>
      <c r="Y1686" s="1230"/>
    </row>
    <row r="1687" customFormat="false" ht="15.75" hidden="false" customHeight="true" outlineLevel="1" collapsed="false">
      <c r="A1687" s="1751" t="s">
        <v>3635</v>
      </c>
      <c r="B1687" s="1527"/>
      <c r="C1687" s="1753" t="n">
        <f aca="false">связи1!D155</f>
        <v>48</v>
      </c>
      <c r="D1687" s="1719"/>
      <c r="E1687" s="1719"/>
      <c r="F1687" s="1719"/>
      <c r="G1687" s="1230"/>
      <c r="H1687" s="1230"/>
      <c r="I1687" s="1770"/>
      <c r="J1687" s="1230"/>
      <c r="K1687" s="1230"/>
      <c r="L1687" s="1230"/>
      <c r="M1687" s="1230"/>
      <c r="N1687" s="1230"/>
      <c r="O1687" s="1230"/>
      <c r="P1687" s="1230"/>
      <c r="Q1687" s="1230"/>
      <c r="R1687" s="1230"/>
      <c r="S1687" s="1230"/>
      <c r="T1687" s="1230"/>
      <c r="U1687" s="1230"/>
      <c r="V1687" s="1230"/>
      <c r="W1687" s="1230"/>
      <c r="X1687" s="1230"/>
      <c r="Y1687" s="1230"/>
    </row>
    <row r="1688" customFormat="false" ht="15.75" hidden="false" customHeight="true" outlineLevel="1" collapsed="false">
      <c r="A1688" s="1751" t="s">
        <v>3636</v>
      </c>
      <c r="B1688" s="1527" t="s">
        <v>133</v>
      </c>
      <c r="C1688" s="1753" t="n">
        <f aca="false">связи1!E155</f>
        <v>23.4</v>
      </c>
      <c r="D1688" s="1719"/>
      <c r="E1688" s="1719"/>
      <c r="F1688" s="1719"/>
      <c r="G1688" s="1230"/>
      <c r="H1688" s="1230"/>
      <c r="I1688" s="1770"/>
      <c r="J1688" s="1230"/>
      <c r="K1688" s="1230"/>
      <c r="L1688" s="1230"/>
      <c r="M1688" s="1230"/>
      <c r="N1688" s="1230"/>
      <c r="O1688" s="1230"/>
      <c r="P1688" s="1230"/>
      <c r="Q1688" s="1230"/>
      <c r="R1688" s="1230"/>
      <c r="S1688" s="1230"/>
      <c r="T1688" s="1230"/>
      <c r="U1688" s="1230"/>
      <c r="V1688" s="1230"/>
      <c r="W1688" s="1230"/>
      <c r="X1688" s="1230"/>
      <c r="Y1688" s="1230"/>
    </row>
    <row r="1689" customFormat="false" ht="15.75" hidden="false" customHeight="true" outlineLevel="1" collapsed="false">
      <c r="A1689" s="1751" t="s">
        <v>3638</v>
      </c>
      <c r="B1689" s="1527" t="s">
        <v>133</v>
      </c>
      <c r="C1689" s="1753" t="n">
        <f aca="false">C1687+C1688</f>
        <v>71.4</v>
      </c>
      <c r="D1689" s="1719"/>
      <c r="E1689" s="1719"/>
      <c r="F1689" s="1719"/>
      <c r="G1689" s="1230"/>
      <c r="H1689" s="1230"/>
      <c r="I1689" s="1770"/>
      <c r="J1689" s="1230"/>
      <c r="K1689" s="1230"/>
      <c r="L1689" s="1230"/>
      <c r="M1689" s="1230"/>
      <c r="N1689" s="1230"/>
      <c r="O1689" s="1230"/>
      <c r="P1689" s="1230"/>
      <c r="Q1689" s="1230"/>
      <c r="R1689" s="1230"/>
      <c r="S1689" s="1230"/>
      <c r="T1689" s="1230"/>
      <c r="U1689" s="1230"/>
      <c r="V1689" s="1230"/>
      <c r="W1689" s="1230"/>
      <c r="X1689" s="1230"/>
      <c r="Y1689" s="1230"/>
    </row>
    <row r="1690" customFormat="false" ht="15.75" hidden="false" customHeight="true" outlineLevel="1" collapsed="false">
      <c r="A1690" s="1751" t="s">
        <v>3639</v>
      </c>
      <c r="B1690" s="1527" t="s">
        <v>133</v>
      </c>
      <c r="C1690" s="1527" t="n">
        <f aca="false"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90.43</v>
      </c>
      <c r="D1690" s="1719"/>
      <c r="E1690" s="1719"/>
      <c r="F1690" s="1719"/>
      <c r="G1690" s="1230"/>
      <c r="H1690" s="1230"/>
      <c r="I1690" s="1770"/>
      <c r="J1690" s="1230"/>
      <c r="K1690" s="1230"/>
      <c r="L1690" s="1230"/>
      <c r="M1690" s="1230"/>
      <c r="N1690" s="1230"/>
      <c r="O1690" s="1230"/>
      <c r="P1690" s="1230"/>
      <c r="Q1690" s="1230"/>
      <c r="R1690" s="1230"/>
      <c r="S1690" s="1230"/>
      <c r="T1690" s="1230"/>
      <c r="U1690" s="1230"/>
      <c r="V1690" s="1230"/>
      <c r="W1690" s="1230"/>
      <c r="X1690" s="1230"/>
      <c r="Y1690" s="1230"/>
    </row>
    <row r="1691" customFormat="false" ht="15.75" hidden="false" customHeight="true" outlineLevel="1" collapsed="false">
      <c r="A1691" s="1751" t="s">
        <v>3690</v>
      </c>
      <c r="B1691" s="1527" t="s">
        <v>133</v>
      </c>
      <c r="C1691" s="1527" t="n">
        <f aca="false">C15*C16*C17+D1229*C1235+(пристройка!L12+пристройка!L13)*пристройка!D2</f>
        <v>100</v>
      </c>
      <c r="D1691" s="1719"/>
      <c r="E1691" s="1719"/>
      <c r="F1691" s="1719"/>
      <c r="G1691" s="1230"/>
      <c r="H1691" s="1230"/>
      <c r="I1691" s="1770"/>
      <c r="J1691" s="1230"/>
      <c r="K1691" s="1230"/>
      <c r="L1691" s="1230"/>
      <c r="M1691" s="1230"/>
      <c r="N1691" s="1230"/>
      <c r="O1691" s="1230"/>
      <c r="P1691" s="1230"/>
      <c r="Q1691" s="1230"/>
      <c r="R1691" s="1230"/>
      <c r="S1691" s="1230"/>
      <c r="T1691" s="1230"/>
      <c r="U1691" s="1230"/>
      <c r="V1691" s="1230"/>
      <c r="W1691" s="1230"/>
      <c r="X1691" s="1230"/>
      <c r="Y1691" s="1230"/>
    </row>
    <row r="1692" customFormat="false" ht="15.75" hidden="false" customHeight="true" outlineLevel="1" collapsed="false">
      <c r="A1692" s="1751" t="s">
        <v>3642</v>
      </c>
      <c r="B1692" s="1527" t="s">
        <v>133</v>
      </c>
      <c r="C1692" s="1527" t="n">
        <f aca="false">C1319*D1319+пристройка!D2*пристройка!C9+D1229*C1279</f>
        <v>100</v>
      </c>
      <c r="D1692" s="1719"/>
      <c r="E1692" s="1719"/>
      <c r="F1692" s="1719"/>
      <c r="G1692" s="1230"/>
      <c r="H1692" s="1230"/>
      <c r="I1692" s="1770"/>
      <c r="J1692" s="1230"/>
      <c r="K1692" s="1230"/>
      <c r="L1692" s="1230"/>
      <c r="M1692" s="1230"/>
      <c r="N1692" s="1230"/>
      <c r="O1692" s="1230"/>
      <c r="P1692" s="1230"/>
      <c r="Q1692" s="1230"/>
      <c r="R1692" s="1230"/>
      <c r="S1692" s="1230"/>
      <c r="T1692" s="1230"/>
      <c r="U1692" s="1230"/>
      <c r="V1692" s="1230"/>
      <c r="W1692" s="1230"/>
      <c r="X1692" s="1230"/>
      <c r="Y1692" s="1230"/>
    </row>
    <row r="1693" customFormat="false" ht="15.75" hidden="false" customHeight="true" outlineLevel="1" collapsed="false">
      <c r="A1693" s="1751" t="s">
        <v>3643</v>
      </c>
      <c r="B1693" s="1527" t="s">
        <v>133</v>
      </c>
      <c r="C1693" s="1527" t="n">
        <f aca="false">C1319*D1319*E44+пристройка!D2*пристройка!C10+D1229*пристройка!C10*пристройка!C26-(B1319-1)*4</f>
        <v>100</v>
      </c>
      <c r="D1693" s="1719"/>
      <c r="E1693" s="1719"/>
      <c r="F1693" s="1719"/>
      <c r="G1693" s="1230"/>
      <c r="H1693" s="1230"/>
      <c r="I1693" s="1770"/>
      <c r="J1693" s="1230"/>
      <c r="K1693" s="1230"/>
      <c r="L1693" s="1230"/>
      <c r="M1693" s="1230"/>
      <c r="N1693" s="1230"/>
      <c r="O1693" s="1230"/>
      <c r="P1693" s="1230"/>
      <c r="Q1693" s="1230"/>
      <c r="R1693" s="1230"/>
      <c r="S1693" s="1230"/>
      <c r="T1693" s="1230"/>
      <c r="U1693" s="1230"/>
      <c r="V1693" s="1230"/>
      <c r="W1693" s="1230"/>
      <c r="X1693" s="1230"/>
      <c r="Y1693" s="1230"/>
    </row>
    <row r="1694" customFormat="false" ht="15.75" hidden="false" customHeight="true" outlineLevel="1" collapsed="false">
      <c r="A1694" s="1751" t="s">
        <v>3644</v>
      </c>
      <c r="B1694" s="1527" t="s">
        <v>133</v>
      </c>
      <c r="C1694" s="1527" t="n">
        <f aca="false">C16*C17*E45+B1115*C1189*(C15-1)+I1115*F1132*F1133*(C15-1)*(I1115-E45)+L1115*L1189*(C15-1)*(L1115-E45)+пристройка!D2*пристройка!C11+D1229*C1279</f>
        <v>0</v>
      </c>
      <c r="D1694" s="1719"/>
      <c r="E1694" s="1719"/>
      <c r="F1694" s="1719"/>
      <c r="G1694" s="1230"/>
      <c r="H1694" s="1230"/>
      <c r="I1694" s="1770"/>
      <c r="J1694" s="1230"/>
      <c r="K1694" s="1230"/>
      <c r="L1694" s="1230"/>
      <c r="M1694" s="1230"/>
      <c r="N1694" s="1230"/>
      <c r="O1694" s="1230"/>
      <c r="P1694" s="1230"/>
      <c r="Q1694" s="1230"/>
      <c r="R1694" s="1230"/>
      <c r="S1694" s="1230"/>
      <c r="T1694" s="1230"/>
      <c r="U1694" s="1230"/>
      <c r="V1694" s="1230"/>
      <c r="W1694" s="1230"/>
      <c r="X1694" s="1230"/>
      <c r="Y1694" s="1230"/>
    </row>
    <row r="1695" customFormat="false" ht="15.75" hidden="false" customHeight="true" outlineLevel="1" collapsed="false">
      <c r="A1695" s="1751" t="s">
        <v>3645</v>
      </c>
      <c r="B1695" s="1527" t="s">
        <v>133</v>
      </c>
      <c r="C1695" s="1527" t="n">
        <f aca="false">SUM(C1692:C1694)</f>
        <v>200</v>
      </c>
      <c r="D1695" s="1719"/>
      <c r="E1695" s="1719"/>
      <c r="F1695" s="1719"/>
      <c r="G1695" s="1311"/>
      <c r="H1695" s="1311"/>
      <c r="I1695" s="1696"/>
      <c r="J1695" s="1230"/>
      <c r="K1695" s="1230"/>
      <c r="L1695" s="1230"/>
      <c r="M1695" s="1230"/>
      <c r="N1695" s="1230"/>
      <c r="O1695" s="1230"/>
      <c r="P1695" s="1230"/>
      <c r="Q1695" s="1230"/>
      <c r="R1695" s="1230"/>
      <c r="S1695" s="1230"/>
      <c r="T1695" s="1230"/>
      <c r="U1695" s="1230"/>
      <c r="V1695" s="1230"/>
      <c r="W1695" s="1230"/>
      <c r="X1695" s="1230"/>
      <c r="Y1695" s="1230"/>
    </row>
    <row r="1696" customFormat="false" ht="15.75" hidden="false" customHeight="true" outlineLevel="1" collapsed="false">
      <c r="A1696" s="1896" t="s">
        <v>2720</v>
      </c>
      <c r="B1696" s="1897" t="s">
        <v>1094</v>
      </c>
      <c r="C1696" s="1897" t="s">
        <v>1802</v>
      </c>
      <c r="D1696" s="933" t="s">
        <v>293</v>
      </c>
      <c r="E1696" s="933" t="s">
        <v>1800</v>
      </c>
      <c r="F1696" s="933" t="s">
        <v>853</v>
      </c>
      <c r="G1696" s="933" t="s">
        <v>1802</v>
      </c>
      <c r="H1696" s="933"/>
      <c r="I1696" s="1897" t="s">
        <v>3764</v>
      </c>
      <c r="J1696" s="1520" t="s">
        <v>2722</v>
      </c>
      <c r="K1696" s="1230"/>
      <c r="L1696" s="1893" t="s">
        <v>1409</v>
      </c>
      <c r="M1696" s="1898"/>
      <c r="N1696" s="1520" t="s">
        <v>1802</v>
      </c>
      <c r="O1696" s="1520" t="s">
        <v>2721</v>
      </c>
      <c r="P1696" s="1520"/>
      <c r="Q1696" s="1520"/>
      <c r="R1696" s="1520"/>
      <c r="S1696" s="1520" t="s">
        <v>2722</v>
      </c>
      <c r="T1696" s="1230"/>
      <c r="U1696" s="1230"/>
      <c r="V1696" s="1230"/>
      <c r="W1696" s="1230"/>
      <c r="X1696" s="1230"/>
      <c r="Y1696" s="1230"/>
    </row>
    <row r="1697" customFormat="false" ht="15.75" hidden="false" customHeight="true" outlineLevel="1" collapsed="false">
      <c r="A1697" s="1751" t="str">
        <f aca="false">'Ввод данных'!A1089</f>
        <v>Керамоблок 510х250х219 мм -    14,3 НФ</v>
      </c>
      <c r="B1697" s="1527" t="s">
        <v>135</v>
      </c>
      <c r="C1697" s="1527" t="n">
        <f aca="false">(C1685*C1669*0.8-G1517)*G1667</f>
        <v>41.7516</v>
      </c>
      <c r="D1697" s="933" t="n">
        <f aca="false">VLOOKUP(A1697,'Прайс лист'!B978:G1025,2,0)</f>
        <v>219</v>
      </c>
      <c r="E1697" s="933" t="n">
        <f aca="false">VLOOKUP(A1697,'Прайс лист'!B978:G1025,3,0)</f>
        <v>250</v>
      </c>
      <c r="F1697" s="933" t="n">
        <f aca="false">VLOOKUP(A1697,'Прайс лист'!B978:G1025,4,0)</f>
        <v>510</v>
      </c>
      <c r="G1697" s="933" t="n">
        <f aca="false">C1697/((D1697*E1697*F1697/1000000000))</f>
        <v>1495.26725758797</v>
      </c>
      <c r="H1697" s="933"/>
      <c r="I1697" s="1527" t="n">
        <f aca="false">VLOOKUP(A1697,'Прайс лист'!B978:G1025,6,0)</f>
        <v>10000</v>
      </c>
      <c r="J1697" s="1290" t="n">
        <f aca="false">C1697*I1697</f>
        <v>417516</v>
      </c>
      <c r="K1697" s="1230"/>
      <c r="L1697" s="1557" t="str">
        <f aca="false">'Прайс лист'!B1682</f>
        <v>кладка кирпича</v>
      </c>
      <c r="M1697" s="1765"/>
      <c r="N1697" s="1290" t="n">
        <f aca="false">(C1697+C1698+C1699)*J1667</f>
        <v>58.542</v>
      </c>
      <c r="O1697" s="1290" t="n">
        <f aca="false">'Прайс лист'!G1682</f>
        <v>3500</v>
      </c>
      <c r="P1697" s="1290"/>
      <c r="Q1697" s="1290"/>
      <c r="R1697" s="1290"/>
      <c r="S1697" s="1290" t="n">
        <f aca="false">N1697*O1697</f>
        <v>204897</v>
      </c>
      <c r="T1697" s="1230"/>
      <c r="U1697" s="1230"/>
      <c r="V1697" s="1230"/>
      <c r="W1697" s="1230"/>
      <c r="X1697" s="1230"/>
      <c r="Y1697" s="1230"/>
    </row>
    <row r="1698" customFormat="false" ht="15.75" hidden="false" customHeight="true" outlineLevel="1" collapsed="false">
      <c r="A1698" s="1751" t="str">
        <f aca="false">'Ввод данных'!A1091</f>
        <v>Керамоблок 510х250х219 мм -    14,3 НФ</v>
      </c>
      <c r="B1698" s="1527" t="s">
        <v>135</v>
      </c>
      <c r="C1698" s="1527" t="n">
        <f aca="false">C1670*C1687*0.8*G1667</f>
        <v>12.672</v>
      </c>
      <c r="D1698" s="933" t="n">
        <f aca="false">VLOOKUP(A1698,'Прайс лист'!B978:G1025,2,0)</f>
        <v>219</v>
      </c>
      <c r="E1698" s="933" t="n">
        <f aca="false">VLOOKUP(A1698,'Прайс лист'!B978:G1025,3,0)</f>
        <v>250</v>
      </c>
      <c r="F1698" s="933" t="n">
        <f aca="false">VLOOKUP(A1698,'Прайс лист'!B978:G1025,4,0)</f>
        <v>510</v>
      </c>
      <c r="G1698" s="933" t="n">
        <f aca="false">C1698/((D1698*E1698*F1698/1000000000))</f>
        <v>453.827558420629</v>
      </c>
      <c r="H1698" s="933"/>
      <c r="I1698" s="1527" t="n">
        <f aca="false">VLOOKUP(A1698,'Прайс лист'!B978:G1025,6,0)</f>
        <v>10000</v>
      </c>
      <c r="J1698" s="1290" t="n">
        <f aca="false">C1698*I1698</f>
        <v>126720</v>
      </c>
      <c r="K1698" s="1230"/>
      <c r="L1698" s="1557" t="str">
        <f aca="false">'Прайс лист'!B1683</f>
        <v>кладка перегородок из кирпича</v>
      </c>
      <c r="M1698" s="1219"/>
      <c r="N1698" s="933" t="n">
        <f aca="false">C1688</f>
        <v>23.4</v>
      </c>
      <c r="O1698" s="1290" t="n">
        <f aca="false">'Прайс лист'!G1683</f>
        <v>550</v>
      </c>
      <c r="P1698" s="933"/>
      <c r="Q1698" s="933"/>
      <c r="R1698" s="933"/>
      <c r="S1698" s="1290" t="n">
        <f aca="false">N1698*O1698</f>
        <v>12870</v>
      </c>
      <c r="T1698" s="1230" t="n">
        <f aca="false">40*3*0.4</f>
        <v>48</v>
      </c>
      <c r="U1698" s="1230"/>
      <c r="V1698" s="1230"/>
      <c r="W1698" s="1230"/>
      <c r="X1698" s="1230"/>
      <c r="Y1698" s="1230"/>
    </row>
    <row r="1699" customFormat="false" ht="15.75" hidden="false" customHeight="true" outlineLevel="1" collapsed="false">
      <c r="A1699" s="1751" t="str">
        <f aca="false">'Ввод данных'!A1093</f>
        <v>Керамоблок 510х250х219 мм -    14,3 НФ</v>
      </c>
      <c r="B1699" s="1527" t="s">
        <v>135</v>
      </c>
      <c r="C1699" s="1527" t="n">
        <f aca="false">C1688*0.8*C1671*D1671*G1667</f>
        <v>4.1184</v>
      </c>
      <c r="D1699" s="933" t="n">
        <f aca="false">VLOOKUP(A1699,'Прайс лист'!B978:G1025,2,0)</f>
        <v>219</v>
      </c>
      <c r="E1699" s="933" t="n">
        <f aca="false">VLOOKUP(A1699,'Прайс лист'!B978:G1025,3,0)</f>
        <v>250</v>
      </c>
      <c r="F1699" s="933" t="n">
        <f aca="false">VLOOKUP(A1699,'Прайс лист'!B978:G1025,4,0)</f>
        <v>510</v>
      </c>
      <c r="G1699" s="933" t="n">
        <f aca="false">C1699/((D1699*E1699*F1699/1000000000))</f>
        <v>147.493956486704</v>
      </c>
      <c r="H1699" s="933"/>
      <c r="I1699" s="1527" t="n">
        <f aca="false">VLOOKUP(A1699,'Прайс лист'!B978:G1025,6,0)</f>
        <v>10000</v>
      </c>
      <c r="J1699" s="1290" t="n">
        <f aca="false">C1699*I1699</f>
        <v>41184</v>
      </c>
      <c r="K1699" s="1230"/>
      <c r="L1699" s="1557" t="str">
        <f aca="false">'Прайс лист'!B1688</f>
        <v>Армирование сейсмопояса</v>
      </c>
      <c r="M1699" s="1765"/>
      <c r="N1699" s="1290" t="n">
        <f aca="false">C1736/2*J1667</f>
        <v>55.44</v>
      </c>
      <c r="O1699" s="1290" t="n">
        <f aca="false">'Прайс лист'!G1688</f>
        <v>500</v>
      </c>
      <c r="P1699" s="1290"/>
      <c r="Q1699" s="1290"/>
      <c r="R1699" s="1290"/>
      <c r="S1699" s="1290" t="n">
        <f aca="false">N1699*O1699</f>
        <v>27720</v>
      </c>
      <c r="T1699" s="1230"/>
      <c r="U1699" s="1230"/>
      <c r="V1699" s="1230"/>
      <c r="W1699" s="1230"/>
      <c r="X1699" s="1230"/>
      <c r="Y1699" s="1230"/>
    </row>
    <row r="1700" customFormat="false" ht="15.75" hidden="false" customHeight="true" outlineLevel="1" collapsed="false">
      <c r="A1700" s="1751" t="str">
        <f aca="false">A1622</f>
        <v>Перемычка оконная, 1-ый эт. Вариант 1</v>
      </c>
      <c r="B1700" s="1527" t="str">
        <f aca="false">B1622</f>
        <v>м.п.</v>
      </c>
      <c r="C1700" s="1751" t="n">
        <f aca="false">C1622</f>
        <v>1</v>
      </c>
      <c r="D1700" s="933" t="n">
        <f aca="false">'Ввод данных'!$C$1089</f>
        <v>0.4</v>
      </c>
      <c r="E1700" s="933" t="n">
        <f aca="false">E1622</f>
        <v>1.4</v>
      </c>
      <c r="F1700" s="933" t="n">
        <f aca="false">F1622</f>
        <v>100</v>
      </c>
      <c r="G1700" s="933" t="n">
        <f aca="false">G1622</f>
        <v>1.8</v>
      </c>
      <c r="H1700" s="933"/>
      <c r="I1700" s="1751" t="n">
        <f aca="false">I1622</f>
        <v>1000</v>
      </c>
      <c r="J1700" s="1290" t="n">
        <f aca="false">C1700*I1700</f>
        <v>1000</v>
      </c>
      <c r="K1700" s="1230"/>
      <c r="L1700" s="1557" t="str">
        <f aca="false">'Прайс лист'!B1689</f>
        <v>Заливка бетоном сейсмопояса</v>
      </c>
      <c r="M1700" s="1765"/>
      <c r="N1700" s="1290" t="n">
        <f aca="false">C1730</f>
        <v>1.638</v>
      </c>
      <c r="O1700" s="1290" t="n">
        <f aca="false">'Прайс лист'!G1689</f>
        <v>700</v>
      </c>
      <c r="P1700" s="1290"/>
      <c r="Q1700" s="1290"/>
      <c r="R1700" s="1290"/>
      <c r="S1700" s="1290" t="n">
        <f aca="false">N1700*O1700</f>
        <v>1146.6</v>
      </c>
      <c r="T1700" s="1230"/>
      <c r="U1700" s="1230"/>
      <c r="V1700" s="1230"/>
      <c r="W1700" s="1230"/>
      <c r="X1700" s="1230"/>
      <c r="Y1700" s="1230"/>
    </row>
    <row r="1701" customFormat="false" ht="15.75" hidden="false" customHeight="true" outlineLevel="1" collapsed="false">
      <c r="A1701" s="1751" t="str">
        <f aca="false">A1623</f>
        <v>Перемычка оконная, 1-ый эт. Вариант 2</v>
      </c>
      <c r="B1701" s="1527" t="str">
        <f aca="false">B1623</f>
        <v>м.п.</v>
      </c>
      <c r="C1701" s="1751" t="n">
        <f aca="false">C1623</f>
        <v>0</v>
      </c>
      <c r="D1701" s="933" t="n">
        <f aca="false">'Ввод данных'!$C$1089</f>
        <v>0.4</v>
      </c>
      <c r="E1701" s="933" t="n">
        <f aca="false">E1623</f>
        <v>1</v>
      </c>
      <c r="F1701" s="933" t="n">
        <f aca="false">F1623</f>
        <v>100</v>
      </c>
      <c r="G1701" s="933" t="n">
        <f aca="false">G1623</f>
        <v>0</v>
      </c>
      <c r="H1701" s="933"/>
      <c r="I1701" s="1751" t="n">
        <f aca="false">I1623</f>
        <v>1000</v>
      </c>
      <c r="J1701" s="1290" t="n">
        <f aca="false">C1701*I1701</f>
        <v>0</v>
      </c>
      <c r="K1701" s="1230"/>
      <c r="L1701" s="1899" t="str">
        <f aca="false">'Прайс лист'!B1690</f>
        <v>утепление стен снаружи дома</v>
      </c>
      <c r="M1701" s="1765"/>
      <c r="N1701" s="1290" t="n">
        <f aca="false">C1685*D1676</f>
        <v>0</v>
      </c>
      <c r="O1701" s="1290" t="n">
        <f aca="false">'Прайс лист'!G1690</f>
        <v>350</v>
      </c>
      <c r="P1701" s="1290"/>
      <c r="Q1701" s="1290"/>
      <c r="R1701" s="1290"/>
      <c r="S1701" s="1290" t="n">
        <f aca="false">N1701*O1701</f>
        <v>0</v>
      </c>
      <c r="T1701" s="1230"/>
      <c r="U1701" s="1230"/>
      <c r="V1701" s="1230"/>
      <c r="W1701" s="1230"/>
      <c r="X1701" s="1230"/>
      <c r="Y1701" s="1230"/>
    </row>
    <row r="1702" customFormat="false" ht="15.75" hidden="false" customHeight="true" outlineLevel="1" collapsed="false">
      <c r="A1702" s="1751" t="str">
        <f aca="false">A1624</f>
        <v>Перемычка оконная, 1-ый эт. Вариант 3</v>
      </c>
      <c r="B1702" s="1527" t="str">
        <f aca="false">B1624</f>
        <v>м.п.</v>
      </c>
      <c r="C1702" s="1751" t="n">
        <f aca="false">C1624</f>
        <v>0</v>
      </c>
      <c r="D1702" s="933" t="n">
        <f aca="false">'Ввод данных'!$C$1089</f>
        <v>0.4</v>
      </c>
      <c r="E1702" s="933" t="n">
        <f aca="false">E1624</f>
        <v>1.4</v>
      </c>
      <c r="F1702" s="933" t="n">
        <f aca="false">F1624</f>
        <v>100</v>
      </c>
      <c r="G1702" s="933" t="n">
        <f aca="false">G1624</f>
        <v>0</v>
      </c>
      <c r="H1702" s="933"/>
      <c r="I1702" s="1751" t="n">
        <f aca="false">I1624</f>
        <v>1000</v>
      </c>
      <c r="J1702" s="1290" t="n">
        <f aca="false">C1702*I1702</f>
        <v>0</v>
      </c>
      <c r="K1702" s="1230"/>
      <c r="L1702" s="1899" t="str">
        <f aca="false">'Прайс лист'!B1673</f>
        <v>монтаж ветроизоляции стен</v>
      </c>
      <c r="M1702" s="1765"/>
      <c r="N1702" s="1290" t="n">
        <f aca="false">C1685*D1677</f>
        <v>0</v>
      </c>
      <c r="O1702" s="1290" t="n">
        <f aca="false">'Прайс лист'!G1673</f>
        <v>100</v>
      </c>
      <c r="P1702" s="1290"/>
      <c r="Q1702" s="1290"/>
      <c r="R1702" s="1290"/>
      <c r="S1702" s="1290" t="n">
        <f aca="false">N1702*O1702</f>
        <v>0</v>
      </c>
      <c r="T1702" s="1230"/>
      <c r="U1702" s="1230"/>
      <c r="V1702" s="1230"/>
      <c r="W1702" s="1230"/>
      <c r="X1702" s="1230"/>
      <c r="Y1702" s="1230"/>
    </row>
    <row r="1703" customFormat="false" ht="15.75" hidden="false" customHeight="true" outlineLevel="1" collapsed="false">
      <c r="A1703" s="1751" t="str">
        <f aca="false">A1625</f>
        <v>Перемычка оконная, 1-ый эт. Вариант 4</v>
      </c>
      <c r="B1703" s="1527" t="str">
        <f aca="false">B1625</f>
        <v>м.п.</v>
      </c>
      <c r="C1703" s="1751" t="n">
        <f aca="false">C1625</f>
        <v>0</v>
      </c>
      <c r="D1703" s="933" t="n">
        <f aca="false">'Ввод данных'!$C$1089</f>
        <v>0.4</v>
      </c>
      <c r="E1703" s="933" t="n">
        <f aca="false">E1625</f>
        <v>1</v>
      </c>
      <c r="F1703" s="933" t="n">
        <f aca="false">F1625</f>
        <v>100</v>
      </c>
      <c r="G1703" s="933" t="n">
        <f aca="false">G1625</f>
        <v>0</v>
      </c>
      <c r="H1703" s="933"/>
      <c r="I1703" s="1751" t="n">
        <f aca="false">I1625</f>
        <v>1000</v>
      </c>
      <c r="J1703" s="1290" t="n">
        <f aca="false">C1703*I1703</f>
        <v>0</v>
      </c>
      <c r="K1703" s="1230"/>
      <c r="L1703" s="1557" t="str">
        <f aca="false">'Прайс лист'!B1684</f>
        <v>изготовление и монтаж перемычек для окон и дверей</v>
      </c>
      <c r="M1703" s="1765"/>
      <c r="N1703" s="1290" t="n">
        <f aca="false">SUM(C1700:C1726)</f>
        <v>1</v>
      </c>
      <c r="O1703" s="1290" t="n">
        <f aca="false">'Прайс лист'!G1684</f>
        <v>500</v>
      </c>
      <c r="P1703" s="1290"/>
      <c r="Q1703" s="1290"/>
      <c r="R1703" s="1290"/>
      <c r="S1703" s="1290" t="n">
        <f aca="false">N1703*O1703</f>
        <v>500</v>
      </c>
      <c r="T1703" s="1230"/>
      <c r="U1703" s="1230"/>
      <c r="V1703" s="1230"/>
      <c r="W1703" s="1230"/>
      <c r="X1703" s="1230"/>
      <c r="Y1703" s="1230"/>
    </row>
    <row r="1704" customFormat="false" ht="15.75" hidden="false" customHeight="true" outlineLevel="1" collapsed="false">
      <c r="A1704" s="1751" t="str">
        <f aca="false">A1626</f>
        <v>Перемычка оконная, 1-ый эт. Вариант 5</v>
      </c>
      <c r="B1704" s="1527" t="str">
        <f aca="false">B1626</f>
        <v>м.п.</v>
      </c>
      <c r="C1704" s="1751" t="n">
        <f aca="false">C1626</f>
        <v>0</v>
      </c>
      <c r="D1704" s="933" t="n">
        <f aca="false">'Ввод данных'!$C$1089</f>
        <v>0.4</v>
      </c>
      <c r="E1704" s="933" t="n">
        <f aca="false">E1626</f>
        <v>0.9</v>
      </c>
      <c r="F1704" s="933" t="n">
        <f aca="false">F1626</f>
        <v>100</v>
      </c>
      <c r="G1704" s="933" t="n">
        <f aca="false">G1626</f>
        <v>0</v>
      </c>
      <c r="H1704" s="933"/>
      <c r="I1704" s="1751" t="n">
        <f aca="false">I1626</f>
        <v>1000</v>
      </c>
      <c r="J1704" s="1290" t="n">
        <f aca="false">C1704*I1704</f>
        <v>0</v>
      </c>
      <c r="K1704" s="1230"/>
      <c r="L1704" s="933" t="str">
        <f aca="false">'Прайс лист'!B1635</f>
        <v>кладка сетки</v>
      </c>
      <c r="M1704" s="1765"/>
      <c r="N1704" s="1290" t="n">
        <f aca="false">C1736</f>
        <v>110.88</v>
      </c>
      <c r="O1704" s="1557" t="n">
        <f aca="false">'Прайс лист'!G1635</f>
        <v>100</v>
      </c>
      <c r="P1704" s="1290"/>
      <c r="Q1704" s="1290"/>
      <c r="R1704" s="1290"/>
      <c r="S1704" s="1290" t="n">
        <f aca="false">N1704*O1704</f>
        <v>11088</v>
      </c>
      <c r="T1704" s="1230"/>
      <c r="U1704" s="1230"/>
      <c r="V1704" s="1230"/>
      <c r="W1704" s="1230"/>
      <c r="X1704" s="1230"/>
      <c r="Y1704" s="1230"/>
    </row>
    <row r="1705" customFormat="false" ht="15.75" hidden="false" customHeight="true" outlineLevel="1" collapsed="false">
      <c r="A1705" s="1751" t="str">
        <f aca="false">A1627</f>
        <v>Перемычка оконная, 2-ый эт. Вариант 6</v>
      </c>
      <c r="B1705" s="1527" t="str">
        <f aca="false">B1627</f>
        <v>м.п.</v>
      </c>
      <c r="C1705" s="1751" t="n">
        <f aca="false">C1627</f>
        <v>0</v>
      </c>
      <c r="D1705" s="933" t="n">
        <f aca="false">'Ввод данных'!$C$1089</f>
        <v>0.4</v>
      </c>
      <c r="E1705" s="933" t="n">
        <f aca="false">E1627</f>
        <v>1</v>
      </c>
      <c r="F1705" s="933" t="n">
        <f aca="false">F1627</f>
        <v>100</v>
      </c>
      <c r="G1705" s="933" t="n">
        <f aca="false">G1627</f>
        <v>0</v>
      </c>
      <c r="H1705" s="933"/>
      <c r="I1705" s="1751" t="n">
        <f aca="false">I1627</f>
        <v>1000</v>
      </c>
      <c r="J1705" s="1290" t="n">
        <f aca="false">C1705*I1705</f>
        <v>0</v>
      </c>
      <c r="K1705" s="1230"/>
      <c r="L1705" s="932" t="str">
        <f aca="false">'Прайс лист'!B1685</f>
        <v>Замешивание раствора</v>
      </c>
      <c r="M1705" s="1152"/>
      <c r="N1705" s="1150" t="n">
        <f aca="false">(C1697+C1698+C1699)*0.3*0.7</f>
        <v>12.29382</v>
      </c>
      <c r="O1705" s="1150" t="n">
        <f aca="false">'Прайс лист'!G1685</f>
        <v>1500</v>
      </c>
      <c r="S1705" s="1290" t="n">
        <f aca="false">N1705*O1705</f>
        <v>18440.73</v>
      </c>
      <c r="T1705" s="1230"/>
      <c r="U1705" s="1230"/>
      <c r="V1705" s="1230"/>
      <c r="W1705" s="1230"/>
      <c r="X1705" s="1230"/>
      <c r="Y1705" s="1230"/>
    </row>
    <row r="1706" customFormat="false" ht="15.75" hidden="false" customHeight="true" outlineLevel="1" collapsed="false">
      <c r="A1706" s="1751" t="str">
        <f aca="false">A1628</f>
        <v>Перемычка оконная, 2-ый эт. Вариант 7</v>
      </c>
      <c r="B1706" s="1527" t="str">
        <f aca="false">B1628</f>
        <v>м.п.</v>
      </c>
      <c r="C1706" s="1751" t="n">
        <f aca="false">C1628</f>
        <v>0</v>
      </c>
      <c r="D1706" s="933" t="n">
        <f aca="false">'Ввод данных'!$C$1089</f>
        <v>0.4</v>
      </c>
      <c r="E1706" s="933" t="n">
        <f aca="false">E1628</f>
        <v>1.2</v>
      </c>
      <c r="F1706" s="933" t="n">
        <f aca="false">F1628</f>
        <v>100</v>
      </c>
      <c r="G1706" s="933" t="n">
        <f aca="false">G1628</f>
        <v>0</v>
      </c>
      <c r="H1706" s="933"/>
      <c r="I1706" s="1751" t="n">
        <f aca="false">I1628</f>
        <v>1000</v>
      </c>
      <c r="J1706" s="1290" t="n">
        <f aca="false">C1706*I1706</f>
        <v>0</v>
      </c>
      <c r="K1706" s="1230"/>
      <c r="L1706" s="932" t="str">
        <f aca="false">'Прайс лист'!B1687</f>
        <v>Установка опалубки для сейсмопояса</v>
      </c>
      <c r="M1706" s="1765"/>
      <c r="N1706" s="1290" t="n">
        <f aca="false">J47</f>
        <v>40</v>
      </c>
      <c r="O1706" s="1290" t="n">
        <f aca="false">'Прайс лист'!G1687</f>
        <v>300</v>
      </c>
      <c r="P1706" s="1290"/>
      <c r="Q1706" s="1290"/>
      <c r="R1706" s="1290"/>
      <c r="S1706" s="1290" t="n">
        <f aca="false">N1706*O1706</f>
        <v>12000</v>
      </c>
      <c r="T1706" s="1230"/>
      <c r="U1706" s="1230"/>
      <c r="V1706" s="1230"/>
      <c r="W1706" s="1230"/>
      <c r="X1706" s="1230"/>
      <c r="Y1706" s="1230"/>
    </row>
    <row r="1707" customFormat="false" ht="15.75" hidden="false" customHeight="true" outlineLevel="1" collapsed="false">
      <c r="A1707" s="1751" t="str">
        <f aca="false">A1629</f>
        <v>Перемычка оконная, 2-ый эт. Вариант 8</v>
      </c>
      <c r="B1707" s="1527" t="str">
        <f aca="false">B1629</f>
        <v>м.п.</v>
      </c>
      <c r="C1707" s="1751" t="n">
        <f aca="false">C1629</f>
        <v>0</v>
      </c>
      <c r="D1707" s="933" t="n">
        <f aca="false">'Ввод данных'!$C$1089</f>
        <v>0.4</v>
      </c>
      <c r="E1707" s="933" t="n">
        <f aca="false">E1629</f>
        <v>1.4</v>
      </c>
      <c r="F1707" s="933" t="n">
        <f aca="false">F1629</f>
        <v>100</v>
      </c>
      <c r="G1707" s="933" t="n">
        <f aca="false">G1629</f>
        <v>0</v>
      </c>
      <c r="H1707" s="933"/>
      <c r="I1707" s="1751" t="n">
        <f aca="false">I1629</f>
        <v>1000</v>
      </c>
      <c r="J1707" s="1290" t="n">
        <f aca="false">C1707*I1707</f>
        <v>0</v>
      </c>
      <c r="K1707" s="1230"/>
      <c r="L1707" s="1857" t="str">
        <f aca="false">'Прайс лист'!B1690</f>
        <v>утепление стен снаружи дома</v>
      </c>
      <c r="M1707" s="1765"/>
      <c r="N1707" s="1290" t="n">
        <f aca="false">C1685</f>
        <v>118.8</v>
      </c>
      <c r="O1707" s="1290" t="n">
        <f aca="false">P1621</f>
        <v>350</v>
      </c>
      <c r="P1707" s="1290"/>
      <c r="Q1707" s="1290"/>
      <c r="R1707" s="1290"/>
      <c r="S1707" s="1290" t="n">
        <f aca="false">N1707*O1707</f>
        <v>41580</v>
      </c>
      <c r="T1707" s="1230"/>
      <c r="U1707" s="1230"/>
      <c r="V1707" s="1230"/>
      <c r="W1707" s="1230"/>
      <c r="X1707" s="1230"/>
      <c r="Y1707" s="1230"/>
    </row>
    <row r="1708" customFormat="false" ht="15.75" hidden="false" customHeight="true" outlineLevel="1" collapsed="false">
      <c r="A1708" s="1751" t="str">
        <f aca="false">A1630</f>
        <v>Перемычка оконная, 2-ый эт. Вариант 9</v>
      </c>
      <c r="B1708" s="1527" t="str">
        <f aca="false">B1630</f>
        <v>м.п.</v>
      </c>
      <c r="C1708" s="1751" t="n">
        <f aca="false">C1630</f>
        <v>0</v>
      </c>
      <c r="D1708" s="933" t="n">
        <f aca="false">'Ввод данных'!$C$1089</f>
        <v>0.4</v>
      </c>
      <c r="E1708" s="933" t="n">
        <f aca="false">E1630</f>
        <v>5.4</v>
      </c>
      <c r="F1708" s="933" t="n">
        <f aca="false">F1630</f>
        <v>100</v>
      </c>
      <c r="G1708" s="933" t="n">
        <f aca="false">G1630</f>
        <v>0</v>
      </c>
      <c r="H1708" s="933"/>
      <c r="I1708" s="1751" t="n">
        <f aca="false">I1630</f>
        <v>1000</v>
      </c>
      <c r="J1708" s="1290" t="n">
        <f aca="false">C1708*I1708</f>
        <v>0</v>
      </c>
      <c r="K1708" s="1230"/>
      <c r="L1708" s="1857"/>
      <c r="M1708" s="1765"/>
      <c r="N1708" s="1290"/>
      <c r="O1708" s="1290"/>
      <c r="P1708" s="1290"/>
      <c r="Q1708" s="1290"/>
      <c r="R1708" s="1290"/>
      <c r="S1708" s="1290"/>
      <c r="T1708" s="1230"/>
      <c r="U1708" s="1230"/>
      <c r="V1708" s="1230"/>
      <c r="W1708" s="1230"/>
      <c r="X1708" s="1230"/>
      <c r="Y1708" s="1230"/>
    </row>
    <row r="1709" customFormat="false" ht="15.75" hidden="false" customHeight="true" outlineLevel="1" collapsed="false">
      <c r="A1709" s="1751" t="str">
        <f aca="false">A1631</f>
        <v>Перемычка оконная, 2-ый эт. Вариант 10</v>
      </c>
      <c r="B1709" s="1527" t="str">
        <f aca="false">B1631</f>
        <v>м.п.</v>
      </c>
      <c r="C1709" s="1751" t="n">
        <f aca="false">C1631</f>
        <v>0</v>
      </c>
      <c r="D1709" s="933" t="n">
        <f aca="false">'Ввод данных'!$C$1089</f>
        <v>0.4</v>
      </c>
      <c r="E1709" s="933" t="n">
        <f aca="false">E1631</f>
        <v>6.4</v>
      </c>
      <c r="F1709" s="933" t="n">
        <f aca="false">F1631</f>
        <v>100</v>
      </c>
      <c r="G1709" s="933" t="n">
        <f aca="false">G1631</f>
        <v>0</v>
      </c>
      <c r="H1709" s="933"/>
      <c r="I1709" s="1751" t="n">
        <f aca="false">I1631</f>
        <v>1000</v>
      </c>
      <c r="J1709" s="1290" t="n">
        <f aca="false">C1709*I1709</f>
        <v>0</v>
      </c>
      <c r="K1709" s="1230"/>
      <c r="L1709" s="932"/>
      <c r="M1709" s="1765"/>
      <c r="N1709" s="1290"/>
      <c r="O1709" s="1290"/>
      <c r="P1709" s="1290"/>
      <c r="Q1709" s="1290"/>
      <c r="R1709" s="1290"/>
      <c r="S1709" s="1290"/>
      <c r="T1709" s="1230"/>
      <c r="U1709" s="1230"/>
      <c r="V1709" s="1230"/>
      <c r="W1709" s="1230"/>
      <c r="X1709" s="1230"/>
      <c r="Y1709" s="1230"/>
    </row>
    <row r="1710" customFormat="false" ht="15.75" hidden="false" customHeight="true" outlineLevel="1" collapsed="false">
      <c r="A1710" s="1751" t="str">
        <f aca="false">A1632</f>
        <v>Перемычка дверная, 1-ый эт. Вариант 1</v>
      </c>
      <c r="B1710" s="1527" t="str">
        <f aca="false">B1632</f>
        <v>м.п.</v>
      </c>
      <c r="C1710" s="1751" t="n">
        <f aca="false">C1632</f>
        <v>0</v>
      </c>
      <c r="D1710" s="933" t="n">
        <f aca="false">'Ввод данных'!$C$1089</f>
        <v>0.4</v>
      </c>
      <c r="E1710" s="933" t="n">
        <f aca="false">E1632</f>
        <v>1.2</v>
      </c>
      <c r="F1710" s="933" t="n">
        <f aca="false">F1632</f>
        <v>200</v>
      </c>
      <c r="G1710" s="933" t="n">
        <f aca="false">G1632</f>
        <v>0</v>
      </c>
      <c r="H1710" s="933"/>
      <c r="I1710" s="1751" t="n">
        <f aca="false">I1632</f>
        <v>1000</v>
      </c>
      <c r="J1710" s="1290" t="n">
        <f aca="false">C1710*I1710</f>
        <v>0</v>
      </c>
      <c r="K1710" s="1230"/>
      <c r="L1710" s="1854"/>
      <c r="M1710" s="1765"/>
      <c r="N1710" s="1290"/>
      <c r="O1710" s="1290"/>
      <c r="P1710" s="1290"/>
      <c r="Q1710" s="1290"/>
      <c r="R1710" s="1290"/>
      <c r="S1710" s="1290"/>
      <c r="T1710" s="1230"/>
      <c r="U1710" s="1230"/>
      <c r="V1710" s="1230"/>
      <c r="W1710" s="1230"/>
      <c r="X1710" s="1230"/>
      <c r="Y1710" s="1230"/>
    </row>
    <row r="1711" customFormat="false" ht="15.75" hidden="false" customHeight="true" outlineLevel="1" collapsed="false">
      <c r="A1711" s="1751" t="str">
        <f aca="false">A1633</f>
        <v>Перемычка дверная, 2-ый эт. Вариант 2</v>
      </c>
      <c r="B1711" s="1527" t="str">
        <f aca="false">B1633</f>
        <v>м.п.</v>
      </c>
      <c r="C1711" s="1751" t="n">
        <f aca="false">C1633</f>
        <v>0</v>
      </c>
      <c r="D1711" s="933" t="n">
        <f aca="false">'Ввод данных'!$C$1089</f>
        <v>0.4</v>
      </c>
      <c r="E1711" s="933" t="n">
        <f aca="false">E1633</f>
        <v>1.2</v>
      </c>
      <c r="F1711" s="933" t="n">
        <f aca="false">F1633</f>
        <v>200</v>
      </c>
      <c r="G1711" s="933" t="n">
        <f aca="false">G1633</f>
        <v>0</v>
      </c>
      <c r="H1711" s="933"/>
      <c r="I1711" s="1751" t="n">
        <f aca="false">I1633</f>
        <v>1000</v>
      </c>
      <c r="J1711" s="1290" t="n">
        <f aca="false">C1711*I1711</f>
        <v>0</v>
      </c>
      <c r="K1711" s="1230"/>
      <c r="L1711" s="933"/>
      <c r="M1711" s="1765"/>
      <c r="N1711" s="1290"/>
      <c r="O1711" s="1290"/>
      <c r="P1711" s="1290"/>
      <c r="Q1711" s="1290"/>
      <c r="R1711" s="1290"/>
      <c r="S1711" s="1290"/>
      <c r="T1711" s="1230"/>
      <c r="U1711" s="1230"/>
      <c r="V1711" s="1230"/>
      <c r="W1711" s="1230"/>
      <c r="X1711" s="1230"/>
      <c r="Y1711" s="1230"/>
    </row>
    <row r="1712" customFormat="false" ht="15.75" hidden="false" customHeight="true" outlineLevel="1" collapsed="false">
      <c r="A1712" s="1751" t="str">
        <f aca="false">A1634</f>
        <v>Перемычка оконная 1-ый эт, Вариант 11</v>
      </c>
      <c r="B1712" s="1527" t="str">
        <f aca="false">B1634</f>
        <v>м.п.</v>
      </c>
      <c r="C1712" s="1751" t="n">
        <f aca="false">C1634</f>
        <v>0</v>
      </c>
      <c r="D1712" s="933" t="n">
        <f aca="false">'Ввод данных'!$C$1089</f>
        <v>0.4</v>
      </c>
      <c r="E1712" s="933" t="n">
        <f aca="false">E1634</f>
        <v>2.4</v>
      </c>
      <c r="F1712" s="933" t="n">
        <f aca="false">F1634</f>
        <v>200</v>
      </c>
      <c r="G1712" s="933" t="n">
        <f aca="false">G1634</f>
        <v>0</v>
      </c>
      <c r="H1712" s="933"/>
      <c r="I1712" s="1751" t="n">
        <f aca="false">I1634</f>
        <v>1000</v>
      </c>
      <c r="J1712" s="1290" t="n">
        <f aca="false">C1712*I1712</f>
        <v>0</v>
      </c>
      <c r="K1712" s="1230"/>
      <c r="L1712" s="933"/>
      <c r="M1712" s="1765"/>
      <c r="N1712" s="1290"/>
      <c r="O1712" s="1290"/>
      <c r="P1712" s="1290"/>
      <c r="Q1712" s="1290"/>
      <c r="R1712" s="1290"/>
      <c r="S1712" s="1290"/>
      <c r="T1712" s="1230"/>
      <c r="U1712" s="1230"/>
      <c r="V1712" s="1230"/>
      <c r="W1712" s="1230"/>
      <c r="X1712" s="1230"/>
      <c r="Y1712" s="1230"/>
    </row>
    <row r="1713" customFormat="false" ht="15.75" hidden="false" customHeight="true" outlineLevel="1" collapsed="false">
      <c r="A1713" s="1751" t="str">
        <f aca="false">A1635</f>
        <v>Перемычка оконная 1-ый эт, Вариант 12</v>
      </c>
      <c r="B1713" s="1527" t="str">
        <f aca="false">B1635</f>
        <v>м.п.</v>
      </c>
      <c r="C1713" s="1751" t="n">
        <f aca="false">C1635</f>
        <v>0</v>
      </c>
      <c r="D1713" s="933" t="n">
        <f aca="false">'Ввод данных'!$C$1089</f>
        <v>0.4</v>
      </c>
      <c r="E1713" s="933" t="n">
        <f aca="false">E1635</f>
        <v>0.4</v>
      </c>
      <c r="F1713" s="933" t="n">
        <f aca="false">F1635</f>
        <v>200</v>
      </c>
      <c r="G1713" s="933" t="n">
        <f aca="false">G1635</f>
        <v>0</v>
      </c>
      <c r="H1713" s="933"/>
      <c r="I1713" s="1751" t="n">
        <f aca="false">I1635</f>
        <v>1000</v>
      </c>
      <c r="J1713" s="1290" t="n">
        <f aca="false">C1713*I1713</f>
        <v>0</v>
      </c>
      <c r="K1713" s="1230"/>
      <c r="L1713" s="1290"/>
      <c r="M1713" s="1765"/>
      <c r="N1713" s="1290"/>
      <c r="O1713" s="1290"/>
      <c r="P1713" s="1290"/>
      <c r="Q1713" s="1290"/>
      <c r="R1713" s="1290"/>
      <c r="S1713" s="1290"/>
      <c r="T1713" s="1230"/>
      <c r="U1713" s="1230"/>
      <c r="V1713" s="1230"/>
      <c r="W1713" s="1230"/>
      <c r="X1713" s="1230"/>
      <c r="Y1713" s="1230"/>
    </row>
    <row r="1714" customFormat="false" ht="15.75" hidden="false" customHeight="true" outlineLevel="1" collapsed="false">
      <c r="A1714" s="1751" t="str">
        <f aca="false">A1636</f>
        <v>Перемычка дверная, 1-ый эт. Вариант 4</v>
      </c>
      <c r="B1714" s="1527" t="str">
        <f aca="false">B1636</f>
        <v>м.п.</v>
      </c>
      <c r="C1714" s="1751" t="n">
        <f aca="false">C1636</f>
        <v>0</v>
      </c>
      <c r="D1714" s="933" t="n">
        <f aca="false">'Ввод данных'!$C$1091</f>
        <v>0.3</v>
      </c>
      <c r="E1714" s="933" t="n">
        <f aca="false">E1636</f>
        <v>1.2</v>
      </c>
      <c r="F1714" s="933" t="n">
        <f aca="false">F1636</f>
        <v>200</v>
      </c>
      <c r="G1714" s="933" t="n">
        <f aca="false">G1636</f>
        <v>0</v>
      </c>
      <c r="H1714" s="933"/>
      <c r="I1714" s="1751" t="n">
        <f aca="false">I1636</f>
        <v>1000</v>
      </c>
      <c r="J1714" s="1290" t="n">
        <f aca="false">C1714*I1714</f>
        <v>0</v>
      </c>
      <c r="K1714" s="1230"/>
      <c r="L1714" s="1290"/>
      <c r="M1714" s="1765"/>
      <c r="N1714" s="1290"/>
      <c r="O1714" s="1290"/>
      <c r="P1714" s="1290"/>
      <c r="Q1714" s="1290"/>
      <c r="R1714" s="1290"/>
      <c r="S1714" s="1290"/>
      <c r="T1714" s="1230"/>
      <c r="U1714" s="1230"/>
      <c r="V1714" s="1230"/>
      <c r="W1714" s="1230"/>
      <c r="X1714" s="1230"/>
      <c r="Y1714" s="1230"/>
    </row>
    <row r="1715" customFormat="false" ht="15.75" hidden="false" customHeight="true" outlineLevel="1" collapsed="false">
      <c r="A1715" s="1751" t="str">
        <f aca="false">A1637</f>
        <v>Перемычка дверная, 1-ый эт. Вариант 5</v>
      </c>
      <c r="B1715" s="1527" t="str">
        <f aca="false">B1637</f>
        <v>м.п.</v>
      </c>
      <c r="C1715" s="1751" t="n">
        <f aca="false">C1637</f>
        <v>0</v>
      </c>
      <c r="D1715" s="933" t="n">
        <f aca="false">'Ввод данных'!$C$1091</f>
        <v>0.3</v>
      </c>
      <c r="E1715" s="933" t="n">
        <f aca="false">E1637</f>
        <v>1</v>
      </c>
      <c r="F1715" s="933" t="n">
        <f aca="false">F1637</f>
        <v>200</v>
      </c>
      <c r="G1715" s="933" t="n">
        <f aca="false">G1637</f>
        <v>0</v>
      </c>
      <c r="H1715" s="933"/>
      <c r="I1715" s="1751" t="n">
        <f aca="false">I1637</f>
        <v>1000</v>
      </c>
      <c r="J1715" s="1290" t="n">
        <f aca="false">C1715*I1715</f>
        <v>0</v>
      </c>
      <c r="K1715" s="1230"/>
      <c r="L1715" s="1290"/>
      <c r="M1715" s="1765"/>
      <c r="N1715" s="1290"/>
      <c r="O1715" s="1290"/>
      <c r="P1715" s="1290"/>
      <c r="Q1715" s="1290"/>
      <c r="R1715" s="1290"/>
      <c r="S1715" s="1290"/>
      <c r="T1715" s="1230"/>
      <c r="U1715" s="1230"/>
      <c r="V1715" s="1230"/>
      <c r="W1715" s="1230"/>
      <c r="X1715" s="1230"/>
      <c r="Y1715" s="1230"/>
    </row>
    <row r="1716" customFormat="false" ht="15.75" hidden="false" customHeight="true" outlineLevel="1" collapsed="false">
      <c r="A1716" s="1751" t="str">
        <f aca="false">A1638</f>
        <v>Перемычка дверная, 1-ый эт. Вариант 6</v>
      </c>
      <c r="B1716" s="1527" t="str">
        <f aca="false">B1638</f>
        <v>м.п.</v>
      </c>
      <c r="C1716" s="1751" t="n">
        <f aca="false">C1638</f>
        <v>0</v>
      </c>
      <c r="D1716" s="933" t="n">
        <f aca="false">'Ввод данных'!$C$1091</f>
        <v>0.3</v>
      </c>
      <c r="E1716" s="933" t="n">
        <f aca="false">E1638</f>
        <v>1.3</v>
      </c>
      <c r="F1716" s="933" t="n">
        <f aca="false">F1638</f>
        <v>200</v>
      </c>
      <c r="G1716" s="933" t="n">
        <f aca="false">G1638</f>
        <v>0</v>
      </c>
      <c r="H1716" s="933"/>
      <c r="I1716" s="1751" t="n">
        <f aca="false">I1638</f>
        <v>1000</v>
      </c>
      <c r="J1716" s="1290" t="n">
        <f aca="false">C1716*I1716</f>
        <v>0</v>
      </c>
      <c r="K1716" s="1230"/>
      <c r="L1716" s="1290"/>
      <c r="M1716" s="1765"/>
      <c r="N1716" s="1290"/>
      <c r="O1716" s="1290"/>
      <c r="P1716" s="1290"/>
      <c r="Q1716" s="1290"/>
      <c r="R1716" s="1290"/>
      <c r="S1716" s="1290"/>
      <c r="T1716" s="1230"/>
      <c r="U1716" s="1230"/>
      <c r="V1716" s="1230"/>
      <c r="W1716" s="1230"/>
      <c r="X1716" s="1230"/>
      <c r="Y1716" s="1230"/>
    </row>
    <row r="1717" customFormat="false" ht="15.75" hidden="false" customHeight="true" outlineLevel="1" collapsed="false">
      <c r="A1717" s="1751" t="str">
        <f aca="false">A1639</f>
        <v>Перемычка дверная, 2-ый эт. Вариант 7</v>
      </c>
      <c r="B1717" s="1527" t="str">
        <f aca="false">B1639</f>
        <v>м.п.</v>
      </c>
      <c r="C1717" s="1751" t="n">
        <f aca="false">C1639</f>
        <v>0</v>
      </c>
      <c r="D1717" s="933" t="n">
        <f aca="false">'Ввод данных'!$C$1091</f>
        <v>0.3</v>
      </c>
      <c r="E1717" s="933" t="n">
        <f aca="false">E1639</f>
        <v>1.2</v>
      </c>
      <c r="F1717" s="933" t="n">
        <f aca="false">F1639</f>
        <v>200</v>
      </c>
      <c r="G1717" s="933" t="n">
        <f aca="false">G1639</f>
        <v>0</v>
      </c>
      <c r="H1717" s="933"/>
      <c r="I1717" s="1751" t="n">
        <f aca="false">I1639</f>
        <v>1000</v>
      </c>
      <c r="J1717" s="1290" t="n">
        <f aca="false">C1717*I1717</f>
        <v>0</v>
      </c>
      <c r="K1717" s="1230"/>
      <c r="L1717" s="1290"/>
      <c r="M1717" s="1765"/>
      <c r="N1717" s="1290"/>
      <c r="O1717" s="1290"/>
      <c r="P1717" s="1290"/>
      <c r="Q1717" s="1290"/>
      <c r="R1717" s="1290"/>
      <c r="S1717" s="1290"/>
      <c r="T1717" s="1230"/>
      <c r="U1717" s="1230"/>
      <c r="V1717" s="1230"/>
      <c r="W1717" s="1230"/>
      <c r="X1717" s="1230"/>
      <c r="Y1717" s="1230"/>
    </row>
    <row r="1718" customFormat="false" ht="15.75" hidden="false" customHeight="true" outlineLevel="1" collapsed="false">
      <c r="A1718" s="1751" t="str">
        <f aca="false">A1640</f>
        <v>Перемычка дверная, 2-ый эт. Вариант 8</v>
      </c>
      <c r="B1718" s="1527" t="str">
        <f aca="false">B1640</f>
        <v>м.п.</v>
      </c>
      <c r="C1718" s="1751" t="n">
        <f aca="false">C1640</f>
        <v>0</v>
      </c>
      <c r="D1718" s="933" t="n">
        <f aca="false">'Ввод данных'!$C$1091</f>
        <v>0.3</v>
      </c>
      <c r="E1718" s="933" t="n">
        <f aca="false">E1640</f>
        <v>1.4</v>
      </c>
      <c r="F1718" s="933" t="n">
        <f aca="false">F1640</f>
        <v>200</v>
      </c>
      <c r="G1718" s="933" t="n">
        <f aca="false">G1640</f>
        <v>0</v>
      </c>
      <c r="H1718" s="933"/>
      <c r="I1718" s="1751" t="n">
        <f aca="false">I1640</f>
        <v>1000</v>
      </c>
      <c r="J1718" s="1290" t="n">
        <f aca="false">C1718*I1718</f>
        <v>0</v>
      </c>
      <c r="K1718" s="1230"/>
      <c r="L1718" s="1290"/>
      <c r="M1718" s="1765"/>
      <c r="N1718" s="1290"/>
      <c r="O1718" s="1290"/>
      <c r="P1718" s="1290"/>
      <c r="Q1718" s="1290"/>
      <c r="R1718" s="1290"/>
      <c r="S1718" s="1290"/>
      <c r="T1718" s="1230"/>
      <c r="U1718" s="1230"/>
      <c r="V1718" s="1230"/>
      <c r="W1718" s="1230"/>
      <c r="X1718" s="1230"/>
      <c r="Y1718" s="1230"/>
    </row>
    <row r="1719" customFormat="false" ht="15.75" hidden="false" customHeight="true" outlineLevel="1" collapsed="false">
      <c r="A1719" s="1751" t="str">
        <f aca="false">A1641</f>
        <v>Перемычка дверная, 2-ый эт. Вариант 9</v>
      </c>
      <c r="B1719" s="1527" t="str">
        <f aca="false">B1641</f>
        <v>м.п.</v>
      </c>
      <c r="C1719" s="1751" t="n">
        <f aca="false">C1641</f>
        <v>0</v>
      </c>
      <c r="D1719" s="933" t="n">
        <f aca="false">'Ввод данных'!$C$1091</f>
        <v>0.3</v>
      </c>
      <c r="E1719" s="933" t="n">
        <f aca="false">E1641</f>
        <v>1.4</v>
      </c>
      <c r="F1719" s="933" t="n">
        <f aca="false">F1641</f>
        <v>200</v>
      </c>
      <c r="G1719" s="933" t="n">
        <f aca="false">G1641</f>
        <v>0</v>
      </c>
      <c r="H1719" s="933"/>
      <c r="I1719" s="1751" t="n">
        <f aca="false">I1641</f>
        <v>1000</v>
      </c>
      <c r="J1719" s="1290" t="n">
        <f aca="false">C1719*I1719</f>
        <v>0</v>
      </c>
      <c r="K1719" s="1230"/>
      <c r="L1719" s="1290"/>
      <c r="M1719" s="1765"/>
      <c r="N1719" s="1290"/>
      <c r="O1719" s="1290"/>
      <c r="P1719" s="1290"/>
      <c r="Q1719" s="1290"/>
      <c r="R1719" s="1290"/>
      <c r="S1719" s="1290"/>
      <c r="T1719" s="1230"/>
      <c r="U1719" s="1230"/>
      <c r="V1719" s="1230"/>
      <c r="W1719" s="1230"/>
      <c r="X1719" s="1230"/>
      <c r="Y1719" s="1230"/>
    </row>
    <row r="1720" customFormat="false" ht="15.75" hidden="false" customHeight="true" outlineLevel="1" collapsed="false">
      <c r="A1720" s="1751" t="str">
        <f aca="false">A1642</f>
        <v>Перемычка проема, 1-ый эт. Вариант 10</v>
      </c>
      <c r="B1720" s="1527" t="str">
        <f aca="false">B1642</f>
        <v>м.п.</v>
      </c>
      <c r="C1720" s="1751" t="n">
        <f aca="false">C1642</f>
        <v>0</v>
      </c>
      <c r="D1720" s="933" t="n">
        <f aca="false">'Ввод данных'!$C$1091</f>
        <v>0.3</v>
      </c>
      <c r="E1720" s="933" t="n">
        <f aca="false">E1642</f>
        <v>2.4</v>
      </c>
      <c r="F1720" s="933" t="n">
        <f aca="false">F1642</f>
        <v>200</v>
      </c>
      <c r="G1720" s="933" t="n">
        <f aca="false">G1642</f>
        <v>0</v>
      </c>
      <c r="H1720" s="933"/>
      <c r="I1720" s="1751" t="n">
        <f aca="false">I1642</f>
        <v>1000</v>
      </c>
      <c r="J1720" s="1290" t="n">
        <f aca="false">C1720*I1720</f>
        <v>0</v>
      </c>
      <c r="K1720" s="1230"/>
      <c r="L1720" s="1290"/>
      <c r="M1720" s="1765"/>
      <c r="N1720" s="1290"/>
      <c r="O1720" s="1290"/>
      <c r="P1720" s="1290"/>
      <c r="Q1720" s="1290"/>
      <c r="R1720" s="1290"/>
      <c r="S1720" s="1290"/>
      <c r="T1720" s="1230"/>
      <c r="U1720" s="1230"/>
      <c r="V1720" s="1230"/>
      <c r="W1720" s="1230"/>
      <c r="X1720" s="1230"/>
      <c r="Y1720" s="1230"/>
    </row>
    <row r="1721" customFormat="false" ht="15.75" hidden="false" customHeight="true" outlineLevel="1" collapsed="false">
      <c r="A1721" s="1751" t="str">
        <f aca="false">A1643</f>
        <v>Перемычка проема, 1-ый эт. Вариант 11</v>
      </c>
      <c r="B1721" s="1527" t="str">
        <f aca="false">B1643</f>
        <v>м.п.</v>
      </c>
      <c r="C1721" s="1751" t="n">
        <f aca="false">C1643</f>
        <v>0</v>
      </c>
      <c r="D1721" s="933" t="n">
        <f aca="false">'Ввод данных'!$C$1091</f>
        <v>0.3</v>
      </c>
      <c r="E1721" s="933" t="n">
        <f aca="false">E1643</f>
        <v>1.8</v>
      </c>
      <c r="F1721" s="933" t="n">
        <f aca="false">F1643</f>
        <v>200</v>
      </c>
      <c r="G1721" s="933" t="n">
        <f aca="false">G1643</f>
        <v>0</v>
      </c>
      <c r="H1721" s="933"/>
      <c r="I1721" s="1751" t="n">
        <f aca="false">I1643</f>
        <v>1000</v>
      </c>
      <c r="J1721" s="1290" t="n">
        <f aca="false">C1721*I1721</f>
        <v>0</v>
      </c>
      <c r="K1721" s="1230"/>
      <c r="L1721" s="1290"/>
      <c r="M1721" s="1765"/>
      <c r="N1721" s="1290"/>
      <c r="O1721" s="1290"/>
      <c r="P1721" s="1290"/>
      <c r="Q1721" s="1290"/>
      <c r="R1721" s="1290"/>
      <c r="S1721" s="1290"/>
      <c r="T1721" s="1230"/>
      <c r="U1721" s="1230"/>
      <c r="V1721" s="1230"/>
      <c r="W1721" s="1230"/>
      <c r="X1721" s="1230"/>
      <c r="Y1721" s="1230"/>
    </row>
    <row r="1722" customFormat="false" ht="15.75" hidden="false" customHeight="true" outlineLevel="1" collapsed="false">
      <c r="A1722" s="1751" t="str">
        <f aca="false">A1644</f>
        <v>Перемычка проема, 2-ый эт. Вариант 12</v>
      </c>
      <c r="B1722" s="1527" t="str">
        <f aca="false">B1644</f>
        <v>м.п.</v>
      </c>
      <c r="C1722" s="1751" t="n">
        <f aca="false">C1644</f>
        <v>0</v>
      </c>
      <c r="D1722" s="933" t="n">
        <f aca="false">'Ввод данных'!$C$1091</f>
        <v>0.3</v>
      </c>
      <c r="E1722" s="933" t="n">
        <f aca="false">E1644</f>
        <v>2.4</v>
      </c>
      <c r="F1722" s="933" t="n">
        <f aca="false">F1644</f>
        <v>200</v>
      </c>
      <c r="G1722" s="933" t="n">
        <f aca="false">G1644</f>
        <v>0</v>
      </c>
      <c r="H1722" s="933"/>
      <c r="I1722" s="1751" t="n">
        <f aca="false">I1644</f>
        <v>1000</v>
      </c>
      <c r="J1722" s="1290" t="n">
        <f aca="false">C1722*I1722</f>
        <v>0</v>
      </c>
      <c r="K1722" s="1230"/>
      <c r="L1722" s="1290"/>
      <c r="M1722" s="1765"/>
      <c r="N1722" s="1290"/>
      <c r="O1722" s="1290"/>
      <c r="P1722" s="1290"/>
      <c r="Q1722" s="1290"/>
      <c r="R1722" s="1290"/>
      <c r="S1722" s="1290"/>
      <c r="T1722" s="1230"/>
      <c r="U1722" s="1230"/>
      <c r="V1722" s="1230"/>
      <c r="W1722" s="1230"/>
      <c r="X1722" s="1230"/>
      <c r="Y1722" s="1230"/>
    </row>
    <row r="1723" customFormat="false" ht="15.75" hidden="false" customHeight="true" outlineLevel="1" collapsed="false">
      <c r="A1723" s="1751" t="str">
        <f aca="false">A1645</f>
        <v>Перемычка проема, 2-ый эт. Вариант 13</v>
      </c>
      <c r="B1723" s="1527" t="str">
        <f aca="false">B1645</f>
        <v>м.п.</v>
      </c>
      <c r="C1723" s="1751" t="n">
        <f aca="false">C1645</f>
        <v>0</v>
      </c>
      <c r="D1723" s="933" t="n">
        <f aca="false">'Ввод данных'!$C$1091</f>
        <v>0.3</v>
      </c>
      <c r="E1723" s="933" t="n">
        <f aca="false">E1645</f>
        <v>2.4</v>
      </c>
      <c r="F1723" s="933" t="n">
        <f aca="false">F1645</f>
        <v>200</v>
      </c>
      <c r="G1723" s="933" t="n">
        <f aca="false">G1645</f>
        <v>0</v>
      </c>
      <c r="H1723" s="933"/>
      <c r="I1723" s="1751" t="n">
        <f aca="false">I1645</f>
        <v>1000</v>
      </c>
      <c r="J1723" s="1290" t="n">
        <f aca="false">C1723*I1723</f>
        <v>0</v>
      </c>
      <c r="K1723" s="1230"/>
      <c r="L1723" s="1290"/>
      <c r="M1723" s="1765"/>
      <c r="N1723" s="1290"/>
      <c r="O1723" s="1290"/>
      <c r="P1723" s="1290"/>
      <c r="Q1723" s="1290"/>
      <c r="R1723" s="1290"/>
      <c r="S1723" s="1290"/>
      <c r="T1723" s="1230"/>
      <c r="U1723" s="1230"/>
      <c r="V1723" s="1230"/>
      <c r="W1723" s="1230"/>
      <c r="X1723" s="1230"/>
      <c r="Y1723" s="1230"/>
    </row>
    <row r="1724" customFormat="false" ht="15.75" hidden="false" customHeight="true" outlineLevel="1" collapsed="false">
      <c r="A1724" s="1751" t="str">
        <f aca="false">A1646</f>
        <v>Перемычка дверная, 1-ый эт. Вариант 1</v>
      </c>
      <c r="B1724" s="1527" t="str">
        <f aca="false">B1646</f>
        <v>м.п.</v>
      </c>
      <c r="C1724" s="1751" t="n">
        <f aca="false">C1646</f>
        <v>0</v>
      </c>
      <c r="D1724" s="933" t="n">
        <f aca="false">D1700</f>
        <v>0.4</v>
      </c>
      <c r="E1724" s="933" t="n">
        <f aca="false">E1646</f>
        <v>1.2</v>
      </c>
      <c r="F1724" s="933" t="n">
        <f aca="false">F1646</f>
        <v>100</v>
      </c>
      <c r="G1724" s="933" t="n">
        <f aca="false">G1646</f>
        <v>0</v>
      </c>
      <c r="H1724" s="933"/>
      <c r="I1724" s="1751" t="n">
        <f aca="false">I1646</f>
        <v>1000</v>
      </c>
      <c r="J1724" s="1290" t="n">
        <f aca="false">C1724*I1724</f>
        <v>0</v>
      </c>
      <c r="K1724" s="1230"/>
      <c r="L1724" s="1290"/>
      <c r="M1724" s="1765"/>
      <c r="N1724" s="1290"/>
      <c r="O1724" s="1290"/>
      <c r="P1724" s="1290"/>
      <c r="Q1724" s="1290"/>
      <c r="R1724" s="1290"/>
      <c r="S1724" s="1290"/>
      <c r="T1724" s="1230"/>
      <c r="U1724" s="1230"/>
      <c r="V1724" s="1230"/>
      <c r="W1724" s="1230"/>
      <c r="X1724" s="1230"/>
      <c r="Y1724" s="1230"/>
    </row>
    <row r="1725" customFormat="false" ht="15.75" hidden="false" customHeight="true" outlineLevel="1" collapsed="false">
      <c r="A1725" s="1751" t="str">
        <f aca="false">A1647</f>
        <v>Перемычка дверная, 1-ый эт. Вариант 2</v>
      </c>
      <c r="B1725" s="1527" t="str">
        <f aca="false">B1647</f>
        <v>м.п.</v>
      </c>
      <c r="C1725" s="1751" t="n">
        <f aca="false">C1647</f>
        <v>0</v>
      </c>
      <c r="D1725" s="933" t="n">
        <f aca="false">D1701</f>
        <v>0.4</v>
      </c>
      <c r="E1725" s="933" t="n">
        <f aca="false">E1647</f>
        <v>1.3</v>
      </c>
      <c r="F1725" s="933" t="n">
        <f aca="false">F1647</f>
        <v>100</v>
      </c>
      <c r="G1725" s="933" t="n">
        <f aca="false">G1647</f>
        <v>0</v>
      </c>
      <c r="H1725" s="933"/>
      <c r="I1725" s="1751" t="n">
        <f aca="false">I1647</f>
        <v>1000</v>
      </c>
      <c r="J1725" s="1290" t="n">
        <f aca="false">C1725*I1725</f>
        <v>0</v>
      </c>
      <c r="K1725" s="1230"/>
      <c r="L1725" s="1290"/>
      <c r="M1725" s="1765"/>
      <c r="N1725" s="1290"/>
      <c r="O1725" s="1290"/>
      <c r="P1725" s="1290"/>
      <c r="Q1725" s="1290"/>
      <c r="R1725" s="1290"/>
      <c r="S1725" s="1290"/>
      <c r="T1725" s="1230"/>
      <c r="U1725" s="1230"/>
      <c r="V1725" s="1230"/>
      <c r="W1725" s="1230"/>
      <c r="X1725" s="1230"/>
      <c r="Y1725" s="1230"/>
    </row>
    <row r="1726" customFormat="false" ht="15.75" hidden="false" customHeight="true" outlineLevel="1" collapsed="false">
      <c r="A1726" s="1751" t="str">
        <f aca="false">A1648</f>
        <v>Перемычка дверная, 1-ый эт. Вариант 3</v>
      </c>
      <c r="B1726" s="1527" t="str">
        <f aca="false">B1648</f>
        <v>м.п.</v>
      </c>
      <c r="C1726" s="1751" t="n">
        <f aca="false">C1648</f>
        <v>0</v>
      </c>
      <c r="D1726" s="933" t="n">
        <f aca="false">D1702</f>
        <v>0.4</v>
      </c>
      <c r="E1726" s="933" t="n">
        <f aca="false">E1648</f>
        <v>1.4</v>
      </c>
      <c r="F1726" s="933" t="n">
        <f aca="false">F1648</f>
        <v>100</v>
      </c>
      <c r="G1726" s="933" t="n">
        <f aca="false">G1648</f>
        <v>0</v>
      </c>
      <c r="H1726" s="933"/>
      <c r="I1726" s="1751" t="n">
        <f aca="false">I1648</f>
        <v>1000</v>
      </c>
      <c r="J1726" s="1290" t="n">
        <f aca="false">C1726*I1726</f>
        <v>0</v>
      </c>
      <c r="K1726" s="1230"/>
      <c r="L1726" s="1290"/>
      <c r="M1726" s="1765"/>
      <c r="N1726" s="1290"/>
      <c r="O1726" s="1290"/>
      <c r="P1726" s="1290"/>
      <c r="Q1726" s="1290"/>
      <c r="R1726" s="1290"/>
      <c r="S1726" s="1290"/>
      <c r="T1726" s="1230"/>
      <c r="U1726" s="1230"/>
      <c r="V1726" s="1230"/>
      <c r="W1726" s="1230"/>
      <c r="X1726" s="1230"/>
      <c r="Y1726" s="1230"/>
    </row>
    <row r="1727" customFormat="false" ht="15.75" hidden="false" customHeight="true" outlineLevel="1" collapsed="false">
      <c r="A1727" s="1751" t="str">
        <f aca="false">A1649</f>
        <v>Сосна влаж,200*40мм</v>
      </c>
      <c r="B1727" s="1527" t="str">
        <f aca="false">B1649</f>
        <v>м3</v>
      </c>
      <c r="C1727" s="1751" t="n">
        <f aca="false">C1649</f>
        <v>0.832</v>
      </c>
      <c r="I1727" s="1751" t="n">
        <f aca="false">I1649</f>
        <v>6500</v>
      </c>
      <c r="J1727" s="1290" t="n">
        <f aca="false">C1727*I1727</f>
        <v>5408</v>
      </c>
      <c r="K1727" s="1230"/>
      <c r="L1727" s="1290"/>
      <c r="M1727" s="1765"/>
      <c r="N1727" s="1290"/>
      <c r="O1727" s="1290"/>
      <c r="P1727" s="1290"/>
      <c r="Q1727" s="1290"/>
      <c r="R1727" s="1290"/>
      <c r="S1727" s="1290"/>
      <c r="T1727" s="1230"/>
      <c r="U1727" s="1230"/>
      <c r="V1727" s="1230"/>
      <c r="W1727" s="1230"/>
      <c r="X1727" s="1230"/>
      <c r="Y1727" s="1230"/>
    </row>
    <row r="1728" customFormat="false" ht="15.75" hidden="false" customHeight="true" outlineLevel="1" collapsed="false">
      <c r="A1728" s="1751" t="str">
        <f aca="false">A1650</f>
        <v>Сейсмопояс Арматура М10 4 нити</v>
      </c>
      <c r="B1728" s="1527" t="str">
        <f aca="false">B1650</f>
        <v>м.п.</v>
      </c>
      <c r="C1728" s="1751" t="n">
        <f aca="false">C1650</f>
        <v>176</v>
      </c>
      <c r="I1728" s="1751" t="n">
        <f aca="false">I1650</f>
        <v>21.0397</v>
      </c>
      <c r="J1728" s="1290" t="n">
        <f aca="false">C1728*I1728</f>
        <v>3702.9872</v>
      </c>
      <c r="K1728" s="1230"/>
      <c r="L1728" s="1290"/>
      <c r="M1728" s="1765"/>
      <c r="N1728" s="1290"/>
      <c r="O1728" s="1290"/>
      <c r="P1728" s="1290"/>
      <c r="Q1728" s="1290"/>
      <c r="R1728" s="1290"/>
      <c r="S1728" s="1290"/>
      <c r="T1728" s="1230"/>
      <c r="U1728" s="1230"/>
      <c r="V1728" s="1230"/>
      <c r="W1728" s="1230"/>
      <c r="X1728" s="1230"/>
      <c r="Y1728" s="1230"/>
    </row>
    <row r="1729" customFormat="false" ht="15.75" hidden="false" customHeight="true" outlineLevel="1" collapsed="false">
      <c r="A1729" s="1751" t="str">
        <f aca="false">A1651</f>
        <v>Хомут для сейсмопояса Арматура М6, шаг 400мм</v>
      </c>
      <c r="B1729" s="1527" t="str">
        <f aca="false">B1651</f>
        <v>м.п.</v>
      </c>
      <c r="C1729" s="1751" t="n">
        <f aca="false">C1651</f>
        <v>90</v>
      </c>
      <c r="I1729" s="1751" t="n">
        <f aca="false">I1651</f>
        <v>0</v>
      </c>
      <c r="J1729" s="1290" t="n">
        <f aca="false">C1729*I1729</f>
        <v>0</v>
      </c>
      <c r="K1729" s="1230"/>
      <c r="L1729" s="1290"/>
      <c r="M1729" s="1765"/>
      <c r="N1729" s="1290"/>
      <c r="O1729" s="1290"/>
      <c r="P1729" s="1290"/>
      <c r="Q1729" s="1290"/>
      <c r="R1729" s="1290"/>
      <c r="S1729" s="1290"/>
      <c r="T1729" s="1230"/>
      <c r="U1729" s="1230"/>
      <c r="V1729" s="1230"/>
      <c r="W1729" s="1230"/>
      <c r="X1729" s="1230"/>
      <c r="Y1729" s="1230"/>
    </row>
    <row r="1730" customFormat="false" ht="15.75" hidden="false" customHeight="true" outlineLevel="1" collapsed="false">
      <c r="A1730" s="1751" t="str">
        <f aca="false">A1652</f>
        <v>Бетон, м300</v>
      </c>
      <c r="B1730" s="1527" t="str">
        <f aca="false">B1652</f>
        <v>м3</v>
      </c>
      <c r="C1730" s="1751" t="n">
        <f aca="false">C1652</f>
        <v>1.638</v>
      </c>
      <c r="I1730" s="1751" t="n">
        <f aca="false">I1652</f>
        <v>3000</v>
      </c>
      <c r="J1730" s="1290" t="n">
        <f aca="false">C1730*I1730</f>
        <v>4914</v>
      </c>
      <c r="K1730" s="1230"/>
      <c r="L1730" s="1290"/>
      <c r="M1730" s="1765"/>
      <c r="N1730" s="1290"/>
      <c r="O1730" s="1290"/>
      <c r="P1730" s="1290"/>
      <c r="Q1730" s="1290"/>
      <c r="R1730" s="1290"/>
      <c r="S1730" s="1290"/>
      <c r="T1730" s="1230"/>
      <c r="U1730" s="1230"/>
      <c r="V1730" s="1230"/>
      <c r="W1730" s="1230"/>
      <c r="X1730" s="1230"/>
      <c r="Y1730" s="1230"/>
    </row>
    <row r="1731" customFormat="false" ht="15.75" hidden="false" customHeight="true" outlineLevel="1" collapsed="false">
      <c r="A1731" s="1751" t="str">
        <f aca="false">A1653</f>
        <v>Нет техники</v>
      </c>
      <c r="B1731" s="1527" t="str">
        <f aca="false">B1653</f>
        <v>час</v>
      </c>
      <c r="C1731" s="1751" t="n">
        <f aca="false">'Ввод данных'!C1110</f>
        <v>0</v>
      </c>
      <c r="I1731" s="1751" t="n">
        <f aca="false">I1653</f>
        <v>0</v>
      </c>
      <c r="J1731" s="1290" t="n">
        <f aca="false">C1731*I1731</f>
        <v>0</v>
      </c>
      <c r="K1731" s="1230"/>
      <c r="L1731" s="1290"/>
      <c r="M1731" s="1765"/>
      <c r="N1731" s="1290"/>
      <c r="O1731" s="1290"/>
      <c r="P1731" s="1290"/>
      <c r="Q1731" s="1290"/>
      <c r="R1731" s="1290"/>
      <c r="S1731" s="1290"/>
      <c r="T1731" s="1230"/>
      <c r="U1731" s="1230"/>
      <c r="V1731" s="1230"/>
      <c r="W1731" s="1230"/>
      <c r="X1731" s="1230"/>
      <c r="Y1731" s="1230"/>
    </row>
    <row r="1732" customFormat="false" ht="15.75" hidden="false" customHeight="true" outlineLevel="1" collapsed="false">
      <c r="A1732" s="1751" t="str">
        <f aca="false">A1654</f>
        <v>Нет техники</v>
      </c>
      <c r="B1732" s="1527" t="str">
        <f aca="false">B1654</f>
        <v>час</v>
      </c>
      <c r="C1732" s="1751" t="n">
        <f aca="false">'Ввод данных'!C1111</f>
        <v>0</v>
      </c>
      <c r="I1732" s="1751" t="n">
        <f aca="false">I1654</f>
        <v>0</v>
      </c>
      <c r="J1732" s="1290" t="n">
        <f aca="false">C1732*I1732</f>
        <v>0</v>
      </c>
      <c r="K1732" s="1230"/>
      <c r="L1732" s="1290"/>
      <c r="M1732" s="1765"/>
      <c r="N1732" s="1290"/>
      <c r="O1732" s="1290"/>
      <c r="P1732" s="1290"/>
      <c r="Q1732" s="1290"/>
      <c r="R1732" s="1290"/>
      <c r="S1732" s="1290"/>
      <c r="T1732" s="1230"/>
      <c r="U1732" s="1230"/>
      <c r="V1732" s="1230"/>
      <c r="W1732" s="1230"/>
      <c r="X1732" s="1230"/>
      <c r="Y1732" s="1230"/>
    </row>
    <row r="1733" customFormat="false" ht="15.75" hidden="false" customHeight="true" outlineLevel="1" collapsed="false">
      <c r="A1733" s="1751" t="str">
        <f aca="false">A1655</f>
        <v>Нет</v>
      </c>
      <c r="B1733" s="1527" t="str">
        <f aca="false">B1655</f>
        <v>м3</v>
      </c>
      <c r="C1733" s="1751" t="n">
        <f aca="false">C1655</f>
        <v>0</v>
      </c>
      <c r="I1733" s="1751" t="n">
        <f aca="false">I1655</f>
        <v>0</v>
      </c>
      <c r="J1733" s="1290" t="n">
        <f aca="false">C1733*I1733</f>
        <v>0</v>
      </c>
      <c r="K1733" s="1230"/>
      <c r="L1733" s="1290"/>
      <c r="M1733" s="1765"/>
      <c r="N1733" s="1290"/>
      <c r="O1733" s="1290"/>
      <c r="P1733" s="1290"/>
      <c r="Q1733" s="1290"/>
      <c r="R1733" s="1290"/>
      <c r="S1733" s="1290"/>
      <c r="T1733" s="1230"/>
      <c r="U1733" s="1230"/>
      <c r="V1733" s="1230"/>
      <c r="W1733" s="1230"/>
      <c r="X1733" s="1230"/>
      <c r="Y1733" s="1230"/>
    </row>
    <row r="1734" customFormat="false" ht="15.75" hidden="false" customHeight="true" outlineLevel="1" collapsed="false">
      <c r="A1734" s="1751" t="str">
        <f aca="false">A1656</f>
        <v>Грибок для крепления утеплителя</v>
      </c>
      <c r="B1734" s="1527" t="str">
        <f aca="false">B1656</f>
        <v>шт</v>
      </c>
      <c r="C1734" s="1751" t="n">
        <f aca="false">C1656</f>
        <v>0</v>
      </c>
      <c r="I1734" s="1751" t="n">
        <f aca="false">I1656</f>
        <v>15</v>
      </c>
      <c r="J1734" s="1290" t="n">
        <f aca="false">C1734*I1734</f>
        <v>0</v>
      </c>
      <c r="K1734" s="1230"/>
      <c r="L1734" s="1290"/>
      <c r="M1734" s="1765"/>
      <c r="N1734" s="1290"/>
      <c r="O1734" s="1290"/>
      <c r="P1734" s="1290"/>
      <c r="Q1734" s="1290"/>
      <c r="R1734" s="1290"/>
      <c r="S1734" s="1290"/>
      <c r="T1734" s="1230"/>
      <c r="U1734" s="1230"/>
      <c r="V1734" s="1230"/>
      <c r="W1734" s="1230"/>
      <c r="X1734" s="1230"/>
      <c r="Y1734" s="1230"/>
    </row>
    <row r="1735" customFormat="false" ht="15.75" hidden="false" customHeight="true" outlineLevel="1" collapsed="false">
      <c r="A1735" s="1751" t="str">
        <f aca="false">A1657</f>
        <v>нет ветроизоляции</v>
      </c>
      <c r="B1735" s="1527" t="str">
        <f aca="false">B1657</f>
        <v>м2</v>
      </c>
      <c r="C1735" s="1751" t="n">
        <f aca="false">C1657</f>
        <v>0</v>
      </c>
      <c r="I1735" s="1751" t="n">
        <f aca="false">I1657</f>
        <v>0</v>
      </c>
      <c r="J1735" s="1290" t="n">
        <f aca="false">C1735*I1735</f>
        <v>0</v>
      </c>
      <c r="K1735" s="1230"/>
      <c r="L1735" s="1290"/>
      <c r="M1735" s="1765"/>
      <c r="N1735" s="1290"/>
      <c r="O1735" s="1290"/>
      <c r="P1735" s="1290"/>
      <c r="Q1735" s="1290"/>
      <c r="R1735" s="1290"/>
      <c r="S1735" s="1290"/>
      <c r="T1735" s="1230"/>
      <c r="U1735" s="1230"/>
      <c r="V1735" s="1230"/>
      <c r="W1735" s="1230"/>
      <c r="X1735" s="1230"/>
      <c r="Y1735" s="1230"/>
    </row>
    <row r="1736" customFormat="false" ht="15.75" hidden="false" customHeight="true" outlineLevel="1" collapsed="false">
      <c r="A1736" s="1751" t="str">
        <f aca="false">'Прайс лист'!B211</f>
        <v>Кладочная сетка, 100*100/150*150/200*200мм</v>
      </c>
      <c r="B1736" s="1527" t="s">
        <v>133</v>
      </c>
      <c r="C1736" s="1527" t="n">
        <f aca="false">(((C1319+D1319+D1319+C1319+C1321*D1321+C1322*D1322+C1323*D1323)*E1319+(C1319+D1319+D1319+C1319+C1321+N1321*O1321+N1322*O1322+N1323*O1323+C1329*D1329+C1330*D1330+C1331*D1331+N1329*O1329+N1330*O1330+N1331*O1331)*G1319)/0.5)*0.3*G1667</f>
        <v>110.88</v>
      </c>
      <c r="I1736" s="1527" t="n">
        <f aca="false">'Прайс лист'!G211</f>
        <v>70</v>
      </c>
      <c r="J1736" s="1290" t="n">
        <f aca="false">C1736*I1736</f>
        <v>7761.6</v>
      </c>
      <c r="K1736" s="1230"/>
      <c r="L1736" s="933"/>
      <c r="M1736" s="997"/>
      <c r="N1736" s="933"/>
      <c r="O1736" s="933"/>
      <c r="P1736" s="933"/>
      <c r="Q1736" s="933"/>
      <c r="R1736" s="933"/>
      <c r="S1736" s="933"/>
      <c r="T1736" s="1230"/>
      <c r="U1736" s="1230"/>
      <c r="V1736" s="1230"/>
      <c r="W1736" s="1230"/>
      <c r="X1736" s="1230"/>
      <c r="Y1736" s="1230"/>
    </row>
    <row r="1737" customFormat="false" ht="15.75" hidden="false" customHeight="true" outlineLevel="1" collapsed="false">
      <c r="A1737" s="1751" t="str">
        <f aca="false">'Прайс лист'!B171</f>
        <v>Песок, машина 13м3</v>
      </c>
      <c r="B1737" s="1527" t="s">
        <v>159</v>
      </c>
      <c r="C1737" s="1527" t="n">
        <f aca="false">((C1697+C1698+C1699)*0.3*0.7)/12*G1667</f>
        <v>1.1269335</v>
      </c>
      <c r="I1737" s="1527" t="n">
        <f aca="false">'Прайс лист'!G171</f>
        <v>12000</v>
      </c>
      <c r="J1737" s="1290" t="n">
        <f aca="false">C1737*I1737</f>
        <v>13523.202</v>
      </c>
      <c r="K1737" s="1230"/>
      <c r="L1737" s="933"/>
      <c r="M1737" s="997"/>
      <c r="N1737" s="933"/>
      <c r="O1737" s="933"/>
      <c r="P1737" s="933"/>
      <c r="Q1737" s="933"/>
      <c r="R1737" s="933"/>
      <c r="S1737" s="933"/>
      <c r="T1737" s="1230"/>
      <c r="U1737" s="1230"/>
      <c r="V1737" s="1230"/>
      <c r="W1737" s="1230"/>
      <c r="X1737" s="1230"/>
      <c r="Y1737" s="1230"/>
    </row>
    <row r="1738" customFormat="false" ht="15.75" hidden="false" customHeight="true" outlineLevel="1" collapsed="false">
      <c r="A1738" s="1751" t="str">
        <f aca="false">'Прайс лист'!B175</f>
        <v>Цемент, мешок, 50кг</v>
      </c>
      <c r="B1738" s="1527" t="s">
        <v>126</v>
      </c>
      <c r="C1738" s="1527" t="n">
        <f aca="false">((C1697+C1698+C1699)*0.3*0.3)*6*G1667</f>
        <v>34.773948</v>
      </c>
      <c r="I1738" s="1527" t="n">
        <f aca="false">'Прайс лист'!G175</f>
        <v>250</v>
      </c>
      <c r="J1738" s="1290" t="n">
        <f aca="false">C1738*I1738</f>
        <v>8693.487</v>
      </c>
      <c r="K1738" s="1230"/>
      <c r="L1738" s="933"/>
      <c r="M1738" s="997"/>
      <c r="N1738" s="933"/>
      <c r="O1738" s="933"/>
      <c r="P1738" s="933"/>
      <c r="Q1738" s="933"/>
      <c r="R1738" s="933"/>
      <c r="S1738" s="933"/>
      <c r="T1738" s="1230"/>
      <c r="U1738" s="1230"/>
      <c r="V1738" s="1230"/>
      <c r="W1738" s="1230"/>
      <c r="X1738" s="1230"/>
      <c r="Y1738" s="1230"/>
    </row>
    <row r="1739" customFormat="false" ht="15.75" hidden="false" customHeight="true" outlineLevel="1" collapsed="false">
      <c r="A1739" s="1751" t="str">
        <f aca="false">A1658</f>
        <v>Командировочные расходы</v>
      </c>
      <c r="B1739" s="1527" t="str">
        <f aca="false">B1658</f>
        <v>рублей</v>
      </c>
      <c r="C1739" s="1751" t="n">
        <f aca="false">C1658</f>
        <v>1</v>
      </c>
      <c r="I1739" s="1751" t="n">
        <f aca="false">I1658</f>
        <v>0</v>
      </c>
      <c r="J1739" s="1751" t="n">
        <f aca="false">J1658</f>
        <v>0</v>
      </c>
      <c r="K1739" s="1230"/>
      <c r="L1739" s="932"/>
      <c r="M1739" s="997"/>
      <c r="N1739" s="933"/>
      <c r="O1739" s="933"/>
      <c r="P1739" s="933"/>
      <c r="Q1739" s="933"/>
      <c r="R1739" s="933"/>
      <c r="S1739" s="933"/>
      <c r="T1739" s="1230"/>
      <c r="U1739" s="1230"/>
      <c r="V1739" s="1230"/>
      <c r="W1739" s="1230"/>
      <c r="X1739" s="1230"/>
      <c r="Y1739" s="1230"/>
    </row>
    <row r="1740" customFormat="false" ht="15.75" hidden="false" customHeight="true" outlineLevel="1" collapsed="false">
      <c r="A1740" s="1751" t="str">
        <f aca="false">'Ввод данных'!A1114</f>
        <v>расходные материалы каменные дома</v>
      </c>
      <c r="B1740" s="1527" t="s">
        <v>159</v>
      </c>
      <c r="C1740" s="1527" t="n">
        <f aca="false">1</f>
        <v>1</v>
      </c>
      <c r="I1740" s="1527" t="n">
        <f aca="false">'Ввод данных'!C1114</f>
        <v>15000</v>
      </c>
      <c r="J1740" s="1290" t="n">
        <f aca="false">C1740*I1740</f>
        <v>15000</v>
      </c>
      <c r="K1740" s="1230"/>
      <c r="L1740" s="1557"/>
      <c r="M1740" s="1765"/>
      <c r="N1740" s="1290"/>
      <c r="O1740" s="1290"/>
      <c r="P1740" s="1290"/>
      <c r="Q1740" s="1290"/>
      <c r="R1740" s="1290"/>
      <c r="S1740" s="1290"/>
      <c r="T1740" s="1230"/>
      <c r="U1740" s="1230"/>
      <c r="V1740" s="1230"/>
      <c r="W1740" s="1230"/>
      <c r="X1740" s="1230"/>
      <c r="Y1740" s="1230"/>
    </row>
    <row r="1741" customFormat="false" ht="15.75" hidden="false" customHeight="true" outlineLevel="1" collapsed="false">
      <c r="A1741" s="1751" t="str">
        <f aca="false">A1660</f>
        <v>Нет техники</v>
      </c>
      <c r="B1741" s="1527" t="s">
        <v>159</v>
      </c>
      <c r="C1741" s="1527" t="n">
        <f aca="false">C1584</f>
        <v>0</v>
      </c>
      <c r="I1741" s="1527" t="n">
        <f aca="false">I1660</f>
        <v>0</v>
      </c>
      <c r="J1741" s="1290" t="n">
        <f aca="false">C1741*I1741</f>
        <v>0</v>
      </c>
      <c r="K1741" s="1230"/>
      <c r="L1741" s="1557"/>
      <c r="M1741" s="1765"/>
      <c r="N1741" s="1290"/>
      <c r="O1741" s="1290"/>
      <c r="P1741" s="1290"/>
      <c r="Q1741" s="1290"/>
      <c r="R1741" s="1290"/>
      <c r="S1741" s="1290"/>
      <c r="T1741" s="1230"/>
      <c r="U1741" s="1230"/>
      <c r="V1741" s="1230"/>
      <c r="W1741" s="1230"/>
      <c r="X1741" s="1230"/>
      <c r="Y1741" s="1230"/>
    </row>
    <row r="1742" customFormat="false" ht="15.75" hidden="false" customHeight="true" outlineLevel="1" collapsed="false">
      <c r="A1742" s="1769"/>
      <c r="B1742" s="1719"/>
      <c r="C1742" s="1719"/>
      <c r="I1742" s="1719"/>
      <c r="J1742" s="1611" t="n">
        <f aca="false">SUM(J1697:J1741)</f>
        <v>645423.2762</v>
      </c>
      <c r="K1742" s="1230"/>
      <c r="L1742" s="1230"/>
      <c r="M1742" s="1770"/>
      <c r="N1742" s="1230"/>
      <c r="O1742" s="1230"/>
      <c r="P1742" s="1230"/>
      <c r="Q1742" s="1230"/>
      <c r="R1742" s="1230"/>
      <c r="S1742" s="1290" t="n">
        <f aca="false">SUM(S1697:S1741)</f>
        <v>330242.33</v>
      </c>
      <c r="T1742" s="1230"/>
      <c r="U1742" s="1230"/>
      <c r="V1742" s="1230"/>
      <c r="W1742" s="1230"/>
      <c r="X1742" s="1230"/>
      <c r="Y1742" s="1230"/>
    </row>
    <row r="1743" s="1150" customFormat="true" ht="15.75" hidden="false" customHeight="true" outlineLevel="1" collapsed="false">
      <c r="A1743" s="1751" t="s">
        <v>3771</v>
      </c>
      <c r="B1743" s="1527" t="n">
        <f aca="false">J1742</f>
        <v>645423.2762</v>
      </c>
      <c r="C1743" s="1771"/>
      <c r="D1743" s="1230"/>
      <c r="E1743" s="1230"/>
      <c r="F1743" s="1230"/>
      <c r="P1743" s="1230"/>
      <c r="Q1743" s="1230"/>
      <c r="R1743" s="1230"/>
      <c r="S1743" s="1230"/>
      <c r="T1743" s="1230"/>
      <c r="U1743" s="1230"/>
      <c r="V1743" s="1230"/>
      <c r="W1743" s="1230"/>
      <c r="X1743" s="1230"/>
      <c r="Y1743" s="1230"/>
    </row>
    <row r="1744" s="1150" customFormat="true" ht="15.75" hidden="false" customHeight="true" outlineLevel="1" collapsed="false">
      <c r="A1744" s="1751" t="s">
        <v>3772</v>
      </c>
      <c r="B1744" s="1527" t="n">
        <f aca="false">S1742</f>
        <v>330242.33</v>
      </c>
      <c r="C1744" s="1771"/>
      <c r="D1744" s="1230"/>
      <c r="E1744" s="1230"/>
      <c r="F1744" s="1230"/>
      <c r="P1744" s="1230"/>
      <c r="Q1744" s="1230"/>
      <c r="R1744" s="1230"/>
      <c r="S1744" s="1230"/>
      <c r="T1744" s="1230"/>
      <c r="U1744" s="1230"/>
      <c r="V1744" s="1230"/>
      <c r="W1744" s="1230"/>
      <c r="X1744" s="1230"/>
      <c r="Y1744" s="1230"/>
    </row>
    <row r="1745" s="1150" customFormat="true" ht="15.75" hidden="false" customHeight="true" outlineLevel="1" collapsed="false">
      <c r="A1745" s="1290" t="s">
        <v>2728</v>
      </c>
      <c r="B1745" s="1527" t="n">
        <f aca="false">SUM(B1743:B1744)</f>
        <v>975665.6062</v>
      </c>
      <c r="C1745" s="1771"/>
      <c r="D1745" s="1230"/>
      <c r="E1745" s="1230"/>
      <c r="F1745" s="1230"/>
      <c r="P1745" s="1230"/>
      <c r="Q1745" s="1230"/>
      <c r="R1745" s="1230"/>
      <c r="S1745" s="1230"/>
      <c r="T1745" s="1230"/>
      <c r="U1745" s="1230"/>
      <c r="V1745" s="1230"/>
      <c r="W1745" s="1230"/>
      <c r="X1745" s="1230"/>
      <c r="Y1745" s="1230"/>
    </row>
    <row r="1746" customFormat="false" ht="15.75" hidden="false" customHeight="true" outlineLevel="1" collapsed="false">
      <c r="F1746" s="1230"/>
      <c r="G1746" s="1230"/>
      <c r="H1746" s="1230"/>
      <c r="I1746" s="1770"/>
      <c r="J1746" s="1230"/>
      <c r="K1746" s="1230"/>
      <c r="L1746" s="1230"/>
      <c r="M1746" s="1230"/>
      <c r="N1746" s="1230"/>
      <c r="O1746" s="1230"/>
      <c r="P1746" s="1230"/>
      <c r="Q1746" s="1230"/>
      <c r="R1746" s="1230"/>
      <c r="S1746" s="1230"/>
      <c r="T1746" s="1230"/>
      <c r="U1746" s="1230"/>
      <c r="V1746" s="1230"/>
      <c r="W1746" s="1230"/>
      <c r="X1746" s="1230"/>
      <c r="Y1746" s="1230"/>
    </row>
    <row r="1747" customFormat="false" ht="15.75" hidden="false" customHeight="true" outlineLevel="0" collapsed="false">
      <c r="A1747" s="1900" t="s">
        <v>3773</v>
      </c>
      <c r="B1747" s="1689"/>
      <c r="C1747" s="1773" t="s">
        <v>3663</v>
      </c>
      <c r="D1747" s="1694"/>
      <c r="E1747" s="1694"/>
      <c r="F1747" s="1695"/>
      <c r="G1747" s="1230"/>
      <c r="H1747" s="1230"/>
      <c r="I1747" s="1770"/>
      <c r="J1747" s="1230"/>
      <c r="K1747" s="1230"/>
      <c r="L1747" s="1230"/>
      <c r="M1747" s="1230"/>
      <c r="N1747" s="1230"/>
      <c r="O1747" s="1230"/>
      <c r="P1747" s="1230"/>
      <c r="Q1747" s="1230"/>
      <c r="R1747" s="1230"/>
      <c r="S1747" s="1230"/>
      <c r="T1747" s="1230"/>
      <c r="U1747" s="1230"/>
      <c r="V1747" s="1230"/>
      <c r="W1747" s="1230"/>
      <c r="X1747" s="1230"/>
      <c r="Y1747" s="1230"/>
    </row>
    <row r="1748" customFormat="false" ht="15.75" hidden="false" customHeight="true" outlineLevel="0" collapsed="false">
      <c r="A1748" s="1230"/>
      <c r="B1748" s="1771"/>
      <c r="C1748" s="1771"/>
      <c r="D1748" s="1230"/>
      <c r="E1748" s="1230"/>
      <c r="F1748" s="1230"/>
      <c r="G1748" s="1230"/>
      <c r="H1748" s="1230"/>
      <c r="I1748" s="1770"/>
      <c r="J1748" s="1230"/>
      <c r="K1748" s="1230"/>
      <c r="L1748" s="1230"/>
      <c r="M1748" s="1230"/>
      <c r="N1748" s="1230"/>
      <c r="O1748" s="1230"/>
      <c r="P1748" s="1230"/>
      <c r="Q1748" s="1230"/>
      <c r="R1748" s="1230"/>
      <c r="S1748" s="1230"/>
      <c r="T1748" s="1230"/>
      <c r="U1748" s="1230"/>
      <c r="V1748" s="1230"/>
      <c r="W1748" s="1230"/>
      <c r="X1748" s="1230"/>
      <c r="Y1748" s="1230"/>
    </row>
    <row r="1749" customFormat="false" ht="15.75" hidden="true" customHeight="true" outlineLevel="1" collapsed="false">
      <c r="A1749" s="1901" t="s">
        <v>3774</v>
      </c>
      <c r="B1749" s="1902"/>
      <c r="C1749" s="1902"/>
      <c r="D1749" s="1903"/>
      <c r="E1749" s="1903"/>
      <c r="F1749" s="1903"/>
      <c r="G1749" s="1903"/>
      <c r="H1749" s="1903"/>
      <c r="I1749" s="1904"/>
      <c r="J1749" s="1903"/>
      <c r="K1749" s="1903"/>
      <c r="L1749" s="1903"/>
      <c r="M1749" s="1903"/>
      <c r="N1749" s="1903"/>
      <c r="O1749" s="1905"/>
      <c r="P1749" s="1230"/>
      <c r="Q1749" s="1230"/>
      <c r="R1749" s="1230"/>
      <c r="S1749" s="1230"/>
      <c r="T1749" s="1230"/>
      <c r="U1749" s="1230"/>
      <c r="V1749" s="1230"/>
      <c r="W1749" s="1230"/>
      <c r="X1749" s="1230"/>
      <c r="Y1749" s="1230"/>
    </row>
    <row r="1750" customFormat="false" ht="15.75" hidden="true" customHeight="true" outlineLevel="1" collapsed="false">
      <c r="A1750" s="1735" t="s">
        <v>1806</v>
      </c>
      <c r="B1750" s="1736"/>
      <c r="C1750" s="1736"/>
      <c r="D1750" s="1164"/>
      <c r="E1750" s="1164"/>
      <c r="F1750" s="1737"/>
      <c r="G1750" s="1784" t="n">
        <f aca="false">'Ввод данных'!D894</f>
        <v>1.1</v>
      </c>
      <c r="H1750" s="1785"/>
      <c r="I1750" s="1723" t="n">
        <f aca="false">'Ввод данных'!D895</f>
        <v>1</v>
      </c>
      <c r="J1750" s="1722"/>
      <c r="K1750" s="1722"/>
      <c r="L1750" s="1722"/>
      <c r="M1750" s="1722"/>
      <c r="N1750" s="1722"/>
      <c r="O1750" s="1722"/>
      <c r="P1750" s="1230"/>
      <c r="Q1750" s="1230"/>
      <c r="R1750" s="1230"/>
      <c r="S1750" s="1230"/>
      <c r="T1750" s="1230"/>
      <c r="U1750" s="1230"/>
      <c r="V1750" s="1230"/>
      <c r="W1750" s="1230"/>
      <c r="X1750" s="1230"/>
      <c r="Y1750" s="1230"/>
    </row>
    <row r="1751" customFormat="false" ht="15.75" hidden="true" customHeight="true" outlineLevel="1" collapsed="false">
      <c r="A1751" s="1290" t="s">
        <v>3775</v>
      </c>
      <c r="B1751" s="1527" t="s">
        <v>2807</v>
      </c>
      <c r="C1751" s="1689" t="n">
        <f aca="false">фундамент!C330</f>
        <v>56</v>
      </c>
      <c r="D1751" s="1230"/>
      <c r="E1751" s="1230"/>
      <c r="F1751" s="1230"/>
      <c r="G1751" s="1230"/>
      <c r="H1751" s="1230"/>
      <c r="I1751" s="1770"/>
      <c r="J1751" s="1230"/>
      <c r="K1751" s="1230"/>
      <c r="L1751" s="1230"/>
      <c r="M1751" s="1230"/>
      <c r="N1751" s="1230"/>
      <c r="O1751" s="1230"/>
      <c r="P1751" s="1230"/>
      <c r="Q1751" s="1230"/>
      <c r="R1751" s="1230"/>
      <c r="S1751" s="1230"/>
      <c r="T1751" s="1230"/>
      <c r="U1751" s="1230"/>
      <c r="V1751" s="1230"/>
      <c r="W1751" s="1230"/>
      <c r="X1751" s="1230"/>
      <c r="Y1751" s="1230"/>
    </row>
    <row r="1752" customFormat="false" ht="15.75" hidden="true" customHeight="true" outlineLevel="1" collapsed="false">
      <c r="A1752" s="1290" t="s">
        <v>3776</v>
      </c>
      <c r="B1752" s="1527" t="s">
        <v>156</v>
      </c>
      <c r="C1752" s="1689" t="n">
        <f aca="false">VLOOKUP(A1787,'Прайс лист'!B333:G419,3,0)</f>
        <v>0.2</v>
      </c>
      <c r="D1752" s="1230"/>
      <c r="E1752" s="1230" t="s">
        <v>1203</v>
      </c>
      <c r="F1752" s="1230" t="n">
        <f aca="false">(B1290)*D1290+(B1291)*D1291+(B1292)*D1292+(B1293)*D1293+(B1294)*D1294+(B1295)*D1295+(B1296)*D1296+(B1297)*D1297+(B1298)*D1298+(B1299)*D1299+(B1300)*D1300+(B1301)*D1301+(B1302)*D1302</f>
        <v>1</v>
      </c>
      <c r="G1752" s="1230"/>
      <c r="H1752" s="1230"/>
      <c r="I1752" s="1770"/>
      <c r="J1752" s="1230"/>
      <c r="K1752" s="1230"/>
      <c r="L1752" s="1230"/>
      <c r="M1752" s="1230"/>
      <c r="N1752" s="1230"/>
      <c r="O1752" s="1230"/>
      <c r="P1752" s="1230"/>
      <c r="Q1752" s="1230"/>
      <c r="R1752" s="1230"/>
      <c r="S1752" s="1230"/>
      <c r="T1752" s="1230"/>
      <c r="U1752" s="1230"/>
      <c r="V1752" s="1230"/>
      <c r="W1752" s="1230"/>
      <c r="X1752" s="1230"/>
      <c r="Y1752" s="1230"/>
    </row>
    <row r="1753" customFormat="false" ht="15.75" hidden="true" customHeight="true" outlineLevel="1" collapsed="false">
      <c r="A1753" s="1290" t="s">
        <v>3777</v>
      </c>
      <c r="B1753" s="1527" t="s">
        <v>156</v>
      </c>
      <c r="C1753" s="1689" t="n">
        <f aca="false">VLOOKUP(A1787,'Прайс лист'!B333:G419,4,0)</f>
        <v>0.2</v>
      </c>
      <c r="D1753" s="1230"/>
      <c r="E1753" s="1230" t="s">
        <v>3778</v>
      </c>
      <c r="F1753" s="1230" t="n">
        <f aca="false">(B1290+C1290+C1290)*D1290+(B1291+C1291+C1291)*D1291+(B1292+C1292+C1292)*D1292+(B1293+C1293+C1293)*D1293+(B1294+C1294+C1294)*D1294+(B1295+C1295+C1295)*D1295+(B1296+C1296+C1296)*D1296+(B1297+C1297+C1297)*D1297+(B1298+C1298+C1298)*D1298+(B1299+C1299+C1299)*D1299+(B1300+C1300+C1300)*D1300+(B1301+C1301+C1301)*D1301+(B1302+C1302+C1302)*D1302</f>
        <v>3.4</v>
      </c>
      <c r="G1753" s="1230"/>
      <c r="H1753" s="1230"/>
      <c r="I1753" s="1770"/>
      <c r="J1753" s="1230"/>
      <c r="K1753" s="1230"/>
      <c r="L1753" s="1230"/>
      <c r="M1753" s="1230"/>
      <c r="N1753" s="1230"/>
      <c r="O1753" s="1230"/>
      <c r="P1753" s="1230"/>
      <c r="Q1753" s="1230"/>
      <c r="R1753" s="1230"/>
      <c r="S1753" s="1230"/>
      <c r="T1753" s="1230"/>
      <c r="U1753" s="1230"/>
      <c r="V1753" s="1230"/>
      <c r="W1753" s="1230"/>
      <c r="X1753" s="1230"/>
      <c r="Y1753" s="1230"/>
    </row>
    <row r="1754" customFormat="false" ht="15.75" hidden="true" customHeight="true" outlineLevel="1" collapsed="false">
      <c r="A1754" s="1290" t="s">
        <v>3779</v>
      </c>
      <c r="B1754" s="1527" t="s">
        <v>156</v>
      </c>
      <c r="C1754" s="1527" t="n">
        <f aca="false">VLOOKUP(A1788,'Прайс лист'!B333:G419,3,0)</f>
        <v>0.2</v>
      </c>
      <c r="D1754" s="1230"/>
      <c r="E1754" s="1230" t="s">
        <v>3780</v>
      </c>
      <c r="F1754" s="1230" t="n">
        <f aca="false">(I1290+J1290+J1290)*K1290+(I1291+J1291+J1291)*K1291+(I1292+J1292+J1292)*K1292+(I1293+J1293+J1293)*K1293</f>
        <v>0</v>
      </c>
      <c r="G1754" s="1230"/>
      <c r="H1754" s="1230"/>
      <c r="I1754" s="1770"/>
      <c r="J1754" s="1230"/>
      <c r="K1754" s="1230"/>
      <c r="L1754" s="1230"/>
      <c r="M1754" s="1230"/>
      <c r="N1754" s="1230"/>
      <c r="O1754" s="1230"/>
      <c r="P1754" s="1230"/>
      <c r="Q1754" s="1230"/>
      <c r="R1754" s="1230"/>
      <c r="S1754" s="1230"/>
      <c r="T1754" s="1230"/>
      <c r="U1754" s="1230"/>
      <c r="V1754" s="1230"/>
      <c r="W1754" s="1230"/>
      <c r="X1754" s="1230"/>
      <c r="Y1754" s="1230"/>
    </row>
    <row r="1755" customFormat="false" ht="15.75" hidden="true" customHeight="true" outlineLevel="1" collapsed="false">
      <c r="A1755" s="1290" t="s">
        <v>3781</v>
      </c>
      <c r="B1755" s="1527" t="s">
        <v>156</v>
      </c>
      <c r="C1755" s="1689" t="n">
        <f aca="false">VLOOKUP(A1788,'Прайс лист'!B333:G419,4,0)</f>
        <v>0.15</v>
      </c>
      <c r="D1755" s="1230"/>
      <c r="E1755" s="1230" t="s">
        <v>3782</v>
      </c>
      <c r="F1755" s="1230" t="n">
        <f aca="false">(I1294+J1294+J1294)*K1294+(I1295+J1295+J1295)*K1295+(I1296+J1296+J1296)*K1296</f>
        <v>0</v>
      </c>
      <c r="G1755" s="1230"/>
      <c r="H1755" s="1230"/>
      <c r="I1755" s="1770"/>
      <c r="J1755" s="1230"/>
      <c r="K1755" s="1230"/>
      <c r="L1755" s="1230"/>
      <c r="M1755" s="1230"/>
      <c r="N1755" s="1230"/>
      <c r="O1755" s="1230"/>
      <c r="P1755" s="1230"/>
      <c r="Q1755" s="1230"/>
      <c r="R1755" s="1230"/>
      <c r="S1755" s="1230"/>
      <c r="T1755" s="1230"/>
      <c r="U1755" s="1230"/>
      <c r="V1755" s="1230"/>
      <c r="W1755" s="1230"/>
      <c r="X1755" s="1230"/>
      <c r="Y1755" s="1230"/>
    </row>
    <row r="1756" customFormat="false" ht="15.75" hidden="true" customHeight="true" outlineLevel="1" collapsed="false">
      <c r="A1756" s="1290" t="s">
        <v>3783</v>
      </c>
      <c r="B1756" s="1527" t="s">
        <v>156</v>
      </c>
      <c r="C1756" s="1527" t="n">
        <f aca="false">VLOOKUP(A1789,'Прайс лист'!B333:G419,3,0)</f>
        <v>0.2</v>
      </c>
      <c r="D1756" s="1230"/>
      <c r="E1756" s="1230"/>
      <c r="F1756" s="1230"/>
      <c r="G1756" s="1230"/>
      <c r="H1756" s="1230"/>
      <c r="I1756" s="1770"/>
      <c r="J1756" s="1230"/>
      <c r="K1756" s="1230"/>
      <c r="L1756" s="1230"/>
      <c r="M1756" s="1230"/>
      <c r="N1756" s="1230"/>
      <c r="O1756" s="1230"/>
      <c r="P1756" s="1230"/>
      <c r="Q1756" s="1230"/>
      <c r="R1756" s="1230"/>
      <c r="S1756" s="1230"/>
      <c r="T1756" s="1230"/>
      <c r="U1756" s="1230"/>
      <c r="V1756" s="1230"/>
      <c r="W1756" s="1230"/>
      <c r="X1756" s="1230"/>
      <c r="Y1756" s="1230"/>
    </row>
    <row r="1757" customFormat="false" ht="15.75" hidden="true" customHeight="true" outlineLevel="1" collapsed="false">
      <c r="A1757" s="1290" t="s">
        <v>3784</v>
      </c>
      <c r="B1757" s="1527" t="s">
        <v>156</v>
      </c>
      <c r="C1757" s="1689" t="n">
        <f aca="false">VLOOKUP(A1789,'Прайс лист'!B333:G419,4,0)</f>
        <v>0.1</v>
      </c>
      <c r="D1757" s="1290" t="s">
        <v>3785</v>
      </c>
      <c r="E1757" s="1290" t="s">
        <v>3786</v>
      </c>
      <c r="F1757" s="1290" t="s">
        <v>3787</v>
      </c>
      <c r="G1757" s="1290" t="s">
        <v>3788</v>
      </c>
      <c r="H1757" s="1290" t="s">
        <v>3789</v>
      </c>
      <c r="I1757" s="1770"/>
      <c r="J1757" s="1230"/>
      <c r="K1757" s="1230"/>
      <c r="L1757" s="1230"/>
      <c r="M1757" s="1230"/>
      <c r="N1757" s="1230"/>
      <c r="O1757" s="1230"/>
      <c r="P1757" s="1230"/>
      <c r="Q1757" s="1230"/>
      <c r="R1757" s="1230"/>
      <c r="S1757" s="1230"/>
      <c r="T1757" s="1230"/>
      <c r="U1757" s="1230"/>
      <c r="V1757" s="1230"/>
      <c r="W1757" s="1230"/>
      <c r="X1757" s="1230"/>
      <c r="Y1757" s="1230"/>
    </row>
    <row r="1758" customFormat="false" ht="15.75" hidden="true" customHeight="true" outlineLevel="1" collapsed="false">
      <c r="A1758" s="1290" t="s">
        <v>3790</v>
      </c>
      <c r="B1758" s="1527" t="s">
        <v>156</v>
      </c>
      <c r="C1758" s="1527" t="n">
        <f aca="false">(B1290+C1290+C1290)*D1290+(B1291+C1291+C1291)*D1291+(B1292+C1292+C1292)*D1292+(B1293+C1293+C1293)*D1293+(I1312+J1312+J1312)*K1312+(I1313+J1313+J1313)*K1313+(I1314+J1314+J1314)*K1314+(B1294+C1294+C1294)*D1294+(B1300+C1300+C1300)*D1300+(B1301+C1301+C1301)*D1301+(B1302+C1302+C1302)*D1302</f>
        <v>3.4</v>
      </c>
      <c r="D1758" s="1690" t="n">
        <f aca="false">IF('Ввод данных'!A931=связи1!A407,0,1)*(IF('Ввод данных'!A8=связи1!A156,1,0)+IF('Ввод данных'!A8=связи1!A185,1,0))</f>
        <v>0</v>
      </c>
      <c r="E1758" s="933" t="n">
        <f aca="false">IF('Ввод данных'!A931=связи1!A407,0,1)*(IF('Ввод данных'!A8=связи1!A159,1,0))</f>
        <v>0</v>
      </c>
      <c r="F1758" s="933" t="n">
        <f aca="false">IF('Ввод данных'!A931=связи1!A407,0,1)*(IF('Ввод данных'!A8=связи1!A158,1,0))</f>
        <v>0</v>
      </c>
      <c r="G1758" s="1290" t="n">
        <f aca="false">IF('Ввод данных'!A931=связи1!A407,0,1)*(IF('Ввод данных'!A8=связи1!A161,1,0))</f>
        <v>0</v>
      </c>
      <c r="H1758" s="1290" t="n">
        <f aca="false">IF('Ввод данных'!A931=связи1!A407,0,1)*(IF('Ввод данных'!A8=связи1!A160,1,0))</f>
        <v>0</v>
      </c>
      <c r="I1758" s="1770"/>
      <c r="J1758" s="1230"/>
      <c r="K1758" s="1230"/>
      <c r="L1758" s="1230"/>
      <c r="M1758" s="1230"/>
      <c r="N1758" s="1230"/>
      <c r="O1758" s="1230"/>
      <c r="P1758" s="1702"/>
      <c r="Q1758" s="1702"/>
      <c r="R1758" s="1702"/>
      <c r="S1758" s="1230"/>
      <c r="T1758" s="1230"/>
      <c r="U1758" s="1230"/>
      <c r="V1758" s="1230"/>
      <c r="W1758" s="1230"/>
      <c r="X1758" s="1230"/>
      <c r="Y1758" s="1230"/>
    </row>
    <row r="1759" customFormat="false" ht="15.75" hidden="true" customHeight="true" outlineLevel="1" collapsed="false">
      <c r="A1759" s="1290" t="s">
        <v>3791</v>
      </c>
      <c r="B1759" s="1527" t="s">
        <v>156</v>
      </c>
      <c r="C1759" s="1527" t="n">
        <f aca="false">(B1295+C1295+C1295)*D1295+(B1296+C1296+C1296)*D1296+(B1297+C1297+C1297)*D1297+(B1298+C1298+C1298)*D1298+(B1299+C1299+C1299)*D1299</f>
        <v>0</v>
      </c>
      <c r="D1759" s="1690" t="n">
        <f aca="false">IF('Ввод данных'!A931=связи1!A407,0,1)*(IF('Ввод данных'!A8=связи1!A156,1,0)+IF('Ввод данных'!A8=связи1!A163,1,0)+IF('Ввод данных'!A8=связи1!A171,1,0)+IF('Ввод данных'!A8=связи1!A180,1,0))</f>
        <v>0</v>
      </c>
      <c r="E1759" s="933" t="n">
        <f aca="false">IF('Ввод данных'!A931=связи1!A407,0,1)*(IF('Ввод данных'!A8=связи1!A159,1,0)+IF('Ввод данных'!A8=связи1!A165,1,0)+IF('Ввод данных'!A8=связи1!A173,1,0)+IF('Ввод данных'!A8=связи1!A181,1,0))</f>
        <v>0</v>
      </c>
      <c r="F1759" s="933" t="n">
        <f aca="false">IF('Ввод данных'!A931=связи1!A407,0,1)*(IF('Ввод данных'!A8=связи1!A158,1,0)+IF('Ввод данных'!A8=связи1!A164,1,0)+IF('Ввод данных'!A8=связи1!A172,1,0))</f>
        <v>0</v>
      </c>
      <c r="G1759" s="1290" t="n">
        <f aca="false">IF('Ввод данных'!A931=связи1!A407,0,1)*(IF('Ввод данных'!A8=связи1!A161,1,0)+IF('Ввод данных'!A8=связи1!A167,1,0)+IF('Ввод данных'!A8=связи1!A175,1,0)+IF('Ввод данных'!A8=связи1!A182,1,0))</f>
        <v>0</v>
      </c>
      <c r="H1759" s="1290" t="n">
        <f aca="false">IF('Ввод данных'!A931=связи1!A407,0,1)*(IF('Ввод данных'!A8=связи1!A160,1,0)+IF('Ввод данных'!A8=связи1!A166,1,0)+IF('Ввод данных'!A8=связи1!A174,1,0))</f>
        <v>0</v>
      </c>
      <c r="I1759" s="1770"/>
      <c r="J1759" s="1230"/>
      <c r="K1759" s="1230"/>
      <c r="L1759" s="1230"/>
      <c r="M1759" s="1230"/>
      <c r="N1759" s="1230"/>
      <c r="O1759" s="1230"/>
      <c r="P1759" s="1702"/>
      <c r="Q1759" s="1702"/>
      <c r="R1759" s="1702"/>
      <c r="S1759" s="1230"/>
      <c r="T1759" s="1230"/>
      <c r="U1759" s="1230"/>
      <c r="V1759" s="1230"/>
      <c r="W1759" s="1230"/>
      <c r="X1759" s="1230"/>
      <c r="Y1759" s="1230"/>
    </row>
    <row r="1760" customFormat="false" ht="15.75" hidden="true" customHeight="true" outlineLevel="1" collapsed="false">
      <c r="A1760" s="1290" t="s">
        <v>3792</v>
      </c>
      <c r="B1760" s="1527" t="s">
        <v>156</v>
      </c>
      <c r="C1760" s="1527" t="n">
        <f aca="false">I1307</f>
        <v>0</v>
      </c>
      <c r="D1760" s="1690" t="n">
        <f aca="false">IF('Ввод данных'!A933=связи1!A407,0,1)*(IF('Ввод данных'!A8=связи1!A156,1,0)+IF('Ввод данных'!A8=связи1!A185,1,0))</f>
        <v>0</v>
      </c>
      <c r="E1760" s="933" t="n">
        <f aca="false">IF('Ввод данных'!A933=связи1!A407,0,1)*(IF('Ввод данных'!A8=связи1!A159,1,0))</f>
        <v>0</v>
      </c>
      <c r="F1760" s="933" t="n">
        <f aca="false">IF('Ввод данных'!A933=связи1!A407,0,1)*(IF('Ввод данных'!A8=связи1!A158,1,0))</f>
        <v>0</v>
      </c>
      <c r="G1760" s="1290" t="n">
        <f aca="false">IF('Ввод данных'!A933=связи1!A407,0,1)*(IF('Ввод данных'!A8=связи1!A161,1,0))</f>
        <v>0</v>
      </c>
      <c r="H1760" s="1290" t="n">
        <f aca="false">IF('Ввод данных'!A933=связи1!A407,0,1)*(IF('Ввод данных'!A8=связи1!A160,1,0))</f>
        <v>0</v>
      </c>
      <c r="I1760" s="1770"/>
      <c r="J1760" s="1230"/>
      <c r="K1760" s="1230"/>
      <c r="L1760" s="1230"/>
      <c r="M1760" s="1230"/>
      <c r="N1760" s="1230"/>
      <c r="O1760" s="1230"/>
      <c r="P1760" s="1702"/>
      <c r="Q1760" s="1702"/>
      <c r="R1760" s="1702"/>
      <c r="S1760" s="1230"/>
      <c r="T1760" s="1230"/>
      <c r="U1760" s="1230"/>
      <c r="V1760" s="1230"/>
      <c r="W1760" s="1230"/>
      <c r="X1760" s="1230"/>
      <c r="Y1760" s="1230"/>
    </row>
    <row r="1761" customFormat="false" ht="15.75" hidden="true" customHeight="true" outlineLevel="1" collapsed="false">
      <c r="A1761" s="1290" t="s">
        <v>3793</v>
      </c>
      <c r="B1761" s="1527" t="s">
        <v>156</v>
      </c>
      <c r="C1761" s="1742" t="n">
        <f aca="false">I1308</f>
        <v>0</v>
      </c>
      <c r="D1761" s="1690" t="n">
        <f aca="false">(IF('Ввод данных'!A8=связи1!A156,1,0)+IF('Ввод данных'!A8=связи1!A185,1,0))*IF('Ввод данных'!A935=связи1!A407,0,1)</f>
        <v>0</v>
      </c>
      <c r="E1761" s="933" t="n">
        <f aca="false">IF('Ввод данных'!A935=связи1!A407,0,1)*(IF('Ввод данных'!A8=связи1!A159,1,0))</f>
        <v>0</v>
      </c>
      <c r="F1761" s="933" t="n">
        <f aca="false">IF('Ввод данных'!A935=связи1!A407,0,1)*(IF('Ввод данных'!A8=связи1!A158,1,0))</f>
        <v>0</v>
      </c>
      <c r="G1761" s="1290" t="n">
        <f aca="false">IF('Ввод данных'!A935=связи1!A407,0,1)*(IF('Ввод данных'!A8=связи1!A161,1,0))</f>
        <v>0</v>
      </c>
      <c r="H1761" s="1290" t="n">
        <f aca="false">IF('Ввод данных'!A935=связи1!A407,0,1)*(IF('Ввод данных'!A8=связи1!A160,1,0))</f>
        <v>0</v>
      </c>
      <c r="I1761" s="1770"/>
      <c r="J1761" s="1230"/>
      <c r="K1761" s="1230"/>
      <c r="L1761" s="1230"/>
      <c r="M1761" s="1230"/>
      <c r="N1761" s="1230"/>
      <c r="O1761" s="1230"/>
      <c r="P1761" s="1702"/>
      <c r="Q1761" s="1702"/>
      <c r="R1761" s="1702"/>
      <c r="S1761" s="1230"/>
      <c r="T1761" s="1230"/>
      <c r="U1761" s="1230"/>
      <c r="V1761" s="1230"/>
      <c r="W1761" s="1230"/>
      <c r="X1761" s="1230"/>
      <c r="Y1761" s="1230"/>
    </row>
    <row r="1762" customFormat="false" ht="15.75" hidden="true" customHeight="true" outlineLevel="1" collapsed="false">
      <c r="A1762" s="1290" t="s">
        <v>3794</v>
      </c>
      <c r="B1762" s="1527" t="s">
        <v>156</v>
      </c>
      <c r="C1762" s="1742" t="n">
        <f aca="false">I1309</f>
        <v>0</v>
      </c>
      <c r="D1762" s="1690" t="n">
        <f aca="false">IF('Ввод данных'!A933=связи1!A407,0,1)*(IF('Ввод данных'!A8=связи1!A156,1,0)+IF('Ввод данных'!A8=связи1!A163,1,0)+IF('Ввод данных'!A8=связи1!A171,1,0)+IF('Ввод данных'!A8=связи1!A180,1,0))</f>
        <v>0</v>
      </c>
      <c r="E1762" s="933" t="n">
        <f aca="false">IF('Ввод данных'!A933=связи1!A407,0,1)*(IF('Ввод данных'!A8=связи1!A159,1,0)+IF('Ввод данных'!A8=связи1!A165,1,0)+IF('Ввод данных'!A8=связи1!A173,1,0)+IF('Ввод данных'!A8=связи1!A181,1,0))</f>
        <v>0</v>
      </c>
      <c r="F1762" s="933" t="n">
        <f aca="false">IF('Ввод данных'!A933=связи1!A407,0,1)*(IF('Ввод данных'!A8=связи1!A158,1,0)+IF('Ввод данных'!A8=связи1!A164,1,0)+IF('Ввод данных'!A8=связи1!A172,1,0))</f>
        <v>0</v>
      </c>
      <c r="G1762" s="1290" t="n">
        <f aca="false">IF('Ввод данных'!A933=связи1!A407,0,1)*(IF('Ввод данных'!A8=связи1!A161,1,0)+IF('Ввод данных'!A8=связи1!A167,1,0)+IF('Ввод данных'!A8=связи1!A175,1,0)+IF('Ввод данных'!A8=связи1!A182,1,0))</f>
        <v>0</v>
      </c>
      <c r="H1762" s="1290" t="n">
        <f aca="false">IF('Ввод данных'!A933=связи1!A407,0,1)*(IF('Ввод данных'!A8=связи1!A160,1,0)+IF('Ввод данных'!A8=связи1!A166,1,0)+IF('Ввод данных'!A8=связи1!A174,1,0))</f>
        <v>0</v>
      </c>
      <c r="I1762" s="1770"/>
      <c r="J1762" s="1230"/>
      <c r="K1762" s="1230"/>
      <c r="L1762" s="1230"/>
      <c r="M1762" s="1230"/>
      <c r="N1762" s="1230"/>
      <c r="O1762" s="1230"/>
      <c r="P1762" s="1702"/>
      <c r="Q1762" s="1702"/>
      <c r="R1762" s="1702"/>
      <c r="S1762" s="1230"/>
      <c r="T1762" s="1230"/>
      <c r="U1762" s="1230"/>
      <c r="V1762" s="1230"/>
      <c r="W1762" s="1230"/>
      <c r="X1762" s="1230"/>
      <c r="Y1762" s="1230"/>
    </row>
    <row r="1763" customFormat="false" ht="15.75" hidden="true" customHeight="true" outlineLevel="1" collapsed="false">
      <c r="A1763" s="1290" t="s">
        <v>3795</v>
      </c>
      <c r="B1763" s="1527" t="s">
        <v>156</v>
      </c>
      <c r="C1763" s="1742" t="n">
        <f aca="false">I1310</f>
        <v>0</v>
      </c>
      <c r="D1763" s="1690" t="n">
        <f aca="false">IF('Ввод данных'!A935=связи1!A407,0,1)*(IF('Ввод данных'!A8=связи1!A156,1,0)+IF('Ввод данных'!A8=связи1!A163,1,0)+IF('Ввод данных'!A8=связи1!A171,1,0)+IF('Ввод данных'!A8=связи1!A180,1,0))</f>
        <v>0</v>
      </c>
      <c r="E1763" s="933" t="n">
        <f aca="false">IF('Ввод данных'!A933=связи1!A407,0,1)*(IF('Ввод данных'!A8=связи1!A159,1,0)+IF('Ввод данных'!A8=связи1!A165,1,0)+IF('Ввод данных'!A8=связи1!A173,1,0)+IF('Ввод данных'!A8=связи1!A181,1,0))</f>
        <v>0</v>
      </c>
      <c r="F1763" s="933" t="n">
        <f aca="false">IF('Ввод данных'!A933=связи1!A407,0,1)*(IF('Ввод данных'!A8=связи1!A158,1,0)+IF('Ввод данных'!A8=связи1!A164,1,0)+IF('Ввод данных'!A8=связи1!A172,1,0))</f>
        <v>0</v>
      </c>
      <c r="G1763" s="1290" t="n">
        <f aca="false">IF('Ввод данных'!A933=связи1!A407,0,1)*(IF('Ввод данных'!A8=связи1!A161,1,0)+IF('Ввод данных'!A8=связи1!A167,1,0)+IF('Ввод данных'!A8=связи1!A175,1,0)+IF('Ввод данных'!A8=связи1!A182,1,0))</f>
        <v>0</v>
      </c>
      <c r="H1763" s="1290" t="n">
        <f aca="false">IF('Ввод данных'!A933=связи1!A407,0,1)*(IF('Ввод данных'!A8=связи1!A160,1,0)+IF('Ввод данных'!A8=связи1!A166,1,0)+IF('Ввод данных'!A8=связи1!A174,1,0))</f>
        <v>0</v>
      </c>
      <c r="I1763" s="1770"/>
      <c r="J1763" s="1230"/>
      <c r="K1763" s="1230"/>
      <c r="L1763" s="1230"/>
      <c r="M1763" s="1230"/>
      <c r="N1763" s="1230"/>
      <c r="O1763" s="1230"/>
      <c r="P1763" s="1702"/>
      <c r="Q1763" s="1702"/>
      <c r="R1763" s="1702"/>
      <c r="S1763" s="1230"/>
      <c r="T1763" s="1230"/>
      <c r="U1763" s="1230"/>
      <c r="V1763" s="1230"/>
      <c r="W1763" s="1230"/>
      <c r="X1763" s="1230"/>
      <c r="Y1763" s="1230"/>
    </row>
    <row r="1764" customFormat="false" ht="15.75" hidden="true" customHeight="true" outlineLevel="1" collapsed="false">
      <c r="A1764" s="1906" t="s">
        <v>3626</v>
      </c>
      <c r="B1764" s="1907"/>
      <c r="C1764" s="1908"/>
      <c r="D1764" s="1230"/>
      <c r="E1764" s="1230"/>
      <c r="F1764" s="1230"/>
      <c r="G1764" s="1230"/>
      <c r="H1764" s="1230"/>
      <c r="I1764" s="1770"/>
      <c r="J1764" s="1230"/>
      <c r="K1764" s="1230"/>
      <c r="L1764" s="1230"/>
      <c r="M1764" s="1230"/>
      <c r="N1764" s="1230"/>
      <c r="O1764" s="1230"/>
      <c r="P1764" s="1702"/>
      <c r="Q1764" s="1702"/>
      <c r="R1764" s="1702"/>
      <c r="S1764" s="1230"/>
      <c r="T1764" s="1230"/>
      <c r="U1764" s="1230"/>
      <c r="V1764" s="1230"/>
      <c r="W1764" s="1230"/>
      <c r="X1764" s="1230"/>
      <c r="Y1764" s="1230"/>
    </row>
    <row r="1765" customFormat="false" ht="15.75" hidden="true" customHeight="true" outlineLevel="1" collapsed="false">
      <c r="A1765" s="1751" t="s">
        <v>3796</v>
      </c>
      <c r="B1765" s="1527" t="s">
        <v>133</v>
      </c>
      <c r="C1765" s="1527" t="n">
        <f aca="false">(SUM('Ввод данных'!H913:H945)*2+SUM('Ввод данных'!R913:R945)*2+SUM('Ввод данных'!U913:U945)*2+SUM('Ввод данных'!AH913:AH945)*2+'Ввод данных'!U895*2+'Ввод данных'!U896*2+'Ввод данных'!U897*2+'Ввод данных'!AH897*2+'Ввод данных'!AH896*2+'Ввод данных'!AH895*2)*D1765</f>
        <v>110.4</v>
      </c>
      <c r="D1765" s="1230" t="n">
        <f aca="false">IF('Ввод данных'!A920=связи1!A101,1,0)</f>
        <v>1</v>
      </c>
      <c r="E1765" s="1230"/>
      <c r="F1765" s="1230"/>
      <c r="G1765" s="1230"/>
      <c r="H1765" s="1230"/>
      <c r="I1765" s="1770"/>
      <c r="J1765" s="1230"/>
      <c r="K1765" s="1230"/>
      <c r="L1765" s="1230"/>
      <c r="M1765" s="1230"/>
      <c r="N1765" s="1230"/>
      <c r="O1765" s="1230"/>
      <c r="P1765" s="1702"/>
      <c r="Q1765" s="1702"/>
      <c r="R1765" s="1702"/>
      <c r="S1765" s="1230"/>
      <c r="T1765" s="1230"/>
      <c r="U1765" s="1230"/>
      <c r="V1765" s="1230"/>
      <c r="W1765" s="1230"/>
      <c r="X1765" s="1230"/>
      <c r="Y1765" s="1230"/>
    </row>
    <row r="1766" customFormat="false" ht="15.75" hidden="true" customHeight="true" outlineLevel="1" collapsed="false">
      <c r="A1766" s="1751" t="s">
        <v>3797</v>
      </c>
      <c r="B1766" s="1527" t="s">
        <v>133</v>
      </c>
      <c r="C1766" s="1527" t="n">
        <f aca="false">I38*'Ввод данных'!C921*D1766</f>
        <v>0</v>
      </c>
      <c r="D1766" s="1230" t="n">
        <f aca="false">IF('Ввод данных'!A920=связи1!A102,1,0)</f>
        <v>0</v>
      </c>
      <c r="E1766" s="1230"/>
      <c r="F1766" s="1230"/>
      <c r="G1766" s="1230"/>
      <c r="H1766" s="1230"/>
      <c r="I1766" s="1770"/>
      <c r="J1766" s="1230"/>
      <c r="K1766" s="1230"/>
      <c r="L1766" s="1230"/>
      <c r="M1766" s="1230"/>
      <c r="N1766" s="1230"/>
      <c r="O1766" s="1230"/>
      <c r="P1766" s="1702"/>
      <c r="Q1766" s="1702"/>
      <c r="R1766" s="1702"/>
      <c r="S1766" s="1230"/>
      <c r="T1766" s="1230"/>
      <c r="U1766" s="1230"/>
      <c r="V1766" s="1230"/>
      <c r="W1766" s="1230"/>
      <c r="X1766" s="1230"/>
      <c r="Y1766" s="1230"/>
    </row>
    <row r="1767" customFormat="false" ht="15.75" hidden="true" customHeight="true" outlineLevel="1" collapsed="false">
      <c r="A1767" s="1751" t="s">
        <v>2591</v>
      </c>
      <c r="B1767" s="1527"/>
      <c r="C1767" s="887" t="n">
        <f aca="false">VLOOKUP('Ввод данных'!A920,связи1!A100:B102,2,0)</f>
        <v>110.4</v>
      </c>
      <c r="D1767" s="1230"/>
      <c r="E1767" s="1230"/>
      <c r="F1767" s="1230"/>
      <c r="G1767" s="1230"/>
      <c r="H1767" s="1230"/>
      <c r="I1767" s="1770"/>
      <c r="J1767" s="1230"/>
      <c r="K1767" s="1230"/>
      <c r="L1767" s="1230"/>
      <c r="M1767" s="1230"/>
      <c r="N1767" s="1230"/>
      <c r="O1767" s="1230"/>
      <c r="P1767" s="1702"/>
      <c r="Q1767" s="1702"/>
      <c r="R1767" s="1702"/>
      <c r="S1767" s="1230"/>
      <c r="T1767" s="1230"/>
      <c r="U1767" s="1230"/>
      <c r="V1767" s="1230"/>
      <c r="W1767" s="1230"/>
      <c r="X1767" s="1230"/>
      <c r="Y1767" s="1230"/>
    </row>
    <row r="1768" customFormat="false" ht="15.75" hidden="true" customHeight="true" outlineLevel="1" collapsed="false">
      <c r="A1768" s="1751" t="s">
        <v>3678</v>
      </c>
      <c r="B1768" s="1527" t="s">
        <v>133</v>
      </c>
      <c r="C1768" s="1527" t="n">
        <f aca="false">B1319*C1319*D1319+пристройка!D2*(пристройка!C9*пристройка!C25*пристройка!C3+пристройка!C10*пристройка!C5*пристройка!C26)+D1229*C1235</f>
        <v>100</v>
      </c>
      <c r="D1768" s="1230"/>
      <c r="E1768" s="1230" t="n">
        <f aca="false">SUM('Ввод данных'!H913:H945)</f>
        <v>12.9</v>
      </c>
      <c r="F1768" s="1230"/>
      <c r="G1768" s="1230"/>
      <c r="H1768" s="1230"/>
      <c r="I1768" s="1770"/>
      <c r="J1768" s="1230"/>
      <c r="K1768" s="1230"/>
      <c r="L1768" s="1230"/>
      <c r="M1768" s="1230"/>
      <c r="N1768" s="1230"/>
      <c r="O1768" s="1230"/>
      <c r="P1768" s="1702"/>
      <c r="Q1768" s="1702"/>
      <c r="R1768" s="1702"/>
      <c r="S1768" s="1230"/>
      <c r="T1768" s="1230"/>
      <c r="U1768" s="1230"/>
      <c r="V1768" s="1230"/>
      <c r="W1768" s="1230"/>
      <c r="X1768" s="1230"/>
      <c r="Y1768" s="1230"/>
    </row>
    <row r="1769" customFormat="false" ht="15.75" hidden="true" customHeight="true" outlineLevel="1" collapsed="false">
      <c r="A1769" s="1751" t="s">
        <v>3628</v>
      </c>
      <c r="B1769" s="1527" t="s">
        <v>133</v>
      </c>
      <c r="C1769" s="1527" t="n">
        <f aca="false">C1780</f>
        <v>100</v>
      </c>
      <c r="D1769" s="1230" t="s">
        <v>135</v>
      </c>
      <c r="E1769" s="1230"/>
      <c r="F1769" s="1230"/>
      <c r="G1769" s="1230"/>
      <c r="H1769" s="1230"/>
      <c r="I1769" s="1770"/>
      <c r="J1769" s="1230"/>
      <c r="K1769" s="1230"/>
      <c r="L1769" s="1230"/>
      <c r="M1769" s="1230"/>
      <c r="N1769" s="1230"/>
      <c r="O1769" s="1230"/>
      <c r="P1769" s="1702"/>
      <c r="Q1769" s="1702"/>
      <c r="R1769" s="1702"/>
      <c r="S1769" s="1230"/>
      <c r="T1769" s="1230"/>
      <c r="U1769" s="1230"/>
      <c r="V1769" s="1230"/>
      <c r="W1769" s="1230"/>
      <c r="X1769" s="1230"/>
      <c r="Y1769" s="1230"/>
    </row>
    <row r="1770" customFormat="false" ht="15.75" hidden="true" customHeight="true" outlineLevel="1" collapsed="false">
      <c r="A1770" s="1751" t="s">
        <v>3680</v>
      </c>
      <c r="B1770" s="1527" t="s">
        <v>156</v>
      </c>
      <c r="C1770" s="1527" t="n">
        <f aca="false">C1515</f>
        <v>56</v>
      </c>
      <c r="D1770" s="1230" t="n">
        <f aca="false">C1770*C1753</f>
        <v>11.2</v>
      </c>
      <c r="E1770" s="1230"/>
      <c r="F1770" s="1230"/>
      <c r="G1770" s="1230"/>
      <c r="H1770" s="1230"/>
      <c r="I1770" s="1770"/>
      <c r="J1770" s="1230"/>
      <c r="K1770" s="1230"/>
      <c r="L1770" s="1230"/>
      <c r="M1770" s="1230"/>
      <c r="N1770" s="1230"/>
      <c r="O1770" s="1230"/>
      <c r="P1770" s="1702"/>
      <c r="Q1770" s="1702"/>
      <c r="R1770" s="1702"/>
      <c r="S1770" s="1230"/>
      <c r="T1770" s="1230"/>
      <c r="U1770" s="1230"/>
      <c r="V1770" s="1230"/>
      <c r="W1770" s="1230"/>
      <c r="X1770" s="1230"/>
      <c r="Y1770" s="1230"/>
    </row>
    <row r="1771" customFormat="false" ht="15.75" hidden="true" customHeight="true" outlineLevel="1" collapsed="false">
      <c r="A1771" s="1751" t="s">
        <v>3752</v>
      </c>
      <c r="B1771" s="1527" t="s">
        <v>156</v>
      </c>
      <c r="C1771" s="1527" t="n">
        <f aca="false">((C1319+D1319+C1319+D1319)*B1319+пристройка!D2*пристройка!C85*пристройка!D84*пристройка!C3+D1229*C1275*E1274*C1232+пристройка!D2*пристройка!C85*пристройка!C5*пристройка!D84+D1229*C1233*C1275*E1274)</f>
        <v>40</v>
      </c>
      <c r="D1771" s="1230" t="n">
        <f aca="false">C1753</f>
        <v>0.2</v>
      </c>
      <c r="E1771" s="1230" t="n">
        <f aca="false">C1771*D1771</f>
        <v>8</v>
      </c>
      <c r="F1771" s="1230"/>
      <c r="G1771" s="1230"/>
      <c r="H1771" s="1230"/>
      <c r="I1771" s="1770"/>
      <c r="J1771" s="1230"/>
      <c r="K1771" s="1230"/>
      <c r="L1771" s="1230"/>
      <c r="M1771" s="1230"/>
      <c r="N1771" s="1230"/>
      <c r="O1771" s="1230"/>
      <c r="P1771" s="1702"/>
      <c r="Q1771" s="1702"/>
      <c r="R1771" s="1702"/>
      <c r="S1771" s="1230"/>
      <c r="T1771" s="1230"/>
      <c r="U1771" s="1230"/>
      <c r="V1771" s="1230"/>
      <c r="W1771" s="1230"/>
      <c r="X1771" s="1230"/>
      <c r="Y1771" s="1230"/>
    </row>
    <row r="1772" customFormat="false" ht="15.75" hidden="true" customHeight="true" outlineLevel="1" collapsed="false">
      <c r="A1772" s="1751" t="s">
        <v>3753</v>
      </c>
      <c r="B1772" s="1527" t="s">
        <v>156</v>
      </c>
      <c r="C1772" s="1527" t="n">
        <f aca="false">(C1321*D1321+C1322*D1322+C1323*D1323+C1329*D1329+C1330*D1330+C1331*D1331+C1332*D1332)+(N1321*O1321+N1322*O1322+N1323*O1323+N1329*O1329+N1330*O1330+N1331*O1331+C1324*D1324+N1324*O1324+N1332*O1332)*(B1319-1)</f>
        <v>16</v>
      </c>
      <c r="D1772" s="1230" t="n">
        <f aca="false">C1755</f>
        <v>0.15</v>
      </c>
      <c r="E1772" s="1230" t="n">
        <f aca="false">C1772*D1772</f>
        <v>2.4</v>
      </c>
      <c r="F1772" s="1230"/>
      <c r="G1772" s="1230"/>
      <c r="H1772" s="1230"/>
      <c r="I1772" s="1770"/>
      <c r="J1772" s="1230"/>
      <c r="K1772" s="1230"/>
      <c r="L1772" s="1230"/>
      <c r="M1772" s="1230"/>
      <c r="N1772" s="1230"/>
      <c r="O1772" s="1230"/>
      <c r="P1772" s="1702"/>
      <c r="Q1772" s="1702"/>
      <c r="R1772" s="1702"/>
      <c r="S1772" s="1230"/>
      <c r="T1772" s="1230"/>
      <c r="U1772" s="1230"/>
      <c r="V1772" s="1230"/>
      <c r="W1772" s="1230"/>
      <c r="X1772" s="1230"/>
      <c r="Y1772" s="1230"/>
    </row>
    <row r="1773" customFormat="false" ht="15.75" hidden="true" customHeight="true" outlineLevel="1" collapsed="false">
      <c r="A1773" s="1751" t="s">
        <v>3755</v>
      </c>
      <c r="B1773" s="1527" t="s">
        <v>156</v>
      </c>
      <c r="C1773" s="1527" t="n">
        <f aca="false">(C1325*D1325+C1326*D1326+C1327*D1327+C1328*D1328+C1333*D1333+C1334*D1334+C1335*D1335)+(C1336*D1336+N1325*O1325+N1326*O1326+N1327*O1327+N1328*O1328+N1333*O1333+N1334*O1334+N1335*O1335+N1336*O1336)*(B1319-1)+пристройка!D2*(пристройка!AM38)</f>
        <v>7.8</v>
      </c>
      <c r="D1773" s="1230" t="n">
        <f aca="false">C1757</f>
        <v>0.1</v>
      </c>
      <c r="E1773" s="1230" t="n">
        <f aca="false">C1773*D1773</f>
        <v>0.78</v>
      </c>
      <c r="F1773" s="1719" t="s">
        <v>3798</v>
      </c>
      <c r="G1773" s="1719"/>
      <c r="H1773" s="1719"/>
      <c r="I1773" s="1719"/>
      <c r="J1773" s="1230"/>
      <c r="K1773" s="1230"/>
      <c r="L1773" s="1230"/>
      <c r="M1773" s="1230"/>
      <c r="N1773" s="1230"/>
      <c r="O1773" s="1230"/>
      <c r="P1773" s="1702"/>
      <c r="Q1773" s="1702"/>
      <c r="R1773" s="1702"/>
      <c r="S1773" s="1230"/>
      <c r="T1773" s="1230"/>
      <c r="U1773" s="1230"/>
      <c r="V1773" s="1230"/>
      <c r="W1773" s="1230"/>
      <c r="X1773" s="1230"/>
      <c r="Y1773" s="1230"/>
    </row>
    <row r="1774" customFormat="false" ht="15.75" hidden="true" customHeight="true" outlineLevel="1" collapsed="false">
      <c r="A1774" s="1751" t="s">
        <v>3633</v>
      </c>
      <c r="B1774" s="1527" t="s">
        <v>133</v>
      </c>
      <c r="C1774" s="1753" t="n">
        <f aca="false">связи1!C156</f>
        <v>0</v>
      </c>
      <c r="D1774" s="1230"/>
      <c r="E1774" s="1230" t="n">
        <f aca="false">SUM(E1771:E1773)</f>
        <v>11.18</v>
      </c>
      <c r="F1774" s="1230"/>
      <c r="G1774" s="933" t="n">
        <f aca="false">C1774*I1774+C1774*2</f>
        <v>0</v>
      </c>
      <c r="H1774" s="933"/>
      <c r="I1774" s="1611" t="n">
        <f aca="false">(1/C1752)*C1753*2</f>
        <v>2</v>
      </c>
      <c r="J1774" s="1230"/>
      <c r="K1774" s="1230"/>
      <c r="L1774" s="1230"/>
      <c r="M1774" s="1230"/>
      <c r="N1774" s="1230"/>
      <c r="O1774" s="1230"/>
      <c r="P1774" s="1702"/>
      <c r="Q1774" s="1702"/>
      <c r="R1774" s="1702"/>
      <c r="S1774" s="1230"/>
      <c r="T1774" s="1230"/>
      <c r="U1774" s="1230"/>
      <c r="V1774" s="1230"/>
      <c r="W1774" s="1230"/>
      <c r="X1774" s="1230"/>
      <c r="Y1774" s="1230"/>
    </row>
    <row r="1775" customFormat="false" ht="15.75" hidden="true" customHeight="true" outlineLevel="1" collapsed="false">
      <c r="A1775" s="1751" t="s">
        <v>3687</v>
      </c>
      <c r="B1775" s="1527" t="s">
        <v>133</v>
      </c>
      <c r="C1775" s="1753" t="n">
        <f aca="false">C1774</f>
        <v>0</v>
      </c>
      <c r="D1775" s="1230"/>
      <c r="E1775" s="1230"/>
      <c r="F1775" s="1230"/>
      <c r="G1775" s="1290"/>
      <c r="H1775" s="1290"/>
      <c r="I1775" s="1611"/>
      <c r="J1775" s="1230"/>
      <c r="K1775" s="1230"/>
      <c r="L1775" s="1230"/>
      <c r="M1775" s="1230"/>
      <c r="N1775" s="1230"/>
      <c r="O1775" s="1230"/>
      <c r="P1775" s="1702"/>
      <c r="Q1775" s="1702"/>
      <c r="R1775" s="1702"/>
      <c r="S1775" s="1230"/>
      <c r="T1775" s="1230"/>
      <c r="U1775" s="1230"/>
      <c r="V1775" s="1230"/>
      <c r="W1775" s="1230"/>
      <c r="X1775" s="1230"/>
      <c r="Y1775" s="1230"/>
    </row>
    <row r="1776" customFormat="false" ht="15.75" hidden="true" customHeight="true" outlineLevel="1" collapsed="false">
      <c r="A1776" s="1751" t="s">
        <v>3635</v>
      </c>
      <c r="B1776" s="1527"/>
      <c r="C1776" s="1753" t="n">
        <f aca="false">связи1!D156</f>
        <v>0</v>
      </c>
      <c r="D1776" s="1230"/>
      <c r="E1776" s="1230"/>
      <c r="F1776" s="1230"/>
      <c r="G1776" s="933" t="n">
        <f aca="false">C1776*I1776+C1776*2</f>
        <v>0</v>
      </c>
      <c r="H1776" s="933"/>
      <c r="I1776" s="1611" t="n">
        <f aca="false">1/C1754*C1755*2</f>
        <v>1.5</v>
      </c>
      <c r="J1776" s="1230"/>
      <c r="K1776" s="1230"/>
      <c r="L1776" s="1230"/>
      <c r="M1776" s="1230"/>
      <c r="N1776" s="1230"/>
      <c r="O1776" s="1230"/>
      <c r="P1776" s="1702"/>
      <c r="Q1776" s="1702"/>
      <c r="R1776" s="1702"/>
      <c r="S1776" s="1230"/>
      <c r="T1776" s="1230"/>
      <c r="U1776" s="1230"/>
      <c r="V1776" s="1230"/>
      <c r="W1776" s="1230"/>
      <c r="X1776" s="1230"/>
      <c r="Y1776" s="1230"/>
    </row>
    <row r="1777" customFormat="false" ht="15.75" hidden="true" customHeight="true" outlineLevel="1" collapsed="false">
      <c r="A1777" s="1751" t="s">
        <v>3636</v>
      </c>
      <c r="B1777" s="1527" t="s">
        <v>133</v>
      </c>
      <c r="C1777" s="1753" t="n">
        <f aca="false">связи1!E156</f>
        <v>0</v>
      </c>
      <c r="D1777" s="1230"/>
      <c r="E1777" s="1230"/>
      <c r="F1777" s="1230"/>
      <c r="G1777" s="933" t="n">
        <f aca="false">C1777*I1777+C1777*2</f>
        <v>0</v>
      </c>
      <c r="H1777" s="933"/>
      <c r="I1777" s="1611" t="n">
        <f aca="false">1/C1756*C1757*2</f>
        <v>1</v>
      </c>
      <c r="J1777" s="1230"/>
      <c r="K1777" s="1230"/>
      <c r="L1777" s="1230"/>
      <c r="M1777" s="1230"/>
      <c r="N1777" s="1230"/>
      <c r="O1777" s="1230"/>
      <c r="P1777" s="1702"/>
      <c r="Q1777" s="1702"/>
      <c r="R1777" s="1702"/>
      <c r="S1777" s="1230"/>
      <c r="T1777" s="1230"/>
      <c r="U1777" s="1230"/>
      <c r="V1777" s="1230"/>
      <c r="W1777" s="1230"/>
      <c r="X1777" s="1230"/>
      <c r="Y1777" s="1230"/>
    </row>
    <row r="1778" customFormat="false" ht="15.75" hidden="true" customHeight="true" outlineLevel="1" collapsed="false">
      <c r="A1778" s="1751" t="s">
        <v>3638</v>
      </c>
      <c r="B1778" s="1527" t="s">
        <v>133</v>
      </c>
      <c r="C1778" s="1753" t="n">
        <f aca="false">C1776+C1777</f>
        <v>0</v>
      </c>
      <c r="D1778" s="1230"/>
      <c r="E1778" s="1230"/>
      <c r="F1778" s="1230"/>
      <c r="G1778" s="1311"/>
      <c r="H1778" s="1311"/>
      <c r="I1778" s="1696"/>
      <c r="J1778" s="1311"/>
      <c r="K1778" s="1311"/>
      <c r="L1778" s="1311"/>
      <c r="M1778" s="1311"/>
      <c r="N1778" s="1311"/>
      <c r="O1778" s="1311"/>
      <c r="P1778" s="1702"/>
      <c r="Q1778" s="1702"/>
      <c r="R1778" s="1702"/>
      <c r="S1778" s="1230"/>
      <c r="T1778" s="1230"/>
      <c r="U1778" s="1230"/>
      <c r="V1778" s="1230"/>
      <c r="W1778" s="1230"/>
      <c r="X1778" s="1230"/>
      <c r="Y1778" s="1230"/>
    </row>
    <row r="1779" customFormat="false" ht="15.75" hidden="true" customHeight="true" outlineLevel="1" collapsed="false">
      <c r="A1779" s="1751" t="s">
        <v>3639</v>
      </c>
      <c r="B1779" s="1527" t="s">
        <v>133</v>
      </c>
      <c r="C1779" s="1527" t="n">
        <f aca="false">C16*C17*E44+C16*C17*E45*(C15-1)+B1115*(1-E44)*(E1189+C1189)+I1115*(1-E44)*(F1132*F1133)+(1-E44)*L1115*L1189+(J1215+K1215)*G1202+D1229*(C1236*E1236+C1237*E1237)+(C15-1)*B1115*(C1189+E1189)*(1-E45)+(C15-1)*(F1132*F1133)*I1115*(1-E45)+(C15-1)*L1115*L1189*(1-E45)-F1363+пристройка!L14+пристройка!L15</f>
        <v>90.43</v>
      </c>
      <c r="D1779" s="1230"/>
      <c r="E1779" s="1230"/>
      <c r="F1779" s="1230"/>
      <c r="G1779" s="1290" t="n">
        <f aca="false">SUM(G1774:G1778)</f>
        <v>0</v>
      </c>
      <c r="H1779" s="1311"/>
      <c r="I1779" s="1311"/>
      <c r="J1779" s="1719"/>
      <c r="K1779" s="1719"/>
      <c r="L1779" s="1719"/>
      <c r="M1779" s="1719"/>
      <c r="N1779" s="1719"/>
      <c r="O1779" s="1311"/>
      <c r="P1779" s="1702"/>
      <c r="Q1779" s="1702"/>
      <c r="R1779" s="1702"/>
      <c r="S1779" s="1230"/>
      <c r="T1779" s="1230"/>
      <c r="U1779" s="1230"/>
      <c r="V1779" s="1230"/>
      <c r="W1779" s="1230"/>
      <c r="X1779" s="1230"/>
      <c r="Y1779" s="1230"/>
    </row>
    <row r="1780" customFormat="false" ht="15.75" hidden="true" customHeight="true" outlineLevel="1" collapsed="false">
      <c r="A1780" s="1751" t="s">
        <v>3690</v>
      </c>
      <c r="B1780" s="1527" t="s">
        <v>133</v>
      </c>
      <c r="C1780" s="1527" t="n">
        <f aca="false">C15*C16*C17+D1229*C1235+(пристройка!L12+пристройка!L13)*пристройка!D2</f>
        <v>100</v>
      </c>
      <c r="D1780" s="1230"/>
      <c r="E1780" s="1230"/>
      <c r="F1780" s="1230"/>
      <c r="G1780" s="1311"/>
      <c r="H1780" s="1311"/>
      <c r="I1780" s="1311"/>
      <c r="J1780" s="1719"/>
      <c r="K1780" s="1719"/>
      <c r="L1780" s="1719"/>
      <c r="M1780" s="1719"/>
      <c r="N1780" s="1719"/>
      <c r="O1780" s="1311"/>
      <c r="P1780" s="1702"/>
      <c r="Q1780" s="1702"/>
      <c r="R1780" s="1702"/>
      <c r="S1780" s="1230"/>
      <c r="T1780" s="1230"/>
      <c r="U1780" s="1230"/>
      <c r="V1780" s="1230"/>
      <c r="W1780" s="1230"/>
      <c r="X1780" s="1230"/>
      <c r="Y1780" s="1230"/>
    </row>
    <row r="1781" customFormat="false" ht="15.75" hidden="true" customHeight="true" outlineLevel="1" collapsed="false">
      <c r="A1781" s="1751" t="s">
        <v>3642</v>
      </c>
      <c r="B1781" s="1527" t="s">
        <v>133</v>
      </c>
      <c r="C1781" s="1527" t="n">
        <f aca="false">C1319*D1319+пристройка!D2*пристройка!C9+D1229*C1279</f>
        <v>100</v>
      </c>
      <c r="D1781" s="1230"/>
      <c r="E1781" s="1230"/>
      <c r="F1781" s="1230"/>
      <c r="G1781" s="1311"/>
      <c r="H1781" s="1311"/>
      <c r="I1781" s="1769"/>
      <c r="J1781" s="1719"/>
      <c r="K1781" s="1719"/>
      <c r="L1781" s="1719"/>
      <c r="M1781" s="1719"/>
      <c r="N1781" s="1719"/>
      <c r="O1781" s="1311"/>
      <c r="P1781" s="1702"/>
      <c r="Q1781" s="1702"/>
      <c r="R1781" s="1702"/>
      <c r="S1781" s="1230"/>
      <c r="T1781" s="1230"/>
      <c r="U1781" s="1230"/>
      <c r="V1781" s="1230"/>
      <c r="W1781" s="1230"/>
      <c r="X1781" s="1230"/>
      <c r="Y1781" s="1230"/>
    </row>
    <row r="1782" customFormat="false" ht="15.75" hidden="true" customHeight="true" outlineLevel="1" collapsed="false">
      <c r="A1782" s="1751" t="s">
        <v>3643</v>
      </c>
      <c r="B1782" s="1527" t="s">
        <v>133</v>
      </c>
      <c r="C1782" s="1527" t="n">
        <f aca="false">C1319*D1319*E44+пристройка!D2*пристройка!C10+D1229*пристройка!C10*пристройка!C26-(B1319-1)*4</f>
        <v>100</v>
      </c>
      <c r="D1782" s="1230"/>
      <c r="E1782" s="1230"/>
      <c r="F1782" s="1230"/>
      <c r="G1782" s="1311"/>
      <c r="H1782" s="1311"/>
      <c r="I1782" s="1769"/>
      <c r="J1782" s="1719"/>
      <c r="K1782" s="1719"/>
      <c r="L1782" s="1719"/>
      <c r="M1782" s="1719"/>
      <c r="N1782" s="1719"/>
      <c r="O1782" s="1311"/>
      <c r="P1782" s="1702"/>
      <c r="Q1782" s="1702"/>
      <c r="R1782" s="1702"/>
      <c r="S1782" s="1230"/>
      <c r="T1782" s="1230"/>
      <c r="U1782" s="1230"/>
      <c r="V1782" s="1230"/>
      <c r="W1782" s="1230"/>
      <c r="X1782" s="1230"/>
      <c r="Y1782" s="1230"/>
    </row>
    <row r="1783" customFormat="false" ht="15.75" hidden="true" customHeight="true" outlineLevel="1" collapsed="false">
      <c r="A1783" s="1751" t="s">
        <v>3644</v>
      </c>
      <c r="B1783" s="1527" t="s">
        <v>133</v>
      </c>
      <c r="C1783" s="1527" t="n">
        <f aca="false">C16*C17*E45+B1115*C1189*(C15-1)+I1115*F1132*F1133*(C15-1)*(I1115-E45)+L1115*L1189*(C15-1)*(L1115-E45)+пристройка!D2*пристройка!C11+D1229*C1279</f>
        <v>0</v>
      </c>
      <c r="D1783" s="1230"/>
      <c r="E1783" s="1230"/>
      <c r="F1783" s="1230"/>
      <c r="G1783" s="1311"/>
      <c r="H1783" s="1311"/>
      <c r="I1783" s="1769"/>
      <c r="J1783" s="1719"/>
      <c r="K1783" s="1719"/>
      <c r="L1783" s="1719"/>
      <c r="M1783" s="1719"/>
      <c r="N1783" s="1719"/>
      <c r="O1783" s="1311"/>
      <c r="P1783" s="1702"/>
      <c r="Q1783" s="1702"/>
      <c r="R1783" s="1702"/>
      <c r="S1783" s="1230"/>
      <c r="T1783" s="1230"/>
      <c r="U1783" s="1230"/>
      <c r="V1783" s="1230"/>
      <c r="W1783" s="1230"/>
      <c r="X1783" s="1230"/>
      <c r="Y1783" s="1230"/>
    </row>
    <row r="1784" customFormat="false" ht="15.75" hidden="true" customHeight="true" outlineLevel="1" collapsed="false">
      <c r="A1784" s="1751" t="s">
        <v>3645</v>
      </c>
      <c r="B1784" s="1527" t="s">
        <v>133</v>
      </c>
      <c r="C1784" s="1527" t="n">
        <f aca="false">SUM(C1781:C1783)</f>
        <v>200</v>
      </c>
      <c r="D1784" s="1230"/>
      <c r="E1784" s="1230"/>
      <c r="F1784" s="1230"/>
      <c r="G1784" s="1230"/>
      <c r="H1784" s="1230"/>
      <c r="I1784" s="1770"/>
      <c r="J1784" s="1230"/>
      <c r="K1784" s="1230"/>
      <c r="L1784" s="1230"/>
      <c r="M1784" s="1230"/>
      <c r="N1784" s="1230"/>
      <c r="O1784" s="1230"/>
      <c r="P1784" s="1702"/>
      <c r="Q1784" s="1702"/>
      <c r="R1784" s="1702"/>
      <c r="S1784" s="1230"/>
      <c r="T1784" s="1230"/>
      <c r="U1784" s="1230"/>
      <c r="V1784" s="1230"/>
      <c r="W1784" s="1230"/>
      <c r="X1784" s="1230"/>
      <c r="Y1784" s="1230"/>
    </row>
    <row r="1785" customFormat="false" ht="15.75" hidden="true" customHeight="true" outlineLevel="1" collapsed="false">
      <c r="A1785" s="1909" t="s">
        <v>2720</v>
      </c>
      <c r="B1785" s="1910" t="s">
        <v>1094</v>
      </c>
      <c r="C1785" s="1910" t="s">
        <v>120</v>
      </c>
      <c r="D1785" s="1910" t="s">
        <v>3764</v>
      </c>
      <c r="E1785" s="1911" t="s">
        <v>2722</v>
      </c>
      <c r="F1785" s="1230"/>
      <c r="G1785" s="1906" t="s">
        <v>1409</v>
      </c>
      <c r="H1785" s="1912"/>
      <c r="I1785" s="1913"/>
      <c r="J1785" s="1911" t="s">
        <v>1802</v>
      </c>
      <c r="K1785" s="1911" t="s">
        <v>2721</v>
      </c>
      <c r="L1785" s="1911"/>
      <c r="M1785" s="1911"/>
      <c r="N1785" s="1911"/>
      <c r="O1785" s="1911" t="s">
        <v>2722</v>
      </c>
      <c r="P1785" s="1230"/>
      <c r="Q1785" s="1230"/>
      <c r="R1785" s="1230"/>
      <c r="S1785" s="1230"/>
      <c r="T1785" s="1230"/>
      <c r="U1785" s="1230"/>
      <c r="V1785" s="1230"/>
      <c r="W1785" s="1230"/>
      <c r="X1785" s="1230"/>
      <c r="Y1785" s="1230"/>
    </row>
    <row r="1786" customFormat="false" ht="15.75" hidden="true" customHeight="true" outlineLevel="1" collapsed="false">
      <c r="A1786" s="1751" t="str">
        <f aca="false">'Ввод данных'!A905</f>
        <v>Листв. влаж, 200*200мм</v>
      </c>
      <c r="B1786" s="1527" t="s">
        <v>135</v>
      </c>
      <c r="C1786" s="1527" t="n">
        <f aca="false">(C1771+C1772+C1773)*VLOOKUP(A1786,'Прайс лист'!B333:G419,5,0)</f>
        <v>2.552</v>
      </c>
      <c r="D1786" s="1527" t="n">
        <f aca="false">VLOOKUP(A1786,'Прайс лист'!B333:G419,6,0)</f>
        <v>9000</v>
      </c>
      <c r="E1786" s="1290" t="n">
        <f aca="false">C1786*D1786</f>
        <v>22968</v>
      </c>
      <c r="F1786" s="1230"/>
      <c r="G1786" s="1557" t="s">
        <v>1502</v>
      </c>
      <c r="H1786" s="1694"/>
      <c r="I1786" s="1765"/>
      <c r="J1786" s="1290" t="n">
        <f aca="false">(C1786+C1787+C1788+C1789)*I1750</f>
        <v>25.5024</v>
      </c>
      <c r="K1786" s="1290" t="n">
        <f aca="false">'Прайс лист'!G1693</f>
        <v>4000</v>
      </c>
      <c r="L1786" s="1290"/>
      <c r="M1786" s="1290"/>
      <c r="N1786" s="1290"/>
      <c r="O1786" s="1290" t="n">
        <f aca="false">J1786*K1786</f>
        <v>102009.6</v>
      </c>
      <c r="P1786" s="1230"/>
      <c r="Q1786" s="1230"/>
      <c r="R1786" s="1230"/>
      <c r="S1786" s="1230"/>
      <c r="T1786" s="1230"/>
      <c r="U1786" s="1230"/>
      <c r="V1786" s="1230"/>
      <c r="W1786" s="1230"/>
      <c r="X1786" s="1230"/>
      <c r="Y1786" s="1230"/>
    </row>
    <row r="1787" customFormat="false" ht="15.75" hidden="true" customHeight="true" outlineLevel="1" collapsed="false">
      <c r="A1787" s="1751" t="str">
        <f aca="false">'Ввод данных'!A899</f>
        <v>Сосна влаж, 200*200мм</v>
      </c>
      <c r="B1787" s="1527" t="s">
        <v>135</v>
      </c>
      <c r="C1787" s="1527" t="n">
        <f aca="false">((C1775+C1767)*C1753)*1.05*G1750-C1786</f>
        <v>22.9504</v>
      </c>
      <c r="D1787" s="1527" t="n">
        <f aca="false">VLOOKUP(A1787,'Прайс лист'!B333:G419,6,0)</f>
        <v>6500</v>
      </c>
      <c r="E1787" s="1290" t="n">
        <f aca="false">C1787*D1787</f>
        <v>149177.6</v>
      </c>
      <c r="F1787" s="1230"/>
      <c r="G1787" s="1557" t="s">
        <v>1504</v>
      </c>
      <c r="H1787" s="1694"/>
      <c r="I1787" s="1765"/>
      <c r="J1787" s="1290" t="n">
        <f aca="false">(C1758*D1758+C1760*D1760+C1759*D1759+C1761*D1761+C1762*D1762+C1763*D1763)*I1750</f>
        <v>0</v>
      </c>
      <c r="K1787" s="1290" t="n">
        <f aca="false">'Прайс лист'!G1695</f>
        <v>150</v>
      </c>
      <c r="L1787" s="1290"/>
      <c r="M1787" s="1290"/>
      <c r="N1787" s="1290"/>
      <c r="O1787" s="1290" t="n">
        <f aca="false">J1787*K1787</f>
        <v>0</v>
      </c>
      <c r="P1787" s="1230"/>
      <c r="Q1787" s="1230"/>
      <c r="R1787" s="1230"/>
      <c r="S1787" s="1230"/>
      <c r="T1787" s="1230"/>
      <c r="U1787" s="1230"/>
      <c r="V1787" s="1230"/>
      <c r="W1787" s="1230"/>
      <c r="X1787" s="1230"/>
      <c r="Y1787" s="1230"/>
    </row>
    <row r="1788" customFormat="false" ht="15.75" hidden="true" customHeight="true" outlineLevel="1" collapsed="false">
      <c r="A1788" s="1751" t="str">
        <f aca="false">'Ввод данных'!A901</f>
        <v>Сосна влаж, 200*150мм</v>
      </c>
      <c r="B1788" s="1527" t="s">
        <v>135</v>
      </c>
      <c r="C1788" s="1527" t="n">
        <f aca="false">C1776*C1755*G1750</f>
        <v>0</v>
      </c>
      <c r="D1788" s="1527" t="n">
        <f aca="false">VLOOKUP(A1788,'Прайс лист'!B333:G419,6,0)</f>
        <v>6500</v>
      </c>
      <c r="E1788" s="1290" t="n">
        <f aca="false">C1788*D1788</f>
        <v>0</v>
      </c>
      <c r="F1788" s="1230"/>
      <c r="G1788" s="933" t="str">
        <f aca="false">'Прайс лист'!B1700</f>
        <v>обработка торцов на брусе</v>
      </c>
      <c r="H1788" s="933"/>
      <c r="I1788" s="933"/>
      <c r="J1788" s="933" t="n">
        <f aca="false">I38*I1750</f>
        <v>14.4</v>
      </c>
      <c r="K1788" s="933" t="n">
        <f aca="false">'Прайс лист'!G1700</f>
        <v>250</v>
      </c>
      <c r="L1788" s="933"/>
      <c r="M1788" s="933"/>
      <c r="N1788" s="933"/>
      <c r="O1788" s="1290" t="n">
        <f aca="false">J1788*K1788</f>
        <v>3600</v>
      </c>
      <c r="P1788" s="1230"/>
      <c r="Q1788" s="1230"/>
      <c r="R1788" s="1230"/>
      <c r="S1788" s="1230"/>
      <c r="T1788" s="1230"/>
      <c r="U1788" s="1230"/>
      <c r="V1788" s="1230"/>
      <c r="W1788" s="1230"/>
      <c r="X1788" s="1230"/>
      <c r="Y1788" s="1230"/>
    </row>
    <row r="1789" customFormat="false" ht="15.75" hidden="true" customHeight="true" outlineLevel="1" collapsed="false">
      <c r="A1789" s="1751" t="str">
        <f aca="false">'Ввод данных'!A903</f>
        <v>Сосна влаж, 200*100мм</v>
      </c>
      <c r="B1789" s="1527" t="s">
        <v>133</v>
      </c>
      <c r="C1789" s="1527" t="n">
        <f aca="false">C1777*C1757*G1750</f>
        <v>0</v>
      </c>
      <c r="D1789" s="1527" t="n">
        <f aca="false">VLOOKUP(A1789,'Прайс лист'!B333:G419,6,0)</f>
        <v>6500</v>
      </c>
      <c r="E1789" s="1290" t="n">
        <f aca="false">C1789*D1789</f>
        <v>0</v>
      </c>
      <c r="F1789" s="1230"/>
      <c r="G1789" s="1290" t="str">
        <f aca="false">'Прайс лист'!B1702</f>
        <v>Обаботка огнебиозащитой</v>
      </c>
      <c r="H1789" s="1290"/>
      <c r="I1789" s="1611"/>
      <c r="J1789" s="1290" t="n">
        <f aca="false">SUM(C1786:C1789)*IF('Ввод данных'!A950='Прайс лист'!B728,0,1)</f>
        <v>25.5024</v>
      </c>
      <c r="K1789" s="1290" t="n">
        <f aca="false">'Прайс лист'!G1702</f>
        <v>300</v>
      </c>
      <c r="L1789" s="1290"/>
      <c r="M1789" s="1290"/>
      <c r="N1789" s="1290"/>
      <c r="O1789" s="1290" t="n">
        <f aca="false">J1789*K1789</f>
        <v>7650.72000000001</v>
      </c>
      <c r="P1789" s="1230"/>
      <c r="Q1789" s="1230"/>
      <c r="R1789" s="1230"/>
      <c r="S1789" s="1230"/>
      <c r="T1789" s="1230"/>
      <c r="U1789" s="1230"/>
      <c r="V1789" s="1230"/>
      <c r="W1789" s="1230"/>
      <c r="X1789" s="1230"/>
      <c r="Y1789" s="1230"/>
    </row>
    <row r="1790" customFormat="false" ht="15.75" hidden="true" customHeight="true" outlineLevel="1" collapsed="false">
      <c r="A1790" s="1751" t="str">
        <f aca="false">'Ввод данных'!A943</f>
        <v>Шкант</v>
      </c>
      <c r="B1790" s="1527" t="s">
        <v>159</v>
      </c>
      <c r="C1790" s="1527" t="n">
        <f aca="false">CEILING((C1786+C1787+C1788+C1789)*20*G1750,1)</f>
        <v>562</v>
      </c>
      <c r="D1790" s="1527" t="n">
        <f aca="false">VLOOKUP('Ввод данных'!A943,связи1!A459:B461,2,0)</f>
        <v>6</v>
      </c>
      <c r="E1790" s="1290" t="n">
        <f aca="false">C1790*D1790</f>
        <v>3372</v>
      </c>
      <c r="F1790" s="1230"/>
      <c r="G1790" s="1290" t="str">
        <f aca="false">'Прайс лист'!B1703</f>
        <v>Пропитка стен внешних</v>
      </c>
      <c r="H1790" s="1290"/>
      <c r="I1790" s="1611"/>
      <c r="J1790" s="1290" t="n">
        <f aca="false">C1774*IF('Ввод данных'!A955='Прайс лист'!B1534,0,1)</f>
        <v>0</v>
      </c>
      <c r="K1790" s="1290" t="n">
        <f aca="false">'Прайс лист'!G1703</f>
        <v>100</v>
      </c>
      <c r="L1790" s="1290"/>
      <c r="M1790" s="1290"/>
      <c r="N1790" s="1290"/>
      <c r="O1790" s="1290" t="n">
        <f aca="false">J1790*K1790</f>
        <v>0</v>
      </c>
      <c r="P1790" s="1230"/>
      <c r="Q1790" s="1230"/>
      <c r="R1790" s="1230"/>
      <c r="S1790" s="1230"/>
      <c r="T1790" s="1230"/>
      <c r="U1790" s="1230"/>
      <c r="V1790" s="1230"/>
      <c r="W1790" s="1230"/>
      <c r="X1790" s="1230"/>
      <c r="Y1790" s="1230"/>
    </row>
    <row r="1791" customFormat="false" ht="15.75" hidden="true" customHeight="true" outlineLevel="1" collapsed="false">
      <c r="A1791" s="1751" t="str">
        <f aca="false">'Ввод данных'!A940</f>
        <v>Лен-джут 200х5х20000 мм</v>
      </c>
      <c r="B1791" s="1527" t="s">
        <v>159</v>
      </c>
      <c r="C1791" s="1527" t="n">
        <f aca="false">CEILING((C1774+C1776+C1777)/VLOOKUP(A1787,'Прайс лист'!B333:G419,3,0)/20*G1750*1.3,1)</f>
        <v>0</v>
      </c>
      <c r="D1791" s="1527" t="n">
        <f aca="false">VLOOKUP(A1791,связи1!A488:B493,2,0)</f>
        <v>175</v>
      </c>
      <c r="E1791" s="1290" t="n">
        <f aca="false">C1791*D1791</f>
        <v>0</v>
      </c>
      <c r="F1791" s="1230"/>
      <c r="G1791" s="1290" t="str">
        <f aca="false">'Прайс лист'!B1704</f>
        <v>Пропитка внутенних стен</v>
      </c>
      <c r="H1791" s="1290"/>
      <c r="I1791" s="1219"/>
      <c r="J1791" s="933" t="n">
        <f aca="false">(C1774+C1778*2)*IF('Ввод данных'!A960='Прайс лист'!B1534,0,1)</f>
        <v>0</v>
      </c>
      <c r="K1791" s="1290" t="n">
        <f aca="false">'Прайс лист'!G1704</f>
        <v>100</v>
      </c>
      <c r="L1791" s="933"/>
      <c r="M1791" s="933"/>
      <c r="N1791" s="933"/>
      <c r="O1791" s="1290" t="n">
        <f aca="false">J1791*K1791</f>
        <v>0</v>
      </c>
      <c r="P1791" s="1230"/>
      <c r="Q1791" s="1230"/>
      <c r="R1791" s="1230"/>
      <c r="S1791" s="1230"/>
      <c r="T1791" s="1230"/>
      <c r="U1791" s="1230"/>
      <c r="V1791" s="1230"/>
      <c r="W1791" s="1230"/>
      <c r="X1791" s="1230"/>
      <c r="Y1791" s="1230"/>
    </row>
    <row r="1792" customFormat="false" ht="15.75" hidden="true" customHeight="true" outlineLevel="1" collapsed="false">
      <c r="A1792" s="1751" t="str">
        <f aca="false">'Прайс лист'!B890</f>
        <v>Гвозди строительные 3,5 x 90</v>
      </c>
      <c r="B1792" s="1527" t="s">
        <v>159</v>
      </c>
      <c r="C1792" s="1527" t="n">
        <f aca="false">4*G1750</f>
        <v>4.4</v>
      </c>
      <c r="D1792" s="1527" t="n">
        <f aca="false">'Прайс лист'!G890</f>
        <v>70</v>
      </c>
      <c r="E1792" s="1290" t="n">
        <f aca="false">C1792*D1792</f>
        <v>308</v>
      </c>
      <c r="F1792" s="1230"/>
      <c r="G1792" s="1290" t="str">
        <f aca="false">'Ввод данных'!A965</f>
        <v>Сверление стен для скрытой проводки</v>
      </c>
      <c r="H1792" s="1290"/>
      <c r="I1792" s="1219"/>
      <c r="J1792" s="1527" t="n">
        <f aca="false">('Ввод данных'!C1285*3+'Ввод данных'!C1287*3)*IF('Ввод данных'!A965=связи1!A540,0,1)</f>
        <v>180</v>
      </c>
      <c r="K1792" s="1527" t="n">
        <f aca="false">'Прайс лист'!G1847</f>
        <v>300</v>
      </c>
      <c r="L1792" s="933"/>
      <c r="M1792" s="933"/>
      <c r="N1792" s="933"/>
      <c r="O1792" s="1290" t="n">
        <f aca="false">J1792*K1792</f>
        <v>54000</v>
      </c>
      <c r="P1792" s="1230"/>
      <c r="Q1792" s="1230"/>
      <c r="R1792" s="1230"/>
      <c r="S1792" s="1230"/>
      <c r="T1792" s="1230"/>
      <c r="U1792" s="1230"/>
      <c r="V1792" s="1230"/>
      <c r="W1792" s="1230"/>
      <c r="X1792" s="1230"/>
      <c r="Y1792" s="1230"/>
    </row>
    <row r="1793" customFormat="false" ht="15.75" hidden="true" customHeight="true" outlineLevel="1" collapsed="false">
      <c r="A1793" s="1290" t="str">
        <f aca="false">'Ввод данных'!A931</f>
        <v>нет</v>
      </c>
      <c r="B1793" s="1527" t="s">
        <v>135</v>
      </c>
      <c r="C1793" s="1527" t="n">
        <f aca="false">((C1758*D1758+C1759*D1759)*G1750*VLOOKUP(A1793,связи1!A407:E416,5,0))</f>
        <v>0</v>
      </c>
      <c r="D1793" s="1527" t="n">
        <f aca="false">VLOOKUP(A1793,связи1!A407:E416,2,0)</f>
        <v>0</v>
      </c>
      <c r="E1793" s="1290" t="n">
        <f aca="false">C1793*D1793</f>
        <v>0</v>
      </c>
      <c r="F1793" s="1230"/>
      <c r="G1793" s="1290" t="str">
        <f aca="false">'Прайс лист'!B1720</f>
        <v>Монтаж наличника</v>
      </c>
      <c r="H1793" s="1290"/>
      <c r="I1793" s="1611"/>
      <c r="J1793" s="1290" t="n">
        <f aca="false">C1803*IF('Ввод данных'!A968='Прайс лист'!B717,0,1)+дома!C1804*IF('Ввод данных'!A970='Прайс лист'!B717,0,1)</f>
        <v>0</v>
      </c>
      <c r="K1793" s="1290" t="n">
        <f aca="false">'Прайс лист'!G1720</f>
        <v>80</v>
      </c>
      <c r="L1793" s="1290"/>
      <c r="M1793" s="1290"/>
      <c r="N1793" s="1290"/>
      <c r="O1793" s="1290" t="n">
        <f aca="false">J1793*K1793</f>
        <v>0</v>
      </c>
      <c r="P1793" s="1230"/>
      <c r="Q1793" s="1230"/>
      <c r="R1793" s="1230"/>
      <c r="S1793" s="1230"/>
      <c r="T1793" s="1230"/>
      <c r="U1793" s="1230"/>
      <c r="V1793" s="1230"/>
      <c r="W1793" s="1230"/>
      <c r="X1793" s="1230"/>
      <c r="Y1793" s="1230"/>
    </row>
    <row r="1794" customFormat="false" ht="15.75" hidden="true" customHeight="true" outlineLevel="1" collapsed="false">
      <c r="A1794" s="1290" t="str">
        <f aca="false">'Ввод данных'!A933</f>
        <v>Доска сухая, 100*50мм</v>
      </c>
      <c r="B1794" s="1527" t="s">
        <v>135</v>
      </c>
      <c r="C1794" s="1527" t="n">
        <f aca="false">((C1760*D1760+C1762*D1762)*G1750*VLOOKUP(A1794,связи1!A407:E416,5,0))</f>
        <v>0</v>
      </c>
      <c r="D1794" s="1527" t="n">
        <f aca="false">VLOOKUP(A1794,связи1!A407:E416,2,0)</f>
        <v>9000</v>
      </c>
      <c r="E1794" s="1290" t="n">
        <f aca="false">C1794*D1794</f>
        <v>0</v>
      </c>
      <c r="F1794" s="1230"/>
      <c r="G1794" s="1290" t="str">
        <f aca="false">'Прайс лист'!B1705</f>
        <v>Шлифовка стен дома</v>
      </c>
      <c r="H1794" s="1290"/>
      <c r="I1794" s="1611"/>
      <c r="J1794" s="1290" t="n">
        <f aca="false">C1774*IF('Ввод данных'!A973=связи1!A542,1,0)+(C1774+C1778*2)*IF('Ввод данных'!A976=связи1!A545,1,0)</f>
        <v>0</v>
      </c>
      <c r="K1794" s="1290" t="n">
        <f aca="false">'Прайс лист'!G1705</f>
        <v>250</v>
      </c>
      <c r="L1794" s="1290"/>
      <c r="M1794" s="1290"/>
      <c r="N1794" s="1290"/>
      <c r="O1794" s="1290" t="n">
        <f aca="false">J1794*K1794</f>
        <v>0</v>
      </c>
      <c r="P1794" s="1230"/>
      <c r="Q1794" s="1230"/>
      <c r="R1794" s="1230"/>
      <c r="S1794" s="1230"/>
      <c r="T1794" s="1230"/>
      <c r="U1794" s="1230"/>
      <c r="V1794" s="1230"/>
      <c r="W1794" s="1230"/>
      <c r="X1794" s="1230"/>
      <c r="Y1794" s="1230"/>
    </row>
    <row r="1795" customFormat="false" ht="15.75" hidden="true" customHeight="true" outlineLevel="1" collapsed="false">
      <c r="A1795" s="1290" t="str">
        <f aca="false">'Ввод данных'!A935</f>
        <v>Доска сухая калиброванная, 100*45мм</v>
      </c>
      <c r="B1795" s="1527" t="s">
        <v>135</v>
      </c>
      <c r="C1795" s="1527" t="n">
        <f aca="false">VLOOKUP(A1795,связи1!A407:E416,5,0)*(C1761*D1761+C1763*D1763)*G1750</f>
        <v>0</v>
      </c>
      <c r="D1795" s="1527" t="n">
        <f aca="false">VLOOKUP(A1795,связи1!A407:E416,2,0)</f>
        <v>12500</v>
      </c>
      <c r="E1795" s="1290" t="n">
        <f aca="false">C1795*D1795</f>
        <v>0</v>
      </c>
      <c r="F1795" s="1230"/>
      <c r="G1795" s="1290"/>
      <c r="H1795" s="1290"/>
      <c r="I1795" s="1611"/>
      <c r="J1795" s="1290"/>
      <c r="K1795" s="1290"/>
      <c r="L1795" s="1290"/>
      <c r="M1795" s="1290"/>
      <c r="N1795" s="1290"/>
      <c r="O1795" s="1290"/>
      <c r="P1795" s="1230"/>
      <c r="Q1795" s="1230"/>
      <c r="R1795" s="1230"/>
      <c r="S1795" s="1230"/>
      <c r="T1795" s="1230"/>
      <c r="U1795" s="1230"/>
      <c r="V1795" s="1230"/>
      <c r="W1795" s="1230"/>
      <c r="X1795" s="1230"/>
      <c r="Y1795" s="1230"/>
    </row>
    <row r="1796" customFormat="false" ht="15.75" hidden="true" customHeight="true" outlineLevel="1" collapsed="false">
      <c r="A1796" s="1290" t="str">
        <f aca="false">'Ввод данных'!A937</f>
        <v>Сосна влаж, 50*50мм</v>
      </c>
      <c r="B1796" s="1527" t="s">
        <v>156</v>
      </c>
      <c r="C1796" s="1527" t="n">
        <f aca="false">(C1758*D1758+C1760*D1760+C1759*D1759+C1761*D1761+C1762*D1762+C1763*D1763)*G1750*1.2</f>
        <v>0</v>
      </c>
      <c r="D1796" s="1527" t="n">
        <f aca="false">VLOOKUP(A1796,связи1!A418:D421,4,0)</f>
        <v>16.25</v>
      </c>
      <c r="E1796" s="1290" t="n">
        <f aca="false">C1796*D1796</f>
        <v>0</v>
      </c>
      <c r="F1796" s="1230"/>
      <c r="G1796" s="1290"/>
      <c r="H1796" s="1290"/>
      <c r="I1796" s="1611"/>
      <c r="J1796" s="1290"/>
      <c r="K1796" s="1290"/>
      <c r="L1796" s="1290"/>
      <c r="M1796" s="1290"/>
      <c r="N1796" s="1290"/>
      <c r="O1796" s="1290"/>
      <c r="P1796" s="1230"/>
      <c r="Q1796" s="1230"/>
      <c r="R1796" s="1230"/>
      <c r="S1796" s="1230"/>
      <c r="T1796" s="1230"/>
      <c r="U1796" s="1230"/>
      <c r="V1796" s="1230"/>
      <c r="W1796" s="1230"/>
      <c r="X1796" s="1230"/>
      <c r="Y1796" s="1230"/>
    </row>
    <row r="1797" customFormat="false" ht="15.75" hidden="true" customHeight="true" outlineLevel="1" collapsed="false">
      <c r="A1797" s="1290" t="str">
        <f aca="false">'Прайс лист'!B433</f>
        <v>Бензин для пилы</v>
      </c>
      <c r="B1797" s="1527" t="s">
        <v>396</v>
      </c>
      <c r="C1797" s="1527" t="n">
        <f aca="false">(C1786+C1787+C1788+C1789)/6*G1750</f>
        <v>4.67544</v>
      </c>
      <c r="D1797" s="1527" t="n">
        <f aca="false">'Прайс лист'!G433</f>
        <v>40</v>
      </c>
      <c r="E1797" s="1290" t="n">
        <f aca="false">C1797*D1797</f>
        <v>187.0176</v>
      </c>
      <c r="F1797" s="1230"/>
      <c r="G1797" s="1290"/>
      <c r="H1797" s="1290"/>
      <c r="I1797" s="1611"/>
      <c r="J1797" s="1290"/>
      <c r="K1797" s="1290"/>
      <c r="L1797" s="1290"/>
      <c r="M1797" s="1290"/>
      <c r="N1797" s="1290"/>
      <c r="O1797" s="1290"/>
      <c r="P1797" s="1230"/>
      <c r="Q1797" s="1230"/>
      <c r="R1797" s="1230"/>
      <c r="S1797" s="1230"/>
      <c r="T1797" s="1230"/>
      <c r="U1797" s="1230"/>
      <c r="V1797" s="1230"/>
      <c r="W1797" s="1230"/>
      <c r="X1797" s="1230"/>
      <c r="Y1797" s="1230"/>
    </row>
    <row r="1798" customFormat="false" ht="15.75" hidden="true" customHeight="true" outlineLevel="1" collapsed="false">
      <c r="A1798" s="1290" t="str">
        <f aca="false">'Прайс лист'!B434</f>
        <v>Масло для пилы</v>
      </c>
      <c r="B1798" s="1527" t="s">
        <v>396</v>
      </c>
      <c r="C1798" s="1527" t="n">
        <f aca="false">C1797*0.1*G1750</f>
        <v>0.5142984</v>
      </c>
      <c r="D1798" s="1527" t="n">
        <f aca="false">'Прайс лист'!G434</f>
        <v>250</v>
      </c>
      <c r="E1798" s="1290" t="n">
        <f aca="false">C1798*D1798</f>
        <v>128.5746</v>
      </c>
      <c r="F1798" s="1230"/>
      <c r="G1798" s="1751"/>
      <c r="H1798" s="1751"/>
      <c r="I1798" s="1611"/>
      <c r="J1798" s="1290"/>
      <c r="K1798" s="1290"/>
      <c r="L1798" s="1290"/>
      <c r="M1798" s="1290"/>
      <c r="N1798" s="1290"/>
      <c r="O1798" s="1290"/>
      <c r="P1798" s="1230"/>
      <c r="Q1798" s="1230"/>
      <c r="R1798" s="1230"/>
      <c r="S1798" s="1230"/>
      <c r="T1798" s="1230"/>
      <c r="U1798" s="1230"/>
      <c r="V1798" s="1230"/>
      <c r="W1798" s="1230"/>
      <c r="X1798" s="1230"/>
      <c r="Y1798" s="1230"/>
    </row>
    <row r="1799" customFormat="false" ht="15.75" hidden="true" customHeight="true" outlineLevel="1" collapsed="false">
      <c r="A1799" s="1290" t="str">
        <f aca="false">'Прайс лист'!B435</f>
        <v>Цепь для пилы</v>
      </c>
      <c r="B1799" s="1527" t="s">
        <v>396</v>
      </c>
      <c r="C1799" s="1527" t="n">
        <f aca="false">CEILING((SUM(C1786:C1789)/20),1)*G1750</f>
        <v>2.2</v>
      </c>
      <c r="D1799" s="1527" t="n">
        <f aca="false">'Прайс лист'!G435</f>
        <v>800</v>
      </c>
      <c r="E1799" s="1290" t="n">
        <f aca="false">C1799*D1799</f>
        <v>1760</v>
      </c>
      <c r="F1799" s="1230"/>
      <c r="G1799" s="1751"/>
      <c r="H1799" s="1751"/>
      <c r="I1799" s="1611"/>
      <c r="J1799" s="1290"/>
      <c r="K1799" s="1290"/>
      <c r="L1799" s="1290"/>
      <c r="M1799" s="1290"/>
      <c r="N1799" s="1290"/>
      <c r="O1799" s="1290"/>
      <c r="P1799" s="1230"/>
      <c r="Q1799" s="1230"/>
      <c r="R1799" s="1230"/>
      <c r="S1799" s="1230"/>
      <c r="T1799" s="1230"/>
      <c r="U1799" s="1230"/>
      <c r="V1799" s="1230"/>
      <c r="W1799" s="1230"/>
      <c r="X1799" s="1230"/>
      <c r="Y1799" s="1230"/>
    </row>
    <row r="1800" customFormat="false" ht="15.75" hidden="true" customHeight="true" outlineLevel="1" collapsed="false">
      <c r="A1800" s="1290" t="str">
        <f aca="false">'Ввод данных'!A950</f>
        <v>"Профилюкс" Антисептик АНТИПЛЕСЕНЬ</v>
      </c>
      <c r="B1800" s="1527" t="s">
        <v>396</v>
      </c>
      <c r="C1800" s="1527" t="n">
        <f aca="false">G1779*'Ввод данных'!C951</f>
        <v>0</v>
      </c>
      <c r="D1800" s="1527" t="n">
        <f aca="false">VLOOKUP(A1800,'Прайс лист'!B728:G737,6,0)</f>
        <v>108</v>
      </c>
      <c r="E1800" s="1290" t="n">
        <f aca="false">C1800*D1800</f>
        <v>0</v>
      </c>
      <c r="F1800" s="1230"/>
      <c r="G1800" s="1751"/>
      <c r="H1800" s="1751"/>
      <c r="I1800" s="1611"/>
      <c r="J1800" s="1290"/>
      <c r="K1800" s="1290"/>
      <c r="L1800" s="1290"/>
      <c r="M1800" s="1290"/>
      <c r="N1800" s="1290"/>
      <c r="O1800" s="1290"/>
      <c r="P1800" s="1230"/>
      <c r="Q1800" s="1230"/>
      <c r="R1800" s="1230"/>
      <c r="S1800" s="1230"/>
      <c r="T1800" s="1230"/>
      <c r="U1800" s="1230"/>
      <c r="V1800" s="1230"/>
      <c r="W1800" s="1230"/>
      <c r="X1800" s="1230"/>
      <c r="Y1800" s="1230"/>
    </row>
    <row r="1801" customFormat="false" ht="15.75" hidden="true" customHeight="true" outlineLevel="1" collapsed="false">
      <c r="A1801" s="1290" t="str">
        <f aca="false">'Ввод данных'!A955</f>
        <v>"Тонерол" Антисептик  бесцветный  1л</v>
      </c>
      <c r="B1801" s="1527" t="s">
        <v>396</v>
      </c>
      <c r="C1801" s="1527" t="n">
        <f aca="false">C1774*'Ввод данных'!C956*'Ввод данных'!C957</f>
        <v>0</v>
      </c>
      <c r="D1801" s="1527" t="n">
        <f aca="false">VLOOKUP(A1801,'Прайс лист'!B1534:G1561,6,0)</f>
        <v>305</v>
      </c>
      <c r="E1801" s="1290" t="n">
        <f aca="false">C1801*D1801</f>
        <v>0</v>
      </c>
      <c r="F1801" s="1230"/>
      <c r="G1801" s="1751"/>
      <c r="H1801" s="1751"/>
      <c r="I1801" s="1611"/>
      <c r="J1801" s="1290"/>
      <c r="K1801" s="1290"/>
      <c r="L1801" s="1290"/>
      <c r="M1801" s="1290"/>
      <c r="N1801" s="1290"/>
      <c r="O1801" s="1290"/>
      <c r="P1801" s="1230"/>
      <c r="Q1801" s="1230"/>
      <c r="R1801" s="1230"/>
      <c r="S1801" s="1230"/>
      <c r="T1801" s="1230"/>
      <c r="U1801" s="1230"/>
      <c r="V1801" s="1230"/>
      <c r="W1801" s="1230"/>
      <c r="X1801" s="1230"/>
      <c r="Y1801" s="1230"/>
    </row>
    <row r="1802" customFormat="false" ht="15.75" hidden="true" customHeight="true" outlineLevel="1" collapsed="false">
      <c r="A1802" s="1290" t="str">
        <f aca="false">'Ввод данных'!A960</f>
        <v>"Тонерол" Антисептик  махагон  1л</v>
      </c>
      <c r="B1802" s="1527" t="s">
        <v>396</v>
      </c>
      <c r="C1802" s="1527" t="n">
        <f aca="false">(C1774+C1776*2+C1777*2)*'Ввод данных'!C961*'Ввод данных'!C962</f>
        <v>0</v>
      </c>
      <c r="D1802" s="1527" t="n">
        <f aca="false">VLOOKUP(A1802,'Прайс лист'!B1534:G1561,6,0)</f>
        <v>305</v>
      </c>
      <c r="E1802" s="1290" t="n">
        <f aca="false">C1802*D1802</f>
        <v>0</v>
      </c>
      <c r="F1802" s="1230"/>
      <c r="G1802" s="1751"/>
      <c r="H1802" s="1751"/>
      <c r="I1802" s="1611"/>
      <c r="J1802" s="1290"/>
      <c r="K1802" s="1290"/>
      <c r="L1802" s="1290"/>
      <c r="M1802" s="1290"/>
      <c r="N1802" s="1290"/>
      <c r="O1802" s="1290"/>
      <c r="P1802" s="1230"/>
      <c r="Q1802" s="1230"/>
      <c r="R1802" s="1230"/>
      <c r="S1802" s="1230"/>
      <c r="T1802" s="1230"/>
      <c r="U1802" s="1230"/>
      <c r="V1802" s="1230"/>
      <c r="W1802" s="1230"/>
      <c r="X1802" s="1230"/>
      <c r="Y1802" s="1230"/>
    </row>
    <row r="1803" customFormat="false" ht="15.75" hidden="true" customHeight="true" outlineLevel="1" collapsed="false">
      <c r="A1803" s="1290" t="str">
        <f aca="false">'Ввод данных'!A968</f>
        <v>Нет наличника</v>
      </c>
      <c r="B1803" s="1527" t="s">
        <v>156</v>
      </c>
      <c r="C1803" s="1527" t="n">
        <f aca="false">отделка!C387*1.05</f>
        <v>3.57</v>
      </c>
      <c r="D1803" s="1527" t="n">
        <f aca="false">VLOOKUP(A1803,'Прайс лист'!B717:G723,6,0)</f>
        <v>0</v>
      </c>
      <c r="E1803" s="1290" t="n">
        <f aca="false">C1803*D1803</f>
        <v>0</v>
      </c>
      <c r="F1803" s="1230"/>
      <c r="G1803" s="1751"/>
      <c r="H1803" s="1751"/>
      <c r="I1803" s="1611"/>
      <c r="J1803" s="1290"/>
      <c r="K1803" s="1290"/>
      <c r="L1803" s="1290"/>
      <c r="M1803" s="1290"/>
      <c r="N1803" s="1290"/>
      <c r="O1803" s="1290"/>
      <c r="P1803" s="1230"/>
      <c r="Q1803" s="1230"/>
      <c r="R1803" s="1230"/>
      <c r="S1803" s="1230"/>
      <c r="T1803" s="1230"/>
      <c r="U1803" s="1230"/>
      <c r="V1803" s="1230"/>
      <c r="W1803" s="1230"/>
      <c r="X1803" s="1230"/>
      <c r="Y1803" s="1230"/>
    </row>
    <row r="1804" customFormat="false" ht="15.75" hidden="true" customHeight="true" outlineLevel="1" collapsed="false">
      <c r="A1804" s="1290" t="str">
        <f aca="false">'Ввод данных'!A970</f>
        <v>Нет наличника</v>
      </c>
      <c r="B1804" s="1527" t="s">
        <v>156</v>
      </c>
      <c r="C1804" s="1527" t="n">
        <f aca="false">C1803</f>
        <v>3.57</v>
      </c>
      <c r="D1804" s="1527" t="n">
        <f aca="false">VLOOKUP(A1804,'Прайс лист'!B717:G723,6,0)</f>
        <v>0</v>
      </c>
      <c r="E1804" s="1290" t="n">
        <f aca="false">C1804*D1804</f>
        <v>0</v>
      </c>
      <c r="F1804" s="1230"/>
      <c r="G1804" s="1751"/>
      <c r="H1804" s="1751"/>
      <c r="I1804" s="1611"/>
      <c r="J1804" s="1290"/>
      <c r="K1804" s="1290"/>
      <c r="L1804" s="1290"/>
      <c r="M1804" s="1290"/>
      <c r="N1804" s="1290"/>
      <c r="O1804" s="1290"/>
      <c r="P1804" s="1230"/>
      <c r="Q1804" s="1230"/>
      <c r="R1804" s="1230"/>
      <c r="S1804" s="1230"/>
      <c r="T1804" s="1230"/>
      <c r="U1804" s="1230"/>
      <c r="V1804" s="1230"/>
      <c r="W1804" s="1230"/>
      <c r="X1804" s="1230"/>
      <c r="Y1804" s="1230"/>
    </row>
    <row r="1805" customFormat="false" ht="15.75" hidden="true" customHeight="true" outlineLevel="1" collapsed="false">
      <c r="A1805" s="1290" t="str">
        <f aca="false">'Ввод данных'!A974</f>
        <v>Бумага наждачная № 63 F(30)</v>
      </c>
      <c r="B1805" s="1527" t="str">
        <f aca="false">'Ввод данных'!B974</f>
        <v>м</v>
      </c>
      <c r="C1805" s="1290" t="n">
        <f aca="false">'Ввод данных'!C974</f>
        <v>5</v>
      </c>
      <c r="D1805" s="1527" t="n">
        <f aca="false">VLOOKUP(A1805,'Прайс лист'!B1478:G1486,6,0)</f>
        <v>291</v>
      </c>
      <c r="E1805" s="1290" t="n">
        <f aca="false">C1805*D1805</f>
        <v>1455</v>
      </c>
      <c r="F1805" s="1230"/>
      <c r="G1805" s="1751"/>
      <c r="H1805" s="1751"/>
      <c r="I1805" s="1611"/>
      <c r="J1805" s="1290"/>
      <c r="K1805" s="1290"/>
      <c r="L1805" s="1290"/>
      <c r="M1805" s="1290"/>
      <c r="N1805" s="1290"/>
      <c r="O1805" s="1290"/>
      <c r="P1805" s="1230"/>
      <c r="Q1805" s="1230"/>
      <c r="R1805" s="1230"/>
      <c r="S1805" s="1230"/>
      <c r="T1805" s="1230"/>
      <c r="U1805" s="1230"/>
      <c r="V1805" s="1230"/>
      <c r="W1805" s="1230"/>
      <c r="X1805" s="1230"/>
      <c r="Y1805" s="1230"/>
    </row>
    <row r="1806" customFormat="false" ht="15.75" hidden="true" customHeight="true" outlineLevel="1" collapsed="false">
      <c r="A1806" s="1290" t="str">
        <f aca="false">'Ввод данных'!A975</f>
        <v>Нет наждачной бумаги</v>
      </c>
      <c r="B1806" s="1527" t="str">
        <f aca="false">'Ввод данных'!B975</f>
        <v>м</v>
      </c>
      <c r="C1806" s="1290" t="n">
        <f aca="false">'Ввод данных'!C975</f>
        <v>0</v>
      </c>
      <c r="D1806" s="1527" t="n">
        <f aca="false">VLOOKUP(A1806,'Прайс лист'!B1478:G1486,6,0)</f>
        <v>0</v>
      </c>
      <c r="E1806" s="1290" t="n">
        <f aca="false">C1806*D1806</f>
        <v>0</v>
      </c>
      <c r="F1806" s="1230"/>
      <c r="G1806" s="1751"/>
      <c r="H1806" s="1751"/>
      <c r="I1806" s="1611"/>
      <c r="J1806" s="1290"/>
      <c r="K1806" s="1290"/>
      <c r="L1806" s="1290"/>
      <c r="M1806" s="1290"/>
      <c r="N1806" s="1290"/>
      <c r="O1806" s="1290"/>
      <c r="P1806" s="1230"/>
      <c r="Q1806" s="1230"/>
      <c r="R1806" s="1230"/>
      <c r="S1806" s="1230"/>
      <c r="T1806" s="1230"/>
      <c r="U1806" s="1230"/>
      <c r="V1806" s="1230"/>
      <c r="W1806" s="1230"/>
      <c r="X1806" s="1230"/>
      <c r="Y1806" s="1230"/>
    </row>
    <row r="1807" customFormat="false" ht="15.75" hidden="true" customHeight="true" outlineLevel="1" collapsed="false">
      <c r="A1807" s="1290" t="str">
        <f aca="false">'Ввод данных'!A977</f>
        <v>Бумага наждачная № 63 F(30)</v>
      </c>
      <c r="B1807" s="1527" t="str">
        <f aca="false">'Ввод данных'!B977</f>
        <v>м</v>
      </c>
      <c r="C1807" s="1290" t="n">
        <f aca="false">'Ввод данных'!C977</f>
        <v>0</v>
      </c>
      <c r="D1807" s="1527" t="n">
        <f aca="false">VLOOKUP(A1807,'Прайс лист'!B1478:G1486,6,0)</f>
        <v>291</v>
      </c>
      <c r="E1807" s="1290" t="n">
        <f aca="false">C1807*D1807</f>
        <v>0</v>
      </c>
      <c r="F1807" s="1230"/>
      <c r="G1807" s="1751"/>
      <c r="H1807" s="1751"/>
      <c r="I1807" s="1611"/>
      <c r="J1807" s="1290"/>
      <c r="K1807" s="1290"/>
      <c r="L1807" s="1290"/>
      <c r="M1807" s="1290"/>
      <c r="N1807" s="1290"/>
      <c r="O1807" s="1290"/>
      <c r="P1807" s="1230"/>
      <c r="Q1807" s="1230"/>
      <c r="R1807" s="1230"/>
      <c r="S1807" s="1230"/>
      <c r="T1807" s="1230"/>
      <c r="U1807" s="1230"/>
      <c r="V1807" s="1230"/>
      <c r="W1807" s="1230"/>
      <c r="X1807" s="1230"/>
      <c r="Y1807" s="1230"/>
    </row>
    <row r="1808" customFormat="false" ht="15.75" hidden="true" customHeight="true" outlineLevel="1" collapsed="false">
      <c r="A1808" s="1290" t="str">
        <f aca="false">'Ввод данных'!A978</f>
        <v>Бумага наждачная № 40</v>
      </c>
      <c r="B1808" s="1527" t="str">
        <f aca="false">'Ввод данных'!B978</f>
        <v>м</v>
      </c>
      <c r="C1808" s="1290" t="n">
        <f aca="false">'Ввод данных'!C978</f>
        <v>0</v>
      </c>
      <c r="D1808" s="1527" t="n">
        <f aca="false">VLOOKUP(A1808,'Прайс лист'!B1478:G1486,6,0)</f>
        <v>240</v>
      </c>
      <c r="E1808" s="1290" t="n">
        <f aca="false">C1808*D1808</f>
        <v>0</v>
      </c>
      <c r="F1808" s="1230"/>
      <c r="G1808" s="1751"/>
      <c r="H1808" s="1751"/>
      <c r="I1808" s="1611"/>
      <c r="J1808" s="1290"/>
      <c r="K1808" s="1290"/>
      <c r="L1808" s="1290"/>
      <c r="M1808" s="1290"/>
      <c r="N1808" s="1290"/>
      <c r="O1808" s="1290"/>
      <c r="P1808" s="1230"/>
      <c r="Q1808" s="1230"/>
      <c r="R1808" s="1230"/>
      <c r="S1808" s="1230"/>
      <c r="T1808" s="1230"/>
      <c r="U1808" s="1230"/>
      <c r="V1808" s="1230"/>
      <c r="W1808" s="1230"/>
      <c r="X1808" s="1230"/>
      <c r="Y1808" s="1230"/>
    </row>
    <row r="1809" customFormat="false" ht="15.75" hidden="true" customHeight="true" outlineLevel="1" collapsed="false">
      <c r="A1809" s="1290" t="str">
        <f aca="false">'Ввод данных'!A985</f>
        <v>Командировочные расходы</v>
      </c>
      <c r="B1809" s="1527" t="s">
        <v>1796</v>
      </c>
      <c r="C1809" s="1527" t="n">
        <f aca="false">1</f>
        <v>1</v>
      </c>
      <c r="D1809" s="1527" t="n">
        <f aca="false">'Ввод данных'!C986*'Ввод данных'!C987*'Ввод данных'!C988*VLOOKUP('Ввод данных'!C985,связи1!A2:B3,2,0)</f>
        <v>0</v>
      </c>
      <c r="E1809" s="1290" t="n">
        <f aca="false">C1809*D1809</f>
        <v>0</v>
      </c>
      <c r="F1809" s="1230"/>
      <c r="G1809" s="1751"/>
      <c r="H1809" s="1751"/>
      <c r="I1809" s="1611"/>
      <c r="J1809" s="1290"/>
      <c r="K1809" s="1290"/>
      <c r="L1809" s="1290"/>
      <c r="M1809" s="1290"/>
      <c r="N1809" s="1290"/>
      <c r="O1809" s="1290"/>
      <c r="P1809" s="1230"/>
      <c r="Q1809" s="1230"/>
      <c r="R1809" s="1230"/>
      <c r="S1809" s="1230"/>
      <c r="T1809" s="1230"/>
      <c r="U1809" s="1230"/>
      <c r="V1809" s="1230"/>
      <c r="W1809" s="1230"/>
      <c r="X1809" s="1230"/>
      <c r="Y1809" s="1230"/>
    </row>
    <row r="1810" customFormat="false" ht="15.75" hidden="true" customHeight="true" outlineLevel="1" collapsed="false">
      <c r="A1810" s="1751" t="str">
        <f aca="false">'Ввод данных'!A983</f>
        <v>расходные материалы дома из леса</v>
      </c>
      <c r="B1810" s="1527" t="s">
        <v>159</v>
      </c>
      <c r="C1810" s="1527" t="n">
        <f aca="false">1</f>
        <v>1</v>
      </c>
      <c r="D1810" s="1527" t="n">
        <f aca="false">'Ввод данных'!C983</f>
        <v>3000</v>
      </c>
      <c r="E1810" s="1290" t="n">
        <f aca="false">C1810*D1810</f>
        <v>3000</v>
      </c>
      <c r="F1810" s="1230"/>
      <c r="G1810" s="1290"/>
      <c r="H1810" s="1290"/>
      <c r="I1810" s="1611"/>
      <c r="J1810" s="1290"/>
      <c r="K1810" s="1290"/>
      <c r="L1810" s="1290"/>
      <c r="M1810" s="1290"/>
      <c r="N1810" s="1290"/>
      <c r="O1810" s="1290"/>
      <c r="P1810" s="1230"/>
      <c r="Q1810" s="1230"/>
      <c r="R1810" s="1230"/>
      <c r="S1810" s="1230"/>
      <c r="T1810" s="1230"/>
      <c r="U1810" s="1230"/>
      <c r="V1810" s="1230"/>
      <c r="W1810" s="1230"/>
      <c r="X1810" s="1230"/>
      <c r="Y1810" s="1230"/>
    </row>
    <row r="1811" customFormat="false" ht="15.75" hidden="true" customHeight="true" outlineLevel="1" collapsed="false">
      <c r="A1811" s="1751" t="str">
        <f aca="false">'Ввод данных'!A981</f>
        <v>Нет техники</v>
      </c>
      <c r="B1811" s="1527" t="s">
        <v>159</v>
      </c>
      <c r="C1811" s="1527" t="n">
        <f aca="false">'Ввод данных'!C981</f>
        <v>6</v>
      </c>
      <c r="D1811" s="1527" t="n">
        <f aca="false">VLOOKUP(A1811,'Прайс лист'!B180:G194,6,0)</f>
        <v>0</v>
      </c>
      <c r="E1811" s="1290" t="n">
        <f aca="false">C1811*D1811</f>
        <v>0</v>
      </c>
      <c r="F1811" s="1230"/>
      <c r="G1811" s="1290"/>
      <c r="H1811" s="1290"/>
      <c r="I1811" s="1611"/>
      <c r="J1811" s="1290"/>
      <c r="K1811" s="1290"/>
      <c r="L1811" s="1290"/>
      <c r="M1811" s="1290"/>
      <c r="N1811" s="1290"/>
      <c r="O1811" s="1290"/>
      <c r="P1811" s="1230"/>
      <c r="Q1811" s="1230"/>
      <c r="R1811" s="1230"/>
      <c r="S1811" s="1230"/>
      <c r="T1811" s="1230"/>
      <c r="U1811" s="1230"/>
      <c r="V1811" s="1230"/>
      <c r="W1811" s="1230"/>
      <c r="X1811" s="1230"/>
      <c r="Y1811" s="1230"/>
    </row>
    <row r="1812" customFormat="false" ht="15.75" hidden="true" customHeight="true" outlineLevel="1" collapsed="false">
      <c r="A1812" s="1751" t="str">
        <f aca="false">'Ввод данных'!A982</f>
        <v>Нет техники</v>
      </c>
      <c r="B1812" s="1527"/>
      <c r="C1812" s="1527" t="n">
        <f aca="false">'Ввод данных'!C982</f>
        <v>0</v>
      </c>
      <c r="D1812" s="1527" t="n">
        <f aca="false">VLOOKUP(A1812,'Прайс лист'!B180:G194,6,0)</f>
        <v>0</v>
      </c>
      <c r="E1812" s="1290" t="n">
        <f aca="false">C1812*D1812</f>
        <v>0</v>
      </c>
      <c r="F1812" s="1230"/>
      <c r="G1812" s="1311"/>
      <c r="H1812" s="1311"/>
      <c r="I1812" s="1696"/>
      <c r="J1812" s="1311"/>
      <c r="K1812" s="1311"/>
      <c r="L1812" s="1311"/>
      <c r="M1812" s="1311"/>
      <c r="N1812" s="1311"/>
      <c r="O1812" s="1290"/>
      <c r="P1812" s="1230"/>
      <c r="Q1812" s="1230"/>
      <c r="R1812" s="1230"/>
      <c r="S1812" s="1230"/>
      <c r="T1812" s="1230"/>
      <c r="U1812" s="1230"/>
      <c r="V1812" s="1230"/>
      <c r="W1812" s="1230"/>
      <c r="X1812" s="1230"/>
      <c r="Y1812" s="1230"/>
    </row>
    <row r="1813" customFormat="false" ht="15.75" hidden="true" customHeight="true" outlineLevel="1" collapsed="false">
      <c r="A1813" s="1769"/>
      <c r="B1813" s="1719"/>
      <c r="C1813" s="1719"/>
      <c r="D1813" s="1719"/>
      <c r="E1813" s="1611" t="n">
        <f aca="false">SUM(E1786:E1811)</f>
        <v>182356.1922</v>
      </c>
      <c r="F1813" s="1230"/>
      <c r="G1813" s="1230"/>
      <c r="H1813" s="1230"/>
      <c r="I1813" s="1770"/>
      <c r="J1813" s="1230"/>
      <c r="K1813" s="1230"/>
      <c r="L1813" s="1230"/>
      <c r="M1813" s="1230"/>
      <c r="N1813" s="1230"/>
      <c r="O1813" s="1290" t="n">
        <f aca="false">SUM(O1786:O1811)</f>
        <v>167260.32</v>
      </c>
      <c r="P1813" s="1230"/>
      <c r="Q1813" s="1230"/>
      <c r="R1813" s="1230"/>
      <c r="S1813" s="1230"/>
      <c r="T1813" s="1230"/>
      <c r="U1813" s="1230"/>
      <c r="V1813" s="1230"/>
      <c r="W1813" s="1230"/>
      <c r="X1813" s="1230"/>
      <c r="Y1813" s="1230"/>
    </row>
    <row r="1814" customFormat="false" ht="15.75" hidden="false" customHeight="true" outlineLevel="0" collapsed="false">
      <c r="A1814" s="1914" t="s">
        <v>3799</v>
      </c>
      <c r="B1814" s="1689"/>
      <c r="C1814" s="1773" t="s">
        <v>3663</v>
      </c>
      <c r="D1814" s="1694"/>
      <c r="E1814" s="1694"/>
      <c r="F1814" s="1695"/>
      <c r="G1814" s="1230"/>
      <c r="H1814" s="1230"/>
      <c r="I1814" s="1770"/>
      <c r="J1814" s="1230"/>
      <c r="K1814" s="1230"/>
      <c r="L1814" s="1230"/>
      <c r="M1814" s="1230"/>
      <c r="N1814" s="1230"/>
      <c r="O1814" s="1230"/>
      <c r="P1814" s="1230"/>
      <c r="Q1814" s="1230"/>
      <c r="R1814" s="1230"/>
      <c r="S1814" s="1230"/>
      <c r="T1814" s="1230"/>
      <c r="U1814" s="1230"/>
      <c r="V1814" s="1230"/>
      <c r="W1814" s="1230"/>
      <c r="X1814" s="1230"/>
      <c r="Y1814" s="1230"/>
    </row>
    <row r="1815" customFormat="false" ht="15.75" hidden="false" customHeight="true" outlineLevel="0" collapsed="false">
      <c r="A1815" s="1230"/>
      <c r="B1815" s="1771"/>
      <c r="C1815" s="1771"/>
      <c r="D1815" s="1230"/>
      <c r="E1815" s="1230"/>
      <c r="F1815" s="1230"/>
      <c r="G1815" s="1230"/>
      <c r="H1815" s="1230"/>
      <c r="I1815" s="1770"/>
      <c r="J1815" s="1230"/>
      <c r="K1815" s="1230"/>
      <c r="L1815" s="1230"/>
      <c r="M1815" s="1230"/>
      <c r="N1815" s="1230"/>
      <c r="O1815" s="1230"/>
      <c r="P1815" s="1230"/>
      <c r="Q1815" s="1230"/>
      <c r="R1815" s="1230"/>
      <c r="S1815" s="1230"/>
      <c r="T1815" s="1230"/>
      <c r="U1815" s="1230"/>
      <c r="V1815" s="1230"/>
      <c r="W1815" s="1230"/>
      <c r="X1815" s="1230"/>
      <c r="Y1815" s="1230"/>
    </row>
    <row r="1816" customFormat="false" ht="15.75" hidden="true" customHeight="true" outlineLevel="1" collapsed="false">
      <c r="A1816" s="1901" t="s">
        <v>3800</v>
      </c>
      <c r="B1816" s="1902"/>
      <c r="C1816" s="1902"/>
      <c r="D1816" s="1903"/>
      <c r="E1816" s="1903"/>
      <c r="F1816" s="1903"/>
      <c r="G1816" s="1903"/>
      <c r="H1816" s="1903"/>
      <c r="I1816" s="1904"/>
      <c r="J1816" s="1903"/>
      <c r="K1816" s="1903"/>
      <c r="L1816" s="1903"/>
      <c r="M1816" s="1903"/>
      <c r="N1816" s="1903"/>
      <c r="O1816" s="1905"/>
      <c r="P1816" s="1230"/>
      <c r="Q1816" s="1230"/>
      <c r="R1816" s="1230"/>
      <c r="S1816" s="1230"/>
      <c r="T1816" s="1230"/>
      <c r="U1816" s="1230"/>
      <c r="V1816" s="1230"/>
      <c r="W1816" s="1230"/>
      <c r="X1816" s="1230"/>
      <c r="Y1816" s="1230"/>
    </row>
    <row r="1817" customFormat="false" ht="15.75" hidden="true" customHeight="true" outlineLevel="1" collapsed="false">
      <c r="A1817" s="1735" t="s">
        <v>1806</v>
      </c>
      <c r="B1817" s="1736"/>
      <c r="C1817" s="1736"/>
      <c r="D1817" s="1164"/>
      <c r="E1817" s="1164"/>
      <c r="F1817" s="1737"/>
      <c r="G1817" s="1784" t="n">
        <f aca="false">G1750</f>
        <v>1.1</v>
      </c>
      <c r="H1817" s="1785"/>
      <c r="I1817" s="1723" t="n">
        <f aca="false">I1750</f>
        <v>1</v>
      </c>
      <c r="J1817" s="1722"/>
      <c r="K1817" s="1722"/>
      <c r="L1817" s="1722"/>
      <c r="M1817" s="1722"/>
      <c r="N1817" s="1722"/>
      <c r="O1817" s="1722"/>
      <c r="P1817" s="1230"/>
      <c r="Q1817" s="1230"/>
      <c r="R1817" s="1230"/>
      <c r="S1817" s="1230"/>
      <c r="T1817" s="1230"/>
      <c r="U1817" s="1230"/>
      <c r="V1817" s="1230"/>
      <c r="W1817" s="1230"/>
      <c r="X1817" s="1230"/>
      <c r="Y1817" s="1230"/>
    </row>
    <row r="1818" customFormat="false" ht="15.75" hidden="true" customHeight="true" outlineLevel="1" collapsed="false">
      <c r="A1818" s="1527" t="s">
        <v>2624</v>
      </c>
      <c r="B1818" s="1527"/>
      <c r="C1818" s="1527" t="n">
        <f aca="false">C1767</f>
        <v>110.4</v>
      </c>
      <c r="D1818" s="1230"/>
      <c r="E1818" s="1230"/>
      <c r="F1818" s="1230"/>
      <c r="G1818" s="1230"/>
      <c r="H1818" s="1230"/>
      <c r="I1818" s="1770"/>
      <c r="J1818" s="1230"/>
      <c r="K1818" s="1230"/>
      <c r="L1818" s="1230"/>
      <c r="M1818" s="1230"/>
      <c r="N1818" s="1230"/>
      <c r="O1818" s="1230"/>
      <c r="P1818" s="1230"/>
      <c r="Q1818" s="1230"/>
      <c r="R1818" s="1230"/>
      <c r="S1818" s="1230"/>
      <c r="T1818" s="1230"/>
      <c r="U1818" s="1230"/>
      <c r="V1818" s="1230"/>
      <c r="W1818" s="1230"/>
      <c r="X1818" s="1230"/>
      <c r="Y1818" s="1230"/>
    </row>
    <row r="1819" customFormat="false" ht="15.75" hidden="true" customHeight="true" outlineLevel="1" collapsed="false">
      <c r="A1819" s="1527" t="s">
        <v>3801</v>
      </c>
      <c r="B1819" s="1527"/>
      <c r="C1819" s="1527" t="n">
        <f aca="false">C1766</f>
        <v>0</v>
      </c>
      <c r="D1819" s="1230"/>
      <c r="E1819" s="1230"/>
      <c r="F1819" s="1230"/>
      <c r="G1819" s="1230"/>
      <c r="H1819" s="1230"/>
      <c r="I1819" s="1770"/>
      <c r="J1819" s="1230"/>
      <c r="K1819" s="1230"/>
      <c r="L1819" s="1230"/>
      <c r="M1819" s="1230"/>
      <c r="N1819" s="1230"/>
      <c r="O1819" s="1230"/>
      <c r="P1819" s="1230"/>
      <c r="Q1819" s="1230"/>
      <c r="R1819" s="1230"/>
      <c r="S1819" s="1230"/>
      <c r="T1819" s="1230"/>
      <c r="U1819" s="1230"/>
      <c r="V1819" s="1230"/>
      <c r="W1819" s="1230"/>
      <c r="X1819" s="1230"/>
      <c r="Y1819" s="1230"/>
    </row>
    <row r="1820" customFormat="false" ht="15.75" hidden="true" customHeight="true" outlineLevel="1" collapsed="false">
      <c r="A1820" s="1751" t="s">
        <v>3678</v>
      </c>
      <c r="B1820" s="1527" t="s">
        <v>133</v>
      </c>
      <c r="C1820" s="1689" t="n">
        <f aca="false">C1768</f>
        <v>100</v>
      </c>
      <c r="D1820" s="1230"/>
      <c r="E1820" s="1230"/>
      <c r="F1820" s="1230"/>
      <c r="G1820" s="1230"/>
      <c r="H1820" s="1230"/>
      <c r="I1820" s="1770"/>
      <c r="J1820" s="1230"/>
      <c r="K1820" s="1230"/>
      <c r="L1820" s="1230"/>
      <c r="M1820" s="1230"/>
      <c r="N1820" s="1230"/>
      <c r="O1820" s="1230"/>
      <c r="P1820" s="1230"/>
      <c r="Q1820" s="1230"/>
      <c r="R1820" s="1230"/>
      <c r="S1820" s="1230"/>
      <c r="T1820" s="1230"/>
      <c r="U1820" s="1230"/>
      <c r="V1820" s="1230"/>
      <c r="W1820" s="1230"/>
      <c r="X1820" s="1230"/>
      <c r="Y1820" s="1230"/>
    </row>
    <row r="1821" customFormat="false" ht="15.75" hidden="true" customHeight="true" outlineLevel="1" collapsed="false">
      <c r="A1821" s="1751" t="s">
        <v>3679</v>
      </c>
      <c r="B1821" s="1527" t="s">
        <v>133</v>
      </c>
      <c r="C1821" s="1689" t="n">
        <f aca="false">C1769</f>
        <v>100</v>
      </c>
      <c r="D1821" s="1230"/>
      <c r="E1821" s="1230"/>
      <c r="F1821" s="1230"/>
      <c r="G1821" s="1230"/>
      <c r="H1821" s="1230"/>
      <c r="I1821" s="1770"/>
      <c r="J1821" s="1230"/>
      <c r="K1821" s="1230"/>
      <c r="L1821" s="1230"/>
      <c r="M1821" s="1230"/>
      <c r="N1821" s="1230"/>
      <c r="O1821" s="1230"/>
      <c r="P1821" s="1230"/>
      <c r="Q1821" s="1230"/>
      <c r="R1821" s="1230"/>
      <c r="S1821" s="1230"/>
      <c r="T1821" s="1230"/>
      <c r="U1821" s="1230"/>
      <c r="V1821" s="1230"/>
      <c r="W1821" s="1230"/>
      <c r="X1821" s="1230"/>
      <c r="Y1821" s="1230"/>
    </row>
    <row r="1822" customFormat="false" ht="15.75" hidden="true" customHeight="true" outlineLevel="1" collapsed="false">
      <c r="A1822" s="1751" t="s">
        <v>3633</v>
      </c>
      <c r="B1822" s="1527" t="s">
        <v>133</v>
      </c>
      <c r="C1822" s="1753" t="n">
        <f aca="false">связи1!C159</f>
        <v>0</v>
      </c>
      <c r="D1822" s="1230"/>
      <c r="E1822" s="1230"/>
      <c r="F1822" s="1230"/>
      <c r="G1822" s="933" t="n">
        <f aca="false">C1822*I1822+C1822*2</f>
        <v>0</v>
      </c>
      <c r="H1822" s="933"/>
      <c r="I1822" s="1611" t="n">
        <f aca="false">(1/C1752)*C1753*2</f>
        <v>2</v>
      </c>
      <c r="J1822" s="1230"/>
      <c r="K1822" s="1230"/>
      <c r="L1822" s="1230"/>
      <c r="M1822" s="1230"/>
      <c r="N1822" s="1230"/>
      <c r="O1822" s="1230"/>
      <c r="P1822" s="1230"/>
      <c r="Q1822" s="1230"/>
      <c r="R1822" s="1230"/>
      <c r="S1822" s="1230"/>
      <c r="T1822" s="1230"/>
      <c r="U1822" s="1230"/>
      <c r="V1822" s="1230"/>
      <c r="W1822" s="1230"/>
      <c r="X1822" s="1230"/>
      <c r="Y1822" s="1230"/>
    </row>
    <row r="1823" customFormat="false" ht="15.75" hidden="true" customHeight="true" outlineLevel="1" collapsed="false">
      <c r="A1823" s="1751" t="s">
        <v>3687</v>
      </c>
      <c r="B1823" s="1527" t="s">
        <v>133</v>
      </c>
      <c r="C1823" s="1753" t="n">
        <f aca="false">C1822</f>
        <v>0</v>
      </c>
      <c r="D1823" s="1230"/>
      <c r="E1823" s="1230"/>
      <c r="F1823" s="1230"/>
      <c r="G1823" s="1290"/>
      <c r="H1823" s="1290"/>
      <c r="I1823" s="1611"/>
      <c r="J1823" s="1230"/>
      <c r="K1823" s="1230"/>
      <c r="L1823" s="1230"/>
      <c r="M1823" s="1230"/>
      <c r="N1823" s="1230"/>
      <c r="O1823" s="1230"/>
      <c r="P1823" s="1230"/>
      <c r="Q1823" s="1230"/>
      <c r="R1823" s="1230"/>
      <c r="S1823" s="1230"/>
      <c r="T1823" s="1230"/>
      <c r="U1823" s="1230"/>
      <c r="V1823" s="1230"/>
      <c r="W1823" s="1230"/>
      <c r="X1823" s="1230"/>
      <c r="Y1823" s="1230"/>
    </row>
    <row r="1824" customFormat="false" ht="15.75" hidden="true" customHeight="true" outlineLevel="1" collapsed="false">
      <c r="A1824" s="1751" t="s">
        <v>3802</v>
      </c>
      <c r="B1824" s="1527" t="s">
        <v>133</v>
      </c>
      <c r="C1824" s="1753" t="n">
        <f aca="false">C1825+C1826</f>
        <v>0</v>
      </c>
      <c r="D1824" s="1230"/>
      <c r="E1824" s="1230"/>
      <c r="F1824" s="1230"/>
      <c r="G1824" s="933" t="n">
        <f aca="false">C1824*I1824+C1824*2</f>
        <v>0</v>
      </c>
      <c r="H1824" s="933"/>
      <c r="I1824" s="1611" t="n">
        <f aca="false">1/C1754*C1755*2</f>
        <v>1.5</v>
      </c>
      <c r="J1824" s="1230"/>
      <c r="K1824" s="1230"/>
      <c r="L1824" s="1230"/>
      <c r="M1824" s="1230"/>
      <c r="N1824" s="1230"/>
      <c r="O1824" s="1230"/>
      <c r="P1824" s="1230"/>
      <c r="Q1824" s="1230"/>
      <c r="R1824" s="1230"/>
      <c r="S1824" s="1230"/>
      <c r="T1824" s="1230"/>
      <c r="U1824" s="1230"/>
      <c r="V1824" s="1230"/>
      <c r="W1824" s="1230"/>
      <c r="X1824" s="1230"/>
      <c r="Y1824" s="1230"/>
    </row>
    <row r="1825" customFormat="false" ht="15.75" hidden="true" customHeight="true" outlineLevel="1" collapsed="false">
      <c r="A1825" s="1751" t="s">
        <v>3803</v>
      </c>
      <c r="B1825" s="1527" t="s">
        <v>133</v>
      </c>
      <c r="C1825" s="1753" t="n">
        <f aca="false">связи1!D159</f>
        <v>0</v>
      </c>
      <c r="D1825" s="1230"/>
      <c r="E1825" s="1230"/>
      <c r="F1825" s="1230"/>
      <c r="G1825" s="933"/>
      <c r="H1825" s="933"/>
      <c r="I1825" s="1611" t="n">
        <f aca="false">1/C1756*C1757*2</f>
        <v>1</v>
      </c>
      <c r="J1825" s="1230"/>
      <c r="K1825" s="1230"/>
      <c r="L1825" s="1230"/>
      <c r="M1825" s="1230"/>
      <c r="N1825" s="1230"/>
      <c r="O1825" s="1230"/>
      <c r="P1825" s="1230"/>
      <c r="Q1825" s="1230"/>
      <c r="R1825" s="1230"/>
      <c r="S1825" s="1230"/>
      <c r="T1825" s="1230"/>
      <c r="U1825" s="1230"/>
      <c r="V1825" s="1230"/>
      <c r="W1825" s="1230"/>
      <c r="X1825" s="1230"/>
      <c r="Y1825" s="1230"/>
    </row>
    <row r="1826" customFormat="false" ht="15.75" hidden="true" customHeight="true" outlineLevel="1" collapsed="false">
      <c r="A1826" s="1751" t="s">
        <v>2860</v>
      </c>
      <c r="B1826" s="1527" t="s">
        <v>133</v>
      </c>
      <c r="C1826" s="1753" t="n">
        <f aca="false">связи1!E159</f>
        <v>0</v>
      </c>
      <c r="D1826" s="1230"/>
      <c r="E1826" s="1230"/>
      <c r="F1826" s="1230"/>
      <c r="G1826" s="933" t="n">
        <f aca="false">C1826*I1826+C1826*2</f>
        <v>0</v>
      </c>
      <c r="H1826" s="998"/>
      <c r="I1826" s="1696"/>
      <c r="J1826" s="1230"/>
      <c r="K1826" s="1230"/>
      <c r="L1826" s="1230"/>
      <c r="M1826" s="1230"/>
      <c r="N1826" s="1230"/>
      <c r="O1826" s="1230"/>
      <c r="P1826" s="1230"/>
      <c r="Q1826" s="1230"/>
      <c r="R1826" s="1230"/>
      <c r="S1826" s="1230"/>
      <c r="T1826" s="1230"/>
      <c r="U1826" s="1230"/>
      <c r="V1826" s="1230"/>
      <c r="W1826" s="1230"/>
      <c r="X1826" s="1230"/>
      <c r="Y1826" s="1230"/>
    </row>
    <row r="1827" customFormat="false" ht="15.75" hidden="true" customHeight="true" outlineLevel="1" collapsed="false">
      <c r="A1827" s="1751" t="s">
        <v>3638</v>
      </c>
      <c r="B1827" s="1527" t="s">
        <v>133</v>
      </c>
      <c r="C1827" s="1753" t="n">
        <f aca="false">C1824</f>
        <v>0</v>
      </c>
      <c r="D1827" s="1230"/>
      <c r="E1827" s="1230"/>
      <c r="F1827" s="1230"/>
      <c r="G1827" s="1290" t="n">
        <f aca="false">SUM(G1822:G1826)</f>
        <v>0</v>
      </c>
      <c r="H1827" s="1311"/>
      <c r="I1827" s="1311"/>
      <c r="J1827" s="1230"/>
      <c r="K1827" s="1230"/>
      <c r="L1827" s="1230"/>
      <c r="M1827" s="1230"/>
      <c r="N1827" s="1230"/>
      <c r="O1827" s="1230"/>
      <c r="P1827" s="1230"/>
      <c r="Q1827" s="1230"/>
      <c r="R1827" s="1230"/>
      <c r="S1827" s="1230"/>
      <c r="T1827" s="1230"/>
      <c r="U1827" s="1230"/>
      <c r="V1827" s="1230"/>
      <c r="W1827" s="1230"/>
      <c r="X1827" s="1230"/>
      <c r="Y1827" s="1230"/>
    </row>
    <row r="1828" customFormat="false" ht="15.75" hidden="true" customHeight="true" outlineLevel="1" collapsed="false">
      <c r="A1828" s="1751" t="s">
        <v>3804</v>
      </c>
      <c r="B1828" s="1527" t="s">
        <v>133</v>
      </c>
      <c r="C1828" s="1689" t="n">
        <f aca="false">C1777</f>
        <v>0</v>
      </c>
      <c r="D1828" s="1230"/>
      <c r="E1828" s="1230"/>
      <c r="F1828" s="1230"/>
      <c r="G1828" s="1230"/>
      <c r="H1828" s="1230"/>
      <c r="I1828" s="1770"/>
      <c r="J1828" s="1230"/>
      <c r="K1828" s="1230"/>
      <c r="L1828" s="1230"/>
      <c r="M1828" s="1230"/>
      <c r="N1828" s="1230"/>
      <c r="O1828" s="1230"/>
      <c r="P1828" s="1230"/>
      <c r="Q1828" s="1230"/>
      <c r="R1828" s="1230"/>
      <c r="S1828" s="1230"/>
      <c r="T1828" s="1230"/>
      <c r="U1828" s="1230"/>
      <c r="V1828" s="1230"/>
      <c r="W1828" s="1230"/>
      <c r="X1828" s="1230"/>
      <c r="Y1828" s="1230"/>
    </row>
    <row r="1829" customFormat="false" ht="15.75" hidden="true" customHeight="true" outlineLevel="1" collapsed="false">
      <c r="A1829" s="1909" t="s">
        <v>2720</v>
      </c>
      <c r="B1829" s="1910" t="s">
        <v>1094</v>
      </c>
      <c r="C1829" s="1910" t="s">
        <v>120</v>
      </c>
      <c r="D1829" s="1910" t="s">
        <v>3764</v>
      </c>
      <c r="E1829" s="1911" t="s">
        <v>2722</v>
      </c>
      <c r="F1829" s="1230"/>
      <c r="G1829" s="1906" t="s">
        <v>1409</v>
      </c>
      <c r="H1829" s="1912"/>
      <c r="I1829" s="1913"/>
      <c r="J1829" s="1911" t="s">
        <v>1802</v>
      </c>
      <c r="K1829" s="1911" t="s">
        <v>2721</v>
      </c>
      <c r="L1829" s="1911"/>
      <c r="M1829" s="1911"/>
      <c r="N1829" s="1911"/>
      <c r="O1829" s="1911" t="s">
        <v>2722</v>
      </c>
      <c r="P1829" s="1230"/>
      <c r="Q1829" s="1230"/>
      <c r="R1829" s="1230"/>
      <c r="S1829" s="1230"/>
      <c r="T1829" s="1230"/>
      <c r="U1829" s="1230"/>
      <c r="V1829" s="1230"/>
      <c r="W1829" s="1230"/>
      <c r="X1829" s="1230"/>
      <c r="Y1829" s="1230"/>
    </row>
    <row r="1830" customFormat="false" ht="15.75" hidden="true" customHeight="true" outlineLevel="1" collapsed="false">
      <c r="A1830" s="1751" t="str">
        <f aca="false">A1786</f>
        <v>Листв. влаж, 200*200мм</v>
      </c>
      <c r="B1830" s="1527" t="str">
        <f aca="false">B1786</f>
        <v>м3</v>
      </c>
      <c r="C1830" s="1751" t="n">
        <f aca="false">C1786</f>
        <v>2.552</v>
      </c>
      <c r="D1830" s="1751" t="n">
        <f aca="false">D1786</f>
        <v>9000</v>
      </c>
      <c r="E1830" s="1290" t="n">
        <f aca="false">C1830*D1830</f>
        <v>22968</v>
      </c>
      <c r="F1830" s="1230"/>
      <c r="G1830" s="1557" t="str">
        <f aca="false">'Прайс лист'!B1698</f>
        <v>кладка Профилированного бруса</v>
      </c>
      <c r="H1830" s="1694"/>
      <c r="I1830" s="1765"/>
      <c r="J1830" s="1290" t="n">
        <f aca="false">(C1830+C1831+C1832+C1833)*I1817</f>
        <v>24.288</v>
      </c>
      <c r="K1830" s="1290" t="n">
        <f aca="false">'Прайс лист'!G1698</f>
        <v>6000</v>
      </c>
      <c r="L1830" s="1290"/>
      <c r="M1830" s="1290"/>
      <c r="N1830" s="1290"/>
      <c r="O1830" s="1290" t="n">
        <f aca="false">J1830*K1830</f>
        <v>145728</v>
      </c>
      <c r="P1830" s="1230"/>
      <c r="Q1830" s="1230"/>
      <c r="R1830" s="1230"/>
      <c r="S1830" s="1230"/>
      <c r="T1830" s="1230"/>
      <c r="U1830" s="1230"/>
      <c r="V1830" s="1230"/>
      <c r="W1830" s="1230"/>
      <c r="X1830" s="1230"/>
      <c r="Y1830" s="1230"/>
    </row>
    <row r="1831" customFormat="false" ht="15.75" hidden="true" customHeight="true" outlineLevel="1" collapsed="false">
      <c r="A1831" s="1751" t="str">
        <f aca="false">A1787</f>
        <v>Сосна влаж, 200*200мм</v>
      </c>
      <c r="B1831" s="1527" t="str">
        <f aca="false">B1787</f>
        <v>м3</v>
      </c>
      <c r="C1831" s="1751" t="n">
        <f aca="false">(C1822+C1818)*C1753*G1750-C1830</f>
        <v>21.736</v>
      </c>
      <c r="D1831" s="1751" t="n">
        <f aca="false">D1787</f>
        <v>6500</v>
      </c>
      <c r="E1831" s="1290" t="n">
        <f aca="false">C1831*D1831</f>
        <v>141284</v>
      </c>
      <c r="F1831" s="1230"/>
      <c r="G1831" s="1557" t="str">
        <f aca="false">'Прайс лист'!B1695</f>
        <v>окосячка проемов, м.п.</v>
      </c>
      <c r="H1831" s="1694"/>
      <c r="I1831" s="1765"/>
      <c r="J1831" s="1290" t="n">
        <f aca="false">(C1758*E1758+C1759*E1759+C1760*E1760+C1761*E1761+C1762*E1762+C1763*E1763)*I1817</f>
        <v>0</v>
      </c>
      <c r="K1831" s="1290" t="n">
        <f aca="false">'Прайс лист'!G1695</f>
        <v>150</v>
      </c>
      <c r="L1831" s="1290"/>
      <c r="M1831" s="1290"/>
      <c r="N1831" s="1290"/>
      <c r="O1831" s="1290" t="n">
        <f aca="false">J1831*K1831</f>
        <v>0</v>
      </c>
      <c r="P1831" s="1230"/>
      <c r="Q1831" s="1230"/>
      <c r="R1831" s="1230"/>
      <c r="S1831" s="1230"/>
      <c r="T1831" s="1230"/>
      <c r="U1831" s="1230"/>
      <c r="V1831" s="1230"/>
      <c r="W1831" s="1230"/>
      <c r="X1831" s="1230"/>
      <c r="Y1831" s="1230"/>
    </row>
    <row r="1832" customFormat="false" ht="15.75" hidden="true" customHeight="true" outlineLevel="1" collapsed="false">
      <c r="A1832" s="1751" t="str">
        <f aca="false">A1788</f>
        <v>Сосна влаж, 200*150мм</v>
      </c>
      <c r="B1832" s="1527" t="str">
        <f aca="false">B1788</f>
        <v>м3</v>
      </c>
      <c r="C1832" s="1751" t="n">
        <f aca="false">C1825*C1755*G1750</f>
        <v>0</v>
      </c>
      <c r="D1832" s="1751" t="n">
        <f aca="false">D1788</f>
        <v>6500</v>
      </c>
      <c r="E1832" s="1290" t="n">
        <f aca="false">C1832*D1832</f>
        <v>0</v>
      </c>
      <c r="F1832" s="1230"/>
      <c r="G1832" s="933" t="str">
        <f aca="false">G1788</f>
        <v>обработка торцов на брусе</v>
      </c>
      <c r="H1832" s="933"/>
      <c r="I1832" s="933" t="n">
        <f aca="false">I1788</f>
        <v>0</v>
      </c>
      <c r="J1832" s="933" t="n">
        <f aca="false">J1788</f>
        <v>14.4</v>
      </c>
      <c r="K1832" s="933" t="n">
        <f aca="false">K1788</f>
        <v>250</v>
      </c>
      <c r="L1832" s="933" t="n">
        <f aca="false">L1788</f>
        <v>0</v>
      </c>
      <c r="M1832" s="933"/>
      <c r="N1832" s="933"/>
      <c r="O1832" s="933" t="n">
        <f aca="false">O1788</f>
        <v>3600</v>
      </c>
      <c r="P1832" s="1230"/>
      <c r="Q1832" s="1230"/>
      <c r="R1832" s="1230"/>
      <c r="S1832" s="1230"/>
      <c r="T1832" s="1230"/>
      <c r="U1832" s="1230"/>
      <c r="V1832" s="1230"/>
      <c r="W1832" s="1230"/>
      <c r="X1832" s="1230"/>
      <c r="Y1832" s="1230"/>
    </row>
    <row r="1833" customFormat="false" ht="15.75" hidden="true" customHeight="true" outlineLevel="1" collapsed="false">
      <c r="A1833" s="1751" t="str">
        <f aca="false">A1789</f>
        <v>Сосна влаж, 200*100мм</v>
      </c>
      <c r="B1833" s="1527" t="str">
        <f aca="false">B1789</f>
        <v>м2</v>
      </c>
      <c r="C1833" s="1751" t="n">
        <f aca="false">C1826*C1757*G1750</f>
        <v>0</v>
      </c>
      <c r="D1833" s="1751" t="n">
        <f aca="false">D1789</f>
        <v>6500</v>
      </c>
      <c r="E1833" s="1290" t="n">
        <f aca="false">C1833*D1833</f>
        <v>0</v>
      </c>
      <c r="F1833" s="1230"/>
      <c r="G1833" s="1290" t="str">
        <f aca="false">G1789</f>
        <v>Обаботка огнебиозащитой</v>
      </c>
      <c r="H1833" s="1290"/>
      <c r="I1833" s="1611"/>
      <c r="J1833" s="1290" t="n">
        <f aca="false">SUM(C1830:C1833)*IF(A1844='Прайс лист'!B728,0,1)</f>
        <v>24.288</v>
      </c>
      <c r="K1833" s="1290" t="n">
        <f aca="false">K1789</f>
        <v>300</v>
      </c>
      <c r="L1833" s="1290"/>
      <c r="M1833" s="1290"/>
      <c r="N1833" s="1290"/>
      <c r="O1833" s="933" t="n">
        <f aca="false">O1789</f>
        <v>7650.72000000001</v>
      </c>
      <c r="P1833" s="1230"/>
      <c r="Q1833" s="1230"/>
      <c r="R1833" s="1230"/>
      <c r="S1833" s="1230"/>
      <c r="T1833" s="1230"/>
      <c r="U1833" s="1230"/>
      <c r="V1833" s="1230"/>
      <c r="W1833" s="1230"/>
      <c r="X1833" s="1230"/>
      <c r="Y1833" s="1230"/>
    </row>
    <row r="1834" customFormat="false" ht="15.75" hidden="true" customHeight="true" outlineLevel="1" collapsed="false">
      <c r="A1834" s="1751" t="str">
        <f aca="false">A1790</f>
        <v>Шкант</v>
      </c>
      <c r="B1834" s="1527" t="str">
        <f aca="false">B1790</f>
        <v>шт</v>
      </c>
      <c r="C1834" s="1751" t="n">
        <f aca="false">CEILING((C1830+C1831+C1832+C1833)*20*G1750,1)</f>
        <v>535</v>
      </c>
      <c r="D1834" s="1751" t="n">
        <f aca="false">VLOOKUP('Ввод данных'!A943,связи1!A459:B461,2,0)</f>
        <v>6</v>
      </c>
      <c r="E1834" s="1290" t="n">
        <f aca="false">C1834*D1834</f>
        <v>3210</v>
      </c>
      <c r="F1834" s="1230"/>
      <c r="G1834" s="1290" t="str">
        <f aca="false">G1790</f>
        <v>Пропитка стен внешних</v>
      </c>
      <c r="H1834" s="1290"/>
      <c r="I1834" s="1611"/>
      <c r="J1834" s="1290" t="n">
        <f aca="false">C1822*IF(A1845='Прайс лист'!B1534,0,1)</f>
        <v>0</v>
      </c>
      <c r="K1834" s="1290" t="n">
        <f aca="false">K1790</f>
        <v>100</v>
      </c>
      <c r="L1834" s="1290"/>
      <c r="M1834" s="1290"/>
      <c r="N1834" s="1290"/>
      <c r="O1834" s="933" t="n">
        <f aca="false">O1790</f>
        <v>0</v>
      </c>
      <c r="P1834" s="1230"/>
      <c r="Q1834" s="1230"/>
      <c r="R1834" s="1230"/>
      <c r="S1834" s="1230"/>
      <c r="T1834" s="1230"/>
      <c r="U1834" s="1230"/>
      <c r="V1834" s="1230"/>
      <c r="W1834" s="1230"/>
      <c r="X1834" s="1230"/>
      <c r="Y1834" s="1230"/>
    </row>
    <row r="1835" customFormat="false" ht="15.75" hidden="true" customHeight="true" outlineLevel="1" collapsed="false">
      <c r="A1835" s="1751" t="str">
        <f aca="false">'Прайс лист'!B426</f>
        <v>Лента уплотнения</v>
      </c>
      <c r="B1835" s="1527" t="str">
        <f aca="false">B1791</f>
        <v>шт</v>
      </c>
      <c r="C1835" s="1751" t="n">
        <f aca="false">CEILING((C1822+C1825+C1826)/VLOOKUP(A1831,'Прайс лист'!B333:G419,3,0)/20*G1750*1.3,1)</f>
        <v>0</v>
      </c>
      <c r="D1835" s="1751" t="n">
        <f aca="false">'Прайс лист'!G426</f>
        <v>130</v>
      </c>
      <c r="E1835" s="1290" t="n">
        <f aca="false">C1835*D1835</f>
        <v>0</v>
      </c>
      <c r="F1835" s="1230"/>
      <c r="G1835" s="1290" t="str">
        <f aca="false">G1791</f>
        <v>Пропитка внутенних стен</v>
      </c>
      <c r="H1835" s="1290"/>
      <c r="I1835" s="1219"/>
      <c r="J1835" s="933" t="n">
        <f aca="false">(C1822+C1827*2)*IF(A1846='Прайс лист'!B1534,0,1)</f>
        <v>0</v>
      </c>
      <c r="K1835" s="1290" t="n">
        <f aca="false">K1791</f>
        <v>100</v>
      </c>
      <c r="L1835" s="933"/>
      <c r="M1835" s="933"/>
      <c r="N1835" s="933"/>
      <c r="O1835" s="933" t="n">
        <f aca="false">O1791</f>
        <v>0</v>
      </c>
      <c r="P1835" s="1230"/>
      <c r="Q1835" s="1230"/>
      <c r="R1835" s="1230"/>
      <c r="S1835" s="1230"/>
      <c r="T1835" s="1230"/>
      <c r="U1835" s="1230"/>
      <c r="V1835" s="1230"/>
      <c r="W1835" s="1230"/>
      <c r="X1835" s="1230"/>
      <c r="Y1835" s="1230"/>
    </row>
    <row r="1836" customFormat="false" ht="15.75" hidden="true" customHeight="true" outlineLevel="1" collapsed="false">
      <c r="A1836" s="1751" t="str">
        <f aca="false">A1792</f>
        <v>Гвозди строительные 3,5 x 90</v>
      </c>
      <c r="B1836" s="1527" t="str">
        <f aca="false">B1792</f>
        <v>шт</v>
      </c>
      <c r="C1836" s="1751" t="n">
        <f aca="false">C1792</f>
        <v>4.4</v>
      </c>
      <c r="D1836" s="1751" t="n">
        <f aca="false">D1792</f>
        <v>70</v>
      </c>
      <c r="E1836" s="1290" t="n">
        <f aca="false">C1836*D1836</f>
        <v>308</v>
      </c>
      <c r="F1836" s="1230"/>
      <c r="G1836" s="1290" t="str">
        <f aca="false">G1792</f>
        <v>Сверление стен для скрытой проводки</v>
      </c>
      <c r="H1836" s="1290"/>
      <c r="I1836" s="1290" t="n">
        <f aca="false">I1792</f>
        <v>0</v>
      </c>
      <c r="J1836" s="1290" t="n">
        <f aca="false">J1792</f>
        <v>180</v>
      </c>
      <c r="K1836" s="1290" t="n">
        <f aca="false">K1792</f>
        <v>300</v>
      </c>
      <c r="L1836" s="1290"/>
      <c r="M1836" s="1290"/>
      <c r="N1836" s="1290"/>
      <c r="O1836" s="1290"/>
      <c r="P1836" s="1230"/>
      <c r="Q1836" s="1230"/>
      <c r="R1836" s="1230"/>
      <c r="S1836" s="1230"/>
      <c r="T1836" s="1230"/>
      <c r="U1836" s="1230"/>
      <c r="V1836" s="1230"/>
      <c r="W1836" s="1230"/>
      <c r="X1836" s="1230"/>
      <c r="Y1836" s="1230"/>
    </row>
    <row r="1837" customFormat="false" ht="15.75" hidden="true" customHeight="true" outlineLevel="1" collapsed="false">
      <c r="A1837" s="1751" t="str">
        <f aca="false">A1793</f>
        <v>нет</v>
      </c>
      <c r="B1837" s="1527" t="str">
        <f aca="false">B1793</f>
        <v>м3</v>
      </c>
      <c r="C1837" s="1751" t="n">
        <f aca="false">((C1758*E1758+C1759*E1759)*G1750*VLOOKUP(A1793,связи1!A407:E416,5,0))</f>
        <v>0</v>
      </c>
      <c r="D1837" s="1751" t="n">
        <f aca="false">D1793</f>
        <v>0</v>
      </c>
      <c r="E1837" s="1290" t="n">
        <f aca="false">C1837*D1837</f>
        <v>0</v>
      </c>
      <c r="F1837" s="1230"/>
      <c r="G1837" s="1290" t="str">
        <f aca="false">G1793</f>
        <v>Монтаж наличника</v>
      </c>
      <c r="H1837" s="1695"/>
      <c r="I1837" s="1765"/>
      <c r="J1837" s="1290" t="n">
        <f aca="false">J1793</f>
        <v>0</v>
      </c>
      <c r="K1837" s="1290" t="n">
        <f aca="false">K1793</f>
        <v>80</v>
      </c>
      <c r="L1837" s="1290"/>
      <c r="M1837" s="1290"/>
      <c r="N1837" s="1290"/>
      <c r="O1837" s="1290"/>
      <c r="P1837" s="1230"/>
      <c r="Q1837" s="1230"/>
      <c r="R1837" s="1230"/>
      <c r="S1837" s="1230"/>
      <c r="T1837" s="1230"/>
      <c r="U1837" s="1230"/>
      <c r="V1837" s="1230"/>
      <c r="W1837" s="1230"/>
      <c r="X1837" s="1230"/>
      <c r="Y1837" s="1230"/>
    </row>
    <row r="1838" customFormat="false" ht="15.75" hidden="true" customHeight="true" outlineLevel="1" collapsed="false">
      <c r="A1838" s="1751" t="str">
        <f aca="false">A1794</f>
        <v>Доска сухая, 100*50мм</v>
      </c>
      <c r="B1838" s="1527" t="str">
        <f aca="false">B1794</f>
        <v>м3</v>
      </c>
      <c r="C1838" s="1751" t="n">
        <f aca="false">((C1760*E1760+C1762*E1762)*G1750*VLOOKUP(A1794,связи1!A407:E416,5,0))</f>
        <v>0</v>
      </c>
      <c r="D1838" s="1751" t="n">
        <f aca="false">D1794</f>
        <v>9000</v>
      </c>
      <c r="E1838" s="1290" t="n">
        <f aca="false">C1838*D1838</f>
        <v>0</v>
      </c>
      <c r="F1838" s="1230"/>
      <c r="G1838" s="1557" t="str">
        <f aca="false">G1794</f>
        <v>Шлифовка стен дома</v>
      </c>
      <c r="H1838" s="1557"/>
      <c r="I1838" s="1557" t="n">
        <f aca="false">I1794</f>
        <v>0</v>
      </c>
      <c r="J1838" s="1557" t="n">
        <f aca="false">C1822*IF('Ввод данных'!A973=связи1!A542,1,0)+(C1822+C1827*2)*IF('Ввод данных'!A976=связи1!A545,1,0)</f>
        <v>0</v>
      </c>
      <c r="K1838" s="1557" t="n">
        <f aca="false">K1794</f>
        <v>250</v>
      </c>
      <c r="L1838" s="1290"/>
      <c r="M1838" s="1290"/>
      <c r="N1838" s="1290"/>
      <c r="O1838" s="1290"/>
      <c r="P1838" s="1230"/>
      <c r="Q1838" s="1230"/>
      <c r="R1838" s="1230"/>
      <c r="S1838" s="1230"/>
      <c r="T1838" s="1230"/>
      <c r="U1838" s="1230"/>
      <c r="V1838" s="1230"/>
      <c r="W1838" s="1230"/>
      <c r="X1838" s="1230"/>
      <c r="Y1838" s="1230"/>
    </row>
    <row r="1839" customFormat="false" ht="15.75" hidden="true" customHeight="true" outlineLevel="1" collapsed="false">
      <c r="A1839" s="1751" t="str">
        <f aca="false">A1795</f>
        <v>Доска сухая калиброванная, 100*45мм</v>
      </c>
      <c r="B1839" s="1527" t="str">
        <f aca="false">B1795</f>
        <v>м3</v>
      </c>
      <c r="C1839" s="1751" t="n">
        <f aca="false">VLOOKUP(A1795,связи1!A407:E416,5,0)*(C1761*E1761+C1763*E1763)*G1750</f>
        <v>0</v>
      </c>
      <c r="D1839" s="1751" t="n">
        <f aca="false">D1795</f>
        <v>12500</v>
      </c>
      <c r="E1839" s="1290" t="n">
        <f aca="false">C1839*D1839</f>
        <v>0</v>
      </c>
      <c r="F1839" s="1230"/>
      <c r="G1839" s="1557"/>
      <c r="H1839" s="1694"/>
      <c r="I1839" s="1694"/>
      <c r="J1839" s="1557"/>
      <c r="K1839" s="1557"/>
      <c r="L1839" s="1290"/>
      <c r="M1839" s="1290"/>
      <c r="N1839" s="1290"/>
      <c r="O1839" s="1290"/>
      <c r="P1839" s="1230"/>
      <c r="Q1839" s="1230"/>
      <c r="R1839" s="1230"/>
      <c r="S1839" s="1230"/>
      <c r="T1839" s="1230"/>
      <c r="U1839" s="1230"/>
      <c r="V1839" s="1230"/>
      <c r="W1839" s="1230"/>
      <c r="X1839" s="1230"/>
      <c r="Y1839" s="1230"/>
    </row>
    <row r="1840" customFormat="false" ht="15.75" hidden="true" customHeight="true" outlineLevel="1" collapsed="false">
      <c r="A1840" s="1751" t="str">
        <f aca="false">A1796</f>
        <v>Сосна влаж, 50*50мм</v>
      </c>
      <c r="B1840" s="1527" t="str">
        <f aca="false">B1796</f>
        <v>м.п.</v>
      </c>
      <c r="C1840" s="1751" t="n">
        <f aca="false">C1796</f>
        <v>0</v>
      </c>
      <c r="D1840" s="1751" t="n">
        <f aca="false">D1796</f>
        <v>16.25</v>
      </c>
      <c r="E1840" s="1290" t="n">
        <f aca="false">C1840*D1840</f>
        <v>0</v>
      </c>
      <c r="F1840" s="1230"/>
      <c r="G1840" s="1557"/>
      <c r="H1840" s="1694"/>
      <c r="I1840" s="1765"/>
      <c r="J1840" s="1290"/>
      <c r="K1840" s="1290"/>
      <c r="L1840" s="1290"/>
      <c r="M1840" s="1290"/>
      <c r="N1840" s="1290"/>
      <c r="O1840" s="1290"/>
      <c r="P1840" s="1230"/>
      <c r="Q1840" s="1230"/>
      <c r="R1840" s="1230"/>
      <c r="S1840" s="1230"/>
      <c r="T1840" s="1230"/>
      <c r="U1840" s="1230"/>
      <c r="V1840" s="1230"/>
      <c r="W1840" s="1230"/>
      <c r="X1840" s="1230"/>
      <c r="Y1840" s="1230"/>
    </row>
    <row r="1841" customFormat="false" ht="15.75" hidden="true" customHeight="true" outlineLevel="1" collapsed="false">
      <c r="A1841" s="1751" t="str">
        <f aca="false">A1797</f>
        <v>Бензин для пилы</v>
      </c>
      <c r="B1841" s="1527" t="str">
        <f aca="false">B1797</f>
        <v>л</v>
      </c>
      <c r="C1841" s="1751" t="n">
        <f aca="false">SUM(C1830:C1833)/5</f>
        <v>4.8576</v>
      </c>
      <c r="D1841" s="1751" t="n">
        <f aca="false">D1797</f>
        <v>40</v>
      </c>
      <c r="E1841" s="1290" t="n">
        <f aca="false">C1841*D1841</f>
        <v>194.304</v>
      </c>
      <c r="F1841" s="1230"/>
      <c r="G1841" s="1557"/>
      <c r="H1841" s="1694"/>
      <c r="I1841" s="1765"/>
      <c r="J1841" s="1290"/>
      <c r="K1841" s="1290"/>
      <c r="L1841" s="1290"/>
      <c r="M1841" s="1290"/>
      <c r="N1841" s="1290"/>
      <c r="O1841" s="1290"/>
      <c r="P1841" s="1230"/>
      <c r="Q1841" s="1230"/>
      <c r="R1841" s="1230"/>
      <c r="S1841" s="1230"/>
      <c r="T1841" s="1230"/>
      <c r="U1841" s="1230"/>
      <c r="V1841" s="1230"/>
      <c r="W1841" s="1230"/>
      <c r="X1841" s="1230"/>
      <c r="Y1841" s="1230"/>
    </row>
    <row r="1842" customFormat="false" ht="15.75" hidden="true" customHeight="true" outlineLevel="1" collapsed="false">
      <c r="A1842" s="1751" t="str">
        <f aca="false">A1798</f>
        <v>Масло для пилы</v>
      </c>
      <c r="B1842" s="1527" t="str">
        <f aca="false">B1798</f>
        <v>л</v>
      </c>
      <c r="C1842" s="1751" t="n">
        <f aca="false">C1841/20</f>
        <v>0.24288</v>
      </c>
      <c r="D1842" s="1751" t="n">
        <f aca="false">D1798</f>
        <v>250</v>
      </c>
      <c r="E1842" s="1290" t="n">
        <f aca="false">C1842*D1842</f>
        <v>60.72</v>
      </c>
      <c r="F1842" s="1230"/>
      <c r="G1842" s="1557"/>
      <c r="H1842" s="1694"/>
      <c r="I1842" s="1765"/>
      <c r="J1842" s="1290"/>
      <c r="K1842" s="1290"/>
      <c r="L1842" s="1290"/>
      <c r="M1842" s="1290"/>
      <c r="N1842" s="1290"/>
      <c r="O1842" s="1290"/>
      <c r="P1842" s="1230"/>
      <c r="Q1842" s="1230"/>
      <c r="R1842" s="1230"/>
      <c r="S1842" s="1230"/>
      <c r="T1842" s="1230"/>
      <c r="U1842" s="1230"/>
      <c r="V1842" s="1230"/>
      <c r="W1842" s="1230"/>
      <c r="X1842" s="1230"/>
      <c r="Y1842" s="1230"/>
    </row>
    <row r="1843" customFormat="false" ht="15.75" hidden="true" customHeight="true" outlineLevel="1" collapsed="false">
      <c r="A1843" s="1751" t="str">
        <f aca="false">A1799</f>
        <v>Цепь для пилы</v>
      </c>
      <c r="B1843" s="1527" t="str">
        <f aca="false">B1799</f>
        <v>л</v>
      </c>
      <c r="C1843" s="1751" t="n">
        <f aca="false">CEILING((SUM(C1830:C1833)/10),1)</f>
        <v>3</v>
      </c>
      <c r="D1843" s="1751" t="n">
        <f aca="false">D1799</f>
        <v>800</v>
      </c>
      <c r="E1843" s="1290" t="n">
        <f aca="false">C1843*D1843</f>
        <v>2400</v>
      </c>
      <c r="F1843" s="1230"/>
      <c r="G1843" s="1899"/>
      <c r="H1843" s="1915"/>
      <c r="I1843" s="1765"/>
      <c r="J1843" s="1290"/>
      <c r="K1843" s="1290"/>
      <c r="L1843" s="1290"/>
      <c r="M1843" s="1290"/>
      <c r="N1843" s="1290"/>
      <c r="O1843" s="1290"/>
      <c r="P1843" s="1230"/>
      <c r="Q1843" s="1230"/>
      <c r="R1843" s="1230"/>
      <c r="S1843" s="1230"/>
      <c r="T1843" s="1230"/>
      <c r="U1843" s="1230"/>
      <c r="V1843" s="1230"/>
      <c r="W1843" s="1230"/>
      <c r="X1843" s="1230"/>
      <c r="Y1843" s="1230"/>
    </row>
    <row r="1844" customFormat="false" ht="15.75" hidden="true" customHeight="true" outlineLevel="1" collapsed="false">
      <c r="A1844" s="1751" t="str">
        <f aca="false">A1800</f>
        <v>"Профилюкс" Антисептик АНТИПЛЕСЕНЬ</v>
      </c>
      <c r="B1844" s="1527" t="str">
        <f aca="false">B1800</f>
        <v>л</v>
      </c>
      <c r="C1844" s="1751" t="n">
        <f aca="false">G1827*'Ввод данных'!C951*'Ввод данных'!C952</f>
        <v>0</v>
      </c>
      <c r="D1844" s="1751" t="n">
        <f aca="false">D1800</f>
        <v>108</v>
      </c>
      <c r="E1844" s="1290" t="n">
        <f aca="false">C1844*D1844</f>
        <v>0</v>
      </c>
      <c r="F1844" s="1230"/>
      <c r="G1844" s="1899"/>
      <c r="H1844" s="1915"/>
      <c r="I1844" s="1765"/>
      <c r="J1844" s="1290"/>
      <c r="K1844" s="1290"/>
      <c r="L1844" s="1290"/>
      <c r="M1844" s="1290"/>
      <c r="N1844" s="1290"/>
      <c r="O1844" s="1290"/>
      <c r="P1844" s="1230"/>
      <c r="Q1844" s="1230"/>
      <c r="R1844" s="1230"/>
      <c r="S1844" s="1230"/>
      <c r="T1844" s="1230"/>
      <c r="U1844" s="1230"/>
      <c r="V1844" s="1230"/>
      <c r="W1844" s="1230"/>
      <c r="X1844" s="1230"/>
      <c r="Y1844" s="1230"/>
    </row>
    <row r="1845" customFormat="false" ht="15.75" hidden="true" customHeight="true" outlineLevel="1" collapsed="false">
      <c r="A1845" s="1751" t="str">
        <f aca="false">A1801</f>
        <v>"Тонерол" Антисептик  бесцветный  1л</v>
      </c>
      <c r="B1845" s="1527" t="str">
        <f aca="false">B1801</f>
        <v>л</v>
      </c>
      <c r="C1845" s="1751" t="n">
        <f aca="false">C1822*'Ввод данных'!C956*'Ввод данных'!C957</f>
        <v>0</v>
      </c>
      <c r="D1845" s="1751" t="n">
        <f aca="false">D1801</f>
        <v>305</v>
      </c>
      <c r="E1845" s="1290" t="n">
        <f aca="false">C1845*D1845</f>
        <v>0</v>
      </c>
      <c r="F1845" s="1230"/>
      <c r="G1845" s="1899"/>
      <c r="H1845" s="1915"/>
      <c r="I1845" s="1765"/>
      <c r="J1845" s="1290"/>
      <c r="K1845" s="1290"/>
      <c r="L1845" s="1290"/>
      <c r="M1845" s="1290"/>
      <c r="N1845" s="1290"/>
      <c r="O1845" s="1290"/>
      <c r="P1845" s="1230"/>
      <c r="Q1845" s="1230"/>
      <c r="R1845" s="1230"/>
      <c r="S1845" s="1230"/>
      <c r="T1845" s="1230"/>
      <c r="U1845" s="1230"/>
      <c r="V1845" s="1230"/>
      <c r="W1845" s="1230"/>
      <c r="X1845" s="1230"/>
      <c r="Y1845" s="1230"/>
    </row>
    <row r="1846" customFormat="false" ht="15.75" hidden="true" customHeight="true" outlineLevel="1" collapsed="false">
      <c r="A1846" s="1751" t="str">
        <f aca="false">A1802</f>
        <v>"Тонерол" Антисептик  махагон  1л</v>
      </c>
      <c r="B1846" s="1527" t="str">
        <f aca="false">B1802</f>
        <v>л</v>
      </c>
      <c r="C1846" s="1751" t="n">
        <f aca="false">(C1822+C1827*2)*'Ввод данных'!C961*'Ввод данных'!C962</f>
        <v>0</v>
      </c>
      <c r="D1846" s="1751" t="n">
        <f aca="false">D1802</f>
        <v>305</v>
      </c>
      <c r="E1846" s="1290" t="n">
        <f aca="false">C1846*D1846</f>
        <v>0</v>
      </c>
      <c r="F1846" s="1230"/>
      <c r="G1846" s="1899"/>
      <c r="H1846" s="1915"/>
      <c r="I1846" s="1765"/>
      <c r="J1846" s="1290"/>
      <c r="K1846" s="1290"/>
      <c r="L1846" s="1290"/>
      <c r="M1846" s="1290"/>
      <c r="N1846" s="1290"/>
      <c r="O1846" s="1290"/>
      <c r="P1846" s="1230"/>
      <c r="Q1846" s="1230"/>
      <c r="R1846" s="1230"/>
      <c r="S1846" s="1230"/>
      <c r="T1846" s="1230"/>
      <c r="U1846" s="1230"/>
      <c r="V1846" s="1230"/>
      <c r="W1846" s="1230"/>
      <c r="X1846" s="1230"/>
      <c r="Y1846" s="1230"/>
    </row>
    <row r="1847" customFormat="false" ht="15.75" hidden="true" customHeight="true" outlineLevel="1" collapsed="false">
      <c r="A1847" s="1751" t="str">
        <f aca="false">A1803</f>
        <v>Нет наличника</v>
      </c>
      <c r="B1847" s="1527" t="str">
        <f aca="false">B1803</f>
        <v>м.п.</v>
      </c>
      <c r="C1847" s="1751" t="n">
        <f aca="false">C1803</f>
        <v>3.57</v>
      </c>
      <c r="D1847" s="1751" t="n">
        <f aca="false">D1803</f>
        <v>0</v>
      </c>
      <c r="E1847" s="1290" t="n">
        <f aca="false">C1847*D1847</f>
        <v>0</v>
      </c>
      <c r="F1847" s="1230"/>
      <c r="G1847" s="1899"/>
      <c r="H1847" s="1915"/>
      <c r="I1847" s="1765"/>
      <c r="J1847" s="1290"/>
      <c r="K1847" s="1290"/>
      <c r="L1847" s="1290"/>
      <c r="M1847" s="1290"/>
      <c r="N1847" s="1290"/>
      <c r="O1847" s="1290"/>
      <c r="P1847" s="1230"/>
      <c r="Q1847" s="1230"/>
      <c r="R1847" s="1230"/>
      <c r="S1847" s="1230"/>
      <c r="T1847" s="1230"/>
      <c r="U1847" s="1230"/>
      <c r="V1847" s="1230"/>
      <c r="W1847" s="1230"/>
      <c r="X1847" s="1230"/>
      <c r="Y1847" s="1230"/>
    </row>
    <row r="1848" customFormat="false" ht="15.75" hidden="true" customHeight="true" outlineLevel="1" collapsed="false">
      <c r="A1848" s="1751" t="str">
        <f aca="false">A1804</f>
        <v>Нет наличника</v>
      </c>
      <c r="B1848" s="1527" t="str">
        <f aca="false">B1804</f>
        <v>м.п.</v>
      </c>
      <c r="C1848" s="1751" t="n">
        <f aca="false">C1804</f>
        <v>3.57</v>
      </c>
      <c r="D1848" s="1751" t="n">
        <f aca="false">D1804</f>
        <v>0</v>
      </c>
      <c r="E1848" s="1290" t="n">
        <f aca="false">C1848*D1848</f>
        <v>0</v>
      </c>
      <c r="F1848" s="1230"/>
      <c r="G1848" s="1899"/>
      <c r="H1848" s="1915"/>
      <c r="I1848" s="1765"/>
      <c r="J1848" s="1290"/>
      <c r="K1848" s="1290"/>
      <c r="L1848" s="1290"/>
      <c r="M1848" s="1290"/>
      <c r="N1848" s="1290"/>
      <c r="O1848" s="1290"/>
      <c r="P1848" s="1230"/>
      <c r="Q1848" s="1230"/>
      <c r="R1848" s="1230"/>
      <c r="S1848" s="1230"/>
      <c r="T1848" s="1230"/>
      <c r="U1848" s="1230"/>
      <c r="V1848" s="1230"/>
      <c r="W1848" s="1230"/>
      <c r="X1848" s="1230"/>
      <c r="Y1848" s="1230"/>
    </row>
    <row r="1849" customFormat="false" ht="15.75" hidden="true" customHeight="true" outlineLevel="1" collapsed="false">
      <c r="A1849" s="1150" t="str">
        <f aca="false">A1805</f>
        <v>Бумага наждачная № 63 F(30)</v>
      </c>
      <c r="B1849" s="1150" t="str">
        <f aca="false">B1805</f>
        <v>м</v>
      </c>
      <c r="C1849" s="1150" t="n">
        <f aca="false">C1805</f>
        <v>5</v>
      </c>
      <c r="D1849" s="1150" t="n">
        <f aca="false">D1805</f>
        <v>291</v>
      </c>
      <c r="E1849" s="1290" t="n">
        <f aca="false">C1849*D1849</f>
        <v>1455</v>
      </c>
      <c r="F1849" s="1230"/>
      <c r="G1849" s="1899"/>
      <c r="H1849" s="1915"/>
      <c r="I1849" s="1765"/>
      <c r="J1849" s="1290"/>
      <c r="K1849" s="1290"/>
      <c r="L1849" s="1290"/>
      <c r="M1849" s="1290"/>
      <c r="N1849" s="1290"/>
      <c r="O1849" s="1290"/>
      <c r="P1849" s="1230"/>
      <c r="Q1849" s="1230"/>
      <c r="R1849" s="1230"/>
      <c r="S1849" s="1230"/>
      <c r="T1849" s="1230"/>
      <c r="U1849" s="1230"/>
      <c r="V1849" s="1230"/>
      <c r="W1849" s="1230"/>
      <c r="X1849" s="1230"/>
      <c r="Y1849" s="1230"/>
    </row>
    <row r="1850" customFormat="false" ht="15.75" hidden="true" customHeight="true" outlineLevel="1" collapsed="false">
      <c r="A1850" s="1150" t="str">
        <f aca="false">A1806</f>
        <v>Нет наждачной бумаги</v>
      </c>
      <c r="B1850" s="1150" t="str">
        <f aca="false">B1806</f>
        <v>м</v>
      </c>
      <c r="C1850" s="1150" t="n">
        <f aca="false">C1806</f>
        <v>0</v>
      </c>
      <c r="D1850" s="1150" t="n">
        <f aca="false">D1806</f>
        <v>0</v>
      </c>
      <c r="E1850" s="1290" t="n">
        <f aca="false">C1850*D1850</f>
        <v>0</v>
      </c>
      <c r="F1850" s="1230"/>
      <c r="G1850" s="1899"/>
      <c r="H1850" s="1915"/>
      <c r="I1850" s="1765"/>
      <c r="J1850" s="1290"/>
      <c r="K1850" s="1290"/>
      <c r="L1850" s="1290"/>
      <c r="M1850" s="1290"/>
      <c r="N1850" s="1290"/>
      <c r="O1850" s="1290"/>
      <c r="P1850" s="1230"/>
      <c r="Q1850" s="1230"/>
      <c r="R1850" s="1230"/>
      <c r="S1850" s="1230"/>
      <c r="T1850" s="1230"/>
      <c r="U1850" s="1230"/>
      <c r="V1850" s="1230"/>
      <c r="W1850" s="1230"/>
      <c r="X1850" s="1230"/>
      <c r="Y1850" s="1230"/>
    </row>
    <row r="1851" customFormat="false" ht="15.75" hidden="true" customHeight="true" outlineLevel="1" collapsed="false">
      <c r="A1851" s="1150" t="str">
        <f aca="false">A1807</f>
        <v>Бумага наждачная № 63 F(30)</v>
      </c>
      <c r="B1851" s="1150" t="str">
        <f aca="false">B1807</f>
        <v>м</v>
      </c>
      <c r="C1851" s="1150" t="n">
        <f aca="false">C1807</f>
        <v>0</v>
      </c>
      <c r="D1851" s="1150" t="n">
        <f aca="false">D1807</f>
        <v>291</v>
      </c>
      <c r="E1851" s="1290" t="n">
        <f aca="false">C1851*D1851</f>
        <v>0</v>
      </c>
      <c r="F1851" s="1230"/>
      <c r="G1851" s="1899"/>
      <c r="H1851" s="1915"/>
      <c r="I1851" s="1765"/>
      <c r="J1851" s="1290"/>
      <c r="K1851" s="1290"/>
      <c r="L1851" s="1290"/>
      <c r="M1851" s="1290"/>
      <c r="N1851" s="1290"/>
      <c r="O1851" s="1290"/>
      <c r="P1851" s="1230"/>
      <c r="Q1851" s="1230"/>
      <c r="R1851" s="1230"/>
      <c r="S1851" s="1230"/>
      <c r="T1851" s="1230"/>
      <c r="U1851" s="1230"/>
      <c r="V1851" s="1230"/>
      <c r="W1851" s="1230"/>
      <c r="X1851" s="1230"/>
      <c r="Y1851" s="1230"/>
    </row>
    <row r="1852" customFormat="false" ht="15.75" hidden="true" customHeight="true" outlineLevel="1" collapsed="false">
      <c r="A1852" s="1150" t="str">
        <f aca="false">A1808</f>
        <v>Бумага наждачная № 40</v>
      </c>
      <c r="B1852" s="1150" t="str">
        <f aca="false">B1808</f>
        <v>м</v>
      </c>
      <c r="C1852" s="1150" t="n">
        <f aca="false">C1808</f>
        <v>0</v>
      </c>
      <c r="D1852" s="1150" t="n">
        <f aca="false">D1808</f>
        <v>240</v>
      </c>
      <c r="E1852" s="1290" t="n">
        <f aca="false">C1852*D1852</f>
        <v>0</v>
      </c>
      <c r="F1852" s="1230"/>
      <c r="G1852" s="1899"/>
      <c r="H1852" s="1915"/>
      <c r="I1852" s="1765"/>
      <c r="J1852" s="1290"/>
      <c r="K1852" s="1290"/>
      <c r="L1852" s="1290"/>
      <c r="M1852" s="1290"/>
      <c r="N1852" s="1290"/>
      <c r="O1852" s="1290"/>
      <c r="P1852" s="1230"/>
      <c r="Q1852" s="1230"/>
      <c r="R1852" s="1230"/>
      <c r="S1852" s="1230"/>
      <c r="T1852" s="1230"/>
      <c r="U1852" s="1230"/>
      <c r="V1852" s="1230"/>
      <c r="W1852" s="1230"/>
      <c r="X1852" s="1230"/>
      <c r="Y1852" s="1230"/>
    </row>
    <row r="1853" customFormat="false" ht="15.75" hidden="true" customHeight="true" outlineLevel="1" collapsed="false">
      <c r="A1853" s="1150" t="str">
        <f aca="false">A1809</f>
        <v>Командировочные расходы</v>
      </c>
      <c r="B1853" s="1150" t="str">
        <f aca="false">B1809</f>
        <v>рублей</v>
      </c>
      <c r="C1853" s="1150" t="n">
        <f aca="false">C1809</f>
        <v>1</v>
      </c>
      <c r="D1853" s="1150" t="n">
        <f aca="false">D1809</f>
        <v>0</v>
      </c>
      <c r="E1853" s="1290" t="n">
        <f aca="false">C1853*D1853</f>
        <v>0</v>
      </c>
      <c r="F1853" s="1230"/>
      <c r="G1853" s="1899"/>
      <c r="H1853" s="1915"/>
      <c r="I1853" s="1765"/>
      <c r="J1853" s="1290"/>
      <c r="K1853" s="1290"/>
      <c r="L1853" s="1290"/>
      <c r="M1853" s="1290"/>
      <c r="N1853" s="1290"/>
      <c r="O1853" s="1290"/>
      <c r="P1853" s="1230"/>
      <c r="Q1853" s="1230"/>
      <c r="R1853" s="1230"/>
      <c r="S1853" s="1230"/>
      <c r="T1853" s="1230"/>
      <c r="U1853" s="1230"/>
      <c r="V1853" s="1230"/>
      <c r="W1853" s="1230"/>
      <c r="X1853" s="1230"/>
      <c r="Y1853" s="1230"/>
    </row>
    <row r="1854" customFormat="false" ht="15.75" hidden="true" customHeight="true" outlineLevel="1" collapsed="false">
      <c r="A1854" s="1751" t="str">
        <f aca="false">A1809</f>
        <v>Командировочные расходы</v>
      </c>
      <c r="B1854" s="1527" t="str">
        <f aca="false">B1809</f>
        <v>рублей</v>
      </c>
      <c r="C1854" s="1751" t="n">
        <f aca="false">C1809</f>
        <v>1</v>
      </c>
      <c r="D1854" s="1751" t="n">
        <f aca="false">D1809</f>
        <v>0</v>
      </c>
      <c r="E1854" s="1290" t="n">
        <f aca="false">C1854*D1854</f>
        <v>0</v>
      </c>
      <c r="F1854" s="1230"/>
      <c r="G1854" s="1899"/>
      <c r="H1854" s="1915"/>
      <c r="I1854" s="1765"/>
      <c r="J1854" s="1290"/>
      <c r="K1854" s="1290"/>
      <c r="L1854" s="1290"/>
      <c r="M1854" s="1290"/>
      <c r="N1854" s="1290"/>
      <c r="O1854" s="1290"/>
      <c r="P1854" s="1230"/>
      <c r="Q1854" s="1230"/>
      <c r="R1854" s="1230"/>
      <c r="S1854" s="1230"/>
      <c r="T1854" s="1230"/>
      <c r="U1854" s="1230"/>
      <c r="V1854" s="1230"/>
      <c r="W1854" s="1230"/>
      <c r="X1854" s="1230"/>
      <c r="Y1854" s="1230"/>
    </row>
    <row r="1855" customFormat="false" ht="15.75" hidden="true" customHeight="true" outlineLevel="1" collapsed="false">
      <c r="A1855" s="1751" t="str">
        <f aca="false">A1810</f>
        <v>расходные материалы дома из леса</v>
      </c>
      <c r="B1855" s="1527" t="str">
        <f aca="false">B1810</f>
        <v>шт</v>
      </c>
      <c r="C1855" s="1751" t="n">
        <f aca="false">C1810</f>
        <v>1</v>
      </c>
      <c r="D1855" s="1751" t="n">
        <f aca="false">D1810</f>
        <v>3000</v>
      </c>
      <c r="E1855" s="1290" t="n">
        <f aca="false">C1855*D1855</f>
        <v>3000</v>
      </c>
      <c r="F1855" s="1230"/>
      <c r="G1855" s="1899"/>
      <c r="H1855" s="1915"/>
      <c r="I1855" s="1765"/>
      <c r="J1855" s="1290"/>
      <c r="K1855" s="1290"/>
      <c r="L1855" s="1290"/>
      <c r="M1855" s="1290"/>
      <c r="N1855" s="1290"/>
      <c r="O1855" s="1290"/>
      <c r="P1855" s="1230"/>
      <c r="Q1855" s="1230"/>
      <c r="R1855" s="1230"/>
      <c r="S1855" s="1230"/>
      <c r="T1855" s="1230"/>
      <c r="U1855" s="1230"/>
      <c r="V1855" s="1230"/>
      <c r="W1855" s="1230"/>
      <c r="X1855" s="1230"/>
      <c r="Y1855" s="1230"/>
    </row>
    <row r="1856" customFormat="false" ht="15.75" hidden="true" customHeight="true" outlineLevel="1" collapsed="false">
      <c r="A1856" s="1751" t="str">
        <f aca="false">A1811</f>
        <v>Нет техники</v>
      </c>
      <c r="B1856" s="1527" t="str">
        <f aca="false">B1811</f>
        <v>шт</v>
      </c>
      <c r="C1856" s="1751" t="n">
        <f aca="false">C1811</f>
        <v>6</v>
      </c>
      <c r="D1856" s="1751" t="n">
        <f aca="false">D1811</f>
        <v>0</v>
      </c>
      <c r="E1856" s="1290" t="n">
        <f aca="false">C1856*D1856</f>
        <v>0</v>
      </c>
      <c r="F1856" s="1230"/>
      <c r="G1856" s="1899"/>
      <c r="H1856" s="1915"/>
      <c r="I1856" s="1765"/>
      <c r="J1856" s="1290"/>
      <c r="K1856" s="1290"/>
      <c r="L1856" s="1290"/>
      <c r="M1856" s="1290"/>
      <c r="N1856" s="1290"/>
      <c r="O1856" s="1290"/>
      <c r="P1856" s="1230"/>
      <c r="Q1856" s="1230"/>
      <c r="R1856" s="1230"/>
      <c r="S1856" s="1230"/>
      <c r="T1856" s="1230"/>
      <c r="U1856" s="1230"/>
      <c r="V1856" s="1230"/>
      <c r="W1856" s="1230"/>
      <c r="X1856" s="1230"/>
      <c r="Y1856" s="1230"/>
    </row>
    <row r="1857" customFormat="false" ht="15.75" hidden="true" customHeight="true" outlineLevel="1" collapsed="false">
      <c r="A1857" s="1751" t="str">
        <f aca="false">A1812</f>
        <v>Нет техники</v>
      </c>
      <c r="B1857" s="1527" t="n">
        <f aca="false">B1812</f>
        <v>0</v>
      </c>
      <c r="C1857" s="1751" t="n">
        <f aca="false">C1812</f>
        <v>0</v>
      </c>
      <c r="D1857" s="1751" t="n">
        <f aca="false">D1812</f>
        <v>0</v>
      </c>
      <c r="E1857" s="1290" t="n">
        <f aca="false">C1857*D1857</f>
        <v>0</v>
      </c>
      <c r="F1857" s="1230"/>
      <c r="G1857" s="1557"/>
      <c r="H1857" s="1694"/>
      <c r="I1857" s="1765"/>
      <c r="J1857" s="1290"/>
      <c r="K1857" s="1290"/>
      <c r="L1857" s="1290"/>
      <c r="M1857" s="1290"/>
      <c r="N1857" s="1290"/>
      <c r="O1857" s="1290"/>
      <c r="P1857" s="1230"/>
      <c r="Q1857" s="1230"/>
      <c r="R1857" s="1230"/>
      <c r="S1857" s="1230"/>
      <c r="T1857" s="1230"/>
      <c r="U1857" s="1230"/>
      <c r="V1857" s="1230"/>
      <c r="W1857" s="1230"/>
      <c r="X1857" s="1230"/>
      <c r="Y1857" s="1230"/>
    </row>
    <row r="1858" customFormat="false" ht="15.75" hidden="true" customHeight="true" outlineLevel="1" collapsed="false">
      <c r="A1858" s="1751"/>
      <c r="B1858" s="1527"/>
      <c r="C1858" s="1527"/>
      <c r="D1858" s="1527"/>
      <c r="E1858" s="1290"/>
      <c r="F1858" s="1230"/>
      <c r="G1858" s="1557"/>
      <c r="H1858" s="1694"/>
      <c r="I1858" s="1765"/>
      <c r="J1858" s="1290"/>
      <c r="K1858" s="1290"/>
      <c r="L1858" s="1290"/>
      <c r="M1858" s="1290"/>
      <c r="N1858" s="1290"/>
      <c r="O1858" s="1290"/>
      <c r="P1858" s="1230"/>
      <c r="Q1858" s="1230"/>
      <c r="R1858" s="1230"/>
      <c r="S1858" s="1230"/>
      <c r="T1858" s="1230"/>
      <c r="U1858" s="1230"/>
      <c r="V1858" s="1230"/>
      <c r="W1858" s="1230"/>
      <c r="X1858" s="1230"/>
      <c r="Y1858" s="1230"/>
    </row>
    <row r="1859" customFormat="false" ht="15.75" hidden="true" customHeight="true" outlineLevel="1" collapsed="false">
      <c r="A1859" s="1230"/>
      <c r="B1859" s="1141"/>
      <c r="C1859" s="1141"/>
      <c r="D1859" s="1141"/>
      <c r="E1859" s="1916" t="n">
        <f aca="false">SUM(E1830:E1858)</f>
        <v>174880.024</v>
      </c>
      <c r="F1859" s="1917"/>
      <c r="G1859" s="1917"/>
      <c r="H1859" s="1917"/>
      <c r="I1859" s="1918"/>
      <c r="J1859" s="1917"/>
      <c r="K1859" s="1917"/>
      <c r="L1859" s="1917"/>
      <c r="M1859" s="1917"/>
      <c r="N1859" s="1917"/>
      <c r="O1859" s="1144" t="n">
        <f aca="false">SUM(O1830:O1858)</f>
        <v>156978.72</v>
      </c>
      <c r="P1859" s="1230"/>
      <c r="Q1859" s="1230"/>
      <c r="R1859" s="1230"/>
      <c r="S1859" s="1230"/>
      <c r="T1859" s="1230"/>
      <c r="U1859" s="1230"/>
      <c r="V1859" s="1230"/>
      <c r="W1859" s="1230"/>
      <c r="X1859" s="1230"/>
      <c r="Y1859" s="1230"/>
    </row>
    <row r="1860" customFormat="false" ht="15.75" hidden="true" customHeight="true" outlineLevel="1" collapsed="false">
      <c r="A1860" s="1751" t="s">
        <v>3660</v>
      </c>
      <c r="B1860" s="1137" t="n">
        <f aca="false">E1859</f>
        <v>174880.024</v>
      </c>
      <c r="C1860" s="1146"/>
      <c r="D1860" s="1917"/>
      <c r="E1860" s="1917"/>
      <c r="F1860" s="1917"/>
      <c r="G1860" s="1917"/>
      <c r="H1860" s="1917"/>
      <c r="I1860" s="1918"/>
      <c r="J1860" s="1917"/>
      <c r="K1860" s="1917"/>
      <c r="L1860" s="1917"/>
      <c r="M1860" s="1917"/>
      <c r="N1860" s="1917"/>
      <c r="O1860" s="1917"/>
      <c r="P1860" s="1230"/>
      <c r="Q1860" s="1230"/>
      <c r="R1860" s="1230"/>
      <c r="S1860" s="1230"/>
      <c r="T1860" s="1230"/>
      <c r="U1860" s="1230"/>
      <c r="V1860" s="1230"/>
      <c r="W1860" s="1230"/>
      <c r="X1860" s="1230"/>
      <c r="Y1860" s="1230"/>
    </row>
    <row r="1861" customFormat="false" ht="15.75" hidden="true" customHeight="true" outlineLevel="1" collapsed="false">
      <c r="A1861" s="1751" t="s">
        <v>3661</v>
      </c>
      <c r="B1861" s="1137" t="n">
        <f aca="false">O1859</f>
        <v>156978.72</v>
      </c>
      <c r="C1861" s="1146"/>
      <c r="D1861" s="1917"/>
      <c r="E1861" s="1917"/>
      <c r="F1861" s="1917"/>
      <c r="G1861" s="1917"/>
      <c r="H1861" s="1917"/>
      <c r="I1861" s="1918"/>
      <c r="J1861" s="1917"/>
      <c r="K1861" s="1917"/>
      <c r="L1861" s="1917"/>
      <c r="M1861" s="1917"/>
      <c r="N1861" s="1917"/>
      <c r="O1861" s="1917"/>
      <c r="P1861" s="1230"/>
      <c r="Q1861" s="1230"/>
      <c r="R1861" s="1230"/>
      <c r="S1861" s="1230"/>
      <c r="T1861" s="1230"/>
      <c r="U1861" s="1230"/>
      <c r="V1861" s="1230"/>
      <c r="W1861" s="1230"/>
      <c r="X1861" s="1230"/>
      <c r="Y1861" s="1230"/>
    </row>
    <row r="1862" customFormat="false" ht="15.75" hidden="true" customHeight="true" outlineLevel="1" collapsed="false">
      <c r="A1862" s="1290" t="s">
        <v>2728</v>
      </c>
      <c r="B1862" s="1137" t="n">
        <f aca="false">SUM(B1860:B1861)</f>
        <v>331858.744</v>
      </c>
      <c r="C1862" s="1146"/>
      <c r="D1862" s="1917"/>
      <c r="E1862" s="1917"/>
      <c r="F1862" s="1917"/>
      <c r="G1862" s="1917"/>
      <c r="H1862" s="1917"/>
      <c r="I1862" s="1918"/>
      <c r="J1862" s="1917"/>
      <c r="K1862" s="1917"/>
      <c r="L1862" s="1917"/>
      <c r="M1862" s="1917"/>
      <c r="N1862" s="1917"/>
      <c r="O1862" s="1917"/>
      <c r="P1862" s="1230"/>
      <c r="Q1862" s="1230"/>
      <c r="R1862" s="1230"/>
      <c r="S1862" s="1230"/>
      <c r="T1862" s="1230"/>
      <c r="U1862" s="1230"/>
      <c r="V1862" s="1230"/>
      <c r="W1862" s="1230"/>
      <c r="X1862" s="1230"/>
      <c r="Y1862" s="1230"/>
    </row>
    <row r="1863" customFormat="false" ht="15.75" hidden="false" customHeight="true" outlineLevel="0" collapsed="false">
      <c r="A1863" s="1193" t="s">
        <v>3805</v>
      </c>
      <c r="B1863" s="1278"/>
      <c r="C1863" s="1278"/>
      <c r="D1863" s="1193"/>
      <c r="E1863" s="1193"/>
      <c r="F1863" s="1193"/>
      <c r="G1863" s="1278"/>
      <c r="H1863" s="1278"/>
      <c r="I1863" s="1770"/>
      <c r="J1863" s="1230"/>
      <c r="K1863" s="1230"/>
      <c r="L1863" s="1230"/>
      <c r="M1863" s="1230"/>
      <c r="N1863" s="1230"/>
      <c r="O1863" s="1230"/>
      <c r="P1863" s="1230"/>
      <c r="Q1863" s="1230"/>
      <c r="R1863" s="1230"/>
      <c r="S1863" s="1230"/>
      <c r="T1863" s="1230"/>
      <c r="U1863" s="1230"/>
      <c r="V1863" s="1230"/>
      <c r="W1863" s="1230"/>
      <c r="X1863" s="1230"/>
      <c r="Y1863" s="1230"/>
    </row>
    <row r="1864" customFormat="false" ht="15.75" hidden="false" customHeight="true" outlineLevel="0" collapsed="false">
      <c r="A1864" s="1193"/>
      <c r="B1864" s="1278"/>
      <c r="C1864" s="1278"/>
      <c r="D1864" s="1193"/>
      <c r="E1864" s="1193"/>
      <c r="F1864" s="1193"/>
      <c r="G1864" s="1278"/>
      <c r="H1864" s="1278"/>
      <c r="I1864" s="1770"/>
      <c r="J1864" s="1230"/>
      <c r="K1864" s="1230"/>
      <c r="L1864" s="1230"/>
      <c r="M1864" s="1230"/>
      <c r="N1864" s="1230"/>
      <c r="O1864" s="1230"/>
      <c r="P1864" s="1230"/>
      <c r="Q1864" s="1230"/>
      <c r="R1864" s="1230"/>
      <c r="S1864" s="1230"/>
      <c r="T1864" s="1230"/>
      <c r="U1864" s="1230"/>
      <c r="V1864" s="1230"/>
      <c r="W1864" s="1230"/>
      <c r="X1864" s="1230"/>
      <c r="Y1864" s="1230"/>
    </row>
    <row r="1865" customFormat="false" ht="15.75" hidden="true" customHeight="true" outlineLevel="1" collapsed="false">
      <c r="A1865" s="1901" t="s">
        <v>3806</v>
      </c>
      <c r="B1865" s="1902"/>
      <c r="C1865" s="1902"/>
      <c r="D1865" s="1903"/>
      <c r="E1865" s="1903"/>
      <c r="F1865" s="1903"/>
      <c r="G1865" s="1903"/>
      <c r="H1865" s="1903"/>
      <c r="I1865" s="1904"/>
      <c r="J1865" s="1903"/>
      <c r="K1865" s="1903"/>
      <c r="L1865" s="1903"/>
      <c r="M1865" s="1903"/>
      <c r="N1865" s="1903"/>
      <c r="O1865" s="1905"/>
      <c r="P1865" s="1230"/>
      <c r="Q1865" s="1230"/>
      <c r="R1865" s="1230"/>
      <c r="S1865" s="1230"/>
      <c r="T1865" s="1230"/>
      <c r="U1865" s="1230"/>
      <c r="V1865" s="1230"/>
      <c r="W1865" s="1230"/>
      <c r="X1865" s="1230"/>
      <c r="Y1865" s="1230"/>
    </row>
    <row r="1866" customFormat="false" ht="15.75" hidden="true" customHeight="true" outlineLevel="1" collapsed="false">
      <c r="A1866" s="1735" t="s">
        <v>1806</v>
      </c>
      <c r="B1866" s="1736"/>
      <c r="C1866" s="1736"/>
      <c r="D1866" s="1164"/>
      <c r="E1866" s="1164"/>
      <c r="F1866" s="1737"/>
      <c r="G1866" s="1784" t="n">
        <f aca="false">G1750</f>
        <v>1.1</v>
      </c>
      <c r="H1866" s="1785"/>
      <c r="I1866" s="1723" t="n">
        <f aca="false">I1750</f>
        <v>1</v>
      </c>
      <c r="J1866" s="1722"/>
      <c r="K1866" s="1722"/>
      <c r="L1866" s="1722"/>
      <c r="M1866" s="1722"/>
      <c r="N1866" s="1722"/>
      <c r="O1866" s="1722"/>
      <c r="P1866" s="1230"/>
      <c r="Q1866" s="1230"/>
      <c r="R1866" s="1230"/>
      <c r="S1866" s="1230"/>
      <c r="T1866" s="1230"/>
      <c r="U1866" s="1230"/>
      <c r="V1866" s="1230"/>
      <c r="W1866" s="1230"/>
      <c r="X1866" s="1230"/>
      <c r="Y1866" s="1230"/>
    </row>
    <row r="1867" customFormat="false" ht="15.75" hidden="true" customHeight="true" outlineLevel="1" collapsed="false">
      <c r="A1867" s="1906"/>
      <c r="B1867" s="1907"/>
      <c r="C1867" s="1908" t="n">
        <f aca="false">C1818</f>
        <v>110.4</v>
      </c>
      <c r="D1867" s="1230"/>
      <c r="E1867" s="1230"/>
      <c r="F1867" s="1230"/>
      <c r="G1867" s="1230"/>
      <c r="H1867" s="1230"/>
      <c r="I1867" s="1770"/>
      <c r="J1867" s="1230"/>
      <c r="K1867" s="1230"/>
      <c r="L1867" s="1230"/>
      <c r="M1867" s="1230"/>
      <c r="N1867" s="1230"/>
      <c r="O1867" s="1230"/>
      <c r="P1867" s="1230"/>
      <c r="Q1867" s="1230"/>
      <c r="R1867" s="1230"/>
      <c r="S1867" s="1230"/>
      <c r="T1867" s="1230"/>
      <c r="U1867" s="1230"/>
      <c r="V1867" s="1230"/>
      <c r="W1867" s="1230"/>
      <c r="X1867" s="1230"/>
      <c r="Y1867" s="1230"/>
    </row>
    <row r="1868" customFormat="false" ht="15.75" hidden="true" customHeight="true" outlineLevel="1" collapsed="false">
      <c r="A1868" s="1751" t="s">
        <v>3678</v>
      </c>
      <c r="B1868" s="1527" t="s">
        <v>133</v>
      </c>
      <c r="C1868" s="1689" t="n">
        <f aca="false">C1768</f>
        <v>100</v>
      </c>
      <c r="D1868" s="1230"/>
      <c r="E1868" s="1230"/>
      <c r="F1868" s="1230"/>
      <c r="G1868" s="1230"/>
      <c r="H1868" s="1230"/>
      <c r="I1868" s="1770"/>
      <c r="J1868" s="1230"/>
      <c r="K1868" s="1230"/>
      <c r="L1868" s="1230"/>
      <c r="M1868" s="1230"/>
      <c r="N1868" s="1230"/>
      <c r="O1868" s="1230"/>
      <c r="P1868" s="1230"/>
      <c r="Q1868" s="1230"/>
      <c r="R1868" s="1230"/>
      <c r="S1868" s="1230"/>
      <c r="T1868" s="1230"/>
      <c r="U1868" s="1230"/>
      <c r="V1868" s="1230"/>
      <c r="W1868" s="1230"/>
      <c r="X1868" s="1230"/>
      <c r="Y1868" s="1230"/>
    </row>
    <row r="1869" customFormat="false" ht="15.75" hidden="true" customHeight="true" outlineLevel="1" collapsed="false">
      <c r="A1869" s="1751" t="s">
        <v>3679</v>
      </c>
      <c r="B1869" s="1527" t="s">
        <v>133</v>
      </c>
      <c r="C1869" s="1689" t="n">
        <f aca="false">C1769</f>
        <v>100</v>
      </c>
      <c r="D1869" s="1230"/>
      <c r="E1869" s="1230"/>
      <c r="F1869" s="1230"/>
      <c r="G1869" s="1230"/>
      <c r="H1869" s="1230"/>
      <c r="I1869" s="1770"/>
      <c r="J1869" s="1230"/>
      <c r="K1869" s="1230"/>
      <c r="L1869" s="1230"/>
      <c r="M1869" s="1230"/>
      <c r="N1869" s="1230"/>
      <c r="O1869" s="1230"/>
      <c r="P1869" s="1230"/>
      <c r="Q1869" s="1230"/>
      <c r="R1869" s="1230"/>
      <c r="S1869" s="1230"/>
      <c r="T1869" s="1230"/>
      <c r="U1869" s="1230"/>
      <c r="V1869" s="1230"/>
      <c r="W1869" s="1230"/>
      <c r="X1869" s="1230"/>
      <c r="Y1869" s="1230"/>
    </row>
    <row r="1870" customFormat="false" ht="15.75" hidden="true" customHeight="true" outlineLevel="1" collapsed="false">
      <c r="A1870" s="1751" t="s">
        <v>3633</v>
      </c>
      <c r="B1870" s="1527" t="s">
        <v>133</v>
      </c>
      <c r="C1870" s="1753" t="n">
        <f aca="false">связи1!C158</f>
        <v>0</v>
      </c>
      <c r="D1870" s="1230"/>
      <c r="E1870" s="1230"/>
      <c r="F1870" s="1230"/>
      <c r="G1870" s="933" t="n">
        <f aca="false">C1870*I1870+C1870*2</f>
        <v>0</v>
      </c>
      <c r="H1870" s="998"/>
      <c r="I1870" s="1770" t="n">
        <f aca="false">(1/C1752)*C1753*2</f>
        <v>2</v>
      </c>
      <c r="J1870" s="1230"/>
      <c r="K1870" s="1230"/>
      <c r="L1870" s="1230"/>
      <c r="M1870" s="1230"/>
      <c r="N1870" s="1230"/>
      <c r="O1870" s="1230"/>
      <c r="P1870" s="1230"/>
      <c r="Q1870" s="1230"/>
      <c r="R1870" s="1230"/>
      <c r="S1870" s="1230"/>
      <c r="T1870" s="1230"/>
      <c r="U1870" s="1230"/>
      <c r="V1870" s="1230"/>
      <c r="W1870" s="1230"/>
      <c r="X1870" s="1230"/>
      <c r="Y1870" s="1230"/>
    </row>
    <row r="1871" customFormat="false" ht="15.75" hidden="true" customHeight="true" outlineLevel="1" collapsed="false">
      <c r="A1871" s="1751" t="s">
        <v>3687</v>
      </c>
      <c r="B1871" s="1527" t="s">
        <v>133</v>
      </c>
      <c r="C1871" s="1753" t="n">
        <f aca="false">C1870</f>
        <v>0</v>
      </c>
      <c r="D1871" s="1230"/>
      <c r="E1871" s="1230"/>
      <c r="F1871" s="1230"/>
      <c r="G1871" s="1230"/>
      <c r="H1871" s="1230"/>
      <c r="I1871" s="1770"/>
      <c r="J1871" s="1230"/>
      <c r="K1871" s="1230"/>
      <c r="L1871" s="1230"/>
      <c r="M1871" s="1230"/>
      <c r="N1871" s="1230"/>
      <c r="O1871" s="1230"/>
      <c r="P1871" s="1230"/>
      <c r="Q1871" s="1230"/>
      <c r="R1871" s="1230"/>
      <c r="S1871" s="1230"/>
      <c r="T1871" s="1230"/>
      <c r="U1871" s="1230"/>
      <c r="V1871" s="1230"/>
      <c r="W1871" s="1230"/>
      <c r="X1871" s="1230"/>
      <c r="Y1871" s="1230"/>
    </row>
    <row r="1872" customFormat="false" ht="15.75" hidden="true" customHeight="true" outlineLevel="1" collapsed="false">
      <c r="A1872" s="1751" t="s">
        <v>3802</v>
      </c>
      <c r="B1872" s="1527" t="s">
        <v>133</v>
      </c>
      <c r="C1872" s="1753" t="n">
        <f aca="false">связи1!D158</f>
        <v>0</v>
      </c>
      <c r="D1872" s="1230"/>
      <c r="E1872" s="1230"/>
      <c r="F1872" s="1230"/>
      <c r="G1872" s="933" t="n">
        <f aca="false">C1872*I1872+C1872*2</f>
        <v>0</v>
      </c>
      <c r="H1872" s="998"/>
      <c r="I1872" s="1770" t="n">
        <f aca="false">1/C1754*C1755*2</f>
        <v>1.5</v>
      </c>
      <c r="J1872" s="1230"/>
      <c r="K1872" s="1230"/>
      <c r="L1872" s="1230"/>
      <c r="M1872" s="1230"/>
      <c r="N1872" s="1230"/>
      <c r="O1872" s="1230"/>
      <c r="P1872" s="1230"/>
      <c r="Q1872" s="1230"/>
      <c r="R1872" s="1230"/>
      <c r="S1872" s="1230"/>
      <c r="T1872" s="1230"/>
      <c r="U1872" s="1230"/>
      <c r="V1872" s="1230"/>
      <c r="W1872" s="1230"/>
      <c r="X1872" s="1230"/>
      <c r="Y1872" s="1230"/>
    </row>
    <row r="1873" customFormat="false" ht="15.75" hidden="true" customHeight="true" outlineLevel="1" collapsed="false">
      <c r="A1873" s="1751" t="s">
        <v>3803</v>
      </c>
      <c r="B1873" s="1527" t="s">
        <v>133</v>
      </c>
      <c r="C1873" s="1753" t="n">
        <f aca="false">связи1!D158</f>
        <v>0</v>
      </c>
      <c r="D1873" s="1230"/>
      <c r="E1873" s="1230"/>
      <c r="F1873" s="1230"/>
      <c r="G1873" s="1230"/>
      <c r="H1873" s="1230"/>
      <c r="I1873" s="1770"/>
      <c r="J1873" s="1230"/>
      <c r="K1873" s="1230"/>
      <c r="L1873" s="1230"/>
      <c r="M1873" s="1230"/>
      <c r="N1873" s="1230"/>
      <c r="O1873" s="1230"/>
      <c r="P1873" s="1230"/>
      <c r="Q1873" s="1230"/>
      <c r="R1873" s="1230"/>
      <c r="S1873" s="1230"/>
      <c r="T1873" s="1230"/>
      <c r="U1873" s="1230"/>
      <c r="V1873" s="1230"/>
      <c r="W1873" s="1230"/>
      <c r="X1873" s="1230"/>
      <c r="Y1873" s="1230"/>
    </row>
    <row r="1874" customFormat="false" ht="15.75" hidden="true" customHeight="true" outlineLevel="1" collapsed="false">
      <c r="A1874" s="1751" t="s">
        <v>2860</v>
      </c>
      <c r="B1874" s="1527" t="s">
        <v>133</v>
      </c>
      <c r="C1874" s="1753" t="n">
        <f aca="false">связи1!E158</f>
        <v>0</v>
      </c>
      <c r="D1874" s="1230"/>
      <c r="E1874" s="1230"/>
      <c r="F1874" s="1230"/>
      <c r="G1874" s="933" t="n">
        <f aca="false">C1874*I1874+C1874*2</f>
        <v>0</v>
      </c>
      <c r="H1874" s="998"/>
      <c r="I1874" s="1770" t="n">
        <f aca="false">1/C1756*C1757*2</f>
        <v>1</v>
      </c>
      <c r="J1874" s="1230"/>
      <c r="K1874" s="1230"/>
      <c r="L1874" s="1230"/>
      <c r="M1874" s="1230"/>
      <c r="N1874" s="1230"/>
      <c r="O1874" s="1230"/>
      <c r="P1874" s="1230"/>
      <c r="Q1874" s="1230"/>
      <c r="R1874" s="1230"/>
      <c r="S1874" s="1230"/>
      <c r="T1874" s="1230"/>
      <c r="U1874" s="1230"/>
      <c r="V1874" s="1230"/>
      <c r="W1874" s="1230"/>
      <c r="X1874" s="1230"/>
      <c r="Y1874" s="1230"/>
    </row>
    <row r="1875" customFormat="false" ht="15.75" hidden="true" customHeight="true" outlineLevel="1" collapsed="false">
      <c r="A1875" s="1751" t="s">
        <v>3638</v>
      </c>
      <c r="B1875" s="1527" t="s">
        <v>133</v>
      </c>
      <c r="C1875" s="1753" t="n">
        <f aca="false">C1873+C1874</f>
        <v>0</v>
      </c>
      <c r="D1875" s="1230"/>
      <c r="E1875" s="1230"/>
      <c r="F1875" s="1230"/>
      <c r="G1875" s="1230" t="n">
        <f aca="false">SUM(G1870:G1874)</f>
        <v>0</v>
      </c>
      <c r="H1875" s="1230"/>
      <c r="I1875" s="1770"/>
      <c r="J1875" s="1230"/>
      <c r="K1875" s="1230"/>
      <c r="L1875" s="1230"/>
      <c r="M1875" s="1230"/>
      <c r="N1875" s="1230"/>
      <c r="O1875" s="1230"/>
      <c r="P1875" s="1230"/>
      <c r="Q1875" s="1230"/>
      <c r="R1875" s="1230"/>
      <c r="S1875" s="1230"/>
      <c r="T1875" s="1230"/>
      <c r="U1875" s="1230"/>
      <c r="V1875" s="1230"/>
      <c r="W1875" s="1230"/>
      <c r="X1875" s="1230"/>
      <c r="Y1875" s="1230"/>
    </row>
    <row r="1876" customFormat="false" ht="15.75" hidden="true" customHeight="true" outlineLevel="1" collapsed="false">
      <c r="A1876" s="1751" t="s">
        <v>3804</v>
      </c>
      <c r="B1876" s="1527" t="s">
        <v>133</v>
      </c>
      <c r="C1876" s="1689" t="n">
        <f aca="false">C1777</f>
        <v>0</v>
      </c>
      <c r="D1876" s="1230"/>
      <c r="E1876" s="1230"/>
      <c r="F1876" s="1230"/>
      <c r="G1876" s="1230"/>
      <c r="H1876" s="1230"/>
      <c r="I1876" s="1770"/>
      <c r="J1876" s="1230"/>
      <c r="K1876" s="1230"/>
      <c r="L1876" s="1230"/>
      <c r="M1876" s="1230"/>
      <c r="N1876" s="1230"/>
      <c r="O1876" s="1230"/>
      <c r="P1876" s="1230"/>
      <c r="Q1876" s="1230"/>
      <c r="R1876" s="1230"/>
      <c r="S1876" s="1230"/>
      <c r="T1876" s="1230"/>
      <c r="U1876" s="1230"/>
      <c r="V1876" s="1230"/>
      <c r="W1876" s="1230"/>
      <c r="X1876" s="1230"/>
      <c r="Y1876" s="1230"/>
    </row>
    <row r="1877" customFormat="false" ht="15.75" hidden="true" customHeight="true" outlineLevel="1" collapsed="false">
      <c r="A1877" s="1909" t="s">
        <v>2720</v>
      </c>
      <c r="B1877" s="1910" t="s">
        <v>1094</v>
      </c>
      <c r="C1877" s="1910" t="s">
        <v>120</v>
      </c>
      <c r="D1877" s="1910" t="s">
        <v>3764</v>
      </c>
      <c r="E1877" s="1911" t="s">
        <v>2722</v>
      </c>
      <c r="F1877" s="1230"/>
      <c r="G1877" s="1906" t="s">
        <v>1409</v>
      </c>
      <c r="H1877" s="1912"/>
      <c r="I1877" s="1913"/>
      <c r="J1877" s="1911" t="s">
        <v>1802</v>
      </c>
      <c r="K1877" s="1911" t="s">
        <v>2721</v>
      </c>
      <c r="L1877" s="1911"/>
      <c r="M1877" s="1911"/>
      <c r="N1877" s="1911"/>
      <c r="O1877" s="1911" t="s">
        <v>2722</v>
      </c>
      <c r="P1877" s="1230"/>
      <c r="Q1877" s="1230"/>
      <c r="R1877" s="1230"/>
      <c r="S1877" s="1230"/>
      <c r="T1877" s="1230"/>
      <c r="U1877" s="1230"/>
      <c r="V1877" s="1230"/>
      <c r="W1877" s="1230"/>
      <c r="X1877" s="1230"/>
      <c r="Y1877" s="1230"/>
    </row>
    <row r="1878" customFormat="false" ht="15.75" hidden="true" customHeight="true" outlineLevel="1" collapsed="false">
      <c r="A1878" s="1751" t="str">
        <f aca="false">A1830</f>
        <v>Листв. влаж, 200*200мм</v>
      </c>
      <c r="B1878" s="1527" t="str">
        <f aca="false">B1830</f>
        <v>м3</v>
      </c>
      <c r="C1878" s="1611" t="n">
        <f aca="false">C1830</f>
        <v>2.552</v>
      </c>
      <c r="D1878" s="1611" t="n">
        <f aca="false">D1830</f>
        <v>9000</v>
      </c>
      <c r="E1878" s="1611" t="n">
        <f aca="false">C1878*D1878</f>
        <v>22968</v>
      </c>
      <c r="F1878" s="1230"/>
      <c r="G1878" s="1557" t="s">
        <v>1502</v>
      </c>
      <c r="H1878" s="1694"/>
      <c r="I1878" s="1765"/>
      <c r="J1878" s="1290" t="n">
        <f aca="false">(C1878+C1879+C1880+C1881)*I1866</f>
        <v>24.288</v>
      </c>
      <c r="K1878" s="1290" t="n">
        <f aca="false">'Прайс лист'!G1699</f>
        <v>6000</v>
      </c>
      <c r="L1878" s="1290"/>
      <c r="M1878" s="1290"/>
      <c r="N1878" s="1290"/>
      <c r="O1878" s="1290" t="n">
        <f aca="false">J1878*K1878</f>
        <v>145728</v>
      </c>
      <c r="P1878" s="1230"/>
      <c r="Q1878" s="1230"/>
      <c r="R1878" s="1230"/>
      <c r="S1878" s="1230"/>
      <c r="T1878" s="1230"/>
      <c r="U1878" s="1230"/>
      <c r="V1878" s="1230"/>
      <c r="W1878" s="1230"/>
      <c r="X1878" s="1230"/>
      <c r="Y1878" s="1230"/>
    </row>
    <row r="1879" customFormat="false" ht="15.75" hidden="true" customHeight="true" outlineLevel="1" collapsed="false">
      <c r="A1879" s="1751" t="str">
        <f aca="false">A1831</f>
        <v>Сосна влаж, 200*200мм</v>
      </c>
      <c r="B1879" s="1527" t="str">
        <f aca="false">B1831</f>
        <v>м3</v>
      </c>
      <c r="C1879" s="1611" t="n">
        <f aca="false">(C1867+C1870)*C1753*G1750-C1878</f>
        <v>21.736</v>
      </c>
      <c r="D1879" s="1611" t="n">
        <f aca="false">D1831</f>
        <v>6500</v>
      </c>
      <c r="E1879" s="1611" t="n">
        <f aca="false">C1879*D1879</f>
        <v>141284</v>
      </c>
      <c r="F1879" s="1230"/>
      <c r="G1879" s="1557"/>
      <c r="H1879" s="1694"/>
      <c r="I1879" s="1765"/>
      <c r="J1879" s="1290"/>
      <c r="K1879" s="1290"/>
      <c r="L1879" s="1290"/>
      <c r="M1879" s="1290"/>
      <c r="N1879" s="1290"/>
      <c r="O1879" s="1290"/>
      <c r="P1879" s="1230"/>
      <c r="Q1879" s="1230"/>
      <c r="R1879" s="1230"/>
      <c r="S1879" s="1230"/>
      <c r="T1879" s="1230"/>
      <c r="U1879" s="1230"/>
      <c r="V1879" s="1230"/>
      <c r="W1879" s="1230"/>
      <c r="X1879" s="1230"/>
      <c r="Y1879" s="1230"/>
    </row>
    <row r="1880" customFormat="false" ht="15.75" hidden="true" customHeight="true" outlineLevel="1" collapsed="false">
      <c r="A1880" s="1751" t="str">
        <f aca="false">A1832</f>
        <v>Сосна влаж, 200*150мм</v>
      </c>
      <c r="B1880" s="1527" t="str">
        <f aca="false">B1832</f>
        <v>м3</v>
      </c>
      <c r="C1880" s="1611" t="n">
        <f aca="false">C1873*C1755*G1750</f>
        <v>0</v>
      </c>
      <c r="D1880" s="1611" t="n">
        <f aca="false">D1832</f>
        <v>6500</v>
      </c>
      <c r="E1880" s="1611" t="n">
        <f aca="false">C1880*D1880</f>
        <v>0</v>
      </c>
      <c r="F1880" s="1230"/>
      <c r="G1880" s="1557" t="s">
        <v>1504</v>
      </c>
      <c r="H1880" s="1694"/>
      <c r="I1880" s="1765"/>
      <c r="J1880" s="1290" t="n">
        <f aca="false">(C1758*F1758+C1759*F1759+C1760*F1760+C1761*F1761+C1762*F1762+C1763*F1763)*I1750</f>
        <v>0</v>
      </c>
      <c r="K1880" s="1290" t="n">
        <f aca="false">'Прайс лист'!G1695</f>
        <v>150</v>
      </c>
      <c r="L1880" s="1290"/>
      <c r="M1880" s="1290"/>
      <c r="N1880" s="1290"/>
      <c r="O1880" s="1290" t="n">
        <f aca="false">J1880*K1880</f>
        <v>0</v>
      </c>
      <c r="P1880" s="1230"/>
      <c r="Q1880" s="1230"/>
      <c r="R1880" s="1230"/>
      <c r="S1880" s="1230"/>
      <c r="T1880" s="1230"/>
      <c r="U1880" s="1230"/>
      <c r="V1880" s="1230"/>
      <c r="W1880" s="1230"/>
      <c r="X1880" s="1230"/>
      <c r="Y1880" s="1230"/>
    </row>
    <row r="1881" customFormat="false" ht="15.75" hidden="true" customHeight="true" outlineLevel="1" collapsed="false">
      <c r="A1881" s="1751" t="str">
        <f aca="false">A1833</f>
        <v>Сосна влаж, 200*100мм</v>
      </c>
      <c r="B1881" s="1527" t="str">
        <f aca="false">B1833</f>
        <v>м2</v>
      </c>
      <c r="C1881" s="1611" t="n">
        <f aca="false">C1874*C1757*G1750</f>
        <v>0</v>
      </c>
      <c r="D1881" s="1611" t="n">
        <f aca="false">D1833</f>
        <v>6500</v>
      </c>
      <c r="E1881" s="1611" t="n">
        <f aca="false">C1881*D1881</f>
        <v>0</v>
      </c>
      <c r="F1881" s="1230"/>
      <c r="G1881" s="1557" t="str">
        <f aca="false">G1832</f>
        <v>обработка торцов на брусе</v>
      </c>
      <c r="H1881" s="1557"/>
      <c r="I1881" s="1557" t="n">
        <f aca="false">I1832</f>
        <v>0</v>
      </c>
      <c r="J1881" s="1557" t="n">
        <f aca="false">J1832</f>
        <v>14.4</v>
      </c>
      <c r="K1881" s="1557" t="n">
        <f aca="false">K1832</f>
        <v>250</v>
      </c>
      <c r="L1881" s="1557" t="n">
        <f aca="false">L1832</f>
        <v>0</v>
      </c>
      <c r="M1881" s="1557"/>
      <c r="N1881" s="1557"/>
      <c r="O1881" s="1557" t="n">
        <f aca="false">O1832</f>
        <v>3600</v>
      </c>
      <c r="P1881" s="1230"/>
      <c r="Q1881" s="1230"/>
      <c r="R1881" s="1230"/>
      <c r="S1881" s="1230"/>
      <c r="T1881" s="1230"/>
      <c r="U1881" s="1230"/>
      <c r="V1881" s="1230"/>
      <c r="W1881" s="1230"/>
      <c r="X1881" s="1230"/>
      <c r="Y1881" s="1230"/>
    </row>
    <row r="1882" customFormat="false" ht="15.75" hidden="true" customHeight="true" outlineLevel="1" collapsed="false">
      <c r="A1882" s="1751" t="str">
        <f aca="false">'Ввод данных'!A943</f>
        <v>Шкант</v>
      </c>
      <c r="B1882" s="1527" t="str">
        <f aca="false">B1834</f>
        <v>шт</v>
      </c>
      <c r="C1882" s="1611" t="n">
        <f aca="false">CEILING((C1878+C1879+C1880+C1881)*20*G1750,1)</f>
        <v>535</v>
      </c>
      <c r="D1882" s="1611" t="n">
        <f aca="false">VLOOKUP('Ввод данных'!A943,связи1!A459:B461,2,0)</f>
        <v>6</v>
      </c>
      <c r="E1882" s="1611" t="n">
        <f aca="false">C1882*D1882</f>
        <v>3210</v>
      </c>
      <c r="F1882" s="1230"/>
      <c r="G1882" s="1557" t="str">
        <f aca="false">G1833</f>
        <v>Обаботка огнебиозащитой</v>
      </c>
      <c r="H1882" s="1694"/>
      <c r="I1882" s="1765"/>
      <c r="J1882" s="1290" t="n">
        <f aca="false">SUM(C1878:C1881)*IF('Ввод данных'!A950='Прайс лист'!B728,0,1)</f>
        <v>24.288</v>
      </c>
      <c r="K1882" s="1290" t="n">
        <f aca="false">K1833</f>
        <v>300</v>
      </c>
      <c r="L1882" s="1290"/>
      <c r="M1882" s="1290"/>
      <c r="N1882" s="1290"/>
      <c r="O1882" s="1557" t="n">
        <f aca="false">O1833</f>
        <v>7650.72000000001</v>
      </c>
      <c r="P1882" s="1230"/>
      <c r="Q1882" s="1230"/>
      <c r="R1882" s="1230"/>
      <c r="S1882" s="1230"/>
      <c r="T1882" s="1230"/>
      <c r="U1882" s="1230"/>
      <c r="V1882" s="1230"/>
      <c r="W1882" s="1230"/>
      <c r="X1882" s="1230"/>
      <c r="Y1882" s="1230"/>
    </row>
    <row r="1883" customFormat="false" ht="15.75" hidden="true" customHeight="true" outlineLevel="1" collapsed="false">
      <c r="A1883" s="1751" t="str">
        <f aca="false">'Прайс лист'!B426</f>
        <v>Лента уплотнения</v>
      </c>
      <c r="B1883" s="1527" t="str">
        <f aca="false">B1835</f>
        <v>шт</v>
      </c>
      <c r="C1883" s="1611" t="n">
        <f aca="false">CEILING((C1870+C1873+C1874)/VLOOKUP(A1879,'Прайс лист'!B333:G419,3,0)/20*G1750*1.3,1)</f>
        <v>0</v>
      </c>
      <c r="D1883" s="1611" t="n">
        <f aca="false">'Прайс лист'!G426</f>
        <v>130</v>
      </c>
      <c r="E1883" s="1611" t="n">
        <f aca="false">C1883*D1883</f>
        <v>0</v>
      </c>
      <c r="F1883" s="1230"/>
      <c r="G1883" s="1557" t="str">
        <f aca="false">G1834</f>
        <v>Пропитка стен внешних</v>
      </c>
      <c r="H1883" s="1557"/>
      <c r="I1883" s="1219"/>
      <c r="J1883" s="933" t="n">
        <f aca="false">C1870*IF('Ввод данных'!A955='Прайс лист'!B1534,0,1)</f>
        <v>0</v>
      </c>
      <c r="K1883" s="1290" t="n">
        <f aca="false">K1834</f>
        <v>100</v>
      </c>
      <c r="L1883" s="933"/>
      <c r="M1883" s="933"/>
      <c r="N1883" s="933"/>
      <c r="O1883" s="1557" t="n">
        <f aca="false">O1834</f>
        <v>0</v>
      </c>
      <c r="P1883" s="1230"/>
      <c r="Q1883" s="1230"/>
      <c r="R1883" s="1230"/>
      <c r="S1883" s="1230"/>
      <c r="T1883" s="1230"/>
      <c r="U1883" s="1230"/>
      <c r="V1883" s="1230"/>
      <c r="W1883" s="1230"/>
      <c r="X1883" s="1230"/>
      <c r="Y1883" s="1230"/>
    </row>
    <row r="1884" customFormat="false" ht="15.75" hidden="true" customHeight="true" outlineLevel="1" collapsed="false">
      <c r="A1884" s="1751" t="str">
        <f aca="false">A1836</f>
        <v>Гвозди строительные 3,5 x 90</v>
      </c>
      <c r="B1884" s="1527" t="str">
        <f aca="false">B1836</f>
        <v>шт</v>
      </c>
      <c r="C1884" s="1611" t="n">
        <f aca="false">C1836</f>
        <v>4.4</v>
      </c>
      <c r="D1884" s="1611" t="n">
        <f aca="false">D1836</f>
        <v>70</v>
      </c>
      <c r="E1884" s="1611" t="n">
        <f aca="false">C1884*D1884</f>
        <v>308</v>
      </c>
      <c r="F1884" s="1230"/>
      <c r="G1884" s="1557" t="str">
        <f aca="false">G1835</f>
        <v>Пропитка внутенних стен</v>
      </c>
      <c r="H1884" s="1694"/>
      <c r="I1884" s="1765"/>
      <c r="J1884" s="1290" t="n">
        <f aca="false">(C1870+C1875*2)*IF('Ввод данных'!A960='Прайс лист'!B1534,0,1)</f>
        <v>0</v>
      </c>
      <c r="K1884" s="1290" t="n">
        <f aca="false">K1835</f>
        <v>100</v>
      </c>
      <c r="L1884" s="1290"/>
      <c r="M1884" s="1290"/>
      <c r="N1884" s="1290"/>
      <c r="O1884" s="1557" t="n">
        <f aca="false">O1835</f>
        <v>0</v>
      </c>
      <c r="P1884" s="1230"/>
      <c r="Q1884" s="1230"/>
      <c r="R1884" s="1230"/>
      <c r="S1884" s="1230"/>
      <c r="T1884" s="1230"/>
      <c r="U1884" s="1230"/>
      <c r="V1884" s="1230"/>
      <c r="W1884" s="1230"/>
      <c r="X1884" s="1230"/>
      <c r="Y1884" s="1230"/>
    </row>
    <row r="1885" customFormat="false" ht="15.75" hidden="true" customHeight="true" outlineLevel="1" collapsed="false">
      <c r="A1885" s="1751" t="str">
        <f aca="false">A1837</f>
        <v>нет</v>
      </c>
      <c r="B1885" s="1527" t="str">
        <f aca="false">B1837</f>
        <v>м3</v>
      </c>
      <c r="C1885" s="1611" t="n">
        <f aca="false">((C1758*F1758+C1759*F1759)*G1750*VLOOKUP(A1793,связи1!A407:E416,5,0))</f>
        <v>0</v>
      </c>
      <c r="D1885" s="1611" t="n">
        <f aca="false">D1837</f>
        <v>0</v>
      </c>
      <c r="E1885" s="1611" t="n">
        <f aca="false">C1885*D1885</f>
        <v>0</v>
      </c>
      <c r="F1885" s="1230"/>
      <c r="G1885" s="1557" t="str">
        <f aca="false">G1792</f>
        <v>Сверление стен для скрытой проводки</v>
      </c>
      <c r="H1885" s="1557"/>
      <c r="I1885" s="1557" t="n">
        <f aca="false">I1792</f>
        <v>0</v>
      </c>
      <c r="J1885" s="1557" t="n">
        <f aca="false">J1792</f>
        <v>180</v>
      </c>
      <c r="K1885" s="1557" t="n">
        <f aca="false">K1792</f>
        <v>300</v>
      </c>
      <c r="L1885" s="1290"/>
      <c r="M1885" s="1290"/>
      <c r="N1885" s="1290"/>
      <c r="O1885" s="1290"/>
      <c r="P1885" s="1230"/>
      <c r="Q1885" s="1230"/>
      <c r="R1885" s="1230"/>
      <c r="S1885" s="1230"/>
      <c r="T1885" s="1230"/>
      <c r="U1885" s="1230"/>
      <c r="V1885" s="1230"/>
      <c r="W1885" s="1230"/>
      <c r="X1885" s="1230"/>
      <c r="Y1885" s="1230"/>
    </row>
    <row r="1886" customFormat="false" ht="15.75" hidden="true" customHeight="true" outlineLevel="1" collapsed="false">
      <c r="A1886" s="1751" t="str">
        <f aca="false">A1838</f>
        <v>Доска сухая, 100*50мм</v>
      </c>
      <c r="B1886" s="1527" t="str">
        <f aca="false">B1838</f>
        <v>м3</v>
      </c>
      <c r="C1886" s="1611" t="n">
        <f aca="false">((C1760*F1760+C1762*F1762)*G1750*VLOOKUP(A1794,связи1!A407:E416,5,0))</f>
        <v>0</v>
      </c>
      <c r="D1886" s="1611" t="n">
        <f aca="false">D1838</f>
        <v>9000</v>
      </c>
      <c r="E1886" s="1611" t="n">
        <f aca="false">C1886*D1886</f>
        <v>0</v>
      </c>
      <c r="F1886" s="1230"/>
      <c r="G1886" s="1557" t="str">
        <f aca="false">G1793</f>
        <v>Монтаж наличника</v>
      </c>
      <c r="H1886" s="1694"/>
      <c r="I1886" s="1765"/>
      <c r="J1886" s="1557" t="n">
        <f aca="false">J1793</f>
        <v>0</v>
      </c>
      <c r="K1886" s="1557" t="n">
        <f aca="false">K1793</f>
        <v>80</v>
      </c>
      <c r="L1886" s="1290"/>
      <c r="M1886" s="1290"/>
      <c r="N1886" s="1290"/>
      <c r="O1886" s="1290"/>
      <c r="P1886" s="1230"/>
      <c r="Q1886" s="1230"/>
      <c r="R1886" s="1230"/>
      <c r="S1886" s="1230"/>
      <c r="T1886" s="1230"/>
      <c r="U1886" s="1230"/>
      <c r="V1886" s="1230"/>
      <c r="W1886" s="1230"/>
      <c r="X1886" s="1230"/>
      <c r="Y1886" s="1230"/>
    </row>
    <row r="1887" customFormat="false" ht="15.75" hidden="true" customHeight="true" outlineLevel="1" collapsed="false">
      <c r="A1887" s="1751" t="str">
        <f aca="false">A1839</f>
        <v>Доска сухая калиброванная, 100*45мм</v>
      </c>
      <c r="B1887" s="1527" t="str">
        <f aca="false">B1839</f>
        <v>м3</v>
      </c>
      <c r="C1887" s="1611" t="n">
        <f aca="false">VLOOKUP(A1795,связи1!A407:E416,5,0)*(C1761*F1761+C1763*F1763)*G1750</f>
        <v>0</v>
      </c>
      <c r="D1887" s="1611" t="n">
        <f aca="false">D1839</f>
        <v>12500</v>
      </c>
      <c r="E1887" s="1611" t="n">
        <f aca="false">C1887*D1887</f>
        <v>0</v>
      </c>
      <c r="F1887" s="1230"/>
      <c r="G1887" s="1557"/>
      <c r="H1887" s="1694"/>
      <c r="I1887" s="1697"/>
      <c r="J1887" s="1557"/>
      <c r="K1887" s="1557"/>
      <c r="L1887" s="1290"/>
      <c r="M1887" s="1290"/>
      <c r="N1887" s="1290"/>
      <c r="O1887" s="1290"/>
      <c r="P1887" s="1230"/>
      <c r="Q1887" s="1230"/>
      <c r="R1887" s="1230"/>
      <c r="S1887" s="1230"/>
      <c r="T1887" s="1230"/>
      <c r="U1887" s="1230"/>
      <c r="V1887" s="1230"/>
      <c r="W1887" s="1230"/>
      <c r="X1887" s="1230"/>
      <c r="Y1887" s="1230"/>
    </row>
    <row r="1888" customFormat="false" ht="15.75" hidden="true" customHeight="true" outlineLevel="1" collapsed="false">
      <c r="A1888" s="1751" t="str">
        <f aca="false">A1840</f>
        <v>Сосна влаж, 50*50мм</v>
      </c>
      <c r="B1888" s="1527" t="str">
        <f aca="false">B1840</f>
        <v>м.п.</v>
      </c>
      <c r="C1888" s="1611" t="n">
        <f aca="false">C1840</f>
        <v>0</v>
      </c>
      <c r="D1888" s="1611" t="n">
        <f aca="false">D1840</f>
        <v>16.25</v>
      </c>
      <c r="E1888" s="1611" t="n">
        <f aca="false">C1888*D1888</f>
        <v>0</v>
      </c>
      <c r="F1888" s="1230"/>
      <c r="G1888" s="1557" t="str">
        <f aca="false">G1838</f>
        <v>Шлифовка стен дома</v>
      </c>
      <c r="H1888" s="1557"/>
      <c r="I1888" s="1557" t="n">
        <f aca="false">I1838</f>
        <v>0</v>
      </c>
      <c r="J1888" s="1557" t="n">
        <f aca="false">C1870*IF('Ввод данных'!A973=связи1!A542,1,0)+(C1870+C1875*2)*IF('Ввод данных'!A976=связи1!A545,1,0)</f>
        <v>0</v>
      </c>
      <c r="K1888" s="1557" t="n">
        <f aca="false">K1838</f>
        <v>250</v>
      </c>
      <c r="L1888" s="1290"/>
      <c r="M1888" s="1290"/>
      <c r="N1888" s="1290"/>
      <c r="O1888" s="1290"/>
      <c r="P1888" s="1230"/>
      <c r="Q1888" s="1230"/>
      <c r="R1888" s="1230"/>
      <c r="S1888" s="1230"/>
      <c r="T1888" s="1230"/>
      <c r="U1888" s="1230"/>
      <c r="V1888" s="1230"/>
      <c r="W1888" s="1230"/>
      <c r="X1888" s="1230"/>
      <c r="Y1888" s="1230"/>
    </row>
    <row r="1889" customFormat="false" ht="15.75" hidden="true" customHeight="true" outlineLevel="1" collapsed="false">
      <c r="A1889" s="1751" t="str">
        <f aca="false">A1841</f>
        <v>Бензин для пилы</v>
      </c>
      <c r="B1889" s="1527" t="str">
        <f aca="false">B1841</f>
        <v>л</v>
      </c>
      <c r="C1889" s="1611" t="n">
        <f aca="false">SUM(C1878:C1881)/5</f>
        <v>4.8576</v>
      </c>
      <c r="D1889" s="1611" t="n">
        <f aca="false">D1841</f>
        <v>40</v>
      </c>
      <c r="E1889" s="1611" t="n">
        <f aca="false">C1889*D1889</f>
        <v>194.304</v>
      </c>
      <c r="F1889" s="1230"/>
      <c r="G1889" s="1557"/>
      <c r="H1889" s="1694"/>
      <c r="I1889" s="1765"/>
      <c r="J1889" s="1290"/>
      <c r="K1889" s="1290"/>
      <c r="L1889" s="1290"/>
      <c r="M1889" s="1290"/>
      <c r="N1889" s="1290"/>
      <c r="O1889" s="1290"/>
      <c r="P1889" s="1230"/>
      <c r="Q1889" s="1230"/>
      <c r="R1889" s="1230"/>
      <c r="S1889" s="1230"/>
      <c r="T1889" s="1230"/>
      <c r="U1889" s="1230"/>
      <c r="V1889" s="1230"/>
      <c r="W1889" s="1230"/>
      <c r="X1889" s="1230"/>
      <c r="Y1889" s="1230"/>
    </row>
    <row r="1890" customFormat="false" ht="15.75" hidden="true" customHeight="true" outlineLevel="1" collapsed="false">
      <c r="A1890" s="1751" t="str">
        <f aca="false">A1842</f>
        <v>Масло для пилы</v>
      </c>
      <c r="B1890" s="1527" t="str">
        <f aca="false">B1842</f>
        <v>л</v>
      </c>
      <c r="C1890" s="1611" t="n">
        <f aca="false">C1889/20</f>
        <v>0.24288</v>
      </c>
      <c r="D1890" s="1611" t="n">
        <f aca="false">D1842</f>
        <v>250</v>
      </c>
      <c r="E1890" s="1611" t="n">
        <f aca="false">C1890*D1890</f>
        <v>60.72</v>
      </c>
      <c r="F1890" s="1230"/>
      <c r="G1890" s="1557"/>
      <c r="H1890" s="1694"/>
      <c r="I1890" s="1765"/>
      <c r="J1890" s="1290"/>
      <c r="K1890" s="1290"/>
      <c r="L1890" s="1290"/>
      <c r="M1890" s="1290"/>
      <c r="N1890" s="1290"/>
      <c r="O1890" s="1290"/>
      <c r="P1890" s="1230"/>
      <c r="Q1890" s="1230"/>
      <c r="R1890" s="1230"/>
      <c r="S1890" s="1230"/>
      <c r="T1890" s="1230"/>
      <c r="U1890" s="1230"/>
      <c r="V1890" s="1230"/>
      <c r="W1890" s="1230"/>
      <c r="X1890" s="1230"/>
      <c r="Y1890" s="1230"/>
    </row>
    <row r="1891" customFormat="false" ht="15.75" hidden="true" customHeight="true" outlineLevel="1" collapsed="false">
      <c r="A1891" s="1751" t="str">
        <f aca="false">A1843</f>
        <v>Цепь для пилы</v>
      </c>
      <c r="B1891" s="1527" t="str">
        <f aca="false">B1843</f>
        <v>л</v>
      </c>
      <c r="C1891" s="1611" t="n">
        <f aca="false">CEILING((SUM(C1878:C1881)/10),1)</f>
        <v>3</v>
      </c>
      <c r="D1891" s="1611" t="n">
        <f aca="false">D1843</f>
        <v>800</v>
      </c>
      <c r="E1891" s="1611" t="n">
        <f aca="false">C1891*D1891</f>
        <v>2400</v>
      </c>
      <c r="F1891" s="1230"/>
      <c r="G1891" s="1557"/>
      <c r="H1891" s="1694"/>
      <c r="I1891" s="1765"/>
      <c r="J1891" s="1290"/>
      <c r="K1891" s="1290"/>
      <c r="L1891" s="1290"/>
      <c r="M1891" s="1290"/>
      <c r="N1891" s="1290"/>
      <c r="O1891" s="1290"/>
      <c r="P1891" s="1230"/>
      <c r="Q1891" s="1230"/>
      <c r="R1891" s="1230"/>
      <c r="S1891" s="1230"/>
      <c r="T1891" s="1230"/>
      <c r="U1891" s="1230"/>
      <c r="V1891" s="1230"/>
      <c r="W1891" s="1230"/>
      <c r="X1891" s="1230"/>
      <c r="Y1891" s="1230"/>
    </row>
    <row r="1892" customFormat="false" ht="15.75" hidden="true" customHeight="true" outlineLevel="1" collapsed="false">
      <c r="A1892" s="1751" t="str">
        <f aca="false">A1844</f>
        <v>"Профилюкс" Антисептик АНТИПЛЕСЕНЬ</v>
      </c>
      <c r="B1892" s="1527" t="str">
        <f aca="false">B1844</f>
        <v>л</v>
      </c>
      <c r="C1892" s="1611" t="n">
        <f aca="false">G1875*'Ввод данных'!C951*'Ввод данных'!C952</f>
        <v>0</v>
      </c>
      <c r="D1892" s="1611" t="n">
        <f aca="false">D1844</f>
        <v>108</v>
      </c>
      <c r="E1892" s="1611" t="n">
        <f aca="false">C1892*D1892</f>
        <v>0</v>
      </c>
      <c r="F1892" s="1230"/>
      <c r="G1892" s="1557"/>
      <c r="H1892" s="1694"/>
      <c r="I1892" s="1765"/>
      <c r="J1892" s="1290"/>
      <c r="K1892" s="1290"/>
      <c r="L1892" s="1290"/>
      <c r="M1892" s="1290"/>
      <c r="N1892" s="1290"/>
      <c r="O1892" s="1290"/>
      <c r="P1892" s="1230"/>
      <c r="Q1892" s="1230"/>
      <c r="R1892" s="1230"/>
      <c r="S1892" s="1230"/>
      <c r="T1892" s="1230"/>
      <c r="U1892" s="1230"/>
      <c r="V1892" s="1230"/>
      <c r="W1892" s="1230"/>
      <c r="X1892" s="1230"/>
      <c r="Y1892" s="1230"/>
    </row>
    <row r="1893" customFormat="false" ht="15.75" hidden="true" customHeight="true" outlineLevel="1" collapsed="false">
      <c r="A1893" s="1751" t="str">
        <f aca="false">A1845</f>
        <v>"Тонерол" Антисептик  бесцветный  1л</v>
      </c>
      <c r="B1893" s="1527" t="str">
        <f aca="false">B1845</f>
        <v>л</v>
      </c>
      <c r="C1893" s="1611" t="n">
        <f aca="false">C1870*'Ввод данных'!C956*'Ввод данных'!C957</f>
        <v>0</v>
      </c>
      <c r="D1893" s="1611" t="n">
        <f aca="false">D1845</f>
        <v>305</v>
      </c>
      <c r="E1893" s="1611" t="n">
        <f aca="false">C1893*D1893</f>
        <v>0</v>
      </c>
      <c r="F1893" s="1230"/>
      <c r="G1893" s="1557"/>
      <c r="H1893" s="1694"/>
      <c r="I1893" s="1765"/>
      <c r="J1893" s="1290"/>
      <c r="K1893" s="1290"/>
      <c r="L1893" s="1290"/>
      <c r="M1893" s="1290"/>
      <c r="N1893" s="1290"/>
      <c r="O1893" s="1290"/>
      <c r="P1893" s="1230"/>
      <c r="Q1893" s="1230"/>
      <c r="R1893" s="1230"/>
      <c r="S1893" s="1230"/>
      <c r="T1893" s="1230"/>
      <c r="U1893" s="1230"/>
      <c r="V1893" s="1230"/>
      <c r="W1893" s="1230"/>
      <c r="X1893" s="1230"/>
      <c r="Y1893" s="1230"/>
    </row>
    <row r="1894" customFormat="false" ht="15.75" hidden="true" customHeight="true" outlineLevel="1" collapsed="false">
      <c r="A1894" s="1751" t="str">
        <f aca="false">A1846</f>
        <v>"Тонерол" Антисептик  махагон  1л</v>
      </c>
      <c r="B1894" s="1527" t="str">
        <f aca="false">B1846</f>
        <v>л</v>
      </c>
      <c r="C1894" s="1611" t="n">
        <f aca="false">(C1870+C1875*2)*'Ввод данных'!C961*'Ввод данных'!C962</f>
        <v>0</v>
      </c>
      <c r="D1894" s="1611" t="n">
        <f aca="false">D1846</f>
        <v>305</v>
      </c>
      <c r="E1894" s="1611" t="n">
        <f aca="false">C1894*D1894</f>
        <v>0</v>
      </c>
      <c r="F1894" s="1230"/>
      <c r="G1894" s="1557"/>
      <c r="H1894" s="1694"/>
      <c r="I1894" s="1765"/>
      <c r="J1894" s="1290"/>
      <c r="K1894" s="1290"/>
      <c r="L1894" s="1290"/>
      <c r="M1894" s="1290"/>
      <c r="N1894" s="1290"/>
      <c r="O1894" s="1290"/>
      <c r="P1894" s="1230"/>
      <c r="Q1894" s="1230"/>
      <c r="R1894" s="1230"/>
      <c r="S1894" s="1230"/>
      <c r="T1894" s="1230"/>
      <c r="U1894" s="1230"/>
      <c r="V1894" s="1230"/>
      <c r="W1894" s="1230"/>
      <c r="X1894" s="1230"/>
      <c r="Y1894" s="1230"/>
    </row>
    <row r="1895" customFormat="false" ht="15.75" hidden="true" customHeight="true" outlineLevel="1" collapsed="false">
      <c r="A1895" s="1751" t="str">
        <f aca="false">A1847</f>
        <v>Нет наличника</v>
      </c>
      <c r="B1895" s="1527" t="str">
        <f aca="false">B1847</f>
        <v>м.п.</v>
      </c>
      <c r="C1895" s="1751" t="n">
        <f aca="false">C1847</f>
        <v>3.57</v>
      </c>
      <c r="D1895" s="1751" t="n">
        <f aca="false">D1847</f>
        <v>0</v>
      </c>
      <c r="E1895" s="1611" t="n">
        <f aca="false">C1895*D1895</f>
        <v>0</v>
      </c>
      <c r="F1895" s="1230"/>
      <c r="G1895" s="1557"/>
      <c r="H1895" s="1694"/>
      <c r="I1895" s="1765"/>
      <c r="J1895" s="1290"/>
      <c r="K1895" s="1290"/>
      <c r="L1895" s="1290"/>
      <c r="M1895" s="1290"/>
      <c r="N1895" s="1290"/>
      <c r="O1895" s="1290"/>
      <c r="P1895" s="1230"/>
      <c r="Q1895" s="1230"/>
      <c r="R1895" s="1230"/>
      <c r="S1895" s="1230"/>
      <c r="T1895" s="1230"/>
      <c r="U1895" s="1230"/>
      <c r="V1895" s="1230"/>
      <c r="W1895" s="1230"/>
      <c r="X1895" s="1230"/>
      <c r="Y1895" s="1230"/>
    </row>
    <row r="1896" customFormat="false" ht="15.75" hidden="true" customHeight="true" outlineLevel="1" collapsed="false">
      <c r="A1896" s="1751" t="str">
        <f aca="false">A1848</f>
        <v>Нет наличника</v>
      </c>
      <c r="B1896" s="1527" t="str">
        <f aca="false">B1848</f>
        <v>м.п.</v>
      </c>
      <c r="C1896" s="1751" t="n">
        <f aca="false">C1848</f>
        <v>3.57</v>
      </c>
      <c r="D1896" s="1751" t="n">
        <f aca="false">D1848</f>
        <v>0</v>
      </c>
      <c r="E1896" s="1611" t="n">
        <f aca="false">C1896*D1896</f>
        <v>0</v>
      </c>
      <c r="F1896" s="1230"/>
      <c r="G1896" s="1557"/>
      <c r="H1896" s="1694"/>
      <c r="I1896" s="1765"/>
      <c r="J1896" s="1290"/>
      <c r="K1896" s="1290"/>
      <c r="L1896" s="1290"/>
      <c r="M1896" s="1290"/>
      <c r="N1896" s="1290"/>
      <c r="O1896" s="1290"/>
      <c r="P1896" s="1230"/>
      <c r="Q1896" s="1230"/>
      <c r="R1896" s="1230"/>
      <c r="S1896" s="1230"/>
      <c r="T1896" s="1230"/>
      <c r="U1896" s="1230"/>
      <c r="V1896" s="1230"/>
      <c r="W1896" s="1230"/>
      <c r="X1896" s="1230"/>
      <c r="Y1896" s="1230"/>
    </row>
    <row r="1897" customFormat="false" ht="15.75" hidden="true" customHeight="true" outlineLevel="1" collapsed="false">
      <c r="A1897" s="1751" t="str">
        <f aca="false">A1849</f>
        <v>Бумага наждачная № 63 F(30)</v>
      </c>
      <c r="B1897" s="1751" t="str">
        <f aca="false">B1849</f>
        <v>м</v>
      </c>
      <c r="C1897" s="1751" t="n">
        <f aca="false">C1849</f>
        <v>5</v>
      </c>
      <c r="D1897" s="1751" t="n">
        <f aca="false">D1849</f>
        <v>291</v>
      </c>
      <c r="E1897" s="1611" t="n">
        <f aca="false">C1897*D1897</f>
        <v>1455</v>
      </c>
      <c r="F1897" s="1230"/>
      <c r="G1897" s="1557"/>
      <c r="H1897" s="1694"/>
      <c r="I1897" s="1765"/>
      <c r="J1897" s="1290"/>
      <c r="K1897" s="1290"/>
      <c r="L1897" s="1290"/>
      <c r="M1897" s="1290"/>
      <c r="N1897" s="1290"/>
      <c r="O1897" s="1290"/>
      <c r="P1897" s="1230"/>
      <c r="Q1897" s="1230"/>
      <c r="R1897" s="1230"/>
      <c r="S1897" s="1230"/>
      <c r="T1897" s="1230"/>
      <c r="U1897" s="1230"/>
      <c r="V1897" s="1230"/>
      <c r="W1897" s="1230"/>
      <c r="X1897" s="1230"/>
      <c r="Y1897" s="1230"/>
    </row>
    <row r="1898" customFormat="false" ht="15.75" hidden="true" customHeight="true" outlineLevel="1" collapsed="false">
      <c r="A1898" s="1751" t="str">
        <f aca="false">A1850</f>
        <v>Нет наждачной бумаги</v>
      </c>
      <c r="B1898" s="1751" t="str">
        <f aca="false">B1850</f>
        <v>м</v>
      </c>
      <c r="C1898" s="1751" t="n">
        <f aca="false">C1850</f>
        <v>0</v>
      </c>
      <c r="D1898" s="1751" t="n">
        <f aca="false">D1850</f>
        <v>0</v>
      </c>
      <c r="E1898" s="1611" t="n">
        <f aca="false">C1898*D1898</f>
        <v>0</v>
      </c>
      <c r="F1898" s="1230"/>
      <c r="G1898" s="1557"/>
      <c r="H1898" s="1694"/>
      <c r="I1898" s="1765"/>
      <c r="J1898" s="1290"/>
      <c r="K1898" s="1290"/>
      <c r="L1898" s="1290"/>
      <c r="M1898" s="1290"/>
      <c r="N1898" s="1290"/>
      <c r="O1898" s="1290"/>
      <c r="P1898" s="1230"/>
      <c r="Q1898" s="1230"/>
      <c r="R1898" s="1230"/>
      <c r="S1898" s="1230"/>
      <c r="T1898" s="1230"/>
      <c r="U1898" s="1230"/>
      <c r="V1898" s="1230"/>
      <c r="W1898" s="1230"/>
      <c r="X1898" s="1230"/>
      <c r="Y1898" s="1230"/>
    </row>
    <row r="1899" customFormat="false" ht="15.75" hidden="true" customHeight="true" outlineLevel="1" collapsed="false">
      <c r="A1899" s="1751" t="str">
        <f aca="false">A1851</f>
        <v>Бумага наждачная № 63 F(30)</v>
      </c>
      <c r="B1899" s="1751" t="str">
        <f aca="false">B1851</f>
        <v>м</v>
      </c>
      <c r="C1899" s="1751" t="n">
        <f aca="false">C1851</f>
        <v>0</v>
      </c>
      <c r="D1899" s="1751" t="n">
        <f aca="false">D1851</f>
        <v>291</v>
      </c>
      <c r="E1899" s="1611" t="n">
        <f aca="false">C1899*D1899</f>
        <v>0</v>
      </c>
      <c r="F1899" s="1230"/>
      <c r="G1899" s="1557"/>
      <c r="H1899" s="1694"/>
      <c r="I1899" s="1765"/>
      <c r="J1899" s="1290"/>
      <c r="K1899" s="1290"/>
      <c r="L1899" s="1290"/>
      <c r="M1899" s="1290"/>
      <c r="N1899" s="1290"/>
      <c r="O1899" s="1290"/>
      <c r="P1899" s="1230"/>
      <c r="Q1899" s="1230"/>
      <c r="R1899" s="1230"/>
      <c r="S1899" s="1230"/>
      <c r="T1899" s="1230"/>
      <c r="U1899" s="1230"/>
      <c r="V1899" s="1230"/>
      <c r="W1899" s="1230"/>
      <c r="X1899" s="1230"/>
      <c r="Y1899" s="1230"/>
    </row>
    <row r="1900" customFormat="false" ht="15.75" hidden="true" customHeight="true" outlineLevel="1" collapsed="false">
      <c r="A1900" s="1751" t="str">
        <f aca="false">A1852</f>
        <v>Бумага наждачная № 40</v>
      </c>
      <c r="B1900" s="1751" t="str">
        <f aca="false">B1852</f>
        <v>м</v>
      </c>
      <c r="C1900" s="1751" t="n">
        <f aca="false">C1852</f>
        <v>0</v>
      </c>
      <c r="D1900" s="1751" t="n">
        <f aca="false">D1852</f>
        <v>240</v>
      </c>
      <c r="E1900" s="1611" t="n">
        <f aca="false">C1900*D1900</f>
        <v>0</v>
      </c>
      <c r="F1900" s="1230"/>
      <c r="G1900" s="1557"/>
      <c r="H1900" s="1694"/>
      <c r="I1900" s="1765"/>
      <c r="J1900" s="1290"/>
      <c r="K1900" s="1290"/>
      <c r="L1900" s="1290"/>
      <c r="M1900" s="1290"/>
      <c r="N1900" s="1290"/>
      <c r="O1900" s="1290"/>
      <c r="P1900" s="1230"/>
      <c r="Q1900" s="1230"/>
      <c r="R1900" s="1230"/>
      <c r="S1900" s="1230"/>
      <c r="T1900" s="1230"/>
      <c r="U1900" s="1230"/>
      <c r="V1900" s="1230"/>
      <c r="W1900" s="1230"/>
      <c r="X1900" s="1230"/>
      <c r="Y1900" s="1230"/>
    </row>
    <row r="1901" customFormat="false" ht="15.75" hidden="true" customHeight="true" outlineLevel="1" collapsed="false">
      <c r="A1901" s="1751" t="str">
        <f aca="false">A1809</f>
        <v>Командировочные расходы</v>
      </c>
      <c r="B1901" s="1527" t="str">
        <f aca="false">B1809</f>
        <v>рублей</v>
      </c>
      <c r="C1901" s="1751" t="n">
        <f aca="false">C1809</f>
        <v>1</v>
      </c>
      <c r="D1901" s="1751" t="n">
        <f aca="false">D1809</f>
        <v>0</v>
      </c>
      <c r="E1901" s="1611" t="n">
        <f aca="false">C1901*D1901</f>
        <v>0</v>
      </c>
      <c r="F1901" s="1230"/>
      <c r="G1901" s="1557"/>
      <c r="H1901" s="1694"/>
      <c r="I1901" s="1765"/>
      <c r="J1901" s="1290"/>
      <c r="K1901" s="1290"/>
      <c r="L1901" s="1290"/>
      <c r="M1901" s="1290"/>
      <c r="N1901" s="1290"/>
      <c r="O1901" s="1290"/>
      <c r="P1901" s="1230"/>
      <c r="Q1901" s="1230"/>
      <c r="R1901" s="1230"/>
      <c r="S1901" s="1230"/>
      <c r="T1901" s="1230"/>
      <c r="U1901" s="1230"/>
      <c r="V1901" s="1230"/>
      <c r="W1901" s="1230"/>
      <c r="X1901" s="1230"/>
      <c r="Y1901" s="1230"/>
    </row>
    <row r="1902" customFormat="false" ht="15.75" hidden="true" customHeight="true" outlineLevel="1" collapsed="false">
      <c r="A1902" s="1751" t="str">
        <f aca="false">A1855</f>
        <v>расходные материалы дома из леса</v>
      </c>
      <c r="B1902" s="1527" t="str">
        <f aca="false">B1855</f>
        <v>шт</v>
      </c>
      <c r="C1902" s="1611" t="n">
        <f aca="false">C1855</f>
        <v>1</v>
      </c>
      <c r="D1902" s="1611" t="n">
        <f aca="false">D1855</f>
        <v>3000</v>
      </c>
      <c r="E1902" s="1611" t="n">
        <f aca="false">C1902*D1902</f>
        <v>3000</v>
      </c>
      <c r="F1902" s="1230"/>
      <c r="G1902" s="1557"/>
      <c r="H1902" s="1694"/>
      <c r="I1902" s="1765"/>
      <c r="J1902" s="1290"/>
      <c r="K1902" s="1290"/>
      <c r="L1902" s="1290"/>
      <c r="M1902" s="1290"/>
      <c r="N1902" s="1290"/>
      <c r="O1902" s="1290"/>
      <c r="P1902" s="1230"/>
      <c r="Q1902" s="1230"/>
      <c r="R1902" s="1230"/>
      <c r="S1902" s="1230"/>
      <c r="T1902" s="1230"/>
      <c r="U1902" s="1230"/>
      <c r="V1902" s="1230"/>
      <c r="W1902" s="1230"/>
      <c r="X1902" s="1230"/>
      <c r="Y1902" s="1230"/>
    </row>
    <row r="1903" customFormat="false" ht="15.75" hidden="true" customHeight="true" outlineLevel="1" collapsed="false">
      <c r="A1903" s="1751" t="str">
        <f aca="false">A1856</f>
        <v>Нет техники</v>
      </c>
      <c r="B1903" s="1527" t="str">
        <f aca="false">B1856</f>
        <v>шт</v>
      </c>
      <c r="C1903" s="1611" t="n">
        <f aca="false">C1856</f>
        <v>6</v>
      </c>
      <c r="D1903" s="1611" t="n">
        <f aca="false">D1856</f>
        <v>0</v>
      </c>
      <c r="E1903" s="1611" t="n">
        <f aca="false">C1903*D1903</f>
        <v>0</v>
      </c>
      <c r="F1903" s="1230"/>
      <c r="G1903" s="1899"/>
      <c r="H1903" s="1915"/>
      <c r="I1903" s="1765"/>
      <c r="J1903" s="1290"/>
      <c r="K1903" s="1290"/>
      <c r="L1903" s="1290"/>
      <c r="M1903" s="1290"/>
      <c r="N1903" s="1290"/>
      <c r="O1903" s="1290"/>
      <c r="P1903" s="1230"/>
      <c r="Q1903" s="1230"/>
      <c r="R1903" s="1230"/>
      <c r="S1903" s="1230"/>
      <c r="T1903" s="1230"/>
      <c r="U1903" s="1230"/>
      <c r="V1903" s="1230"/>
      <c r="W1903" s="1230"/>
      <c r="X1903" s="1230"/>
      <c r="Y1903" s="1230"/>
    </row>
    <row r="1904" customFormat="false" ht="15.75" hidden="true" customHeight="true" outlineLevel="1" collapsed="false">
      <c r="A1904" s="1751" t="str">
        <f aca="false">A1857</f>
        <v>Нет техники</v>
      </c>
      <c r="B1904" s="1527" t="n">
        <f aca="false">B1857</f>
        <v>0</v>
      </c>
      <c r="C1904" s="1611" t="n">
        <f aca="false">C1857</f>
        <v>0</v>
      </c>
      <c r="D1904" s="1611" t="n">
        <f aca="false">D1857</f>
        <v>0</v>
      </c>
      <c r="E1904" s="1611" t="n">
        <f aca="false">C1904*D1904</f>
        <v>0</v>
      </c>
      <c r="F1904" s="1230"/>
      <c r="G1904" s="1899"/>
      <c r="H1904" s="1915"/>
      <c r="I1904" s="1765"/>
      <c r="J1904" s="1290"/>
      <c r="K1904" s="1290"/>
      <c r="L1904" s="1290"/>
      <c r="M1904" s="1290"/>
      <c r="N1904" s="1290"/>
      <c r="O1904" s="1290"/>
      <c r="P1904" s="1230"/>
      <c r="Q1904" s="1230"/>
      <c r="R1904" s="1230"/>
      <c r="S1904" s="1230"/>
      <c r="T1904" s="1230"/>
      <c r="U1904" s="1230"/>
      <c r="V1904" s="1230"/>
      <c r="W1904" s="1230"/>
      <c r="X1904" s="1230"/>
      <c r="Y1904" s="1230"/>
    </row>
    <row r="1905" customFormat="false" ht="15.75" hidden="true" customHeight="true" outlineLevel="1" collapsed="false">
      <c r="A1905" s="1230"/>
      <c r="B1905" s="1141"/>
      <c r="C1905" s="1141"/>
      <c r="D1905" s="1141"/>
      <c r="E1905" s="1916" t="n">
        <f aca="false">SUM(E1878:E1904)</f>
        <v>174880.024</v>
      </c>
      <c r="F1905" s="1917"/>
      <c r="G1905" s="1917"/>
      <c r="H1905" s="1917"/>
      <c r="I1905" s="1918"/>
      <c r="J1905" s="1917"/>
      <c r="K1905" s="1917"/>
      <c r="L1905" s="1917"/>
      <c r="M1905" s="1917"/>
      <c r="N1905" s="1917"/>
      <c r="O1905" s="1144" t="n">
        <f aca="false">SUM(O1878:O1904)</f>
        <v>156978.72</v>
      </c>
      <c r="P1905" s="1230"/>
      <c r="Q1905" s="1230"/>
      <c r="R1905" s="1230"/>
      <c r="S1905" s="1230"/>
      <c r="T1905" s="1230"/>
      <c r="U1905" s="1230"/>
      <c r="V1905" s="1230"/>
      <c r="W1905" s="1230"/>
      <c r="X1905" s="1230"/>
      <c r="Y1905" s="1230"/>
    </row>
    <row r="1906" customFormat="false" ht="15.75" hidden="true" customHeight="true" outlineLevel="1" collapsed="false">
      <c r="A1906" s="1751" t="s">
        <v>3660</v>
      </c>
      <c r="B1906" s="1137" t="n">
        <f aca="false">E1905</f>
        <v>174880.024</v>
      </c>
      <c r="C1906" s="1146"/>
      <c r="D1906" s="1917"/>
      <c r="E1906" s="1917"/>
      <c r="F1906" s="1917"/>
      <c r="G1906" s="1917"/>
      <c r="H1906" s="1917"/>
      <c r="I1906" s="1918"/>
      <c r="J1906" s="1917"/>
      <c r="K1906" s="1917"/>
      <c r="L1906" s="1917"/>
      <c r="M1906" s="1917"/>
      <c r="N1906" s="1917"/>
      <c r="O1906" s="1917"/>
      <c r="P1906" s="1230"/>
      <c r="Q1906" s="1230"/>
      <c r="R1906" s="1230"/>
      <c r="S1906" s="1230"/>
      <c r="T1906" s="1230"/>
      <c r="U1906" s="1230"/>
      <c r="V1906" s="1230"/>
      <c r="W1906" s="1230"/>
      <c r="X1906" s="1230"/>
      <c r="Y1906" s="1230"/>
    </row>
    <row r="1907" customFormat="false" ht="15.75" hidden="true" customHeight="true" outlineLevel="1" collapsed="false">
      <c r="A1907" s="1751" t="s">
        <v>3661</v>
      </c>
      <c r="B1907" s="1137" t="n">
        <f aca="false">O1905</f>
        <v>156978.72</v>
      </c>
      <c r="C1907" s="1146"/>
      <c r="D1907" s="1917"/>
      <c r="E1907" s="1917"/>
      <c r="F1907" s="1917"/>
      <c r="G1907" s="1917"/>
      <c r="H1907" s="1917"/>
      <c r="I1907" s="1918"/>
      <c r="J1907" s="1917"/>
      <c r="K1907" s="1917"/>
      <c r="L1907" s="1917"/>
      <c r="M1907" s="1917"/>
      <c r="N1907" s="1917"/>
      <c r="O1907" s="1917"/>
      <c r="P1907" s="1230"/>
      <c r="Q1907" s="1230"/>
      <c r="R1907" s="1230"/>
      <c r="S1907" s="1230"/>
      <c r="T1907" s="1230"/>
      <c r="U1907" s="1230"/>
      <c r="V1907" s="1230"/>
      <c r="W1907" s="1230"/>
      <c r="X1907" s="1230"/>
      <c r="Y1907" s="1230"/>
    </row>
    <row r="1908" customFormat="false" ht="15.75" hidden="true" customHeight="true" outlineLevel="1" collapsed="false">
      <c r="A1908" s="1290" t="s">
        <v>2728</v>
      </c>
      <c r="B1908" s="1137" t="n">
        <f aca="false">SUM(B1906:B1907)</f>
        <v>331858.744</v>
      </c>
      <c r="C1908" s="1146"/>
      <c r="D1908" s="1917"/>
      <c r="E1908" s="1917"/>
      <c r="F1908" s="1917"/>
      <c r="G1908" s="1917"/>
      <c r="H1908" s="1917"/>
      <c r="I1908" s="1918"/>
      <c r="J1908" s="1917"/>
      <c r="K1908" s="1917"/>
      <c r="L1908" s="1917"/>
      <c r="M1908" s="1917"/>
      <c r="N1908" s="1917"/>
      <c r="O1908" s="1917"/>
      <c r="P1908" s="1230"/>
      <c r="Q1908" s="1230"/>
      <c r="R1908" s="1230"/>
      <c r="S1908" s="1230"/>
      <c r="T1908" s="1230"/>
      <c r="U1908" s="1230"/>
      <c r="V1908" s="1230"/>
      <c r="W1908" s="1230"/>
      <c r="X1908" s="1230"/>
      <c r="Y1908" s="1230"/>
    </row>
    <row r="1909" customFormat="false" ht="15.75" hidden="false" customHeight="true" outlineLevel="0" collapsed="false">
      <c r="A1909" s="349" t="s">
        <v>3807</v>
      </c>
      <c r="B1909" s="353"/>
      <c r="C1909" s="353"/>
      <c r="D1909" s="382"/>
      <c r="E1909" s="382"/>
      <c r="F1909" s="382"/>
      <c r="G1909" s="1193"/>
      <c r="H1909" s="1193"/>
      <c r="I1909" s="1770"/>
      <c r="J1909" s="1230"/>
      <c r="K1909" s="1230"/>
      <c r="L1909" s="1230"/>
      <c r="M1909" s="1230"/>
      <c r="N1909" s="1230"/>
      <c r="O1909" s="1230"/>
      <c r="P1909" s="1230"/>
      <c r="Q1909" s="1230"/>
      <c r="R1909" s="1230"/>
      <c r="S1909" s="1230"/>
      <c r="T1909" s="1230"/>
      <c r="U1909" s="1230"/>
      <c r="V1909" s="1230"/>
      <c r="W1909" s="1230"/>
      <c r="X1909" s="1230"/>
      <c r="Y1909" s="1230"/>
    </row>
    <row r="1910" customFormat="false" ht="15.75" hidden="false" customHeight="true" outlineLevel="0" collapsed="false">
      <c r="A1910" s="349"/>
      <c r="B1910" s="353"/>
      <c r="C1910" s="353"/>
      <c r="D1910" s="382"/>
      <c r="E1910" s="382"/>
      <c r="F1910" s="382"/>
      <c r="G1910" s="1193"/>
      <c r="H1910" s="1193"/>
      <c r="I1910" s="1770"/>
      <c r="J1910" s="1230"/>
      <c r="K1910" s="1230"/>
      <c r="L1910" s="1230"/>
      <c r="M1910" s="1230"/>
      <c r="N1910" s="1230"/>
      <c r="O1910" s="1230"/>
      <c r="P1910" s="1230"/>
      <c r="Q1910" s="1230"/>
      <c r="R1910" s="1230"/>
      <c r="S1910" s="1230"/>
      <c r="T1910" s="1230"/>
      <c r="U1910" s="1230"/>
      <c r="V1910" s="1230"/>
      <c r="W1910" s="1230"/>
      <c r="X1910" s="1230"/>
      <c r="Y1910" s="1230"/>
    </row>
    <row r="1911" customFormat="false" ht="15.75" hidden="true" customHeight="true" outlineLevel="1" collapsed="false">
      <c r="A1911" s="1901" t="s">
        <v>3808</v>
      </c>
      <c r="B1911" s="1902"/>
      <c r="C1911" s="1902"/>
      <c r="D1911" s="1903"/>
      <c r="E1911" s="1903"/>
      <c r="F1911" s="1903"/>
      <c r="G1911" s="1903"/>
      <c r="H1911" s="1903"/>
      <c r="I1911" s="1904"/>
      <c r="J1911" s="1903"/>
      <c r="K1911" s="1903"/>
      <c r="L1911" s="1903"/>
      <c r="M1911" s="1903"/>
      <c r="N1911" s="1903"/>
      <c r="O1911" s="1905"/>
      <c r="P1911" s="1230"/>
      <c r="Q1911" s="1230"/>
      <c r="R1911" s="1230"/>
      <c r="S1911" s="1230"/>
      <c r="T1911" s="1230"/>
      <c r="U1911" s="1230"/>
      <c r="V1911" s="1230"/>
      <c r="W1911" s="1230"/>
      <c r="X1911" s="1230"/>
      <c r="Y1911" s="1230"/>
    </row>
    <row r="1912" customFormat="false" ht="15.75" hidden="true" customHeight="true" outlineLevel="1" collapsed="false">
      <c r="A1912" s="1735" t="s">
        <v>1806</v>
      </c>
      <c r="B1912" s="1736"/>
      <c r="C1912" s="1736"/>
      <c r="D1912" s="1164"/>
      <c r="E1912" s="1164"/>
      <c r="F1912" s="1737"/>
      <c r="G1912" s="1784" t="n">
        <f aca="false">G1750</f>
        <v>1.1</v>
      </c>
      <c r="H1912" s="1785"/>
      <c r="I1912" s="1723" t="n">
        <f aca="false">I1750</f>
        <v>1</v>
      </c>
      <c r="J1912" s="1722"/>
      <c r="K1912" s="1722"/>
      <c r="L1912" s="1722"/>
      <c r="M1912" s="1722"/>
      <c r="N1912" s="1722"/>
      <c r="O1912" s="1722"/>
      <c r="P1912" s="1230"/>
      <c r="Q1912" s="1230"/>
      <c r="R1912" s="1230"/>
      <c r="S1912" s="1230"/>
      <c r="T1912" s="1230"/>
      <c r="U1912" s="1230"/>
      <c r="V1912" s="1230"/>
      <c r="W1912" s="1230"/>
      <c r="X1912" s="1230"/>
      <c r="Y1912" s="1230"/>
    </row>
    <row r="1913" customFormat="false" ht="15.75" hidden="true" customHeight="true" outlineLevel="1" collapsed="false">
      <c r="A1913" s="1290" t="s">
        <v>3775</v>
      </c>
      <c r="B1913" s="1527" t="s">
        <v>2807</v>
      </c>
      <c r="C1913" s="1689" t="n">
        <f aca="false">C1771+C1772+C1773</f>
        <v>63.8</v>
      </c>
      <c r="D1913" s="1230"/>
      <c r="E1913" s="1230"/>
      <c r="F1913" s="1230"/>
      <c r="G1913" s="1230"/>
      <c r="H1913" s="1230"/>
      <c r="I1913" s="1770"/>
      <c r="J1913" s="1230"/>
      <c r="K1913" s="1230"/>
      <c r="L1913" s="1230"/>
      <c r="M1913" s="1230"/>
      <c r="N1913" s="1230"/>
      <c r="O1913" s="1230"/>
      <c r="P1913" s="1230"/>
      <c r="Q1913" s="1230"/>
      <c r="R1913" s="1230"/>
      <c r="S1913" s="1230"/>
      <c r="T1913" s="1230"/>
      <c r="U1913" s="1230"/>
      <c r="V1913" s="1230"/>
      <c r="W1913" s="1230"/>
      <c r="X1913" s="1230"/>
      <c r="Y1913" s="1230"/>
    </row>
    <row r="1914" customFormat="false" ht="15.75" hidden="true" customHeight="true" outlineLevel="1" collapsed="false">
      <c r="A1914" s="1290" t="s">
        <v>3776</v>
      </c>
      <c r="B1914" s="1527" t="s">
        <v>156</v>
      </c>
      <c r="C1914" s="1689" t="n">
        <f aca="false">'Ввод данных'!C907</f>
        <v>0</v>
      </c>
      <c r="D1914" s="1230"/>
      <c r="E1914" s="1230"/>
      <c r="F1914" s="1230"/>
      <c r="G1914" s="1230"/>
      <c r="H1914" s="1230"/>
      <c r="I1914" s="1770"/>
      <c r="J1914" s="1230"/>
      <c r="K1914" s="1230"/>
      <c r="L1914" s="1230"/>
      <c r="M1914" s="1230"/>
      <c r="N1914" s="1230"/>
      <c r="O1914" s="1230"/>
      <c r="P1914" s="1230"/>
      <c r="Q1914" s="1230"/>
      <c r="R1914" s="1230"/>
      <c r="S1914" s="1230"/>
      <c r="T1914" s="1230"/>
      <c r="U1914" s="1230"/>
      <c r="V1914" s="1230"/>
      <c r="W1914" s="1230"/>
      <c r="X1914" s="1230"/>
      <c r="Y1914" s="1230"/>
    </row>
    <row r="1915" customFormat="false" ht="15.75" hidden="true" customHeight="true" outlineLevel="1" collapsed="false">
      <c r="A1915" s="1290" t="s">
        <v>3777</v>
      </c>
      <c r="B1915" s="1527" t="s">
        <v>156</v>
      </c>
      <c r="C1915" s="1689" t="n">
        <f aca="false">'Ввод данных'!C908</f>
        <v>0</v>
      </c>
      <c r="D1915" s="1230"/>
      <c r="E1915" s="1230"/>
      <c r="F1915" s="1230"/>
      <c r="G1915" s="1230"/>
      <c r="H1915" s="1230"/>
      <c r="I1915" s="1770"/>
      <c r="J1915" s="1230"/>
      <c r="K1915" s="1230"/>
      <c r="L1915" s="1230"/>
      <c r="M1915" s="1230"/>
      <c r="N1915" s="1230"/>
      <c r="O1915" s="1230"/>
      <c r="P1915" s="1230"/>
      <c r="Q1915" s="1230"/>
      <c r="R1915" s="1230"/>
      <c r="S1915" s="1230"/>
      <c r="T1915" s="1230"/>
      <c r="U1915" s="1230"/>
      <c r="V1915" s="1230"/>
      <c r="W1915" s="1230"/>
      <c r="X1915" s="1230"/>
      <c r="Y1915" s="1230"/>
    </row>
    <row r="1916" customFormat="false" ht="15.75" hidden="true" customHeight="true" outlineLevel="1" collapsed="false">
      <c r="A1916" s="1290" t="s">
        <v>3779</v>
      </c>
      <c r="B1916" s="1527" t="s">
        <v>156</v>
      </c>
      <c r="C1916" s="1689" t="n">
        <f aca="false">C1914</f>
        <v>0</v>
      </c>
      <c r="D1916" s="1230"/>
      <c r="E1916" s="1230"/>
      <c r="F1916" s="1230"/>
      <c r="G1916" s="1230"/>
      <c r="H1916" s="1230"/>
      <c r="I1916" s="1770"/>
      <c r="J1916" s="1230"/>
      <c r="K1916" s="1230"/>
      <c r="L1916" s="1230"/>
      <c r="M1916" s="1230"/>
      <c r="N1916" s="1230"/>
      <c r="O1916" s="1230"/>
      <c r="P1916" s="1230"/>
      <c r="Q1916" s="1230"/>
      <c r="R1916" s="1230"/>
      <c r="S1916" s="1230"/>
      <c r="T1916" s="1230"/>
      <c r="U1916" s="1230"/>
      <c r="V1916" s="1230"/>
      <c r="W1916" s="1230"/>
      <c r="X1916" s="1230"/>
      <c r="Y1916" s="1230"/>
    </row>
    <row r="1917" customFormat="false" ht="15.75" hidden="true" customHeight="true" outlineLevel="1" collapsed="false">
      <c r="A1917" s="1906" t="s">
        <v>3626</v>
      </c>
      <c r="B1917" s="1907"/>
      <c r="C1917" s="1908"/>
      <c r="D1917" s="1230"/>
      <c r="E1917" s="1230"/>
      <c r="F1917" s="1311"/>
      <c r="G1917" s="1719"/>
      <c r="H1917" s="1719"/>
      <c r="I1917" s="1696"/>
      <c r="J1917" s="1311"/>
      <c r="K1917" s="1769"/>
      <c r="L1917" s="1769"/>
      <c r="M1917" s="1769"/>
      <c r="N1917" s="1769"/>
      <c r="O1917" s="1311"/>
      <c r="P1917" s="1696"/>
      <c r="Q1917" s="1311"/>
      <c r="R1917" s="1230"/>
      <c r="S1917" s="1230"/>
      <c r="T1917" s="1230"/>
      <c r="U1917" s="1230"/>
      <c r="V1917" s="1230"/>
      <c r="W1917" s="1230"/>
      <c r="X1917" s="1230"/>
      <c r="Y1917" s="1230"/>
    </row>
    <row r="1918" customFormat="false" ht="15.75" hidden="true" customHeight="true" outlineLevel="1" collapsed="false">
      <c r="A1918" s="1527" t="s">
        <v>2624</v>
      </c>
      <c r="B1918" s="1527"/>
      <c r="C1918" s="1527" t="n">
        <f aca="false">C1867</f>
        <v>110.4</v>
      </c>
      <c r="D1918" s="1230"/>
      <c r="E1918" s="1230"/>
      <c r="F1918" s="1311"/>
      <c r="G1918" s="1719"/>
      <c r="H1918" s="1719"/>
      <c r="I1918" s="1696"/>
      <c r="J1918" s="1311"/>
      <c r="K1918" s="1769"/>
      <c r="L1918" s="1769"/>
      <c r="M1918" s="1769"/>
      <c r="N1918" s="1769"/>
      <c r="O1918" s="1311"/>
      <c r="P1918" s="1696"/>
      <c r="Q1918" s="1311"/>
      <c r="R1918" s="1230"/>
      <c r="S1918" s="1230"/>
      <c r="T1918" s="1230"/>
      <c r="U1918" s="1230"/>
      <c r="V1918" s="1230"/>
      <c r="W1918" s="1230"/>
      <c r="X1918" s="1230"/>
      <c r="Y1918" s="1230"/>
    </row>
    <row r="1919" customFormat="false" ht="15.75" hidden="true" customHeight="true" outlineLevel="1" collapsed="false">
      <c r="A1919" s="1527" t="s">
        <v>3801</v>
      </c>
      <c r="B1919" s="1527"/>
      <c r="C1919" s="1527" t="n">
        <f aca="false">C1766</f>
        <v>0</v>
      </c>
      <c r="D1919" s="1230"/>
      <c r="E1919" s="1230"/>
      <c r="F1919" s="1311"/>
      <c r="G1919" s="1719"/>
      <c r="H1919" s="1719"/>
      <c r="I1919" s="1696"/>
      <c r="J1919" s="1311"/>
      <c r="K1919" s="1311"/>
      <c r="L1919" s="1311"/>
      <c r="M1919" s="1311"/>
      <c r="N1919" s="1311"/>
      <c r="O1919" s="1311"/>
      <c r="P1919" s="1311"/>
      <c r="Q1919" s="1311"/>
      <c r="R1919" s="1230"/>
      <c r="S1919" s="1230"/>
      <c r="T1919" s="1230"/>
      <c r="U1919" s="1230"/>
      <c r="V1919" s="1230"/>
      <c r="W1919" s="1230"/>
      <c r="X1919" s="1230"/>
      <c r="Y1919" s="1230"/>
    </row>
    <row r="1920" customFormat="false" ht="15.75" hidden="true" customHeight="true" outlineLevel="1" collapsed="false">
      <c r="A1920" s="1751" t="s">
        <v>3678</v>
      </c>
      <c r="B1920" s="1527" t="s">
        <v>133</v>
      </c>
      <c r="C1920" s="1527" t="n">
        <f aca="false">C1768</f>
        <v>100</v>
      </c>
      <c r="D1920" s="1230"/>
      <c r="E1920" s="1230"/>
      <c r="F1920" s="1769"/>
      <c r="G1920" s="1719"/>
      <c r="H1920" s="1719"/>
      <c r="I1920" s="1696"/>
      <c r="J1920" s="1311"/>
      <c r="K1920" s="1311"/>
      <c r="L1920" s="1311"/>
      <c r="M1920" s="1311"/>
      <c r="N1920" s="1311"/>
      <c r="O1920" s="1311"/>
      <c r="P1920" s="1311"/>
      <c r="Q1920" s="1311"/>
      <c r="R1920" s="1230"/>
      <c r="S1920" s="1230"/>
      <c r="T1920" s="1230"/>
      <c r="U1920" s="1230"/>
      <c r="V1920" s="1230"/>
      <c r="W1920" s="1230"/>
      <c r="X1920" s="1230"/>
      <c r="Y1920" s="1230"/>
    </row>
    <row r="1921" customFormat="false" ht="15.75" hidden="true" customHeight="true" outlineLevel="1" collapsed="false">
      <c r="A1921" s="1751" t="s">
        <v>3628</v>
      </c>
      <c r="B1921" s="1527" t="s">
        <v>133</v>
      </c>
      <c r="C1921" s="1527" t="n">
        <f aca="false">C1769</f>
        <v>100</v>
      </c>
      <c r="D1921" s="1230"/>
      <c r="E1921" s="1230"/>
      <c r="F1921" s="1769"/>
      <c r="G1921" s="1719"/>
      <c r="H1921" s="1719"/>
      <c r="I1921" s="1696"/>
      <c r="J1921" s="1311"/>
      <c r="K1921" s="1311"/>
      <c r="L1921" s="1311"/>
      <c r="M1921" s="1311"/>
      <c r="N1921" s="1311"/>
      <c r="O1921" s="1311"/>
      <c r="P1921" s="1311"/>
      <c r="Q1921" s="1311"/>
      <c r="R1921" s="1230"/>
      <c r="S1921" s="1230"/>
      <c r="T1921" s="1230"/>
      <c r="U1921" s="1230"/>
      <c r="V1921" s="1230"/>
      <c r="W1921" s="1230"/>
      <c r="X1921" s="1230"/>
      <c r="Y1921" s="1230"/>
    </row>
    <row r="1922" customFormat="false" ht="15.75" hidden="true" customHeight="true" outlineLevel="1" collapsed="false">
      <c r="A1922" s="1751" t="s">
        <v>3680</v>
      </c>
      <c r="B1922" s="1527" t="s">
        <v>156</v>
      </c>
      <c r="C1922" s="1527" t="n">
        <f aca="false">C1770</f>
        <v>56</v>
      </c>
      <c r="D1922" s="1230" t="n">
        <f aca="false">C1927+C1929+C1918</f>
        <v>135.87168</v>
      </c>
      <c r="E1922" s="1230"/>
      <c r="F1922" s="1230"/>
      <c r="G1922" s="1230"/>
      <c r="H1922" s="1230"/>
      <c r="I1922" s="1770"/>
      <c r="J1922" s="1230"/>
      <c r="K1922" s="1230"/>
      <c r="L1922" s="1230"/>
      <c r="M1922" s="1230"/>
      <c r="N1922" s="1230"/>
      <c r="O1922" s="1230"/>
      <c r="P1922" s="1230"/>
      <c r="Q1922" s="1230"/>
      <c r="R1922" s="1230"/>
      <c r="S1922" s="1230"/>
      <c r="T1922" s="1230"/>
      <c r="U1922" s="1230"/>
      <c r="V1922" s="1230"/>
      <c r="W1922" s="1230"/>
      <c r="X1922" s="1230"/>
      <c r="Y1922" s="1230"/>
    </row>
    <row r="1923" s="1150" customFormat="true" ht="15.75" hidden="true" customHeight="true" outlineLevel="1" collapsed="false">
      <c r="A1923" s="1751" t="s">
        <v>3752</v>
      </c>
      <c r="B1923" s="1527" t="s">
        <v>156</v>
      </c>
      <c r="C1923" s="1527" t="n">
        <f aca="false">C1771</f>
        <v>40</v>
      </c>
      <c r="D1923" s="1230"/>
      <c r="E1923" s="1230"/>
      <c r="J1923" s="1230"/>
      <c r="K1923" s="1230"/>
      <c r="L1923" s="1230"/>
      <c r="M1923" s="1230"/>
      <c r="N1923" s="1230"/>
      <c r="O1923" s="1230"/>
      <c r="P1923" s="1230"/>
      <c r="Q1923" s="1230"/>
      <c r="R1923" s="1230"/>
      <c r="S1923" s="1230"/>
      <c r="T1923" s="1230"/>
      <c r="U1923" s="1230"/>
      <c r="V1923" s="1230"/>
      <c r="W1923" s="1230"/>
      <c r="X1923" s="1230"/>
      <c r="Y1923" s="1230"/>
    </row>
    <row r="1924" s="1150" customFormat="true" ht="15.75" hidden="true" customHeight="true" outlineLevel="1" collapsed="false">
      <c r="A1924" s="1751" t="s">
        <v>3753</v>
      </c>
      <c r="B1924" s="1527" t="s">
        <v>156</v>
      </c>
      <c r="C1924" s="1527" t="n">
        <f aca="false">C1772</f>
        <v>16</v>
      </c>
      <c r="D1924" s="1230"/>
      <c r="E1924" s="1230"/>
      <c r="J1924" s="1230"/>
      <c r="K1924" s="1230"/>
      <c r="L1924" s="1230"/>
      <c r="M1924" s="1230"/>
      <c r="N1924" s="1230"/>
      <c r="O1924" s="1230"/>
      <c r="P1924" s="1230"/>
      <c r="Q1924" s="1230"/>
      <c r="R1924" s="1230"/>
      <c r="S1924" s="1230"/>
      <c r="T1924" s="1230"/>
      <c r="U1924" s="1230"/>
      <c r="V1924" s="1230"/>
      <c r="W1924" s="1230"/>
      <c r="X1924" s="1230"/>
      <c r="Y1924" s="1230"/>
    </row>
    <row r="1925" customFormat="false" ht="15.75" hidden="true" customHeight="true" outlineLevel="1" collapsed="false">
      <c r="A1925" s="1751" t="s">
        <v>3755</v>
      </c>
      <c r="B1925" s="1527" t="s">
        <v>156</v>
      </c>
      <c r="C1925" s="1527" t="n">
        <f aca="false">C1773</f>
        <v>7.8</v>
      </c>
      <c r="D1925" s="1230" t="n">
        <f aca="false">VLOOKUP(A1940,'Прайс лист'!B441:G528,3,0)</f>
        <v>0.26</v>
      </c>
      <c r="E1925" s="1150" t="n">
        <f aca="false">1/(D1925-'Ввод данных'!C918)</f>
        <v>4.34782608695652</v>
      </c>
      <c r="F1925" s="1150" t="s">
        <v>853</v>
      </c>
      <c r="G1925" s="1150" t="n">
        <f aca="false">3.14*D1925*E1925*(связи1!C161+C1918)</f>
        <v>391.872</v>
      </c>
      <c r="I1925" s="1150" t="n">
        <f aca="false">3.14*D1925</f>
        <v>0.8164</v>
      </c>
      <c r="J1925" s="1230"/>
      <c r="K1925" s="1230"/>
      <c r="L1925" s="1230"/>
      <c r="M1925" s="1230"/>
      <c r="N1925" s="1230"/>
      <c r="O1925" s="1230"/>
      <c r="P1925" s="1230"/>
      <c r="Q1925" s="1230"/>
      <c r="R1925" s="1230"/>
      <c r="S1925" s="1230"/>
      <c r="T1925" s="1230"/>
      <c r="U1925" s="1230"/>
      <c r="V1925" s="1230"/>
      <c r="W1925" s="1230"/>
      <c r="X1925" s="1230"/>
      <c r="Y1925" s="1230"/>
    </row>
    <row r="1926" s="1150" customFormat="true" ht="15.75" hidden="true" customHeight="true" outlineLevel="1" collapsed="false">
      <c r="A1926" s="1751" t="s">
        <v>3633</v>
      </c>
      <c r="B1926" s="1527" t="s">
        <v>133</v>
      </c>
      <c r="C1926" s="1753" t="n">
        <f aca="false">(связи1!C161+C1918)*D1926</f>
        <v>25.47168</v>
      </c>
      <c r="D1926" s="1290" t="n">
        <f aca="false">3.14*D1925/2*D1925/2*E1925</f>
        <v>0.230721739130435</v>
      </c>
      <c r="E1926" s="1230"/>
      <c r="J1926" s="1230" t="n">
        <f aca="false">C1926/D1926</f>
        <v>110.4</v>
      </c>
      <c r="K1926" s="1230"/>
      <c r="L1926" s="1230"/>
      <c r="M1926" s="1230"/>
      <c r="N1926" s="1230"/>
      <c r="O1926" s="1230"/>
      <c r="P1926" s="1230"/>
      <c r="Q1926" s="1230"/>
      <c r="R1926" s="1230"/>
      <c r="S1926" s="1230"/>
      <c r="T1926" s="1230"/>
      <c r="U1926" s="1230"/>
      <c r="V1926" s="1230"/>
      <c r="W1926" s="1230"/>
      <c r="X1926" s="1230"/>
      <c r="Y1926" s="1230"/>
    </row>
    <row r="1927" s="1150" customFormat="true" ht="15.75" hidden="true" customHeight="true" outlineLevel="1" collapsed="false">
      <c r="A1927" s="1751" t="s">
        <v>3687</v>
      </c>
      <c r="B1927" s="1527" t="s">
        <v>133</v>
      </c>
      <c r="C1927" s="1753" t="n">
        <f aca="false">C1926</f>
        <v>25.47168</v>
      </c>
      <c r="D1927" s="1230" t="n">
        <f aca="false">VLOOKUP(A1941,'Прайс лист'!B441:G528,3,0)</f>
        <v>0.2</v>
      </c>
      <c r="E1927" s="1150" t="n">
        <f aca="false">1/(D1927-'Ввод данных'!C918)</f>
        <v>5.88235294117647</v>
      </c>
      <c r="G1927" s="1150" t="n">
        <f aca="false">3.14*D1927*E1927*связи1!D161</f>
        <v>0</v>
      </c>
      <c r="J1927" s="1230" t="n">
        <f aca="false">C1927/D1927</f>
        <v>127.3584</v>
      </c>
      <c r="K1927" s="1230"/>
      <c r="L1927" s="1230"/>
      <c r="M1927" s="1230"/>
      <c r="N1927" s="1230"/>
      <c r="O1927" s="1230"/>
      <c r="P1927" s="1230"/>
      <c r="Q1927" s="1230"/>
      <c r="R1927" s="1230"/>
      <c r="S1927" s="1230"/>
      <c r="T1927" s="1230"/>
      <c r="U1927" s="1230"/>
      <c r="V1927" s="1230"/>
      <c r="W1927" s="1230"/>
      <c r="X1927" s="1230"/>
      <c r="Y1927" s="1230"/>
    </row>
    <row r="1928" s="1150" customFormat="true" ht="15.75" hidden="true" customHeight="true" outlineLevel="1" collapsed="false">
      <c r="A1928" s="1751" t="s">
        <v>3635</v>
      </c>
      <c r="B1928" s="1527"/>
      <c r="C1928" s="1753" t="n">
        <f aca="false">связи1!D161*D1928</f>
        <v>0</v>
      </c>
      <c r="D1928" s="1290" t="n">
        <f aca="false">3.14*D1927/2*D1927/2*E1927</f>
        <v>0.184705882352941</v>
      </c>
      <c r="E1928" s="1230"/>
      <c r="J1928" s="1230" t="n">
        <f aca="false">C1928/D1928</f>
        <v>0</v>
      </c>
      <c r="K1928" s="1230"/>
      <c r="L1928" s="1230"/>
      <c r="M1928" s="1230"/>
      <c r="N1928" s="1230"/>
      <c r="O1928" s="1230"/>
      <c r="P1928" s="1230"/>
      <c r="Q1928" s="1230"/>
      <c r="R1928" s="1230"/>
      <c r="S1928" s="1230"/>
      <c r="T1928" s="1230"/>
      <c r="U1928" s="1230"/>
      <c r="V1928" s="1230"/>
      <c r="W1928" s="1230"/>
      <c r="X1928" s="1230"/>
      <c r="Y1928" s="1230"/>
    </row>
    <row r="1929" s="1150" customFormat="true" ht="15.75" hidden="true" customHeight="true" outlineLevel="1" collapsed="false">
      <c r="A1929" s="1751" t="s">
        <v>3638</v>
      </c>
      <c r="B1929" s="1527" t="s">
        <v>133</v>
      </c>
      <c r="C1929" s="1753" t="n">
        <f aca="false">C1928+C1930</f>
        <v>0</v>
      </c>
      <c r="D1929" s="1290" t="n">
        <f aca="false">3.14*D1930/2*D1930/2*E1930</f>
        <v>0.184705882352941</v>
      </c>
      <c r="E1929" s="1230"/>
      <c r="J1929" s="1230" t="n">
        <f aca="false">C1929/D1929</f>
        <v>0</v>
      </c>
      <c r="K1929" s="1230"/>
      <c r="L1929" s="1230"/>
      <c r="M1929" s="1230"/>
      <c r="N1929" s="1230"/>
      <c r="O1929" s="1230"/>
      <c r="P1929" s="1230"/>
      <c r="Q1929" s="1230"/>
      <c r="R1929" s="1230"/>
      <c r="S1929" s="1230"/>
      <c r="T1929" s="1230"/>
      <c r="U1929" s="1230"/>
      <c r="V1929" s="1230"/>
      <c r="W1929" s="1230"/>
      <c r="X1929" s="1230"/>
      <c r="Y1929" s="1230"/>
    </row>
    <row r="1930" s="1150" customFormat="true" ht="15.75" hidden="true" customHeight="true" outlineLevel="1" collapsed="false">
      <c r="A1930" s="1751" t="s">
        <v>3636</v>
      </c>
      <c r="B1930" s="1527" t="s">
        <v>133</v>
      </c>
      <c r="C1930" s="1753" t="n">
        <f aca="false">связи1!E161*D1929</f>
        <v>0</v>
      </c>
      <c r="D1930" s="1230" t="n">
        <f aca="false">VLOOKUP(A1942,'Прайс лист'!B441:G528,3,0)</f>
        <v>0.2</v>
      </c>
      <c r="E1930" s="1150" t="n">
        <f aca="false">1/(D1930-'Ввод данных'!C918)</f>
        <v>5.88235294117647</v>
      </c>
      <c r="G1930" s="1150" t="n">
        <f aca="false">3.14*D1930*E1930*связи1!E161</f>
        <v>0</v>
      </c>
      <c r="J1930" s="1230" t="n">
        <f aca="false">C1930/D1930</f>
        <v>0</v>
      </c>
      <c r="K1930" s="1230"/>
      <c r="L1930" s="1230"/>
      <c r="M1930" s="1230"/>
      <c r="N1930" s="1230"/>
      <c r="O1930" s="1230"/>
      <c r="P1930" s="1230"/>
      <c r="Q1930" s="1230"/>
      <c r="R1930" s="1230"/>
      <c r="S1930" s="1230"/>
      <c r="T1930" s="1230"/>
      <c r="U1930" s="1230"/>
      <c r="V1930" s="1230"/>
      <c r="W1930" s="1230"/>
      <c r="X1930" s="1230"/>
      <c r="Y1930" s="1230"/>
    </row>
    <row r="1931" s="1150" customFormat="true" ht="15.75" hidden="true" customHeight="true" outlineLevel="1" collapsed="false">
      <c r="B1931" s="1151"/>
      <c r="E1931" s="1230"/>
      <c r="J1931" s="1230"/>
      <c r="K1931" s="1230"/>
      <c r="L1931" s="1230"/>
      <c r="M1931" s="1230"/>
      <c r="N1931" s="1230"/>
      <c r="O1931" s="1230"/>
      <c r="P1931" s="1230"/>
      <c r="Q1931" s="1230"/>
      <c r="R1931" s="1230"/>
      <c r="S1931" s="1230"/>
      <c r="T1931" s="1230"/>
      <c r="U1931" s="1230"/>
      <c r="V1931" s="1230"/>
      <c r="W1931" s="1230"/>
      <c r="X1931" s="1230"/>
      <c r="Y1931" s="1230"/>
    </row>
    <row r="1932" s="1150" customFormat="true" ht="15.75" hidden="true" customHeight="true" outlineLevel="1" collapsed="false">
      <c r="A1932" s="1751" t="s">
        <v>3639</v>
      </c>
      <c r="B1932" s="1527" t="s">
        <v>133</v>
      </c>
      <c r="C1932" s="1527" t="n">
        <f aca="false">C1779</f>
        <v>90.43</v>
      </c>
      <c r="D1932" s="1230"/>
      <c r="E1932" s="1230"/>
      <c r="G1932" s="1150" t="n">
        <f aca="false">SUM(G1925:G1931)</f>
        <v>391.872</v>
      </c>
      <c r="J1932" s="1230"/>
      <c r="K1932" s="1230"/>
      <c r="L1932" s="1230"/>
      <c r="M1932" s="1230"/>
      <c r="N1932" s="1230"/>
      <c r="O1932" s="1230"/>
      <c r="P1932" s="1230"/>
      <c r="Q1932" s="1230"/>
      <c r="R1932" s="1230"/>
      <c r="S1932" s="1230"/>
      <c r="T1932" s="1230"/>
      <c r="U1932" s="1230"/>
      <c r="V1932" s="1230"/>
      <c r="W1932" s="1230"/>
      <c r="X1932" s="1230"/>
      <c r="Y1932" s="1230"/>
    </row>
    <row r="1933" s="1150" customFormat="true" ht="15.75" hidden="true" customHeight="true" outlineLevel="1" collapsed="false">
      <c r="A1933" s="1751" t="s">
        <v>3690</v>
      </c>
      <c r="B1933" s="1527" t="s">
        <v>133</v>
      </c>
      <c r="C1933" s="1527" t="n">
        <f aca="false">C1780</f>
        <v>100</v>
      </c>
      <c r="D1933" s="1230"/>
      <c r="E1933" s="1230"/>
      <c r="J1933" s="1230"/>
      <c r="K1933" s="1230"/>
      <c r="L1933" s="1230"/>
      <c r="M1933" s="1230"/>
      <c r="N1933" s="1230"/>
      <c r="O1933" s="1230"/>
      <c r="P1933" s="1230"/>
      <c r="Q1933" s="1230"/>
      <c r="R1933" s="1230"/>
      <c r="S1933" s="1230"/>
      <c r="T1933" s="1230"/>
      <c r="U1933" s="1230"/>
      <c r="V1933" s="1230"/>
      <c r="W1933" s="1230"/>
      <c r="X1933" s="1230"/>
      <c r="Y1933" s="1230"/>
    </row>
    <row r="1934" s="1150" customFormat="true" ht="15.75" hidden="true" customHeight="true" outlineLevel="1" collapsed="false">
      <c r="A1934" s="1751" t="s">
        <v>3642</v>
      </c>
      <c r="B1934" s="1527" t="s">
        <v>133</v>
      </c>
      <c r="C1934" s="1527" t="n">
        <f aca="false">C1781</f>
        <v>100</v>
      </c>
      <c r="D1934" s="1230"/>
      <c r="E1934" s="1230"/>
      <c r="J1934" s="1230"/>
      <c r="K1934" s="1230"/>
      <c r="L1934" s="1230"/>
      <c r="M1934" s="1230"/>
      <c r="N1934" s="1230"/>
      <c r="O1934" s="1230"/>
      <c r="P1934" s="1230"/>
      <c r="Q1934" s="1230"/>
      <c r="R1934" s="1230"/>
      <c r="S1934" s="1230"/>
      <c r="T1934" s="1230"/>
      <c r="U1934" s="1230"/>
      <c r="V1934" s="1230"/>
      <c r="W1934" s="1230"/>
      <c r="X1934" s="1230"/>
      <c r="Y1934" s="1230"/>
    </row>
    <row r="1935" customFormat="false" ht="15.75" hidden="true" customHeight="true" outlineLevel="1" collapsed="false">
      <c r="A1935" s="1751" t="s">
        <v>3643</v>
      </c>
      <c r="B1935" s="1527" t="s">
        <v>133</v>
      </c>
      <c r="C1935" s="1527" t="n">
        <f aca="false">C1782</f>
        <v>100</v>
      </c>
      <c r="D1935" s="1230"/>
      <c r="E1935" s="1230"/>
      <c r="F1935" s="1230"/>
      <c r="G1935" s="1230"/>
      <c r="H1935" s="1230"/>
      <c r="I1935" s="1770"/>
      <c r="J1935" s="1230"/>
      <c r="K1935" s="1230"/>
      <c r="L1935" s="1230"/>
      <c r="M1935" s="1230"/>
      <c r="N1935" s="1230"/>
      <c r="O1935" s="1230"/>
      <c r="P1935" s="1230"/>
      <c r="Q1935" s="1230"/>
      <c r="R1935" s="1230"/>
      <c r="S1935" s="1230"/>
      <c r="T1935" s="1230"/>
      <c r="U1935" s="1230"/>
      <c r="V1935" s="1230"/>
      <c r="W1935" s="1230"/>
      <c r="X1935" s="1230"/>
      <c r="Y1935" s="1230"/>
    </row>
    <row r="1936" customFormat="false" ht="15.75" hidden="true" customHeight="true" outlineLevel="1" collapsed="false">
      <c r="A1936" s="1751" t="s">
        <v>3644</v>
      </c>
      <c r="B1936" s="1527" t="s">
        <v>133</v>
      </c>
      <c r="C1936" s="1527" t="n">
        <f aca="false">C1783</f>
        <v>0</v>
      </c>
      <c r="D1936" s="1230"/>
      <c r="E1936" s="1230"/>
      <c r="F1936" s="1230"/>
      <c r="G1936" s="1230"/>
      <c r="H1936" s="1230"/>
      <c r="I1936" s="1770"/>
      <c r="J1936" s="1230"/>
      <c r="K1936" s="1230"/>
      <c r="L1936" s="1230"/>
      <c r="M1936" s="1230"/>
      <c r="N1936" s="1230"/>
      <c r="O1936" s="1230"/>
      <c r="P1936" s="1230"/>
      <c r="Q1936" s="1230"/>
      <c r="R1936" s="1230"/>
      <c r="S1936" s="1230"/>
      <c r="T1936" s="1230"/>
      <c r="U1936" s="1230"/>
      <c r="V1936" s="1230"/>
      <c r="W1936" s="1230"/>
      <c r="X1936" s="1230"/>
      <c r="Y1936" s="1230"/>
    </row>
    <row r="1937" customFormat="false" ht="15.75" hidden="true" customHeight="true" outlineLevel="1" collapsed="false">
      <c r="A1937" s="1751" t="s">
        <v>3645</v>
      </c>
      <c r="B1937" s="1527" t="s">
        <v>133</v>
      </c>
      <c r="C1937" s="1527" t="n">
        <f aca="false">C1784</f>
        <v>200</v>
      </c>
      <c r="D1937" s="1230"/>
      <c r="E1937" s="1230"/>
      <c r="F1937" s="1230"/>
      <c r="G1937" s="1230"/>
      <c r="H1937" s="1230"/>
      <c r="I1937" s="1770"/>
      <c r="J1937" s="1230"/>
      <c r="K1937" s="1230"/>
      <c r="L1937" s="1230"/>
      <c r="M1937" s="1230"/>
      <c r="N1937" s="1230"/>
      <c r="O1937" s="1230"/>
      <c r="P1937" s="1230"/>
      <c r="Q1937" s="1230"/>
      <c r="R1937" s="1230"/>
      <c r="S1937" s="1230"/>
      <c r="T1937" s="1230"/>
      <c r="U1937" s="1230"/>
      <c r="V1937" s="1230"/>
      <c r="W1937" s="1230"/>
      <c r="X1937" s="1230"/>
      <c r="Y1937" s="1230"/>
    </row>
    <row r="1938" customFormat="false" ht="15.75" hidden="true" customHeight="true" outlineLevel="1" collapsed="false">
      <c r="A1938" s="1909" t="s">
        <v>2720</v>
      </c>
      <c r="B1938" s="1910" t="s">
        <v>1094</v>
      </c>
      <c r="C1938" s="1910" t="s">
        <v>120</v>
      </c>
      <c r="D1938" s="1910" t="s">
        <v>3764</v>
      </c>
      <c r="E1938" s="1911" t="s">
        <v>2722</v>
      </c>
      <c r="F1938" s="1230"/>
      <c r="G1938" s="1906" t="s">
        <v>1409</v>
      </c>
      <c r="H1938" s="1912"/>
      <c r="I1938" s="1913"/>
      <c r="J1938" s="1911" t="s">
        <v>1802</v>
      </c>
      <c r="K1938" s="1911" t="s">
        <v>2721</v>
      </c>
      <c r="L1938" s="1911"/>
      <c r="M1938" s="1911"/>
      <c r="N1938" s="1911"/>
      <c r="O1938" s="1911" t="s">
        <v>2722</v>
      </c>
      <c r="P1938" s="1230"/>
      <c r="Q1938" s="1230"/>
      <c r="R1938" s="1230"/>
      <c r="S1938" s="1230"/>
      <c r="T1938" s="1230"/>
      <c r="U1938" s="1230"/>
      <c r="V1938" s="1230"/>
      <c r="W1938" s="1230"/>
      <c r="X1938" s="1230"/>
      <c r="Y1938" s="1230"/>
    </row>
    <row r="1939" customFormat="false" ht="15.75" hidden="true" customHeight="true" outlineLevel="1" collapsed="false">
      <c r="A1939" s="1751" t="str">
        <f aca="false">'Ввод данных'!A915</f>
        <v>Оцилиндрованное бревно сосна 260мм</v>
      </c>
      <c r="B1939" s="1527" t="s">
        <v>135</v>
      </c>
      <c r="C1939" s="1692" t="n">
        <f aca="false">C1913*3.14*VLOOKUP(A1939,'Прайс лист'!B441:G528,3,0)/2*VLOOKUP(A1939,'Прайс лист'!B441:G528,3,0)/2*G1912</f>
        <v>3.72417188</v>
      </c>
      <c r="D1939" s="1611" t="n">
        <f aca="false">'Прайс лист'!G473</f>
        <v>10000</v>
      </c>
      <c r="E1939" s="1290" t="n">
        <f aca="false">C1939*D1939</f>
        <v>37241.7188</v>
      </c>
      <c r="F1939" s="1230"/>
      <c r="G1939" s="1557" t="str">
        <f aca="false">'Прайс лист'!B1697</f>
        <v>кладка Оцилиндрованного вревна</v>
      </c>
      <c r="H1939" s="1694"/>
      <c r="I1939" s="1765"/>
      <c r="J1939" s="1290" t="n">
        <f aca="false">(C1940+C1939+C1941+C1942)*I1912</f>
        <v>28.018848</v>
      </c>
      <c r="K1939" s="1290" t="n">
        <f aca="false">'Прайс лист'!G1697</f>
        <v>6000</v>
      </c>
      <c r="L1939" s="1290"/>
      <c r="M1939" s="1290"/>
      <c r="N1939" s="1290"/>
      <c r="O1939" s="1290" t="n">
        <f aca="false">J1939*K1939</f>
        <v>168113.088</v>
      </c>
      <c r="P1939" s="1230"/>
      <c r="Q1939" s="1230"/>
      <c r="R1939" s="1230"/>
      <c r="S1939" s="1230"/>
      <c r="T1939" s="1230"/>
      <c r="U1939" s="1230"/>
      <c r="V1939" s="1230"/>
      <c r="W1939" s="1230"/>
      <c r="X1939" s="1230"/>
      <c r="Y1939" s="1230"/>
    </row>
    <row r="1940" customFormat="false" ht="15.75" hidden="true" customHeight="true" outlineLevel="1" collapsed="false">
      <c r="A1940" s="1751" t="str">
        <f aca="false">'Ввод данных'!A909</f>
        <v>Оцилиндрованное бревно сосна 260мм</v>
      </c>
      <c r="B1940" s="1527" t="s">
        <v>135</v>
      </c>
      <c r="C1940" s="1692" t="n">
        <f aca="false">(C1926)*G1912-C1939</f>
        <v>24.29467612</v>
      </c>
      <c r="D1940" s="1611" t="n">
        <f aca="false">VLOOKUP(A1940,'Прайс лист'!B441:G528,6,0)</f>
        <v>8500</v>
      </c>
      <c r="E1940" s="1290" t="n">
        <f aca="false">C1940*D1940</f>
        <v>206504.74702</v>
      </c>
      <c r="F1940" s="1230"/>
      <c r="G1940" s="1557" t="s">
        <v>1504</v>
      </c>
      <c r="H1940" s="1694"/>
      <c r="I1940" s="1765"/>
      <c r="J1940" s="1290" t="n">
        <f aca="false">C1758*G1758+C1759*G1759+C1760*G1760+C1761*G1761+C1762*G1762+C1763*G1763</f>
        <v>0</v>
      </c>
      <c r="K1940" s="1290" t="n">
        <f aca="false">'Прайс лист'!G1695</f>
        <v>150</v>
      </c>
      <c r="L1940" s="1290"/>
      <c r="M1940" s="1290"/>
      <c r="N1940" s="1290"/>
      <c r="O1940" s="1290" t="n">
        <f aca="false">J1940*K1940</f>
        <v>0</v>
      </c>
      <c r="P1940" s="1230"/>
      <c r="Q1940" s="1230"/>
      <c r="R1940" s="1230"/>
      <c r="S1940" s="1230"/>
      <c r="T1940" s="1230"/>
      <c r="U1940" s="1230"/>
      <c r="V1940" s="1230"/>
      <c r="W1940" s="1230"/>
      <c r="X1940" s="1230"/>
      <c r="Y1940" s="1230"/>
    </row>
    <row r="1941" customFormat="false" ht="15.75" hidden="true" customHeight="true" outlineLevel="1" collapsed="false">
      <c r="A1941" s="1751" t="str">
        <f aca="false">'Ввод данных'!A911</f>
        <v>Оцилиндрованное бревно сосна 200мм</v>
      </c>
      <c r="B1941" s="1527" t="s">
        <v>135</v>
      </c>
      <c r="C1941" s="1692" t="n">
        <f aca="false">C1928*G1912</f>
        <v>0</v>
      </c>
      <c r="D1941" s="1611" t="n">
        <f aca="false">VLOOKUP(A1941,'Прайс лист'!B441:G528,6,0)</f>
        <v>8000</v>
      </c>
      <c r="E1941" s="1290" t="n">
        <f aca="false">C1941*D1941</f>
        <v>0</v>
      </c>
      <c r="F1941" s="1230"/>
      <c r="G1941" s="1150" t="str">
        <f aca="false">G1788</f>
        <v>обработка торцов на брусе</v>
      </c>
      <c r="I1941" s="1150" t="n">
        <f aca="false">I1788</f>
        <v>0</v>
      </c>
      <c r="J1941" s="1150" t="n">
        <f aca="false">J1788</f>
        <v>14.4</v>
      </c>
      <c r="K1941" s="1150" t="n">
        <f aca="false">K1788</f>
        <v>250</v>
      </c>
      <c r="L1941" s="1150" t="n">
        <f aca="false">L1788</f>
        <v>0</v>
      </c>
      <c r="O1941" s="1150" t="n">
        <f aca="false">O1788</f>
        <v>3600</v>
      </c>
      <c r="P1941" s="1230"/>
      <c r="Q1941" s="1230"/>
      <c r="R1941" s="1230"/>
      <c r="S1941" s="1230"/>
      <c r="T1941" s="1230"/>
      <c r="U1941" s="1230"/>
      <c r="V1941" s="1230"/>
      <c r="W1941" s="1230"/>
      <c r="X1941" s="1230"/>
      <c r="Y1941" s="1230"/>
    </row>
    <row r="1942" customFormat="false" ht="15.75" hidden="true" customHeight="true" outlineLevel="1" collapsed="false">
      <c r="A1942" s="1751" t="str">
        <f aca="false">'Ввод данных'!A913</f>
        <v>Оцилиндрованное бревно сосна 200мм</v>
      </c>
      <c r="B1942" s="1527" t="s">
        <v>133</v>
      </c>
      <c r="C1942" s="1770" t="n">
        <f aca="false">C1930*G1912</f>
        <v>0</v>
      </c>
      <c r="D1942" s="1611" t="n">
        <f aca="false">VLOOKUP(A1942,'Прайс лист'!B441:G528,6,0)</f>
        <v>8000</v>
      </c>
      <c r="E1942" s="1290" t="n">
        <f aca="false">C1942*D1942</f>
        <v>0</v>
      </c>
      <c r="F1942" s="1230"/>
      <c r="G1942" s="1557" t="str">
        <f aca="false">G1882</f>
        <v>Обаботка огнебиозащитой</v>
      </c>
      <c r="H1942" s="1694"/>
      <c r="I1942" s="1765"/>
      <c r="J1942" s="1290" t="n">
        <f aca="false">SUM(C1939:C1942)*IF('Ввод данных'!A950='Прайс лист'!B728,0,1)</f>
        <v>28.018848</v>
      </c>
      <c r="K1942" s="1290" t="n">
        <f aca="false">K1882</f>
        <v>300</v>
      </c>
      <c r="L1942" s="1290"/>
      <c r="M1942" s="1290"/>
      <c r="N1942" s="1290"/>
      <c r="P1942" s="1230"/>
      <c r="Q1942" s="1230"/>
      <c r="R1942" s="1230"/>
      <c r="S1942" s="1230"/>
      <c r="T1942" s="1230"/>
      <c r="U1942" s="1230"/>
      <c r="V1942" s="1230"/>
      <c r="W1942" s="1230"/>
      <c r="X1942" s="1230"/>
      <c r="Y1942" s="1230"/>
    </row>
    <row r="1943" customFormat="false" ht="15.75" hidden="true" customHeight="true" outlineLevel="1" collapsed="false">
      <c r="A1943" s="1751" t="str">
        <f aca="false">'Ввод данных'!A943</f>
        <v>Шкант</v>
      </c>
      <c r="B1943" s="1527" t="s">
        <v>159</v>
      </c>
      <c r="C1943" s="1692" t="n">
        <f aca="false">CEILING((C1940+C1941+C1942+C1939)*20*G1912,1)</f>
        <v>617</v>
      </c>
      <c r="D1943" s="1611" t="n">
        <f aca="false">VLOOKUP('Ввод данных'!A943,связи1!A459:B461,2,0)</f>
        <v>6</v>
      </c>
      <c r="E1943" s="1290" t="n">
        <f aca="false">C1943*D1943</f>
        <v>3702</v>
      </c>
      <c r="F1943" s="1230"/>
      <c r="G1943" s="1557" t="str">
        <f aca="false">G1883</f>
        <v>Пропитка стен внешних</v>
      </c>
      <c r="H1943" s="1694"/>
      <c r="I1943" s="1765"/>
      <c r="J1943" s="1290" t="n">
        <f aca="false">G1925*0.3*IF('Ввод данных'!A955='Прайс лист'!B1534,0,1)</f>
        <v>117.5616</v>
      </c>
      <c r="K1943" s="1290" t="n">
        <f aca="false">K1883</f>
        <v>100</v>
      </c>
      <c r="L1943" s="1290"/>
      <c r="M1943" s="1290"/>
      <c r="N1943" s="1290"/>
      <c r="P1943" s="1230"/>
      <c r="Q1943" s="1230"/>
      <c r="R1943" s="1230"/>
      <c r="S1943" s="1230"/>
      <c r="T1943" s="1230"/>
      <c r="U1943" s="1230"/>
      <c r="V1943" s="1230"/>
      <c r="W1943" s="1230"/>
      <c r="X1943" s="1230"/>
      <c r="Y1943" s="1230"/>
    </row>
    <row r="1944" customFormat="false" ht="15.75" hidden="true" customHeight="true" outlineLevel="1" collapsed="false">
      <c r="A1944" s="1751" t="str">
        <f aca="false">'Ввод данных'!A940</f>
        <v>Лен-джут 200х5х20000 мм</v>
      </c>
      <c r="B1944" s="1527" t="s">
        <v>159</v>
      </c>
      <c r="C1944" s="1692" t="n">
        <f aca="false">CEILING(((C1926/D1926+C1928/D1928+C1930/D1929)/VLOOKUP(A1940,'Прайс лист'!B441:G528,3,0)/20*G1912)*1.4,1)</f>
        <v>33</v>
      </c>
      <c r="D1944" s="1611" t="n">
        <f aca="false">VLOOKUP(A1944,'Прайс лист'!B428:G432,6,0)</f>
        <v>175</v>
      </c>
      <c r="E1944" s="1290" t="n">
        <f aca="false">C1944*D1944</f>
        <v>5775</v>
      </c>
      <c r="F1944" s="1230"/>
      <c r="G1944" s="1557" t="str">
        <f aca="false">G1884</f>
        <v>Пропитка внутенних стен</v>
      </c>
      <c r="H1944" s="1557"/>
      <c r="I1944" s="1219"/>
      <c r="J1944" s="933" t="n">
        <f aca="false">(G1925+G1927*2+G1930*2)*0.3*IF('Ввод данных'!A960='Прайс лист'!B1534,0,1)</f>
        <v>117.5616</v>
      </c>
      <c r="K1944" s="1290" t="n">
        <f aca="false">K1884</f>
        <v>100</v>
      </c>
      <c r="L1944" s="933"/>
      <c r="M1944" s="933"/>
      <c r="N1944" s="933"/>
      <c r="P1944" s="1230"/>
      <c r="Q1944" s="1230"/>
      <c r="R1944" s="1230"/>
      <c r="S1944" s="1230"/>
      <c r="T1944" s="1230"/>
      <c r="U1944" s="1230"/>
      <c r="V1944" s="1230"/>
      <c r="W1944" s="1230"/>
      <c r="X1944" s="1230"/>
      <c r="Y1944" s="1230"/>
    </row>
    <row r="1945" customFormat="false" ht="15.75" hidden="true" customHeight="true" outlineLevel="1" collapsed="false">
      <c r="A1945" s="1751" t="str">
        <f aca="false">'Прайс лист'!B898</f>
        <v>Гвозди ершоные 2,8 х 90</v>
      </c>
      <c r="B1945" s="1527" t="s">
        <v>159</v>
      </c>
      <c r="C1945" s="1692" t="n">
        <f aca="false">C1836*G1912</f>
        <v>4.84</v>
      </c>
      <c r="D1945" s="1611" t="n">
        <f aca="false">'Прайс лист'!G898</f>
        <v>76.49</v>
      </c>
      <c r="E1945" s="1290" t="n">
        <f aca="false">C1945*D1945</f>
        <v>370.2116</v>
      </c>
      <c r="F1945" s="1230"/>
      <c r="G1945" s="1557" t="str">
        <f aca="false">G1792</f>
        <v>Сверление стен для скрытой проводки</v>
      </c>
      <c r="H1945" s="1557"/>
      <c r="I1945" s="1557" t="n">
        <f aca="false">I1792</f>
        <v>0</v>
      </c>
      <c r="J1945" s="1557" t="n">
        <f aca="false">J1792</f>
        <v>180</v>
      </c>
      <c r="K1945" s="1557" t="n">
        <f aca="false">K1792</f>
        <v>300</v>
      </c>
      <c r="L1945" s="1290"/>
      <c r="M1945" s="1290"/>
      <c r="N1945" s="1290"/>
      <c r="O1945" s="1290"/>
      <c r="P1945" s="1230"/>
      <c r="Q1945" s="1230"/>
      <c r="R1945" s="1230"/>
      <c r="S1945" s="1230"/>
      <c r="T1945" s="1230"/>
      <c r="U1945" s="1230"/>
      <c r="V1945" s="1230"/>
      <c r="W1945" s="1230"/>
      <c r="X1945" s="1230"/>
      <c r="Y1945" s="1230"/>
    </row>
    <row r="1946" customFormat="false" ht="15.75" hidden="true" customHeight="true" outlineLevel="1" collapsed="false">
      <c r="A1946" s="1290" t="str">
        <f aca="false">A1885</f>
        <v>нет</v>
      </c>
      <c r="B1946" s="1527" t="str">
        <f aca="false">B1885</f>
        <v>м3</v>
      </c>
      <c r="C1946" s="1611" t="n">
        <f aca="false">((C1758*G1758+C1759*G1759)*G1750*VLOOKUP(A1793,связи1!A407:E416,5,0))</f>
        <v>0</v>
      </c>
      <c r="D1946" s="1611" t="n">
        <f aca="false">D1885</f>
        <v>0</v>
      </c>
      <c r="E1946" s="1290" t="n">
        <f aca="false">C1946*D1946</f>
        <v>0</v>
      </c>
      <c r="F1946" s="1230"/>
      <c r="G1946" s="1557" t="str">
        <f aca="false">G1793</f>
        <v>Монтаж наличника</v>
      </c>
      <c r="H1946" s="1694"/>
      <c r="I1946" s="1765"/>
      <c r="J1946" s="1557" t="n">
        <f aca="false">J1793</f>
        <v>0</v>
      </c>
      <c r="K1946" s="1557" t="n">
        <f aca="false">K1793</f>
        <v>80</v>
      </c>
      <c r="L1946" s="1290"/>
      <c r="M1946" s="1290"/>
      <c r="N1946" s="1290"/>
      <c r="O1946" s="1290"/>
      <c r="P1946" s="1230"/>
      <c r="Q1946" s="1230"/>
      <c r="R1946" s="1230"/>
      <c r="S1946" s="1230"/>
      <c r="T1946" s="1230"/>
      <c r="U1946" s="1230"/>
      <c r="V1946" s="1230"/>
      <c r="W1946" s="1230"/>
      <c r="X1946" s="1230"/>
      <c r="Y1946" s="1230"/>
    </row>
    <row r="1947" customFormat="false" ht="15.75" hidden="true" customHeight="true" outlineLevel="1" collapsed="false">
      <c r="A1947" s="1290" t="str">
        <f aca="false">A1886</f>
        <v>Доска сухая, 100*50мм</v>
      </c>
      <c r="B1947" s="1527" t="str">
        <f aca="false">B1886</f>
        <v>м3</v>
      </c>
      <c r="C1947" s="1611" t="n">
        <f aca="false">((C1760*G1760+C1762*G1762)*G1750*VLOOKUP(A1794,связи1!A407:E416,5,0))</f>
        <v>0</v>
      </c>
      <c r="D1947" s="1611" t="n">
        <f aca="false">D1886</f>
        <v>9000</v>
      </c>
      <c r="E1947" s="1290" t="n">
        <f aca="false">C1947*D1947</f>
        <v>0</v>
      </c>
      <c r="F1947" s="1230"/>
      <c r="G1947" s="1557" t="str">
        <f aca="false">G1888</f>
        <v>Шлифовка стен дома</v>
      </c>
      <c r="H1947" s="1557"/>
      <c r="I1947" s="1557" t="n">
        <f aca="false">I1888</f>
        <v>0</v>
      </c>
      <c r="J1947" s="1557" t="n">
        <f aca="false">J1926*1.1*IF('Ввод данных'!A973=связи1!A542,1,0)+(J1926+J1929*2)*1.1*IF('Ввод данных'!A976=связи1!A545,1,0)</f>
        <v>121.44</v>
      </c>
      <c r="K1947" s="1557" t="n">
        <f aca="false">K1888</f>
        <v>250</v>
      </c>
      <c r="L1947" s="1290"/>
      <c r="M1947" s="1290"/>
      <c r="N1947" s="1290"/>
      <c r="O1947" s="1290"/>
      <c r="P1947" s="1230"/>
      <c r="Q1947" s="1230"/>
      <c r="R1947" s="1230"/>
      <c r="S1947" s="1230"/>
      <c r="T1947" s="1230"/>
      <c r="U1947" s="1230"/>
      <c r="V1947" s="1230"/>
      <c r="W1947" s="1230"/>
      <c r="X1947" s="1230"/>
      <c r="Y1947" s="1230"/>
    </row>
    <row r="1948" customFormat="false" ht="15.75" hidden="true" customHeight="true" outlineLevel="1" collapsed="false">
      <c r="A1948" s="1290" t="str">
        <f aca="false">A1887</f>
        <v>Доска сухая калиброванная, 100*45мм</v>
      </c>
      <c r="B1948" s="1527" t="str">
        <f aca="false">B1887</f>
        <v>м3</v>
      </c>
      <c r="C1948" s="1611" t="n">
        <f aca="false">VLOOKUP(A1795,связи1!A407:E416,5,0)*(C1761*G1761+C1763*G1763)*G1750</f>
        <v>0</v>
      </c>
      <c r="D1948" s="1611" t="n">
        <f aca="false">D1887</f>
        <v>12500</v>
      </c>
      <c r="E1948" s="1290" t="n">
        <f aca="false">C1948*D1948</f>
        <v>0</v>
      </c>
      <c r="F1948" s="1230"/>
      <c r="G1948" s="1557"/>
      <c r="H1948" s="1694"/>
      <c r="I1948" s="1694"/>
      <c r="J1948" s="1557"/>
      <c r="K1948" s="1557"/>
      <c r="L1948" s="1290"/>
      <c r="M1948" s="1290"/>
      <c r="N1948" s="1290"/>
      <c r="O1948" s="1290"/>
      <c r="P1948" s="1230"/>
      <c r="Q1948" s="1230"/>
      <c r="R1948" s="1230"/>
      <c r="S1948" s="1230"/>
      <c r="T1948" s="1230"/>
      <c r="U1948" s="1230"/>
      <c r="V1948" s="1230"/>
      <c r="W1948" s="1230"/>
      <c r="X1948" s="1230"/>
      <c r="Y1948" s="1230"/>
    </row>
    <row r="1949" customFormat="false" ht="15.75" hidden="true" customHeight="true" outlineLevel="1" collapsed="false">
      <c r="A1949" s="1290" t="str">
        <f aca="false">A1888</f>
        <v>Сосна влаж, 50*50мм</v>
      </c>
      <c r="B1949" s="1527" t="str">
        <f aca="false">B1888</f>
        <v>м.п.</v>
      </c>
      <c r="C1949" s="1611" t="n">
        <f aca="false">C1888</f>
        <v>0</v>
      </c>
      <c r="D1949" s="1611" t="n">
        <f aca="false">D1888</f>
        <v>16.25</v>
      </c>
      <c r="E1949" s="1290" t="n">
        <f aca="false">C1949*D1949</f>
        <v>0</v>
      </c>
      <c r="F1949" s="1230"/>
      <c r="G1949" s="1557"/>
      <c r="H1949" s="1694"/>
      <c r="I1949" s="1765"/>
      <c r="J1949" s="1290"/>
      <c r="K1949" s="1290"/>
      <c r="L1949" s="1290"/>
      <c r="M1949" s="1290"/>
      <c r="N1949" s="1290"/>
      <c r="O1949" s="1290"/>
      <c r="P1949" s="1230"/>
      <c r="Q1949" s="1230"/>
      <c r="R1949" s="1230"/>
      <c r="S1949" s="1230"/>
      <c r="T1949" s="1230"/>
      <c r="U1949" s="1230"/>
      <c r="V1949" s="1230"/>
      <c r="W1949" s="1230"/>
      <c r="X1949" s="1230"/>
      <c r="Y1949" s="1230"/>
    </row>
    <row r="1950" customFormat="false" ht="15.75" hidden="true" customHeight="true" outlineLevel="1" collapsed="false">
      <c r="A1950" s="1290" t="str">
        <f aca="false">A1889</f>
        <v>Бензин для пилы</v>
      </c>
      <c r="B1950" s="1527" t="str">
        <f aca="false">B1889</f>
        <v>л</v>
      </c>
      <c r="C1950" s="1611" t="n">
        <f aca="false">(C1939+C1940+C1941+C1942)/4</f>
        <v>7.004712</v>
      </c>
      <c r="D1950" s="1611" t="n">
        <f aca="false">D1889</f>
        <v>40</v>
      </c>
      <c r="E1950" s="1290" t="n">
        <f aca="false">C1950*D1950</f>
        <v>280.18848</v>
      </c>
      <c r="F1950" s="1230"/>
      <c r="G1950" s="1899"/>
      <c r="H1950" s="1915"/>
      <c r="I1950" s="1765"/>
      <c r="J1950" s="1290"/>
      <c r="K1950" s="1290"/>
      <c r="L1950" s="1290"/>
      <c r="M1950" s="1290"/>
      <c r="N1950" s="1290"/>
      <c r="O1950" s="1290"/>
      <c r="P1950" s="1230"/>
      <c r="Q1950" s="1230"/>
      <c r="R1950" s="1230"/>
      <c r="S1950" s="1230"/>
      <c r="T1950" s="1230"/>
      <c r="U1950" s="1230"/>
      <c r="V1950" s="1230"/>
      <c r="W1950" s="1230"/>
      <c r="X1950" s="1230"/>
      <c r="Y1950" s="1230"/>
    </row>
    <row r="1951" customFormat="false" ht="15.75" hidden="true" customHeight="true" outlineLevel="1" collapsed="false">
      <c r="A1951" s="1290" t="str">
        <f aca="false">A1890</f>
        <v>Масло для пилы</v>
      </c>
      <c r="B1951" s="1527" t="str">
        <f aca="false">B1890</f>
        <v>л</v>
      </c>
      <c r="C1951" s="1611" t="n">
        <f aca="false">C1950/20</f>
        <v>0.3502356</v>
      </c>
      <c r="D1951" s="1611" t="n">
        <f aca="false">D1890</f>
        <v>250</v>
      </c>
      <c r="E1951" s="1290" t="n">
        <f aca="false">C1951*D1951</f>
        <v>87.5589</v>
      </c>
      <c r="F1951" s="1230"/>
      <c r="G1951" s="1899"/>
      <c r="H1951" s="1915"/>
      <c r="I1951" s="1765"/>
      <c r="J1951" s="1290"/>
      <c r="K1951" s="1290"/>
      <c r="L1951" s="1290"/>
      <c r="M1951" s="1290"/>
      <c r="N1951" s="1290"/>
      <c r="O1951" s="1290"/>
      <c r="P1951" s="1230"/>
      <c r="Q1951" s="1230"/>
      <c r="R1951" s="1230"/>
      <c r="S1951" s="1230"/>
      <c r="T1951" s="1230"/>
      <c r="U1951" s="1230"/>
      <c r="V1951" s="1230"/>
      <c r="W1951" s="1230"/>
      <c r="X1951" s="1230"/>
      <c r="Y1951" s="1230"/>
    </row>
    <row r="1952" customFormat="false" ht="15.75" hidden="true" customHeight="true" outlineLevel="1" collapsed="false">
      <c r="A1952" s="1290" t="str">
        <f aca="false">A1891</f>
        <v>Цепь для пилы</v>
      </c>
      <c r="B1952" s="1527" t="str">
        <f aca="false">B1891</f>
        <v>л</v>
      </c>
      <c r="C1952" s="1611" t="n">
        <f aca="false">CEILING((C1939+C1940+C1941+C1942)/10,1)</f>
        <v>3</v>
      </c>
      <c r="D1952" s="1611" t="n">
        <f aca="false">D1891</f>
        <v>800</v>
      </c>
      <c r="E1952" s="1290" t="n">
        <f aca="false">C1952*D1952</f>
        <v>2400</v>
      </c>
      <c r="F1952" s="1230"/>
      <c r="G1952" s="1899"/>
      <c r="H1952" s="1915"/>
      <c r="I1952" s="1765"/>
      <c r="J1952" s="1290"/>
      <c r="K1952" s="1290"/>
      <c r="L1952" s="1290"/>
      <c r="M1952" s="1290"/>
      <c r="N1952" s="1290"/>
      <c r="O1952" s="1290"/>
      <c r="P1952" s="1230"/>
      <c r="Q1952" s="1230"/>
      <c r="R1952" s="1230"/>
      <c r="S1952" s="1230"/>
      <c r="T1952" s="1230"/>
      <c r="U1952" s="1230"/>
      <c r="V1952" s="1230"/>
      <c r="W1952" s="1230"/>
      <c r="X1952" s="1230"/>
      <c r="Y1952" s="1230"/>
    </row>
    <row r="1953" customFormat="false" ht="15.75" hidden="true" customHeight="true" outlineLevel="1" collapsed="false">
      <c r="A1953" s="1290" t="str">
        <f aca="false">A1892</f>
        <v>"Профилюкс" Антисептик АНТИПЛЕСЕНЬ</v>
      </c>
      <c r="B1953" s="1527" t="str">
        <f aca="false">B1892</f>
        <v>л</v>
      </c>
      <c r="C1953" s="1611" t="n">
        <f aca="false">G1932*'Ввод данных'!C951*'Ввод данных'!C952</f>
        <v>39.1872</v>
      </c>
      <c r="D1953" s="1611" t="n">
        <f aca="false">D1892</f>
        <v>108</v>
      </c>
      <c r="E1953" s="1290" t="n">
        <f aca="false">C1953*D1953</f>
        <v>4232.2176</v>
      </c>
      <c r="F1953" s="1230"/>
      <c r="G1953" s="1899"/>
      <c r="H1953" s="1915"/>
      <c r="I1953" s="1765"/>
      <c r="J1953" s="1290"/>
      <c r="K1953" s="1290"/>
      <c r="L1953" s="1290"/>
      <c r="M1953" s="1290"/>
      <c r="N1953" s="1290"/>
      <c r="O1953" s="1290"/>
      <c r="P1953" s="1230"/>
      <c r="Q1953" s="1230"/>
      <c r="R1953" s="1230"/>
      <c r="S1953" s="1230"/>
      <c r="T1953" s="1230"/>
      <c r="U1953" s="1230"/>
      <c r="V1953" s="1230"/>
      <c r="W1953" s="1230"/>
      <c r="X1953" s="1230"/>
      <c r="Y1953" s="1230"/>
    </row>
    <row r="1954" customFormat="false" ht="15.75" hidden="true" customHeight="true" outlineLevel="1" collapsed="false">
      <c r="A1954" s="1290" t="str">
        <f aca="false">A1893</f>
        <v>"Тонерол" Антисептик  бесцветный  1л</v>
      </c>
      <c r="B1954" s="1527" t="str">
        <f aca="false">B1893</f>
        <v>л</v>
      </c>
      <c r="C1954" s="1611" t="n">
        <f aca="false">G1925*0.3*'Ввод данных'!C956*'Ввод данных'!C957</f>
        <v>23.51232</v>
      </c>
      <c r="D1954" s="1611" t="n">
        <f aca="false">D1893</f>
        <v>305</v>
      </c>
      <c r="E1954" s="1290" t="n">
        <f aca="false">C1954*D1954</f>
        <v>7171.2576</v>
      </c>
      <c r="F1954" s="1230"/>
      <c r="G1954" s="1899"/>
      <c r="H1954" s="1915"/>
      <c r="I1954" s="1765"/>
      <c r="J1954" s="1290"/>
      <c r="K1954" s="1290"/>
      <c r="L1954" s="1290"/>
      <c r="M1954" s="1290"/>
      <c r="N1954" s="1290"/>
      <c r="O1954" s="1290"/>
      <c r="P1954" s="1230"/>
      <c r="Q1954" s="1230"/>
      <c r="R1954" s="1230"/>
      <c r="S1954" s="1230"/>
      <c r="T1954" s="1230"/>
      <c r="U1954" s="1230"/>
      <c r="V1954" s="1230"/>
      <c r="W1954" s="1230"/>
      <c r="X1954" s="1230"/>
      <c r="Y1954" s="1230"/>
    </row>
    <row r="1955" customFormat="false" ht="15.75" hidden="true" customHeight="true" outlineLevel="1" collapsed="false">
      <c r="A1955" s="1290" t="str">
        <f aca="false">A1894</f>
        <v>"Тонерол" Антисептик  махагон  1л</v>
      </c>
      <c r="B1955" s="1527" t="str">
        <f aca="false">B1894</f>
        <v>л</v>
      </c>
      <c r="C1955" s="1611" t="n">
        <f aca="false">(G1925+G1927*2+G1930*2)*0.3*'Ввод данных'!C961*'Ввод данных'!C962</f>
        <v>23.51232</v>
      </c>
      <c r="D1955" s="1611" t="n">
        <f aca="false">D1894</f>
        <v>305</v>
      </c>
      <c r="E1955" s="1290" t="n">
        <f aca="false">C1955*D1955</f>
        <v>7171.2576</v>
      </c>
      <c r="F1955" s="1230"/>
      <c r="G1955" s="1899"/>
      <c r="H1955" s="1915"/>
      <c r="I1955" s="1765"/>
      <c r="J1955" s="1290"/>
      <c r="K1955" s="1290"/>
      <c r="L1955" s="1290"/>
      <c r="M1955" s="1290"/>
      <c r="N1955" s="1290"/>
      <c r="O1955" s="1290"/>
      <c r="P1955" s="1230"/>
      <c r="Q1955" s="1230"/>
      <c r="R1955" s="1230"/>
      <c r="S1955" s="1230"/>
      <c r="T1955" s="1230"/>
      <c r="U1955" s="1230"/>
      <c r="V1955" s="1230"/>
      <c r="W1955" s="1230"/>
      <c r="X1955" s="1230"/>
      <c r="Y1955" s="1230"/>
    </row>
    <row r="1956" customFormat="false" ht="15.75" hidden="true" customHeight="true" outlineLevel="1" collapsed="false">
      <c r="A1956" s="1290" t="str">
        <f aca="false">A1895</f>
        <v>Нет наличника</v>
      </c>
      <c r="B1956" s="1527" t="str">
        <f aca="false">B1895</f>
        <v>м.п.</v>
      </c>
      <c r="C1956" s="1290" t="n">
        <f aca="false">C1895</f>
        <v>3.57</v>
      </c>
      <c r="D1956" s="1290" t="n">
        <f aca="false">D1895</f>
        <v>0</v>
      </c>
      <c r="E1956" s="1290" t="n">
        <f aca="false">C1956*D1956</f>
        <v>0</v>
      </c>
      <c r="F1956" s="1230"/>
      <c r="G1956" s="1899"/>
      <c r="H1956" s="1915"/>
      <c r="I1956" s="1765"/>
      <c r="J1956" s="1290"/>
      <c r="K1956" s="1290"/>
      <c r="L1956" s="1290"/>
      <c r="M1956" s="1290"/>
      <c r="N1956" s="1290"/>
      <c r="O1956" s="1290"/>
      <c r="P1956" s="1230"/>
      <c r="Q1956" s="1230"/>
      <c r="R1956" s="1230"/>
      <c r="S1956" s="1230"/>
      <c r="T1956" s="1230"/>
      <c r="U1956" s="1230"/>
      <c r="V1956" s="1230"/>
      <c r="W1956" s="1230"/>
      <c r="X1956" s="1230"/>
      <c r="Y1956" s="1230"/>
    </row>
    <row r="1957" customFormat="false" ht="15.75" hidden="true" customHeight="true" outlineLevel="1" collapsed="false">
      <c r="A1957" s="1290" t="str">
        <f aca="false">A1896</f>
        <v>Нет наличника</v>
      </c>
      <c r="B1957" s="1527" t="str">
        <f aca="false">B1896</f>
        <v>м.п.</v>
      </c>
      <c r="C1957" s="1290" t="n">
        <f aca="false">C1896</f>
        <v>3.57</v>
      </c>
      <c r="D1957" s="1290" t="n">
        <f aca="false">D1896</f>
        <v>0</v>
      </c>
      <c r="E1957" s="1290" t="n">
        <f aca="false">C1957*D1957</f>
        <v>0</v>
      </c>
      <c r="F1957" s="1230"/>
      <c r="G1957" s="1899"/>
      <c r="H1957" s="1915"/>
      <c r="I1957" s="1765"/>
      <c r="J1957" s="1290"/>
      <c r="K1957" s="1290"/>
      <c r="L1957" s="1290"/>
      <c r="M1957" s="1290"/>
      <c r="N1957" s="1290"/>
      <c r="O1957" s="1290"/>
      <c r="P1957" s="1230"/>
      <c r="Q1957" s="1230"/>
      <c r="R1957" s="1230"/>
      <c r="S1957" s="1230"/>
      <c r="T1957" s="1230"/>
      <c r="U1957" s="1230"/>
      <c r="V1957" s="1230"/>
      <c r="W1957" s="1230"/>
      <c r="X1957" s="1230"/>
      <c r="Y1957" s="1230"/>
    </row>
    <row r="1958" customFormat="false" ht="15.75" hidden="true" customHeight="true" outlineLevel="1" collapsed="false">
      <c r="A1958" s="1290" t="str">
        <f aca="false">A1897</f>
        <v>Бумага наждачная № 63 F(30)</v>
      </c>
      <c r="B1958" s="1290" t="str">
        <f aca="false">B1897</f>
        <v>м</v>
      </c>
      <c r="C1958" s="1290" t="n">
        <f aca="false">C1897</f>
        <v>5</v>
      </c>
      <c r="D1958" s="1290" t="n">
        <f aca="false">D1897</f>
        <v>291</v>
      </c>
      <c r="E1958" s="1290" t="n">
        <f aca="false">C1958*D1958</f>
        <v>1455</v>
      </c>
      <c r="F1958" s="1230"/>
      <c r="G1958" s="1899"/>
      <c r="H1958" s="1915"/>
      <c r="I1958" s="1765"/>
      <c r="J1958" s="1290"/>
      <c r="K1958" s="1290"/>
      <c r="L1958" s="1290"/>
      <c r="M1958" s="1290"/>
      <c r="N1958" s="1290"/>
      <c r="O1958" s="1290"/>
      <c r="P1958" s="1230"/>
      <c r="Q1958" s="1230"/>
      <c r="R1958" s="1230"/>
      <c r="S1958" s="1230"/>
      <c r="T1958" s="1230"/>
      <c r="U1958" s="1230"/>
      <c r="V1958" s="1230"/>
      <c r="W1958" s="1230"/>
      <c r="X1958" s="1230"/>
      <c r="Y1958" s="1230"/>
    </row>
    <row r="1959" customFormat="false" ht="15.75" hidden="true" customHeight="true" outlineLevel="1" collapsed="false">
      <c r="A1959" s="1290" t="str">
        <f aca="false">A1898</f>
        <v>Нет наждачной бумаги</v>
      </c>
      <c r="B1959" s="1290" t="str">
        <f aca="false">B1898</f>
        <v>м</v>
      </c>
      <c r="C1959" s="1290" t="n">
        <f aca="false">C1898</f>
        <v>0</v>
      </c>
      <c r="D1959" s="1290" t="n">
        <f aca="false">D1898</f>
        <v>0</v>
      </c>
      <c r="E1959" s="1290" t="n">
        <f aca="false">C1959*D1959</f>
        <v>0</v>
      </c>
      <c r="F1959" s="1230"/>
      <c r="G1959" s="1899"/>
      <c r="H1959" s="1915"/>
      <c r="I1959" s="1765"/>
      <c r="J1959" s="1290"/>
      <c r="K1959" s="1290"/>
      <c r="L1959" s="1290"/>
      <c r="M1959" s="1290"/>
      <c r="N1959" s="1290"/>
      <c r="O1959" s="1290"/>
      <c r="P1959" s="1230"/>
      <c r="Q1959" s="1230"/>
      <c r="R1959" s="1230"/>
      <c r="S1959" s="1230"/>
      <c r="T1959" s="1230"/>
      <c r="U1959" s="1230"/>
      <c r="V1959" s="1230"/>
      <c r="W1959" s="1230"/>
      <c r="X1959" s="1230"/>
      <c r="Y1959" s="1230"/>
    </row>
    <row r="1960" customFormat="false" ht="15.75" hidden="true" customHeight="true" outlineLevel="1" collapsed="false">
      <c r="A1960" s="1290" t="str">
        <f aca="false">A1899</f>
        <v>Бумага наждачная № 63 F(30)</v>
      </c>
      <c r="B1960" s="1290" t="str">
        <f aca="false">B1899</f>
        <v>м</v>
      </c>
      <c r="C1960" s="1290" t="n">
        <f aca="false">C1899</f>
        <v>0</v>
      </c>
      <c r="D1960" s="1290" t="n">
        <f aca="false">D1899</f>
        <v>291</v>
      </c>
      <c r="E1960" s="1290" t="n">
        <f aca="false">C1960*D1960</f>
        <v>0</v>
      </c>
      <c r="F1960" s="1230"/>
      <c r="G1960" s="1899"/>
      <c r="H1960" s="1915"/>
      <c r="I1960" s="1765"/>
      <c r="J1960" s="1290"/>
      <c r="K1960" s="1290"/>
      <c r="L1960" s="1290"/>
      <c r="M1960" s="1290"/>
      <c r="N1960" s="1290"/>
      <c r="O1960" s="1290"/>
      <c r="P1960" s="1230"/>
      <c r="Q1960" s="1230"/>
      <c r="R1960" s="1230"/>
      <c r="S1960" s="1230"/>
      <c r="T1960" s="1230"/>
      <c r="U1960" s="1230"/>
      <c r="V1960" s="1230"/>
      <c r="W1960" s="1230"/>
      <c r="X1960" s="1230"/>
      <c r="Y1960" s="1230"/>
    </row>
    <row r="1961" customFormat="false" ht="15.75" hidden="true" customHeight="true" outlineLevel="1" collapsed="false">
      <c r="A1961" s="1290" t="str">
        <f aca="false">A1900</f>
        <v>Бумага наждачная № 40</v>
      </c>
      <c r="B1961" s="1290" t="str">
        <f aca="false">B1900</f>
        <v>м</v>
      </c>
      <c r="C1961" s="1290" t="n">
        <f aca="false">C1900</f>
        <v>0</v>
      </c>
      <c r="D1961" s="1290" t="n">
        <f aca="false">D1900</f>
        <v>240</v>
      </c>
      <c r="E1961" s="1290" t="n">
        <f aca="false">C1961*D1961</f>
        <v>0</v>
      </c>
      <c r="F1961" s="1230"/>
      <c r="G1961" s="1899"/>
      <c r="H1961" s="1915"/>
      <c r="I1961" s="1765"/>
      <c r="J1961" s="1290"/>
      <c r="K1961" s="1290"/>
      <c r="L1961" s="1290"/>
      <c r="M1961" s="1290"/>
      <c r="N1961" s="1290"/>
      <c r="O1961" s="1290"/>
      <c r="P1961" s="1230"/>
      <c r="Q1961" s="1230"/>
      <c r="R1961" s="1230"/>
      <c r="S1961" s="1230"/>
      <c r="T1961" s="1230"/>
      <c r="U1961" s="1230"/>
      <c r="V1961" s="1230"/>
      <c r="W1961" s="1230"/>
      <c r="X1961" s="1230"/>
      <c r="Y1961" s="1230"/>
    </row>
    <row r="1962" customFormat="false" ht="15.75" hidden="true" customHeight="true" outlineLevel="1" collapsed="false">
      <c r="A1962" s="1290" t="str">
        <f aca="false">A1809</f>
        <v>Командировочные расходы</v>
      </c>
      <c r="B1962" s="1527" t="str">
        <f aca="false">B1809</f>
        <v>рублей</v>
      </c>
      <c r="C1962" s="1290" t="n">
        <f aca="false">C1809</f>
        <v>1</v>
      </c>
      <c r="D1962" s="1290" t="n">
        <f aca="false">D1809</f>
        <v>0</v>
      </c>
      <c r="E1962" s="1290" t="n">
        <f aca="false">E1809</f>
        <v>0</v>
      </c>
      <c r="F1962" s="1230"/>
      <c r="G1962" s="1899"/>
      <c r="H1962" s="1915"/>
      <c r="I1962" s="1765"/>
      <c r="J1962" s="1290"/>
      <c r="K1962" s="1290"/>
      <c r="L1962" s="1290"/>
      <c r="M1962" s="1290"/>
      <c r="N1962" s="1290"/>
      <c r="O1962" s="1290"/>
      <c r="P1962" s="1230"/>
      <c r="Q1962" s="1230"/>
      <c r="R1962" s="1230"/>
      <c r="S1962" s="1230"/>
      <c r="T1962" s="1230"/>
      <c r="U1962" s="1230"/>
      <c r="V1962" s="1230"/>
      <c r="W1962" s="1230"/>
      <c r="X1962" s="1230"/>
      <c r="Y1962" s="1230"/>
    </row>
    <row r="1963" customFormat="false" ht="15.75" hidden="true" customHeight="true" outlineLevel="1" collapsed="false">
      <c r="A1963" s="1290" t="str">
        <f aca="false">A1902</f>
        <v>расходные материалы дома из леса</v>
      </c>
      <c r="B1963" s="1527" t="str">
        <f aca="false">B1902</f>
        <v>шт</v>
      </c>
      <c r="C1963" s="1611" t="n">
        <f aca="false">C1902</f>
        <v>1</v>
      </c>
      <c r="D1963" s="1611" t="n">
        <f aca="false">D1902</f>
        <v>3000</v>
      </c>
      <c r="E1963" s="1290" t="n">
        <f aca="false">C1963*D1963</f>
        <v>3000</v>
      </c>
      <c r="F1963" s="1230"/>
      <c r="G1963" s="1557"/>
      <c r="H1963" s="1694"/>
      <c r="I1963" s="1765"/>
      <c r="J1963" s="1290"/>
      <c r="K1963" s="1290"/>
      <c r="L1963" s="1290"/>
      <c r="M1963" s="1290"/>
      <c r="N1963" s="1290"/>
      <c r="O1963" s="1290"/>
      <c r="P1963" s="1230"/>
      <c r="Q1963" s="1230"/>
      <c r="R1963" s="1230"/>
      <c r="S1963" s="1230"/>
      <c r="T1963" s="1230"/>
      <c r="U1963" s="1230"/>
      <c r="V1963" s="1230"/>
      <c r="W1963" s="1230"/>
      <c r="X1963" s="1230"/>
      <c r="Y1963" s="1230"/>
    </row>
    <row r="1964" customFormat="false" ht="15.75" hidden="true" customHeight="true" outlineLevel="1" collapsed="false">
      <c r="A1964" s="1290" t="str">
        <f aca="false">A1903</f>
        <v>Нет техники</v>
      </c>
      <c r="B1964" s="1527" t="str">
        <f aca="false">B1903</f>
        <v>шт</v>
      </c>
      <c r="C1964" s="1611" t="n">
        <f aca="false">C1903</f>
        <v>6</v>
      </c>
      <c r="D1964" s="1611" t="n">
        <f aca="false">D1903</f>
        <v>0</v>
      </c>
      <c r="E1964" s="1290" t="n">
        <f aca="false">C1964*D1964</f>
        <v>0</v>
      </c>
      <c r="F1964" s="1917"/>
      <c r="G1964" s="1919"/>
      <c r="H1964" s="1919"/>
      <c r="I1964" s="1920"/>
      <c r="J1964" s="1921"/>
      <c r="K1964" s="1921"/>
      <c r="L1964" s="1921"/>
      <c r="M1964" s="1921"/>
      <c r="N1964" s="1921"/>
      <c r="O1964" s="1144"/>
      <c r="P1964" s="1230"/>
      <c r="Q1964" s="1230"/>
      <c r="R1964" s="1230"/>
      <c r="S1964" s="1230"/>
      <c r="T1964" s="1230"/>
      <c r="U1964" s="1230"/>
      <c r="V1964" s="1230"/>
      <c r="W1964" s="1230"/>
      <c r="X1964" s="1230"/>
      <c r="Y1964" s="1230"/>
    </row>
    <row r="1965" customFormat="false" ht="15.75" hidden="true" customHeight="true" outlineLevel="1" collapsed="false">
      <c r="A1965" s="1290" t="str">
        <f aca="false">A1904</f>
        <v>Нет техники</v>
      </c>
      <c r="B1965" s="1527" t="s">
        <v>159</v>
      </c>
      <c r="C1965" s="1611" t="n">
        <f aca="false">C1904</f>
        <v>0</v>
      </c>
      <c r="D1965" s="1611" t="n">
        <f aca="false">D1904</f>
        <v>0</v>
      </c>
      <c r="E1965" s="1290" t="n">
        <f aca="false">C1965*D1965</f>
        <v>0</v>
      </c>
      <c r="F1965" s="1917"/>
      <c r="G1965" s="1919"/>
      <c r="H1965" s="1919"/>
      <c r="I1965" s="1920"/>
      <c r="J1965" s="1921"/>
      <c r="K1965" s="1921"/>
      <c r="L1965" s="1921"/>
      <c r="M1965" s="1921"/>
      <c r="N1965" s="1921"/>
      <c r="O1965" s="1144"/>
      <c r="P1965" s="1230"/>
      <c r="Q1965" s="1230"/>
      <c r="R1965" s="1230"/>
      <c r="S1965" s="1230"/>
      <c r="T1965" s="1230"/>
      <c r="U1965" s="1230"/>
      <c r="V1965" s="1230"/>
      <c r="W1965" s="1230"/>
      <c r="X1965" s="1230"/>
      <c r="Y1965" s="1230"/>
    </row>
    <row r="1966" customFormat="false" ht="15.75" hidden="true" customHeight="true" outlineLevel="1" collapsed="false">
      <c r="A1966" s="1751"/>
      <c r="B1966" s="1141"/>
      <c r="C1966" s="1141"/>
      <c r="D1966" s="1141"/>
      <c r="E1966" s="1916" t="n">
        <f aca="false">SUM(E1939:E1963)</f>
        <v>279391.1576</v>
      </c>
      <c r="F1966" s="1917"/>
      <c r="G1966" s="1917"/>
      <c r="H1966" s="1917"/>
      <c r="I1966" s="1918"/>
      <c r="J1966" s="1917"/>
      <c r="K1966" s="1917"/>
      <c r="L1966" s="1917"/>
      <c r="M1966" s="1917"/>
      <c r="N1966" s="1917"/>
      <c r="O1966" s="1144" t="n">
        <f aca="false">SUM(O1939:O1963)</f>
        <v>171713.088</v>
      </c>
      <c r="P1966" s="1230"/>
      <c r="Q1966" s="1230"/>
      <c r="R1966" s="1230"/>
      <c r="S1966" s="1230"/>
      <c r="T1966" s="1230"/>
      <c r="U1966" s="1230"/>
      <c r="V1966" s="1230"/>
      <c r="W1966" s="1230"/>
      <c r="X1966" s="1230"/>
      <c r="Y1966" s="1230"/>
    </row>
    <row r="1967" customFormat="false" ht="15.75" hidden="true" customHeight="true" outlineLevel="1" collapsed="false">
      <c r="A1967" s="1751" t="s">
        <v>3660</v>
      </c>
      <c r="B1967" s="1137" t="n">
        <f aca="false">E1966</f>
        <v>279391.1576</v>
      </c>
      <c r="C1967" s="1146"/>
      <c r="D1967" s="1917"/>
      <c r="E1967" s="1917"/>
      <c r="F1967" s="1917"/>
      <c r="G1967" s="1917"/>
      <c r="H1967" s="1917"/>
      <c r="I1967" s="1918"/>
      <c r="J1967" s="1917"/>
      <c r="K1967" s="1917"/>
      <c r="L1967" s="1917"/>
      <c r="M1967" s="1917"/>
      <c r="N1967" s="1917"/>
      <c r="O1967" s="1917"/>
      <c r="P1967" s="1230"/>
      <c r="Q1967" s="1230"/>
      <c r="R1967" s="1230"/>
      <c r="S1967" s="1230"/>
      <c r="T1967" s="1230"/>
      <c r="U1967" s="1230"/>
      <c r="V1967" s="1230"/>
      <c r="W1967" s="1230"/>
      <c r="X1967" s="1230"/>
      <c r="Y1967" s="1230"/>
    </row>
    <row r="1968" customFormat="false" ht="15.75" hidden="true" customHeight="true" outlineLevel="1" collapsed="false">
      <c r="A1968" s="1751" t="s">
        <v>3661</v>
      </c>
      <c r="B1968" s="1137" t="n">
        <f aca="false">O1966</f>
        <v>171713.088</v>
      </c>
      <c r="C1968" s="1146"/>
      <c r="D1968" s="1917"/>
      <c r="E1968" s="1917"/>
      <c r="F1968" s="1917"/>
      <c r="G1968" s="1917"/>
      <c r="H1968" s="1917"/>
      <c r="I1968" s="1918"/>
      <c r="J1968" s="1917"/>
      <c r="K1968" s="1917"/>
      <c r="L1968" s="1917"/>
      <c r="M1968" s="1917"/>
      <c r="N1968" s="1917"/>
      <c r="O1968" s="1917"/>
      <c r="P1968" s="1230"/>
      <c r="Q1968" s="1230"/>
      <c r="R1968" s="1230"/>
      <c r="S1968" s="1230"/>
      <c r="T1968" s="1230"/>
      <c r="U1968" s="1230"/>
      <c r="V1968" s="1230"/>
      <c r="W1968" s="1230"/>
      <c r="X1968" s="1230"/>
      <c r="Y1968" s="1230"/>
    </row>
    <row r="1969" customFormat="false" ht="15.75" hidden="true" customHeight="true" outlineLevel="1" collapsed="false">
      <c r="A1969" s="1290" t="s">
        <v>2728</v>
      </c>
      <c r="B1969" s="1137" t="n">
        <f aca="false">SUM(B1967:B1968)</f>
        <v>451104.2456</v>
      </c>
      <c r="C1969" s="1146"/>
      <c r="D1969" s="1917"/>
      <c r="E1969" s="1917"/>
      <c r="F1969" s="1917"/>
      <c r="G1969" s="1917"/>
      <c r="H1969" s="1917"/>
      <c r="I1969" s="1918"/>
      <c r="J1969" s="1917"/>
      <c r="K1969" s="1917"/>
      <c r="L1969" s="1917"/>
      <c r="M1969" s="1917"/>
      <c r="N1969" s="1917"/>
      <c r="O1969" s="1917"/>
      <c r="P1969" s="1230"/>
      <c r="Q1969" s="1230"/>
      <c r="R1969" s="1230"/>
      <c r="S1969" s="1230"/>
      <c r="T1969" s="1230"/>
      <c r="U1969" s="1230"/>
      <c r="V1969" s="1230"/>
      <c r="W1969" s="1230"/>
      <c r="X1969" s="1230"/>
      <c r="Y1969" s="1230"/>
    </row>
    <row r="1970" customFormat="false" ht="15.75" hidden="false" customHeight="true" outlineLevel="0" collapsed="false">
      <c r="A1970" s="1193" t="s">
        <v>3809</v>
      </c>
      <c r="B1970" s="1278"/>
      <c r="C1970" s="1278"/>
      <c r="D1970" s="1193"/>
      <c r="E1970" s="1193"/>
      <c r="F1970" s="1193"/>
      <c r="G1970" s="1193"/>
      <c r="H1970" s="1193"/>
      <c r="I1970" s="1770"/>
      <c r="J1970" s="1230"/>
      <c r="K1970" s="1230"/>
      <c r="L1970" s="1230"/>
      <c r="M1970" s="1230"/>
      <c r="N1970" s="1230"/>
      <c r="O1970" s="1230"/>
      <c r="P1970" s="1230"/>
      <c r="Q1970" s="1230"/>
      <c r="R1970" s="1230"/>
      <c r="S1970" s="1230"/>
      <c r="T1970" s="1230"/>
      <c r="U1970" s="1230"/>
      <c r="V1970" s="1230"/>
      <c r="W1970" s="1230"/>
      <c r="X1970" s="1230"/>
      <c r="Y1970" s="1230"/>
    </row>
    <row r="1971" customFormat="false" ht="15.75" hidden="false" customHeight="true" outlineLevel="0" collapsed="false">
      <c r="A1971" s="1193"/>
      <c r="B1971" s="1278"/>
      <c r="C1971" s="1278"/>
      <c r="D1971" s="1193"/>
      <c r="E1971" s="1193"/>
      <c r="F1971" s="1193"/>
      <c r="G1971" s="1193"/>
      <c r="H1971" s="1193"/>
      <c r="I1971" s="1770"/>
      <c r="J1971" s="1230"/>
      <c r="K1971" s="1230"/>
      <c r="L1971" s="1230"/>
      <c r="M1971" s="1230"/>
      <c r="N1971" s="1230"/>
      <c r="O1971" s="1230"/>
      <c r="P1971" s="1230"/>
      <c r="Q1971" s="1230"/>
      <c r="R1971" s="1230"/>
      <c r="S1971" s="1230"/>
      <c r="T1971" s="1230"/>
      <c r="U1971" s="1230"/>
      <c r="V1971" s="1230"/>
      <c r="W1971" s="1230"/>
      <c r="X1971" s="1230"/>
      <c r="Y1971" s="1230"/>
    </row>
    <row r="1972" customFormat="false" ht="15.75" hidden="true" customHeight="true" outlineLevel="1" collapsed="false">
      <c r="A1972" s="1901" t="s">
        <v>3810</v>
      </c>
      <c r="B1972" s="1902"/>
      <c r="C1972" s="1902"/>
      <c r="D1972" s="1903"/>
      <c r="E1972" s="1903"/>
      <c r="F1972" s="1903"/>
      <c r="G1972" s="1903"/>
      <c r="H1972" s="1903"/>
      <c r="I1972" s="1904"/>
      <c r="J1972" s="1903"/>
      <c r="K1972" s="1903"/>
      <c r="L1972" s="1903"/>
      <c r="M1972" s="1903"/>
      <c r="N1972" s="1903"/>
      <c r="O1972" s="1905"/>
      <c r="P1972" s="1230"/>
      <c r="Q1972" s="1230"/>
      <c r="R1972" s="1230"/>
      <c r="S1972" s="1230"/>
      <c r="T1972" s="1230"/>
      <c r="U1972" s="1230"/>
      <c r="V1972" s="1230"/>
      <c r="W1972" s="1230"/>
      <c r="X1972" s="1230"/>
      <c r="Y1972" s="1230"/>
    </row>
    <row r="1973" customFormat="false" ht="15.75" hidden="true" customHeight="true" outlineLevel="1" collapsed="false">
      <c r="A1973" s="1735" t="s">
        <v>1806</v>
      </c>
      <c r="B1973" s="1736"/>
      <c r="C1973" s="1736"/>
      <c r="D1973" s="1164"/>
      <c r="E1973" s="1164"/>
      <c r="F1973" s="1737"/>
      <c r="G1973" s="1784" t="n">
        <f aca="false">G1750</f>
        <v>1.1</v>
      </c>
      <c r="H1973" s="1785"/>
      <c r="I1973" s="1723" t="n">
        <f aca="false">I1750</f>
        <v>1</v>
      </c>
      <c r="J1973" s="1722"/>
      <c r="K1973" s="1722"/>
      <c r="L1973" s="1722"/>
      <c r="M1973" s="1722"/>
      <c r="N1973" s="1722"/>
      <c r="O1973" s="1722"/>
      <c r="P1973" s="1230"/>
      <c r="Q1973" s="1230"/>
      <c r="R1973" s="1230"/>
      <c r="S1973" s="1230"/>
      <c r="T1973" s="1230"/>
      <c r="U1973" s="1230"/>
      <c r="V1973" s="1230"/>
      <c r="W1973" s="1230"/>
      <c r="X1973" s="1230"/>
      <c r="Y1973" s="1230"/>
    </row>
    <row r="1974" customFormat="false" ht="15.75" hidden="true" customHeight="true" outlineLevel="1" collapsed="false">
      <c r="A1974" s="1906"/>
      <c r="B1974" s="1907"/>
      <c r="C1974" s="1908" t="n">
        <f aca="false">C1918</f>
        <v>110.4</v>
      </c>
      <c r="D1974" s="1230"/>
      <c r="E1974" s="1230"/>
      <c r="F1974" s="1230"/>
      <c r="I1974" s="1770"/>
      <c r="J1974" s="1230"/>
      <c r="K1974" s="1230"/>
      <c r="L1974" s="1230"/>
      <c r="M1974" s="1230"/>
      <c r="N1974" s="1230"/>
      <c r="O1974" s="1230"/>
      <c r="P1974" s="1230"/>
      <c r="Q1974" s="1230"/>
      <c r="R1974" s="1230"/>
      <c r="S1974" s="1230"/>
      <c r="T1974" s="1230"/>
      <c r="U1974" s="1230"/>
      <c r="V1974" s="1230"/>
      <c r="W1974" s="1230"/>
      <c r="X1974" s="1230"/>
      <c r="Y1974" s="1230"/>
    </row>
    <row r="1975" customFormat="false" ht="15.75" hidden="true" customHeight="true" outlineLevel="1" collapsed="false">
      <c r="A1975" s="1751" t="s">
        <v>3678</v>
      </c>
      <c r="B1975" s="1527" t="s">
        <v>133</v>
      </c>
      <c r="C1975" s="1689"/>
      <c r="D1975" s="1230"/>
      <c r="E1975" s="1230" t="n">
        <f aca="false">VLOOKUP(A1986,'Прайс лист'!B441:G528,3,0)</f>
        <v>0.26</v>
      </c>
      <c r="F1975" s="1150" t="n">
        <f aca="false">1/(E1975-'Ввод данных'!C918)</f>
        <v>4.34782608695652</v>
      </c>
      <c r="G1975" s="1150" t="n">
        <f aca="false">3.14*E1975*F1975*(связи1!C160+C1974)</f>
        <v>391.872</v>
      </c>
      <c r="I1975" s="1770"/>
      <c r="J1975" s="1230"/>
      <c r="K1975" s="1230"/>
      <c r="L1975" s="1230"/>
      <c r="M1975" s="1230"/>
      <c r="N1975" s="1230"/>
      <c r="O1975" s="1230"/>
      <c r="P1975" s="1230"/>
      <c r="Q1975" s="1230"/>
      <c r="R1975" s="1230"/>
      <c r="S1975" s="1230"/>
      <c r="T1975" s="1230"/>
      <c r="U1975" s="1230"/>
      <c r="V1975" s="1230"/>
      <c r="W1975" s="1230"/>
      <c r="X1975" s="1230"/>
      <c r="Y1975" s="1230"/>
    </row>
    <row r="1976" customFormat="false" ht="15.75" hidden="true" customHeight="true" outlineLevel="1" collapsed="false">
      <c r="A1976" s="1751" t="s">
        <v>3679</v>
      </c>
      <c r="B1976" s="1527" t="s">
        <v>133</v>
      </c>
      <c r="C1976" s="1689" t="n">
        <f aca="false">C1868</f>
        <v>100</v>
      </c>
      <c r="D1976" s="1230"/>
      <c r="E1976" s="1290" t="n">
        <f aca="false">3.14*E1975/2*E1975/2*F1975</f>
        <v>0.230721739130435</v>
      </c>
      <c r="F1976" s="1230"/>
      <c r="I1976" s="1770"/>
      <c r="J1976" s="1230"/>
      <c r="K1976" s="1230"/>
      <c r="L1976" s="1230"/>
      <c r="M1976" s="1230"/>
      <c r="N1976" s="1230"/>
      <c r="O1976" s="1230"/>
      <c r="P1976" s="1230"/>
      <c r="Q1976" s="1230"/>
      <c r="R1976" s="1230"/>
      <c r="S1976" s="1230"/>
      <c r="T1976" s="1230"/>
      <c r="U1976" s="1230"/>
      <c r="V1976" s="1230"/>
      <c r="W1976" s="1230"/>
      <c r="X1976" s="1230"/>
      <c r="Y1976" s="1230"/>
    </row>
    <row r="1977" customFormat="false" ht="15.75" hidden="true" customHeight="true" outlineLevel="1" collapsed="false">
      <c r="A1977" s="1751" t="s">
        <v>3633</v>
      </c>
      <c r="B1977" s="1527" t="s">
        <v>133</v>
      </c>
      <c r="C1977" s="1753" t="n">
        <f aca="false">(связи1!C160+C1974)*E1976</f>
        <v>25.47168</v>
      </c>
      <c r="D1977" s="1230"/>
      <c r="E1977" s="1230" t="n">
        <f aca="false">VLOOKUP(A1987,'Прайс лист'!B441:G528,3,0)</f>
        <v>0.2</v>
      </c>
      <c r="F1977" s="1150" t="n">
        <f aca="false">1/(E1977-'Ввод данных'!C918)</f>
        <v>5.88235294117647</v>
      </c>
      <c r="G1977" s="1150" t="n">
        <f aca="false">3.14*E1977*F1977*(связи1!D160)</f>
        <v>0</v>
      </c>
      <c r="I1977" s="1770"/>
      <c r="J1977" s="1230" t="n">
        <f aca="false">C1977/E1976</f>
        <v>110.4</v>
      </c>
      <c r="K1977" s="1230"/>
      <c r="L1977" s="1230"/>
      <c r="M1977" s="1230"/>
      <c r="N1977" s="1230"/>
      <c r="O1977" s="1230"/>
      <c r="P1977" s="1230"/>
      <c r="Q1977" s="1230"/>
      <c r="R1977" s="1230"/>
      <c r="S1977" s="1230"/>
      <c r="T1977" s="1230"/>
      <c r="U1977" s="1230"/>
      <c r="V1977" s="1230"/>
      <c r="W1977" s="1230"/>
      <c r="X1977" s="1230"/>
      <c r="Y1977" s="1230"/>
    </row>
    <row r="1978" customFormat="false" ht="15.75" hidden="true" customHeight="true" outlineLevel="1" collapsed="false">
      <c r="A1978" s="1751" t="s">
        <v>3687</v>
      </c>
      <c r="B1978" s="1527" t="s">
        <v>133</v>
      </c>
      <c r="C1978" s="1753" t="n">
        <f aca="false">C1977</f>
        <v>25.47168</v>
      </c>
      <c r="D1978" s="1230"/>
      <c r="E1978" s="1290" t="n">
        <f aca="false">3.14*E1977/2*E1977/2*F1977</f>
        <v>0.184705882352941</v>
      </c>
      <c r="F1978" s="1230"/>
      <c r="I1978" s="1770"/>
      <c r="J1978" s="1230"/>
      <c r="K1978" s="1230"/>
      <c r="L1978" s="1230"/>
      <c r="M1978" s="1230"/>
      <c r="N1978" s="1230"/>
      <c r="O1978" s="1230"/>
      <c r="P1978" s="1230"/>
      <c r="Q1978" s="1230"/>
      <c r="R1978" s="1230"/>
      <c r="S1978" s="1230"/>
      <c r="T1978" s="1230"/>
      <c r="U1978" s="1230"/>
      <c r="V1978" s="1230"/>
      <c r="W1978" s="1230"/>
      <c r="X1978" s="1230"/>
      <c r="Y1978" s="1230"/>
    </row>
    <row r="1979" customFormat="false" ht="15.75" hidden="true" customHeight="true" outlineLevel="1" collapsed="false">
      <c r="A1979" s="1751" t="s">
        <v>3802</v>
      </c>
      <c r="B1979" s="1527" t="s">
        <v>133</v>
      </c>
      <c r="C1979" s="1753" t="n">
        <f aca="false">связи1!D160+связи1!E160</f>
        <v>0</v>
      </c>
      <c r="D1979" s="1311"/>
      <c r="E1979" s="1230" t="n">
        <f aca="false">VLOOKUP(A1988,'Прайс лист'!B441:G528,3,0)</f>
        <v>0.2</v>
      </c>
      <c r="F1979" s="1150" t="n">
        <f aca="false">1/(E1979-'Ввод данных'!C918)</f>
        <v>5.88235294117647</v>
      </c>
      <c r="G1979" s="1150" t="n">
        <f aca="false">3.14*E1979*F1979*связи1!E160</f>
        <v>0</v>
      </c>
      <c r="I1979" s="1770"/>
      <c r="J1979" s="1230" t="n">
        <f aca="false">J1980+J1981</f>
        <v>0</v>
      </c>
      <c r="K1979" s="1230"/>
      <c r="L1979" s="1230"/>
      <c r="M1979" s="1230"/>
      <c r="N1979" s="1230"/>
      <c r="O1979" s="1230"/>
      <c r="P1979" s="1230"/>
      <c r="Q1979" s="1230"/>
      <c r="R1979" s="1230"/>
      <c r="S1979" s="1230"/>
      <c r="T1979" s="1230"/>
      <c r="U1979" s="1230"/>
      <c r="V1979" s="1230"/>
      <c r="W1979" s="1230"/>
      <c r="X1979" s="1230"/>
      <c r="Y1979" s="1230"/>
    </row>
    <row r="1980" customFormat="false" ht="15.75" hidden="true" customHeight="true" outlineLevel="1" collapsed="false">
      <c r="A1980" s="1751" t="s">
        <v>3803</v>
      </c>
      <c r="B1980" s="1527" t="s">
        <v>133</v>
      </c>
      <c r="C1980" s="1753" t="n">
        <f aca="false">связи1!D160*E1978</f>
        <v>0</v>
      </c>
      <c r="D1980" s="1311"/>
      <c r="E1980" s="1290" t="n">
        <f aca="false">3.14*E1979/2*E1979/2*F1979</f>
        <v>0.184705882352941</v>
      </c>
      <c r="F1980" s="1230"/>
      <c r="I1980" s="1770"/>
      <c r="J1980" s="1230" t="n">
        <f aca="false">C1980/E1978</f>
        <v>0</v>
      </c>
      <c r="K1980" s="1230"/>
      <c r="L1980" s="1230"/>
      <c r="M1980" s="1230"/>
      <c r="N1980" s="1230"/>
      <c r="O1980" s="1230"/>
      <c r="P1980" s="1230"/>
      <c r="Q1980" s="1230"/>
      <c r="R1980" s="1230"/>
      <c r="S1980" s="1230"/>
      <c r="T1980" s="1230"/>
      <c r="U1980" s="1230"/>
      <c r="V1980" s="1230"/>
      <c r="W1980" s="1230"/>
      <c r="X1980" s="1230"/>
      <c r="Y1980" s="1230"/>
    </row>
    <row r="1981" customFormat="false" ht="15.75" hidden="true" customHeight="true" outlineLevel="1" collapsed="false">
      <c r="A1981" s="1751" t="s">
        <v>2860</v>
      </c>
      <c r="B1981" s="1527" t="s">
        <v>133</v>
      </c>
      <c r="C1981" s="1753" t="n">
        <f aca="false">связи1!E160*E1980</f>
        <v>0</v>
      </c>
      <c r="D1981" s="1311"/>
      <c r="E1981" s="1230"/>
      <c r="G1981" s="1230"/>
      <c r="H1981" s="1230"/>
      <c r="I1981" s="1770"/>
      <c r="J1981" s="1230" t="n">
        <f aca="false">C1981/E1980</f>
        <v>0</v>
      </c>
      <c r="K1981" s="1230"/>
      <c r="L1981" s="1230"/>
      <c r="M1981" s="1230"/>
      <c r="N1981" s="1230"/>
      <c r="O1981" s="1230"/>
      <c r="P1981" s="1230"/>
      <c r="Q1981" s="1230"/>
      <c r="R1981" s="1230"/>
      <c r="S1981" s="1230"/>
      <c r="T1981" s="1230"/>
      <c r="U1981" s="1230"/>
      <c r="V1981" s="1230"/>
      <c r="W1981" s="1230"/>
      <c r="X1981" s="1230"/>
      <c r="Y1981" s="1230"/>
    </row>
    <row r="1982" customFormat="false" ht="15.75" hidden="true" customHeight="true" outlineLevel="1" collapsed="false">
      <c r="A1982" s="1751" t="s">
        <v>3638</v>
      </c>
      <c r="B1982" s="1527" t="s">
        <v>133</v>
      </c>
      <c r="C1982" s="1689" t="n">
        <f aca="false">C1980+C1981</f>
        <v>0</v>
      </c>
      <c r="D1982" s="1311"/>
      <c r="E1982" s="1230"/>
      <c r="G1982" s="1230" t="n">
        <f aca="false">SUM(G1975:G1981)</f>
        <v>391.872</v>
      </c>
      <c r="H1982" s="1230"/>
      <c r="I1982" s="1770"/>
      <c r="J1982" s="1230"/>
      <c r="K1982" s="1230"/>
      <c r="L1982" s="1230"/>
      <c r="M1982" s="1230"/>
      <c r="N1982" s="1230"/>
      <c r="O1982" s="1230"/>
      <c r="P1982" s="1230"/>
      <c r="Q1982" s="1230"/>
      <c r="R1982" s="1230"/>
      <c r="S1982" s="1230"/>
      <c r="T1982" s="1230"/>
      <c r="U1982" s="1230"/>
      <c r="V1982" s="1230"/>
      <c r="W1982" s="1230"/>
      <c r="X1982" s="1230"/>
      <c r="Y1982" s="1230"/>
    </row>
    <row r="1983" customFormat="false" ht="15.75" hidden="true" customHeight="true" outlineLevel="1" collapsed="false">
      <c r="A1983" s="1751" t="s">
        <v>3804</v>
      </c>
      <c r="B1983" s="1527" t="s">
        <v>133</v>
      </c>
      <c r="C1983" s="1689" t="n">
        <f aca="false">C1875</f>
        <v>0</v>
      </c>
      <c r="D1983" s="1311"/>
      <c r="E1983" s="1230"/>
      <c r="G1983" s="1230"/>
      <c r="H1983" s="1230"/>
      <c r="I1983" s="1770"/>
      <c r="J1983" s="1230"/>
      <c r="K1983" s="1230"/>
      <c r="L1983" s="1230"/>
      <c r="M1983" s="1230"/>
      <c r="N1983" s="1230"/>
      <c r="O1983" s="1230"/>
      <c r="P1983" s="1230"/>
      <c r="Q1983" s="1230"/>
      <c r="R1983" s="1230"/>
      <c r="S1983" s="1230"/>
      <c r="T1983" s="1230"/>
      <c r="U1983" s="1230"/>
      <c r="V1983" s="1230"/>
      <c r="W1983" s="1230"/>
      <c r="X1983" s="1230"/>
      <c r="Y1983" s="1230"/>
    </row>
    <row r="1984" customFormat="false" ht="15.75" hidden="true" customHeight="true" outlineLevel="1" collapsed="false">
      <c r="A1984" s="1909" t="s">
        <v>2720</v>
      </c>
      <c r="B1984" s="1910" t="s">
        <v>1094</v>
      </c>
      <c r="C1984" s="1910" t="s">
        <v>120</v>
      </c>
      <c r="D1984" s="1910" t="s">
        <v>3764</v>
      </c>
      <c r="E1984" s="1911" t="s">
        <v>2722</v>
      </c>
      <c r="F1984" s="1230"/>
      <c r="G1984" s="1906" t="s">
        <v>1409</v>
      </c>
      <c r="H1984" s="1912"/>
      <c r="I1984" s="1913"/>
      <c r="J1984" s="1911" t="s">
        <v>1802</v>
      </c>
      <c r="K1984" s="1911" t="s">
        <v>2721</v>
      </c>
      <c r="L1984" s="1911"/>
      <c r="M1984" s="1911"/>
      <c r="N1984" s="1911"/>
      <c r="O1984" s="1911" t="s">
        <v>2722</v>
      </c>
      <c r="P1984" s="1230"/>
      <c r="Q1984" s="1230"/>
      <c r="R1984" s="1230"/>
      <c r="S1984" s="1230"/>
      <c r="T1984" s="1230"/>
      <c r="U1984" s="1230"/>
      <c r="V1984" s="1230"/>
      <c r="W1984" s="1230"/>
      <c r="X1984" s="1230"/>
      <c r="Y1984" s="1230"/>
    </row>
    <row r="1985" customFormat="false" ht="15.75" hidden="true" customHeight="true" outlineLevel="1" collapsed="false">
      <c r="A1985" s="1751" t="str">
        <f aca="false">A1939</f>
        <v>Оцилиндрованное бревно сосна 260мм</v>
      </c>
      <c r="B1985" s="1527" t="str">
        <f aca="false">B1939</f>
        <v>м3</v>
      </c>
      <c r="C1985" s="1611" t="n">
        <f aca="false">C1913*3.14*E1975/2*E1975/2*G1912</f>
        <v>3.72417188</v>
      </c>
      <c r="D1985" s="1611" t="n">
        <f aca="false">D1939</f>
        <v>10000</v>
      </c>
      <c r="E1985" s="1611" t="n">
        <f aca="false">C1985*D1985</f>
        <v>37241.7188</v>
      </c>
      <c r="F1985" s="1230"/>
      <c r="G1985" s="1557" t="str">
        <f aca="false">'Прайс лист'!B1696</f>
        <v>кладка Дикого леса</v>
      </c>
      <c r="H1985" s="1694"/>
      <c r="I1985" s="1765"/>
      <c r="J1985" s="1290" t="n">
        <f aca="false">(C1985+C1986+C1987)*I1973</f>
        <v>28.018848</v>
      </c>
      <c r="K1985" s="1290" t="n">
        <f aca="false">'Прайс лист'!G1696</f>
        <v>6000</v>
      </c>
      <c r="L1985" s="1290"/>
      <c r="M1985" s="1290"/>
      <c r="N1985" s="1290"/>
      <c r="O1985" s="1290" t="n">
        <f aca="false">J1985*K1985</f>
        <v>168113.088</v>
      </c>
      <c r="P1985" s="1230"/>
      <c r="Q1985" s="1230"/>
      <c r="R1985" s="1230"/>
      <c r="S1985" s="1230"/>
      <c r="T1985" s="1230"/>
      <c r="U1985" s="1230"/>
      <c r="V1985" s="1230"/>
      <c r="W1985" s="1230"/>
      <c r="X1985" s="1230"/>
      <c r="Y1985" s="1230"/>
    </row>
    <row r="1986" customFormat="false" ht="15.75" hidden="true" customHeight="true" outlineLevel="1" collapsed="false">
      <c r="A1986" s="1751" t="str">
        <f aca="false">A1940</f>
        <v>Оцилиндрованное бревно сосна 260мм</v>
      </c>
      <c r="B1986" s="1527" t="str">
        <f aca="false">B1940</f>
        <v>м3</v>
      </c>
      <c r="C1986" s="1611" t="n">
        <f aca="false">C1977*G1973-C1985</f>
        <v>24.29467612</v>
      </c>
      <c r="D1986" s="1611" t="n">
        <f aca="false">D1940</f>
        <v>8500</v>
      </c>
      <c r="E1986" s="1611" t="n">
        <f aca="false">C1986*D1986</f>
        <v>206504.74702</v>
      </c>
      <c r="F1986" s="1230"/>
      <c r="G1986" s="1557" t="s">
        <v>1504</v>
      </c>
      <c r="H1986" s="1694"/>
      <c r="I1986" s="1765"/>
      <c r="J1986" s="1290" t="n">
        <f aca="false">C1758*H1758+C1759*H1759+C1760*H1760+C1761*H1761+C1762*H1762+C1763*H1763</f>
        <v>0</v>
      </c>
      <c r="K1986" s="1290" t="n">
        <f aca="false">'Прайс лист'!G1695</f>
        <v>150</v>
      </c>
      <c r="L1986" s="1290"/>
      <c r="M1986" s="1290"/>
      <c r="N1986" s="1290"/>
      <c r="O1986" s="1290" t="n">
        <f aca="false">J1986*K1986</f>
        <v>0</v>
      </c>
      <c r="P1986" s="1230"/>
      <c r="Q1986" s="1230"/>
      <c r="R1986" s="1230"/>
      <c r="S1986" s="1230"/>
      <c r="T1986" s="1230"/>
      <c r="U1986" s="1230"/>
      <c r="V1986" s="1230"/>
      <c r="W1986" s="1230"/>
      <c r="X1986" s="1230"/>
      <c r="Y1986" s="1230"/>
    </row>
    <row r="1987" customFormat="false" ht="15.75" hidden="true" customHeight="true" outlineLevel="1" collapsed="false">
      <c r="A1987" s="1751" t="str">
        <f aca="false">A1941</f>
        <v>Оцилиндрованное бревно сосна 200мм</v>
      </c>
      <c r="B1987" s="1527" t="str">
        <f aca="false">B1941</f>
        <v>м3</v>
      </c>
      <c r="C1987" s="1611" t="n">
        <f aca="false">C1980</f>
        <v>0</v>
      </c>
      <c r="D1987" s="1611" t="n">
        <f aca="false">D1941</f>
        <v>8000</v>
      </c>
      <c r="E1987" s="1611" t="n">
        <f aca="false">C1987*D1987</f>
        <v>0</v>
      </c>
      <c r="F1987" s="1230"/>
      <c r="G1987" s="933" t="str">
        <f aca="false">G1788</f>
        <v>обработка торцов на брусе</v>
      </c>
      <c r="H1987" s="933"/>
      <c r="I1987" s="933" t="n">
        <f aca="false">I1788</f>
        <v>0</v>
      </c>
      <c r="J1987" s="933" t="n">
        <f aca="false">J1788</f>
        <v>14.4</v>
      </c>
      <c r="K1987" s="933" t="n">
        <f aca="false">K1788</f>
        <v>250</v>
      </c>
      <c r="L1987" s="933" t="n">
        <f aca="false">L1788</f>
        <v>0</v>
      </c>
      <c r="M1987" s="933"/>
      <c r="N1987" s="933"/>
      <c r="O1987" s="933" t="n">
        <f aca="false">O1788</f>
        <v>3600</v>
      </c>
      <c r="P1987" s="1230"/>
      <c r="Q1987" s="1230"/>
      <c r="R1987" s="1230"/>
      <c r="S1987" s="1230"/>
      <c r="T1987" s="1230"/>
      <c r="U1987" s="1230"/>
      <c r="V1987" s="1230"/>
      <c r="W1987" s="1230"/>
      <c r="X1987" s="1230"/>
      <c r="Y1987" s="1230"/>
    </row>
    <row r="1988" customFormat="false" ht="15.75" hidden="true" customHeight="true" outlineLevel="1" collapsed="false">
      <c r="A1988" s="1751" t="str">
        <f aca="false">A1942</f>
        <v>Оцилиндрованное бревно сосна 200мм</v>
      </c>
      <c r="B1988" s="1527" t="str">
        <f aca="false">B1942</f>
        <v>м2</v>
      </c>
      <c r="C1988" s="1611" t="n">
        <f aca="false">C1981</f>
        <v>0</v>
      </c>
      <c r="D1988" s="1611" t="n">
        <f aca="false">D1942</f>
        <v>8000</v>
      </c>
      <c r="E1988" s="1611" t="n">
        <f aca="false">C1988*D1988</f>
        <v>0</v>
      </c>
      <c r="F1988" s="1230"/>
      <c r="G1988" s="1290" t="str">
        <f aca="false">G1942</f>
        <v>Обаботка огнебиозащитой</v>
      </c>
      <c r="H1988" s="1290"/>
      <c r="I1988" s="1611"/>
      <c r="J1988" s="1290" t="n">
        <f aca="false">IF('Ввод данных'!A950='Прайс лист'!B728,0,1)*SUM(C1985:C1988)</f>
        <v>28.018848</v>
      </c>
      <c r="K1988" s="1290" t="n">
        <f aca="false">K1942</f>
        <v>300</v>
      </c>
      <c r="L1988" s="1290"/>
      <c r="M1988" s="1290"/>
      <c r="N1988" s="1290"/>
      <c r="O1988" s="1290"/>
      <c r="P1988" s="1230"/>
      <c r="Q1988" s="1230"/>
      <c r="R1988" s="1230"/>
      <c r="S1988" s="1230"/>
      <c r="T1988" s="1230"/>
      <c r="U1988" s="1230"/>
      <c r="V1988" s="1230"/>
      <c r="W1988" s="1230"/>
      <c r="X1988" s="1230"/>
      <c r="Y1988" s="1230"/>
    </row>
    <row r="1989" customFormat="false" ht="15.75" hidden="true" customHeight="true" outlineLevel="1" collapsed="false">
      <c r="A1989" s="1751" t="str">
        <f aca="false">'Ввод данных'!A943</f>
        <v>Шкант</v>
      </c>
      <c r="B1989" s="1527" t="str">
        <f aca="false">B1943</f>
        <v>шт</v>
      </c>
      <c r="C1989" s="1611" t="n">
        <f aca="false">(C1977+C1979+C1980)/VLOOKUP(A1986,'Прайс лист'!B441:G528,3,0)/20*G1973*1.4</f>
        <v>7.543536</v>
      </c>
      <c r="D1989" s="1611" t="n">
        <f aca="false">VLOOKUP('Ввод данных'!A943,связи1!A459:B461,2,0)</f>
        <v>6</v>
      </c>
      <c r="E1989" s="1611" t="n">
        <f aca="false">C1989*D1989</f>
        <v>45.261216</v>
      </c>
      <c r="F1989" s="1230"/>
      <c r="G1989" s="1290" t="str">
        <f aca="false">G1943</f>
        <v>Пропитка стен внешних</v>
      </c>
      <c r="H1989" s="1290"/>
      <c r="I1989" s="1611"/>
      <c r="J1989" s="1290" t="n">
        <f aca="false">IF('Ввод данных'!A955='Прайс лист'!B1534,0,1)*G1975*0.3</f>
        <v>117.5616</v>
      </c>
      <c r="K1989" s="1290" t="n">
        <f aca="false">K1943</f>
        <v>100</v>
      </c>
      <c r="L1989" s="1290"/>
      <c r="M1989" s="1290"/>
      <c r="N1989" s="1290"/>
      <c r="O1989" s="1290"/>
      <c r="P1989" s="1230"/>
      <c r="Q1989" s="1230"/>
      <c r="R1989" s="1230"/>
      <c r="S1989" s="1230"/>
      <c r="T1989" s="1230"/>
      <c r="U1989" s="1230"/>
      <c r="V1989" s="1230"/>
      <c r="W1989" s="1230"/>
      <c r="X1989" s="1230"/>
      <c r="Y1989" s="1230"/>
    </row>
    <row r="1990" customFormat="false" ht="15.75" hidden="true" customHeight="true" outlineLevel="1" collapsed="false">
      <c r="A1990" s="1751" t="str">
        <f aca="false">A1944</f>
        <v>Лен-джут 200х5х20000 мм</v>
      </c>
      <c r="B1990" s="1527" t="str">
        <f aca="false">B1944</f>
        <v>шт</v>
      </c>
      <c r="C1990" s="1611" t="n">
        <f aca="false">CEILING(((C1977/E1976+C1980/E1978+C1981/E1980)/VLOOKUP(A1986,'Прайс лист'!B441:G528,3,0)/20*G1973)*1.4,1)</f>
        <v>33</v>
      </c>
      <c r="D1990" s="1611" t="n">
        <f aca="false">D1944</f>
        <v>175</v>
      </c>
      <c r="E1990" s="1611" t="n">
        <f aca="false">C1990*D1990</f>
        <v>5775</v>
      </c>
      <c r="F1990" s="1230"/>
      <c r="G1990" s="1290" t="str">
        <f aca="false">G1944</f>
        <v>Пропитка внутенних стен</v>
      </c>
      <c r="H1990" s="1290"/>
      <c r="I1990" s="933"/>
      <c r="J1990" s="933" t="n">
        <f aca="false">IF('Ввод данных'!A960='Прайс лист'!B1534,0,1)*(G1982*0.3)</f>
        <v>117.5616</v>
      </c>
      <c r="K1990" s="1290" t="n">
        <f aca="false">K1944</f>
        <v>100</v>
      </c>
      <c r="L1990" s="933"/>
      <c r="M1990" s="933"/>
      <c r="N1990" s="933"/>
      <c r="O1990" s="933"/>
      <c r="P1990" s="1230"/>
      <c r="Q1990" s="1230"/>
      <c r="R1990" s="1230"/>
      <c r="S1990" s="1230"/>
      <c r="T1990" s="1230"/>
      <c r="U1990" s="1230"/>
      <c r="V1990" s="1230"/>
      <c r="W1990" s="1230"/>
      <c r="X1990" s="1230"/>
      <c r="Y1990" s="1230"/>
    </row>
    <row r="1991" customFormat="false" ht="15.75" hidden="true" customHeight="true" outlineLevel="1" collapsed="false">
      <c r="A1991" s="1751" t="str">
        <f aca="false">A1945</f>
        <v>Гвозди ершоные 2,8 х 90</v>
      </c>
      <c r="B1991" s="1527" t="str">
        <f aca="false">B1945</f>
        <v>шт</v>
      </c>
      <c r="C1991" s="1611" t="n">
        <f aca="false">C1945</f>
        <v>4.84</v>
      </c>
      <c r="D1991" s="1611" t="n">
        <f aca="false">D1945</f>
        <v>76.49</v>
      </c>
      <c r="E1991" s="1611" t="n">
        <f aca="false">C1991*D1991</f>
        <v>370.2116</v>
      </c>
      <c r="F1991" s="1230"/>
      <c r="G1991" s="933" t="str">
        <f aca="false">G1792</f>
        <v>Сверление стен для скрытой проводки</v>
      </c>
      <c r="H1991" s="933"/>
      <c r="I1991" s="933" t="n">
        <f aca="false">I1792</f>
        <v>0</v>
      </c>
      <c r="J1991" s="933" t="n">
        <f aca="false">J1792</f>
        <v>180</v>
      </c>
      <c r="K1991" s="933" t="n">
        <f aca="false">K1792</f>
        <v>300</v>
      </c>
      <c r="L1991" s="933"/>
      <c r="M1991" s="933"/>
      <c r="N1991" s="933"/>
      <c r="O1991" s="933"/>
      <c r="P1991" s="1230"/>
      <c r="Q1991" s="1230"/>
      <c r="R1991" s="1230"/>
      <c r="S1991" s="1230"/>
      <c r="T1991" s="1230"/>
      <c r="U1991" s="1230"/>
      <c r="V1991" s="1230"/>
      <c r="W1991" s="1230"/>
      <c r="X1991" s="1230"/>
      <c r="Y1991" s="1230"/>
    </row>
    <row r="1992" customFormat="false" ht="15.75" hidden="true" customHeight="true" outlineLevel="1" collapsed="false">
      <c r="A1992" s="1751" t="str">
        <f aca="false">A1946</f>
        <v>нет</v>
      </c>
      <c r="B1992" s="1527" t="str">
        <f aca="false">B1946</f>
        <v>м3</v>
      </c>
      <c r="C1992" s="1611" t="n">
        <f aca="false">((C1758*H1758+C1759*H1759)*G1750*VLOOKUP(A1793,связи1!A407:E416,5,0))</f>
        <v>0</v>
      </c>
      <c r="D1992" s="1611" t="n">
        <f aca="false">D1946</f>
        <v>0</v>
      </c>
      <c r="E1992" s="1611" t="n">
        <f aca="false">C1992*D1992</f>
        <v>0</v>
      </c>
      <c r="F1992" s="1230"/>
      <c r="G1992" s="933" t="str">
        <f aca="false">G1793</f>
        <v>Монтаж наличника</v>
      </c>
      <c r="H1992" s="933"/>
      <c r="I1992" s="1611"/>
      <c r="J1992" s="933" t="n">
        <f aca="false">J1793</f>
        <v>0</v>
      </c>
      <c r="K1992" s="933" t="n">
        <f aca="false">K1793</f>
        <v>80</v>
      </c>
      <c r="L1992" s="1290"/>
      <c r="M1992" s="1290"/>
      <c r="N1992" s="1290"/>
      <c r="O1992" s="1290"/>
      <c r="P1992" s="1230"/>
      <c r="Q1992" s="1230"/>
      <c r="R1992" s="1230"/>
      <c r="S1992" s="1230"/>
      <c r="T1992" s="1230"/>
      <c r="U1992" s="1230"/>
      <c r="V1992" s="1230"/>
      <c r="W1992" s="1230"/>
      <c r="X1992" s="1230"/>
      <c r="Y1992" s="1230"/>
    </row>
    <row r="1993" customFormat="false" ht="15.75" hidden="true" customHeight="true" outlineLevel="1" collapsed="false">
      <c r="A1993" s="1751" t="str">
        <f aca="false">A1947</f>
        <v>Доска сухая, 100*50мм</v>
      </c>
      <c r="B1993" s="1527" t="str">
        <f aca="false">B1947</f>
        <v>м3</v>
      </c>
      <c r="C1993" s="1611" t="n">
        <f aca="false">((C1760*H1760+C1762*H1762)*G1750*VLOOKUP(A1794,связи1!A407:E416,5,0))</f>
        <v>0</v>
      </c>
      <c r="D1993" s="1611" t="n">
        <f aca="false">D1947</f>
        <v>9000</v>
      </c>
      <c r="E1993" s="1611" t="n">
        <f aca="false">C1993*D1993</f>
        <v>0</v>
      </c>
      <c r="F1993" s="1230"/>
      <c r="G1993" s="1290" t="str">
        <f aca="false">G1947</f>
        <v>Шлифовка стен дома</v>
      </c>
      <c r="H1993" s="1290"/>
      <c r="I1993" s="1290" t="n">
        <f aca="false">I1947</f>
        <v>0</v>
      </c>
      <c r="J1993" s="1290" t="n">
        <f aca="false">J1977*1.1*IF('Ввод данных'!A973=связи1!A542,1,0)+(J1977+J1979*2)*1.1*IF('Ввод данных'!A976=связи1!A545,1,0)</f>
        <v>121.44</v>
      </c>
      <c r="K1993" s="1290" t="n">
        <f aca="false">K1947</f>
        <v>250</v>
      </c>
      <c r="L1993" s="1290"/>
      <c r="M1993" s="1290"/>
      <c r="N1993" s="1290"/>
      <c r="O1993" s="1290"/>
      <c r="P1993" s="1230"/>
      <c r="Q1993" s="1230"/>
      <c r="R1993" s="1230"/>
      <c r="S1993" s="1230"/>
      <c r="T1993" s="1230"/>
      <c r="U1993" s="1230"/>
      <c r="V1993" s="1230"/>
      <c r="W1993" s="1230"/>
      <c r="X1993" s="1230"/>
      <c r="Y1993" s="1230"/>
    </row>
    <row r="1994" customFormat="false" ht="15.75" hidden="true" customHeight="true" outlineLevel="1" collapsed="false">
      <c r="A1994" s="1751" t="str">
        <f aca="false">A1948</f>
        <v>Доска сухая калиброванная, 100*45мм</v>
      </c>
      <c r="B1994" s="1527" t="str">
        <f aca="false">B1948</f>
        <v>м3</v>
      </c>
      <c r="C1994" s="1611" t="n">
        <f aca="false">VLOOKUP(A1795,связи1!A407:E416,5,0)*(C1761*H1761+C1763*H1763)*G1750</f>
        <v>0</v>
      </c>
      <c r="D1994" s="1611" t="n">
        <f aca="false">D1948</f>
        <v>12500</v>
      </c>
      <c r="E1994" s="1611" t="n">
        <f aca="false">C1994*D1994</f>
        <v>0</v>
      </c>
      <c r="F1994" s="1230"/>
      <c r="G1994" s="1290"/>
      <c r="H1994" s="1290"/>
      <c r="I1994" s="1290"/>
      <c r="J1994" s="1290"/>
      <c r="K1994" s="1290"/>
      <c r="L1994" s="1290"/>
      <c r="M1994" s="1290"/>
      <c r="N1994" s="1290"/>
      <c r="O1994" s="1290"/>
      <c r="P1994" s="1230"/>
      <c r="Q1994" s="1230"/>
      <c r="R1994" s="1230"/>
      <c r="S1994" s="1230"/>
      <c r="T1994" s="1230"/>
      <c r="U1994" s="1230"/>
      <c r="V1994" s="1230"/>
      <c r="W1994" s="1230"/>
      <c r="X1994" s="1230"/>
      <c r="Y1994" s="1230"/>
    </row>
    <row r="1995" customFormat="false" ht="15.75" hidden="true" customHeight="true" outlineLevel="1" collapsed="false">
      <c r="A1995" s="1751" t="str">
        <f aca="false">A1949</f>
        <v>Сосна влаж, 50*50мм</v>
      </c>
      <c r="B1995" s="1527" t="str">
        <f aca="false">B1949</f>
        <v>м.п.</v>
      </c>
      <c r="C1995" s="1611" t="n">
        <f aca="false">C1949</f>
        <v>0</v>
      </c>
      <c r="D1995" s="1611" t="n">
        <f aca="false">D1949</f>
        <v>16.25</v>
      </c>
      <c r="E1995" s="1611" t="n">
        <f aca="false">C1995*D1995</f>
        <v>0</v>
      </c>
      <c r="F1995" s="1230"/>
      <c r="G1995" s="1290"/>
      <c r="H1995" s="1290"/>
      <c r="I1995" s="1611"/>
      <c r="J1995" s="1290"/>
      <c r="K1995" s="1290"/>
      <c r="L1995" s="1290"/>
      <c r="M1995" s="1290"/>
      <c r="N1995" s="1290"/>
      <c r="O1995" s="1290"/>
      <c r="P1995" s="1230"/>
      <c r="Q1995" s="1230"/>
      <c r="R1995" s="1230"/>
      <c r="S1995" s="1230"/>
      <c r="T1995" s="1230"/>
      <c r="U1995" s="1230"/>
      <c r="V1995" s="1230"/>
      <c r="W1995" s="1230"/>
      <c r="X1995" s="1230"/>
      <c r="Y1995" s="1230"/>
    </row>
    <row r="1996" customFormat="false" ht="15.75" hidden="true" customHeight="true" outlineLevel="1" collapsed="false">
      <c r="A1996" s="1751" t="str">
        <f aca="false">A1950</f>
        <v>Бензин для пилы</v>
      </c>
      <c r="B1996" s="1527" t="str">
        <f aca="false">B1950</f>
        <v>л</v>
      </c>
      <c r="C1996" s="1611" t="n">
        <f aca="false">SUM(C1985:C1988)/5</f>
        <v>5.6037696</v>
      </c>
      <c r="D1996" s="1611" t="n">
        <f aca="false">D1950</f>
        <v>40</v>
      </c>
      <c r="E1996" s="1611" t="n">
        <f aca="false">C1996*D1996</f>
        <v>224.150784</v>
      </c>
      <c r="F1996" s="1230"/>
      <c r="G1996" s="1290"/>
      <c r="H1996" s="1290"/>
      <c r="I1996" s="1611"/>
      <c r="J1996" s="1290"/>
      <c r="K1996" s="1290"/>
      <c r="L1996" s="1290"/>
      <c r="M1996" s="1290"/>
      <c r="N1996" s="1290"/>
      <c r="O1996" s="1290"/>
      <c r="P1996" s="1230"/>
      <c r="Q1996" s="1230"/>
      <c r="R1996" s="1230"/>
      <c r="S1996" s="1230"/>
      <c r="T1996" s="1230"/>
      <c r="U1996" s="1230"/>
      <c r="V1996" s="1230"/>
      <c r="W1996" s="1230"/>
      <c r="X1996" s="1230"/>
      <c r="Y1996" s="1230"/>
    </row>
    <row r="1997" customFormat="false" ht="15.75" hidden="true" customHeight="true" outlineLevel="1" collapsed="false">
      <c r="A1997" s="1751" t="str">
        <f aca="false">A1951</f>
        <v>Масло для пилы</v>
      </c>
      <c r="B1997" s="1527" t="str">
        <f aca="false">B1951</f>
        <v>л</v>
      </c>
      <c r="C1997" s="1611" t="n">
        <f aca="false">C1996/20</f>
        <v>0.28018848</v>
      </c>
      <c r="D1997" s="1611" t="n">
        <f aca="false">D1951</f>
        <v>250</v>
      </c>
      <c r="E1997" s="1611" t="n">
        <f aca="false">C1997*D1997</f>
        <v>70.04712</v>
      </c>
      <c r="F1997" s="1230"/>
      <c r="G1997" s="1290"/>
      <c r="H1997" s="1290"/>
      <c r="I1997" s="1611"/>
      <c r="J1997" s="1290"/>
      <c r="K1997" s="1290"/>
      <c r="L1997" s="1290"/>
      <c r="M1997" s="1290"/>
      <c r="N1997" s="1290"/>
      <c r="O1997" s="1290"/>
      <c r="P1997" s="1230"/>
      <c r="Q1997" s="1230"/>
      <c r="R1997" s="1230"/>
      <c r="S1997" s="1230"/>
      <c r="T1997" s="1230"/>
      <c r="U1997" s="1230"/>
      <c r="V1997" s="1230"/>
      <c r="W1997" s="1230"/>
      <c r="X1997" s="1230"/>
      <c r="Y1997" s="1230"/>
    </row>
    <row r="1998" customFormat="false" ht="15.75" hidden="true" customHeight="true" outlineLevel="1" collapsed="false">
      <c r="A1998" s="1751" t="str">
        <f aca="false">A1952</f>
        <v>Цепь для пилы</v>
      </c>
      <c r="B1998" s="1527" t="str">
        <f aca="false">B1952</f>
        <v>л</v>
      </c>
      <c r="C1998" s="1611" t="n">
        <f aca="false">CEILING((SUM(C1985:C1988)/10),1)</f>
        <v>3</v>
      </c>
      <c r="D1998" s="1611" t="n">
        <f aca="false">D1952</f>
        <v>800</v>
      </c>
      <c r="E1998" s="1611" t="n">
        <f aca="false">C1998*D1998</f>
        <v>2400</v>
      </c>
      <c r="F1998" s="1230"/>
      <c r="G1998" s="1290"/>
      <c r="H1998" s="1290"/>
      <c r="I1998" s="1611"/>
      <c r="J1998" s="1290"/>
      <c r="K1998" s="1290"/>
      <c r="L1998" s="1290"/>
      <c r="M1998" s="1290"/>
      <c r="N1998" s="1290"/>
      <c r="O1998" s="1290"/>
      <c r="P1998" s="1230"/>
      <c r="Q1998" s="1230"/>
      <c r="R1998" s="1230"/>
      <c r="S1998" s="1230"/>
      <c r="T1998" s="1230"/>
      <c r="U1998" s="1230"/>
      <c r="V1998" s="1230"/>
      <c r="W1998" s="1230"/>
      <c r="X1998" s="1230"/>
      <c r="Y1998" s="1230"/>
    </row>
    <row r="1999" customFormat="false" ht="15.75" hidden="true" customHeight="true" outlineLevel="1" collapsed="false">
      <c r="A1999" s="1751" t="str">
        <f aca="false">A1953</f>
        <v>"Профилюкс" Антисептик АНТИПЛЕСЕНЬ</v>
      </c>
      <c r="B1999" s="1527" t="str">
        <f aca="false">B1953</f>
        <v>л</v>
      </c>
      <c r="C1999" s="1611" t="n">
        <f aca="false">G1982*'Ввод данных'!C951*'Ввод данных'!C952</f>
        <v>39.1872</v>
      </c>
      <c r="D1999" s="1611" t="n">
        <f aca="false">D1953</f>
        <v>108</v>
      </c>
      <c r="E1999" s="1611" t="n">
        <f aca="false">C1999*D1999</f>
        <v>4232.2176</v>
      </c>
      <c r="F1999" s="1230"/>
      <c r="G1999" s="1290"/>
      <c r="H1999" s="1290"/>
      <c r="I1999" s="1611"/>
      <c r="J1999" s="1290"/>
      <c r="K1999" s="1290"/>
      <c r="L1999" s="1290"/>
      <c r="M1999" s="1290"/>
      <c r="N1999" s="1290"/>
      <c r="O1999" s="1290"/>
      <c r="P1999" s="1230"/>
      <c r="Q1999" s="1230"/>
      <c r="R1999" s="1230"/>
      <c r="S1999" s="1230"/>
      <c r="T1999" s="1230"/>
      <c r="U1999" s="1230"/>
      <c r="V1999" s="1230"/>
      <c r="W1999" s="1230"/>
      <c r="X1999" s="1230"/>
      <c r="Y1999" s="1230"/>
    </row>
    <row r="2000" customFormat="false" ht="15.75" hidden="true" customHeight="true" outlineLevel="1" collapsed="false">
      <c r="A2000" s="1751" t="str">
        <f aca="false">A1954</f>
        <v>"Тонерол" Антисептик  бесцветный  1л</v>
      </c>
      <c r="B2000" s="1527" t="str">
        <f aca="false">B1954</f>
        <v>л</v>
      </c>
      <c r="C2000" s="1611" t="n">
        <f aca="false">G1975*0.3*'Ввод данных'!C956*'Ввод данных'!C957</f>
        <v>23.51232</v>
      </c>
      <c r="D2000" s="1611" t="n">
        <f aca="false">D1954</f>
        <v>305</v>
      </c>
      <c r="E2000" s="1611" t="n">
        <f aca="false">C2000*D2000</f>
        <v>7171.2576</v>
      </c>
      <c r="F2000" s="1230"/>
      <c r="G2000" s="1290"/>
      <c r="H2000" s="1290"/>
      <c r="I2000" s="1611"/>
      <c r="J2000" s="1290"/>
      <c r="K2000" s="1290"/>
      <c r="L2000" s="1290"/>
      <c r="M2000" s="1290"/>
      <c r="N2000" s="1290"/>
      <c r="O2000" s="1290"/>
      <c r="P2000" s="1230"/>
      <c r="Q2000" s="1230"/>
      <c r="R2000" s="1230"/>
      <c r="S2000" s="1230"/>
      <c r="T2000" s="1230"/>
      <c r="U2000" s="1230"/>
      <c r="V2000" s="1230"/>
      <c r="W2000" s="1230"/>
      <c r="X2000" s="1230"/>
      <c r="Y2000" s="1230"/>
    </row>
    <row r="2001" customFormat="false" ht="15.75" hidden="true" customHeight="true" outlineLevel="1" collapsed="false">
      <c r="A2001" s="1751" t="str">
        <f aca="false">A1955</f>
        <v>"Тонерол" Антисептик  махагон  1л</v>
      </c>
      <c r="B2001" s="1527" t="str">
        <f aca="false">B1955</f>
        <v>л</v>
      </c>
      <c r="C2001" s="1611" t="n">
        <f aca="false">(G1982*0.3)*'Ввод данных'!C961*'Ввод данных'!C962</f>
        <v>23.51232</v>
      </c>
      <c r="D2001" s="1611" t="n">
        <f aca="false">D1955</f>
        <v>305</v>
      </c>
      <c r="E2001" s="1611" t="n">
        <f aca="false">C2001*D2001</f>
        <v>7171.2576</v>
      </c>
      <c r="F2001" s="1230"/>
      <c r="G2001" s="1290"/>
      <c r="H2001" s="1290"/>
      <c r="I2001" s="1611"/>
      <c r="J2001" s="1290"/>
      <c r="K2001" s="1290"/>
      <c r="L2001" s="1290"/>
      <c r="M2001" s="1290"/>
      <c r="N2001" s="1290"/>
      <c r="O2001" s="1290"/>
      <c r="P2001" s="1230"/>
      <c r="Q2001" s="1230"/>
      <c r="R2001" s="1230"/>
      <c r="S2001" s="1230"/>
      <c r="T2001" s="1230"/>
      <c r="U2001" s="1230"/>
      <c r="V2001" s="1230"/>
      <c r="W2001" s="1230"/>
      <c r="X2001" s="1230"/>
      <c r="Y2001" s="1230"/>
    </row>
    <row r="2002" customFormat="false" ht="15.75" hidden="true" customHeight="true" outlineLevel="1" collapsed="false">
      <c r="A2002" s="1751" t="str">
        <f aca="false">A1956</f>
        <v>Нет наличника</v>
      </c>
      <c r="B2002" s="1527" t="str">
        <f aca="false">B1956</f>
        <v>м.п.</v>
      </c>
      <c r="C2002" s="1751" t="n">
        <f aca="false">C1956</f>
        <v>3.57</v>
      </c>
      <c r="D2002" s="1751" t="n">
        <f aca="false">D1956</f>
        <v>0</v>
      </c>
      <c r="E2002" s="1611" t="n">
        <f aca="false">C2002*D2002</f>
        <v>0</v>
      </c>
      <c r="F2002" s="1230"/>
      <c r="G2002" s="1290"/>
      <c r="H2002" s="1290"/>
      <c r="I2002" s="1611"/>
      <c r="J2002" s="1290"/>
      <c r="K2002" s="1290"/>
      <c r="L2002" s="1290"/>
      <c r="M2002" s="1290"/>
      <c r="N2002" s="1290"/>
      <c r="O2002" s="1290"/>
      <c r="P2002" s="1230"/>
      <c r="Q2002" s="1230"/>
      <c r="R2002" s="1230"/>
      <c r="S2002" s="1230"/>
      <c r="T2002" s="1230"/>
      <c r="U2002" s="1230"/>
      <c r="V2002" s="1230"/>
      <c r="W2002" s="1230"/>
      <c r="X2002" s="1230"/>
      <c r="Y2002" s="1230"/>
    </row>
    <row r="2003" customFormat="false" ht="15.75" hidden="true" customHeight="true" outlineLevel="1" collapsed="false">
      <c r="A2003" s="1751" t="str">
        <f aca="false">A1957</f>
        <v>Нет наличника</v>
      </c>
      <c r="B2003" s="1527" t="str">
        <f aca="false">B1957</f>
        <v>м.п.</v>
      </c>
      <c r="C2003" s="1751" t="n">
        <f aca="false">C1957</f>
        <v>3.57</v>
      </c>
      <c r="D2003" s="1751" t="n">
        <f aca="false">D1957</f>
        <v>0</v>
      </c>
      <c r="E2003" s="1611" t="n">
        <f aca="false">C2003*D2003</f>
        <v>0</v>
      </c>
      <c r="F2003" s="1230"/>
      <c r="G2003" s="1290"/>
      <c r="H2003" s="1290"/>
      <c r="I2003" s="1611"/>
      <c r="J2003" s="1290"/>
      <c r="K2003" s="1290"/>
      <c r="L2003" s="1290"/>
      <c r="M2003" s="1290"/>
      <c r="N2003" s="1290"/>
      <c r="O2003" s="1290"/>
      <c r="P2003" s="1230"/>
      <c r="Q2003" s="1230"/>
      <c r="R2003" s="1230"/>
      <c r="S2003" s="1230"/>
      <c r="T2003" s="1230"/>
      <c r="U2003" s="1230"/>
      <c r="V2003" s="1230"/>
      <c r="W2003" s="1230"/>
      <c r="X2003" s="1230"/>
      <c r="Y2003" s="1230"/>
    </row>
    <row r="2004" customFormat="false" ht="15.75" hidden="true" customHeight="true" outlineLevel="1" collapsed="false">
      <c r="A2004" s="1751" t="str">
        <f aca="false">A1958</f>
        <v>Бумага наждачная № 63 F(30)</v>
      </c>
      <c r="B2004" s="1751" t="str">
        <f aca="false">B1958</f>
        <v>м</v>
      </c>
      <c r="C2004" s="1751" t="n">
        <f aca="false">C1958</f>
        <v>5</v>
      </c>
      <c r="D2004" s="1751" t="n">
        <f aca="false">D1958</f>
        <v>291</v>
      </c>
      <c r="E2004" s="1611" t="n">
        <f aca="false">C2004*D2004</f>
        <v>1455</v>
      </c>
      <c r="F2004" s="1230"/>
      <c r="G2004" s="1290"/>
      <c r="H2004" s="1290"/>
      <c r="I2004" s="1611"/>
      <c r="J2004" s="1290"/>
      <c r="K2004" s="1290"/>
      <c r="L2004" s="1290"/>
      <c r="M2004" s="1290"/>
      <c r="N2004" s="1290"/>
      <c r="O2004" s="1290"/>
      <c r="P2004" s="1230"/>
      <c r="Q2004" s="1230"/>
      <c r="R2004" s="1230"/>
      <c r="S2004" s="1230"/>
      <c r="T2004" s="1230"/>
      <c r="U2004" s="1230"/>
      <c r="V2004" s="1230"/>
      <c r="W2004" s="1230"/>
      <c r="X2004" s="1230"/>
      <c r="Y2004" s="1230"/>
    </row>
    <row r="2005" customFormat="false" ht="15.75" hidden="true" customHeight="true" outlineLevel="1" collapsed="false">
      <c r="A2005" s="1751" t="str">
        <f aca="false">A1959</f>
        <v>Нет наждачной бумаги</v>
      </c>
      <c r="B2005" s="1751" t="str">
        <f aca="false">B1959</f>
        <v>м</v>
      </c>
      <c r="C2005" s="1751" t="n">
        <f aca="false">C1959</f>
        <v>0</v>
      </c>
      <c r="D2005" s="1751" t="n">
        <f aca="false">D1959</f>
        <v>0</v>
      </c>
      <c r="E2005" s="1611" t="n">
        <f aca="false">C2005*D2005</f>
        <v>0</v>
      </c>
      <c r="F2005" s="1230"/>
      <c r="G2005" s="1290"/>
      <c r="H2005" s="1290"/>
      <c r="I2005" s="1611"/>
      <c r="J2005" s="1290"/>
      <c r="K2005" s="1290"/>
      <c r="L2005" s="1290"/>
      <c r="M2005" s="1290"/>
      <c r="N2005" s="1290"/>
      <c r="O2005" s="1290"/>
      <c r="P2005" s="1230"/>
      <c r="Q2005" s="1230"/>
      <c r="R2005" s="1230"/>
      <c r="S2005" s="1230"/>
      <c r="T2005" s="1230"/>
      <c r="U2005" s="1230"/>
      <c r="V2005" s="1230"/>
      <c r="W2005" s="1230"/>
      <c r="X2005" s="1230"/>
      <c r="Y2005" s="1230"/>
    </row>
    <row r="2006" customFormat="false" ht="15.75" hidden="true" customHeight="true" outlineLevel="1" collapsed="false">
      <c r="A2006" s="1751" t="str">
        <f aca="false">A1960</f>
        <v>Бумага наждачная № 63 F(30)</v>
      </c>
      <c r="B2006" s="1751" t="str">
        <f aca="false">B1960</f>
        <v>м</v>
      </c>
      <c r="C2006" s="1751" t="n">
        <f aca="false">C1960</f>
        <v>0</v>
      </c>
      <c r="D2006" s="1751" t="n">
        <f aca="false">D1960</f>
        <v>291</v>
      </c>
      <c r="E2006" s="1611" t="n">
        <f aca="false">C2006*D2006</f>
        <v>0</v>
      </c>
      <c r="F2006" s="1230"/>
      <c r="G2006" s="1290"/>
      <c r="H2006" s="1290"/>
      <c r="I2006" s="1611"/>
      <c r="J2006" s="1290"/>
      <c r="K2006" s="1290"/>
      <c r="L2006" s="1290"/>
      <c r="M2006" s="1290"/>
      <c r="N2006" s="1290"/>
      <c r="O2006" s="1290"/>
      <c r="P2006" s="1230"/>
      <c r="Q2006" s="1230"/>
      <c r="R2006" s="1230"/>
      <c r="S2006" s="1230"/>
      <c r="T2006" s="1230"/>
      <c r="U2006" s="1230"/>
      <c r="V2006" s="1230"/>
      <c r="W2006" s="1230"/>
      <c r="X2006" s="1230"/>
      <c r="Y2006" s="1230"/>
    </row>
    <row r="2007" customFormat="false" ht="15.75" hidden="true" customHeight="true" outlineLevel="1" collapsed="false">
      <c r="A2007" s="1751" t="str">
        <f aca="false">A1961</f>
        <v>Бумага наждачная № 40</v>
      </c>
      <c r="B2007" s="1751" t="str">
        <f aca="false">B1961</f>
        <v>м</v>
      </c>
      <c r="C2007" s="1751" t="n">
        <f aca="false">C1961</f>
        <v>0</v>
      </c>
      <c r="D2007" s="1751" t="n">
        <f aca="false">D1961</f>
        <v>240</v>
      </c>
      <c r="E2007" s="1611" t="n">
        <f aca="false">C2007*D2007</f>
        <v>0</v>
      </c>
      <c r="F2007" s="1230"/>
      <c r="G2007" s="1290"/>
      <c r="H2007" s="1290"/>
      <c r="I2007" s="1611"/>
      <c r="J2007" s="1290"/>
      <c r="K2007" s="1290"/>
      <c r="L2007" s="1290"/>
      <c r="M2007" s="1290"/>
      <c r="N2007" s="1290"/>
      <c r="O2007" s="1290"/>
      <c r="P2007" s="1230"/>
      <c r="Q2007" s="1230"/>
      <c r="R2007" s="1230"/>
      <c r="S2007" s="1230"/>
      <c r="T2007" s="1230"/>
      <c r="U2007" s="1230"/>
      <c r="V2007" s="1230"/>
      <c r="W2007" s="1230"/>
      <c r="X2007" s="1230"/>
      <c r="Y2007" s="1230"/>
    </row>
    <row r="2008" customFormat="false" ht="15.75" hidden="true" customHeight="true" outlineLevel="1" collapsed="false">
      <c r="A2008" s="1751" t="str">
        <f aca="false">A1809</f>
        <v>Командировочные расходы</v>
      </c>
      <c r="B2008" s="1527" t="str">
        <f aca="false">B1809</f>
        <v>рублей</v>
      </c>
      <c r="C2008" s="1751" t="n">
        <f aca="false">C1809</f>
        <v>1</v>
      </c>
      <c r="D2008" s="1751" t="n">
        <f aca="false">D1809</f>
        <v>0</v>
      </c>
      <c r="E2008" s="1751" t="n">
        <f aca="false">E1809</f>
        <v>0</v>
      </c>
      <c r="F2008" s="1230"/>
      <c r="G2008" s="1290"/>
      <c r="H2008" s="1290"/>
      <c r="I2008" s="1611"/>
      <c r="J2008" s="1290"/>
      <c r="K2008" s="1290"/>
      <c r="L2008" s="1290"/>
      <c r="M2008" s="1290"/>
      <c r="N2008" s="1290"/>
      <c r="O2008" s="1290"/>
      <c r="P2008" s="1230"/>
      <c r="Q2008" s="1230"/>
      <c r="R2008" s="1230"/>
      <c r="S2008" s="1230"/>
      <c r="T2008" s="1230"/>
      <c r="U2008" s="1230"/>
      <c r="V2008" s="1230"/>
      <c r="W2008" s="1230"/>
      <c r="X2008" s="1230"/>
      <c r="Y2008" s="1230"/>
    </row>
    <row r="2009" customFormat="false" ht="15.75" hidden="true" customHeight="true" outlineLevel="1" collapsed="false">
      <c r="A2009" s="1751" t="str">
        <f aca="false">A1963</f>
        <v>расходные материалы дома из леса</v>
      </c>
      <c r="B2009" s="1527" t="str">
        <f aca="false">B1963</f>
        <v>шт</v>
      </c>
      <c r="C2009" s="1611" t="n">
        <f aca="false">C1963</f>
        <v>1</v>
      </c>
      <c r="D2009" s="1611" t="n">
        <f aca="false">D1963</f>
        <v>3000</v>
      </c>
      <c r="E2009" s="1611" t="n">
        <f aca="false">C2009*D2009</f>
        <v>3000</v>
      </c>
      <c r="F2009" s="1230"/>
      <c r="G2009" s="1751"/>
      <c r="H2009" s="1751"/>
      <c r="I2009" s="1611"/>
      <c r="J2009" s="1290"/>
      <c r="K2009" s="1290"/>
      <c r="L2009" s="1290"/>
      <c r="M2009" s="1290"/>
      <c r="N2009" s="1290"/>
      <c r="O2009" s="1290"/>
      <c r="P2009" s="1230"/>
      <c r="Q2009" s="1230"/>
      <c r="R2009" s="1230"/>
      <c r="S2009" s="1230"/>
      <c r="T2009" s="1230"/>
      <c r="U2009" s="1230"/>
      <c r="V2009" s="1230"/>
      <c r="W2009" s="1230"/>
      <c r="X2009" s="1230"/>
      <c r="Y2009" s="1230"/>
    </row>
    <row r="2010" customFormat="false" ht="15.75" hidden="true" customHeight="true" outlineLevel="1" collapsed="false">
      <c r="A2010" s="1751" t="str">
        <f aca="false">A1964</f>
        <v>Нет техники</v>
      </c>
      <c r="B2010" s="1527" t="str">
        <f aca="false">B1964</f>
        <v>шт</v>
      </c>
      <c r="C2010" s="1611" t="n">
        <f aca="false">C1964</f>
        <v>6</v>
      </c>
      <c r="D2010" s="1611" t="n">
        <f aca="false">D1964</f>
        <v>0</v>
      </c>
      <c r="E2010" s="1611" t="n">
        <f aca="false">C2010*D2010</f>
        <v>0</v>
      </c>
      <c r="F2010" s="1230"/>
      <c r="G2010" s="1751"/>
      <c r="H2010" s="1751"/>
      <c r="I2010" s="1611"/>
      <c r="J2010" s="1290"/>
      <c r="K2010" s="1290"/>
      <c r="L2010" s="1290"/>
      <c r="M2010" s="1290"/>
      <c r="N2010" s="1290"/>
      <c r="O2010" s="1290"/>
      <c r="P2010" s="1230"/>
      <c r="Q2010" s="1230"/>
      <c r="R2010" s="1230"/>
      <c r="S2010" s="1230"/>
      <c r="T2010" s="1230"/>
      <c r="U2010" s="1230"/>
      <c r="V2010" s="1230"/>
      <c r="W2010" s="1230"/>
      <c r="X2010" s="1230"/>
      <c r="Y2010" s="1230"/>
    </row>
    <row r="2011" customFormat="false" ht="15.75" hidden="true" customHeight="true" outlineLevel="1" collapsed="false">
      <c r="A2011" s="1751" t="str">
        <f aca="false">A1965</f>
        <v>Нет техники</v>
      </c>
      <c r="B2011" s="1527" t="str">
        <f aca="false">B1965</f>
        <v>шт</v>
      </c>
      <c r="C2011" s="1611" t="n">
        <f aca="false">C1965</f>
        <v>0</v>
      </c>
      <c r="D2011" s="1611" t="n">
        <f aca="false">D1965</f>
        <v>0</v>
      </c>
      <c r="E2011" s="1611" t="n">
        <f aca="false">C2011*D2011</f>
        <v>0</v>
      </c>
      <c r="F2011" s="1230"/>
      <c r="G2011" s="1751"/>
      <c r="H2011" s="1751"/>
      <c r="I2011" s="1611"/>
      <c r="J2011" s="1290"/>
      <c r="K2011" s="1290"/>
      <c r="L2011" s="1290"/>
      <c r="M2011" s="1290"/>
      <c r="N2011" s="1290"/>
      <c r="O2011" s="1290"/>
      <c r="P2011" s="1230"/>
      <c r="Q2011" s="1230"/>
      <c r="R2011" s="1230"/>
      <c r="S2011" s="1230"/>
      <c r="T2011" s="1230"/>
      <c r="U2011" s="1230"/>
      <c r="V2011" s="1230"/>
      <c r="W2011" s="1230"/>
      <c r="X2011" s="1230"/>
      <c r="Y2011" s="1230"/>
    </row>
    <row r="2012" customFormat="false" ht="15.75" hidden="true" customHeight="true" outlineLevel="1" collapsed="false">
      <c r="A2012" s="1769"/>
      <c r="B2012" s="1719"/>
      <c r="C2012" s="1719"/>
      <c r="D2012" s="1719"/>
      <c r="E2012" s="1611" t="n">
        <f aca="false">SUM(E1985:E2011)</f>
        <v>275660.86934</v>
      </c>
      <c r="F2012" s="1230"/>
      <c r="G2012" s="1230"/>
      <c r="H2012" s="1230"/>
      <c r="I2012" s="1770"/>
      <c r="J2012" s="1230"/>
      <c r="K2012" s="1230"/>
      <c r="L2012" s="1230"/>
      <c r="M2012" s="1230"/>
      <c r="N2012" s="1230"/>
      <c r="O2012" s="1290" t="n">
        <f aca="false">SUM(O1985:O2011)</f>
        <v>171713.088</v>
      </c>
      <c r="P2012" s="1230"/>
      <c r="Q2012" s="1230"/>
      <c r="R2012" s="1230"/>
      <c r="S2012" s="1230"/>
      <c r="T2012" s="1230"/>
      <c r="U2012" s="1230"/>
      <c r="V2012" s="1230"/>
      <c r="W2012" s="1230"/>
      <c r="X2012" s="1230"/>
      <c r="Y2012" s="1230"/>
    </row>
    <row r="2013" customFormat="false" ht="15.75" hidden="true" customHeight="true" outlineLevel="1" collapsed="false">
      <c r="A2013" s="1751" t="s">
        <v>3660</v>
      </c>
      <c r="B2013" s="1527" t="n">
        <f aca="false">E2012</f>
        <v>275660.86934</v>
      </c>
      <c r="C2013" s="1771"/>
      <c r="D2013" s="1230"/>
      <c r="E2013" s="1230"/>
      <c r="F2013" s="1230"/>
      <c r="G2013" s="1230"/>
      <c r="H2013" s="1230"/>
      <c r="I2013" s="1770"/>
      <c r="J2013" s="1230"/>
      <c r="K2013" s="1230"/>
      <c r="L2013" s="1230"/>
      <c r="M2013" s="1230"/>
      <c r="N2013" s="1230"/>
      <c r="O2013" s="1230"/>
      <c r="P2013" s="1230"/>
      <c r="Q2013" s="1230"/>
      <c r="R2013" s="1230"/>
      <c r="S2013" s="1230"/>
      <c r="T2013" s="1230"/>
      <c r="U2013" s="1230"/>
      <c r="V2013" s="1230"/>
      <c r="W2013" s="1230"/>
      <c r="X2013" s="1230"/>
      <c r="Y2013" s="1230"/>
    </row>
    <row r="2014" customFormat="false" ht="15.75" hidden="true" customHeight="true" outlineLevel="1" collapsed="false">
      <c r="A2014" s="1751" t="s">
        <v>3661</v>
      </c>
      <c r="B2014" s="1527" t="n">
        <f aca="false">O2012</f>
        <v>171713.088</v>
      </c>
      <c r="C2014" s="1771"/>
      <c r="D2014" s="1230"/>
      <c r="E2014" s="1230"/>
      <c r="F2014" s="1230"/>
      <c r="G2014" s="1230"/>
      <c r="H2014" s="1230"/>
      <c r="I2014" s="1770"/>
      <c r="J2014" s="1230"/>
      <c r="K2014" s="1230"/>
      <c r="L2014" s="1230"/>
      <c r="M2014" s="1230"/>
      <c r="N2014" s="1230"/>
      <c r="O2014" s="1230"/>
      <c r="P2014" s="1230"/>
      <c r="Q2014" s="1230"/>
      <c r="R2014" s="1230"/>
      <c r="S2014" s="1230"/>
      <c r="T2014" s="1230"/>
      <c r="U2014" s="1230"/>
      <c r="V2014" s="1230"/>
      <c r="W2014" s="1230"/>
      <c r="X2014" s="1230"/>
      <c r="Y2014" s="1230"/>
    </row>
    <row r="2015" customFormat="false" ht="15.75" hidden="true" customHeight="true" outlineLevel="1" collapsed="false">
      <c r="A2015" s="1290" t="s">
        <v>2728</v>
      </c>
      <c r="B2015" s="1527" t="n">
        <f aca="false">SUM(B2013:B2014)</f>
        <v>447373.95734</v>
      </c>
      <c r="C2015" s="1771"/>
      <c r="D2015" s="1230"/>
      <c r="E2015" s="1230"/>
      <c r="F2015" s="1230"/>
      <c r="G2015" s="1230"/>
      <c r="H2015" s="1230"/>
      <c r="I2015" s="1770"/>
      <c r="J2015" s="1230"/>
      <c r="K2015" s="1230"/>
      <c r="L2015" s="1230"/>
      <c r="M2015" s="1230"/>
      <c r="N2015" s="1230"/>
      <c r="O2015" s="1230"/>
      <c r="P2015" s="1230"/>
      <c r="Q2015" s="1230"/>
      <c r="R2015" s="1230"/>
      <c r="S2015" s="1230"/>
      <c r="T2015" s="1230"/>
      <c r="U2015" s="1230"/>
      <c r="V2015" s="1230"/>
      <c r="W2015" s="1230"/>
      <c r="X2015" s="1230"/>
      <c r="Y2015" s="1230"/>
    </row>
    <row r="2016" customFormat="false" ht="15.75" hidden="false" customHeight="true" outlineLevel="0" collapsed="false">
      <c r="A2016" s="1230" t="s">
        <v>3811</v>
      </c>
      <c r="B2016" s="1771"/>
      <c r="C2016" s="1771"/>
      <c r="D2016" s="1230"/>
      <c r="E2016" s="1230"/>
      <c r="F2016" s="1230"/>
      <c r="G2016" s="1230"/>
      <c r="H2016" s="1230"/>
      <c r="I2016" s="1770"/>
      <c r="J2016" s="1230"/>
      <c r="K2016" s="1230"/>
      <c r="L2016" s="1230"/>
      <c r="M2016" s="1230"/>
      <c r="N2016" s="1230"/>
      <c r="O2016" s="1230"/>
      <c r="P2016" s="1230"/>
      <c r="Q2016" s="1230"/>
      <c r="R2016" s="1230"/>
      <c r="S2016" s="1230"/>
      <c r="T2016" s="1230"/>
      <c r="U2016" s="1230"/>
      <c r="V2016" s="1230"/>
      <c r="W2016" s="1230"/>
      <c r="X2016" s="1230"/>
      <c r="Y2016" s="1230"/>
    </row>
    <row r="2017" customFormat="false" ht="15.75" hidden="false" customHeight="true" outlineLevel="0" collapsed="false">
      <c r="A2017" s="1311"/>
      <c r="B2017" s="1771"/>
      <c r="C2017" s="1771"/>
      <c r="D2017" s="1230"/>
      <c r="E2017" s="1230"/>
      <c r="F2017" s="1230"/>
      <c r="G2017" s="1230"/>
      <c r="H2017" s="1230"/>
      <c r="I2017" s="1770"/>
      <c r="J2017" s="1230"/>
      <c r="K2017" s="1230"/>
      <c r="L2017" s="1230"/>
      <c r="M2017" s="1230"/>
      <c r="N2017" s="1230"/>
      <c r="O2017" s="1230"/>
      <c r="P2017" s="1230"/>
      <c r="Q2017" s="1230"/>
      <c r="R2017" s="1230"/>
      <c r="S2017" s="1230"/>
      <c r="T2017" s="1230"/>
      <c r="U2017" s="1230"/>
      <c r="V2017" s="1230"/>
      <c r="W2017" s="1230"/>
      <c r="X2017" s="1230"/>
      <c r="Y2017" s="1230"/>
    </row>
    <row r="2018" customFormat="false" ht="15.75" hidden="false" customHeight="true" outlineLevel="0" collapsed="false">
      <c r="A2018" s="1230"/>
      <c r="B2018" s="1771"/>
      <c r="C2018" s="1771"/>
      <c r="D2018" s="1230"/>
      <c r="E2018" s="1230"/>
      <c r="F2018" s="1230"/>
      <c r="G2018" s="1230"/>
      <c r="H2018" s="1230"/>
      <c r="I2018" s="1770"/>
      <c r="J2018" s="1230"/>
      <c r="K2018" s="1230"/>
      <c r="L2018" s="1230"/>
      <c r="M2018" s="1230"/>
      <c r="N2018" s="1230"/>
      <c r="O2018" s="1230"/>
      <c r="P2018" s="1230"/>
      <c r="Q2018" s="1230"/>
      <c r="R2018" s="1230"/>
      <c r="S2018" s="1230"/>
      <c r="T2018" s="1230"/>
      <c r="U2018" s="1230"/>
      <c r="V2018" s="1230"/>
      <c r="W2018" s="1230"/>
      <c r="X2018" s="1230"/>
      <c r="Y2018" s="1230"/>
    </row>
    <row r="2019" customFormat="false" ht="15.75" hidden="false" customHeight="true" outlineLevel="1" collapsed="false">
      <c r="A2019" s="1922" t="s">
        <v>3812</v>
      </c>
      <c r="B2019" s="1923" t="s">
        <v>120</v>
      </c>
      <c r="C2019" s="1555" t="s">
        <v>1753</v>
      </c>
      <c r="D2019" s="939" t="n">
        <f aca="false">VLOOKUP('Ввод данных'!F617,связи1!A2:B3,2,0)</f>
        <v>0</v>
      </c>
      <c r="E2019" s="1193" t="s">
        <v>3813</v>
      </c>
      <c r="F2019" s="1193"/>
      <c r="G2019" s="1230"/>
      <c r="H2019" s="1230"/>
      <c r="I2019" s="1770"/>
      <c r="J2019" s="1230"/>
      <c r="K2019" s="1230"/>
      <c r="L2019" s="1230"/>
      <c r="M2019" s="1230"/>
      <c r="N2019" s="1230"/>
      <c r="O2019" s="1230"/>
      <c r="P2019" s="1230"/>
      <c r="Q2019" s="1230"/>
      <c r="R2019" s="1230"/>
      <c r="S2019" s="1230"/>
      <c r="T2019" s="1230"/>
      <c r="U2019" s="1230"/>
      <c r="V2019" s="1230"/>
      <c r="W2019" s="1230"/>
      <c r="X2019" s="1230"/>
      <c r="Y2019" s="1230"/>
    </row>
    <row r="2020" customFormat="false" ht="15.75" hidden="false" customHeight="true" outlineLevel="1" collapsed="false">
      <c r="A2020" s="1023" t="s">
        <v>2002</v>
      </c>
      <c r="B2020" s="1190" t="s">
        <v>159</v>
      </c>
      <c r="C2020" s="1924" t="n">
        <v>1</v>
      </c>
      <c r="D2020" s="387"/>
      <c r="E2020" s="1193"/>
      <c r="F2020" s="1193"/>
      <c r="G2020" s="1230"/>
      <c r="H2020" s="1230"/>
      <c r="I2020" s="1770"/>
      <c r="J2020" s="1230"/>
      <c r="K2020" s="1230"/>
      <c r="L2020" s="1230"/>
      <c r="M2020" s="1230"/>
      <c r="N2020" s="1230"/>
      <c r="O2020" s="1230"/>
      <c r="P2020" s="1230"/>
      <c r="Q2020" s="1230"/>
      <c r="R2020" s="1230"/>
      <c r="S2020" s="1230"/>
      <c r="T2020" s="1230"/>
      <c r="U2020" s="1230"/>
      <c r="V2020" s="1230"/>
      <c r="W2020" s="1230"/>
      <c r="X2020" s="1230"/>
      <c r="Y2020" s="1230"/>
    </row>
    <row r="2021" customFormat="false" ht="15.75" hidden="false" customHeight="true" outlineLevel="1" collapsed="false">
      <c r="A2021" s="1023" t="s">
        <v>3814</v>
      </c>
      <c r="B2021" s="1190" t="s">
        <v>159</v>
      </c>
      <c r="C2021" s="1924" t="n">
        <f aca="false">IF('Ввод данных'!C521=2,1,0)</f>
        <v>0</v>
      </c>
      <c r="D2021" s="387"/>
      <c r="E2021" s="1193"/>
      <c r="F2021" s="1193"/>
      <c r="G2021" s="1230"/>
      <c r="H2021" s="1230"/>
      <c r="I2021" s="1770"/>
      <c r="J2021" s="1230"/>
      <c r="K2021" s="1230"/>
      <c r="L2021" s="1230"/>
      <c r="M2021" s="1230"/>
      <c r="N2021" s="1230"/>
      <c r="O2021" s="1230"/>
      <c r="P2021" s="1230"/>
      <c r="Q2021" s="1230"/>
      <c r="R2021" s="1230"/>
      <c r="S2021" s="1230"/>
      <c r="T2021" s="1230"/>
      <c r="U2021" s="1230"/>
      <c r="V2021" s="1230"/>
      <c r="W2021" s="1230"/>
      <c r="X2021" s="1230"/>
      <c r="Y2021" s="1230"/>
    </row>
    <row r="2022" customFormat="false" ht="15.75" hidden="false" customHeight="true" outlineLevel="1" collapsed="false">
      <c r="A2022" s="1248" t="s">
        <v>1236</v>
      </c>
      <c r="B2022" s="1247" t="s">
        <v>120</v>
      </c>
      <c r="C2022" s="1247" t="s">
        <v>1800</v>
      </c>
      <c r="D2022" s="1248" t="s">
        <v>293</v>
      </c>
      <c r="E2022" s="952"/>
      <c r="F2022" s="952"/>
      <c r="G2022" s="1230"/>
      <c r="H2022" s="1230"/>
      <c r="I2022" s="1770"/>
      <c r="J2022" s="1230"/>
      <c r="K2022" s="1230"/>
      <c r="L2022" s="1230"/>
      <c r="M2022" s="1230"/>
      <c r="N2022" s="1230"/>
      <c r="O2022" s="1230"/>
      <c r="P2022" s="1230"/>
      <c r="Q2022" s="1230"/>
      <c r="R2022" s="1230"/>
      <c r="S2022" s="1230"/>
      <c r="T2022" s="1230"/>
      <c r="U2022" s="1230"/>
      <c r="V2022" s="1230"/>
      <c r="W2022" s="1230"/>
      <c r="X2022" s="1230"/>
      <c r="Y2022" s="1230"/>
    </row>
    <row r="2023" customFormat="false" ht="15.75" hidden="false" customHeight="true" outlineLevel="1" collapsed="false">
      <c r="A2023" s="1023" t="s">
        <v>2001</v>
      </c>
      <c r="B2023" s="1190" t="s">
        <v>159</v>
      </c>
      <c r="C2023" s="1190"/>
      <c r="D2023" s="939"/>
      <c r="E2023" s="1924" t="n">
        <f aca="false">C2020</f>
        <v>1</v>
      </c>
      <c r="F2023" s="1193" t="s">
        <v>3521</v>
      </c>
      <c r="G2023" s="1230"/>
      <c r="H2023" s="1230"/>
      <c r="I2023" s="1770"/>
      <c r="J2023" s="1230"/>
      <c r="K2023" s="1230"/>
      <c r="L2023" s="1230"/>
      <c r="M2023" s="1230"/>
      <c r="N2023" s="1230"/>
      <c r="O2023" s="1230"/>
      <c r="P2023" s="1230"/>
      <c r="Q2023" s="1230"/>
      <c r="R2023" s="1230"/>
      <c r="S2023" s="1230"/>
      <c r="T2023" s="1230"/>
      <c r="U2023" s="1230"/>
      <c r="V2023" s="1230"/>
      <c r="W2023" s="1230"/>
      <c r="X2023" s="1230"/>
      <c r="Y2023" s="1230"/>
    </row>
    <row r="2024" customFormat="false" ht="15.75" hidden="false" customHeight="true" outlineLevel="1" collapsed="false">
      <c r="A2024" s="1023" t="s">
        <v>2557</v>
      </c>
      <c r="B2024" s="1190" t="s">
        <v>159</v>
      </c>
      <c r="C2024" s="1190"/>
      <c r="D2024" s="939"/>
      <c r="E2024" s="1924" t="n">
        <f aca="false">C2020</f>
        <v>1</v>
      </c>
      <c r="F2024" s="1193" t="s">
        <v>3522</v>
      </c>
      <c r="G2024" s="1230"/>
      <c r="H2024" s="1230"/>
      <c r="I2024" s="1770"/>
      <c r="J2024" s="1230"/>
      <c r="K2024" s="1230"/>
      <c r="L2024" s="1230"/>
      <c r="M2024" s="1230"/>
      <c r="N2024" s="1230"/>
      <c r="O2024" s="1230"/>
      <c r="P2024" s="1230"/>
      <c r="Q2024" s="1230"/>
      <c r="R2024" s="1230"/>
      <c r="S2024" s="1230"/>
      <c r="T2024" s="1230"/>
      <c r="U2024" s="1230"/>
      <c r="V2024" s="1230"/>
      <c r="W2024" s="1230"/>
      <c r="X2024" s="1230"/>
      <c r="Y2024" s="1230"/>
    </row>
    <row r="2025" customFormat="false" ht="15.75" hidden="false" customHeight="true" outlineLevel="1" collapsed="false">
      <c r="A2025" s="1023" t="s">
        <v>2558</v>
      </c>
      <c r="B2025" s="1190" t="s">
        <v>159</v>
      </c>
      <c r="C2025" s="1190"/>
      <c r="D2025" s="939"/>
      <c r="E2025" s="1222" t="n">
        <f aca="false">C2021</f>
        <v>0</v>
      </c>
      <c r="F2025" s="1193" t="s">
        <v>3523</v>
      </c>
      <c r="G2025" s="1230"/>
      <c r="H2025" s="1230"/>
      <c r="I2025" s="1770"/>
      <c r="J2025" s="1230"/>
      <c r="K2025" s="1230"/>
      <c r="L2025" s="1230"/>
      <c r="M2025" s="1230"/>
      <c r="N2025" s="1230"/>
      <c r="O2025" s="1230"/>
      <c r="P2025" s="1230"/>
      <c r="Q2025" s="1230"/>
      <c r="R2025" s="1230"/>
      <c r="S2025" s="1230"/>
      <c r="T2025" s="1230"/>
      <c r="U2025" s="1230"/>
      <c r="V2025" s="1230"/>
      <c r="W2025" s="1230"/>
      <c r="X2025" s="1230"/>
      <c r="Y2025" s="1230"/>
    </row>
    <row r="2026" customFormat="false" ht="15.75" hidden="false" customHeight="true" outlineLevel="1" collapsed="false">
      <c r="A2026" s="1177" t="s">
        <v>2091</v>
      </c>
      <c r="B2026" s="1178" t="s">
        <v>156</v>
      </c>
      <c r="C2026" s="1526" t="n">
        <f aca="false">'Ввод данных'!C522</f>
        <v>3</v>
      </c>
      <c r="D2026" s="1561"/>
      <c r="E2026" s="1193"/>
      <c r="F2026" s="1193"/>
      <c r="G2026" s="1230"/>
      <c r="H2026" s="1230"/>
      <c r="I2026" s="1770"/>
      <c r="J2026" s="1230"/>
      <c r="K2026" s="1230"/>
      <c r="L2026" s="1230"/>
      <c r="M2026" s="1230"/>
      <c r="N2026" s="1230"/>
      <c r="O2026" s="1230"/>
      <c r="P2026" s="1230"/>
      <c r="Q2026" s="1230"/>
      <c r="R2026" s="1230"/>
      <c r="S2026" s="1230"/>
      <c r="T2026" s="1230"/>
      <c r="U2026" s="1230"/>
      <c r="V2026" s="1230"/>
      <c r="W2026" s="1230"/>
      <c r="X2026" s="1230"/>
      <c r="Y2026" s="1230"/>
    </row>
    <row r="2027" customFormat="false" ht="15.75" hidden="false" customHeight="true" outlineLevel="1" collapsed="false">
      <c r="A2027" s="1177" t="s">
        <v>2092</v>
      </c>
      <c r="B2027" s="1178" t="s">
        <v>156</v>
      </c>
      <c r="C2027" s="1526" t="n">
        <f aca="false">'Ввод данных'!C523</f>
        <v>3</v>
      </c>
      <c r="D2027" s="1561" t="n">
        <f aca="false">C2026+C2027+C2027</f>
        <v>9</v>
      </c>
      <c r="E2027" s="1193" t="s">
        <v>2572</v>
      </c>
      <c r="F2027" s="1193"/>
      <c r="G2027" s="1230"/>
      <c r="H2027" s="1230"/>
      <c r="I2027" s="1770"/>
      <c r="J2027" s="1230"/>
      <c r="K2027" s="1230"/>
      <c r="L2027" s="1230"/>
      <c r="M2027" s="1230"/>
      <c r="N2027" s="1230"/>
      <c r="O2027" s="1230"/>
      <c r="P2027" s="1230"/>
      <c r="Q2027" s="1230"/>
      <c r="R2027" s="1230"/>
      <c r="S2027" s="1230"/>
      <c r="T2027" s="1230"/>
      <c r="U2027" s="1230"/>
      <c r="V2027" s="1230"/>
      <c r="W2027" s="1230"/>
      <c r="X2027" s="1230"/>
      <c r="Y2027" s="1230"/>
    </row>
    <row r="2028" customFormat="false" ht="15.75" hidden="false" customHeight="true" outlineLevel="1" collapsed="false">
      <c r="A2028" s="1177" t="s">
        <v>3815</v>
      </c>
      <c r="B2028" s="1178" t="s">
        <v>156</v>
      </c>
      <c r="C2028" s="1526" t="n">
        <f aca="false">'Ввод данных'!C524</f>
        <v>2.7</v>
      </c>
      <c r="D2028" s="353"/>
      <c r="E2028" s="1193"/>
      <c r="F2028" s="1193"/>
      <c r="G2028" s="1230"/>
      <c r="H2028" s="1230"/>
      <c r="I2028" s="1770"/>
      <c r="J2028" s="1230"/>
      <c r="K2028" s="1230"/>
      <c r="L2028" s="1230"/>
      <c r="M2028" s="1230"/>
      <c r="N2028" s="1230"/>
      <c r="O2028" s="1230"/>
      <c r="P2028" s="1230"/>
      <c r="Q2028" s="1230"/>
      <c r="R2028" s="1230"/>
      <c r="S2028" s="1230"/>
      <c r="T2028" s="1230"/>
      <c r="U2028" s="1230"/>
      <c r="V2028" s="1230"/>
      <c r="W2028" s="1230"/>
      <c r="X2028" s="1230"/>
      <c r="Y2028" s="1230"/>
    </row>
    <row r="2029" customFormat="false" ht="15.75" hidden="false" customHeight="true" outlineLevel="1" collapsed="false">
      <c r="A2029" s="1925" t="s">
        <v>3816</v>
      </c>
      <c r="B2029" s="1926" t="s">
        <v>156</v>
      </c>
      <c r="C2029" s="1927" t="n">
        <f aca="false">'Ввод данных'!C525</f>
        <v>2.7</v>
      </c>
      <c r="D2029" s="353"/>
      <c r="E2029" s="1193"/>
      <c r="F2029" s="1193"/>
      <c r="G2029" s="1230"/>
      <c r="H2029" s="1230"/>
      <c r="I2029" s="1770"/>
      <c r="J2029" s="1230"/>
      <c r="K2029" s="1230"/>
      <c r="L2029" s="1230"/>
      <c r="M2029" s="1230"/>
      <c r="N2029" s="1230"/>
      <c r="O2029" s="1230"/>
      <c r="P2029" s="1230"/>
      <c r="Q2029" s="1230"/>
      <c r="R2029" s="1230"/>
      <c r="S2029" s="1230"/>
      <c r="T2029" s="1230"/>
      <c r="U2029" s="1230"/>
      <c r="V2029" s="1230"/>
      <c r="W2029" s="1230"/>
      <c r="X2029" s="1230"/>
      <c r="Y2029" s="1230"/>
    </row>
    <row r="2030" customFormat="false" ht="15.75" hidden="false" customHeight="true" outlineLevel="1" collapsed="false">
      <c r="A2030" s="1925" t="str">
        <f aca="false">'Ввод данных'!A526</f>
        <v>высота от перекрытия 0 этажа до конька, Е</v>
      </c>
      <c r="B2030" s="1926" t="str">
        <f aca="false">'Ввод данных'!B526</f>
        <v>м.п.</v>
      </c>
      <c r="C2030" s="1925" t="n">
        <f aca="false">'Ввод данных'!C526</f>
        <v>4.5</v>
      </c>
      <c r="D2030" s="353"/>
      <c r="E2030" s="1193"/>
      <c r="F2030" s="1193"/>
      <c r="G2030" s="1230"/>
      <c r="H2030" s="1230"/>
      <c r="I2030" s="1770"/>
      <c r="J2030" s="1230"/>
      <c r="K2030" s="1230"/>
      <c r="L2030" s="1230"/>
      <c r="M2030" s="1230"/>
      <c r="N2030" s="1230"/>
      <c r="O2030" s="1230"/>
      <c r="P2030" s="1230"/>
      <c r="Q2030" s="1230"/>
      <c r="R2030" s="1230"/>
      <c r="S2030" s="1230"/>
      <c r="T2030" s="1230"/>
      <c r="U2030" s="1230"/>
      <c r="V2030" s="1230"/>
      <c r="W2030" s="1230"/>
      <c r="X2030" s="1230"/>
      <c r="Y2030" s="1230"/>
    </row>
    <row r="2031" customFormat="false" ht="15.75" hidden="false" customHeight="true" outlineLevel="1" collapsed="false">
      <c r="A2031" s="1925" t="str">
        <f aca="false">'Ввод данных'!A557</f>
        <v>Выпуск кровли карниз</v>
      </c>
      <c r="B2031" s="1926" t="str">
        <f aca="false">'Ввод данных'!B557</f>
        <v>м.п.</v>
      </c>
      <c r="C2031" s="1925" t="n">
        <f aca="false">'Ввод данных'!C557</f>
        <v>0.5</v>
      </c>
      <c r="D2031" s="353"/>
      <c r="E2031" s="1193"/>
      <c r="F2031" s="1193"/>
      <c r="G2031" s="1230"/>
      <c r="H2031" s="1230"/>
      <c r="I2031" s="1770"/>
      <c r="J2031" s="1230"/>
      <c r="K2031" s="1230"/>
      <c r="L2031" s="1230"/>
      <c r="M2031" s="1230"/>
      <c r="N2031" s="1230"/>
      <c r="O2031" s="1230"/>
      <c r="P2031" s="1230"/>
      <c r="Q2031" s="1230"/>
      <c r="R2031" s="1230"/>
      <c r="S2031" s="1230"/>
      <c r="T2031" s="1230"/>
      <c r="U2031" s="1230"/>
      <c r="V2031" s="1230"/>
      <c r="W2031" s="1230"/>
      <c r="X2031" s="1230"/>
      <c r="Y2031" s="1230"/>
    </row>
    <row r="2032" customFormat="false" ht="15.75" hidden="false" customHeight="true" outlineLevel="1" collapsed="false">
      <c r="A2032" s="1925" t="str">
        <f aca="false">'Ввод данных'!A558</f>
        <v>Выпуск кровли фронтон</v>
      </c>
      <c r="B2032" s="1926" t="str">
        <f aca="false">'Ввод данных'!B558</f>
        <v>м.п.</v>
      </c>
      <c r="C2032" s="1925" t="n">
        <f aca="false">'Ввод данных'!C558</f>
        <v>0.8</v>
      </c>
      <c r="D2032" s="353"/>
      <c r="E2032" s="1193"/>
      <c r="F2032" s="1193"/>
      <c r="G2032" s="1230"/>
      <c r="H2032" s="1230"/>
      <c r="I2032" s="1770"/>
      <c r="J2032" s="1230"/>
      <c r="K2032" s="1230"/>
      <c r="L2032" s="1230"/>
      <c r="M2032" s="1230"/>
      <c r="N2032" s="1230"/>
      <c r="O2032" s="1230"/>
      <c r="P2032" s="1230"/>
      <c r="Q2032" s="1230"/>
      <c r="R2032" s="1230"/>
      <c r="S2032" s="1230"/>
      <c r="T2032" s="1230"/>
      <c r="U2032" s="1230"/>
      <c r="V2032" s="1230"/>
      <c r="W2032" s="1230"/>
      <c r="X2032" s="1230"/>
      <c r="Y2032" s="1230"/>
    </row>
    <row r="2033" customFormat="false" ht="15.75" hidden="false" customHeight="true" outlineLevel="1" collapsed="false">
      <c r="A2033" s="1925" t="s">
        <v>1988</v>
      </c>
      <c r="B2033" s="1926"/>
      <c r="C2033" s="1925"/>
      <c r="D2033" s="353"/>
      <c r="E2033" s="1193"/>
      <c r="F2033" s="1193"/>
      <c r="G2033" s="1230"/>
      <c r="H2033" s="1230"/>
      <c r="I2033" s="1770"/>
      <c r="J2033" s="1230"/>
      <c r="K2033" s="1230"/>
      <c r="L2033" s="1230"/>
      <c r="M2033" s="1230"/>
      <c r="N2033" s="1230"/>
      <c r="O2033" s="1230"/>
      <c r="P2033" s="1230"/>
      <c r="Q2033" s="1230"/>
      <c r="R2033" s="1230"/>
      <c r="S2033" s="1230"/>
      <c r="T2033" s="1230"/>
      <c r="U2033" s="1230"/>
      <c r="V2033" s="1230"/>
      <c r="W2033" s="1230"/>
      <c r="X2033" s="1230"/>
      <c r="Y2033" s="1230"/>
    </row>
    <row r="2034" customFormat="false" ht="15.75" hidden="false" customHeight="true" outlineLevel="1" collapsed="false">
      <c r="A2034" s="1925" t="s">
        <v>2133</v>
      </c>
      <c r="B2034" s="1926"/>
      <c r="C2034" s="1925"/>
      <c r="D2034" s="353"/>
      <c r="E2034" s="1193"/>
      <c r="F2034" s="1193"/>
      <c r="G2034" s="1230"/>
      <c r="H2034" s="1230"/>
      <c r="I2034" s="1770"/>
      <c r="J2034" s="1230"/>
      <c r="K2034" s="1230"/>
      <c r="L2034" s="1230"/>
      <c r="M2034" s="1230"/>
      <c r="N2034" s="1230"/>
      <c r="O2034" s="1230"/>
      <c r="P2034" s="1230"/>
      <c r="Q2034" s="1230"/>
      <c r="R2034" s="1230"/>
      <c r="S2034" s="1230"/>
      <c r="T2034" s="1230"/>
      <c r="U2034" s="1230"/>
      <c r="V2034" s="1230"/>
      <c r="W2034" s="1230"/>
      <c r="X2034" s="1230"/>
      <c r="Y2034" s="1230"/>
    </row>
    <row r="2035" customFormat="false" ht="15.75" hidden="false" customHeight="true" outlineLevel="1" collapsed="false">
      <c r="A2035" s="1925"/>
      <c r="B2035" s="1926"/>
      <c r="C2035" s="1925"/>
      <c r="D2035" s="353"/>
      <c r="E2035" s="1193"/>
      <c r="F2035" s="1193"/>
      <c r="G2035" s="1230"/>
      <c r="H2035" s="1230"/>
      <c r="I2035" s="1770"/>
      <c r="J2035" s="1230"/>
      <c r="K2035" s="1230"/>
      <c r="L2035" s="1230"/>
      <c r="M2035" s="1230"/>
      <c r="N2035" s="1230"/>
      <c r="O2035" s="1230"/>
      <c r="P2035" s="1230"/>
      <c r="Q2035" s="1230"/>
      <c r="R2035" s="1230"/>
      <c r="S2035" s="1230"/>
      <c r="T2035" s="1230"/>
      <c r="U2035" s="1230"/>
      <c r="V2035" s="1230"/>
      <c r="W2035" s="1230"/>
      <c r="X2035" s="1230"/>
      <c r="Y2035" s="1230"/>
    </row>
    <row r="2036" customFormat="false" ht="15.75" hidden="false" customHeight="true" outlineLevel="1" collapsed="false">
      <c r="A2036" s="1290" t="s">
        <v>2623</v>
      </c>
      <c r="B2036" s="1926"/>
      <c r="C2036" s="1925"/>
      <c r="D2036" s="353"/>
      <c r="E2036" s="1193"/>
      <c r="F2036" s="1193"/>
      <c r="G2036" s="1230"/>
      <c r="H2036" s="1230"/>
      <c r="I2036" s="1770"/>
      <c r="J2036" s="1230"/>
      <c r="K2036" s="1230"/>
      <c r="L2036" s="1230"/>
      <c r="M2036" s="1230"/>
      <c r="N2036" s="1230"/>
      <c r="O2036" s="1230"/>
      <c r="P2036" s="1230"/>
      <c r="Q2036" s="1230"/>
      <c r="R2036" s="1230"/>
      <c r="S2036" s="1230"/>
      <c r="T2036" s="1230"/>
      <c r="U2036" s="1230"/>
      <c r="V2036" s="1230"/>
      <c r="W2036" s="1230"/>
      <c r="X2036" s="1230"/>
      <c r="Y2036" s="1230"/>
    </row>
    <row r="2037" customFormat="false" ht="15.75" hidden="false" customHeight="true" outlineLevel="1" collapsed="false">
      <c r="A2037" s="1290" t="s">
        <v>1546</v>
      </c>
      <c r="B2037" s="1926"/>
      <c r="C2037" s="1925"/>
      <c r="D2037" s="353"/>
      <c r="E2037" s="1193"/>
      <c r="F2037" s="1193"/>
      <c r="G2037" s="1230"/>
      <c r="H2037" s="1230"/>
      <c r="I2037" s="1770"/>
      <c r="J2037" s="1230"/>
      <c r="K2037" s="1230"/>
      <c r="L2037" s="1230"/>
      <c r="M2037" s="1230"/>
      <c r="N2037" s="1230"/>
      <c r="O2037" s="1230"/>
      <c r="P2037" s="1230"/>
      <c r="Q2037" s="1230"/>
      <c r="R2037" s="1230"/>
      <c r="S2037" s="1230"/>
      <c r="T2037" s="1230"/>
      <c r="U2037" s="1230"/>
      <c r="V2037" s="1230"/>
      <c r="W2037" s="1230"/>
      <c r="X2037" s="1230"/>
      <c r="Y2037" s="1230"/>
    </row>
    <row r="2038" customFormat="false" ht="15.75" hidden="false" customHeight="true" outlineLevel="1" collapsed="false">
      <c r="A2038" s="1290" t="s">
        <v>3502</v>
      </c>
      <c r="B2038" s="1926"/>
      <c r="C2038" s="1925"/>
      <c r="D2038" s="353"/>
      <c r="E2038" s="1193"/>
      <c r="F2038" s="1193"/>
      <c r="G2038" s="1230"/>
      <c r="H2038" s="1230"/>
      <c r="I2038" s="1770"/>
      <c r="J2038" s="1230"/>
      <c r="K2038" s="1230"/>
      <c r="L2038" s="1230"/>
      <c r="M2038" s="1230"/>
      <c r="N2038" s="1230"/>
      <c r="O2038" s="1230"/>
      <c r="P2038" s="1230"/>
      <c r="Q2038" s="1230"/>
      <c r="R2038" s="1230"/>
      <c r="S2038" s="1230"/>
      <c r="T2038" s="1230"/>
      <c r="U2038" s="1230"/>
      <c r="V2038" s="1230"/>
      <c r="W2038" s="1230"/>
      <c r="X2038" s="1230"/>
      <c r="Y2038" s="1230"/>
    </row>
    <row r="2039" customFormat="false" ht="15.75" hidden="false" customHeight="true" outlineLevel="1" collapsed="false">
      <c r="A2039" s="1248" t="s">
        <v>1236</v>
      </c>
      <c r="B2039" s="1555" t="s">
        <v>120</v>
      </c>
      <c r="C2039" s="1527" t="s">
        <v>1800</v>
      </c>
      <c r="D2039" s="1290" t="s">
        <v>1800</v>
      </c>
      <c r="E2039" s="1230"/>
      <c r="F2039" s="1230"/>
      <c r="G2039" s="1230"/>
      <c r="H2039" s="1230"/>
      <c r="I2039" s="1770"/>
      <c r="J2039" s="1230"/>
      <c r="K2039" s="1230"/>
      <c r="L2039" s="1230"/>
      <c r="M2039" s="1230"/>
      <c r="N2039" s="1230"/>
      <c r="O2039" s="1230"/>
      <c r="P2039" s="1230"/>
      <c r="Q2039" s="1230"/>
      <c r="R2039" s="1230"/>
      <c r="S2039" s="1230"/>
      <c r="T2039" s="1230"/>
      <c r="U2039" s="1230"/>
      <c r="V2039" s="1230"/>
      <c r="W2039" s="1230"/>
      <c r="X2039" s="1230"/>
      <c r="Y2039" s="1230"/>
    </row>
    <row r="2040" customFormat="false" ht="15.75" hidden="false" customHeight="true" outlineLevel="1" collapsed="false">
      <c r="A2040" s="1230"/>
      <c r="B2040" s="1771"/>
      <c r="C2040" s="1771"/>
      <c r="D2040" s="1230" t="s">
        <v>1820</v>
      </c>
      <c r="E2040" s="1230" t="n">
        <f aca="false">VLOOKUP('Ввод данных'!D519,связи1!A2:B3,2,0)</f>
        <v>1</v>
      </c>
      <c r="F2040" s="1193"/>
      <c r="G2040" s="1230"/>
      <c r="H2040" s="1230"/>
      <c r="I2040" s="1770"/>
      <c r="J2040" s="1230"/>
      <c r="K2040" s="1230"/>
      <c r="L2040" s="1230"/>
      <c r="M2040" s="1230"/>
      <c r="N2040" s="1230"/>
      <c r="O2040" s="1230"/>
      <c r="P2040" s="1230"/>
      <c r="Q2040" s="1230"/>
      <c r="R2040" s="1230"/>
      <c r="S2040" s="1230"/>
      <c r="T2040" s="1230"/>
      <c r="U2040" s="1230"/>
      <c r="V2040" s="1230"/>
      <c r="W2040" s="1230"/>
      <c r="X2040" s="1230"/>
      <c r="Y2040" s="1230"/>
    </row>
    <row r="2041" customFormat="false" ht="15.75" hidden="false" customHeight="true" outlineLevel="1" collapsed="false">
      <c r="A2041" s="1909" t="s">
        <v>2720</v>
      </c>
      <c r="B2041" s="1910" t="s">
        <v>1094</v>
      </c>
      <c r="C2041" s="1910" t="s">
        <v>1802</v>
      </c>
      <c r="D2041" s="1910" t="s">
        <v>3764</v>
      </c>
      <c r="E2041" s="1911" t="s">
        <v>2722</v>
      </c>
      <c r="F2041" s="1230"/>
      <c r="G2041" s="1906" t="s">
        <v>1409</v>
      </c>
      <c r="H2041" s="1912"/>
      <c r="I2041" s="1913"/>
      <c r="J2041" s="1911" t="s">
        <v>1802</v>
      </c>
      <c r="K2041" s="1911" t="s">
        <v>2721</v>
      </c>
      <c r="L2041" s="1911" t="s">
        <v>2722</v>
      </c>
      <c r="M2041" s="1911"/>
      <c r="N2041" s="1911"/>
      <c r="P2041" s="1230"/>
      <c r="Q2041" s="1230"/>
      <c r="R2041" s="1230"/>
      <c r="S2041" s="1230"/>
      <c r="T2041" s="1230"/>
      <c r="U2041" s="1230"/>
      <c r="V2041" s="1230"/>
      <c r="W2041" s="1230"/>
      <c r="X2041" s="1230"/>
      <c r="Y2041" s="1230"/>
    </row>
    <row r="2042" customFormat="false" ht="15.75" hidden="false" customHeight="true" outlineLevel="1" collapsed="false">
      <c r="A2042" s="1928" t="str">
        <f aca="false">'Ввод данных'!A542</f>
        <v>Листв. влаж, 200*200мм</v>
      </c>
      <c r="B2042" s="1178" t="s">
        <v>135</v>
      </c>
      <c r="C2042" s="1178" t="n">
        <f aca="false">(C2026+C2027+C2027)*D2019*VLOOKUP(A2042,'Прайс лист'!B333:G419,5,0)</f>
        <v>0</v>
      </c>
      <c r="D2042" s="1178" t="n">
        <f aca="false">VLOOKUP(A2042,'Прайс лист'!B333:G419,6,0)</f>
        <v>9000</v>
      </c>
      <c r="E2042" s="1023" t="n">
        <f aca="false">C2042*D2042*$E$2040</f>
        <v>0</v>
      </c>
      <c r="F2042" s="1193"/>
      <c r="G2042" s="1290" t="s">
        <v>3817</v>
      </c>
      <c r="H2042" s="1290"/>
      <c r="I2042" s="1611"/>
      <c r="J2042" s="1290" t="n">
        <f aca="false">C2026*C2027*C2020+C2027*C2026*C2021</f>
        <v>9</v>
      </c>
      <c r="K2042" s="1290" t="n">
        <f aca="false">'Прайс лист'!G1879</f>
        <v>1500</v>
      </c>
      <c r="L2042" s="1290" t="n">
        <f aca="false">J2042*K2042*$E$2040</f>
        <v>13500</v>
      </c>
      <c r="M2042" s="1290"/>
      <c r="N2042" s="1290"/>
      <c r="P2042" s="1230"/>
      <c r="Q2042" s="1230"/>
      <c r="R2042" s="1230"/>
      <c r="S2042" s="1230"/>
      <c r="T2042" s="1230"/>
      <c r="U2042" s="1230"/>
      <c r="V2042" s="1230"/>
      <c r="W2042" s="1230"/>
      <c r="X2042" s="1230"/>
      <c r="Y2042" s="1230"/>
    </row>
    <row r="2043" customFormat="false" ht="15.75" hidden="false" customHeight="true" outlineLevel="1" collapsed="false">
      <c r="A2043" s="1150" t="str">
        <f aca="false">'Ввод данных'!A544</f>
        <v>Листв. влаж, 200*150мм</v>
      </c>
      <c r="B2043" s="887" t="s">
        <v>135</v>
      </c>
      <c r="C2043" s="933" t="n">
        <f aca="false">((C2026+C2027+C2027)*2*C2020+(C2026+C2027+C2027)*2*C2021)*VLOOKUP(A2043,'Прайс лист'!B333:G419,5,0)</f>
        <v>0.54</v>
      </c>
      <c r="D2043" s="933" t="n">
        <f aca="false">VLOOKUP(A2043,'Прайс лист'!B333:G419,6,0)</f>
        <v>8500</v>
      </c>
      <c r="E2043" s="1023" t="n">
        <f aca="false">C2043*D2043*$E$2040</f>
        <v>4590</v>
      </c>
      <c r="F2043" s="1193"/>
      <c r="G2043" s="1290" t="s">
        <v>3818</v>
      </c>
      <c r="H2043" s="1290"/>
      <c r="I2043" s="1611"/>
      <c r="J2043" s="1290" t="n">
        <f aca="false">J2042</f>
        <v>9</v>
      </c>
      <c r="K2043" s="1290" t="n">
        <f aca="false">'Прайс лист'!G1880</f>
        <v>300</v>
      </c>
      <c r="L2043" s="1290" t="n">
        <f aca="false">J2043*K2043*$E$2040</f>
        <v>2700</v>
      </c>
      <c r="M2043" s="1290"/>
      <c r="N2043" s="1290"/>
      <c r="P2043" s="1230"/>
      <c r="Q2043" s="1230"/>
      <c r="R2043" s="1230"/>
      <c r="S2043" s="1230"/>
      <c r="T2043" s="1230"/>
      <c r="U2043" s="1230"/>
      <c r="V2043" s="1230"/>
      <c r="W2043" s="1230"/>
      <c r="X2043" s="1230"/>
      <c r="Y2043" s="1230"/>
    </row>
    <row r="2044" customFormat="false" ht="15.75" hidden="false" customHeight="true" outlineLevel="1" collapsed="false">
      <c r="A2044" s="1023" t="str">
        <f aca="false">'Прайс лист'!B790</f>
        <v>Рубероид</v>
      </c>
      <c r="B2044" s="1190" t="s">
        <v>156</v>
      </c>
      <c r="C2044" s="1190" t="n">
        <f aca="false">D2027*1.2*D2019</f>
        <v>0</v>
      </c>
      <c r="D2044" s="1178" t="n">
        <f aca="false">'Прайс лист'!G790</f>
        <v>30</v>
      </c>
      <c r="E2044" s="1023" t="n">
        <f aca="false">C2044*D2044*$E$2040</f>
        <v>0</v>
      </c>
      <c r="F2044" s="1193"/>
      <c r="G2044" s="1290" t="str">
        <f aca="false">'Прайс лист'!B1701</f>
        <v>Монтаж накладки на перила</v>
      </c>
      <c r="H2044" s="1290"/>
      <c r="I2044" s="1611"/>
      <c r="J2044" s="1290" t="n">
        <f aca="false">C2050</f>
        <v>9</v>
      </c>
      <c r="K2044" s="1290" t="n">
        <f aca="false">'Прайс лист'!G1701*IF('Ввод данных'!A552='Прайс лист'!B420,0,1)</f>
        <v>0</v>
      </c>
      <c r="L2044" s="1290" t="n">
        <f aca="false">J2044*K2044*$E$2040</f>
        <v>0</v>
      </c>
      <c r="M2044" s="1290"/>
      <c r="N2044" s="1290"/>
      <c r="P2044" s="1230"/>
      <c r="Q2044" s="1230"/>
      <c r="R2044" s="1230"/>
      <c r="S2044" s="1230"/>
      <c r="T2044" s="1230"/>
      <c r="U2044" s="1230"/>
      <c r="V2044" s="1230"/>
      <c r="W2044" s="1230"/>
      <c r="X2044" s="1230"/>
      <c r="Y2044" s="1230"/>
    </row>
    <row r="2045" customFormat="false" ht="15.75" hidden="false" customHeight="true" outlineLevel="1" collapsed="false">
      <c r="A2045" s="1023" t="str">
        <f aca="false">'Ввод данных'!A540</f>
        <v>Листв. влаж, 200*150мм</v>
      </c>
      <c r="B2045" s="1190" t="s">
        <v>135</v>
      </c>
      <c r="C2045" s="1190" t="n">
        <f aca="false">(C2026/0.6*VLOOKUP(A2045,'Прайс лист'!B333:G419,5,0)*E2023*C2027+VLOOKUP(A2045,'Прайс лист'!B333:G419,5,0)*E2024*C2027+VLOOKUP(A2045,'Прайс лист'!B333:G419,5,0)*E2025*C2027)*D2019</f>
        <v>0</v>
      </c>
      <c r="D2045" s="1178" t="n">
        <f aca="false">VLOOKUP(A2045,'Прайс лист'!B333:G419,6,0)</f>
        <v>8500</v>
      </c>
      <c r="E2045" s="1023" t="n">
        <f aca="false">C2045*D2045*$E$2040</f>
        <v>0</v>
      </c>
      <c r="F2045" s="1193"/>
      <c r="G2045" s="1290" t="str">
        <f aca="false">'Прайс лист'!B1882</f>
        <v>Монтаж перил</v>
      </c>
      <c r="H2045" s="1290"/>
      <c r="I2045" s="1611"/>
      <c r="J2045" s="1290" t="n">
        <f aca="false">J2044</f>
        <v>9</v>
      </c>
      <c r="K2045" s="1290" t="n">
        <f aca="false">'Прайс лист'!G1882</f>
        <v>500</v>
      </c>
      <c r="L2045" s="1290" t="n">
        <f aca="false">J2045*K2045*$E$2040</f>
        <v>4500</v>
      </c>
      <c r="M2045" s="1290"/>
      <c r="N2045" s="1290"/>
      <c r="P2045" s="1230"/>
      <c r="Q2045" s="1230"/>
      <c r="R2045" s="1230"/>
      <c r="S2045" s="1230"/>
      <c r="T2045" s="1230"/>
      <c r="U2045" s="1230"/>
      <c r="V2045" s="1230"/>
      <c r="W2045" s="1230"/>
      <c r="X2045" s="1230"/>
      <c r="Y2045" s="1230"/>
    </row>
    <row r="2046" customFormat="false" ht="15.75" hidden="false" customHeight="true" outlineLevel="1" collapsed="false">
      <c r="A2046" s="1023" t="str">
        <f aca="false">'Ввод данных'!A546</f>
        <v>Проф.брус вл. 200*150мм</v>
      </c>
      <c r="B2046" s="1190" t="s">
        <v>135</v>
      </c>
      <c r="C2046" s="1190" t="n">
        <f aca="false">((C2026/2+1+C2027/2*2+1)*C2028*C2020+(C2026/2+1+C2027/2*2+1)*C2029*C2021)*VLOOKUP(A2046,'Прайс лист'!B333:G419,5,0)</f>
        <v>0.5265</v>
      </c>
      <c r="D2046" s="1178" t="n">
        <f aca="false">VLOOKUP(A2046,'Прайс лист'!B333:G419,6,0)</f>
        <v>9300</v>
      </c>
      <c r="E2046" s="1023" t="n">
        <f aca="false">C2046*D2046*$E$2040</f>
        <v>4896.45</v>
      </c>
      <c r="F2046" s="1193"/>
      <c r="G2046" s="1290"/>
      <c r="H2046" s="1290"/>
      <c r="I2046" s="1611"/>
      <c r="J2046" s="1290"/>
      <c r="K2046" s="1290"/>
      <c r="L2046" s="1290"/>
      <c r="M2046" s="1290"/>
      <c r="N2046" s="1290"/>
      <c r="P2046" s="1230"/>
      <c r="Q2046" s="1230"/>
      <c r="R2046" s="1230"/>
      <c r="S2046" s="1230"/>
      <c r="T2046" s="1230"/>
      <c r="U2046" s="1230"/>
      <c r="V2046" s="1230"/>
      <c r="W2046" s="1230"/>
      <c r="X2046" s="1230"/>
      <c r="Y2046" s="1230"/>
    </row>
    <row r="2047" customFormat="false" ht="15.75" hidden="false" customHeight="true" outlineLevel="1" collapsed="false">
      <c r="A2047" s="1023" t="str">
        <f aca="false">'Ввод данных'!A548</f>
        <v>Брус клееный проф 2 ламель кедр Шир. 240 выс. 140</v>
      </c>
      <c r="B2047" s="1190" t="s">
        <v>135</v>
      </c>
      <c r="C2047" s="1190" t="n">
        <f aca="false">((C2026+C2027+C2027)*C2020+(C2026+C2027+C2027)*C2021)*VLOOKUP(A2047,'Прайс лист'!B333:G419,5,0)</f>
        <v>0.3024</v>
      </c>
      <c r="D2047" s="1178" t="n">
        <f aca="false">VLOOKUP(A2047,'Прайс лист'!B333:G419,6,0)</f>
        <v>24000</v>
      </c>
      <c r="E2047" s="1023" t="n">
        <f aca="false">C2047*D2047*$E$2040</f>
        <v>7257.6</v>
      </c>
      <c r="F2047" s="1230"/>
      <c r="G2047" s="1290"/>
      <c r="H2047" s="1290"/>
      <c r="I2047" s="1611"/>
      <c r="J2047" s="1290"/>
      <c r="K2047" s="1290"/>
      <c r="L2047" s="1290"/>
      <c r="M2047" s="1290"/>
      <c r="N2047" s="1290"/>
      <c r="P2047" s="1230"/>
      <c r="Q2047" s="1230"/>
      <c r="R2047" s="1230"/>
      <c r="S2047" s="1230"/>
      <c r="T2047" s="1230"/>
      <c r="U2047" s="1230"/>
      <c r="V2047" s="1230"/>
      <c r="W2047" s="1230"/>
      <c r="X2047" s="1230"/>
      <c r="Y2047" s="1230"/>
    </row>
    <row r="2048" customFormat="false" ht="15.75" hidden="false" customHeight="true" outlineLevel="1" collapsed="false">
      <c r="A2048" s="1023" t="str">
        <f aca="false">'Ввод данных'!A550</f>
        <v>Брус клееный проф 1 ламель кедр Шир. 240 выс. 140</v>
      </c>
      <c r="B2048" s="1190" t="s">
        <v>135</v>
      </c>
      <c r="C2048" s="1190" t="n">
        <f aca="false">((C2026/0.3+C2027/0.3+C2027/0.3)*C2020+(C2026/0.3+C2027/0.3+C2027/0.3)*C2021)*VLOOKUP(A2048,'Прайс лист'!B333:G419,5,0)</f>
        <v>1.008</v>
      </c>
      <c r="D2048" s="1178" t="n">
        <f aca="false">VLOOKUP(A2048,'Прайс лист'!B333:G419,6,0)</f>
        <v>24000</v>
      </c>
      <c r="E2048" s="1023" t="n">
        <f aca="false">C2048*D2048*$E$2040</f>
        <v>24192</v>
      </c>
      <c r="F2048" s="1230"/>
      <c r="G2048" s="1290"/>
      <c r="H2048" s="1290"/>
      <c r="I2048" s="1611"/>
      <c r="J2048" s="1290"/>
      <c r="K2048" s="1290"/>
      <c r="L2048" s="1290"/>
      <c r="M2048" s="1290"/>
      <c r="N2048" s="1290"/>
      <c r="P2048" s="1230"/>
      <c r="Q2048" s="1230"/>
      <c r="R2048" s="1230"/>
      <c r="S2048" s="1230"/>
      <c r="T2048" s="1230"/>
      <c r="U2048" s="1230"/>
      <c r="V2048" s="1230"/>
      <c r="W2048" s="1230"/>
      <c r="X2048" s="1230"/>
      <c r="Y2048" s="1230"/>
    </row>
    <row r="2049" customFormat="false" ht="15.75" hidden="false" customHeight="true" outlineLevel="1" collapsed="false">
      <c r="A2049" s="1290" t="str">
        <f aca="false">'Ввод данных'!A554</f>
        <v>Проф.брус вл. 200*180мм</v>
      </c>
      <c r="B2049" s="1527" t="s">
        <v>135</v>
      </c>
      <c r="C2049" s="1527" t="n">
        <f aca="false">VLOOKUP(A2049,'Прайс лист'!B333:G419,5,0)*('Ввод данных'!C554*'Ввод данных'!D554+'Ввод данных'!C555*'Ввод данных'!D555)</f>
        <v>0.504</v>
      </c>
      <c r="D2049" s="1178" t="n">
        <f aca="false">VLOOKUP(A2049,'Прайс лист'!B333:G419,6,0)</f>
        <v>9300</v>
      </c>
      <c r="E2049" s="1023" t="n">
        <f aca="false">C2049*D2049*$E$2040</f>
        <v>4687.2</v>
      </c>
      <c r="F2049" s="1230"/>
      <c r="G2049" s="1290"/>
      <c r="H2049" s="1290"/>
      <c r="I2049" s="1611"/>
      <c r="J2049" s="1290"/>
      <c r="K2049" s="1290"/>
      <c r="L2049" s="1290"/>
      <c r="M2049" s="1290"/>
      <c r="N2049" s="1290"/>
      <c r="P2049" s="1230"/>
      <c r="Q2049" s="1230"/>
      <c r="R2049" s="1230"/>
      <c r="S2049" s="1230"/>
      <c r="T2049" s="1230"/>
      <c r="U2049" s="1230"/>
      <c r="V2049" s="1230"/>
      <c r="W2049" s="1230"/>
      <c r="X2049" s="1230"/>
      <c r="Y2049" s="1230"/>
    </row>
    <row r="2050" customFormat="false" ht="15.75" hidden="false" customHeight="true" outlineLevel="1" collapsed="false">
      <c r="A2050" s="1290" t="str">
        <f aca="false">'Ввод данных'!A552</f>
        <v>Нет накладки</v>
      </c>
      <c r="B2050" s="1527" t="s">
        <v>156</v>
      </c>
      <c r="C2050" s="1527" t="n">
        <f aca="false">((C2026+C2027+C2027)*C2020+(C2026+C2027+C2027)*C2021)</f>
        <v>9</v>
      </c>
      <c r="D2050" s="1178" t="n">
        <f aca="false">VLOOKUP(A2050,'Прайс лист'!B420:G424,6,0)</f>
        <v>0</v>
      </c>
      <c r="E2050" s="1023" t="n">
        <f aca="false">C2050*D2050*$E$2040</f>
        <v>0</v>
      </c>
      <c r="F2050" s="1230"/>
      <c r="G2050" s="1290"/>
      <c r="H2050" s="1290"/>
      <c r="I2050" s="1611"/>
      <c r="J2050" s="1290"/>
      <c r="K2050" s="1290"/>
      <c r="L2050" s="1290"/>
      <c r="M2050" s="1290"/>
      <c r="N2050" s="1290"/>
      <c r="P2050" s="1230"/>
      <c r="Q2050" s="1230"/>
      <c r="R2050" s="1230"/>
      <c r="S2050" s="1230"/>
      <c r="T2050" s="1230"/>
      <c r="U2050" s="1230"/>
      <c r="V2050" s="1230"/>
      <c r="W2050" s="1230"/>
      <c r="X2050" s="1230"/>
      <c r="Y2050" s="1230"/>
    </row>
    <row r="2051" customFormat="false" ht="15.75" hidden="false" customHeight="true" outlineLevel="1" collapsed="false">
      <c r="A2051" s="1290" t="str">
        <f aca="false">'Прайс лист'!B530</f>
        <v>Гидрокомпенсатор</v>
      </c>
      <c r="B2051" s="1527" t="s">
        <v>159</v>
      </c>
      <c r="C2051" s="1527" t="n">
        <f aca="false">CEILING(((C2026/2+1+C2027/2*2+1)*C2028*C2020+(C2026/2+1+C2027/2*2+1)*C2029*C2021)/2,1)</f>
        <v>9</v>
      </c>
      <c r="D2051" s="1178" t="n">
        <f aca="false">'Прайс лист'!G530</f>
        <v>450</v>
      </c>
      <c r="E2051" s="1023" t="n">
        <f aca="false">C2051*D2051*$E$2040</f>
        <v>4050</v>
      </c>
      <c r="F2051" s="1230"/>
      <c r="G2051" s="1290"/>
      <c r="H2051" s="1290"/>
      <c r="I2051" s="1611"/>
      <c r="J2051" s="1290"/>
      <c r="K2051" s="1290"/>
      <c r="L2051" s="1290"/>
      <c r="M2051" s="1290"/>
      <c r="N2051" s="1290"/>
      <c r="P2051" s="1230"/>
      <c r="Q2051" s="1230"/>
      <c r="R2051" s="1230"/>
      <c r="S2051" s="1230"/>
      <c r="T2051" s="1230"/>
      <c r="U2051" s="1230"/>
      <c r="V2051" s="1230"/>
      <c r="W2051" s="1230"/>
      <c r="X2051" s="1230"/>
      <c r="Y2051" s="1230"/>
    </row>
    <row r="2052" customFormat="false" ht="15.75" hidden="false" customHeight="true" outlineLevel="1" collapsed="false">
      <c r="A2052" s="1290" t="str">
        <f aca="false">'Ввод данных'!A601</f>
        <v>Уголок усиленный 90х70х55х2,5</v>
      </c>
      <c r="B2052" s="1527" t="str">
        <f aca="false">'Ввод данных'!B601</f>
        <v>шт</v>
      </c>
      <c r="C2052" s="1290" t="n">
        <f aca="false">'Ввод данных'!C601</f>
        <v>0</v>
      </c>
      <c r="D2052" s="1178" t="n">
        <f aca="false">VLOOKUP(A2052,'Прайс лист'!B837:G840,6,0)</f>
        <v>30</v>
      </c>
      <c r="E2052" s="1023" t="n">
        <f aca="false">C2052*D2052*$E$2040</f>
        <v>0</v>
      </c>
      <c r="F2052" s="1230"/>
      <c r="G2052" s="1290"/>
      <c r="H2052" s="1290"/>
      <c r="I2052" s="1611"/>
      <c r="J2052" s="1290"/>
      <c r="K2052" s="1290"/>
      <c r="L2052" s="1290"/>
      <c r="M2052" s="1290"/>
      <c r="N2052" s="1290"/>
      <c r="P2052" s="1230"/>
      <c r="Q2052" s="1230"/>
      <c r="R2052" s="1230"/>
      <c r="S2052" s="1230"/>
      <c r="T2052" s="1230"/>
      <c r="U2052" s="1230"/>
      <c r="V2052" s="1230"/>
      <c r="W2052" s="1230"/>
      <c r="X2052" s="1230"/>
      <c r="Y2052" s="1230"/>
    </row>
    <row r="2053" customFormat="false" ht="15.75" hidden="false" customHeight="true" outlineLevel="1" collapsed="false">
      <c r="A2053" s="1290" t="str">
        <f aca="false">'Ввод данных'!A602</f>
        <v>Нет уголков</v>
      </c>
      <c r="B2053" s="1527" t="str">
        <f aca="false">'Ввод данных'!B602</f>
        <v>шт</v>
      </c>
      <c r="C2053" s="1290" t="n">
        <f aca="false">'Ввод данных'!C602</f>
        <v>0</v>
      </c>
      <c r="D2053" s="1178" t="n">
        <f aca="false">VLOOKUP(A2053,'Прайс лист'!B837:G840,6,0)</f>
        <v>0</v>
      </c>
      <c r="E2053" s="1023" t="n">
        <f aca="false">C2053*D2053*$E$2040</f>
        <v>0</v>
      </c>
      <c r="F2053" s="1230"/>
      <c r="G2053" s="1290"/>
      <c r="H2053" s="1290"/>
      <c r="I2053" s="1611"/>
      <c r="J2053" s="1290"/>
      <c r="K2053" s="1290"/>
      <c r="L2053" s="1290"/>
      <c r="M2053" s="1290"/>
      <c r="N2053" s="1290"/>
      <c r="P2053" s="1230"/>
      <c r="Q2053" s="1230"/>
      <c r="R2053" s="1230"/>
      <c r="S2053" s="1230"/>
      <c r="T2053" s="1230"/>
      <c r="U2053" s="1230"/>
      <c r="V2053" s="1230"/>
      <c r="W2053" s="1230"/>
      <c r="X2053" s="1230"/>
      <c r="Y2053" s="1230"/>
    </row>
    <row r="2054" customFormat="false" ht="15.75" hidden="false" customHeight="true" outlineLevel="1" collapsed="false">
      <c r="A2054" s="1290" t="str">
        <f aca="false">'Ввод данных'!A603</f>
        <v>Пластина соеденительная 100х240х2</v>
      </c>
      <c r="B2054" s="1527" t="str">
        <f aca="false">'Ввод данных'!B603</f>
        <v>шт</v>
      </c>
      <c r="C2054" s="1290" t="n">
        <f aca="false">'Ввод данных'!C603</f>
        <v>0</v>
      </c>
      <c r="D2054" s="1178" t="n">
        <f aca="false">VLOOKUP(A2054,'Прайс лист'!B845:G848,6,0)</f>
        <v>31.54</v>
      </c>
      <c r="E2054" s="1023" t="n">
        <f aca="false">C2054*D2054*$E$2040</f>
        <v>0</v>
      </c>
      <c r="F2054" s="1230"/>
      <c r="G2054" s="1290"/>
      <c r="H2054" s="1290"/>
      <c r="I2054" s="1611"/>
      <c r="J2054" s="1290"/>
      <c r="K2054" s="1290"/>
      <c r="L2054" s="1290"/>
      <c r="M2054" s="1290"/>
      <c r="N2054" s="1290"/>
      <c r="P2054" s="1230"/>
      <c r="Q2054" s="1230"/>
      <c r="R2054" s="1230"/>
      <c r="S2054" s="1230"/>
      <c r="T2054" s="1230"/>
      <c r="U2054" s="1230"/>
      <c r="V2054" s="1230"/>
      <c r="W2054" s="1230"/>
      <c r="X2054" s="1230"/>
      <c r="Y2054" s="1230"/>
    </row>
    <row r="2055" customFormat="false" ht="15.75" hidden="false" customHeight="true" outlineLevel="1" collapsed="false">
      <c r="A2055" s="1290" t="str">
        <f aca="false">'Ввод данных'!A604</f>
        <v>Нет пластин</v>
      </c>
      <c r="B2055" s="1527" t="str">
        <f aca="false">'Ввод данных'!B604</f>
        <v>шт</v>
      </c>
      <c r="C2055" s="1290" t="n">
        <f aca="false">'Ввод данных'!C604</f>
        <v>0</v>
      </c>
      <c r="D2055" s="1178" t="n">
        <f aca="false">VLOOKUP(A2055,'Прайс лист'!B845:G848,6,0)</f>
        <v>0</v>
      </c>
      <c r="E2055" s="1023" t="n">
        <f aca="false">C2055*D2055*$E$2040</f>
        <v>0</v>
      </c>
      <c r="F2055" s="1230"/>
      <c r="G2055" s="1290"/>
      <c r="H2055" s="1290"/>
      <c r="I2055" s="1611"/>
      <c r="J2055" s="1290"/>
      <c r="K2055" s="1290"/>
      <c r="L2055" s="1290"/>
      <c r="M2055" s="1290"/>
      <c r="N2055" s="1290"/>
      <c r="P2055" s="1230"/>
      <c r="Q2055" s="1230"/>
      <c r="R2055" s="1230"/>
      <c r="S2055" s="1230"/>
      <c r="T2055" s="1230"/>
      <c r="U2055" s="1230"/>
      <c r="V2055" s="1230"/>
      <c r="W2055" s="1230"/>
      <c r="X2055" s="1230"/>
      <c r="Y2055" s="1230"/>
    </row>
    <row r="2056" customFormat="false" ht="15.75" hidden="false" customHeight="true" outlineLevel="1" collapsed="false">
      <c r="A2056" s="1290" t="str">
        <f aca="false">'Ввод данных'!A605</f>
        <v>Болты анкерные с гайкой 12,0 x 100</v>
      </c>
      <c r="B2056" s="1527" t="str">
        <f aca="false">'Ввод данных'!B605</f>
        <v>шт</v>
      </c>
      <c r="C2056" s="1290" t="n">
        <f aca="false">'Ввод данных'!C605</f>
        <v>0</v>
      </c>
      <c r="D2056" s="1178" t="n">
        <f aca="false">VLOOKUP(A2056,'Прайс лист'!B858:G870,6,0)</f>
        <v>11.2</v>
      </c>
      <c r="E2056" s="1023" t="n">
        <f aca="false">C2056*D2056*$E$2040</f>
        <v>0</v>
      </c>
      <c r="F2056" s="1230"/>
      <c r="G2056" s="1290"/>
      <c r="H2056" s="1290"/>
      <c r="I2056" s="1611"/>
      <c r="J2056" s="1290"/>
      <c r="K2056" s="1290"/>
      <c r="L2056" s="1290"/>
      <c r="M2056" s="1290"/>
      <c r="N2056" s="1290"/>
      <c r="P2056" s="1230"/>
      <c r="Q2056" s="1230"/>
      <c r="R2056" s="1230"/>
      <c r="S2056" s="1230"/>
      <c r="T2056" s="1230"/>
      <c r="U2056" s="1230"/>
      <c r="V2056" s="1230"/>
      <c r="W2056" s="1230"/>
      <c r="X2056" s="1230"/>
      <c r="Y2056" s="1230"/>
    </row>
    <row r="2057" customFormat="false" ht="15.75" hidden="false" customHeight="true" outlineLevel="1" collapsed="false">
      <c r="A2057" s="1290" t="str">
        <f aca="false">'Ввод данных'!A606</f>
        <v>Нет анкерных болтов</v>
      </c>
      <c r="B2057" s="1527" t="str">
        <f aca="false">'Ввод данных'!B606</f>
        <v>шт</v>
      </c>
      <c r="C2057" s="1290" t="n">
        <f aca="false">'Ввод данных'!C606</f>
        <v>0</v>
      </c>
      <c r="D2057" s="1178" t="n">
        <f aca="false">VLOOKUP(A2057,'Прайс лист'!B858:G870,6,0)</f>
        <v>0</v>
      </c>
      <c r="E2057" s="1023" t="n">
        <f aca="false">C2057*D2057*$E$2040</f>
        <v>0</v>
      </c>
      <c r="F2057" s="1230"/>
      <c r="G2057" s="1290"/>
      <c r="H2057" s="1290"/>
      <c r="I2057" s="1611"/>
      <c r="J2057" s="1290"/>
      <c r="K2057" s="1290"/>
      <c r="L2057" s="1290"/>
      <c r="M2057" s="1290"/>
      <c r="N2057" s="1290"/>
      <c r="P2057" s="1230"/>
      <c r="Q2057" s="1230"/>
      <c r="R2057" s="1230"/>
      <c r="S2057" s="1230"/>
      <c r="T2057" s="1230"/>
      <c r="U2057" s="1230"/>
      <c r="V2057" s="1230"/>
      <c r="W2057" s="1230"/>
      <c r="X2057" s="1230"/>
      <c r="Y2057" s="1230"/>
    </row>
    <row r="2058" customFormat="false" ht="15.75" hidden="false" customHeight="true" outlineLevel="1" collapsed="false">
      <c r="A2058" s="1290" t="str">
        <f aca="false">'Ввод данных'!A607</f>
        <v>Саморезы 3,5 x 45</v>
      </c>
      <c r="B2058" s="1527" t="str">
        <f aca="false">'Ввод данных'!B607</f>
        <v>кг</v>
      </c>
      <c r="C2058" s="1290" t="n">
        <f aca="false">'Ввод данных'!C607</f>
        <v>0</v>
      </c>
      <c r="D2058" s="1178" t="n">
        <f aca="false">VLOOKUP(A2058,'Прайс лист'!B875:G881,6,0)</f>
        <v>105.62</v>
      </c>
      <c r="E2058" s="1023" t="n">
        <f aca="false">C2058*D2058*$E$2040</f>
        <v>0</v>
      </c>
      <c r="F2058" s="1230"/>
      <c r="G2058" s="1290"/>
      <c r="H2058" s="1290"/>
      <c r="I2058" s="1611"/>
      <c r="J2058" s="1290"/>
      <c r="K2058" s="1290"/>
      <c r="L2058" s="1290"/>
      <c r="M2058" s="1290"/>
      <c r="N2058" s="1290"/>
      <c r="P2058" s="1230"/>
      <c r="Q2058" s="1230"/>
      <c r="R2058" s="1230"/>
      <c r="S2058" s="1230"/>
      <c r="T2058" s="1230"/>
      <c r="U2058" s="1230"/>
      <c r="V2058" s="1230"/>
      <c r="W2058" s="1230"/>
      <c r="X2058" s="1230"/>
      <c r="Y2058" s="1230"/>
    </row>
    <row r="2059" customFormat="false" ht="15.75" hidden="false" customHeight="true" outlineLevel="1" collapsed="false">
      <c r="A2059" s="1290" t="str">
        <f aca="false">'Ввод данных'!A608</f>
        <v>Нет саморезов</v>
      </c>
      <c r="B2059" s="1527" t="str">
        <f aca="false">'Ввод данных'!B608</f>
        <v>кг</v>
      </c>
      <c r="C2059" s="1290" t="n">
        <f aca="false">'Ввод данных'!C608</f>
        <v>0</v>
      </c>
      <c r="D2059" s="1178" t="n">
        <f aca="false">VLOOKUP(A2059,'Прайс лист'!B875:G881,6,0)</f>
        <v>0</v>
      </c>
      <c r="E2059" s="1023" t="n">
        <f aca="false">C2059*D2059*$E$2040</f>
        <v>0</v>
      </c>
      <c r="F2059" s="1230"/>
      <c r="G2059" s="1290"/>
      <c r="H2059" s="1290"/>
      <c r="I2059" s="1611"/>
      <c r="J2059" s="1290"/>
      <c r="K2059" s="1290"/>
      <c r="L2059" s="1290"/>
      <c r="M2059" s="1290"/>
      <c r="N2059" s="1290"/>
      <c r="P2059" s="1230"/>
      <c r="Q2059" s="1230"/>
      <c r="R2059" s="1230"/>
      <c r="S2059" s="1230"/>
      <c r="T2059" s="1230"/>
      <c r="U2059" s="1230"/>
      <c r="V2059" s="1230"/>
      <c r="W2059" s="1230"/>
      <c r="X2059" s="1230"/>
      <c r="Y2059" s="1230"/>
    </row>
    <row r="2060" customFormat="false" ht="15.75" hidden="false" customHeight="true" outlineLevel="1" collapsed="false">
      <c r="A2060" s="1290" t="str">
        <f aca="false">'Ввод данных'!A609</f>
        <v>Гвозди строительные 2,5 x 60</v>
      </c>
      <c r="B2060" s="1527" t="str">
        <f aca="false">'Ввод данных'!B609</f>
        <v>кг</v>
      </c>
      <c r="C2060" s="1290" t="n">
        <f aca="false">'Ввод данных'!C609</f>
        <v>0</v>
      </c>
      <c r="D2060" s="1178" t="n">
        <f aca="false">VLOOKUP(A2060,'Прайс лист'!B888:G891,6,0)</f>
        <v>70</v>
      </c>
      <c r="E2060" s="1023" t="n">
        <f aca="false">C2060*D2060*$E$2040</f>
        <v>0</v>
      </c>
      <c r="F2060" s="1230"/>
      <c r="G2060" s="1290"/>
      <c r="H2060" s="1290"/>
      <c r="I2060" s="1611"/>
      <c r="J2060" s="1290"/>
      <c r="K2060" s="1290"/>
      <c r="L2060" s="1290"/>
      <c r="M2060" s="1290"/>
      <c r="N2060" s="1290"/>
      <c r="P2060" s="1230"/>
      <c r="Q2060" s="1230"/>
      <c r="R2060" s="1230"/>
      <c r="S2060" s="1230"/>
      <c r="T2060" s="1230"/>
      <c r="U2060" s="1230"/>
      <c r="V2060" s="1230"/>
      <c r="W2060" s="1230"/>
      <c r="X2060" s="1230"/>
      <c r="Y2060" s="1230"/>
    </row>
    <row r="2061" customFormat="false" ht="15.75" hidden="false" customHeight="true" outlineLevel="1" collapsed="false">
      <c r="A2061" s="1290" t="str">
        <f aca="false">'Ввод данных'!A610</f>
        <v>Гвозди ершоные 3,4 x 60</v>
      </c>
      <c r="B2061" s="1527" t="str">
        <f aca="false">'Ввод данных'!B610</f>
        <v>кг</v>
      </c>
      <c r="C2061" s="1290" t="n">
        <f aca="false">'Ввод данных'!C610</f>
        <v>0</v>
      </c>
      <c r="D2061" s="1178" t="n">
        <f aca="false">VLOOKUP(A2061,'Прайс лист'!B896:G898,6,0)</f>
        <v>75.51</v>
      </c>
      <c r="E2061" s="1023" t="n">
        <f aca="false">C2061*D2061*$E$2040</f>
        <v>0</v>
      </c>
      <c r="F2061" s="1230"/>
      <c r="G2061" s="1290"/>
      <c r="H2061" s="1290"/>
      <c r="I2061" s="1611"/>
      <c r="J2061" s="1290"/>
      <c r="K2061" s="1290"/>
      <c r="L2061" s="1290"/>
      <c r="M2061" s="1290"/>
      <c r="N2061" s="1290"/>
      <c r="P2061" s="1230"/>
      <c r="Q2061" s="1230"/>
      <c r="R2061" s="1230"/>
      <c r="S2061" s="1230"/>
      <c r="T2061" s="1230"/>
      <c r="U2061" s="1230"/>
      <c r="V2061" s="1230"/>
      <c r="W2061" s="1230"/>
      <c r="X2061" s="1230"/>
      <c r="Y2061" s="1230"/>
    </row>
    <row r="2062" customFormat="false" ht="15.75" hidden="false" customHeight="true" outlineLevel="1" collapsed="false">
      <c r="A2062" s="1290" t="str">
        <f aca="false">'Ввод данных'!A613</f>
        <v>Нет техники</v>
      </c>
      <c r="B2062" s="1527" t="str">
        <f aca="false">'Ввод данных'!B613</f>
        <v>ед.</v>
      </c>
      <c r="C2062" s="1290" t="n">
        <f aca="false">'Ввод данных'!C613</f>
        <v>1</v>
      </c>
      <c r="D2062" s="1178" t="n">
        <f aca="false">VLOOKUP(A2062,'Прайс лист'!B180:G194,6,0)</f>
        <v>0</v>
      </c>
      <c r="E2062" s="1023" t="n">
        <f aca="false">C2062*D2062</f>
        <v>0</v>
      </c>
      <c r="F2062" s="1230"/>
      <c r="G2062" s="1290"/>
      <c r="H2062" s="1290"/>
      <c r="I2062" s="1611"/>
      <c r="J2062" s="1290"/>
      <c r="K2062" s="1290"/>
      <c r="L2062" s="1290"/>
      <c r="M2062" s="1290"/>
      <c r="N2062" s="1290"/>
      <c r="P2062" s="1230"/>
      <c r="Q2062" s="1230"/>
      <c r="R2062" s="1230"/>
      <c r="S2062" s="1230"/>
      <c r="T2062" s="1230"/>
      <c r="U2062" s="1230"/>
      <c r="V2062" s="1230"/>
      <c r="W2062" s="1230"/>
      <c r="X2062" s="1230"/>
      <c r="Y2062" s="1230"/>
    </row>
    <row r="2063" customFormat="false" ht="15.75" hidden="false" customHeight="true" outlineLevel="1" collapsed="false">
      <c r="A2063" s="1290" t="str">
        <f aca="false">'Ввод данных'!A614</f>
        <v>Нет техники</v>
      </c>
      <c r="B2063" s="1527" t="str">
        <f aca="false">'Ввод данных'!B614</f>
        <v>ед.</v>
      </c>
      <c r="C2063" s="1290" t="n">
        <f aca="false">'Ввод данных'!C614</f>
        <v>0</v>
      </c>
      <c r="D2063" s="1178" t="n">
        <f aca="false">VLOOKUP(A2063,'Прайс лист'!B180:G194,6,0)</f>
        <v>0</v>
      </c>
      <c r="E2063" s="1023" t="n">
        <f aca="false">C2063*D2063</f>
        <v>0</v>
      </c>
      <c r="F2063" s="1230"/>
      <c r="G2063" s="1290"/>
      <c r="H2063" s="1290"/>
      <c r="I2063" s="1611"/>
      <c r="J2063" s="1290"/>
      <c r="K2063" s="1290"/>
      <c r="L2063" s="1290"/>
      <c r="M2063" s="1290"/>
      <c r="N2063" s="1290"/>
      <c r="P2063" s="1230"/>
      <c r="Q2063" s="1230"/>
      <c r="R2063" s="1230"/>
      <c r="S2063" s="1230"/>
      <c r="T2063" s="1230"/>
      <c r="U2063" s="1230"/>
      <c r="V2063" s="1230"/>
      <c r="W2063" s="1230"/>
      <c r="X2063" s="1230"/>
      <c r="Y2063" s="1230"/>
    </row>
    <row r="2064" customFormat="false" ht="15.75" hidden="false" customHeight="true" outlineLevel="1" collapsed="false">
      <c r="A2064" s="1290" t="str">
        <f aca="false">'Ввод данных'!A616</f>
        <v>расходные материалы веранда</v>
      </c>
      <c r="B2064" s="1527" t="str">
        <f aca="false">'Ввод данных'!B616</f>
        <v>рублей</v>
      </c>
      <c r="C2064" s="1290" t="n">
        <f aca="false">1</f>
        <v>1</v>
      </c>
      <c r="D2064" s="1178" t="n">
        <f aca="false">'Ввод данных'!C616</f>
        <v>0</v>
      </c>
      <c r="E2064" s="1023" t="n">
        <f aca="false">C2064*D2064</f>
        <v>0</v>
      </c>
      <c r="F2064" s="1230"/>
      <c r="G2064" s="1290"/>
      <c r="H2064" s="1290"/>
      <c r="I2064" s="1611"/>
      <c r="J2064" s="1290"/>
      <c r="K2064" s="1290"/>
      <c r="L2064" s="1290"/>
      <c r="M2064" s="1290"/>
      <c r="N2064" s="1290"/>
      <c r="P2064" s="1230"/>
      <c r="Q2064" s="1230"/>
      <c r="R2064" s="1230"/>
      <c r="S2064" s="1230"/>
      <c r="T2064" s="1230"/>
      <c r="U2064" s="1230"/>
      <c r="V2064" s="1230"/>
      <c r="W2064" s="1230"/>
      <c r="X2064" s="1230"/>
      <c r="Y2064" s="1230"/>
    </row>
    <row r="2065" s="1150" customFormat="true" ht="15.75" hidden="false" customHeight="true" outlineLevel="1" collapsed="false">
      <c r="F2065" s="1230"/>
      <c r="G2065" s="1311"/>
      <c r="H2065" s="1311"/>
      <c r="I2065" s="1696"/>
      <c r="J2065" s="1311"/>
      <c r="K2065" s="1311"/>
      <c r="L2065" s="1311"/>
      <c r="M2065" s="1311"/>
      <c r="N2065" s="1311"/>
      <c r="P2065" s="1230"/>
      <c r="Q2065" s="1230"/>
      <c r="R2065" s="1230"/>
      <c r="S2065" s="1230"/>
      <c r="T2065" s="1230"/>
      <c r="U2065" s="1230"/>
      <c r="V2065" s="1230"/>
      <c r="W2065" s="1230"/>
      <c r="X2065" s="1230"/>
      <c r="Y2065" s="1230"/>
    </row>
    <row r="2066" customFormat="false" ht="15.75" hidden="false" customHeight="true" outlineLevel="1" collapsed="false">
      <c r="A2066" s="1311"/>
      <c r="B2066" s="1719"/>
      <c r="C2066" s="1719"/>
      <c r="D2066" s="353"/>
      <c r="E2066" s="1193"/>
      <c r="F2066" s="1230"/>
      <c r="G2066" s="1311"/>
      <c r="H2066" s="1311"/>
      <c r="I2066" s="1696"/>
      <c r="J2066" s="1311"/>
      <c r="K2066" s="1311"/>
      <c r="L2066" s="1311"/>
      <c r="M2066" s="1311"/>
      <c r="N2066" s="1311"/>
      <c r="P2066" s="1230"/>
      <c r="Q2066" s="1230"/>
      <c r="R2066" s="1230"/>
      <c r="S2066" s="1230"/>
      <c r="T2066" s="1230"/>
      <c r="U2066" s="1230"/>
      <c r="V2066" s="1230"/>
      <c r="W2066" s="1230"/>
      <c r="X2066" s="1230"/>
      <c r="Y2066" s="1230"/>
    </row>
    <row r="2067" customFormat="false" ht="15.75" hidden="false" customHeight="true" outlineLevel="1" collapsed="false">
      <c r="A2067" s="1230" t="str">
        <f aca="false">'Ввод данных'!A582</f>
        <v>Длина Н14</v>
      </c>
      <c r="B2067" s="1771" t="str">
        <f aca="false">'Ввод данных'!B582</f>
        <v>м.п.</v>
      </c>
      <c r="C2067" s="1230" t="n">
        <f aca="false">'Ввод данных'!C582</f>
        <v>2</v>
      </c>
      <c r="D2067" s="1230"/>
      <c r="E2067" s="1230"/>
      <c r="F2067" s="1230"/>
      <c r="G2067" s="1230"/>
      <c r="H2067" s="1230"/>
      <c r="I2067" s="1770"/>
      <c r="J2067" s="1230"/>
      <c r="K2067" s="1230"/>
      <c r="L2067" s="1230"/>
      <c r="M2067" s="1230"/>
      <c r="N2067" s="1230"/>
      <c r="P2067" s="1230"/>
      <c r="Q2067" s="1230"/>
      <c r="R2067" s="1230"/>
      <c r="S2067" s="1230"/>
      <c r="T2067" s="1230"/>
      <c r="U2067" s="1230"/>
      <c r="V2067" s="1230"/>
      <c r="W2067" s="1230"/>
      <c r="X2067" s="1230"/>
      <c r="Y2067" s="1230"/>
    </row>
    <row r="2068" customFormat="false" ht="15.75" hidden="false" customHeight="true" outlineLevel="1" collapsed="false">
      <c r="A2068" s="1230" t="str">
        <f aca="false">'Ввод данных'!A583</f>
        <v>Ширина Н15</v>
      </c>
      <c r="B2068" s="1771" t="str">
        <f aca="false">'Ввод данных'!B583</f>
        <v>м.п.</v>
      </c>
      <c r="C2068" s="1230" t="n">
        <f aca="false">'Ввод данных'!C583</f>
        <v>1.6</v>
      </c>
      <c r="D2068" s="1230"/>
      <c r="E2068" s="1230"/>
      <c r="F2068" s="1230"/>
      <c r="G2068" s="1230"/>
      <c r="H2068" s="1230"/>
      <c r="I2068" s="1770"/>
      <c r="J2068" s="1230"/>
      <c r="K2068" s="1230"/>
      <c r="L2068" s="1230"/>
      <c r="M2068" s="1230"/>
      <c r="N2068" s="1230"/>
      <c r="O2068" s="1230"/>
      <c r="P2068" s="1230"/>
      <c r="Q2068" s="1230"/>
      <c r="R2068" s="1230"/>
      <c r="S2068" s="1230"/>
      <c r="T2068" s="1230"/>
      <c r="U2068" s="1230"/>
      <c r="V2068" s="1230"/>
      <c r="W2068" s="1230"/>
      <c r="X2068" s="1230"/>
      <c r="Y2068" s="1230"/>
    </row>
    <row r="2069" customFormat="false" ht="15.75" hidden="false" customHeight="true" outlineLevel="1" collapsed="false">
      <c r="A2069" s="1230" t="str">
        <f aca="false">'Ввод данных'!A584</f>
        <v>Высота перил</v>
      </c>
      <c r="B2069" s="1771" t="str">
        <f aca="false">'Ввод данных'!B584</f>
        <v>м.п.</v>
      </c>
      <c r="C2069" s="1230" t="n">
        <f aca="false">'Ввод данных'!C584</f>
        <v>0.9</v>
      </c>
      <c r="D2069" s="1230"/>
      <c r="E2069" s="1230"/>
      <c r="F2069" s="1230"/>
      <c r="G2069" s="1230"/>
      <c r="H2069" s="1230"/>
      <c r="I2069" s="1770"/>
      <c r="J2069" s="1230"/>
      <c r="K2069" s="1230"/>
      <c r="L2069" s="1230"/>
      <c r="M2069" s="1230"/>
      <c r="N2069" s="1230"/>
      <c r="O2069" s="1230"/>
      <c r="P2069" s="1230"/>
      <c r="Q2069" s="1230"/>
      <c r="R2069" s="1230"/>
      <c r="S2069" s="1230"/>
      <c r="T2069" s="1230"/>
      <c r="U2069" s="1230"/>
      <c r="V2069" s="1230"/>
      <c r="W2069" s="1230"/>
      <c r="X2069" s="1230"/>
      <c r="Y2069" s="1230"/>
    </row>
    <row r="2070" customFormat="false" ht="15.75" hidden="false" customHeight="true" outlineLevel="1" collapsed="false">
      <c r="A2070" s="1311"/>
      <c r="B2070" s="1719"/>
      <c r="C2070" s="1771"/>
      <c r="D2070" s="1230"/>
      <c r="E2070" s="1230"/>
      <c r="F2070" s="1230"/>
      <c r="G2070" s="1230"/>
      <c r="H2070" s="1230"/>
      <c r="I2070" s="1770"/>
      <c r="J2070" s="1230"/>
      <c r="K2070" s="1230"/>
      <c r="L2070" s="1230"/>
      <c r="M2070" s="1230"/>
      <c r="N2070" s="1230"/>
      <c r="O2070" s="1230"/>
      <c r="P2070" s="1230"/>
      <c r="Q2070" s="1230"/>
      <c r="R2070" s="1230"/>
      <c r="S2070" s="1230"/>
      <c r="T2070" s="1230"/>
      <c r="U2070" s="1230"/>
      <c r="V2070" s="1230"/>
      <c r="W2070" s="1230"/>
      <c r="X2070" s="1230"/>
      <c r="Y2070" s="1230"/>
    </row>
    <row r="2071" customFormat="false" ht="15.75" hidden="false" customHeight="true" outlineLevel="1" collapsed="false">
      <c r="A2071" s="1230" t="s">
        <v>3819</v>
      </c>
      <c r="B2071" s="1771" t="s">
        <v>156</v>
      </c>
      <c r="C2071" s="1771" t="n">
        <f aca="false">'Ввод данных'!C13</f>
        <v>3</v>
      </c>
      <c r="D2071" s="1230"/>
      <c r="E2071" s="1230"/>
      <c r="F2071" s="1230"/>
      <c r="G2071" s="1230"/>
      <c r="H2071" s="1230"/>
      <c r="I2071" s="1770"/>
      <c r="J2071" s="1230"/>
      <c r="K2071" s="1230"/>
      <c r="L2071" s="1230"/>
      <c r="M2071" s="1230"/>
      <c r="N2071" s="1230"/>
      <c r="O2071" s="1230"/>
      <c r="P2071" s="1230"/>
      <c r="Q2071" s="1230"/>
      <c r="R2071" s="1230"/>
      <c r="S2071" s="1230"/>
      <c r="T2071" s="1230"/>
      <c r="U2071" s="1230"/>
      <c r="V2071" s="1230"/>
      <c r="W2071" s="1230"/>
      <c r="X2071" s="1230"/>
      <c r="Y2071" s="1230"/>
    </row>
    <row r="2072" customFormat="false" ht="15.75" hidden="false" customHeight="true" outlineLevel="1" collapsed="false">
      <c r="A2072" s="1230" t="s">
        <v>3820</v>
      </c>
      <c r="B2072" s="1771"/>
      <c r="C2072" s="1929" t="n">
        <f aca="false">C2067*C2068*E2075</f>
        <v>0</v>
      </c>
      <c r="D2072" s="1230"/>
      <c r="E2072" s="1230"/>
      <c r="F2072" s="1230"/>
      <c r="G2072" s="1230"/>
      <c r="H2072" s="1230"/>
      <c r="I2072" s="1770"/>
      <c r="J2072" s="1230"/>
      <c r="K2072" s="1230"/>
      <c r="L2072" s="1230"/>
      <c r="M2072" s="1230"/>
      <c r="N2072" s="1230"/>
      <c r="O2072" s="1230"/>
      <c r="P2072" s="1230"/>
      <c r="Q2072" s="1230"/>
      <c r="R2072" s="1230"/>
      <c r="S2072" s="1230"/>
      <c r="T2072" s="1230"/>
      <c r="U2072" s="1230"/>
      <c r="V2072" s="1230"/>
      <c r="W2072" s="1230"/>
      <c r="X2072" s="1230"/>
      <c r="Y2072" s="1230"/>
    </row>
    <row r="2073" customFormat="false" ht="15.75" hidden="false" customHeight="true" outlineLevel="1" collapsed="false">
      <c r="A2073" s="1230" t="s">
        <v>3821</v>
      </c>
      <c r="B2073" s="1771"/>
      <c r="C2073" s="1771" t="n">
        <f aca="false">C2067+C2068</f>
        <v>3.6</v>
      </c>
      <c r="D2073" s="1230"/>
      <c r="E2073" s="1230"/>
      <c r="F2073" s="1230"/>
      <c r="G2073" s="1230"/>
      <c r="H2073" s="1230"/>
      <c r="I2073" s="1770"/>
      <c r="J2073" s="1230"/>
      <c r="K2073" s="1230"/>
      <c r="L2073" s="1230"/>
      <c r="M2073" s="1230"/>
      <c r="N2073" s="1230"/>
      <c r="O2073" s="1230"/>
      <c r="P2073" s="1230"/>
      <c r="Q2073" s="1230"/>
      <c r="R2073" s="1230"/>
      <c r="S2073" s="1230"/>
      <c r="T2073" s="1230"/>
      <c r="U2073" s="1230"/>
      <c r="V2073" s="1230"/>
      <c r="W2073" s="1230"/>
      <c r="X2073" s="1230"/>
      <c r="Y2073" s="1230"/>
    </row>
    <row r="2074" customFormat="false" ht="15.75" hidden="false" customHeight="true" outlineLevel="1" collapsed="false">
      <c r="A2074" s="1230" t="s">
        <v>3822</v>
      </c>
      <c r="B2074" s="1771"/>
      <c r="C2074" s="1771" t="n">
        <f aca="false">'Ввод данных'!C585</f>
        <v>3</v>
      </c>
      <c r="D2074" s="1230"/>
      <c r="E2074" s="1230"/>
      <c r="F2074" s="1230"/>
      <c r="G2074" s="1230"/>
      <c r="H2074" s="1230"/>
      <c r="I2074" s="1770"/>
      <c r="J2074" s="1230"/>
      <c r="K2074" s="1230"/>
      <c r="L2074" s="1230"/>
      <c r="M2074" s="1230"/>
      <c r="N2074" s="1230"/>
      <c r="O2074" s="1230"/>
      <c r="P2074" s="1230"/>
      <c r="Q2074" s="1230"/>
      <c r="R2074" s="1230"/>
      <c r="S2074" s="1230"/>
      <c r="T2074" s="1230"/>
      <c r="U2074" s="1230"/>
      <c r="V2074" s="1230"/>
      <c r="W2074" s="1230"/>
      <c r="X2074" s="1230"/>
      <c r="Y2074" s="1230"/>
    </row>
    <row r="2075" customFormat="false" ht="15.75" hidden="false" customHeight="true" outlineLevel="1" collapsed="false">
      <c r="A2075" s="1230"/>
      <c r="B2075" s="1771"/>
      <c r="C2075" s="1771"/>
      <c r="D2075" s="1230"/>
      <c r="E2075" s="1230" t="n">
        <f aca="false">VLOOKUP('Ввод данных'!D578,связи1!A2:B3,2,0)</f>
        <v>0</v>
      </c>
      <c r="F2075" s="1230"/>
      <c r="G2075" s="1230"/>
      <c r="H2075" s="1230"/>
      <c r="I2075" s="1770"/>
      <c r="J2075" s="1230"/>
      <c r="K2075" s="1230"/>
      <c r="L2075" s="1230"/>
      <c r="M2075" s="1230"/>
      <c r="N2075" s="1230"/>
      <c r="O2075" s="1230"/>
      <c r="P2075" s="1230"/>
      <c r="Q2075" s="1230"/>
      <c r="R2075" s="1230"/>
      <c r="S2075" s="1230"/>
      <c r="T2075" s="1230"/>
      <c r="U2075" s="1230"/>
      <c r="V2075" s="1230"/>
      <c r="W2075" s="1230"/>
      <c r="X2075" s="1230"/>
      <c r="Y2075" s="1230"/>
    </row>
    <row r="2076" customFormat="false" ht="15.75" hidden="false" customHeight="true" outlineLevel="1" collapsed="false">
      <c r="A2076" s="1290" t="str">
        <f aca="false">'Ввод данных'!A588</f>
        <v>Гидроизоляция жидкая резина 1</v>
      </c>
      <c r="B2076" s="1527" t="s">
        <v>188</v>
      </c>
      <c r="C2076" s="1527" t="n">
        <f aca="false">C2072</f>
        <v>0</v>
      </c>
      <c r="D2076" s="1290" t="n">
        <f aca="false">VLOOKUP(A2076,'Прайс лист'!B1389:G1392,6,0)</f>
        <v>150</v>
      </c>
      <c r="E2076" s="1290" t="n">
        <f aca="false">C2076*D2076*$E$2075</f>
        <v>0</v>
      </c>
      <c r="F2076" s="1230"/>
      <c r="G2076" s="1290" t="str">
        <f aca="false">G2203</f>
        <v>Гидроизоляция рулонная</v>
      </c>
      <c r="H2076" s="1290"/>
      <c r="I2076" s="1290" t="n">
        <f aca="false">C2072*IF(A2076='Прайс лист'!B1389,0,1)</f>
        <v>0</v>
      </c>
      <c r="J2076" s="1290" t="n">
        <f aca="false">J2203</f>
        <v>250</v>
      </c>
      <c r="K2076" s="1290" t="n">
        <f aca="false">I2076*J2076*$E$2075</f>
        <v>0</v>
      </c>
      <c r="L2076" s="1290"/>
      <c r="M2076" s="1290"/>
      <c r="N2076" s="1230"/>
      <c r="O2076" s="1230"/>
      <c r="P2076" s="1230"/>
      <c r="Q2076" s="1230"/>
      <c r="R2076" s="1230"/>
      <c r="S2076" s="1230"/>
      <c r="T2076" s="1230"/>
      <c r="U2076" s="1230"/>
      <c r="V2076" s="1230"/>
      <c r="W2076" s="1230"/>
      <c r="X2076" s="1230"/>
      <c r="Y2076" s="1230"/>
    </row>
    <row r="2077" customFormat="false" ht="15.75" hidden="false" customHeight="true" outlineLevel="1" collapsed="false">
      <c r="A2077" s="1290" t="str">
        <f aca="false">'Ввод данных'!A590</f>
        <v>Kronospan - OSB-3, 22мм</v>
      </c>
      <c r="B2077" s="1527" t="s">
        <v>133</v>
      </c>
      <c r="C2077" s="1527" t="n">
        <f aca="false">C2072*1.1</f>
        <v>0</v>
      </c>
      <c r="D2077" s="1290" t="n">
        <f aca="false">VLOOKUP(A2077,'Прайс лист'!B1027:G1078,6,0)</f>
        <v>526.666666666667</v>
      </c>
      <c r="E2077" s="1290" t="n">
        <f aca="false">C2077*D2077*$E$2075</f>
        <v>0</v>
      </c>
      <c r="F2077" s="1230"/>
      <c r="G2077" s="1290" t="str">
        <f aca="false">G2204</f>
        <v>монтаж OSB пол</v>
      </c>
      <c r="H2077" s="1290"/>
      <c r="I2077" s="1290" t="n">
        <f aca="false">C2072*IF(A2077='Прайс лист'!B1027,0,1)</f>
        <v>0</v>
      </c>
      <c r="J2077" s="1290" t="n">
        <f aca="false">J2204</f>
        <v>250</v>
      </c>
      <c r="K2077" s="1290" t="n">
        <f aca="false">I2077*J2077*$E$2075</f>
        <v>0</v>
      </c>
      <c r="L2077" s="1290"/>
      <c r="M2077" s="1290"/>
      <c r="N2077" s="1230"/>
      <c r="O2077" s="1230"/>
      <c r="P2077" s="1230"/>
      <c r="Q2077" s="1230"/>
      <c r="R2077" s="1230"/>
      <c r="S2077" s="1230"/>
      <c r="T2077" s="1230"/>
      <c r="U2077" s="1230"/>
      <c r="V2077" s="1230"/>
      <c r="W2077" s="1230"/>
      <c r="X2077" s="1230"/>
      <c r="Y2077" s="1230"/>
    </row>
    <row r="2078" customFormat="false" ht="15.75" hidden="false" customHeight="true" outlineLevel="1" collapsed="false">
      <c r="A2078" s="1290" t="str">
        <f aca="false">'Ввод данных'!A592</f>
        <v>Проф.брус вл. 200*150мм</v>
      </c>
      <c r="B2078" s="1527" t="s">
        <v>135</v>
      </c>
      <c r="C2078" s="1527" t="n">
        <f aca="false">C2074*VLOOKUP(A2078,'Прайс лист'!B333:G419,5,0)</f>
        <v>0.09</v>
      </c>
      <c r="D2078" s="1290" t="n">
        <f aca="false">VLOOKUP(A2078,'Прайс лист'!B333:G419,6,0)</f>
        <v>9300</v>
      </c>
      <c r="E2078" s="1290" t="n">
        <f aca="false">C2078*D2078*$E$2075</f>
        <v>0</v>
      </c>
      <c r="F2078" s="1230"/>
      <c r="G2078" s="1290" t="str">
        <f aca="false">G2205</f>
        <v>Монтаж перил</v>
      </c>
      <c r="H2078" s="1290"/>
      <c r="I2078" s="1290" t="n">
        <f aca="false">C2073</f>
        <v>3.6</v>
      </c>
      <c r="J2078" s="1290" t="n">
        <f aca="false">J2205</f>
        <v>500</v>
      </c>
      <c r="K2078" s="1290" t="n">
        <f aca="false">I2078*J2078*$E$2075</f>
        <v>0</v>
      </c>
      <c r="L2078" s="1290"/>
      <c r="M2078" s="1290"/>
      <c r="N2078" s="1230"/>
      <c r="O2078" s="1230"/>
      <c r="P2078" s="1230"/>
      <c r="Q2078" s="1230"/>
      <c r="R2078" s="1230"/>
      <c r="S2078" s="1230"/>
      <c r="T2078" s="1230"/>
      <c r="U2078" s="1230"/>
      <c r="V2078" s="1230"/>
      <c r="W2078" s="1230"/>
      <c r="X2078" s="1230"/>
      <c r="Y2078" s="1230"/>
    </row>
    <row r="2079" customFormat="false" ht="15.75" hidden="false" customHeight="true" outlineLevel="1" collapsed="false">
      <c r="A2079" s="1290" t="str">
        <f aca="false">'Ввод данных'!A594</f>
        <v>Брус клееный проф 2 ламель кедр Шир. 240 выс. 140</v>
      </c>
      <c r="B2079" s="1527" t="s">
        <v>135</v>
      </c>
      <c r="C2079" s="1527" t="n">
        <f aca="false">C2073*VLOOKUP(A2079,'Прайс лист'!B333:G419,5,0)</f>
        <v>0.12096</v>
      </c>
      <c r="D2079" s="1290" t="n">
        <f aca="false">VLOOKUP(A2079,'Прайс лист'!B333:G419,6,0)</f>
        <v>24000</v>
      </c>
      <c r="E2079" s="1290" t="n">
        <f aca="false">C2079*D2079*$E$2075</f>
        <v>0</v>
      </c>
      <c r="F2079" s="1230"/>
      <c r="G2079" s="1290" t="str">
        <f aca="false">G2206</f>
        <v>Монтаж накладки на перила</v>
      </c>
      <c r="H2079" s="1290"/>
      <c r="I2079" s="1290" t="n">
        <f aca="false">C2073</f>
        <v>3.6</v>
      </c>
      <c r="J2079" s="1290" t="n">
        <f aca="false">J2206</f>
        <v>0</v>
      </c>
      <c r="K2079" s="1290" t="n">
        <f aca="false">I2079*J2079*$E$2075</f>
        <v>0</v>
      </c>
      <c r="L2079" s="1290"/>
      <c r="M2079" s="1290"/>
      <c r="N2079" s="1230"/>
      <c r="O2079" s="1230"/>
      <c r="P2079" s="1230"/>
      <c r="Q2079" s="1230"/>
      <c r="R2079" s="1230"/>
      <c r="S2079" s="1230"/>
      <c r="T2079" s="1230"/>
      <c r="U2079" s="1230"/>
      <c r="V2079" s="1230"/>
      <c r="W2079" s="1230"/>
      <c r="X2079" s="1230"/>
      <c r="Y2079" s="1230"/>
    </row>
    <row r="2080" customFormat="false" ht="15.75" hidden="false" customHeight="true" outlineLevel="1" collapsed="false">
      <c r="A2080" s="1290" t="str">
        <f aca="false">'Ввод данных'!A596</f>
        <v>Брус клееный проф 1 ламель кедр Шир. 240 выс. 140</v>
      </c>
      <c r="B2080" s="1527" t="s">
        <v>135</v>
      </c>
      <c r="C2080" s="1527" t="n">
        <f aca="false">(C2073/0.3+1)*VLOOKUP(A2080,'Прайс лист'!B333:G419,5,0)</f>
        <v>0.4368</v>
      </c>
      <c r="D2080" s="1290" t="n">
        <f aca="false">VLOOKUP(A2080,'Прайс лист'!B333:G419,6,0)</f>
        <v>24000</v>
      </c>
      <c r="E2080" s="1290" t="n">
        <f aca="false">C2080*D2080*$E$2075</f>
        <v>0</v>
      </c>
      <c r="F2080" s="1230"/>
      <c r="G2080" s="1290" t="str">
        <f aca="false">'Прайс лист'!B1879</f>
        <v>монтаж веранды/крыльцо</v>
      </c>
      <c r="H2080" s="1290"/>
      <c r="I2080" s="1611" t="n">
        <f aca="false">C2072</f>
        <v>0</v>
      </c>
      <c r="J2080" s="1290" t="n">
        <f aca="false">'Прайс лист'!G1879</f>
        <v>1500</v>
      </c>
      <c r="K2080" s="1290" t="n">
        <f aca="false">I2080*J2080*$E$2075</f>
        <v>0</v>
      </c>
      <c r="L2080" s="1290"/>
      <c r="M2080" s="1290"/>
      <c r="N2080" s="1230"/>
      <c r="O2080" s="1230"/>
      <c r="P2080" s="1230"/>
      <c r="Q2080" s="1230"/>
      <c r="R2080" s="1230"/>
      <c r="S2080" s="1230"/>
      <c r="T2080" s="1230"/>
      <c r="U2080" s="1230"/>
      <c r="V2080" s="1230"/>
      <c r="W2080" s="1230"/>
      <c r="X2080" s="1230"/>
      <c r="Y2080" s="1230"/>
    </row>
    <row r="2081" customFormat="false" ht="15.75" hidden="false" customHeight="true" outlineLevel="1" collapsed="false">
      <c r="A2081" s="1290" t="str">
        <f aca="false">'Ввод данных'!A598</f>
        <v>Клееная накладка на перила шир 240мм</v>
      </c>
      <c r="B2081" s="1527" t="s">
        <v>156</v>
      </c>
      <c r="C2081" s="1527" t="n">
        <f aca="false">C2073</f>
        <v>3.6</v>
      </c>
      <c r="D2081" s="1290" t="n">
        <f aca="false">VLOOKUP(A2081,'Прайс лист'!B420:G424,6,0)</f>
        <v>400</v>
      </c>
      <c r="E2081" s="1290" t="n">
        <f aca="false">C2081*D2081*$E$2075</f>
        <v>0</v>
      </c>
      <c r="F2081" s="1230"/>
      <c r="G2081" s="1290"/>
      <c r="H2081" s="1290"/>
      <c r="I2081" s="1611"/>
      <c r="K2081" s="1290"/>
      <c r="L2081" s="1290"/>
      <c r="M2081" s="1290"/>
      <c r="N2081" s="1230"/>
      <c r="O2081" s="1230"/>
      <c r="P2081" s="1230"/>
      <c r="Q2081" s="1230"/>
      <c r="R2081" s="1230"/>
      <c r="S2081" s="1230"/>
      <c r="T2081" s="1230"/>
      <c r="U2081" s="1230"/>
      <c r="V2081" s="1230"/>
      <c r="W2081" s="1230"/>
      <c r="X2081" s="1230"/>
      <c r="Y2081" s="1230"/>
    </row>
    <row r="2082" customFormat="false" ht="15.75" hidden="false" customHeight="true" outlineLevel="1" collapsed="false">
      <c r="A2082" s="1230"/>
      <c r="B2082" s="1771"/>
      <c r="C2082" s="1771"/>
      <c r="D2082" s="1230"/>
      <c r="E2082" s="1230"/>
      <c r="F2082" s="1230"/>
      <c r="G2082" s="1230"/>
      <c r="H2082" s="1230"/>
      <c r="I2082" s="1770"/>
      <c r="J2082" s="1230"/>
      <c r="K2082" s="1230"/>
      <c r="L2082" s="1230"/>
      <c r="M2082" s="1230"/>
      <c r="N2082" s="1230"/>
      <c r="O2082" s="1230"/>
      <c r="P2082" s="1230"/>
      <c r="Q2082" s="1230"/>
      <c r="R2082" s="1230"/>
      <c r="S2082" s="1230"/>
      <c r="T2082" s="1230"/>
      <c r="U2082" s="1230"/>
      <c r="V2082" s="1230"/>
      <c r="W2082" s="1230"/>
      <c r="X2082" s="1230"/>
      <c r="Y2082" s="1230"/>
    </row>
    <row r="2083" customFormat="false" ht="15.75" hidden="false" customHeight="true" outlineLevel="1" collapsed="false">
      <c r="A2083" s="1230"/>
      <c r="B2083" s="1771"/>
      <c r="C2083" s="1771"/>
      <c r="D2083" s="1230"/>
      <c r="E2083" s="1230"/>
      <c r="F2083" s="1230"/>
      <c r="G2083" s="1230"/>
      <c r="H2083" s="1230"/>
      <c r="I2083" s="1770"/>
      <c r="J2083" s="1230"/>
      <c r="K2083" s="1230"/>
      <c r="L2083" s="1230"/>
      <c r="M2083" s="1230"/>
      <c r="N2083" s="1230"/>
      <c r="O2083" s="1230"/>
      <c r="P2083" s="1230"/>
      <c r="Q2083" s="1230"/>
      <c r="R2083" s="1230"/>
      <c r="S2083" s="1230"/>
      <c r="T2083" s="1230"/>
      <c r="U2083" s="1230"/>
      <c r="V2083" s="1230"/>
      <c r="W2083" s="1230"/>
      <c r="X2083" s="1230"/>
      <c r="Y2083" s="1230"/>
    </row>
    <row r="2084" customFormat="false" ht="15.75" hidden="false" customHeight="true" outlineLevel="1" collapsed="false">
      <c r="A2084" s="1230"/>
      <c r="B2084" s="1771"/>
      <c r="C2084" s="1771"/>
      <c r="D2084" s="1230"/>
      <c r="E2084" s="1230"/>
      <c r="F2084" s="1230"/>
      <c r="G2084" s="1230"/>
      <c r="H2084" s="1230"/>
      <c r="I2084" s="1770"/>
      <c r="J2084" s="1230"/>
      <c r="K2084" s="1230"/>
      <c r="L2084" s="1230"/>
      <c r="M2084" s="1230"/>
      <c r="N2084" s="1230"/>
      <c r="O2084" s="1230"/>
      <c r="P2084" s="1230"/>
      <c r="Q2084" s="1230"/>
      <c r="R2084" s="1230"/>
      <c r="S2084" s="1230"/>
      <c r="T2084" s="1230"/>
      <c r="U2084" s="1230"/>
      <c r="V2084" s="1230"/>
      <c r="W2084" s="1230"/>
      <c r="X2084" s="1230"/>
      <c r="Y2084" s="1230"/>
    </row>
    <row r="2085" customFormat="false" ht="15.75" hidden="false" customHeight="true" outlineLevel="1" collapsed="false">
      <c r="A2085" s="1230"/>
      <c r="B2085" s="1771"/>
      <c r="C2085" s="1771"/>
      <c r="D2085" s="1230"/>
      <c r="E2085" s="1230"/>
      <c r="F2085" s="1230"/>
      <c r="G2085" s="1230"/>
      <c r="H2085" s="1230"/>
      <c r="I2085" s="1770"/>
      <c r="J2085" s="1230"/>
      <c r="K2085" s="1230"/>
      <c r="L2085" s="1230"/>
      <c r="M2085" s="1230"/>
      <c r="N2085" s="1230"/>
      <c r="O2085" s="1230"/>
      <c r="P2085" s="1230"/>
      <c r="Q2085" s="1230"/>
      <c r="R2085" s="1230"/>
      <c r="S2085" s="1230"/>
      <c r="T2085" s="1230"/>
      <c r="U2085" s="1230"/>
      <c r="V2085" s="1230"/>
      <c r="W2085" s="1230"/>
      <c r="X2085" s="1230"/>
      <c r="Y2085" s="1230"/>
    </row>
    <row r="2086" customFormat="false" ht="15.75" hidden="false" customHeight="true" outlineLevel="1" collapsed="false">
      <c r="A2086" s="1230"/>
      <c r="B2086" s="1771"/>
      <c r="C2086" s="1771"/>
      <c r="D2086" s="1230"/>
      <c r="E2086" s="1230"/>
      <c r="F2086" s="1230"/>
      <c r="G2086" s="1230"/>
      <c r="H2086" s="1230"/>
      <c r="I2086" s="1770"/>
      <c r="J2086" s="1230"/>
      <c r="K2086" s="1230"/>
      <c r="L2086" s="1230"/>
      <c r="M2086" s="1230"/>
      <c r="N2086" s="1230"/>
      <c r="O2086" s="1230"/>
      <c r="P2086" s="1230"/>
      <c r="Q2086" s="1230"/>
      <c r="R2086" s="1230"/>
      <c r="S2086" s="1230"/>
      <c r="T2086" s="1230"/>
      <c r="U2086" s="1230"/>
      <c r="V2086" s="1230"/>
      <c r="W2086" s="1230"/>
      <c r="X2086" s="1230"/>
      <c r="Y2086" s="1230"/>
    </row>
    <row r="2087" customFormat="false" ht="15.75" hidden="false" customHeight="true" outlineLevel="1" collapsed="false">
      <c r="A2087" s="1230"/>
      <c r="B2087" s="1771"/>
      <c r="C2087" s="1771"/>
      <c r="D2087" s="1230"/>
      <c r="E2087" s="1230"/>
      <c r="F2087" s="1230"/>
      <c r="G2087" s="1230"/>
      <c r="H2087" s="1230"/>
      <c r="I2087" s="1770"/>
      <c r="J2087" s="1230"/>
      <c r="K2087" s="1230"/>
      <c r="L2087" s="1230"/>
      <c r="M2087" s="1230"/>
      <c r="N2087" s="1230"/>
      <c r="O2087" s="1230"/>
      <c r="P2087" s="1230"/>
      <c r="Q2087" s="1230"/>
      <c r="R2087" s="1230"/>
      <c r="S2087" s="1230"/>
      <c r="T2087" s="1230"/>
      <c r="U2087" s="1230"/>
      <c r="V2087" s="1230"/>
      <c r="W2087" s="1230"/>
      <c r="X2087" s="1230"/>
      <c r="Y2087" s="1230"/>
    </row>
    <row r="2088" customFormat="false" ht="15.75" hidden="false" customHeight="true" outlineLevel="1" collapsed="false">
      <c r="A2088" s="1230"/>
      <c r="B2088" s="1771"/>
      <c r="C2088" s="1771"/>
      <c r="D2088" s="1230"/>
      <c r="E2088" s="1230"/>
      <c r="F2088" s="1230"/>
      <c r="G2088" s="1230"/>
      <c r="H2088" s="1230"/>
      <c r="I2088" s="1770"/>
      <c r="J2088" s="1230"/>
      <c r="K2088" s="1230"/>
      <c r="L2088" s="1230"/>
      <c r="M2088" s="1230"/>
      <c r="N2088" s="1230"/>
      <c r="O2088" s="1230"/>
      <c r="P2088" s="1230"/>
      <c r="Q2088" s="1230"/>
      <c r="R2088" s="1230"/>
      <c r="S2088" s="1230"/>
      <c r="T2088" s="1230"/>
      <c r="U2088" s="1230"/>
      <c r="V2088" s="1230"/>
      <c r="W2088" s="1230"/>
      <c r="X2088" s="1230"/>
      <c r="Y2088" s="1230"/>
    </row>
    <row r="2089" customFormat="false" ht="15.75" hidden="false" customHeight="true" outlineLevel="1" collapsed="false">
      <c r="A2089" s="1230"/>
      <c r="B2089" s="1771"/>
      <c r="C2089" s="1771"/>
      <c r="D2089" s="1230"/>
      <c r="E2089" s="1230"/>
      <c r="F2089" s="1230"/>
      <c r="G2089" s="1230"/>
      <c r="H2089" s="1230"/>
      <c r="I2089" s="1770"/>
      <c r="J2089" s="1230"/>
      <c r="K2089" s="1230"/>
      <c r="L2089" s="1230"/>
      <c r="M2089" s="1230"/>
      <c r="N2089" s="1230"/>
      <c r="O2089" s="1230"/>
      <c r="P2089" s="1230"/>
      <c r="Q2089" s="1230"/>
      <c r="R2089" s="1230"/>
      <c r="S2089" s="1230"/>
      <c r="T2089" s="1230"/>
      <c r="U2089" s="1230"/>
      <c r="V2089" s="1230"/>
      <c r="W2089" s="1230"/>
      <c r="X2089" s="1230"/>
      <c r="Y2089" s="1230"/>
    </row>
    <row r="2090" customFormat="false" ht="15.75" hidden="false" customHeight="true" outlineLevel="1" collapsed="false">
      <c r="A2090" s="1230"/>
      <c r="B2090" s="1771"/>
      <c r="C2090" s="1771"/>
      <c r="D2090" s="1230"/>
      <c r="E2090" s="1230"/>
      <c r="F2090" s="1230"/>
      <c r="G2090" s="1230"/>
      <c r="H2090" s="1230"/>
      <c r="I2090" s="1770"/>
      <c r="J2090" s="1230"/>
      <c r="K2090" s="1230"/>
      <c r="L2090" s="1230"/>
      <c r="M2090" s="1230"/>
      <c r="N2090" s="1230"/>
      <c r="O2090" s="1230"/>
      <c r="P2090" s="1230"/>
      <c r="Q2090" s="1230"/>
      <c r="R2090" s="1230"/>
      <c r="S2090" s="1230"/>
      <c r="T2090" s="1230"/>
      <c r="U2090" s="1230"/>
      <c r="V2090" s="1230"/>
      <c r="W2090" s="1230"/>
      <c r="X2090" s="1230"/>
      <c r="Y2090" s="1230"/>
    </row>
    <row r="2091" customFormat="false" ht="15.75" hidden="false" customHeight="true" outlineLevel="1" collapsed="false">
      <c r="A2091" s="1230"/>
      <c r="B2091" s="1771"/>
      <c r="C2091" s="1771"/>
      <c r="D2091" s="1230"/>
      <c r="E2091" s="1230"/>
      <c r="F2091" s="1230"/>
      <c r="G2091" s="1230"/>
      <c r="H2091" s="1230"/>
      <c r="I2091" s="1770"/>
      <c r="J2091" s="1230"/>
      <c r="K2091" s="1230"/>
      <c r="L2091" s="1230"/>
      <c r="M2091" s="1230"/>
      <c r="N2091" s="1230"/>
      <c r="O2091" s="1230"/>
      <c r="P2091" s="1230"/>
      <c r="Q2091" s="1230"/>
      <c r="R2091" s="1230"/>
      <c r="S2091" s="1230"/>
      <c r="T2091" s="1230"/>
      <c r="U2091" s="1230"/>
      <c r="V2091" s="1230"/>
      <c r="W2091" s="1230"/>
      <c r="X2091" s="1230"/>
      <c r="Y2091" s="1230"/>
    </row>
    <row r="2092" customFormat="false" ht="15.75" hidden="false" customHeight="true" outlineLevel="1" collapsed="false">
      <c r="A2092" s="1230"/>
      <c r="B2092" s="1771"/>
      <c r="C2092" s="1771"/>
      <c r="D2092" s="1230"/>
      <c r="E2092" s="1230"/>
      <c r="F2092" s="1230"/>
      <c r="G2092" s="1230"/>
      <c r="H2092" s="1230"/>
      <c r="I2092" s="1770"/>
      <c r="J2092" s="1230"/>
      <c r="K2092" s="1230"/>
      <c r="L2092" s="1230"/>
      <c r="M2092" s="1230"/>
      <c r="N2092" s="1230"/>
      <c r="O2092" s="1230"/>
      <c r="P2092" s="1230"/>
      <c r="Q2092" s="1230"/>
      <c r="R2092" s="1230"/>
      <c r="S2092" s="1230"/>
      <c r="T2092" s="1230"/>
      <c r="U2092" s="1230"/>
      <c r="V2092" s="1230"/>
      <c r="W2092" s="1230"/>
      <c r="X2092" s="1230"/>
      <c r="Y2092" s="1230"/>
    </row>
    <row r="2093" customFormat="false" ht="15.75" hidden="false" customHeight="true" outlineLevel="1" collapsed="false">
      <c r="A2093" s="1525" t="s">
        <v>1925</v>
      </c>
      <c r="B2093" s="1930"/>
      <c r="C2093" s="1930"/>
      <c r="D2093" s="1931"/>
      <c r="E2093" s="1931"/>
      <c r="F2093" s="1932"/>
      <c r="G2093" s="1195" t="n">
        <v>1</v>
      </c>
      <c r="H2093" s="1560"/>
      <c r="I2093" s="1532" t="s">
        <v>3823</v>
      </c>
      <c r="J2093" s="387"/>
      <c r="K2093" s="387"/>
      <c r="L2093" s="387"/>
      <c r="M2093" s="387"/>
      <c r="N2093" s="387"/>
      <c r="O2093" s="1230"/>
      <c r="P2093" s="1230"/>
      <c r="Q2093" s="1230"/>
      <c r="R2093" s="1230"/>
      <c r="S2093" s="1230"/>
      <c r="T2093" s="1230"/>
      <c r="U2093" s="1230"/>
      <c r="V2093" s="1230"/>
      <c r="W2093" s="1230"/>
      <c r="X2093" s="1230"/>
      <c r="Y2093" s="1230"/>
    </row>
    <row r="2094" customFormat="false" ht="15.75" hidden="false" customHeight="true" outlineLevel="1" collapsed="false">
      <c r="A2094" s="1153" t="s">
        <v>2734</v>
      </c>
      <c r="B2094" s="1933"/>
      <c r="C2094" s="1933"/>
      <c r="D2094" s="1155"/>
      <c r="E2094" s="1156"/>
      <c r="F2094" s="1154" t="n">
        <v>1</v>
      </c>
      <c r="G2094" s="349"/>
      <c r="H2094" s="349"/>
      <c r="I2094" s="1532"/>
      <c r="J2094" s="387"/>
      <c r="K2094" s="387"/>
      <c r="L2094" s="387"/>
      <c r="M2094" s="387"/>
      <c r="N2094" s="387"/>
      <c r="O2094" s="1230"/>
      <c r="P2094" s="1230"/>
      <c r="Q2094" s="1230"/>
      <c r="R2094" s="1230"/>
      <c r="S2094" s="1230"/>
      <c r="T2094" s="1230"/>
      <c r="U2094" s="1230"/>
      <c r="V2094" s="1230"/>
      <c r="W2094" s="1230"/>
      <c r="X2094" s="1230"/>
      <c r="Y2094" s="1230"/>
    </row>
    <row r="2095" customFormat="false" ht="15.75" hidden="false" customHeight="true" outlineLevel="1" collapsed="false">
      <c r="A2095" s="1934" t="s">
        <v>2750</v>
      </c>
      <c r="B2095" s="1535"/>
      <c r="C2095" s="1935"/>
      <c r="D2095" s="1936"/>
      <c r="E2095" s="1536" t="n">
        <f aca="false">J2095</f>
        <v>4</v>
      </c>
      <c r="F2095" s="1937"/>
      <c r="G2095" s="349" t="s">
        <v>1903</v>
      </c>
      <c r="H2095" s="349"/>
      <c r="I2095" s="1532" t="n">
        <f aca="false">'Ввод данных'!C523</f>
        <v>3</v>
      </c>
      <c r="J2095" s="387" t="n">
        <f aca="false">'Ввод данных'!AY526</f>
        <v>4</v>
      </c>
      <c r="K2095" s="1938" t="s">
        <v>1929</v>
      </c>
      <c r="L2095" s="1938"/>
      <c r="M2095" s="1938"/>
      <c r="N2095" s="1938"/>
      <c r="O2095" s="1230"/>
      <c r="P2095" s="1230"/>
      <c r="Q2095" s="1230"/>
      <c r="R2095" s="1230"/>
      <c r="S2095" s="1230"/>
      <c r="T2095" s="1230"/>
      <c r="U2095" s="1230"/>
      <c r="V2095" s="1230"/>
      <c r="W2095" s="1230"/>
      <c r="X2095" s="1230"/>
      <c r="Y2095" s="1230"/>
    </row>
    <row r="2096" customFormat="false" ht="15.75" hidden="false" customHeight="true" outlineLevel="1" collapsed="false">
      <c r="A2096" s="1934" t="s">
        <v>2753</v>
      </c>
      <c r="B2096" s="1535"/>
      <c r="C2096" s="1935"/>
      <c r="D2096" s="1936"/>
      <c r="E2096" s="1536" t="n">
        <f aca="false">J2097</f>
        <v>4.2</v>
      </c>
      <c r="F2096" s="1937"/>
      <c r="G2096" s="349"/>
      <c r="H2096" s="349"/>
      <c r="I2096" s="1532"/>
      <c r="J2096" s="387" t="n">
        <f aca="false">'Ввод данных'!AY524</f>
        <v>4.5</v>
      </c>
      <c r="K2096" s="1938" t="s">
        <v>1931</v>
      </c>
      <c r="L2096" s="1938"/>
      <c r="M2096" s="1938"/>
      <c r="N2096" s="1938"/>
      <c r="O2096" s="1230"/>
      <c r="P2096" s="1230"/>
      <c r="Q2096" s="1230"/>
      <c r="R2096" s="1230"/>
      <c r="S2096" s="1230"/>
      <c r="T2096" s="1230"/>
      <c r="U2096" s="1230"/>
      <c r="V2096" s="1230"/>
      <c r="W2096" s="1230"/>
      <c r="X2096" s="1230"/>
      <c r="Y2096" s="1230"/>
    </row>
    <row r="2097" customFormat="false" ht="15.75" hidden="false" customHeight="true" outlineLevel="1" collapsed="false">
      <c r="A2097" s="1934" t="s">
        <v>3824</v>
      </c>
      <c r="B2097" s="1535"/>
      <c r="C2097" s="1935"/>
      <c r="D2097" s="1936"/>
      <c r="E2097" s="1536" t="n">
        <f aca="false">J2099</f>
        <v>7</v>
      </c>
      <c r="F2097" s="1937"/>
      <c r="G2097" s="349"/>
      <c r="H2097" s="349"/>
      <c r="I2097" s="1532"/>
      <c r="J2097" s="387" t="n">
        <f aca="false">'Ввод данных'!AY527</f>
        <v>4.2</v>
      </c>
      <c r="K2097" s="1938" t="s">
        <v>1933</v>
      </c>
      <c r="L2097" s="1938"/>
      <c r="M2097" s="1938"/>
      <c r="N2097" s="1938"/>
      <c r="O2097" s="1230"/>
      <c r="P2097" s="1230"/>
      <c r="Q2097" s="1230"/>
      <c r="R2097" s="1230"/>
      <c r="S2097" s="1230"/>
      <c r="T2097" s="1230"/>
      <c r="U2097" s="1230"/>
      <c r="V2097" s="1230"/>
      <c r="W2097" s="1230"/>
      <c r="X2097" s="1230"/>
      <c r="Y2097" s="1230"/>
    </row>
    <row r="2098" customFormat="false" ht="15.75" hidden="false" customHeight="true" outlineLevel="1" collapsed="false">
      <c r="A2098" s="548" t="s">
        <v>2767</v>
      </c>
      <c r="B2098" s="1939"/>
      <c r="C2098" s="1940"/>
      <c r="D2098" s="1171" t="s">
        <v>1937</v>
      </c>
      <c r="E2098" s="1536" t="n">
        <f aca="false">J2101</f>
        <v>60</v>
      </c>
      <c r="F2098" s="1937" t="s">
        <v>3434</v>
      </c>
      <c r="G2098" s="349" t="n">
        <f aca="false">E2098*(3.14/180)</f>
        <v>1.04666666666667</v>
      </c>
      <c r="H2098" s="349"/>
      <c r="I2098" s="1532"/>
      <c r="J2098" s="387" t="n">
        <f aca="false">J2099-J2096</f>
        <v>2.5</v>
      </c>
      <c r="K2098" s="387" t="s">
        <v>1934</v>
      </c>
      <c r="L2098" s="387"/>
      <c r="M2098" s="387"/>
      <c r="N2098" s="387"/>
      <c r="O2098" s="1230"/>
      <c r="P2098" s="1230"/>
      <c r="Q2098" s="1230"/>
      <c r="R2098" s="1230"/>
      <c r="S2098" s="1230"/>
      <c r="T2098" s="1230"/>
      <c r="U2098" s="1230"/>
      <c r="V2098" s="1230"/>
      <c r="W2098" s="1230"/>
      <c r="X2098" s="1230"/>
      <c r="Y2098" s="1230"/>
    </row>
    <row r="2099" customFormat="false" ht="15.75" hidden="false" customHeight="true" outlineLevel="1" collapsed="false">
      <c r="A2099" s="1941" t="s">
        <v>1236</v>
      </c>
      <c r="B2099" s="1942"/>
      <c r="C2099" s="1943"/>
      <c r="D2099" s="1944" t="s">
        <v>3438</v>
      </c>
      <c r="E2099" s="1944" t="s">
        <v>1753</v>
      </c>
      <c r="F2099" s="1230"/>
      <c r="G2099" s="1230"/>
      <c r="H2099" s="1230"/>
      <c r="I2099" s="1532"/>
      <c r="J2099" s="387" t="n">
        <f aca="false">'Ввод данных'!AY528</f>
        <v>7</v>
      </c>
      <c r="K2099" s="1938" t="s">
        <v>1935</v>
      </c>
      <c r="L2099" s="1938"/>
      <c r="M2099" s="1938"/>
      <c r="N2099" s="1938"/>
      <c r="O2099" s="1230"/>
      <c r="P2099" s="1230"/>
      <c r="Q2099" s="1230"/>
      <c r="R2099" s="1230"/>
      <c r="S2099" s="1230"/>
      <c r="T2099" s="1230"/>
      <c r="U2099" s="1230"/>
      <c r="V2099" s="1230"/>
      <c r="W2099" s="1230"/>
      <c r="X2099" s="1230"/>
      <c r="Y2099" s="1230"/>
    </row>
    <row r="2100" customFormat="false" ht="15.75" hidden="false" customHeight="true" outlineLevel="1" collapsed="false">
      <c r="A2100" s="1945" t="s">
        <v>1820</v>
      </c>
      <c r="B2100" s="1946"/>
      <c r="C2100" s="1946"/>
      <c r="D2100" s="1947"/>
      <c r="E2100" s="1948" t="n">
        <f aca="false">IF('Ввод данных'!A560=связи1!A107,1,0)</f>
        <v>1</v>
      </c>
      <c r="F2100" s="1949"/>
      <c r="G2100" s="537" t="n">
        <f aca="false">IF('Ввод данных'!A560=связи1!A106,1,0)</f>
        <v>0</v>
      </c>
      <c r="H2100" s="349"/>
      <c r="I2100" s="1532"/>
      <c r="J2100" s="387"/>
      <c r="K2100" s="1938"/>
      <c r="L2100" s="1938"/>
      <c r="M2100" s="1938"/>
      <c r="N2100" s="1938"/>
      <c r="O2100" s="1230"/>
      <c r="P2100" s="1230"/>
      <c r="Q2100" s="1230"/>
      <c r="R2100" s="1230"/>
      <c r="S2100" s="1230"/>
      <c r="T2100" s="1230"/>
      <c r="U2100" s="1230"/>
      <c r="V2100" s="1230"/>
      <c r="W2100" s="1230"/>
      <c r="X2100" s="1230"/>
      <c r="Y2100" s="1230"/>
    </row>
    <row r="2101" customFormat="false" ht="15.75" hidden="false" customHeight="true" outlineLevel="1" collapsed="false">
      <c r="A2101" s="1538" t="s">
        <v>2555</v>
      </c>
      <c r="B2101" s="1946"/>
      <c r="C2101" s="1950"/>
      <c r="D2101" s="1948" t="s">
        <v>156</v>
      </c>
      <c r="E2101" s="517" t="n">
        <f aca="false">'Ввод данных'!C524*IF('Ввод данных'!C521=1,1,1)</f>
        <v>2.7</v>
      </c>
      <c r="F2101" s="1193"/>
      <c r="G2101" s="537" t="n">
        <f aca="false">E2101</f>
        <v>2.7</v>
      </c>
      <c r="H2101" s="349"/>
      <c r="I2101" s="1522"/>
      <c r="J2101" s="387" t="n">
        <f aca="false">'Ввод данных'!AY529</f>
        <v>60</v>
      </c>
      <c r="K2101" s="1938" t="s">
        <v>1936</v>
      </c>
      <c r="L2101" s="1938"/>
      <c r="M2101" s="1938"/>
      <c r="N2101" s="1938"/>
      <c r="O2101" s="1230"/>
      <c r="P2101" s="1230"/>
      <c r="Q2101" s="1230"/>
      <c r="R2101" s="1230"/>
      <c r="S2101" s="1230"/>
      <c r="T2101" s="1230"/>
      <c r="U2101" s="1230"/>
      <c r="V2101" s="1230"/>
      <c r="W2101" s="1230"/>
      <c r="X2101" s="1230"/>
      <c r="Y2101" s="1230"/>
    </row>
    <row r="2102" customFormat="false" ht="15.75" hidden="false" customHeight="true" outlineLevel="1" collapsed="false">
      <c r="A2102" s="1945" t="s">
        <v>3825</v>
      </c>
      <c r="B2102" s="1946"/>
      <c r="C2102" s="1946"/>
      <c r="D2102" s="1948" t="s">
        <v>156</v>
      </c>
      <c r="E2102" s="517" t="n">
        <f aca="false">'Ввод данных'!C525*IF('Ввод данных'!C521=2,1,0)</f>
        <v>0</v>
      </c>
      <c r="F2102" s="1193"/>
      <c r="G2102" s="537" t="n">
        <f aca="false">E2102</f>
        <v>0</v>
      </c>
      <c r="H2102" s="349"/>
      <c r="I2102" s="1522"/>
      <c r="J2102" s="387"/>
      <c r="K2102" s="1938"/>
      <c r="L2102" s="1938"/>
      <c r="M2102" s="1938"/>
      <c r="N2102" s="1938"/>
      <c r="O2102" s="1230"/>
      <c r="P2102" s="1230"/>
      <c r="Q2102" s="1230"/>
      <c r="R2102" s="1230"/>
      <c r="S2102" s="1230"/>
      <c r="T2102" s="1230"/>
      <c r="U2102" s="1230"/>
      <c r="V2102" s="1230"/>
      <c r="W2102" s="1230"/>
      <c r="X2102" s="1230"/>
      <c r="Y2102" s="1230"/>
    </row>
    <row r="2103" customFormat="false" ht="15.75" hidden="false" customHeight="true" outlineLevel="1" collapsed="false">
      <c r="A2103" s="1951" t="str">
        <f aca="false">'Ввод данных'!A526</f>
        <v>высота от перекрытия 0 этажа до конька, Е</v>
      </c>
      <c r="B2103" s="1952"/>
      <c r="C2103" s="1952"/>
      <c r="D2103" s="1953"/>
      <c r="E2103" s="537" t="n">
        <f aca="false">'Ввод данных'!C526</f>
        <v>4.5</v>
      </c>
      <c r="F2103" s="349"/>
      <c r="G2103" s="517" t="n">
        <f aca="false">E2103</f>
        <v>4.5</v>
      </c>
      <c r="H2103" s="1954"/>
      <c r="I2103" s="1522"/>
      <c r="J2103" s="387"/>
      <c r="K2103" s="387"/>
      <c r="L2103" s="387"/>
      <c r="M2103" s="387"/>
      <c r="N2103" s="387"/>
      <c r="O2103" s="1230"/>
      <c r="P2103" s="1230"/>
      <c r="Q2103" s="1230"/>
      <c r="R2103" s="1230"/>
      <c r="S2103" s="1230"/>
      <c r="T2103" s="1230"/>
      <c r="U2103" s="1230"/>
      <c r="V2103" s="1230"/>
      <c r="W2103" s="1230"/>
      <c r="X2103" s="1230"/>
      <c r="Y2103" s="1230"/>
    </row>
    <row r="2104" customFormat="false" ht="15.75" hidden="false" customHeight="true" outlineLevel="1" collapsed="false">
      <c r="A2104" s="1955" t="s">
        <v>2743</v>
      </c>
      <c r="B2104" s="1956"/>
      <c r="C2104" s="1605"/>
      <c r="D2104" s="1017" t="s">
        <v>156</v>
      </c>
      <c r="E2104" s="1017" t="n">
        <f aca="false">'Ввод данных'!C522</f>
        <v>3</v>
      </c>
      <c r="F2104" s="1954"/>
      <c r="G2104" s="537" t="n">
        <f aca="false">E2104</f>
        <v>3</v>
      </c>
      <c r="H2104" s="349"/>
      <c r="I2104" s="1522"/>
      <c r="J2104" s="387"/>
      <c r="K2104" s="387"/>
      <c r="L2104" s="387"/>
      <c r="M2104" s="387"/>
      <c r="N2104" s="387"/>
      <c r="O2104" s="1230"/>
      <c r="P2104" s="1230"/>
      <c r="Q2104" s="1230"/>
      <c r="R2104" s="1230"/>
      <c r="S2104" s="1230"/>
      <c r="T2104" s="1230"/>
      <c r="U2104" s="1230"/>
      <c r="V2104" s="1230"/>
      <c r="W2104" s="1230"/>
      <c r="X2104" s="1230"/>
      <c r="Y2104" s="1230"/>
    </row>
    <row r="2105" customFormat="false" ht="15.75" hidden="false" customHeight="true" outlineLevel="1" collapsed="false">
      <c r="A2105" s="1955" t="s">
        <v>1903</v>
      </c>
      <c r="B2105" s="1956"/>
      <c r="C2105" s="1605"/>
      <c r="D2105" s="1017"/>
      <c r="E2105" s="1017" t="n">
        <f aca="false">'Ввод данных'!C523</f>
        <v>3</v>
      </c>
      <c r="F2105" s="1954"/>
      <c r="G2105" s="537" t="n">
        <f aca="false">E2105</f>
        <v>3</v>
      </c>
      <c r="H2105" s="349"/>
      <c r="I2105" s="1522"/>
      <c r="J2105" s="387"/>
      <c r="K2105" s="387"/>
      <c r="L2105" s="387"/>
      <c r="M2105" s="387"/>
      <c r="N2105" s="387"/>
      <c r="O2105" s="1230"/>
      <c r="P2105" s="1230"/>
      <c r="Q2105" s="1230"/>
      <c r="R2105" s="1230"/>
      <c r="S2105" s="1230"/>
      <c r="T2105" s="1230"/>
      <c r="U2105" s="1230"/>
      <c r="V2105" s="1230"/>
      <c r="W2105" s="1230"/>
      <c r="X2105" s="1230"/>
      <c r="Y2105" s="1230"/>
    </row>
    <row r="2106" customFormat="false" ht="15.75" hidden="false" customHeight="true" outlineLevel="1" collapsed="false">
      <c r="A2106" s="1955" t="s">
        <v>2600</v>
      </c>
      <c r="B2106" s="1956"/>
      <c r="C2106" s="1605"/>
      <c r="D2106" s="1017" t="s">
        <v>156</v>
      </c>
      <c r="E2106" s="1017" t="n">
        <f aca="false">SQRT((E2104+E2107*2)/2*(E2104+E2107*2)/2+(E2103-(E2101+E2102+0.2))*(E2103-(E2101+E2102+0.2)))</f>
        <v>2.56124969497314</v>
      </c>
      <c r="F2106" s="1954"/>
      <c r="G2106" s="517" t="n">
        <f aca="false">SQRT((E2105+E2107*2)/2*(E2105+E2107*2)/2+(E2103-(E2101+E2102+0.2))*(E2103-(E2101+E2102+0.2)))</f>
        <v>2.56124969497314</v>
      </c>
      <c r="H2106" s="1954"/>
      <c r="I2106" s="1522"/>
      <c r="J2106" s="1957"/>
      <c r="K2106" s="387"/>
      <c r="L2106" s="387"/>
      <c r="M2106" s="387"/>
      <c r="N2106" s="387"/>
      <c r="O2106" s="1230"/>
      <c r="P2106" s="1230"/>
      <c r="Q2106" s="1230"/>
      <c r="R2106" s="1230"/>
      <c r="S2106" s="1230"/>
      <c r="T2106" s="1230"/>
      <c r="U2106" s="1230"/>
      <c r="V2106" s="1230"/>
      <c r="W2106" s="1230"/>
      <c r="X2106" s="1230"/>
      <c r="Y2106" s="1230"/>
    </row>
    <row r="2107" customFormat="false" ht="15.75" hidden="false" customHeight="true" outlineLevel="1" collapsed="false">
      <c r="A2107" s="1955" t="s">
        <v>1927</v>
      </c>
      <c r="B2107" s="1956"/>
      <c r="C2107" s="1605"/>
      <c r="D2107" s="1017" t="s">
        <v>156</v>
      </c>
      <c r="E2107" s="910" t="n">
        <f aca="false">'Ввод данных'!C557</f>
        <v>0.5</v>
      </c>
      <c r="F2107" s="1958"/>
      <c r="G2107" s="517"/>
      <c r="H2107" s="1954"/>
      <c r="I2107" s="1522"/>
      <c r="J2107" s="1957"/>
      <c r="K2107" s="387"/>
      <c r="L2107" s="387"/>
      <c r="M2107" s="387"/>
      <c r="N2107" s="387"/>
      <c r="O2107" s="1230"/>
      <c r="P2107" s="1230"/>
      <c r="Q2107" s="1230"/>
      <c r="R2107" s="1230"/>
      <c r="S2107" s="1230"/>
      <c r="T2107" s="1230"/>
      <c r="U2107" s="1230"/>
      <c r="V2107" s="1230"/>
      <c r="W2107" s="1230"/>
      <c r="X2107" s="1230"/>
      <c r="Y2107" s="1230"/>
    </row>
    <row r="2108" customFormat="false" ht="15.75" hidden="false" customHeight="true" outlineLevel="1" collapsed="false">
      <c r="A2108" s="1955" t="s">
        <v>1896</v>
      </c>
      <c r="B2108" s="1956"/>
      <c r="C2108" s="1605"/>
      <c r="D2108" s="1017" t="s">
        <v>156</v>
      </c>
      <c r="E2108" s="910" t="n">
        <f aca="false">'Ввод данных'!C558</f>
        <v>0.8</v>
      </c>
      <c r="F2108" s="1958"/>
      <c r="G2108" s="1017"/>
      <c r="H2108" s="501"/>
      <c r="I2108" s="1522"/>
      <c r="J2108" s="387"/>
      <c r="K2108" s="387"/>
      <c r="L2108" s="387"/>
      <c r="M2108" s="387"/>
      <c r="N2108" s="387"/>
      <c r="O2108" s="1230"/>
      <c r="P2108" s="1230"/>
      <c r="Q2108" s="1230"/>
      <c r="R2108" s="1230"/>
      <c r="S2108" s="1230"/>
      <c r="T2108" s="1230"/>
      <c r="U2108" s="1230"/>
      <c r="V2108" s="1230"/>
      <c r="W2108" s="1230"/>
      <c r="X2108" s="1230"/>
      <c r="Y2108" s="1230"/>
    </row>
    <row r="2109" customFormat="false" ht="15.75" hidden="false" customHeight="true" outlineLevel="1" collapsed="false">
      <c r="A2109" s="1959" t="s">
        <v>2765</v>
      </c>
      <c r="B2109" s="1952"/>
      <c r="C2109" s="1607"/>
      <c r="D2109" s="537" t="s">
        <v>156</v>
      </c>
      <c r="E2109" s="537"/>
      <c r="F2109" s="387"/>
      <c r="G2109" s="1017"/>
      <c r="H2109" s="501"/>
      <c r="I2109" s="1522"/>
      <c r="J2109" s="387"/>
      <c r="K2109" s="387"/>
      <c r="L2109" s="387"/>
      <c r="M2109" s="387"/>
      <c r="N2109" s="387"/>
      <c r="O2109" s="1230"/>
      <c r="P2109" s="1230"/>
      <c r="Q2109" s="1230"/>
      <c r="R2109" s="1230"/>
      <c r="S2109" s="1230"/>
      <c r="T2109" s="1230"/>
      <c r="U2109" s="1230"/>
      <c r="V2109" s="1230"/>
      <c r="W2109" s="1230"/>
      <c r="X2109" s="1230"/>
      <c r="Y2109" s="1230"/>
    </row>
    <row r="2110" customFormat="false" ht="15.75" hidden="false" customHeight="true" outlineLevel="1" collapsed="false">
      <c r="A2110" s="1959" t="s">
        <v>2768</v>
      </c>
      <c r="B2110" s="1952"/>
      <c r="C2110" s="1607"/>
      <c r="D2110" s="537" t="s">
        <v>156</v>
      </c>
      <c r="E2110" s="537" t="n">
        <f aca="false">E2105+E2108</f>
        <v>3.8</v>
      </c>
      <c r="F2110" s="1230"/>
      <c r="G2110" s="537" t="n">
        <f aca="false">E2104+E2108+E2108</f>
        <v>4.6</v>
      </c>
      <c r="H2110" s="349"/>
      <c r="I2110" s="1522" t="n">
        <f aca="false">E2110*E2100</f>
        <v>3.8</v>
      </c>
      <c r="J2110" s="387"/>
      <c r="K2110" s="387"/>
      <c r="L2110" s="387"/>
      <c r="M2110" s="387"/>
      <c r="N2110" s="387"/>
      <c r="O2110" s="1230"/>
      <c r="P2110" s="1230"/>
      <c r="Q2110" s="1230"/>
      <c r="R2110" s="1230"/>
      <c r="S2110" s="1230"/>
      <c r="T2110" s="1230"/>
      <c r="U2110" s="1230"/>
      <c r="V2110" s="1230"/>
      <c r="W2110" s="1230"/>
      <c r="X2110" s="1230"/>
      <c r="Y2110" s="1230"/>
    </row>
    <row r="2111" customFormat="false" ht="15.75" hidden="false" customHeight="true" outlineLevel="1" collapsed="false">
      <c r="A2111" s="1955" t="s">
        <v>2773</v>
      </c>
      <c r="B2111" s="1956"/>
      <c r="C2111" s="1605"/>
      <c r="D2111" s="1017" t="s">
        <v>133</v>
      </c>
      <c r="E2111" s="1017" t="n">
        <f aca="false">E2106*E2110*2</f>
        <v>19.4654976817959</v>
      </c>
      <c r="F2111" s="1230"/>
      <c r="G2111" s="537" t="n">
        <f aca="false">G2110*G2106</f>
        <v>11.7817485968764</v>
      </c>
      <c r="H2111" s="349"/>
      <c r="I2111" s="1522"/>
      <c r="J2111" s="1958"/>
      <c r="K2111" s="387"/>
      <c r="L2111" s="387"/>
      <c r="M2111" s="387"/>
      <c r="N2111" s="387"/>
      <c r="O2111" s="1230"/>
      <c r="P2111" s="1230"/>
      <c r="Q2111" s="1230"/>
      <c r="R2111" s="1230"/>
      <c r="S2111" s="1230"/>
      <c r="T2111" s="1230"/>
      <c r="U2111" s="1230"/>
      <c r="V2111" s="1230"/>
      <c r="W2111" s="1230"/>
      <c r="X2111" s="1230"/>
      <c r="Y2111" s="1230"/>
    </row>
    <row r="2112" customFormat="false" ht="15.75" hidden="false" customHeight="true" outlineLevel="1" collapsed="false">
      <c r="A2112" s="1955" t="s">
        <v>2766</v>
      </c>
      <c r="B2112" s="1956"/>
      <c r="C2112" s="1605"/>
      <c r="D2112" s="1017" t="s">
        <v>133</v>
      </c>
      <c r="E2112" s="1017"/>
      <c r="F2112" s="501"/>
      <c r="G2112" s="1017"/>
      <c r="H2112" s="501"/>
      <c r="I2112" s="1522"/>
      <c r="J2112" s="387"/>
      <c r="K2112" s="387"/>
      <c r="L2112" s="387"/>
      <c r="M2112" s="387"/>
      <c r="N2112" s="387"/>
      <c r="O2112" s="1230"/>
      <c r="P2112" s="1230"/>
      <c r="Q2112" s="1230"/>
      <c r="R2112" s="1230"/>
      <c r="S2112" s="1230"/>
      <c r="T2112" s="1230"/>
      <c r="U2112" s="1230"/>
      <c r="V2112" s="1230"/>
      <c r="W2112" s="1230"/>
      <c r="X2112" s="1230"/>
      <c r="Y2112" s="1230"/>
    </row>
    <row r="2113" customFormat="false" ht="15.75" hidden="false" customHeight="true" outlineLevel="1" collapsed="false">
      <c r="A2113" s="1955" t="s">
        <v>2781</v>
      </c>
      <c r="B2113" s="1956"/>
      <c r="C2113" s="1605"/>
      <c r="D2113" s="1017" t="s">
        <v>133</v>
      </c>
      <c r="E2113" s="1017" t="n">
        <f aca="false">E2111</f>
        <v>19.4654976817959</v>
      </c>
      <c r="F2113" s="1230"/>
      <c r="G2113" s="1017" t="n">
        <f aca="false">G2111</f>
        <v>11.7817485968764</v>
      </c>
      <c r="H2113" s="501"/>
      <c r="I2113" s="1522"/>
      <c r="J2113" s="501"/>
      <c r="K2113" s="387"/>
      <c r="L2113" s="387"/>
      <c r="M2113" s="387"/>
      <c r="N2113" s="387"/>
      <c r="O2113" s="1230"/>
      <c r="P2113" s="1230"/>
      <c r="Q2113" s="1230"/>
      <c r="R2113" s="1230"/>
      <c r="S2113" s="1230"/>
      <c r="T2113" s="1230"/>
      <c r="U2113" s="1230"/>
      <c r="V2113" s="1230"/>
      <c r="W2113" s="1230"/>
      <c r="X2113" s="1230"/>
      <c r="Y2113" s="1230"/>
    </row>
    <row r="2114" customFormat="false" ht="15.75" hidden="false" customHeight="true" outlineLevel="1" collapsed="false">
      <c r="A2114" s="537" t="s">
        <v>2774</v>
      </c>
      <c r="B2114" s="1178"/>
      <c r="C2114" s="1178"/>
      <c r="D2114" s="537" t="s">
        <v>133</v>
      </c>
      <c r="E2114" s="537"/>
      <c r="F2114" s="387"/>
      <c r="G2114" s="1017"/>
      <c r="H2114" s="501"/>
      <c r="I2114" s="1522" t="n">
        <f aca="false">E2113*E2100+G2113*G2100</f>
        <v>19.4654976817959</v>
      </c>
      <c r="J2114" s="387" t="s">
        <v>2623</v>
      </c>
      <c r="K2114" s="387"/>
      <c r="L2114" s="387"/>
      <c r="M2114" s="387"/>
      <c r="N2114" s="387"/>
      <c r="O2114" s="1230"/>
      <c r="P2114" s="1230"/>
      <c r="Q2114" s="1230"/>
      <c r="R2114" s="1230"/>
      <c r="S2114" s="1230"/>
      <c r="T2114" s="1230"/>
      <c r="U2114" s="1230"/>
      <c r="V2114" s="1230"/>
      <c r="W2114" s="1230"/>
      <c r="X2114" s="1230"/>
      <c r="Y2114" s="1230"/>
    </row>
    <row r="2115" customFormat="false" ht="15.75" hidden="false" customHeight="true" outlineLevel="1" collapsed="false">
      <c r="A2115" s="1959" t="s">
        <v>2628</v>
      </c>
      <c r="B2115" s="1952"/>
      <c r="C2115" s="1607"/>
      <c r="D2115" s="537" t="s">
        <v>1820</v>
      </c>
      <c r="E2115" s="537"/>
      <c r="F2115" s="939"/>
      <c r="G2115" s="537"/>
      <c r="H2115" s="349"/>
      <c r="I2115" s="1522" t="n">
        <f aca="false">I2114*1.2</f>
        <v>23.358597218155</v>
      </c>
      <c r="J2115" s="387" t="s">
        <v>3826</v>
      </c>
      <c r="K2115" s="387"/>
      <c r="L2115" s="387"/>
      <c r="M2115" s="387"/>
      <c r="N2115" s="387"/>
      <c r="O2115" s="1230"/>
      <c r="P2115" s="1230"/>
      <c r="Q2115" s="1230"/>
      <c r="R2115" s="1230"/>
      <c r="S2115" s="1230"/>
      <c r="T2115" s="1230"/>
      <c r="U2115" s="1230"/>
      <c r="V2115" s="1230"/>
      <c r="W2115" s="1230"/>
      <c r="X2115" s="1230"/>
      <c r="Y2115" s="1230"/>
    </row>
    <row r="2116" customFormat="false" ht="15.75" hidden="false" customHeight="true" outlineLevel="1" collapsed="false">
      <c r="A2116" s="1613" t="s">
        <v>3518</v>
      </c>
      <c r="B2116" s="1960"/>
      <c r="C2116" s="1961"/>
      <c r="D2116" s="1017" t="s">
        <v>156</v>
      </c>
      <c r="E2116" s="1017" t="n">
        <v>0.15</v>
      </c>
      <c r="F2116" s="939"/>
      <c r="G2116" s="387"/>
      <c r="H2116" s="387"/>
      <c r="I2116" s="1522" t="n">
        <f aca="false">E2110*2*E2100+G2110*G2100</f>
        <v>7.6</v>
      </c>
      <c r="J2116" s="387" t="s">
        <v>3827</v>
      </c>
      <c r="K2116" s="387"/>
      <c r="L2116" s="387"/>
      <c r="M2116" s="387"/>
      <c r="N2116" s="387"/>
      <c r="O2116" s="1230"/>
      <c r="P2116" s="1230"/>
      <c r="Q2116" s="1230"/>
      <c r="R2116" s="1230"/>
      <c r="S2116" s="1230"/>
      <c r="T2116" s="1230"/>
      <c r="U2116" s="1230"/>
      <c r="V2116" s="1230"/>
      <c r="W2116" s="1230"/>
      <c r="X2116" s="1230"/>
      <c r="Y2116" s="1230"/>
    </row>
    <row r="2117" customFormat="false" ht="15.75" hidden="false" customHeight="true" outlineLevel="1" collapsed="false">
      <c r="A2117" s="1962"/>
      <c r="B2117" s="1963"/>
      <c r="C2117" s="1964"/>
      <c r="D2117" s="1017" t="s">
        <v>156</v>
      </c>
      <c r="E2117" s="1017" t="n">
        <v>0.2</v>
      </c>
      <c r="F2117" s="939"/>
      <c r="G2117" s="387"/>
      <c r="H2117" s="387"/>
      <c r="I2117" s="1522" t="n">
        <f aca="false">E2110*2*E2100*2+G2110*G2100*2</f>
        <v>15.2</v>
      </c>
      <c r="J2117" s="387" t="s">
        <v>3516</v>
      </c>
      <c r="K2117" s="387"/>
      <c r="L2117" s="387"/>
      <c r="M2117" s="387"/>
      <c r="N2117" s="387"/>
      <c r="O2117" s="1230"/>
      <c r="P2117" s="1230"/>
      <c r="Q2117" s="1230"/>
      <c r="R2117" s="1230"/>
      <c r="S2117" s="1230"/>
      <c r="T2117" s="1230"/>
      <c r="U2117" s="1230"/>
      <c r="V2117" s="1230"/>
      <c r="W2117" s="1230"/>
      <c r="X2117" s="1230"/>
      <c r="Y2117" s="1230"/>
    </row>
    <row r="2118" customFormat="false" ht="15.75" hidden="false" customHeight="true" outlineLevel="1" collapsed="false">
      <c r="A2118" s="1613" t="s">
        <v>2632</v>
      </c>
      <c r="B2118" s="1960"/>
      <c r="C2118" s="1961"/>
      <c r="D2118" s="1017" t="s">
        <v>156</v>
      </c>
      <c r="E2118" s="1017" t="n">
        <v>0.15</v>
      </c>
      <c r="F2118" s="939"/>
      <c r="G2118" s="387"/>
      <c r="H2118" s="387"/>
      <c r="I2118" s="1522" t="n">
        <f aca="false">E2106*4*1.1*E2100+G2106*1.1*2*G2100</f>
        <v>11.2694986578818</v>
      </c>
      <c r="J2118" s="387" t="s">
        <v>1542</v>
      </c>
      <c r="K2118" s="387"/>
      <c r="L2118" s="387"/>
      <c r="M2118" s="387"/>
      <c r="N2118" s="387"/>
      <c r="O2118" s="1230"/>
      <c r="P2118" s="1230"/>
      <c r="Q2118" s="1230"/>
      <c r="R2118" s="1230"/>
      <c r="S2118" s="1230"/>
      <c r="T2118" s="1230"/>
      <c r="U2118" s="1230"/>
      <c r="V2118" s="1230"/>
      <c r="W2118" s="1230"/>
      <c r="X2118" s="1230"/>
      <c r="Y2118" s="1230"/>
    </row>
    <row r="2119" customFormat="false" ht="15.75" hidden="false" customHeight="true" outlineLevel="1" collapsed="false">
      <c r="A2119" s="1962"/>
      <c r="B2119" s="1963"/>
      <c r="C2119" s="1964"/>
      <c r="D2119" s="1017" t="s">
        <v>156</v>
      </c>
      <c r="E2119" s="1017" t="n">
        <v>0.2</v>
      </c>
      <c r="F2119" s="939"/>
      <c r="G2119" s="387"/>
      <c r="H2119" s="387"/>
      <c r="I2119" s="1522" t="n">
        <f aca="false">E2101+E2102+1</f>
        <v>3.7</v>
      </c>
      <c r="J2119" s="387" t="s">
        <v>1082</v>
      </c>
      <c r="K2119" s="387"/>
      <c r="L2119" s="387"/>
      <c r="M2119" s="387"/>
      <c r="N2119" s="387"/>
      <c r="O2119" s="1230"/>
      <c r="P2119" s="1230"/>
      <c r="Q2119" s="1230"/>
      <c r="R2119" s="1230"/>
      <c r="S2119" s="1230"/>
      <c r="T2119" s="1230"/>
      <c r="U2119" s="1230"/>
      <c r="V2119" s="1230"/>
      <c r="W2119" s="1230"/>
      <c r="X2119" s="1230"/>
      <c r="Y2119" s="1230"/>
    </row>
    <row r="2120" customFormat="false" ht="15.75" hidden="false" customHeight="true" outlineLevel="1" collapsed="false">
      <c r="A2120" s="387"/>
      <c r="B2120" s="1561"/>
      <c r="C2120" s="1561"/>
      <c r="D2120" s="387"/>
      <c r="E2120" s="387"/>
      <c r="F2120" s="387"/>
      <c r="G2120" s="1957"/>
      <c r="H2120" s="1957"/>
      <c r="I2120" s="1965"/>
      <c r="J2120" s="387"/>
      <c r="K2120" s="387"/>
      <c r="L2120" s="387"/>
      <c r="M2120" s="387"/>
      <c r="N2120" s="387"/>
      <c r="O2120" s="1230"/>
      <c r="P2120" s="1230"/>
      <c r="Q2120" s="1230"/>
      <c r="R2120" s="1230"/>
      <c r="S2120" s="1230"/>
      <c r="T2120" s="1230"/>
      <c r="U2120" s="1230"/>
      <c r="V2120" s="1230"/>
      <c r="W2120" s="1230"/>
      <c r="X2120" s="1230"/>
      <c r="Y2120" s="1230"/>
    </row>
    <row r="2121" customFormat="false" ht="15.75" hidden="false" customHeight="true" outlineLevel="1" collapsed="false">
      <c r="A2121" s="387"/>
      <c r="B2121" s="1561"/>
      <c r="C2121" s="1561"/>
      <c r="D2121" s="387"/>
      <c r="E2121" s="387"/>
      <c r="F2121" s="387"/>
      <c r="G2121" s="387"/>
      <c r="H2121" s="387"/>
      <c r="I2121" s="1522"/>
      <c r="J2121" s="387"/>
      <c r="K2121" s="387"/>
      <c r="L2121" s="387"/>
      <c r="M2121" s="387"/>
      <c r="N2121" s="387"/>
      <c r="O2121" s="1230"/>
      <c r="P2121" s="1230"/>
      <c r="Q2121" s="1230"/>
      <c r="R2121" s="1230"/>
      <c r="S2121" s="1230"/>
      <c r="T2121" s="1230"/>
      <c r="U2121" s="1230"/>
      <c r="V2121" s="1230"/>
      <c r="W2121" s="1230"/>
      <c r="X2121" s="1230"/>
      <c r="Y2121" s="1230"/>
    </row>
    <row r="2122" customFormat="false" ht="15.75" hidden="false" customHeight="true" outlineLevel="1" collapsed="false">
      <c r="A2122" s="1966" t="s">
        <v>3828</v>
      </c>
      <c r="B2122" s="1967"/>
      <c r="C2122" s="1967"/>
      <c r="D2122" s="1968"/>
      <c r="E2122" s="1968"/>
      <c r="F2122" s="1968"/>
      <c r="G2122" s="1968"/>
      <c r="H2122" s="1968"/>
      <c r="I2122" s="1969"/>
      <c r="J2122" s="1968"/>
      <c r="K2122" s="1968"/>
      <c r="L2122" s="1968"/>
      <c r="M2122" s="1968"/>
      <c r="N2122" s="1968"/>
      <c r="O2122" s="1968"/>
      <c r="P2122" s="1970"/>
      <c r="Q2122" s="1230"/>
      <c r="R2122" s="1230"/>
      <c r="S2122" s="1230"/>
      <c r="T2122" s="1230"/>
      <c r="U2122" s="1230"/>
      <c r="V2122" s="1230"/>
      <c r="W2122" s="1230"/>
      <c r="X2122" s="1230"/>
      <c r="Y2122" s="1230"/>
    </row>
    <row r="2123" customFormat="false" ht="15.75" hidden="false" customHeight="true" outlineLevel="1" collapsed="false">
      <c r="A2123" s="1735" t="s">
        <v>1806</v>
      </c>
      <c r="B2123" s="1736"/>
      <c r="C2123" s="1736"/>
      <c r="D2123" s="1164"/>
      <c r="E2123" s="1164"/>
      <c r="F2123" s="1737"/>
      <c r="G2123" s="1784" t="n">
        <f aca="false">'Ввод данных'!E516</f>
        <v>1</v>
      </c>
      <c r="H2123" s="1785"/>
      <c r="I2123" s="1971" t="n">
        <f aca="false">'Ввод данных'!E517</f>
        <v>1.1</v>
      </c>
      <c r="J2123" s="1972"/>
      <c r="K2123" s="1972"/>
      <c r="L2123" s="1972"/>
      <c r="M2123" s="1972"/>
      <c r="N2123" s="1972"/>
      <c r="O2123" s="1972"/>
      <c r="P2123" s="1972"/>
      <c r="Q2123" s="1230"/>
      <c r="R2123" s="1230"/>
      <c r="S2123" s="1230"/>
      <c r="T2123" s="1230"/>
      <c r="U2123" s="1230"/>
      <c r="V2123" s="1230"/>
      <c r="W2123" s="1230"/>
      <c r="X2123" s="1230"/>
      <c r="Y2123" s="1230"/>
    </row>
    <row r="2124" customFormat="false" ht="15.75" hidden="false" customHeight="true" outlineLevel="1" collapsed="false">
      <c r="A2124" s="1973" t="s">
        <v>2705</v>
      </c>
      <c r="B2124" s="1974" t="s">
        <v>156</v>
      </c>
      <c r="C2124" s="1974" t="n">
        <f aca="false">E2101</f>
        <v>2.7</v>
      </c>
      <c r="D2124" s="1975" t="n">
        <v>1</v>
      </c>
      <c r="E2124" s="1976"/>
      <c r="F2124" s="1976"/>
      <c r="G2124" s="1976"/>
      <c r="H2124" s="1976"/>
      <c r="I2124" s="1971"/>
      <c r="J2124" s="1972"/>
      <c r="K2124" s="1972"/>
      <c r="L2124" s="1972"/>
      <c r="M2124" s="1972"/>
      <c r="N2124" s="1972"/>
      <c r="O2124" s="1972"/>
      <c r="P2124" s="1972"/>
      <c r="Q2124" s="1230"/>
      <c r="R2124" s="1230"/>
      <c r="S2124" s="1230"/>
      <c r="T2124" s="1230"/>
      <c r="U2124" s="1230"/>
      <c r="V2124" s="1230"/>
      <c r="W2124" s="1230"/>
      <c r="X2124" s="1230"/>
      <c r="Y2124" s="1230"/>
    </row>
    <row r="2125" customFormat="false" ht="15.75" hidden="false" customHeight="true" outlineLevel="1" collapsed="false">
      <c r="A2125" s="1973" t="s">
        <v>3829</v>
      </c>
      <c r="B2125" s="1974" t="s">
        <v>156</v>
      </c>
      <c r="C2125" s="1974" t="n">
        <v>0.1</v>
      </c>
      <c r="D2125" s="1977"/>
      <c r="E2125" s="1976"/>
      <c r="F2125" s="1976"/>
      <c r="G2125" s="1976"/>
      <c r="H2125" s="1976"/>
      <c r="I2125" s="1971"/>
      <c r="J2125" s="1972"/>
      <c r="K2125" s="1972"/>
      <c r="L2125" s="1972"/>
      <c r="M2125" s="1972"/>
      <c r="N2125" s="1972"/>
      <c r="O2125" s="1972"/>
      <c r="P2125" s="1972"/>
      <c r="Q2125" s="1230"/>
      <c r="R2125" s="1230"/>
      <c r="S2125" s="1230"/>
      <c r="T2125" s="1230"/>
      <c r="U2125" s="1230"/>
      <c r="V2125" s="1230"/>
      <c r="W2125" s="1230"/>
      <c r="X2125" s="1230"/>
      <c r="Y2125" s="1230"/>
    </row>
    <row r="2126" customFormat="false" ht="15.75" hidden="false" customHeight="true" outlineLevel="1" collapsed="false">
      <c r="A2126" s="1973" t="s">
        <v>3830</v>
      </c>
      <c r="B2126" s="1974" t="s">
        <v>156</v>
      </c>
      <c r="C2126" s="1974" t="n">
        <v>0.15</v>
      </c>
      <c r="D2126" s="1977"/>
      <c r="E2126" s="1976"/>
      <c r="F2126" s="1976"/>
      <c r="G2126" s="1976"/>
      <c r="H2126" s="1976"/>
      <c r="I2126" s="1971"/>
      <c r="J2126" s="1972"/>
      <c r="K2126" s="1972"/>
      <c r="L2126" s="1972"/>
      <c r="M2126" s="1972"/>
      <c r="N2126" s="1972"/>
      <c r="O2126" s="1972"/>
      <c r="P2126" s="1972"/>
      <c r="Q2126" s="1230"/>
      <c r="R2126" s="1230"/>
      <c r="S2126" s="1230"/>
      <c r="T2126" s="1230"/>
      <c r="U2126" s="1230"/>
      <c r="V2126" s="1230"/>
      <c r="W2126" s="1230"/>
      <c r="X2126" s="1230"/>
      <c r="Y2126" s="1230"/>
    </row>
    <row r="2127" customFormat="false" ht="15.75" hidden="false" customHeight="true" outlineLevel="1" collapsed="false">
      <c r="A2127" s="1017" t="s">
        <v>3831</v>
      </c>
      <c r="B2127" s="1796" t="s">
        <v>159</v>
      </c>
      <c r="C2127" s="1753" t="n">
        <f aca="false">IF('Ввод данных'!A562=связи1!A6,1,0)</f>
        <v>1</v>
      </c>
      <c r="D2127" s="1230"/>
      <c r="E2127" s="1719"/>
      <c r="F2127" s="1719"/>
      <c r="G2127" s="1311"/>
      <c r="H2127" s="1311"/>
      <c r="I2127" s="1696"/>
      <c r="J2127" s="1702"/>
      <c r="K2127" s="1311"/>
      <c r="L2127" s="1311"/>
      <c r="M2127" s="1311"/>
      <c r="N2127" s="1311"/>
      <c r="O2127" s="1311"/>
      <c r="P2127" s="1311"/>
      <c r="Q2127" s="1230"/>
      <c r="R2127" s="1230"/>
      <c r="S2127" s="1230"/>
      <c r="T2127" s="1230"/>
      <c r="U2127" s="1230"/>
      <c r="V2127" s="1230"/>
      <c r="W2127" s="1230"/>
      <c r="X2127" s="1230"/>
      <c r="Y2127" s="1230"/>
    </row>
    <row r="2128" customFormat="false" ht="15.75" hidden="false" customHeight="true" outlineLevel="1" collapsed="false">
      <c r="A2128" s="1608" t="s">
        <v>3832</v>
      </c>
      <c r="B2128" s="1527" t="s">
        <v>159</v>
      </c>
      <c r="C2128" s="1753" t="n">
        <f aca="false">IF('Ввод данных'!A562=связи1!A7,1,0)</f>
        <v>0</v>
      </c>
      <c r="D2128" s="1230"/>
      <c r="E2128" s="1719"/>
      <c r="F2128" s="1719"/>
      <c r="G2128" s="1311"/>
      <c r="H2128" s="1311"/>
      <c r="I2128" s="1696"/>
      <c r="J2128" s="1702"/>
      <c r="K2128" s="1311"/>
      <c r="L2128" s="1311"/>
      <c r="M2128" s="1311"/>
      <c r="N2128" s="1311"/>
      <c r="O2128" s="1311"/>
      <c r="P2128" s="1311"/>
      <c r="Q2128" s="1230"/>
      <c r="R2128" s="1230"/>
      <c r="S2128" s="1230"/>
      <c r="T2128" s="1230"/>
      <c r="U2128" s="1230"/>
      <c r="V2128" s="1230"/>
      <c r="W2128" s="1230"/>
      <c r="X2128" s="1230"/>
      <c r="Y2128" s="1230"/>
    </row>
    <row r="2129" customFormat="false" ht="15.75" hidden="false" customHeight="true" outlineLevel="1" collapsed="false">
      <c r="A2129" s="1608" t="s">
        <v>3833</v>
      </c>
      <c r="B2129" s="1527" t="s">
        <v>159</v>
      </c>
      <c r="C2129" s="1753" t="n">
        <f aca="false">IF('Ввод данных'!A562=связи1!A8,1,0)</f>
        <v>0</v>
      </c>
      <c r="D2129" s="1230"/>
      <c r="E2129" s="1719"/>
      <c r="F2129" s="1978"/>
      <c r="G2129" s="1311"/>
      <c r="H2129" s="1311"/>
      <c r="I2129" s="1696"/>
      <c r="J2129" s="1702"/>
      <c r="K2129" s="1311"/>
      <c r="L2129" s="1311"/>
      <c r="M2129" s="1311"/>
      <c r="N2129" s="1311"/>
      <c r="O2129" s="1311"/>
      <c r="P2129" s="1311"/>
      <c r="Q2129" s="1230"/>
      <c r="R2129" s="1230"/>
      <c r="S2129" s="1230"/>
      <c r="T2129" s="1230"/>
      <c r="U2129" s="1230"/>
      <c r="V2129" s="1230"/>
      <c r="W2129" s="1230"/>
      <c r="X2129" s="1230"/>
      <c r="Y2129" s="1230"/>
    </row>
    <row r="2130" customFormat="false" ht="15.75" hidden="false" customHeight="true" outlineLevel="1" collapsed="false">
      <c r="A2130" s="1290" t="s">
        <v>2623</v>
      </c>
      <c r="B2130" s="1527" t="s">
        <v>133</v>
      </c>
      <c r="C2130" s="1527" t="n">
        <f aca="false">I2114</f>
        <v>19.4654976817959</v>
      </c>
      <c r="D2130" s="1719"/>
      <c r="E2130" s="1719"/>
      <c r="F2130" s="1719"/>
      <c r="G2130" s="1311"/>
      <c r="H2130" s="1311"/>
      <c r="I2130" s="1696"/>
      <c r="J2130" s="1702"/>
      <c r="K2130" s="1311"/>
      <c r="L2130" s="1311"/>
      <c r="M2130" s="1311"/>
      <c r="N2130" s="1311"/>
      <c r="O2130" s="1311"/>
      <c r="P2130" s="1311"/>
      <c r="Q2130" s="1230"/>
      <c r="R2130" s="1230"/>
      <c r="S2130" s="1230"/>
      <c r="T2130" s="1230"/>
      <c r="U2130" s="1230"/>
      <c r="V2130" s="1230"/>
      <c r="W2130" s="1230"/>
      <c r="X2130" s="1230"/>
      <c r="Y2130" s="1230"/>
    </row>
    <row r="2131" customFormat="false" ht="15.75" hidden="false" customHeight="true" outlineLevel="1" collapsed="false">
      <c r="A2131" s="1290" t="s">
        <v>1546</v>
      </c>
      <c r="B2131" s="1527" t="s">
        <v>156</v>
      </c>
      <c r="C2131" s="1527" t="n">
        <f aca="false">I2110</f>
        <v>3.8</v>
      </c>
      <c r="D2131" s="1719"/>
      <c r="E2131" s="1719"/>
      <c r="F2131" s="1719"/>
      <c r="G2131" s="1311"/>
      <c r="H2131" s="1311"/>
      <c r="I2131" s="1696"/>
      <c r="J2131" s="1702"/>
      <c r="K2131" s="1311"/>
      <c r="L2131" s="1311"/>
      <c r="M2131" s="1311"/>
      <c r="N2131" s="1311"/>
      <c r="O2131" s="1311"/>
      <c r="P2131" s="1311"/>
      <c r="Q2131" s="1230"/>
      <c r="R2131" s="1230"/>
      <c r="S2131" s="1230"/>
      <c r="T2131" s="1230"/>
      <c r="U2131" s="1230"/>
      <c r="V2131" s="1230"/>
      <c r="W2131" s="1230"/>
      <c r="X2131" s="1230"/>
      <c r="Y2131" s="1230"/>
    </row>
    <row r="2132" customFormat="false" ht="15.75" hidden="false" customHeight="true" outlineLevel="1" collapsed="false">
      <c r="A2132" s="1290" t="s">
        <v>3502</v>
      </c>
      <c r="B2132" s="1527" t="s">
        <v>156</v>
      </c>
      <c r="C2132" s="1527" t="n">
        <f aca="false">E2106*E2100+G2106*G2100</f>
        <v>2.56124969497314</v>
      </c>
      <c r="D2132" s="1719"/>
      <c r="E2132" s="1719"/>
      <c r="F2132" s="1719"/>
      <c r="G2132" s="1311"/>
      <c r="H2132" s="1311"/>
      <c r="I2132" s="1696"/>
      <c r="J2132" s="1702"/>
      <c r="K2132" s="1311"/>
      <c r="L2132" s="1311"/>
      <c r="M2132" s="1311"/>
      <c r="N2132" s="1311"/>
      <c r="O2132" s="1311"/>
      <c r="P2132" s="1311"/>
      <c r="Q2132" s="1230"/>
      <c r="R2132" s="1230"/>
      <c r="S2132" s="1230"/>
      <c r="T2132" s="1230"/>
      <c r="U2132" s="1230"/>
      <c r="V2132" s="1230"/>
      <c r="W2132" s="1230"/>
      <c r="X2132" s="1230"/>
      <c r="Y2132" s="1230"/>
    </row>
    <row r="2133" customFormat="false" ht="15.75" hidden="false" customHeight="true" outlineLevel="1" collapsed="false">
      <c r="A2133" s="1290" t="s">
        <v>1972</v>
      </c>
      <c r="B2133" s="1527" t="s">
        <v>156</v>
      </c>
      <c r="C2133" s="1689" t="n">
        <f aca="false">E2107</f>
        <v>0.5</v>
      </c>
      <c r="D2133" s="1719"/>
      <c r="E2133" s="1719"/>
      <c r="F2133" s="1719"/>
      <c r="G2133" s="1311"/>
      <c r="H2133" s="1311"/>
      <c r="I2133" s="1696"/>
      <c r="J2133" s="1702"/>
      <c r="K2133" s="1311"/>
      <c r="L2133" s="1311"/>
      <c r="M2133" s="1311"/>
      <c r="N2133" s="1311"/>
      <c r="O2133" s="1311"/>
      <c r="P2133" s="1311"/>
      <c r="Q2133" s="1230"/>
      <c r="R2133" s="1230"/>
      <c r="S2133" s="1230"/>
      <c r="T2133" s="1230"/>
      <c r="U2133" s="1230"/>
      <c r="V2133" s="1230"/>
      <c r="W2133" s="1230"/>
      <c r="X2133" s="1230"/>
      <c r="Y2133" s="1230"/>
    </row>
    <row r="2134" customFormat="false" ht="15.75" hidden="false" customHeight="true" outlineLevel="1" collapsed="false">
      <c r="A2134" s="1758" t="s">
        <v>1975</v>
      </c>
      <c r="B2134" s="1745" t="s">
        <v>156</v>
      </c>
      <c r="C2134" s="1689" t="n">
        <f aca="false">E2108</f>
        <v>0.8</v>
      </c>
      <c r="D2134" s="1719"/>
      <c r="E2134" s="1719"/>
      <c r="F2134" s="1719"/>
      <c r="G2134" s="1311"/>
      <c r="H2134" s="1311"/>
      <c r="I2134" s="1696"/>
      <c r="J2134" s="1702"/>
      <c r="K2134" s="1311"/>
      <c r="L2134" s="1311"/>
      <c r="M2134" s="1311"/>
      <c r="N2134" s="1311"/>
      <c r="O2134" s="1311"/>
      <c r="P2134" s="1311"/>
      <c r="Q2134" s="1230"/>
      <c r="R2134" s="1230"/>
      <c r="S2134" s="1230"/>
      <c r="T2134" s="1230"/>
      <c r="U2134" s="1230"/>
      <c r="V2134" s="1230"/>
      <c r="W2134" s="1230"/>
      <c r="X2134" s="1230"/>
      <c r="Y2134" s="1230"/>
    </row>
    <row r="2135" customFormat="false" ht="15.75" hidden="false" customHeight="true" outlineLevel="1" collapsed="false">
      <c r="A2135" s="1911" t="s">
        <v>2720</v>
      </c>
      <c r="B2135" s="1910" t="s">
        <v>1094</v>
      </c>
      <c r="C2135" s="1910" t="s">
        <v>1802</v>
      </c>
      <c r="D2135" s="1911" t="s">
        <v>2721</v>
      </c>
      <c r="E2135" s="1911" t="s">
        <v>2722</v>
      </c>
      <c r="F2135" s="1230"/>
      <c r="G2135" s="1906" t="s">
        <v>1409</v>
      </c>
      <c r="H2135" s="1912"/>
      <c r="I2135" s="1913"/>
      <c r="J2135" s="1911" t="s">
        <v>1094</v>
      </c>
      <c r="K2135" s="1911" t="s">
        <v>1802</v>
      </c>
      <c r="L2135" s="1911" t="s">
        <v>1601</v>
      </c>
      <c r="M2135" s="1911"/>
      <c r="N2135" s="1911"/>
      <c r="O2135" s="1911" t="s">
        <v>2722</v>
      </c>
      <c r="Q2135" s="1230"/>
      <c r="R2135" s="1230"/>
      <c r="S2135" s="1230"/>
      <c r="T2135" s="1230"/>
      <c r="U2135" s="1230"/>
      <c r="V2135" s="1230"/>
      <c r="W2135" s="1230"/>
      <c r="X2135" s="1230"/>
      <c r="Y2135" s="1230"/>
    </row>
    <row r="2136" customFormat="false" ht="15.75" hidden="false" customHeight="true" outlineLevel="1" collapsed="false">
      <c r="A2136" s="1290" t="str">
        <f aca="false">'Ввод данных'!A564</f>
        <v>Доска сухая, 200*50мм</v>
      </c>
      <c r="B2136" s="1527" t="s">
        <v>135</v>
      </c>
      <c r="C2136" s="1527" t="n">
        <f aca="false">((E2110/0.6+2)*2*E2106+E2110*2)*VLOOKUP(A2136,связи1!A407:E416,5,0)*D2019*E2100+G2100*((G2110/0.6+2)*G2106+G2110)*VLOOKUP(A2136,связи1!A407:E416,5,0)*D2019</f>
        <v>0</v>
      </c>
      <c r="D2136" s="1290" t="n">
        <f aca="false">VLOOKUP(A2136,связи1!A407:E416,2,0)</f>
        <v>9000</v>
      </c>
      <c r="E2136" s="1290" t="n">
        <f aca="false">C2136*D2136</f>
        <v>0</v>
      </c>
      <c r="F2136" s="1230"/>
      <c r="G2136" s="1557" t="str">
        <f aca="false">'Прайс лист'!B1736</f>
        <v>монтаж стропил</v>
      </c>
      <c r="H2136" s="1694"/>
      <c r="I2136" s="1765"/>
      <c r="J2136" s="1290" t="s">
        <v>133</v>
      </c>
      <c r="K2136" s="1290" t="n">
        <f aca="false">C2130*(C2127+C2128+C2129)*D2019*I2123*IF(A2136=связи1!A407,0,1)</f>
        <v>0</v>
      </c>
      <c r="L2136" s="1290" t="n">
        <f aca="false">'Прайс лист'!G1736</f>
        <v>450</v>
      </c>
      <c r="M2136" s="1290"/>
      <c r="N2136" s="1290"/>
      <c r="O2136" s="1290" t="n">
        <f aca="false">K2136*L2136</f>
        <v>0</v>
      </c>
      <c r="Q2136" s="1230"/>
      <c r="R2136" s="1230"/>
      <c r="S2136" s="1230"/>
      <c r="T2136" s="1230"/>
      <c r="U2136" s="1230"/>
      <c r="V2136" s="1230"/>
      <c r="W2136" s="1230"/>
      <c r="X2136" s="1230"/>
      <c r="Y2136" s="1230"/>
    </row>
    <row r="2137" customFormat="false" ht="15.75" hidden="false" customHeight="true" outlineLevel="1" collapsed="false">
      <c r="A2137" s="1290" t="str">
        <f aca="false">'Ввод данных'!A566</f>
        <v>Сосна влаж,100*25мм</v>
      </c>
      <c r="B2137" s="1527" t="s">
        <v>135</v>
      </c>
      <c r="C2137" s="1527" t="n">
        <f aca="false">I2114*3.5*D2019*VLOOKUP(A2137,связи1!A432:F440,5,0)</f>
        <v>0</v>
      </c>
      <c r="D2137" s="1290" t="n">
        <f aca="false">VLOOKUP(A2137,связи1!A432:F440,6,0)</f>
        <v>6500</v>
      </c>
      <c r="E2137" s="1290" t="n">
        <f aca="false">C2137*D2137</f>
        <v>0</v>
      </c>
      <c r="F2137" s="1230"/>
      <c r="G2137" s="1557" t="str">
        <f aca="false">'Прайс лист'!B1737</f>
        <v>обрешетка</v>
      </c>
      <c r="H2137" s="1694"/>
      <c r="I2137" s="1765"/>
      <c r="J2137" s="1290" t="s">
        <v>133</v>
      </c>
      <c r="K2137" s="1290" t="n">
        <f aca="false">C2130*(C2127+C2128+C2129)*D2019*I2123*IF(A2137=связи1!A432,0,1)</f>
        <v>0</v>
      </c>
      <c r="L2137" s="1290" t="n">
        <f aca="false">'Прайс лист'!G1737</f>
        <v>100</v>
      </c>
      <c r="M2137" s="1290"/>
      <c r="N2137" s="1290"/>
      <c r="O2137" s="1290" t="n">
        <f aca="false">K2137*L2137</f>
        <v>0</v>
      </c>
      <c r="Q2137" s="1230"/>
      <c r="R2137" s="1230"/>
      <c r="S2137" s="1230"/>
      <c r="T2137" s="1230"/>
      <c r="U2137" s="1230"/>
      <c r="V2137" s="1230"/>
      <c r="W2137" s="1230"/>
      <c r="X2137" s="1230"/>
      <c r="Y2137" s="1230"/>
    </row>
    <row r="2138" customFormat="false" ht="15.75" hidden="false" customHeight="true" outlineLevel="1" collapsed="false">
      <c r="A2138" s="1290" t="str">
        <f aca="false">'Ввод данных'!A568</f>
        <v>Доска сухая, калибр., 35*45мм</v>
      </c>
      <c r="B2138" s="1527" t="s">
        <v>159</v>
      </c>
      <c r="C2138" s="1527" t="n">
        <f aca="false">I2114*3*D2019*VLOOKUP(A2138,связи1!A418:E421,5,0)</f>
        <v>0</v>
      </c>
      <c r="D2138" s="1290" t="n">
        <f aca="false">VLOOKUP(A2138,связи1!A418:D421,2,0)</f>
        <v>12500</v>
      </c>
      <c r="E2138" s="1290" t="n">
        <f aca="false">C2138*D2138</f>
        <v>0</v>
      </c>
      <c r="F2138" s="1230"/>
      <c r="G2138" s="1557" t="str">
        <f aca="false">'Прайс лист'!B1738</f>
        <v>контробеш</v>
      </c>
      <c r="H2138" s="1694"/>
      <c r="I2138" s="1765"/>
      <c r="J2138" s="1290" t="s">
        <v>133</v>
      </c>
      <c r="K2138" s="1290" t="n">
        <f aca="false">C2130*(C2127+C2128+C2129)*D2019*I2123*IF(A2138=связи1!A418,0,1)</f>
        <v>0</v>
      </c>
      <c r="L2138" s="1290" t="n">
        <f aca="false">'Прайс лист'!G1738</f>
        <v>100</v>
      </c>
      <c r="M2138" s="1290"/>
      <c r="N2138" s="1290"/>
      <c r="O2138" s="1290" t="n">
        <f aca="false">K2138*L2138</f>
        <v>0</v>
      </c>
      <c r="Q2138" s="1230"/>
      <c r="R2138" s="1230"/>
      <c r="S2138" s="1230"/>
      <c r="T2138" s="1230"/>
      <c r="U2138" s="1230"/>
      <c r="V2138" s="1230"/>
      <c r="W2138" s="1230"/>
      <c r="X2138" s="1230"/>
      <c r="Y2138" s="1230"/>
    </row>
    <row r="2139" customFormat="false" ht="15.75" hidden="false" customHeight="true" outlineLevel="1" collapsed="false">
      <c r="A2139" s="1290" t="str">
        <f aca="false">'Ввод данных'!A574</f>
        <v>нет ветроизоляции</v>
      </c>
      <c r="B2139" s="1527" t="s">
        <v>133</v>
      </c>
      <c r="C2139" s="1527" t="n">
        <f aca="false">I2114*1.2*D2019</f>
        <v>0</v>
      </c>
      <c r="D2139" s="1290" t="n">
        <f aca="false">VLOOKUP(A2139,'Прайс лист'!B793:G819,6,0)</f>
        <v>0</v>
      </c>
      <c r="E2139" s="1290" t="n">
        <f aca="false">C2139*D2139</f>
        <v>0</v>
      </c>
      <c r="F2139" s="1230"/>
      <c r="G2139" s="1557" t="str">
        <f aca="false">'Прайс лист'!B1739</f>
        <v>мембрана</v>
      </c>
      <c r="H2139" s="1694"/>
      <c r="I2139" s="1765"/>
      <c r="J2139" s="1290" t="s">
        <v>133</v>
      </c>
      <c r="K2139" s="1290" t="n">
        <f aca="false">C2130*(C2127+C2128+C2129)*D2019*I2123*IF(A2139='Прайс лист'!B793,0,1)</f>
        <v>0</v>
      </c>
      <c r="L2139" s="1290" t="n">
        <f aca="false">'Прайс лист'!G1739</f>
        <v>100</v>
      </c>
      <c r="M2139" s="1290"/>
      <c r="N2139" s="1290"/>
      <c r="O2139" s="1290" t="n">
        <f aca="false">K2139*L2139</f>
        <v>0</v>
      </c>
      <c r="Q2139" s="1230"/>
      <c r="R2139" s="1230"/>
      <c r="S2139" s="1230"/>
      <c r="T2139" s="1230"/>
      <c r="U2139" s="1230"/>
      <c r="V2139" s="1230"/>
      <c r="W2139" s="1230"/>
      <c r="X2139" s="1230"/>
      <c r="Y2139" s="1230"/>
    </row>
    <row r="2140" customFormat="false" ht="15.75" hidden="false" customHeight="true" outlineLevel="1" collapsed="false">
      <c r="A2140" s="1290" t="s">
        <v>2724</v>
      </c>
      <c r="B2140" s="1527" t="s">
        <v>133</v>
      </c>
      <c r="C2140" s="1527" t="n">
        <f aca="false">C2130*1.1*G2123*C2127*D2019</f>
        <v>0</v>
      </c>
      <c r="D2140" s="1290" t="n">
        <f aca="false">'Прайс лист'!G1131</f>
        <v>250</v>
      </c>
      <c r="E2140" s="1290" t="n">
        <f aca="false">C2140*D2140</f>
        <v>0</v>
      </c>
      <c r="F2140" s="1230"/>
      <c r="G2140" s="1557" t="str">
        <f aca="false">'Прайс лист'!B1742</f>
        <v>Монтаж металлочерепицы</v>
      </c>
      <c r="H2140" s="1694"/>
      <c r="I2140" s="1765"/>
      <c r="J2140" s="1290" t="s">
        <v>133</v>
      </c>
      <c r="K2140" s="1290" t="n">
        <f aca="false">C2130*(C2127+C2128+C2129)*D2019*I2123</f>
        <v>0</v>
      </c>
      <c r="L2140" s="1290" t="n">
        <f aca="false">'Прайс лист'!G1742</f>
        <v>300</v>
      </c>
      <c r="M2140" s="1290"/>
      <c r="N2140" s="1290"/>
      <c r="O2140" s="1290" t="n">
        <f aca="false">K2140*L2140</f>
        <v>0</v>
      </c>
      <c r="Q2140" s="1230"/>
      <c r="R2140" s="1230"/>
      <c r="S2140" s="1230"/>
      <c r="T2140" s="1230"/>
      <c r="U2140" s="1230"/>
      <c r="V2140" s="1230"/>
      <c r="W2140" s="1230"/>
      <c r="X2140" s="1230"/>
      <c r="Y2140" s="1230"/>
    </row>
    <row r="2141" customFormat="false" ht="15.75" hidden="false" customHeight="true" outlineLevel="1" collapsed="false">
      <c r="A2141" s="1290" t="s">
        <v>1541</v>
      </c>
      <c r="B2141" s="1527" t="s">
        <v>156</v>
      </c>
      <c r="C2141" s="1527" t="n">
        <f aca="false">I2117*G2123*(C2127+C2129)*D2019</f>
        <v>0</v>
      </c>
      <c r="D2141" s="1290" t="n">
        <f aca="false">'Прайс лист'!G1132</f>
        <v>200</v>
      </c>
      <c r="E2141" s="1290" t="n">
        <f aca="false">C2141*D2141</f>
        <v>0</v>
      </c>
      <c r="F2141" s="1230"/>
      <c r="G2141" s="1557" t="str">
        <f aca="false">'Прайс лист'!B1744</f>
        <v>карнизная планка</v>
      </c>
      <c r="H2141" s="1694"/>
      <c r="I2141" s="1765"/>
      <c r="J2141" s="1290" t="s">
        <v>133</v>
      </c>
      <c r="K2141" s="1290" t="n">
        <f aca="false">C2141*D2019*I2123</f>
        <v>0</v>
      </c>
      <c r="L2141" s="1290" t="n">
        <f aca="false">'Прайс лист'!G1744</f>
        <v>100</v>
      </c>
      <c r="M2141" s="1290"/>
      <c r="N2141" s="1290"/>
      <c r="O2141" s="1290" t="n">
        <f aca="false">K2141*L2141</f>
        <v>0</v>
      </c>
      <c r="Q2141" s="1230"/>
      <c r="R2141" s="1230"/>
      <c r="S2141" s="1230"/>
      <c r="T2141" s="1230"/>
      <c r="U2141" s="1230"/>
      <c r="V2141" s="1230"/>
      <c r="W2141" s="1230"/>
      <c r="X2141" s="1230"/>
      <c r="Y2141" s="1230"/>
    </row>
    <row r="2142" customFormat="false" ht="15.75" hidden="false" customHeight="true" outlineLevel="1" collapsed="false">
      <c r="A2142" s="1290" t="s">
        <v>1542</v>
      </c>
      <c r="B2142" s="1527" t="s">
        <v>156</v>
      </c>
      <c r="C2142" s="1527" t="n">
        <f aca="false">I2118*G2123*(C2127+C2129)*D2019</f>
        <v>0</v>
      </c>
      <c r="D2142" s="1290" t="n">
        <f aca="false">'Прайс лист'!G1133</f>
        <v>200</v>
      </c>
      <c r="E2142" s="1290" t="n">
        <f aca="false">C2142*D2142</f>
        <v>0</v>
      </c>
      <c r="F2142" s="1230"/>
      <c r="G2142" s="1557" t="str">
        <f aca="false">'Прайс лист'!B1745</f>
        <v>торцевая планка</v>
      </c>
      <c r="H2142" s="1694"/>
      <c r="I2142" s="1765"/>
      <c r="J2142" s="1290" t="s">
        <v>133</v>
      </c>
      <c r="K2142" s="1290" t="n">
        <f aca="false">C2142*D2019*I2123</f>
        <v>0</v>
      </c>
      <c r="L2142" s="1290" t="n">
        <f aca="false">'Прайс лист'!G1745</f>
        <v>100</v>
      </c>
      <c r="M2142" s="1290"/>
      <c r="N2142" s="1290"/>
      <c r="O2142" s="1290" t="n">
        <f aca="false">K2142*L2142</f>
        <v>0</v>
      </c>
      <c r="Q2142" s="1230"/>
      <c r="R2142" s="1230"/>
      <c r="S2142" s="1230"/>
      <c r="T2142" s="1230"/>
      <c r="U2142" s="1230"/>
      <c r="V2142" s="1230"/>
      <c r="W2142" s="1230"/>
      <c r="X2142" s="1230"/>
      <c r="Y2142" s="1230"/>
    </row>
    <row r="2143" customFormat="false" ht="15.75" hidden="false" customHeight="true" outlineLevel="1" collapsed="false">
      <c r="A2143" s="1290" t="s">
        <v>1546</v>
      </c>
      <c r="B2143" s="1527" t="s">
        <v>156</v>
      </c>
      <c r="C2143" s="1527" t="n">
        <f aca="false">C2131*G2123*(C2127)*D2019</f>
        <v>0</v>
      </c>
      <c r="D2143" s="1290" t="n">
        <f aca="false">'Прайс лист'!G1134</f>
        <v>230</v>
      </c>
      <c r="E2143" s="1290" t="n">
        <f aca="false">C2143*D2143</f>
        <v>0</v>
      </c>
      <c r="F2143" s="1230"/>
      <c r="G2143" s="1557" t="str">
        <f aca="false">'Прайс лист'!B1747</f>
        <v>желоб водосточный</v>
      </c>
      <c r="H2143" s="1694"/>
      <c r="I2143" s="1765"/>
      <c r="J2143" s="1290" t="s">
        <v>156</v>
      </c>
      <c r="K2143" s="1290" t="n">
        <f aca="false">C2163*D2019*I2123</f>
        <v>0</v>
      </c>
      <c r="L2143" s="1290" t="n">
        <f aca="false">'Прайс лист'!G1747</f>
        <v>300</v>
      </c>
      <c r="M2143" s="1290"/>
      <c r="N2143" s="1290"/>
      <c r="O2143" s="1290" t="n">
        <f aca="false">K2143*L2143</f>
        <v>0</v>
      </c>
      <c r="Q2143" s="1230"/>
      <c r="R2143" s="1230"/>
      <c r="S2143" s="1230"/>
      <c r="T2143" s="1230"/>
      <c r="U2143" s="1230"/>
      <c r="V2143" s="1230"/>
      <c r="W2143" s="1230"/>
      <c r="X2143" s="1230"/>
      <c r="Y2143" s="1230"/>
    </row>
    <row r="2144" customFormat="false" ht="15.75" hidden="false" customHeight="true" outlineLevel="1" collapsed="false">
      <c r="A2144" s="1290" t="s">
        <v>2725</v>
      </c>
      <c r="B2144" s="1527" t="s">
        <v>133</v>
      </c>
      <c r="C2144" s="1527" t="n">
        <f aca="false">C2130*1.1*G2123*C2128*D2019</f>
        <v>0</v>
      </c>
      <c r="D2144" s="1290" t="n">
        <f aca="false">'Прайс лист'!G1143</f>
        <v>180</v>
      </c>
      <c r="E2144" s="1290" t="n">
        <f aca="false">C2144*D2144</f>
        <v>0</v>
      </c>
      <c r="F2144" s="1230"/>
      <c r="G2144" s="1557" t="str">
        <f aca="false">'Прайс лист'!B1748</f>
        <v>труба водосточная</v>
      </c>
      <c r="H2144" s="1694"/>
      <c r="I2144" s="1765"/>
      <c r="J2144" s="1290" t="s">
        <v>156</v>
      </c>
      <c r="K2144" s="1290" t="n">
        <f aca="false">C2165*D2019*I2123</f>
        <v>0</v>
      </c>
      <c r="L2144" s="1290" t="n">
        <f aca="false">'Прайс лист'!G1748</f>
        <v>300</v>
      </c>
      <c r="M2144" s="1290"/>
      <c r="N2144" s="1290"/>
      <c r="O2144" s="1290" t="n">
        <f aca="false">K2144*L2144</f>
        <v>0</v>
      </c>
      <c r="Q2144" s="1230"/>
      <c r="R2144" s="1230"/>
      <c r="S2144" s="1230"/>
      <c r="T2144" s="1230"/>
      <c r="U2144" s="1230"/>
      <c r="V2144" s="1230"/>
      <c r="W2144" s="1230"/>
      <c r="X2144" s="1230"/>
      <c r="Y2144" s="1230"/>
    </row>
    <row r="2145" customFormat="false" ht="15.75" hidden="false" customHeight="true" outlineLevel="1" collapsed="false">
      <c r="A2145" s="933" t="str">
        <f aca="false">'Прайс лист'!B1144</f>
        <v>Карнизная планка</v>
      </c>
      <c r="B2145" s="887" t="str">
        <f aca="false">'Прайс лист'!C1144</f>
        <v>м.п.</v>
      </c>
      <c r="C2145" s="933" t="n">
        <f aca="false">I2117*G2123*(C2128)*D2019</f>
        <v>0</v>
      </c>
      <c r="D2145" s="1290" t="n">
        <f aca="false">'Прайс лист'!G1144</f>
        <v>190</v>
      </c>
      <c r="E2145" s="1290" t="n">
        <f aca="false">C2145*D2145</f>
        <v>0</v>
      </c>
      <c r="F2145" s="1230"/>
      <c r="G2145" s="933" t="str">
        <f aca="false">'Прайс лист'!B1743</f>
        <v>Монтаж ондулина</v>
      </c>
      <c r="H2145" s="933"/>
      <c r="I2145" s="933"/>
      <c r="J2145" s="933" t="s">
        <v>133</v>
      </c>
      <c r="K2145" s="933" t="n">
        <f aca="false">C2130*C2128</f>
        <v>0</v>
      </c>
      <c r="L2145" s="933" t="n">
        <f aca="false">'Прайс лист'!G1743</f>
        <v>300</v>
      </c>
      <c r="M2145" s="933"/>
      <c r="N2145" s="933"/>
      <c r="O2145" s="1290" t="n">
        <f aca="false">K2145*L2145</f>
        <v>0</v>
      </c>
      <c r="Q2145" s="1230"/>
      <c r="R2145" s="1230"/>
      <c r="S2145" s="1230"/>
      <c r="T2145" s="1230"/>
      <c r="U2145" s="1230"/>
      <c r="V2145" s="1230"/>
      <c r="W2145" s="1230"/>
      <c r="X2145" s="1230"/>
      <c r="Y2145" s="1230"/>
    </row>
    <row r="2146" customFormat="false" ht="15.75" hidden="false" customHeight="true" outlineLevel="1" collapsed="false">
      <c r="A2146" s="933" t="str">
        <f aca="false">'Прайс лист'!B1145</f>
        <v>Торцевая планка</v>
      </c>
      <c r="B2146" s="887" t="str">
        <f aca="false">'Прайс лист'!C1145</f>
        <v>м.п.</v>
      </c>
      <c r="C2146" s="1527" t="n">
        <f aca="false">I2118*G2123*(C2128)*D2019</f>
        <v>0</v>
      </c>
      <c r="D2146" s="1290" t="n">
        <f aca="false">'Прайс лист'!G1145</f>
        <v>190</v>
      </c>
      <c r="E2146" s="1290" t="n">
        <f aca="false">C2146*D2146</f>
        <v>0</v>
      </c>
      <c r="F2146" s="1230"/>
      <c r="G2146" s="1751" t="str">
        <f aca="false">'Прайс лист'!B1751</f>
        <v>Монтаж фанеры/osb</v>
      </c>
      <c r="H2146" s="1751"/>
      <c r="I2146" s="1611"/>
      <c r="J2146" s="1290" t="s">
        <v>133</v>
      </c>
      <c r="K2146" s="1290" t="n">
        <f aca="false">C2130*IF(A2152='Прайс лист'!B1027,0,1)</f>
        <v>0</v>
      </c>
      <c r="L2146" s="1290" t="n">
        <f aca="false">'Прайс лист'!G1751</f>
        <v>200</v>
      </c>
      <c r="M2146" s="1290"/>
      <c r="N2146" s="1290"/>
      <c r="O2146" s="1290" t="n">
        <f aca="false">K2146*L2146</f>
        <v>0</v>
      </c>
      <c r="Q2146" s="1230"/>
      <c r="R2146" s="1230"/>
      <c r="S2146" s="1230"/>
      <c r="T2146" s="1230"/>
      <c r="U2146" s="1230"/>
      <c r="V2146" s="1230"/>
      <c r="W2146" s="1230"/>
      <c r="X2146" s="1230"/>
      <c r="Y2146" s="1230"/>
    </row>
    <row r="2147" customFormat="false" ht="15.75" hidden="false" customHeight="true" outlineLevel="1" collapsed="false">
      <c r="A2147" s="933" t="str">
        <f aca="false">'Прайс лист'!B1146</f>
        <v>Конек</v>
      </c>
      <c r="B2147" s="887" t="str">
        <f aca="false">'Прайс лист'!C1146</f>
        <v>м.п.</v>
      </c>
      <c r="C2147" s="1527" t="n">
        <f aca="false">C2131*G2123*(C2128)*D2019</f>
        <v>0</v>
      </c>
      <c r="D2147" s="1290" t="n">
        <f aca="false">'Прайс лист'!G1146</f>
        <v>200</v>
      </c>
      <c r="E2147" s="1290" t="n">
        <f aca="false">C2147*D2147</f>
        <v>0</v>
      </c>
      <c r="F2147" s="1230"/>
      <c r="G2147" s="1751" t="str">
        <f aca="false">'Прайс лист'!B1752</f>
        <v>монтаж подкладочного ковра</v>
      </c>
      <c r="H2147" s="1979"/>
      <c r="I2147" s="1765"/>
      <c r="J2147" s="1290" t="s">
        <v>133</v>
      </c>
      <c r="K2147" s="1290" t="n">
        <f aca="false">C2130*C2129</f>
        <v>0</v>
      </c>
      <c r="L2147" s="1290" t="n">
        <f aca="false">'Прайс лист'!G1752</f>
        <v>150</v>
      </c>
      <c r="M2147" s="1290"/>
      <c r="N2147" s="1290"/>
      <c r="O2147" s="1290" t="n">
        <f aca="false">K2147*L2147</f>
        <v>0</v>
      </c>
      <c r="Q2147" s="1230"/>
      <c r="R2147" s="1230"/>
      <c r="S2147" s="1230"/>
      <c r="T2147" s="1230"/>
      <c r="U2147" s="1230"/>
      <c r="V2147" s="1230"/>
      <c r="W2147" s="1230"/>
      <c r="X2147" s="1230"/>
      <c r="Y2147" s="1230"/>
    </row>
    <row r="2148" customFormat="false" ht="15.75" hidden="false" customHeight="true" outlineLevel="1" collapsed="false">
      <c r="A2148" s="933" t="str">
        <f aca="false">'Прайс лист'!B1147</f>
        <v>Ендова нижняя</v>
      </c>
      <c r="B2148" s="887" t="str">
        <f aca="false">'Прайс лист'!C1147</f>
        <v>м.п.</v>
      </c>
      <c r="C2148" s="1527" t="n">
        <f aca="false">(E2106*E2100*2+G2110*G2100)*1.1*(C2127*C2128*C2129)</f>
        <v>0</v>
      </c>
      <c r="D2148" s="1290" t="n">
        <f aca="false">'Прайс лист'!G1147</f>
        <v>160</v>
      </c>
      <c r="E2148" s="1290" t="n">
        <f aca="false">C2148*D2148</f>
        <v>0</v>
      </c>
      <c r="F2148" s="1230"/>
      <c r="G2148" s="1751" t="str">
        <f aca="false">'Прайс лист'!B1753</f>
        <v>Монтаж мягкой кровли</v>
      </c>
      <c r="H2148" s="1979"/>
      <c r="I2148" s="1765"/>
      <c r="J2148" s="1290" t="s">
        <v>133</v>
      </c>
      <c r="K2148" s="1290" t="n">
        <f aca="false">C2130*C2129</f>
        <v>0</v>
      </c>
      <c r="L2148" s="1290" t="n">
        <f aca="false">'Прайс лист'!G1753</f>
        <v>350</v>
      </c>
      <c r="M2148" s="1290"/>
      <c r="N2148" s="1290"/>
      <c r="O2148" s="1290" t="n">
        <f aca="false">K2148*L2148</f>
        <v>0</v>
      </c>
      <c r="Q2148" s="1230"/>
      <c r="R2148" s="1230"/>
      <c r="S2148" s="1230"/>
      <c r="T2148" s="1230"/>
      <c r="U2148" s="1230"/>
      <c r="V2148" s="1230"/>
      <c r="W2148" s="1230"/>
      <c r="X2148" s="1230"/>
      <c r="Y2148" s="1230"/>
    </row>
    <row r="2149" customFormat="false" ht="15.75" hidden="false" customHeight="true" outlineLevel="1" collapsed="false">
      <c r="A2149" s="933" t="str">
        <f aca="false">'Прайс лист'!B1148</f>
        <v>Ендова верхняя</v>
      </c>
      <c r="B2149" s="887" t="str">
        <f aca="false">'Прайс лист'!C1148</f>
        <v>м.п.</v>
      </c>
      <c r="C2149" s="1527"/>
      <c r="D2149" s="1290" t="n">
        <f aca="false">'Прайс лист'!G1148</f>
        <v>190</v>
      </c>
      <c r="E2149" s="1290" t="n">
        <f aca="false">C2149*D2149</f>
        <v>0</v>
      </c>
      <c r="F2149" s="1230"/>
      <c r="G2149" s="1899"/>
      <c r="H2149" s="1915"/>
      <c r="I2149" s="1765"/>
      <c r="J2149" s="1290"/>
      <c r="K2149" s="1290"/>
      <c r="L2149" s="1290"/>
      <c r="M2149" s="1290"/>
      <c r="N2149" s="1290"/>
      <c r="O2149" s="1290"/>
      <c r="Q2149" s="1230"/>
      <c r="R2149" s="1230"/>
      <c r="S2149" s="1230"/>
      <c r="T2149" s="1230"/>
      <c r="U2149" s="1230"/>
      <c r="V2149" s="1230"/>
      <c r="W2149" s="1230"/>
      <c r="X2149" s="1230"/>
      <c r="Y2149" s="1230"/>
    </row>
    <row r="2150" customFormat="false" ht="15.75" hidden="false" customHeight="true" outlineLevel="1" collapsed="false">
      <c r="A2150" s="933" t="str">
        <f aca="false">'Прайс лист'!B1149</f>
        <v>Планка примыкания</v>
      </c>
      <c r="B2150" s="887" t="str">
        <f aca="false">'Прайс лист'!C1149</f>
        <v>м.п.</v>
      </c>
      <c r="C2150" s="1527" t="n">
        <f aca="false">C2148</f>
        <v>0</v>
      </c>
      <c r="D2150" s="1290" t="n">
        <f aca="false">'Прайс лист'!G1149</f>
        <v>190</v>
      </c>
      <c r="E2150" s="1290" t="n">
        <f aca="false">C2150*D2150</f>
        <v>0</v>
      </c>
      <c r="F2150" s="1230"/>
      <c r="G2150" s="1899"/>
      <c r="H2150" s="1915"/>
      <c r="I2150" s="1765"/>
      <c r="J2150" s="1290"/>
      <c r="K2150" s="1290"/>
      <c r="L2150" s="1290"/>
      <c r="M2150" s="1290"/>
      <c r="N2150" s="1290"/>
      <c r="O2150" s="1290"/>
      <c r="Q2150" s="1230"/>
      <c r="R2150" s="1230"/>
      <c r="S2150" s="1230"/>
      <c r="T2150" s="1230"/>
      <c r="U2150" s="1230"/>
      <c r="V2150" s="1230"/>
      <c r="W2150" s="1230"/>
      <c r="X2150" s="1230"/>
      <c r="Y2150" s="1230"/>
    </row>
    <row r="2151" customFormat="false" ht="15.75" hidden="false" customHeight="true" outlineLevel="1" collapsed="false">
      <c r="A2151" s="933" t="str">
        <f aca="false">'Прайс лист'!B1150</f>
        <v>Крепеж для ондулина</v>
      </c>
      <c r="B2151" s="887" t="str">
        <f aca="false">'Прайс лист'!C1150</f>
        <v>шт</v>
      </c>
      <c r="C2151" s="1527" t="n">
        <f aca="false">C2130*12*(C2128)*D2019</f>
        <v>0</v>
      </c>
      <c r="D2151" s="1290" t="n">
        <f aca="false">'Прайс лист'!G1150</f>
        <v>4.5</v>
      </c>
      <c r="E2151" s="1290" t="n">
        <f aca="false">C2151*D2151</f>
        <v>0</v>
      </c>
      <c r="F2151" s="1230"/>
      <c r="G2151" s="1899"/>
      <c r="H2151" s="1915"/>
      <c r="I2151" s="1765"/>
      <c r="J2151" s="1290"/>
      <c r="K2151" s="1290"/>
      <c r="L2151" s="1290"/>
      <c r="M2151" s="1290"/>
      <c r="N2151" s="1290"/>
      <c r="O2151" s="1290"/>
      <c r="Q2151" s="1230"/>
      <c r="R2151" s="1230"/>
      <c r="S2151" s="1230"/>
      <c r="T2151" s="1230"/>
      <c r="U2151" s="1230"/>
      <c r="V2151" s="1230"/>
      <c r="W2151" s="1230"/>
      <c r="X2151" s="1230"/>
      <c r="Y2151" s="1230"/>
    </row>
    <row r="2152" customFormat="false" ht="15.75" hidden="false" customHeight="true" outlineLevel="1" collapsed="false">
      <c r="A2152" s="933" t="str">
        <f aca="false">'Ввод данных'!A570</f>
        <v>нет</v>
      </c>
      <c r="B2152" s="887" t="s">
        <v>133</v>
      </c>
      <c r="C2152" s="1527" t="n">
        <f aca="false">C2130*1.1</f>
        <v>21.4120474499754</v>
      </c>
      <c r="D2152" s="1290" t="n">
        <f aca="false">VLOOKUP(A2152,'Прайс лист'!B1027:G1078,6,0)</f>
        <v>0</v>
      </c>
      <c r="E2152" s="1290" t="n">
        <f aca="false">C2152*D2152</f>
        <v>0</v>
      </c>
      <c r="F2152" s="1230"/>
      <c r="G2152" s="1899"/>
      <c r="H2152" s="1915"/>
      <c r="I2152" s="1765"/>
      <c r="J2152" s="1290"/>
      <c r="K2152" s="1290"/>
      <c r="L2152" s="1290"/>
      <c r="M2152" s="1290"/>
      <c r="N2152" s="1290"/>
      <c r="O2152" s="1290"/>
      <c r="Q2152" s="1230"/>
      <c r="R2152" s="1230"/>
      <c r="S2152" s="1230"/>
      <c r="T2152" s="1230"/>
      <c r="U2152" s="1230"/>
      <c r="V2152" s="1230"/>
      <c r="W2152" s="1230"/>
      <c r="X2152" s="1230"/>
      <c r="Y2152" s="1230"/>
    </row>
    <row r="2153" customFormat="false" ht="15.75" hidden="false" customHeight="true" outlineLevel="1" collapsed="false">
      <c r="A2153" s="933" t="str">
        <f aca="false">'Прайс лист'!B1155</f>
        <v>Рядовая черепица</v>
      </c>
      <c r="B2153" s="887" t="str">
        <f aca="false">'Прайс лист'!C1155</f>
        <v>м2</v>
      </c>
      <c r="C2153" s="1527" t="n">
        <f aca="false">C2130*C2129</f>
        <v>0</v>
      </c>
      <c r="D2153" s="1290" t="n">
        <f aca="false">'Прайс лист'!G1155</f>
        <v>360</v>
      </c>
      <c r="E2153" s="1290" t="n">
        <f aca="false">C2153*D2153</f>
        <v>0</v>
      </c>
      <c r="F2153" s="1230"/>
      <c r="G2153" s="1899"/>
      <c r="H2153" s="1915"/>
      <c r="I2153" s="1765"/>
      <c r="J2153" s="1290"/>
      <c r="K2153" s="1290"/>
      <c r="L2153" s="1290"/>
      <c r="M2153" s="1290"/>
      <c r="N2153" s="1290"/>
      <c r="O2153" s="1290"/>
      <c r="Q2153" s="1230"/>
      <c r="R2153" s="1230"/>
      <c r="S2153" s="1230"/>
      <c r="T2153" s="1230"/>
      <c r="U2153" s="1230"/>
      <c r="V2153" s="1230"/>
      <c r="W2153" s="1230"/>
      <c r="X2153" s="1230"/>
      <c r="Y2153" s="1230"/>
    </row>
    <row r="2154" customFormat="false" ht="15.75" hidden="false" customHeight="true" outlineLevel="1" collapsed="false">
      <c r="A2154" s="933" t="str">
        <f aca="false">'Прайс лист'!B1156</f>
        <v>Металл оцинк защита (карниз)</v>
      </c>
      <c r="B2154" s="887" t="str">
        <f aca="false">'Прайс лист'!C1156</f>
        <v>м.п.</v>
      </c>
      <c r="C2154" s="1527" t="n">
        <f aca="false">C2131*2*C2129+C2129*G2110*G2100</f>
        <v>0</v>
      </c>
      <c r="D2154" s="1290" t="n">
        <f aca="false">'Прайс лист'!G1156</f>
        <v>200</v>
      </c>
      <c r="E2154" s="1290" t="n">
        <f aca="false">C2154*D2154</f>
        <v>0</v>
      </c>
      <c r="F2154" s="1230"/>
      <c r="G2154" s="1899"/>
      <c r="H2154" s="1915"/>
      <c r="I2154" s="1765"/>
      <c r="J2154" s="1290"/>
      <c r="K2154" s="1290"/>
      <c r="L2154" s="1290"/>
      <c r="M2154" s="1290"/>
      <c r="N2154" s="1290"/>
      <c r="O2154" s="1290"/>
      <c r="Q2154" s="1230"/>
      <c r="R2154" s="1230"/>
      <c r="S2154" s="1230"/>
      <c r="T2154" s="1230"/>
      <c r="U2154" s="1230"/>
      <c r="V2154" s="1230"/>
      <c r="W2154" s="1230"/>
      <c r="X2154" s="1230"/>
      <c r="Y2154" s="1230"/>
    </row>
    <row r="2155" customFormat="false" ht="15.75" hidden="false" customHeight="true" outlineLevel="1" collapsed="false">
      <c r="A2155" s="933" t="str">
        <f aca="false">'Прайс лист'!B1157</f>
        <v>Подкладочный ковер</v>
      </c>
      <c r="B2155" s="887" t="str">
        <f aca="false">'Прайс лист'!C1157</f>
        <v>м.п.</v>
      </c>
      <c r="C2155" s="1527" t="n">
        <f aca="false">C2153*1.1</f>
        <v>0</v>
      </c>
      <c r="D2155" s="1290" t="n">
        <f aca="false">'Прайс лист'!G1157</f>
        <v>220</v>
      </c>
      <c r="E2155" s="1290" t="n">
        <f aca="false">C2155*D2155</f>
        <v>0</v>
      </c>
      <c r="F2155" s="1230"/>
      <c r="G2155" s="1899"/>
      <c r="H2155" s="1915"/>
      <c r="I2155" s="1765"/>
      <c r="J2155" s="1290"/>
      <c r="K2155" s="1290"/>
      <c r="L2155" s="1290"/>
      <c r="M2155" s="1290"/>
      <c r="N2155" s="1290"/>
      <c r="O2155" s="1290"/>
      <c r="Q2155" s="1230"/>
      <c r="R2155" s="1230"/>
      <c r="S2155" s="1230"/>
      <c r="T2155" s="1230"/>
      <c r="U2155" s="1230"/>
      <c r="V2155" s="1230"/>
      <c r="W2155" s="1230"/>
      <c r="X2155" s="1230"/>
      <c r="Y2155" s="1230"/>
    </row>
    <row r="2156" customFormat="false" ht="15.75" hidden="false" customHeight="true" outlineLevel="1" collapsed="false">
      <c r="A2156" s="933" t="str">
        <f aca="false">'Прайс лист'!B1158</f>
        <v>Карнизная самоклеющаяся черепица</v>
      </c>
      <c r="B2156" s="887" t="str">
        <f aca="false">'Прайс лист'!C1158</f>
        <v>м.п.</v>
      </c>
      <c r="C2156" s="1527" t="n">
        <f aca="false">C2154</f>
        <v>0</v>
      </c>
      <c r="D2156" s="1290" t="n">
        <f aca="false">'Прайс лист'!G1158</f>
        <v>220</v>
      </c>
      <c r="E2156" s="1290" t="n">
        <f aca="false">C2156*D2156</f>
        <v>0</v>
      </c>
      <c r="F2156" s="1230"/>
      <c r="G2156" s="1899"/>
      <c r="H2156" s="1915"/>
      <c r="I2156" s="1765"/>
      <c r="J2156" s="1290"/>
      <c r="K2156" s="1290"/>
      <c r="L2156" s="1290"/>
      <c r="M2156" s="1290"/>
      <c r="N2156" s="1290"/>
      <c r="O2156" s="1290"/>
      <c r="Q2156" s="1230"/>
      <c r="R2156" s="1230"/>
      <c r="S2156" s="1230"/>
      <c r="T2156" s="1230"/>
      <c r="U2156" s="1230"/>
      <c r="V2156" s="1230"/>
      <c r="W2156" s="1230"/>
      <c r="X2156" s="1230"/>
      <c r="Y2156" s="1230"/>
    </row>
    <row r="2157" customFormat="false" ht="15.75" hidden="false" customHeight="true" outlineLevel="1" collapsed="false">
      <c r="A2157" s="933" t="str">
        <f aca="false">'Прайс лист'!B1159</f>
        <v>Спец ковер ендова нижняя</v>
      </c>
      <c r="B2157" s="887" t="str">
        <f aca="false">'Прайс лист'!C1159</f>
        <v>м.п.</v>
      </c>
      <c r="C2157" s="1527" t="n">
        <f aca="false">(E2100*E2106*2+G2100*G2106)*1.1*C2129</f>
        <v>0</v>
      </c>
      <c r="D2157" s="1290" t="n">
        <f aca="false">'Прайс лист'!G1159</f>
        <v>200</v>
      </c>
      <c r="E2157" s="1290" t="n">
        <f aca="false">C2157*D2157</f>
        <v>0</v>
      </c>
      <c r="F2157" s="1230"/>
      <c r="G2157" s="1899"/>
      <c r="H2157" s="1915"/>
      <c r="I2157" s="1765"/>
      <c r="J2157" s="1290"/>
      <c r="K2157" s="1290"/>
      <c r="L2157" s="1290"/>
      <c r="M2157" s="1290"/>
      <c r="N2157" s="1290"/>
      <c r="O2157" s="1290"/>
      <c r="Q2157" s="1230"/>
      <c r="R2157" s="1230"/>
      <c r="S2157" s="1230"/>
      <c r="T2157" s="1230"/>
      <c r="U2157" s="1230"/>
      <c r="V2157" s="1230"/>
      <c r="W2157" s="1230"/>
      <c r="X2157" s="1230"/>
      <c r="Y2157" s="1230"/>
    </row>
    <row r="2158" customFormat="false" ht="15.75" hidden="false" customHeight="true" outlineLevel="1" collapsed="false">
      <c r="A2158" s="933" t="str">
        <f aca="false">'Прайс лист'!B1160</f>
        <v>Коньковой элемент</v>
      </c>
      <c r="B2158" s="887" t="str">
        <f aca="false">'Прайс лист'!C1160</f>
        <v>м.п.</v>
      </c>
      <c r="C2158" s="1527" t="n">
        <f aca="false">E2110*E2100*G2123*(C2129)*D2019</f>
        <v>0</v>
      </c>
      <c r="D2158" s="1290" t="n">
        <f aca="false">'Прайс лист'!G1160</f>
        <v>250</v>
      </c>
      <c r="E2158" s="1290" t="n">
        <f aca="false">C2158*D2158</f>
        <v>0</v>
      </c>
      <c r="F2158" s="1230"/>
      <c r="G2158" s="1899"/>
      <c r="H2158" s="1915"/>
      <c r="I2158" s="1765"/>
      <c r="J2158" s="1290"/>
      <c r="K2158" s="1290"/>
      <c r="L2158" s="1290"/>
      <c r="M2158" s="1290"/>
      <c r="N2158" s="1290"/>
      <c r="O2158" s="1290"/>
      <c r="Q2158" s="1230"/>
      <c r="R2158" s="1230"/>
      <c r="S2158" s="1230"/>
      <c r="T2158" s="1230"/>
      <c r="U2158" s="1230"/>
      <c r="V2158" s="1230"/>
      <c r="W2158" s="1230"/>
      <c r="X2158" s="1230"/>
      <c r="Y2158" s="1230"/>
    </row>
    <row r="2159" customFormat="false" ht="15.75" hidden="false" customHeight="true" outlineLevel="1" collapsed="false">
      <c r="A2159" s="933" t="str">
        <f aca="false">'Прайс лист'!B1161</f>
        <v>Планка премыкания</v>
      </c>
      <c r="B2159" s="887" t="str">
        <f aca="false">'Прайс лист'!C1161</f>
        <v>м.п.</v>
      </c>
      <c r="C2159" s="1527" t="n">
        <f aca="false">C2157</f>
        <v>0</v>
      </c>
      <c r="D2159" s="1290" t="n">
        <f aca="false">'Прайс лист'!G1161</f>
        <v>200</v>
      </c>
      <c r="E2159" s="1290" t="n">
        <f aca="false">C2159*D2159</f>
        <v>0</v>
      </c>
      <c r="F2159" s="1230"/>
      <c r="G2159" s="1899"/>
      <c r="H2159" s="1915"/>
      <c r="I2159" s="1765"/>
      <c r="J2159" s="1290"/>
      <c r="K2159" s="1290"/>
      <c r="L2159" s="1290"/>
      <c r="M2159" s="1290"/>
      <c r="N2159" s="1290"/>
      <c r="O2159" s="1290"/>
      <c r="Q2159" s="1230"/>
      <c r="R2159" s="1230"/>
      <c r="S2159" s="1230"/>
      <c r="T2159" s="1230"/>
      <c r="U2159" s="1230"/>
      <c r="V2159" s="1230"/>
      <c r="W2159" s="1230"/>
      <c r="X2159" s="1230"/>
      <c r="Y2159" s="1230"/>
    </row>
    <row r="2160" customFormat="false" ht="15.75" hidden="false" customHeight="true" outlineLevel="1" collapsed="false">
      <c r="A2160" s="933" t="str">
        <f aca="false">'Прайс лист'!B1162</f>
        <v>Гвозди для крепления подкладочного ковра</v>
      </c>
      <c r="B2160" s="887" t="str">
        <f aca="false">'Прайс лист'!C1162</f>
        <v>шт</v>
      </c>
      <c r="C2160" s="1527" t="n">
        <f aca="false">C2155*12</f>
        <v>0</v>
      </c>
      <c r="D2160" s="1290" t="n">
        <f aca="false">'Прайс лист'!G1162</f>
        <v>0.012</v>
      </c>
      <c r="E2160" s="1290" t="n">
        <f aca="false">C2160*D2160</f>
        <v>0</v>
      </c>
      <c r="F2160" s="1230"/>
      <c r="G2160" s="1899"/>
      <c r="H2160" s="1915"/>
      <c r="I2160" s="1765"/>
      <c r="J2160" s="1290"/>
      <c r="K2160" s="1290"/>
      <c r="L2160" s="1290"/>
      <c r="M2160" s="1290"/>
      <c r="N2160" s="1290"/>
      <c r="O2160" s="1290"/>
      <c r="Q2160" s="1230"/>
      <c r="R2160" s="1230"/>
      <c r="S2160" s="1230"/>
      <c r="T2160" s="1230"/>
      <c r="U2160" s="1230"/>
      <c r="V2160" s="1230"/>
      <c r="W2160" s="1230"/>
      <c r="X2160" s="1230"/>
      <c r="Y2160" s="1230"/>
    </row>
    <row r="2161" customFormat="false" ht="15.75" hidden="false" customHeight="true" outlineLevel="1" collapsed="false">
      <c r="A2161" s="933" t="str">
        <f aca="false">'Прайс лист'!B1163</f>
        <v>Гвозди для крепления черепицы</v>
      </c>
      <c r="B2161" s="887" t="str">
        <f aca="false">'Прайс лист'!C1163</f>
        <v>шт</v>
      </c>
      <c r="C2161" s="1527" t="n">
        <f aca="false">C2153*22</f>
        <v>0</v>
      </c>
      <c r="D2161" s="1290" t="n">
        <f aca="false">'Прайс лист'!G1163</f>
        <v>0.25</v>
      </c>
      <c r="E2161" s="1290" t="n">
        <f aca="false">C2161*D2161</f>
        <v>0</v>
      </c>
      <c r="F2161" s="1230"/>
      <c r="G2161" s="1899"/>
      <c r="H2161" s="1915"/>
      <c r="I2161" s="1765"/>
      <c r="J2161" s="1290"/>
      <c r="K2161" s="1290"/>
      <c r="L2161" s="1290"/>
      <c r="M2161" s="1290"/>
      <c r="N2161" s="1290"/>
      <c r="O2161" s="1290"/>
      <c r="Q2161" s="1230"/>
      <c r="R2161" s="1230"/>
      <c r="S2161" s="1230"/>
      <c r="T2161" s="1230"/>
      <c r="U2161" s="1230"/>
      <c r="V2161" s="1230"/>
      <c r="W2161" s="1230"/>
      <c r="X2161" s="1230"/>
      <c r="Y2161" s="1230"/>
    </row>
    <row r="2162" customFormat="false" ht="15.75" hidden="false" customHeight="true" outlineLevel="1" collapsed="false">
      <c r="A2162" s="933" t="str">
        <f aca="false">'Прайс лист'!B1164</f>
        <v>Клей для монтажа черепицы</v>
      </c>
      <c r="B2162" s="887" t="str">
        <f aca="false">'Прайс лист'!C1164</f>
        <v>кг</v>
      </c>
      <c r="C2162" s="1527" t="n">
        <f aca="false">C2153</f>
        <v>0</v>
      </c>
      <c r="D2162" s="1290" t="n">
        <f aca="false">'Прайс лист'!G1164</f>
        <v>250</v>
      </c>
      <c r="E2162" s="1290" t="n">
        <f aca="false">C2162*D2162</f>
        <v>0</v>
      </c>
      <c r="F2162" s="1230"/>
      <c r="G2162" s="1899"/>
      <c r="H2162" s="1915"/>
      <c r="I2162" s="1765"/>
      <c r="J2162" s="1290"/>
      <c r="K2162" s="1290"/>
      <c r="L2162" s="1290"/>
      <c r="M2162" s="1290"/>
      <c r="N2162" s="1290"/>
      <c r="O2162" s="1290"/>
      <c r="Q2162" s="1230"/>
      <c r="R2162" s="1230"/>
      <c r="S2162" s="1230"/>
      <c r="T2162" s="1230"/>
      <c r="U2162" s="1230"/>
      <c r="V2162" s="1230"/>
      <c r="W2162" s="1230"/>
      <c r="X2162" s="1230"/>
      <c r="Y2162" s="1230"/>
    </row>
    <row r="2163" s="1150" customFormat="true" ht="15.75" hidden="false" customHeight="true" outlineLevel="1" collapsed="false">
      <c r="A2163" s="1290" t="str">
        <f aca="false">'Прайс лист'!B1169</f>
        <v>желоб</v>
      </c>
      <c r="B2163" s="1527" t="s">
        <v>1415</v>
      </c>
      <c r="C2163" s="1527" t="n">
        <f aca="false">I2116</f>
        <v>7.6</v>
      </c>
      <c r="D2163" s="1290" t="n">
        <f aca="false">'Прайс лист'!G1169</f>
        <v>300</v>
      </c>
      <c r="E2163" s="1290" t="n">
        <f aca="false">C2163*D2163</f>
        <v>2280</v>
      </c>
      <c r="F2163" s="1230"/>
      <c r="Q2163" s="1230"/>
      <c r="R2163" s="1230"/>
      <c r="S2163" s="1230"/>
      <c r="T2163" s="1230"/>
      <c r="U2163" s="1230"/>
      <c r="V2163" s="1230"/>
      <c r="W2163" s="1230"/>
      <c r="X2163" s="1230"/>
      <c r="Y2163" s="1230"/>
    </row>
    <row r="2164" customFormat="false" ht="15.75" hidden="false" customHeight="true" outlineLevel="1" collapsed="false">
      <c r="A2164" s="1290" t="str">
        <f aca="false">'Прайс лист'!B1170</f>
        <v>отвод</v>
      </c>
      <c r="B2164" s="1527" t="s">
        <v>159</v>
      </c>
      <c r="C2164" s="1527" t="n">
        <f aca="false">1*D2019</f>
        <v>0</v>
      </c>
      <c r="D2164" s="1290" t="n">
        <f aca="false">'Прайс лист'!G1170</f>
        <v>250</v>
      </c>
      <c r="E2164" s="1290" t="n">
        <f aca="false">C2164*D2164</f>
        <v>0</v>
      </c>
      <c r="F2164" s="1230"/>
      <c r="G2164" s="1290"/>
      <c r="H2164" s="1290"/>
      <c r="I2164" s="1611"/>
      <c r="J2164" s="1290"/>
      <c r="K2164" s="1290"/>
      <c r="L2164" s="1290"/>
      <c r="M2164" s="1290"/>
      <c r="N2164" s="1290"/>
      <c r="O2164" s="1290"/>
      <c r="Q2164" s="1230"/>
      <c r="R2164" s="1230"/>
      <c r="S2164" s="1230"/>
      <c r="T2164" s="1230"/>
      <c r="U2164" s="1230"/>
      <c r="V2164" s="1230"/>
      <c r="W2164" s="1230"/>
      <c r="X2164" s="1230"/>
      <c r="Y2164" s="1230"/>
    </row>
    <row r="2165" customFormat="false" ht="15.75" hidden="false" customHeight="true" outlineLevel="1" collapsed="false">
      <c r="A2165" s="1290" t="str">
        <f aca="false">'Прайс лист'!B1171</f>
        <v>труба водосточная</v>
      </c>
      <c r="B2165" s="1527" t="s">
        <v>156</v>
      </c>
      <c r="C2165" s="1527" t="n">
        <f aca="false">I2119</f>
        <v>3.7</v>
      </c>
      <c r="D2165" s="1290" t="n">
        <f aca="false">'Прайс лист'!G1171</f>
        <v>300</v>
      </c>
      <c r="E2165" s="1290" t="n">
        <f aca="false">C2165*D2165</f>
        <v>1110</v>
      </c>
      <c r="F2165" s="1230"/>
      <c r="G2165" s="1290"/>
      <c r="H2165" s="1290"/>
      <c r="I2165" s="1611"/>
      <c r="J2165" s="1290"/>
      <c r="K2165" s="1290"/>
      <c r="L2165" s="1290"/>
      <c r="M2165" s="1290"/>
      <c r="N2165" s="1290"/>
      <c r="O2165" s="1290"/>
      <c r="Q2165" s="1230"/>
      <c r="R2165" s="1230"/>
      <c r="S2165" s="1230"/>
      <c r="T2165" s="1230"/>
      <c r="U2165" s="1230"/>
      <c r="V2165" s="1230"/>
      <c r="W2165" s="1230"/>
      <c r="X2165" s="1230"/>
      <c r="Y2165" s="1230"/>
    </row>
    <row r="2166" customFormat="false" ht="15.75" hidden="false" customHeight="true" outlineLevel="1" collapsed="false">
      <c r="A2166" s="1290" t="str">
        <f aca="false">'Прайс лист'!B1172</f>
        <v>заглушка для желоба</v>
      </c>
      <c r="B2166" s="1527" t="s">
        <v>159</v>
      </c>
      <c r="C2166" s="1527" t="n">
        <f aca="false">C2169*2</f>
        <v>0</v>
      </c>
      <c r="D2166" s="1290" t="n">
        <f aca="false">'Прайс лист'!G1172</f>
        <v>190</v>
      </c>
      <c r="E2166" s="1290" t="n">
        <f aca="false">C2166*D2166</f>
        <v>0</v>
      </c>
      <c r="F2166" s="1230"/>
      <c r="G2166" s="1557"/>
      <c r="H2166" s="1694"/>
      <c r="I2166" s="1765"/>
      <c r="J2166" s="1290"/>
      <c r="K2166" s="1290"/>
      <c r="L2166" s="1290"/>
      <c r="M2166" s="1290"/>
      <c r="N2166" s="1290"/>
      <c r="O2166" s="1290"/>
      <c r="Q2166" s="1230"/>
      <c r="R2166" s="1230"/>
      <c r="S2166" s="1230"/>
      <c r="T2166" s="1230"/>
      <c r="U2166" s="1230"/>
      <c r="V2166" s="1230"/>
      <c r="W2166" s="1230"/>
      <c r="X2166" s="1230"/>
      <c r="Y2166" s="1230"/>
    </row>
    <row r="2167" customFormat="false" ht="15.75" hidden="false" customHeight="true" outlineLevel="1" collapsed="false">
      <c r="A2167" s="1290" t="str">
        <f aca="false">'Прайс лист'!B1173</f>
        <v>соеденитель для желоба</v>
      </c>
      <c r="B2167" s="1527" t="s">
        <v>159</v>
      </c>
      <c r="C2167" s="1527" t="n">
        <f aca="false">CEILING((C2166/2)*2*D2019,1)</f>
        <v>0</v>
      </c>
      <c r="D2167" s="1290" t="n">
        <f aca="false">'Прайс лист'!G1173</f>
        <v>180</v>
      </c>
      <c r="E2167" s="1290" t="n">
        <f aca="false">C2167*D2167</f>
        <v>0</v>
      </c>
      <c r="F2167" s="1230"/>
      <c r="G2167" s="1557"/>
      <c r="H2167" s="1694"/>
      <c r="I2167" s="1765"/>
      <c r="J2167" s="1290"/>
      <c r="K2167" s="1290"/>
      <c r="L2167" s="1290"/>
      <c r="M2167" s="1290"/>
      <c r="N2167" s="1290"/>
      <c r="O2167" s="1290"/>
      <c r="Q2167" s="1230"/>
      <c r="R2167" s="1230"/>
      <c r="S2167" s="1230"/>
      <c r="T2167" s="1230"/>
      <c r="U2167" s="1230"/>
      <c r="V2167" s="1230"/>
      <c r="W2167" s="1230"/>
      <c r="X2167" s="1230"/>
      <c r="Y2167" s="1230"/>
    </row>
    <row r="2168" customFormat="false" ht="15.75" hidden="false" customHeight="true" outlineLevel="1" collapsed="false">
      <c r="A2168" s="1290" t="str">
        <f aca="false">'Прайс лист'!B1174</f>
        <v>кронштейн для желоба</v>
      </c>
      <c r="B2168" s="1527" t="s">
        <v>159</v>
      </c>
      <c r="C2168" s="1527" t="n">
        <f aca="false">CEILING((C2163/0.4)*2*1.2*D2019,1)</f>
        <v>0</v>
      </c>
      <c r="D2168" s="1290" t="n">
        <f aca="false">'Прайс лист'!G1174</f>
        <v>130</v>
      </c>
      <c r="E2168" s="1290" t="n">
        <f aca="false">C2168*D2168</f>
        <v>0</v>
      </c>
      <c r="F2168" s="1230"/>
      <c r="G2168" s="1557"/>
      <c r="H2168" s="1694"/>
      <c r="I2168" s="1765"/>
      <c r="J2168" s="1290"/>
      <c r="K2168" s="1290"/>
      <c r="L2168" s="1290"/>
      <c r="M2168" s="1290"/>
      <c r="N2168" s="1290"/>
      <c r="O2168" s="1290"/>
      <c r="Q2168" s="1230"/>
      <c r="R2168" s="1230"/>
      <c r="S2168" s="1230"/>
      <c r="T2168" s="1230"/>
      <c r="U2168" s="1230"/>
      <c r="V2168" s="1230"/>
      <c r="W2168" s="1230"/>
      <c r="X2168" s="1230"/>
      <c r="Y2168" s="1230"/>
    </row>
    <row r="2169" customFormat="false" ht="15.75" hidden="false" customHeight="true" outlineLevel="1" collapsed="false">
      <c r="A2169" s="1290" t="str">
        <f aca="false">'Прайс лист'!B1175</f>
        <v>переход из желоба в трубу</v>
      </c>
      <c r="B2169" s="1527" t="s">
        <v>159</v>
      </c>
      <c r="C2169" s="1527" t="n">
        <f aca="false">(1*G2100+E2100*2)*D2019</f>
        <v>0</v>
      </c>
      <c r="D2169" s="1290" t="n">
        <f aca="false">'Прайс лист'!G1175</f>
        <v>350</v>
      </c>
      <c r="E2169" s="1290" t="n">
        <f aca="false">C2169*D2169</f>
        <v>0</v>
      </c>
      <c r="F2169" s="1230"/>
      <c r="G2169" s="1557"/>
      <c r="H2169" s="1694"/>
      <c r="I2169" s="1765"/>
      <c r="J2169" s="1290"/>
      <c r="K2169" s="1290"/>
      <c r="L2169" s="1290"/>
      <c r="M2169" s="1290"/>
      <c r="N2169" s="1290"/>
      <c r="O2169" s="1290"/>
      <c r="Q2169" s="1230"/>
      <c r="R2169" s="1230"/>
      <c r="S2169" s="1230"/>
      <c r="T2169" s="1230"/>
      <c r="U2169" s="1230"/>
      <c r="V2169" s="1230"/>
      <c r="W2169" s="1230"/>
      <c r="X2169" s="1230"/>
      <c r="Y2169" s="1230"/>
    </row>
    <row r="2170" customFormat="false" ht="15.75" hidden="false" customHeight="true" outlineLevel="1" collapsed="false">
      <c r="A2170" s="1290" t="str">
        <f aca="false">'Прайс лист'!B1176</f>
        <v>лента дельта мульти бэнд</v>
      </c>
      <c r="B2170" s="1527" t="s">
        <v>159</v>
      </c>
      <c r="C2170" s="1527" t="n">
        <f aca="false">C2130/12*D2019</f>
        <v>0</v>
      </c>
      <c r="D2170" s="1290" t="n">
        <f aca="false">'Прайс лист'!G1176</f>
        <v>1200</v>
      </c>
      <c r="E2170" s="1290" t="n">
        <f aca="false">C2170*D2170</f>
        <v>0</v>
      </c>
      <c r="F2170" s="1230"/>
      <c r="G2170" s="1557"/>
      <c r="H2170" s="1694"/>
      <c r="I2170" s="1765"/>
      <c r="J2170" s="1290"/>
      <c r="K2170" s="1290"/>
      <c r="L2170" s="1290"/>
      <c r="M2170" s="1290"/>
      <c r="N2170" s="1290"/>
      <c r="O2170" s="1290"/>
      <c r="Q2170" s="1230"/>
      <c r="R2170" s="1230"/>
      <c r="S2170" s="1230"/>
      <c r="T2170" s="1230"/>
      <c r="U2170" s="1230"/>
      <c r="V2170" s="1230"/>
      <c r="W2170" s="1230"/>
      <c r="X2170" s="1230"/>
      <c r="Y2170" s="1230"/>
    </row>
    <row r="2171" customFormat="false" ht="15.75" hidden="false" customHeight="true" outlineLevel="1" collapsed="false">
      <c r="A2171" s="1290" t="str">
        <f aca="false">'Прайс лист'!B1177</f>
        <v>лента дельта sb-60</v>
      </c>
      <c r="B2171" s="1527" t="s">
        <v>159</v>
      </c>
      <c r="C2171" s="1527" t="n">
        <f aca="false">C2130/25*D2019</f>
        <v>0</v>
      </c>
      <c r="D2171" s="1290" t="n">
        <f aca="false">'Прайс лист'!G1177</f>
        <v>1100</v>
      </c>
      <c r="E2171" s="1290" t="n">
        <f aca="false">C2171*D2171</f>
        <v>0</v>
      </c>
      <c r="F2171" s="1230"/>
      <c r="G2171" s="1557"/>
      <c r="H2171" s="1694"/>
      <c r="I2171" s="1765"/>
      <c r="J2171" s="1290"/>
      <c r="K2171" s="1290"/>
      <c r="L2171" s="1290"/>
      <c r="M2171" s="1290"/>
      <c r="N2171" s="1290"/>
      <c r="O2171" s="1290"/>
      <c r="Q2171" s="1230"/>
      <c r="R2171" s="1230"/>
      <c r="S2171" s="1230"/>
      <c r="T2171" s="1230"/>
      <c r="U2171" s="1230"/>
      <c r="V2171" s="1230"/>
      <c r="W2171" s="1230"/>
      <c r="X2171" s="1230"/>
      <c r="Y2171" s="1230"/>
    </row>
    <row r="2172" customFormat="false" ht="15.75" hidden="false" customHeight="true" outlineLevel="1" collapsed="false">
      <c r="A2172" s="1290" t="str">
        <f aca="false">'Прайс лист'!B1138</f>
        <v>Кровельный саморез</v>
      </c>
      <c r="B2172" s="1527" t="s">
        <v>159</v>
      </c>
      <c r="C2172" s="1527" t="n">
        <f aca="false">C2130*12*(C2127)*D2019</f>
        <v>0</v>
      </c>
      <c r="D2172" s="1290" t="n">
        <f aca="false">'Прайс лист'!G1138</f>
        <v>2</v>
      </c>
      <c r="E2172" s="1290" t="n">
        <f aca="false">C2172*D2172</f>
        <v>0</v>
      </c>
      <c r="F2172" s="1230"/>
      <c r="G2172" s="1557"/>
      <c r="H2172" s="1694"/>
      <c r="I2172" s="1765"/>
      <c r="J2172" s="1290"/>
      <c r="K2172" s="1290"/>
      <c r="L2172" s="1290"/>
      <c r="M2172" s="1290"/>
      <c r="N2172" s="1290"/>
      <c r="O2172" s="1290"/>
      <c r="Q2172" s="1230"/>
      <c r="R2172" s="1230"/>
      <c r="S2172" s="1230"/>
      <c r="T2172" s="1230"/>
      <c r="U2172" s="1230"/>
      <c r="V2172" s="1230"/>
      <c r="W2172" s="1230"/>
      <c r="X2172" s="1230"/>
      <c r="Y2172" s="1230"/>
    </row>
    <row r="2173" customFormat="false" ht="15.75" hidden="false" customHeight="true" outlineLevel="1" collapsed="false">
      <c r="A2173" s="1290" t="str">
        <f aca="false">'Прайс лист'!B897</f>
        <v>Гвозди ершоные 3,4 x 60</v>
      </c>
      <c r="B2173" s="1527" t="s">
        <v>188</v>
      </c>
      <c r="C2173" s="1527" t="n">
        <f aca="false">C2137*15*D2019</f>
        <v>0</v>
      </c>
      <c r="D2173" s="1290" t="n">
        <f aca="false">'Прайс лист'!G897</f>
        <v>75.51</v>
      </c>
      <c r="E2173" s="1290" t="n">
        <f aca="false">C2173*D2173</f>
        <v>0</v>
      </c>
      <c r="F2173" s="1230"/>
      <c r="G2173" s="1557"/>
      <c r="H2173" s="1694"/>
      <c r="I2173" s="1765"/>
      <c r="J2173" s="1290"/>
      <c r="K2173" s="1290"/>
      <c r="L2173" s="1290"/>
      <c r="M2173" s="1290"/>
      <c r="N2173" s="1290"/>
      <c r="O2173" s="1290"/>
      <c r="Q2173" s="1230"/>
      <c r="R2173" s="1230"/>
      <c r="S2173" s="1230"/>
      <c r="T2173" s="1230"/>
      <c r="U2173" s="1230"/>
      <c r="V2173" s="1230"/>
      <c r="W2173" s="1230"/>
      <c r="X2173" s="1230"/>
      <c r="Y2173" s="1230"/>
    </row>
    <row r="2174" customFormat="false" ht="15.75" hidden="false" customHeight="true" outlineLevel="1" collapsed="false">
      <c r="A2174" s="1290" t="str">
        <f aca="false">'Прайс лист'!B898</f>
        <v>Гвозди ершоные 2,8 х 90</v>
      </c>
      <c r="B2174" s="1527" t="s">
        <v>159</v>
      </c>
      <c r="C2174" s="1527" t="n">
        <f aca="false">C2130*20/90*D2019</f>
        <v>0</v>
      </c>
      <c r="D2174" s="1290" t="n">
        <f aca="false">'Прайс лист'!G898</f>
        <v>76.49</v>
      </c>
      <c r="E2174" s="1290" t="n">
        <f aca="false">C2174*D2174</f>
        <v>0</v>
      </c>
      <c r="F2174" s="1230"/>
      <c r="G2174" s="1557"/>
      <c r="H2174" s="1694"/>
      <c r="I2174" s="1765"/>
      <c r="J2174" s="1290"/>
      <c r="K2174" s="1290"/>
      <c r="L2174" s="1290"/>
      <c r="M2174" s="1290"/>
      <c r="N2174" s="1290"/>
      <c r="O2174" s="1290"/>
      <c r="Q2174" s="1230"/>
      <c r="R2174" s="1230"/>
      <c r="S2174" s="1230"/>
      <c r="T2174" s="1230"/>
      <c r="U2174" s="1230"/>
      <c r="V2174" s="1230"/>
      <c r="W2174" s="1230"/>
      <c r="X2174" s="1230"/>
      <c r="Y2174" s="1230"/>
    </row>
    <row r="2175" customFormat="false" ht="15.75" hidden="false" customHeight="true" outlineLevel="1" collapsed="false">
      <c r="A2175" s="1290" t="str">
        <f aca="false">'Прайс лист'!B846</f>
        <v>Пластина соеденительная 100х240х2</v>
      </c>
      <c r="B2175" s="1527" t="s">
        <v>159</v>
      </c>
      <c r="C2175" s="1527" t="n">
        <f aca="false">((C2131/0.6)+1)*2*D2019</f>
        <v>0</v>
      </c>
      <c r="D2175" s="1290" t="n">
        <f aca="false">'Прайс лист'!G846</f>
        <v>31.54</v>
      </c>
      <c r="E2175" s="1290" t="n">
        <f aca="false">C2175*D2175</f>
        <v>0</v>
      </c>
      <c r="F2175" s="1230"/>
      <c r="G2175" s="1557"/>
      <c r="H2175" s="1694"/>
      <c r="I2175" s="1765"/>
      <c r="J2175" s="1290"/>
      <c r="K2175" s="1290"/>
      <c r="L2175" s="1290"/>
      <c r="M2175" s="1290"/>
      <c r="N2175" s="1290"/>
      <c r="O2175" s="1290"/>
      <c r="Q2175" s="1230"/>
      <c r="R2175" s="1230"/>
      <c r="S2175" s="1230"/>
      <c r="T2175" s="1230"/>
      <c r="U2175" s="1230"/>
      <c r="V2175" s="1230"/>
      <c r="W2175" s="1230"/>
      <c r="X2175" s="1230"/>
      <c r="Y2175" s="1230"/>
    </row>
    <row r="2176" customFormat="false" ht="15.75" hidden="false" customHeight="true" outlineLevel="1" collapsed="false">
      <c r="A2176" s="1290" t="str">
        <f aca="false">'Прайс лист'!B838</f>
        <v>Уголок усиленный 90х70х55х2,5</v>
      </c>
      <c r="B2176" s="1527" t="s">
        <v>159</v>
      </c>
      <c r="C2176" s="1527" t="n">
        <f aca="false">((C2131/0.6)+1)*2*D2019</f>
        <v>0</v>
      </c>
      <c r="D2176" s="1290" t="n">
        <f aca="false">'Прайс лист'!G838</f>
        <v>30</v>
      </c>
      <c r="E2176" s="1290" t="n">
        <f aca="false">C2176*D2176</f>
        <v>0</v>
      </c>
      <c r="F2176" s="1230"/>
      <c r="G2176" s="1557"/>
      <c r="H2176" s="1694"/>
      <c r="I2176" s="1765"/>
      <c r="J2176" s="1290"/>
      <c r="K2176" s="1290"/>
      <c r="L2176" s="1290"/>
      <c r="M2176" s="1290"/>
      <c r="N2176" s="1290"/>
      <c r="O2176" s="1290"/>
      <c r="Q2176" s="1230"/>
      <c r="R2176" s="1230"/>
      <c r="S2176" s="1230"/>
      <c r="T2176" s="1230"/>
      <c r="U2176" s="1230"/>
      <c r="V2176" s="1230"/>
      <c r="W2176" s="1230"/>
      <c r="X2176" s="1230"/>
      <c r="Y2176" s="1230"/>
    </row>
    <row r="2177" customFormat="false" ht="15.75" hidden="false" customHeight="true" outlineLevel="1" collapsed="false">
      <c r="A2177" s="1290" t="str">
        <f aca="false">'Ввод данных'!A613</f>
        <v>Нет техники</v>
      </c>
      <c r="B2177" s="1527" t="str">
        <f aca="false">'Ввод данных'!B613</f>
        <v>ед.</v>
      </c>
      <c r="C2177" s="1290" t="n">
        <f aca="false">'Ввод данных'!C613</f>
        <v>1</v>
      </c>
      <c r="D2177" s="1290" t="n">
        <f aca="false">VLOOKUP(A2177,'Прайс лист'!B180:G194,6,0)</f>
        <v>0</v>
      </c>
      <c r="E2177" s="1290" t="n">
        <f aca="false">C2177*D2177</f>
        <v>0</v>
      </c>
      <c r="F2177" s="1230"/>
      <c r="G2177" s="1797"/>
      <c r="H2177" s="1797"/>
      <c r="I2177" s="1980"/>
      <c r="J2177" s="1311"/>
      <c r="K2177" s="1311"/>
      <c r="L2177" s="1311"/>
      <c r="M2177" s="1311"/>
      <c r="N2177" s="1311"/>
      <c r="O2177" s="1290"/>
      <c r="Q2177" s="1230"/>
      <c r="R2177" s="1230"/>
      <c r="S2177" s="1230"/>
      <c r="T2177" s="1230"/>
      <c r="U2177" s="1230"/>
      <c r="V2177" s="1230"/>
      <c r="W2177" s="1230"/>
      <c r="X2177" s="1230"/>
      <c r="Y2177" s="1230"/>
    </row>
    <row r="2178" customFormat="false" ht="15.75" hidden="false" customHeight="true" outlineLevel="1" collapsed="false">
      <c r="A2178" s="1290" t="str">
        <f aca="false">'Ввод данных'!A614</f>
        <v>Нет техники</v>
      </c>
      <c r="B2178" s="1527" t="str">
        <f aca="false">'Ввод данных'!B614</f>
        <v>ед.</v>
      </c>
      <c r="C2178" s="1290" t="n">
        <f aca="false">'Ввод данных'!C614</f>
        <v>0</v>
      </c>
      <c r="D2178" s="1290" t="n">
        <f aca="false">VLOOKUP(A2178,'Прайс лист'!B180:G194,6,0)</f>
        <v>0</v>
      </c>
      <c r="E2178" s="1290" t="n">
        <f aca="false">C2178*D2178</f>
        <v>0</v>
      </c>
      <c r="F2178" s="1230"/>
      <c r="G2178" s="1797"/>
      <c r="H2178" s="1797"/>
      <c r="I2178" s="1980"/>
      <c r="J2178" s="1311"/>
      <c r="K2178" s="1311"/>
      <c r="L2178" s="1311"/>
      <c r="M2178" s="1311"/>
      <c r="N2178" s="1311"/>
      <c r="O2178" s="1290"/>
      <c r="Q2178" s="1230"/>
      <c r="R2178" s="1230"/>
      <c r="S2178" s="1230"/>
      <c r="T2178" s="1230"/>
      <c r="U2178" s="1230"/>
      <c r="V2178" s="1230"/>
      <c r="W2178" s="1230"/>
      <c r="X2178" s="1230"/>
      <c r="Y2178" s="1230"/>
    </row>
    <row r="2179" customFormat="false" ht="15.75" hidden="false" customHeight="true" outlineLevel="1" collapsed="false">
      <c r="A2179" s="1290" t="str">
        <f aca="false">'Ввод данных'!A616</f>
        <v>расходные материалы веранда</v>
      </c>
      <c r="B2179" s="1527" t="str">
        <f aca="false">'Ввод данных'!B616</f>
        <v>рублей</v>
      </c>
      <c r="C2179" s="1527" t="n">
        <f aca="false">1</f>
        <v>1</v>
      </c>
      <c r="D2179" s="1290" t="n">
        <f aca="false">'Ввод данных'!C616</f>
        <v>0</v>
      </c>
      <c r="E2179" s="1290" t="n">
        <f aca="false">C2179*D2179</f>
        <v>0</v>
      </c>
      <c r="F2179" s="1230"/>
      <c r="G2179" s="1797"/>
      <c r="H2179" s="1797"/>
      <c r="I2179" s="1980"/>
      <c r="J2179" s="1311"/>
      <c r="K2179" s="1311"/>
      <c r="L2179" s="1311"/>
      <c r="M2179" s="1311"/>
      <c r="N2179" s="1311"/>
      <c r="O2179" s="1290"/>
      <c r="Q2179" s="1230"/>
      <c r="R2179" s="1230"/>
      <c r="S2179" s="1230"/>
      <c r="T2179" s="1230"/>
      <c r="U2179" s="1230"/>
      <c r="V2179" s="1230"/>
      <c r="W2179" s="1230"/>
      <c r="X2179" s="1230"/>
      <c r="Y2179" s="1230"/>
    </row>
    <row r="2180" customFormat="false" ht="15.75" hidden="false" customHeight="true" outlineLevel="1" collapsed="false">
      <c r="A2180" s="1230"/>
      <c r="B2180" s="1771"/>
      <c r="C2180" s="1771"/>
      <c r="D2180" s="1230"/>
      <c r="E2180" s="1290" t="n">
        <f aca="false">SUM(E2136:E2176)</f>
        <v>3390</v>
      </c>
      <c r="F2180" s="1230"/>
      <c r="G2180" s="1797"/>
      <c r="H2180" s="1797"/>
      <c r="I2180" s="1980"/>
      <c r="J2180" s="1311"/>
      <c r="K2180" s="1311"/>
      <c r="L2180" s="1311"/>
      <c r="M2180" s="1311"/>
      <c r="N2180" s="1311"/>
      <c r="O2180" s="1290" t="n">
        <f aca="false">SUM(O2136:O2176)</f>
        <v>0</v>
      </c>
      <c r="Q2180" s="1230"/>
      <c r="R2180" s="1230"/>
      <c r="S2180" s="1230"/>
      <c r="T2180" s="1230"/>
      <c r="U2180" s="1230"/>
      <c r="V2180" s="1230"/>
      <c r="W2180" s="1230"/>
      <c r="X2180" s="1230"/>
      <c r="Y2180" s="1230"/>
    </row>
    <row r="2181" customFormat="false" ht="15.75" hidden="false" customHeight="true" outlineLevel="1" collapsed="false">
      <c r="A2181" s="1290" t="s">
        <v>2726</v>
      </c>
      <c r="B2181" s="1527" t="n">
        <f aca="false">E2180</f>
        <v>3390</v>
      </c>
      <c r="C2181" s="1771"/>
      <c r="D2181" s="1230"/>
      <c r="E2181" s="1230"/>
      <c r="F2181" s="1230"/>
      <c r="G2181" s="1230"/>
      <c r="H2181" s="1230"/>
      <c r="I2181" s="1770"/>
      <c r="J2181" s="1230"/>
      <c r="K2181" s="1230"/>
      <c r="L2181" s="1230"/>
      <c r="M2181" s="1230"/>
      <c r="N2181" s="1230"/>
      <c r="O2181" s="1230"/>
      <c r="P2181" s="1230"/>
      <c r="Q2181" s="1230"/>
      <c r="R2181" s="1230"/>
      <c r="S2181" s="1230"/>
      <c r="T2181" s="1230"/>
      <c r="U2181" s="1230"/>
      <c r="V2181" s="1230"/>
      <c r="W2181" s="1230"/>
      <c r="X2181" s="1230"/>
      <c r="Y2181" s="1230"/>
    </row>
    <row r="2182" customFormat="false" ht="15.75" hidden="false" customHeight="true" outlineLevel="1" collapsed="false">
      <c r="A2182" s="1290" t="s">
        <v>2727</v>
      </c>
      <c r="B2182" s="1527" t="n">
        <f aca="false">O2180</f>
        <v>0</v>
      </c>
      <c r="C2182" s="1771"/>
      <c r="D2182" s="1230"/>
      <c r="E2182" s="1230"/>
      <c r="F2182" s="1230"/>
      <c r="G2182" s="1230"/>
      <c r="H2182" s="1230"/>
      <c r="I2182" s="1770"/>
      <c r="J2182" s="1230"/>
      <c r="K2182" s="1230"/>
      <c r="L2182" s="1230"/>
      <c r="M2182" s="1230"/>
      <c r="N2182" s="1230"/>
      <c r="O2182" s="1230"/>
      <c r="P2182" s="1230"/>
      <c r="Q2182" s="1230"/>
      <c r="R2182" s="1230"/>
      <c r="S2182" s="1230"/>
      <c r="T2182" s="1230"/>
      <c r="U2182" s="1230"/>
      <c r="V2182" s="1230"/>
      <c r="W2182" s="1230"/>
      <c r="X2182" s="1230"/>
      <c r="Y2182" s="1230"/>
    </row>
    <row r="2183" customFormat="false" ht="15.75" hidden="false" customHeight="true" outlineLevel="1" collapsed="false">
      <c r="A2183" s="1290" t="s">
        <v>2728</v>
      </c>
      <c r="B2183" s="1527" t="n">
        <f aca="false">B2181+B2182</f>
        <v>3390</v>
      </c>
      <c r="C2183" s="1771"/>
      <c r="D2183" s="1230"/>
      <c r="E2183" s="1230"/>
      <c r="F2183" s="1230"/>
      <c r="G2183" s="1230"/>
      <c r="H2183" s="1230"/>
      <c r="I2183" s="1770"/>
      <c r="J2183" s="1230"/>
      <c r="K2183" s="1230"/>
      <c r="L2183" s="1230"/>
      <c r="M2183" s="1230"/>
      <c r="N2183" s="1230"/>
      <c r="O2183" s="1230"/>
      <c r="P2183" s="1230"/>
      <c r="Q2183" s="1230"/>
      <c r="R2183" s="1230"/>
      <c r="S2183" s="1230"/>
      <c r="T2183" s="1230"/>
      <c r="U2183" s="1230"/>
      <c r="V2183" s="1230"/>
      <c r="W2183" s="1230"/>
      <c r="X2183" s="1230"/>
      <c r="Y2183" s="1230"/>
    </row>
    <row r="2184" customFormat="false" ht="15.75" hidden="false" customHeight="true" outlineLevel="0" collapsed="false">
      <c r="A2184" s="1914" t="s">
        <v>3834</v>
      </c>
      <c r="B2184" s="1689"/>
      <c r="C2184" s="1773" t="s">
        <v>3663</v>
      </c>
      <c r="D2184" s="1694"/>
      <c r="E2184" s="1694"/>
      <c r="F2184" s="1695"/>
      <c r="G2184" s="1230"/>
      <c r="H2184" s="1230"/>
      <c r="I2184" s="1770"/>
      <c r="J2184" s="1230"/>
      <c r="K2184" s="1230"/>
      <c r="L2184" s="1230"/>
      <c r="M2184" s="1230"/>
      <c r="N2184" s="1230"/>
      <c r="O2184" s="1230"/>
      <c r="P2184" s="1230"/>
      <c r="Q2184" s="1230"/>
      <c r="R2184" s="1230"/>
      <c r="S2184" s="1230"/>
      <c r="T2184" s="1230"/>
      <c r="U2184" s="1230"/>
      <c r="V2184" s="1230"/>
      <c r="W2184" s="1230"/>
      <c r="X2184" s="1230"/>
      <c r="Y2184" s="1230"/>
    </row>
    <row r="2185" customFormat="false" ht="15.75" hidden="false" customHeight="true" outlineLevel="0" collapsed="false">
      <c r="A2185" s="1230"/>
      <c r="B2185" s="1771"/>
      <c r="C2185" s="1771"/>
      <c r="D2185" s="1230"/>
      <c r="E2185" s="1230"/>
      <c r="F2185" s="1230"/>
      <c r="G2185" s="1230"/>
      <c r="H2185" s="1230"/>
      <c r="I2185" s="1770"/>
      <c r="J2185" s="1230"/>
      <c r="K2185" s="1230"/>
      <c r="L2185" s="1230"/>
      <c r="M2185" s="1230"/>
      <c r="N2185" s="1230"/>
      <c r="O2185" s="1230"/>
      <c r="P2185" s="1230"/>
      <c r="Q2185" s="1230"/>
      <c r="R2185" s="1230"/>
      <c r="S2185" s="1230"/>
      <c r="T2185" s="1230"/>
      <c r="U2185" s="1230"/>
      <c r="V2185" s="1230"/>
      <c r="W2185" s="1230"/>
      <c r="X2185" s="1230"/>
      <c r="Y2185" s="1230"/>
    </row>
    <row r="2186" customFormat="false" ht="15.75" hidden="false" customHeight="true" outlineLevel="0" collapsed="false">
      <c r="A2186" s="1525" t="s">
        <v>2069</v>
      </c>
      <c r="B2186" s="1930"/>
      <c r="C2186" s="1930"/>
      <c r="D2186" s="1931"/>
      <c r="E2186" s="1932"/>
      <c r="F2186" s="1195" t="n">
        <f aca="false">VLOOKUP('Ввод данных'!F512,связи1!A2:B3,2,0)</f>
        <v>0</v>
      </c>
      <c r="G2186" s="1230"/>
      <c r="H2186" s="1230"/>
      <c r="I2186" s="1981" t="n">
        <f aca="false">E1284</f>
        <v>0</v>
      </c>
      <c r="J2186" s="1230"/>
      <c r="K2186" s="1230"/>
      <c r="L2186" s="1230"/>
      <c r="M2186" s="1230"/>
      <c r="N2186" s="1230"/>
      <c r="O2186" s="1230"/>
      <c r="P2186" s="1230"/>
      <c r="Q2186" s="1230"/>
      <c r="R2186" s="1230"/>
      <c r="S2186" s="1230"/>
      <c r="T2186" s="1230"/>
      <c r="U2186" s="1230"/>
      <c r="V2186" s="1230"/>
      <c r="W2186" s="1230"/>
      <c r="X2186" s="1230"/>
      <c r="Y2186" s="1230"/>
    </row>
    <row r="2187" customFormat="false" ht="15.75" hidden="false" customHeight="true" outlineLevel="0" collapsed="false">
      <c r="A2187" s="1937"/>
      <c r="B2187" s="1937"/>
      <c r="C2187" s="1982"/>
      <c r="D2187" s="1982"/>
      <c r="E2187" s="1982"/>
      <c r="F2187" s="1982"/>
      <c r="G2187" s="1230"/>
      <c r="H2187" s="1230"/>
      <c r="I2187" s="1981" t="n">
        <f aca="false">E1285</f>
        <v>1</v>
      </c>
      <c r="J2187" s="1230"/>
      <c r="K2187" s="1230"/>
      <c r="L2187" s="1230"/>
      <c r="M2187" s="1230"/>
      <c r="N2187" s="1230"/>
      <c r="O2187" s="1230"/>
      <c r="P2187" s="1230"/>
      <c r="Q2187" s="1230"/>
      <c r="R2187" s="1230"/>
      <c r="S2187" s="1230"/>
      <c r="T2187" s="1230"/>
      <c r="U2187" s="1230"/>
      <c r="V2187" s="1230"/>
      <c r="W2187" s="1230"/>
      <c r="X2187" s="1230"/>
      <c r="Y2187" s="1230"/>
    </row>
    <row r="2188" customFormat="false" ht="15.75" hidden="false" customHeight="true" outlineLevel="0" collapsed="false">
      <c r="A2188" s="1937" t="s">
        <v>3835</v>
      </c>
      <c r="B2188" s="1937" t="n">
        <f aca="false">VLOOKUP('Ввод данных'!D462,связи1!A2:B3,2,0)</f>
        <v>1</v>
      </c>
      <c r="C2188" s="1982"/>
      <c r="D2188" s="1982"/>
      <c r="E2188" s="1937"/>
      <c r="F2188" s="1937"/>
      <c r="G2188" s="1230"/>
      <c r="H2188" s="1230"/>
      <c r="I2188" s="1981"/>
      <c r="J2188" s="1230"/>
      <c r="K2188" s="1230"/>
      <c r="L2188" s="1230"/>
      <c r="M2188" s="1230"/>
      <c r="N2188" s="1230"/>
      <c r="O2188" s="1230"/>
      <c r="P2188" s="1230"/>
      <c r="Q2188" s="1230"/>
      <c r="R2188" s="1230"/>
      <c r="S2188" s="1230"/>
      <c r="T2188" s="1230"/>
      <c r="U2188" s="1230"/>
      <c r="V2188" s="1230"/>
      <c r="W2188" s="1230"/>
      <c r="X2188" s="1230"/>
      <c r="Y2188" s="1230"/>
    </row>
    <row r="2189" customFormat="false" ht="15.75" hidden="false" customHeight="true" outlineLevel="0" collapsed="false">
      <c r="A2189" s="1983" t="s">
        <v>3836</v>
      </c>
      <c r="B2189" s="1984" t="s">
        <v>120</v>
      </c>
      <c r="C2189" s="1269" t="s">
        <v>2056</v>
      </c>
      <c r="D2189" s="1270" t="s">
        <v>3837</v>
      </c>
      <c r="E2189" s="1193" t="s">
        <v>3415</v>
      </c>
      <c r="F2189" s="1985" t="s">
        <v>2947</v>
      </c>
      <c r="G2189" s="1230"/>
      <c r="H2189" s="1230"/>
      <c r="I2189" s="1770"/>
      <c r="J2189" s="1230"/>
      <c r="K2189" s="1230"/>
      <c r="L2189" s="1230"/>
      <c r="M2189" s="1230"/>
      <c r="N2189" s="1230"/>
      <c r="O2189" s="1230"/>
      <c r="P2189" s="1230"/>
      <c r="Q2189" s="1230"/>
      <c r="R2189" s="1230"/>
      <c r="S2189" s="1230"/>
      <c r="T2189" s="1230"/>
      <c r="U2189" s="1230"/>
      <c r="V2189" s="1230"/>
      <c r="W2189" s="1230"/>
      <c r="X2189" s="1230"/>
      <c r="Y2189" s="1230"/>
    </row>
    <row r="2190" customFormat="false" ht="15.75" hidden="false" customHeight="true" outlineLevel="0" collapsed="false">
      <c r="A2190" s="1248" t="s">
        <v>2057</v>
      </c>
      <c r="B2190" s="1984" t="s">
        <v>159</v>
      </c>
      <c r="C2190" s="1518" t="n">
        <f aca="false">'Ввод данных'!C465</f>
        <v>1</v>
      </c>
      <c r="D2190" s="1924" t="n">
        <v>1</v>
      </c>
      <c r="E2190" s="1193"/>
      <c r="F2190" s="1278"/>
      <c r="G2190" s="1230"/>
      <c r="H2190" s="1230"/>
      <c r="I2190" s="1770"/>
      <c r="J2190" s="1230"/>
      <c r="K2190" s="1230"/>
      <c r="L2190" s="1230"/>
      <c r="M2190" s="1230"/>
      <c r="N2190" s="1230"/>
      <c r="O2190" s="1230"/>
      <c r="P2190" s="1230"/>
      <c r="Q2190" s="1230"/>
      <c r="R2190" s="1230"/>
      <c r="S2190" s="1230"/>
      <c r="T2190" s="1230"/>
      <c r="U2190" s="1230"/>
      <c r="V2190" s="1230"/>
      <c r="W2190" s="1230"/>
      <c r="X2190" s="1230"/>
      <c r="Y2190" s="1230"/>
    </row>
    <row r="2191" customFormat="false" ht="15.75" hidden="false" customHeight="true" outlineLevel="0" collapsed="false">
      <c r="A2191" s="1268" t="s">
        <v>2058</v>
      </c>
      <c r="B2191" s="1269" t="s">
        <v>156</v>
      </c>
      <c r="C2191" s="1518" t="n">
        <f aca="false">'Ввод данных'!C466</f>
        <v>3</v>
      </c>
      <c r="D2191" s="939"/>
      <c r="E2191" s="1193" t="n">
        <f aca="false">(C2191+C2192+C2192)*C2193</f>
        <v>4.5</v>
      </c>
      <c r="F2191" s="1985" t="n">
        <f aca="false">C2191*C2192</f>
        <v>3</v>
      </c>
      <c r="G2191" s="1230"/>
      <c r="H2191" s="1230"/>
      <c r="I2191" s="1770"/>
      <c r="J2191" s="1230"/>
      <c r="K2191" s="1230"/>
      <c r="L2191" s="1230"/>
      <c r="M2191" s="1230"/>
      <c r="N2191" s="1230"/>
      <c r="O2191" s="1230"/>
      <c r="P2191" s="1230"/>
      <c r="Q2191" s="1230"/>
      <c r="R2191" s="1230"/>
      <c r="S2191" s="1230"/>
      <c r="T2191" s="1230"/>
      <c r="U2191" s="1230"/>
      <c r="V2191" s="1230"/>
      <c r="W2191" s="1230"/>
      <c r="X2191" s="1230"/>
      <c r="Y2191" s="1230"/>
    </row>
    <row r="2192" customFormat="false" ht="15.75" hidden="false" customHeight="true" outlineLevel="0" collapsed="false">
      <c r="A2192" s="1268" t="s">
        <v>2059</v>
      </c>
      <c r="B2192" s="1269" t="s">
        <v>156</v>
      </c>
      <c r="C2192" s="1518" t="n">
        <f aca="false">'Ввод данных'!C467</f>
        <v>1</v>
      </c>
      <c r="D2192" s="939"/>
      <c r="E2192" s="1193"/>
      <c r="F2192" s="1985"/>
      <c r="G2192" s="1230"/>
      <c r="H2192" s="1230"/>
      <c r="I2192" s="1770"/>
      <c r="J2192" s="1230"/>
      <c r="K2192" s="1230"/>
      <c r="L2192" s="1230"/>
      <c r="M2192" s="1230"/>
      <c r="N2192" s="1230"/>
      <c r="O2192" s="1230"/>
      <c r="P2192" s="1230"/>
      <c r="Q2192" s="1230"/>
      <c r="R2192" s="1230"/>
      <c r="S2192" s="1230"/>
      <c r="T2192" s="1230"/>
      <c r="U2192" s="1230"/>
      <c r="V2192" s="1230"/>
      <c r="W2192" s="1230"/>
      <c r="X2192" s="1230"/>
      <c r="Y2192" s="1230"/>
    </row>
    <row r="2193" customFormat="false" ht="15.75" hidden="false" customHeight="true" outlineLevel="0" collapsed="false">
      <c r="A2193" s="1268" t="s">
        <v>3838</v>
      </c>
      <c r="B2193" s="1269" t="s">
        <v>156</v>
      </c>
      <c r="C2193" s="1518" t="n">
        <f aca="false">'Ввод данных'!C468</f>
        <v>0.9</v>
      </c>
      <c r="D2193" s="939"/>
      <c r="E2193" s="1193"/>
      <c r="F2193" s="1985"/>
      <c r="G2193" s="1230"/>
      <c r="H2193" s="1230"/>
      <c r="I2193" s="1770"/>
      <c r="J2193" s="1230"/>
      <c r="K2193" s="1230"/>
      <c r="L2193" s="1230"/>
      <c r="M2193" s="1230"/>
      <c r="N2193" s="1230"/>
      <c r="O2193" s="1230"/>
      <c r="P2193" s="1230"/>
      <c r="Q2193" s="1230"/>
      <c r="R2193" s="1230"/>
      <c r="S2193" s="1230"/>
      <c r="T2193" s="1230"/>
      <c r="U2193" s="1230"/>
      <c r="V2193" s="1230"/>
      <c r="W2193" s="1230"/>
      <c r="X2193" s="1230"/>
      <c r="Y2193" s="1230"/>
    </row>
    <row r="2194" customFormat="false" ht="15.75" hidden="false" customHeight="true" outlineLevel="0" collapsed="false">
      <c r="A2194" s="1986"/>
      <c r="B2194" s="1987"/>
      <c r="C2194" s="1987"/>
      <c r="D2194" s="952"/>
      <c r="E2194" s="952"/>
      <c r="F2194" s="952"/>
      <c r="G2194" s="1230"/>
      <c r="H2194" s="1230"/>
      <c r="I2194" s="1770"/>
      <c r="J2194" s="1230"/>
      <c r="K2194" s="1230"/>
      <c r="L2194" s="1230"/>
      <c r="M2194" s="1230"/>
      <c r="N2194" s="1230"/>
      <c r="O2194" s="1230"/>
      <c r="P2194" s="1230"/>
      <c r="Q2194" s="1230"/>
      <c r="R2194" s="1230"/>
      <c r="S2194" s="1230"/>
      <c r="T2194" s="1230"/>
      <c r="U2194" s="1230"/>
      <c r="V2194" s="1230"/>
      <c r="W2194" s="1230"/>
      <c r="X2194" s="1230"/>
      <c r="Y2194" s="1230"/>
    </row>
    <row r="2195" customFormat="false" ht="15.75" hidden="false" customHeight="true" outlineLevel="0" collapsed="false">
      <c r="A2195" s="1290" t="s">
        <v>1093</v>
      </c>
      <c r="B2195" s="1527"/>
      <c r="C2195" s="1527" t="s">
        <v>1802</v>
      </c>
      <c r="D2195" s="1290" t="s">
        <v>922</v>
      </c>
      <c r="E2195" s="1290" t="s">
        <v>3696</v>
      </c>
      <c r="F2195" s="1230"/>
      <c r="G2195" s="1290" t="s">
        <v>1093</v>
      </c>
      <c r="H2195" s="1290"/>
      <c r="I2195" s="1290" t="s">
        <v>1802</v>
      </c>
      <c r="J2195" s="1290" t="s">
        <v>922</v>
      </c>
      <c r="K2195" s="1290" t="s">
        <v>3696</v>
      </c>
      <c r="P2195" s="1230"/>
      <c r="Q2195" s="1230"/>
      <c r="R2195" s="1230"/>
      <c r="S2195" s="1230"/>
      <c r="T2195" s="1230"/>
      <c r="U2195" s="1230"/>
      <c r="V2195" s="1230"/>
      <c r="W2195" s="1230"/>
      <c r="X2195" s="1230"/>
      <c r="Y2195" s="1230"/>
    </row>
    <row r="2196" customFormat="false" ht="15.75" hidden="false" customHeight="true" outlineLevel="0" collapsed="false">
      <c r="A2196" s="1290"/>
      <c r="B2196" s="1527"/>
      <c r="C2196" s="1527"/>
      <c r="D2196" s="1290"/>
      <c r="E2196" s="1290"/>
      <c r="F2196" s="1230"/>
      <c r="G2196" s="1290"/>
      <c r="H2196" s="1290"/>
      <c r="I2196" s="1290"/>
      <c r="J2196" s="1290"/>
      <c r="K2196" s="1290"/>
      <c r="P2196" s="1230"/>
      <c r="Q2196" s="1230"/>
      <c r="R2196" s="1230"/>
      <c r="S2196" s="1230"/>
      <c r="T2196" s="1230"/>
      <c r="U2196" s="1230"/>
      <c r="V2196" s="1230"/>
      <c r="W2196" s="1230"/>
      <c r="X2196" s="1230"/>
      <c r="Y2196" s="1230"/>
    </row>
    <row r="2197" customFormat="false" ht="15.75" hidden="false" customHeight="true" outlineLevel="0" collapsed="false">
      <c r="A2197" s="1290" t="str">
        <f aca="false">'Ввод данных'!A473</f>
        <v>Оцилиндрованное бревно сосна 260мм</v>
      </c>
      <c r="B2197" s="1527" t="s">
        <v>135</v>
      </c>
      <c r="C2197" s="1527" t="n">
        <f aca="false">(IF('Ввод данных'!A471=связи1!A456,VLOOKUP(A2197,'Прайс лист'!B333:G419,3,0),0)+IF('Ввод данных'!A471=связи1!A457,VLOOKUP(дома!A2197,'Прайс лист'!B441:G528,3,0),0))*(C2191+C2192+C2192)*C2193*B2188</f>
        <v>1.17</v>
      </c>
      <c r="D2197" s="1290" t="n">
        <f aca="false">IF('Ввод данных'!A471=связи1!A456,VLOOKUP(A2197,'Прайс лист'!B333:G419,6,0),0)+IF('Ввод данных'!A471=связи1!A457,VLOOKUP(дома!A2197,'Прайс лист'!B441:G528,6,0),0)</f>
        <v>8500</v>
      </c>
      <c r="E2197" s="1290" t="n">
        <f aca="false">C2197*D2197</f>
        <v>9945</v>
      </c>
      <c r="F2197" s="1230"/>
      <c r="G2197" s="1290" t="str">
        <f aca="false">'Прайс лист'!B1693</f>
        <v>кладка бруса</v>
      </c>
      <c r="H2197" s="1290"/>
      <c r="I2197" s="1290" t="n">
        <f aca="false">C2197*B2188</f>
        <v>1.17</v>
      </c>
      <c r="J2197" s="1290" t="n">
        <f aca="false">'Прайс лист'!G1693</f>
        <v>4000</v>
      </c>
      <c r="K2197" s="1290" t="n">
        <f aca="false">I2197*J2197</f>
        <v>4680</v>
      </c>
      <c r="P2197" s="1230"/>
      <c r="Q2197" s="1230"/>
      <c r="R2197" s="1230"/>
      <c r="S2197" s="1230"/>
      <c r="T2197" s="1230"/>
      <c r="U2197" s="1230"/>
      <c r="V2197" s="1230"/>
      <c r="W2197" s="1230"/>
      <c r="X2197" s="1230"/>
      <c r="Y2197" s="1230"/>
    </row>
    <row r="2198" customFormat="false" ht="15.75" hidden="false" customHeight="true" outlineLevel="0" collapsed="false">
      <c r="A2198" s="933" t="str">
        <f aca="false">'Ввод данных'!A475</f>
        <v>Доска естественной влажности, 200*50мм</v>
      </c>
      <c r="B2198" s="887" t="s">
        <v>135</v>
      </c>
      <c r="C2198" s="933" t="n">
        <f aca="false">VLOOKUP(A2198,связи1!A204:E213,5,0)*(C2191/0.6+1+C2191)*B2188</f>
        <v>0.09</v>
      </c>
      <c r="D2198" s="933" t="n">
        <f aca="false">VLOOKUP(A2198,связи1!A204:D213,4,0)</f>
        <v>6500</v>
      </c>
      <c r="E2198" s="1290" t="n">
        <f aca="false">C2198*D2198</f>
        <v>585</v>
      </c>
      <c r="F2198" s="1230"/>
      <c r="G2198" s="1290" t="str">
        <f aca="false">'Прайс лист'!B1606</f>
        <v>Монтаж перекрытий из бруса</v>
      </c>
      <c r="H2198" s="1290"/>
      <c r="I2198" s="1290" t="n">
        <f aca="false">F2191*B2188</f>
        <v>3</v>
      </c>
      <c r="J2198" s="1290" t="n">
        <f aca="false">'Прайс лист'!G1606</f>
        <v>300</v>
      </c>
      <c r="K2198" s="1290" t="n">
        <f aca="false">I2198*J2198</f>
        <v>900</v>
      </c>
      <c r="P2198" s="1230"/>
      <c r="Q2198" s="1230"/>
      <c r="R2198" s="1230"/>
      <c r="S2198" s="1230"/>
      <c r="T2198" s="1230"/>
      <c r="U2198" s="1230"/>
      <c r="V2198" s="1230"/>
      <c r="W2198" s="1230"/>
      <c r="X2198" s="1230"/>
      <c r="Y2198" s="1230"/>
    </row>
    <row r="2199" customFormat="false" ht="15.75" hidden="false" customHeight="true" outlineLevel="0" collapsed="false">
      <c r="A2199" s="1290" t="str">
        <f aca="false">A1797</f>
        <v>Бензин для пилы</v>
      </c>
      <c r="B2199" s="1527" t="str">
        <f aca="false">B1797</f>
        <v>л</v>
      </c>
      <c r="C2199" s="1527" t="n">
        <f aca="false">(C2197+C2198)/2*B2188</f>
        <v>0.63</v>
      </c>
      <c r="D2199" s="1290" t="n">
        <f aca="false">D1797</f>
        <v>40</v>
      </c>
      <c r="E2199" s="1290" t="n">
        <f aca="false">C2199*D2199</f>
        <v>25.2</v>
      </c>
      <c r="F2199" s="1230"/>
      <c r="G2199" s="1290"/>
      <c r="H2199" s="1290"/>
      <c r="I2199" s="1290"/>
      <c r="J2199" s="1290"/>
      <c r="K2199" s="1290"/>
      <c r="P2199" s="1230"/>
      <c r="Q2199" s="1230"/>
      <c r="R2199" s="1230"/>
      <c r="S2199" s="1230"/>
      <c r="T2199" s="1230"/>
      <c r="U2199" s="1230"/>
      <c r="V2199" s="1230"/>
      <c r="W2199" s="1230"/>
      <c r="X2199" s="1230"/>
      <c r="Y2199" s="1230"/>
    </row>
    <row r="2200" customFormat="false" ht="15.75" hidden="false" customHeight="true" outlineLevel="0" collapsed="false">
      <c r="A2200" s="1290" t="str">
        <f aca="false">A1798</f>
        <v>Масло для пилы</v>
      </c>
      <c r="B2200" s="1527" t="str">
        <f aca="false">B1798</f>
        <v>л</v>
      </c>
      <c r="C2200" s="1527" t="n">
        <f aca="false">C2199/12*B2188</f>
        <v>0.0525</v>
      </c>
      <c r="D2200" s="1290" t="n">
        <f aca="false">D1798</f>
        <v>250</v>
      </c>
      <c r="E2200" s="1290" t="n">
        <f aca="false">C2200*D2200</f>
        <v>13.125</v>
      </c>
      <c r="F2200" s="1230"/>
      <c r="G2200" s="1290"/>
      <c r="H2200" s="1290"/>
      <c r="I2200" s="1290"/>
      <c r="J2200" s="1290"/>
      <c r="K2200" s="1290"/>
      <c r="P2200" s="1230"/>
      <c r="Q2200" s="1230"/>
      <c r="R2200" s="1230"/>
      <c r="S2200" s="1230"/>
      <c r="T2200" s="1230"/>
      <c r="U2200" s="1230"/>
      <c r="V2200" s="1230"/>
      <c r="W2200" s="1230"/>
      <c r="X2200" s="1230"/>
      <c r="Y2200" s="1230"/>
    </row>
    <row r="2201" customFormat="false" ht="15.75" hidden="false" customHeight="true" outlineLevel="0" collapsed="false">
      <c r="A2201" s="1290" t="str">
        <f aca="false">A1799</f>
        <v>Цепь для пилы</v>
      </c>
      <c r="B2201" s="1527" t="str">
        <f aca="false">B1799</f>
        <v>л</v>
      </c>
      <c r="C2201" s="1527" t="n">
        <f aca="false">1*B2188</f>
        <v>1</v>
      </c>
      <c r="D2201" s="1290" t="n">
        <f aca="false">D1799</f>
        <v>800</v>
      </c>
      <c r="E2201" s="1290" t="n">
        <f aca="false">C2201*D2201</f>
        <v>800</v>
      </c>
      <c r="F2201" s="1230"/>
      <c r="G2201" s="1290"/>
      <c r="H2201" s="1290"/>
      <c r="I2201" s="1290"/>
      <c r="J2201" s="1290"/>
      <c r="K2201" s="1290"/>
      <c r="P2201" s="1230"/>
      <c r="Q2201" s="1230"/>
      <c r="R2201" s="1230"/>
      <c r="S2201" s="1230"/>
      <c r="T2201" s="1230"/>
      <c r="U2201" s="1230"/>
      <c r="V2201" s="1230"/>
      <c r="W2201" s="1230"/>
      <c r="X2201" s="1230"/>
      <c r="Y2201" s="1230"/>
    </row>
    <row r="2202" customFormat="false" ht="15.75" hidden="false" customHeight="true" outlineLevel="0" collapsed="false">
      <c r="A2202" s="1290"/>
      <c r="B2202" s="1527"/>
      <c r="C2202" s="1527"/>
      <c r="D2202" s="1290"/>
      <c r="E2202" s="1290"/>
      <c r="F2202" s="1230"/>
      <c r="G2202" s="1290"/>
      <c r="H2202" s="1290"/>
      <c r="I2202" s="1290"/>
      <c r="J2202" s="1290"/>
      <c r="K2202" s="1290"/>
      <c r="P2202" s="1230"/>
      <c r="Q2202" s="1230"/>
      <c r="R2202" s="1230"/>
      <c r="S2202" s="1230"/>
      <c r="T2202" s="1230"/>
      <c r="U2202" s="1230"/>
      <c r="V2202" s="1230"/>
      <c r="W2202" s="1230"/>
      <c r="X2202" s="1230"/>
      <c r="Y2202" s="1230"/>
    </row>
    <row r="2203" customFormat="false" ht="15.75" hidden="false" customHeight="true" outlineLevel="0" collapsed="false">
      <c r="A2203" s="1290" t="str">
        <f aca="false">'Ввод данных'!A495</f>
        <v>Гидроизоляция жидкая резина 1</v>
      </c>
      <c r="B2203" s="1527" t="s">
        <v>188</v>
      </c>
      <c r="C2203" s="1527" t="n">
        <f aca="false">I2203*VLOOKUP('Ввод данных'!D481,связи1!A2:B3,2,0)*VLOOKUP('Ввод данных'!F512,связи1!A2:B3,2,0)</f>
        <v>0</v>
      </c>
      <c r="D2203" s="1290" t="n">
        <f aca="false">VLOOKUP(A2203,'Прайс лист'!B1389:G1392,6,0)</f>
        <v>150</v>
      </c>
      <c r="E2203" s="1290" t="n">
        <f aca="false">C2203*D2203</f>
        <v>0</v>
      </c>
      <c r="F2203" s="1230"/>
      <c r="G2203" s="1290" t="str">
        <f aca="false">'Прайс лист'!B1777</f>
        <v>Гидроизоляция рулонная</v>
      </c>
      <c r="H2203" s="1290"/>
      <c r="I2203" s="1290" t="n">
        <f aca="false">'Ввод данных'!C485*'Ввод данных'!C486*VLOOKUP('Ввод данных'!D481,связи1!A2:B3,2,0)*VLOOKUP('Ввод данных'!F512,связи1!A2:B3,2,0)*IF(A2203='Прайс лист'!B1389,0,1)</f>
        <v>0</v>
      </c>
      <c r="J2203" s="1290" t="n">
        <f aca="false">'Прайс лист'!G1777</f>
        <v>250</v>
      </c>
      <c r="K2203" s="1290" t="n">
        <f aca="false">I2203*J2203</f>
        <v>0</v>
      </c>
      <c r="P2203" s="1230"/>
      <c r="Q2203" s="1230"/>
      <c r="R2203" s="1230"/>
      <c r="S2203" s="1230"/>
      <c r="T2203" s="1230"/>
      <c r="U2203" s="1230"/>
      <c r="V2203" s="1230"/>
      <c r="W2203" s="1230"/>
      <c r="X2203" s="1230"/>
      <c r="Y2203" s="1230"/>
    </row>
    <row r="2204" customFormat="false" ht="15.75" hidden="false" customHeight="true" outlineLevel="0" collapsed="false">
      <c r="A2204" s="1290" t="str">
        <f aca="false">'Ввод данных'!A497</f>
        <v>Kronospan - OSB-3, 22мм</v>
      </c>
      <c r="B2204" s="1527" t="s">
        <v>133</v>
      </c>
      <c r="C2204" s="1527" t="n">
        <f aca="false">I2203*VLOOKUP('Ввод данных'!D481,связи1!A2:B3,2,0)*VLOOKUP('Ввод данных'!F512,связи1!A2:B3,2,0)</f>
        <v>0</v>
      </c>
      <c r="D2204" s="1290" t="n">
        <f aca="false">VLOOKUP(A2204,'Прайс лист'!B1027:G1078,6,0)</f>
        <v>526.666666666667</v>
      </c>
      <c r="E2204" s="1290" t="n">
        <f aca="false">C2204*D2204</f>
        <v>0</v>
      </c>
      <c r="F2204" s="1230"/>
      <c r="G2204" s="1290" t="str">
        <f aca="false">'Прайс лист'!B1881</f>
        <v>монтаж OSB пол</v>
      </c>
      <c r="H2204" s="1290"/>
      <c r="I2204" s="1290" t="n">
        <f aca="false">I2203*VLOOKUP('Ввод данных'!D481,связи1!A2:B3,2,0)*VLOOKUP('Ввод данных'!F512,связи1!A2:B3,2,0)*IF(A2204='Прайс лист'!B1027,0,1)</f>
        <v>0</v>
      </c>
      <c r="J2204" s="1290" t="n">
        <f aca="false">'Прайс лист'!G1881</f>
        <v>250</v>
      </c>
      <c r="K2204" s="1290" t="n">
        <f aca="false">I2204*J2204</f>
        <v>0</v>
      </c>
      <c r="P2204" s="1230"/>
      <c r="Q2204" s="1230"/>
      <c r="R2204" s="1230"/>
      <c r="S2204" s="1230"/>
      <c r="T2204" s="1230"/>
      <c r="U2204" s="1230"/>
      <c r="V2204" s="1230"/>
      <c r="W2204" s="1230"/>
      <c r="X2204" s="1230"/>
      <c r="Y2204" s="1230"/>
    </row>
    <row r="2205" customFormat="false" ht="15.75" hidden="false" customHeight="true" outlineLevel="0" collapsed="false">
      <c r="A2205" s="1290" t="str">
        <f aca="false">'Ввод данных'!A499</f>
        <v>Проф.брус вл. 200*150мм</v>
      </c>
      <c r="B2205" s="1527" t="s">
        <v>135</v>
      </c>
      <c r="C2205" s="1527" t="n">
        <f aca="false">CEILING(C2219/2+1+C2220/2,1)*VLOOKUP(A2205,'Прайс лист'!B333:G419,5,0)*VLOOKUP('Ввод данных'!D481,связи1!A2:B3,2,0)*VLOOKUP('Ввод данных'!F512,связи1!A2:B3,2,0)</f>
        <v>0</v>
      </c>
      <c r="D2205" s="1290" t="n">
        <f aca="false">VLOOKUP(A2205,'Прайс лист'!B333:G419,6,0)</f>
        <v>9300</v>
      </c>
      <c r="E2205" s="1290" t="n">
        <f aca="false">C2205*D2205</f>
        <v>0</v>
      </c>
      <c r="F2205" s="1230"/>
      <c r="G2205" s="1290" t="str">
        <f aca="false">'Прайс лист'!B1882</f>
        <v>Монтаж перил</v>
      </c>
      <c r="H2205" s="1290"/>
      <c r="I2205" s="1290" t="n">
        <f aca="false">(C2219+C2220)*VLOOKUP('Ввод данных'!D481,связи1!A2:B3,2,0)*VLOOKUP('Ввод данных'!F512,связи1!A2:B3,2,0)</f>
        <v>0</v>
      </c>
      <c r="J2205" s="1290" t="n">
        <f aca="false">'Прайс лист'!G1882</f>
        <v>500</v>
      </c>
      <c r="K2205" s="1290" t="n">
        <f aca="false">I2205*J2205</f>
        <v>0</v>
      </c>
      <c r="P2205" s="1230"/>
      <c r="Q2205" s="1230"/>
      <c r="R2205" s="1230"/>
      <c r="S2205" s="1230"/>
      <c r="T2205" s="1230"/>
      <c r="U2205" s="1230"/>
      <c r="V2205" s="1230"/>
      <c r="W2205" s="1230"/>
      <c r="X2205" s="1230"/>
      <c r="Y2205" s="1230"/>
    </row>
    <row r="2206" customFormat="false" ht="15.75" hidden="false" customHeight="true" outlineLevel="0" collapsed="false">
      <c r="A2206" s="1290" t="str">
        <f aca="false">'Ввод данных'!A501</f>
        <v>Брус клееный проф 2 ламель кедр Шир. 240 выс. 140</v>
      </c>
      <c r="B2206" s="1527" t="s">
        <v>135</v>
      </c>
      <c r="C2206" s="1527" t="n">
        <f aca="false">VLOOKUP(A2206,'Прайс лист'!B333:G419,5,0)*VLOOKUP('Ввод данных'!D481,связи1!A2:B3,2,0)*VLOOKUP('Ввод данных'!F512,связи1!A2:B3,2,0)</f>
        <v>0</v>
      </c>
      <c r="D2206" s="1290" t="n">
        <f aca="false">VLOOKUP(A2206,'Прайс лист'!B333:G419,6,0)</f>
        <v>24000</v>
      </c>
      <c r="E2206" s="1290" t="n">
        <f aca="false">C2206*D2206</f>
        <v>0</v>
      </c>
      <c r="F2206" s="1230"/>
      <c r="G2206" s="1290" t="str">
        <f aca="false">G2044</f>
        <v>Монтаж накладки на перила</v>
      </c>
      <c r="H2206" s="1290"/>
      <c r="I2206" s="1290" t="n">
        <f aca="false">I2205*VLOOKUP('Ввод данных'!D481,связи1!A2:B3,2,0)*VLOOKUP('Ввод данных'!F512,связи1!A2:B3,2,0)*IF(A2208='Прайс лист'!B420,0,1)</f>
        <v>0</v>
      </c>
      <c r="J2206" s="1290" t="n">
        <f aca="false">K2044</f>
        <v>0</v>
      </c>
      <c r="K2206" s="1290" t="n">
        <f aca="false">I2206*J2206</f>
        <v>0</v>
      </c>
      <c r="P2206" s="1230"/>
      <c r="Q2206" s="1230"/>
      <c r="R2206" s="1230"/>
      <c r="S2206" s="1230"/>
      <c r="T2206" s="1230"/>
      <c r="U2206" s="1230"/>
      <c r="V2206" s="1230"/>
      <c r="W2206" s="1230"/>
      <c r="X2206" s="1230"/>
      <c r="Y2206" s="1230"/>
    </row>
    <row r="2207" customFormat="false" ht="15.75" hidden="false" customHeight="true" outlineLevel="0" collapsed="false">
      <c r="A2207" s="1290" t="str">
        <f aca="false">'Ввод данных'!A503</f>
        <v>Брус клееный проф 1 ламель кедр Шир. 240 выс. 140</v>
      </c>
      <c r="B2207" s="1527" t="s">
        <v>135</v>
      </c>
      <c r="C2207" s="1527" t="n">
        <f aca="false">VLOOKUP(A2207,'Прайс лист'!B333:G419,5,0)*VLOOKUP('Ввод данных'!D481,связи1!A2:B3,2,0)*VLOOKUP('Ввод данных'!F512,связи1!A2:B3,2,0)</f>
        <v>0</v>
      </c>
      <c r="D2207" s="1290" t="n">
        <f aca="false">VLOOKUP(A2207,'Прайс лист'!B333:G419,6,0)</f>
        <v>24000</v>
      </c>
      <c r="E2207" s="1290" t="n">
        <f aca="false">C2207*D2207</f>
        <v>0</v>
      </c>
      <c r="F2207" s="1230"/>
      <c r="G2207" s="933"/>
      <c r="H2207" s="933"/>
      <c r="I2207" s="933"/>
      <c r="J2207" s="933"/>
      <c r="K2207" s="1290"/>
      <c r="P2207" s="1230"/>
      <c r="Q2207" s="1230"/>
      <c r="R2207" s="1230"/>
      <c r="S2207" s="1230"/>
      <c r="T2207" s="1230"/>
      <c r="U2207" s="1230"/>
      <c r="V2207" s="1230"/>
      <c r="W2207" s="1230"/>
      <c r="X2207" s="1230"/>
      <c r="Y2207" s="1230"/>
    </row>
    <row r="2208" customFormat="false" ht="15.75" hidden="false" customHeight="true" outlineLevel="0" collapsed="false">
      <c r="A2208" s="1290" t="str">
        <f aca="false">'Ввод данных'!A505</f>
        <v>Клееная накладка на перила шир 240мм</v>
      </c>
      <c r="B2208" s="1527" t="s">
        <v>156</v>
      </c>
      <c r="C2208" s="1527" t="n">
        <f aca="false">VLOOKUP('Ввод данных'!D481,связи1!A2:B3,2,0)*VLOOKUP('Ввод данных'!F512,связи1!A2:B3,2,0)</f>
        <v>0</v>
      </c>
      <c r="D2208" s="1290" t="n">
        <f aca="false">VLOOKUP(A2208,'Прайс лист'!B420:G424,6,0)</f>
        <v>400</v>
      </c>
      <c r="E2208" s="1290" t="n">
        <f aca="false">C2208*D2208</f>
        <v>0</v>
      </c>
      <c r="F2208" s="1230"/>
      <c r="G2208" s="1290"/>
      <c r="H2208" s="1290"/>
      <c r="I2208" s="1290"/>
      <c r="J2208" s="1290"/>
      <c r="K2208" s="1290"/>
      <c r="P2208" s="1230"/>
      <c r="Q2208" s="1230"/>
      <c r="R2208" s="1230"/>
      <c r="S2208" s="1230"/>
      <c r="T2208" s="1230"/>
      <c r="U2208" s="1230"/>
      <c r="V2208" s="1230"/>
      <c r="W2208" s="1230"/>
      <c r="X2208" s="1230"/>
      <c r="Y2208" s="1230"/>
    </row>
    <row r="2209" customFormat="false" ht="15.75" hidden="false" customHeight="true" outlineLevel="0" collapsed="false">
      <c r="A2209" s="1290"/>
      <c r="B2209" s="1527"/>
      <c r="C2209" s="1527"/>
      <c r="D2209" s="1290"/>
      <c r="E2209" s="1290"/>
      <c r="F2209" s="1230"/>
      <c r="G2209" s="1290"/>
      <c r="H2209" s="1290"/>
      <c r="I2209" s="1290"/>
      <c r="J2209" s="1290"/>
      <c r="K2209" s="1290"/>
      <c r="P2209" s="1230"/>
      <c r="Q2209" s="1230"/>
      <c r="R2209" s="1230"/>
      <c r="S2209" s="1230"/>
      <c r="T2209" s="1230"/>
      <c r="U2209" s="1230"/>
      <c r="V2209" s="1230"/>
      <c r="W2209" s="1230"/>
      <c r="X2209" s="1230"/>
      <c r="Y2209" s="1230"/>
    </row>
    <row r="2210" customFormat="false" ht="15.75" hidden="false" customHeight="true" outlineLevel="0" collapsed="false">
      <c r="A2210" s="1988" t="str">
        <f aca="false">'Ввод данных'!A508</f>
        <v>Нет техники</v>
      </c>
      <c r="B2210" s="1989" t="str">
        <f aca="false">'Ввод данных'!B508</f>
        <v>ед.</v>
      </c>
      <c r="C2210" s="1988" t="n">
        <f aca="false">'Ввод данных'!C508*F2186</f>
        <v>0</v>
      </c>
      <c r="D2210" s="1290" t="n">
        <f aca="false">VLOOKUP(A2210,'Прайс лист'!B180:G194,6,0)</f>
        <v>0</v>
      </c>
      <c r="E2210" s="1290" t="n">
        <f aca="false">C2210*D2210</f>
        <v>0</v>
      </c>
      <c r="F2210" s="1230"/>
      <c r="G2210" s="1290"/>
      <c r="H2210" s="1290"/>
      <c r="I2210" s="1290"/>
      <c r="J2210" s="1290"/>
      <c r="K2210" s="1290"/>
      <c r="P2210" s="1230"/>
      <c r="Q2210" s="1230"/>
      <c r="R2210" s="1230"/>
      <c r="S2210" s="1230"/>
      <c r="T2210" s="1230"/>
      <c r="U2210" s="1230"/>
      <c r="V2210" s="1230"/>
      <c r="W2210" s="1230"/>
      <c r="X2210" s="1230"/>
      <c r="Y2210" s="1230"/>
    </row>
    <row r="2211" customFormat="false" ht="15.75" hidden="false" customHeight="true" outlineLevel="0" collapsed="false">
      <c r="A2211" s="1988" t="str">
        <f aca="false">'Ввод данных'!A509</f>
        <v>Нет техники</v>
      </c>
      <c r="B2211" s="1989" t="str">
        <f aca="false">'Ввод данных'!B509</f>
        <v>ед.</v>
      </c>
      <c r="C2211" s="1988" t="n">
        <f aca="false">'Ввод данных'!C509*F2186</f>
        <v>0</v>
      </c>
      <c r="D2211" s="1290" t="n">
        <f aca="false">VLOOKUP(A2211,'Прайс лист'!B180:G194,6,0)</f>
        <v>0</v>
      </c>
      <c r="E2211" s="1290" t="n">
        <f aca="false">C2211*D2211</f>
        <v>0</v>
      </c>
      <c r="F2211" s="1230"/>
      <c r="G2211" s="1290"/>
      <c r="H2211" s="1290"/>
      <c r="I2211" s="1290"/>
      <c r="J2211" s="1290"/>
      <c r="K2211" s="1290"/>
      <c r="P2211" s="1230"/>
      <c r="Q2211" s="1230"/>
      <c r="R2211" s="1230"/>
      <c r="S2211" s="1230"/>
      <c r="T2211" s="1230"/>
      <c r="U2211" s="1230"/>
      <c r="V2211" s="1230"/>
      <c r="W2211" s="1230"/>
      <c r="X2211" s="1230"/>
      <c r="Y2211" s="1230"/>
    </row>
    <row r="2212" customFormat="false" ht="15.75" hidden="false" customHeight="true" outlineLevel="0" collapsed="false">
      <c r="A2212" s="1230" t="str">
        <f aca="false">'Ввод данных'!A511</f>
        <v>расходные материалы балкон</v>
      </c>
      <c r="B2212" s="1771" t="str">
        <f aca="false">'Ввод данных'!B511</f>
        <v>рублей</v>
      </c>
      <c r="C2212" s="1230" t="n">
        <f aca="false">1*F2186</f>
        <v>0</v>
      </c>
      <c r="D2212" s="1230" t="n">
        <f aca="false">'Ввод данных'!C511</f>
        <v>0</v>
      </c>
      <c r="E2212" s="1290" t="n">
        <f aca="false">C2212*D2212</f>
        <v>0</v>
      </c>
      <c r="F2212" s="1230"/>
      <c r="G2212" s="1290"/>
      <c r="H2212" s="1290"/>
      <c r="I2212" s="1290"/>
      <c r="J2212" s="1290"/>
      <c r="K2212" s="1695"/>
      <c r="P2212" s="1230"/>
      <c r="Q2212" s="1230"/>
      <c r="R2212" s="1230"/>
      <c r="S2212" s="1230"/>
      <c r="T2212" s="1230"/>
      <c r="U2212" s="1230"/>
      <c r="V2212" s="1230"/>
      <c r="W2212" s="1230"/>
      <c r="X2212" s="1230"/>
      <c r="Y2212" s="1230"/>
    </row>
    <row r="2213" customFormat="false" ht="15.75" hidden="false" customHeight="true" outlineLevel="0" collapsed="false">
      <c r="A2213" s="1758"/>
      <c r="B2213" s="1745"/>
      <c r="C2213" s="1745"/>
      <c r="D2213" s="1758"/>
      <c r="E2213" s="1758"/>
      <c r="F2213" s="1230"/>
      <c r="G2213" s="1758"/>
      <c r="H2213" s="1758"/>
      <c r="I2213" s="1758"/>
      <c r="J2213" s="1758"/>
      <c r="K2213" s="1990"/>
      <c r="P2213" s="1230"/>
      <c r="Q2213" s="1230"/>
      <c r="R2213" s="1230"/>
      <c r="S2213" s="1230"/>
      <c r="T2213" s="1230"/>
      <c r="U2213" s="1230"/>
      <c r="V2213" s="1230"/>
      <c r="W2213" s="1230"/>
      <c r="X2213" s="1230"/>
      <c r="Y2213" s="1230"/>
    </row>
    <row r="2214" customFormat="false" ht="15.75" hidden="false" customHeight="true" outlineLevel="0" collapsed="false">
      <c r="A2214" s="1311" t="s">
        <v>3839</v>
      </c>
      <c r="B2214" s="1719"/>
      <c r="C2214" s="1719" t="s">
        <v>3840</v>
      </c>
      <c r="D2214" s="1311"/>
      <c r="E2214" s="1311" t="s">
        <v>2133</v>
      </c>
      <c r="F2214" s="1311"/>
      <c r="G2214" s="998"/>
      <c r="H2214" s="998"/>
      <c r="I2214" s="998" t="s">
        <v>3841</v>
      </c>
      <c r="J2214" s="1311"/>
      <c r="K2214" s="1311" t="s">
        <v>3842</v>
      </c>
      <c r="P2214" s="1230"/>
      <c r="Q2214" s="1230"/>
      <c r="R2214" s="1230"/>
      <c r="S2214" s="1230"/>
      <c r="T2214" s="1230"/>
      <c r="U2214" s="1230"/>
      <c r="V2214" s="1230"/>
      <c r="W2214" s="1230"/>
      <c r="X2214" s="1230"/>
      <c r="Y2214" s="1230"/>
    </row>
    <row r="2215" customFormat="false" ht="15.75" hidden="false" customHeight="true" outlineLevel="0" collapsed="false">
      <c r="A2215" s="1311"/>
      <c r="B2215" s="1719"/>
      <c r="C2215" s="1719"/>
      <c r="D2215" s="1311"/>
      <c r="E2215" s="1311" t="s">
        <v>2567</v>
      </c>
      <c r="F2215" s="1311" t="s">
        <v>2568</v>
      </c>
      <c r="G2215" s="998"/>
      <c r="H2215" s="998"/>
      <c r="I2215" s="998"/>
      <c r="J2215" s="1311"/>
      <c r="K2215" s="1311"/>
      <c r="P2215" s="1230"/>
      <c r="Q2215" s="1230"/>
      <c r="R2215" s="1230"/>
      <c r="S2215" s="1230"/>
      <c r="T2215" s="1230"/>
      <c r="U2215" s="1230"/>
      <c r="V2215" s="1230"/>
      <c r="W2215" s="1230"/>
      <c r="X2215" s="1230"/>
      <c r="Y2215" s="1230"/>
    </row>
    <row r="2216" customFormat="false" ht="15.75" hidden="false" customHeight="true" outlineLevel="0" collapsed="false">
      <c r="A2216" s="1311"/>
      <c r="B2216" s="1719"/>
      <c r="C2216" s="1719"/>
      <c r="D2216" s="1311" t="s">
        <v>3843</v>
      </c>
      <c r="E2216" s="1311" t="n">
        <f aca="false">VLOOKUP('Ввод данных'!B155,связи1!A2:B3,2,0)</f>
        <v>1</v>
      </c>
      <c r="F2216" s="1311" t="n">
        <f aca="false">VLOOKUP('Ввод данных'!C155,связи1!A2:B3,2,0)</f>
        <v>0</v>
      </c>
      <c r="G2216" s="998"/>
      <c r="H2216" s="998"/>
      <c r="I2216" s="998"/>
      <c r="J2216" s="1311"/>
      <c r="K2216" s="1311"/>
      <c r="P2216" s="1230"/>
      <c r="Q2216" s="1230"/>
      <c r="R2216" s="1230"/>
      <c r="S2216" s="1230"/>
      <c r="T2216" s="1230"/>
      <c r="U2216" s="1230"/>
      <c r="V2216" s="1230"/>
      <c r="W2216" s="1230"/>
      <c r="X2216" s="1230"/>
      <c r="Y2216" s="1230"/>
    </row>
    <row r="2217" customFormat="false" ht="15.75" hidden="false" customHeight="true" outlineLevel="0" collapsed="false">
      <c r="A2217" s="1311" t="str">
        <f aca="false">'Ввод данных'!A483</f>
        <v>Размеры балкона</v>
      </c>
      <c r="B2217" s="1719" t="s">
        <v>1820</v>
      </c>
      <c r="C2217" s="1311" t="n">
        <f aca="false">IF('Ввод данных'!F237=связи1!A2,1,0)</f>
        <v>0</v>
      </c>
      <c r="D2217" s="1311"/>
      <c r="E2217" s="1311" t="n">
        <f aca="false">IF('Ввод данных'!F194=связи1!A2,1,0)</f>
        <v>0</v>
      </c>
      <c r="F2217" s="1311" t="n">
        <f aca="false">IF('Ввод данных'!F194=связи1!A2,1,0)</f>
        <v>0</v>
      </c>
      <c r="G2217" s="1311"/>
      <c r="H2217" s="1311"/>
      <c r="I2217" s="1311" t="n">
        <f aca="false">IF('Ввод данных'!F273=связи1!A2,1,0)</f>
        <v>0</v>
      </c>
      <c r="J2217" s="1311"/>
      <c r="K2217" s="1311" t="n">
        <f aca="false">IF('Ввод данных'!F312=связи1!A2,1,0)</f>
        <v>0</v>
      </c>
      <c r="P2217" s="1230"/>
      <c r="Q2217" s="1230"/>
      <c r="R2217" s="1230"/>
      <c r="S2217" s="1230"/>
      <c r="T2217" s="1230"/>
      <c r="U2217" s="1230"/>
      <c r="V2217" s="1230"/>
      <c r="W2217" s="1230"/>
      <c r="X2217" s="1230"/>
      <c r="Y2217" s="1230"/>
    </row>
    <row r="2218" customFormat="false" ht="15.75" hidden="false" customHeight="true" outlineLevel="0" collapsed="false">
      <c r="A2218" s="1311" t="str">
        <f aca="false">'Ввод данных'!A484</f>
        <v>Количество балконов</v>
      </c>
      <c r="B2218" s="1719" t="str">
        <f aca="false">'Ввод данных'!B484</f>
        <v>шт</v>
      </c>
      <c r="C2218" s="1311" t="n">
        <f aca="false">'Ввод данных'!C484*C2217</f>
        <v>0</v>
      </c>
      <c r="D2218" s="1311"/>
      <c r="E2218" s="1311" t="n">
        <f aca="false">'Ввод данных'!C484</f>
        <v>1</v>
      </c>
      <c r="F2218" s="1311" t="n">
        <f aca="false">'Ввод данных'!C484*F2217</f>
        <v>0</v>
      </c>
      <c r="G2218" s="998"/>
      <c r="H2218" s="998"/>
      <c r="I2218" s="1217" t="n">
        <f aca="false">'Ввод данных'!C484*I2217</f>
        <v>0</v>
      </c>
      <c r="J2218" s="998"/>
      <c r="K2218" s="998" t="n">
        <f aca="false">'Ввод данных'!C484</f>
        <v>1</v>
      </c>
      <c r="P2218" s="1230"/>
      <c r="Q2218" s="1230"/>
      <c r="R2218" s="1230"/>
      <c r="S2218" s="1230"/>
      <c r="T2218" s="1230"/>
      <c r="U2218" s="1230"/>
      <c r="V2218" s="1230"/>
      <c r="W2218" s="1230"/>
      <c r="X2218" s="1230"/>
      <c r="Y2218" s="1230"/>
    </row>
    <row r="2219" customFormat="false" ht="15.75" hidden="false" customHeight="true" outlineLevel="0" collapsed="false">
      <c r="A2219" s="1311" t="str">
        <f aca="false">'Ввод данных'!A485</f>
        <v>Длина Н14</v>
      </c>
      <c r="B2219" s="1719" t="str">
        <f aca="false">'Ввод данных'!B485</f>
        <v>м.п.</v>
      </c>
      <c r="C2219" s="1311" t="n">
        <f aca="false">'Ввод данных'!C485</f>
        <v>2</v>
      </c>
      <c r="D2219" s="1311"/>
      <c r="E2219" s="1311" t="n">
        <f aca="false">'Ввод данных'!C485</f>
        <v>2</v>
      </c>
      <c r="F2219" s="1311" t="n">
        <f aca="false">'Ввод данных'!C485</f>
        <v>2</v>
      </c>
      <c r="G2219" s="998"/>
      <c r="H2219" s="998"/>
      <c r="I2219" s="1217" t="n">
        <f aca="false">'Ввод данных'!C485</f>
        <v>2</v>
      </c>
      <c r="J2219" s="998"/>
      <c r="K2219" s="998" t="n">
        <f aca="false">'Ввод данных'!C485</f>
        <v>2</v>
      </c>
      <c r="P2219" s="1230"/>
      <c r="Q2219" s="1230"/>
      <c r="R2219" s="1230"/>
      <c r="S2219" s="1230"/>
      <c r="T2219" s="1230"/>
      <c r="U2219" s="1230"/>
      <c r="V2219" s="1230"/>
      <c r="W2219" s="1230"/>
      <c r="X2219" s="1230"/>
      <c r="Y2219" s="1230"/>
    </row>
    <row r="2220" customFormat="false" ht="15.75" hidden="false" customHeight="true" outlineLevel="0" collapsed="false">
      <c r="A2220" s="1311" t="str">
        <f aca="false">'Ввод данных'!A486</f>
        <v>Ширина Н15</v>
      </c>
      <c r="B2220" s="1719" t="str">
        <f aca="false">'Ввод данных'!B486</f>
        <v>м.п.</v>
      </c>
      <c r="C2220" s="1311" t="n">
        <f aca="false">'Ввод данных'!C486</f>
        <v>1.6</v>
      </c>
      <c r="D2220" s="1311"/>
      <c r="E2220" s="1311" t="n">
        <f aca="false">'Ввод данных'!C486</f>
        <v>1.6</v>
      </c>
      <c r="F2220" s="1311" t="n">
        <f aca="false">'Ввод данных'!C486</f>
        <v>1.6</v>
      </c>
      <c r="G2220" s="998"/>
      <c r="H2220" s="998"/>
      <c r="I2220" s="1217" t="n">
        <f aca="false">'Ввод данных'!C486</f>
        <v>1.6</v>
      </c>
      <c r="J2220" s="998"/>
      <c r="K2220" s="998" t="n">
        <f aca="false">'Ввод данных'!C486</f>
        <v>1.6</v>
      </c>
      <c r="P2220" s="1230"/>
      <c r="Q2220" s="1230"/>
      <c r="R2220" s="1230"/>
      <c r="S2220" s="1230"/>
      <c r="T2220" s="1230"/>
      <c r="U2220" s="1230"/>
      <c r="V2220" s="1230"/>
      <c r="W2220" s="1230"/>
      <c r="X2220" s="1230"/>
      <c r="Y2220" s="1230"/>
    </row>
    <row r="2221" customFormat="false" ht="15.75" hidden="false" customHeight="true" outlineLevel="0" collapsed="false">
      <c r="A2221" s="1311" t="str">
        <f aca="false">'Ввод данных'!A487</f>
        <v>Высота перил балкона</v>
      </c>
      <c r="B2221" s="1719" t="str">
        <f aca="false">'Ввод данных'!B487</f>
        <v>м.п.</v>
      </c>
      <c r="C2221" s="1311" t="n">
        <f aca="false">'Ввод данных'!C487</f>
        <v>0.9</v>
      </c>
      <c r="D2221" s="1311"/>
      <c r="E2221" s="1311" t="n">
        <f aca="false">'Ввод данных'!C487</f>
        <v>0.9</v>
      </c>
      <c r="F2221" s="1230" t="n">
        <f aca="false">'Ввод данных'!C487</f>
        <v>0.9</v>
      </c>
      <c r="I2221" s="1152" t="n">
        <f aca="false">'Ввод данных'!C487</f>
        <v>0.9</v>
      </c>
      <c r="K2221" s="1150" t="n">
        <f aca="false">'Ввод данных'!C487</f>
        <v>0.9</v>
      </c>
      <c r="P2221" s="1230"/>
      <c r="Q2221" s="1230"/>
      <c r="R2221" s="1230"/>
      <c r="S2221" s="1230"/>
      <c r="T2221" s="1230"/>
      <c r="U2221" s="1230"/>
      <c r="V2221" s="1230"/>
      <c r="W2221" s="1230"/>
      <c r="X2221" s="1230"/>
      <c r="Y2221" s="1230"/>
    </row>
    <row r="2222" customFormat="false" ht="15.75" hidden="false" customHeight="true" outlineLevel="0" collapsed="false">
      <c r="A2222" s="1311" t="s">
        <v>3844</v>
      </c>
      <c r="B2222" s="1719" t="s">
        <v>156</v>
      </c>
      <c r="C2222" s="1311" t="n">
        <f aca="false">(IF('Ввод данных'!A27=связи1!A132,'Ввод данных'!C11/2,0)+IF('Ввод данных'!A27=связи1!A133,дома!Z48+Z47,0)*VLOOKUP('Ввод данных'!B491,связи1!A2:B3,2,0)+IF('Ввод данных'!A27=связи1!A133,дома!AA48+AA47,0)*VLOOKUP('Ввод данных'!B492,связи1!A2:B3,2,0))</f>
        <v>5</v>
      </c>
      <c r="D2222" s="1311"/>
      <c r="E2222" s="1311" t="n">
        <f aca="false">(IF('Ввод данных'!A27=связи1!A132,'Ввод данных'!C12,0)+IF('Ввод данных'!A27=связи1!A133,'Ввод данных'!C12,0)*VLOOKUP('Ввод данных'!B491,связи1!A2:B3,2,0)+IF('Ввод данных'!A27=связи1!A133,'Ввод данных'!C12,0)*VLOOKUP('Ввод данных'!B492,связи1!A2:B3,2,0))</f>
        <v>10</v>
      </c>
      <c r="F2222" s="1230" t="n">
        <f aca="false">(IF('Ввод данных'!A27=связи1!A132,'Ввод данных'!C11,0)+IF('Ввод данных'!A27=связи1!A133,дома!Z48+Z47,0)*VLOOKUP('Ввод данных'!B491,связи1!A2:B3,2,0)+IF('Ввод данных'!A27=связи1!A133,дома!AA48+AA47,0)*VLOOKUP('Ввод данных'!B492,связи1!A2:B3,2,0))</f>
        <v>10</v>
      </c>
      <c r="I2222" s="1152" t="n">
        <f aca="false">IF('Ввод данных'!A27=связи1!A132,'Ввод данных'!C11/2,0)+IF('Ввод данных'!A27=связи1!A133,дома!Z48+Z47,0)*VLOOKUP('Ввод данных'!B491,связи1!A2:B3,2,0)+IF('Ввод данных'!A27=связи1!A133,дома!AA48+AA47,0)*VLOOKUP('Ввод данных'!B492,связи1!A2:B3,2,0)</f>
        <v>5</v>
      </c>
      <c r="K2222" s="1150" t="n">
        <f aca="false">IF('Ввод данных'!A27=связи1!A132,'Ввод данных'!C11/2,0)+IF('Ввод данных'!A27=связи1!A133,дома!Z48+Z47,0)*VLOOKUP('Ввод данных'!B491,связи1!A2:B3,2,0)+IF('Ввод данных'!A27=связи1!A133,дома!AA48+AA47,0)*VLOOKUP('Ввод данных'!B492,связи1!A2:B3,2,0)</f>
        <v>5</v>
      </c>
      <c r="P2222" s="1230"/>
      <c r="Q2222" s="1230"/>
      <c r="R2222" s="1230"/>
      <c r="S2222" s="1230"/>
      <c r="T2222" s="1230"/>
      <c r="U2222" s="1230"/>
      <c r="V2222" s="1230"/>
      <c r="W2222" s="1230"/>
      <c r="X2222" s="1230"/>
      <c r="Y2222" s="1230"/>
    </row>
    <row r="2223" customFormat="false" ht="15.75" hidden="false" customHeight="true" outlineLevel="0" collapsed="false">
      <c r="A2223" s="1311" t="str">
        <f aca="false">связи1!A94</f>
        <v>1 полноценный этаж</v>
      </c>
      <c r="B2223" s="1719"/>
      <c r="C2223" s="1311" t="n">
        <f aca="false">IF('Ввод данных'!A6=связи1!A94,0,0)</f>
        <v>0</v>
      </c>
      <c r="D2223" s="1311"/>
      <c r="E2223" s="1311" t="n">
        <f aca="false">IF('Ввод данных'!A6=связи1!A94,0,0)</f>
        <v>0</v>
      </c>
      <c r="F2223" s="1230" t="n">
        <f aca="false">IF('Ввод данных'!A6=связи1!A94,0,0)</f>
        <v>0</v>
      </c>
      <c r="I2223" s="1152" t="n">
        <f aca="false">IF('Ввод данных'!A6=связи1!A94,0,0)</f>
        <v>0</v>
      </c>
      <c r="K2223" s="1150" t="n">
        <f aca="false">IF('Ввод данных'!A6=связи1!A94,0,0)</f>
        <v>0</v>
      </c>
      <c r="P2223" s="1230"/>
      <c r="Q2223" s="1230"/>
      <c r="R2223" s="1230"/>
      <c r="S2223" s="1230"/>
      <c r="T2223" s="1230"/>
      <c r="U2223" s="1230"/>
      <c r="V2223" s="1230"/>
      <c r="W2223" s="1230"/>
      <c r="X2223" s="1230"/>
      <c r="Y2223" s="1230"/>
    </row>
    <row r="2224" customFormat="false" ht="15.75" hidden="false" customHeight="true" outlineLevel="0" collapsed="false">
      <c r="A2224" s="1311" t="str">
        <f aca="false">связи1!A95</f>
        <v>2 полноценных этажа</v>
      </c>
      <c r="B2224" s="1719"/>
      <c r="C2224" s="1311" t="n">
        <f aca="false">IF('Ввод данных'!A6=связи1!A95,'Ввод данных'!C16,0)</f>
        <v>0</v>
      </c>
      <c r="D2224" s="1311"/>
      <c r="E2224" s="1311" t="n">
        <f aca="false">IF('Ввод данных'!A6=связи1!A95,'Ввод данных'!C16,0)</f>
        <v>0</v>
      </c>
      <c r="F2224" s="1230" t="n">
        <f aca="false">IF('Ввод данных'!A6=связи1!A95,'Ввод данных'!C16,0)</f>
        <v>0</v>
      </c>
      <c r="I2224" s="1152" t="n">
        <f aca="false">IF('Ввод данных'!A6=связи1!A95,'Ввод данных'!C16,0)</f>
        <v>0</v>
      </c>
      <c r="K2224" s="1150" t="n">
        <f aca="false">IF('Ввод данных'!A6=связи1!A95,'Ввод данных'!C16,0)</f>
        <v>0</v>
      </c>
      <c r="P2224" s="1230"/>
      <c r="Q2224" s="1230"/>
      <c r="R2224" s="1230"/>
      <c r="S2224" s="1230"/>
      <c r="T2224" s="1230"/>
      <c r="U2224" s="1230"/>
      <c r="V2224" s="1230"/>
      <c r="W2224" s="1230"/>
      <c r="X2224" s="1230"/>
      <c r="Y2224" s="1230"/>
    </row>
    <row r="2225" customFormat="false" ht="15.75" hidden="false" customHeight="true" outlineLevel="0" collapsed="false">
      <c r="A2225" s="1311" t="str">
        <f aca="false">связи1!A96</f>
        <v>1 этаж + 2-ой мансардный</v>
      </c>
      <c r="B2225" s="1719"/>
      <c r="C2225" s="1311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D2225" s="1311"/>
      <c r="E2225" s="1311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F2225" s="1230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I2225" s="1152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K2225" s="1150" t="n">
        <f aca="false">IF('Ввод данных'!A6=связи1!A96,(IF('Ввод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P2225" s="1230"/>
      <c r="Q2225" s="1230"/>
      <c r="R2225" s="1230"/>
      <c r="S2225" s="1230"/>
      <c r="T2225" s="1230"/>
      <c r="U2225" s="1230"/>
      <c r="V2225" s="1230"/>
      <c r="W2225" s="1230"/>
      <c r="X2225" s="1230"/>
      <c r="Y2225" s="1230"/>
    </row>
    <row r="2226" customFormat="false" ht="15.75" hidden="false" customHeight="true" outlineLevel="0" collapsed="false">
      <c r="A2226" s="1311" t="str">
        <f aca="false">связи1!A97</f>
        <v>1 мансардный этаж</v>
      </c>
      <c r="B2226" s="1719"/>
      <c r="C2226" s="1311" t="n">
        <f aca="false">IF('Ввод данных'!A6=связи1!A97,0,0)</f>
        <v>0</v>
      </c>
      <c r="D2226" s="1311"/>
      <c r="E2226" s="1311" t="n">
        <f aca="false">IF('Ввод данных'!A6=связи1!A97,0,0)</f>
        <v>0</v>
      </c>
      <c r="F2226" s="1230" t="n">
        <f aca="false">IF('Ввод данных'!A6=связи1!A97,0,0)</f>
        <v>0</v>
      </c>
      <c r="I2226" s="1152" t="n">
        <f aca="false">IF('Ввод данных'!A6=связи1!A97,0,0)</f>
        <v>0</v>
      </c>
      <c r="K2226" s="1150" t="n">
        <f aca="false">IF('Ввод данных'!A6=связи1!A97,0,0)</f>
        <v>0</v>
      </c>
      <c r="P2226" s="1230"/>
      <c r="Q2226" s="1230"/>
      <c r="R2226" s="1230"/>
      <c r="S2226" s="1230"/>
      <c r="T2226" s="1230"/>
      <c r="U2226" s="1230"/>
      <c r="V2226" s="1230"/>
      <c r="W2226" s="1230"/>
      <c r="X2226" s="1230"/>
      <c r="Y2226" s="1230"/>
    </row>
    <row r="2227" customFormat="false" ht="15.75" hidden="false" customHeight="true" outlineLevel="0" collapsed="false">
      <c r="A2227" s="1311" t="str">
        <f aca="false">связи1!A98</f>
        <v>1 эт + 2-ой мансарда с перекрытием</v>
      </c>
      <c r="B2227" s="1719"/>
      <c r="C2227" s="1311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D2227" s="1311"/>
      <c r="E2227" s="1311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F2227" s="1230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I2227" s="1152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K2227" s="1150" t="n">
        <f aca="false">IF('Ввод данных'!A6=связи1!A98,(IF('Ввод данных'!A19=связи1!A128,C23,0)+IF('Ввод данных'!A19=связи1!A129,'Ввод данных'!C23,0)*VLOOKUP('Ввод данных'!B491,связи1!A2:B3,2,0)+IF('Ввод данных'!A19=связи1!A129,'Ввод данных'!C24,0)*VLOOKUP('Ввод данных'!B492,связи1!A2:B3,2,0)),0)</f>
        <v>0</v>
      </c>
      <c r="P2227" s="1230"/>
      <c r="Q2227" s="1230"/>
      <c r="R2227" s="1230"/>
      <c r="S2227" s="1230"/>
      <c r="T2227" s="1230"/>
      <c r="U2227" s="1230"/>
      <c r="V2227" s="1230"/>
      <c r="W2227" s="1230"/>
      <c r="X2227" s="1230"/>
      <c r="Y2227" s="1230"/>
    </row>
    <row r="2228" customFormat="false" ht="15.75" hidden="false" customHeight="true" outlineLevel="0" collapsed="false">
      <c r="A2228" s="1311" t="s">
        <v>1931</v>
      </c>
      <c r="B2228" s="1719"/>
      <c r="C2228" s="1311" t="n">
        <f aca="false">SUM(C2223:C2227)</f>
        <v>0</v>
      </c>
      <c r="D2228" s="1311"/>
      <c r="E2228" s="1311" t="n">
        <f aca="false">SUM(E2223:E2227)</f>
        <v>0</v>
      </c>
      <c r="F2228" s="1311" t="n">
        <f aca="false">SUM(F2223:F2227)</f>
        <v>0</v>
      </c>
      <c r="I2228" s="1311" t="n">
        <f aca="false">SUM(I2223:I2227)</f>
        <v>0</v>
      </c>
      <c r="K2228" s="1311" t="n">
        <f aca="false">SUM(K2223:K2227)</f>
        <v>0</v>
      </c>
      <c r="P2228" s="1230"/>
      <c r="Q2228" s="1230"/>
      <c r="R2228" s="1230"/>
      <c r="S2228" s="1230"/>
      <c r="T2228" s="1230"/>
      <c r="U2228" s="1230"/>
      <c r="V2228" s="1230"/>
      <c r="W2228" s="1230"/>
      <c r="X2228" s="1230"/>
      <c r="Y2228" s="1230"/>
    </row>
    <row r="2229" customFormat="false" ht="15.75" hidden="false" customHeight="true" outlineLevel="0" collapsed="false">
      <c r="A2229" s="1311" t="s">
        <v>2657</v>
      </c>
      <c r="B2229" s="1719"/>
      <c r="C2229" s="1311" t="n">
        <f aca="false">C22</f>
        <v>0</v>
      </c>
      <c r="D2229" s="1311"/>
      <c r="E2229" s="1311" t="n">
        <f aca="false">C22</f>
        <v>0</v>
      </c>
      <c r="F2229" s="1230" t="n">
        <f aca="false">C22</f>
        <v>0</v>
      </c>
      <c r="I2229" s="1152" t="n">
        <f aca="false">C22</f>
        <v>0</v>
      </c>
      <c r="K2229" s="1150" t="n">
        <f aca="false">C22</f>
        <v>0</v>
      </c>
      <c r="P2229" s="1230"/>
      <c r="Q2229" s="1230"/>
      <c r="R2229" s="1230"/>
      <c r="S2229" s="1230"/>
      <c r="T2229" s="1230"/>
      <c r="U2229" s="1230"/>
      <c r="V2229" s="1230"/>
      <c r="W2229" s="1230"/>
      <c r="X2229" s="1230"/>
      <c r="Y2229" s="1230"/>
    </row>
    <row r="2230" customFormat="false" ht="15.75" hidden="false" customHeight="true" outlineLevel="0" collapsed="false">
      <c r="A2230" s="1311" t="s">
        <v>3845</v>
      </c>
      <c r="B2230" s="1719"/>
      <c r="C2230" s="1696" t="n">
        <f aca="false">(C2229-C2228)</f>
        <v>0</v>
      </c>
      <c r="D2230" s="1311"/>
      <c r="E2230" s="1696" t="n">
        <f aca="false">(E2229-E2228)</f>
        <v>0</v>
      </c>
      <c r="F2230" s="1696" t="n">
        <f aca="false">(F2229-F2228)</f>
        <v>0</v>
      </c>
      <c r="I2230" s="1696" t="n">
        <f aca="false">I2229-I2228</f>
        <v>0</v>
      </c>
      <c r="K2230" s="1696" t="n">
        <f aca="false">K2229-K2228</f>
        <v>0</v>
      </c>
      <c r="P2230" s="1230"/>
      <c r="Q2230" s="1230"/>
      <c r="R2230" s="1230"/>
      <c r="S2230" s="1230"/>
      <c r="T2230" s="1230"/>
      <c r="U2230" s="1230"/>
      <c r="V2230" s="1230"/>
      <c r="W2230" s="1230"/>
      <c r="X2230" s="1230"/>
      <c r="Y2230" s="1230"/>
    </row>
    <row r="2231" customFormat="false" ht="15.75" hidden="false" customHeight="true" outlineLevel="0" collapsed="false">
      <c r="A2231" s="1311" t="s">
        <v>3846</v>
      </c>
      <c r="B2231" s="1719"/>
      <c r="C2231" s="1696" t="n">
        <f aca="false">(C2222-C2219-IF('Ввод данных'!A19=связи1!A129,Z47,0)*VLOOKUP('Ввод данных'!B491,связи1!A2:B3,2,0)-IF('Ввод данных'!A27=связи1!A133,AA47,0)*VLOOKUP('Ввод данных'!B492,связи1!A2:B3,2,0))</f>
        <v>3</v>
      </c>
      <c r="D2231" s="1311"/>
      <c r="E2231" s="1311" t="n">
        <f aca="false">(E2222-E2220-IF('Ввод данных'!A19=связи1!A129,0,0)*VLOOKUP('Ввод данных'!B491,связи1!A2:B3,2,0)-IF('Ввод данных'!A27=связи1!A133,0,0)*VLOOKUP('Ввод данных'!B492,связи1!A2:B3,2,0))</f>
        <v>8.4</v>
      </c>
      <c r="F2231" s="1230" t="n">
        <f aca="false">(F2222-F2219-IF('Ввод данных'!A19=связи1!A129,Z47,0)*VLOOKUP('Ввод данных'!B491,связи1!A2:B3,2,0)-IF('Ввод данных'!A27=связи1!A133,AA47,0)*VLOOKUP('Ввод данных'!B492,связи1!A2:B3,2,0))</f>
        <v>8</v>
      </c>
      <c r="I2231" s="1152" t="n">
        <f aca="false">I2222-I2219-IF('Ввод данных'!A19=связи1!A129,Z47,0)*VLOOKUP('Ввод данных'!B491,связи1!A2:B3,2,0)-IF('Ввод данных'!A27=связи1!A133,AA47,0)*VLOOKUP('Ввод данных'!B492,связи1!A2:B3,2,0)</f>
        <v>3</v>
      </c>
      <c r="K2231" s="1150" t="n">
        <f aca="false">K2222-K2219-IF('Ввод данных'!A19=связи1!A129,Z47,0)*VLOOKUP('Ввод данных'!B491,связи1!A2:B3,2,0)-IF('Ввод данных'!A27=связи1!A133,AA47,0)*VLOOKUP('Ввод данных'!B492,связи1!A2:B3,2,0)</f>
        <v>3</v>
      </c>
      <c r="P2231" s="1230"/>
      <c r="Q2231" s="1230"/>
      <c r="R2231" s="1230"/>
      <c r="S2231" s="1230"/>
      <c r="T2231" s="1230"/>
      <c r="U2231" s="1230"/>
      <c r="V2231" s="1230"/>
      <c r="W2231" s="1230"/>
      <c r="X2231" s="1230"/>
      <c r="Y2231" s="1230"/>
    </row>
    <row r="2232" customFormat="false" ht="15.75" hidden="false" customHeight="true" outlineLevel="0" collapsed="false">
      <c r="A2232" s="1311" t="s">
        <v>3847</v>
      </c>
      <c r="B2232" s="1719"/>
      <c r="C2232" s="1991" t="n">
        <f aca="false">(C2222)/100</f>
        <v>0.05</v>
      </c>
      <c r="D2232" s="1311"/>
      <c r="E2232" s="1311" t="n">
        <f aca="false">E2222/100</f>
        <v>0.1</v>
      </c>
      <c r="F2232" s="1311" t="n">
        <f aca="false">F2222/100</f>
        <v>0.1</v>
      </c>
      <c r="I2232" s="1152" t="n">
        <f aca="false">I2222/100</f>
        <v>0.05</v>
      </c>
      <c r="K2232" s="1150" t="n">
        <f aca="false">K2222/100</f>
        <v>0.05</v>
      </c>
      <c r="P2232" s="1230"/>
      <c r="Q2232" s="1230"/>
      <c r="R2232" s="1230"/>
      <c r="S2232" s="1230"/>
      <c r="T2232" s="1230"/>
      <c r="U2232" s="1230"/>
      <c r="V2232" s="1230"/>
      <c r="W2232" s="1230"/>
      <c r="X2232" s="1230"/>
      <c r="Y2232" s="1230"/>
    </row>
    <row r="2233" customFormat="false" ht="15.75" hidden="false" customHeight="true" outlineLevel="0" collapsed="false">
      <c r="A2233" s="1311" t="s">
        <v>3848</v>
      </c>
      <c r="B2233" s="1719"/>
      <c r="C2233" s="1696" t="n">
        <f aca="false">C2231/C2232</f>
        <v>60</v>
      </c>
      <c r="D2233" s="1311"/>
      <c r="E2233" s="1696" t="n">
        <f aca="false">E2231/E2232</f>
        <v>84</v>
      </c>
      <c r="F2233" s="1696" t="n">
        <f aca="false">F2231/F2232</f>
        <v>80</v>
      </c>
      <c r="I2233" s="1696" t="n">
        <f aca="false">I2231/I2232</f>
        <v>60</v>
      </c>
      <c r="K2233" s="1696" t="n">
        <f aca="false">K2231/K2232</f>
        <v>60</v>
      </c>
      <c r="P2233" s="1230"/>
      <c r="Q2233" s="1230"/>
      <c r="R2233" s="1230"/>
      <c r="S2233" s="1230"/>
      <c r="T2233" s="1230"/>
      <c r="U2233" s="1230"/>
      <c r="V2233" s="1230"/>
      <c r="W2233" s="1230"/>
      <c r="X2233" s="1230"/>
      <c r="Y2233" s="1230"/>
    </row>
    <row r="2234" customFormat="false" ht="15.75" hidden="false" customHeight="true" outlineLevel="0" collapsed="false">
      <c r="A2234" s="1311" t="s">
        <v>3849</v>
      </c>
      <c r="B2234" s="1719"/>
      <c r="C2234" s="1696" t="n">
        <f aca="false">C2230/100*C2233</f>
        <v>0</v>
      </c>
      <c r="D2234" s="1311"/>
      <c r="E2234" s="1696" t="n">
        <f aca="false">E2230/100*E2233</f>
        <v>0</v>
      </c>
      <c r="F2234" s="1696" t="n">
        <f aca="false">F2230/100*F2233</f>
        <v>0</v>
      </c>
      <c r="I2234" s="1696" t="n">
        <f aca="false">I2230/100*I2233</f>
        <v>0</v>
      </c>
      <c r="K2234" s="1696" t="n">
        <f aca="false">K2230/100*K2233</f>
        <v>0</v>
      </c>
      <c r="P2234" s="1230"/>
      <c r="Q2234" s="1230"/>
      <c r="R2234" s="1230"/>
      <c r="S2234" s="1230"/>
      <c r="T2234" s="1230"/>
      <c r="U2234" s="1230"/>
      <c r="V2234" s="1230"/>
      <c r="W2234" s="1230"/>
      <c r="X2234" s="1230"/>
      <c r="Y2234" s="1230"/>
    </row>
    <row r="2235" customFormat="false" ht="15.75" hidden="false" customHeight="true" outlineLevel="0" collapsed="false">
      <c r="A2235" s="1311" t="s">
        <v>3850</v>
      </c>
      <c r="B2235" s="1719"/>
      <c r="C2235" s="1696" t="n">
        <f aca="false">C2230-C2234</f>
        <v>0</v>
      </c>
      <c r="D2235" s="1311"/>
      <c r="E2235" s="1696" t="n">
        <f aca="false">E2230-E2234</f>
        <v>0</v>
      </c>
      <c r="F2235" s="1696" t="n">
        <f aca="false">F2230-F2234</f>
        <v>0</v>
      </c>
      <c r="I2235" s="1696" t="n">
        <f aca="false">I2230-I2234</f>
        <v>0</v>
      </c>
      <c r="K2235" s="1696" t="n">
        <f aca="false">K2230-K2234</f>
        <v>0</v>
      </c>
      <c r="P2235" s="1230"/>
      <c r="Q2235" s="1230"/>
      <c r="R2235" s="1230"/>
      <c r="S2235" s="1230"/>
      <c r="T2235" s="1230"/>
      <c r="U2235" s="1230"/>
      <c r="V2235" s="1230"/>
      <c r="W2235" s="1230"/>
      <c r="X2235" s="1230"/>
      <c r="Y2235" s="1230"/>
    </row>
    <row r="2236" customFormat="false" ht="15.75" hidden="false" customHeight="true" outlineLevel="0" collapsed="false">
      <c r="A2236" s="1311"/>
      <c r="B2236" s="1719"/>
      <c r="C2236" s="1719"/>
      <c r="D2236" s="1311"/>
      <c r="E2236" s="1311"/>
      <c r="F2236" s="1230"/>
      <c r="P2236" s="1230"/>
      <c r="Q2236" s="1230"/>
      <c r="R2236" s="1230"/>
      <c r="S2236" s="1230"/>
      <c r="T2236" s="1230"/>
      <c r="U2236" s="1230"/>
      <c r="V2236" s="1230"/>
      <c r="W2236" s="1230"/>
      <c r="X2236" s="1230"/>
      <c r="Y2236" s="1230"/>
    </row>
    <row r="2237" customFormat="false" ht="15.75" hidden="false" customHeight="true" outlineLevel="0" collapsed="false">
      <c r="A2237" s="1218" t="s">
        <v>3851</v>
      </c>
      <c r="B2237" s="1992"/>
      <c r="C2237" s="1254" t="n">
        <f aca="false">C2235*C2220*C2217*C2218</f>
        <v>0</v>
      </c>
      <c r="D2237" s="1218"/>
      <c r="E2237" s="1254" t="n">
        <f aca="false">E2235*E2219*E2217*E2216*E2218</f>
        <v>0</v>
      </c>
      <c r="F2237" s="1254" t="n">
        <f aca="false">F2235*F2220*F2217*F2216*F2218</f>
        <v>0</v>
      </c>
      <c r="G2237" s="957"/>
      <c r="H2237" s="957"/>
      <c r="I2237" s="1254" t="n">
        <f aca="false">I2235*I2220*I2218*I2217</f>
        <v>0</v>
      </c>
      <c r="J2237" s="957"/>
      <c r="K2237" s="1254" t="n">
        <f aca="false">K2235*K2220*K2217*K2218</f>
        <v>0</v>
      </c>
      <c r="L2237" s="1407" t="n">
        <f aca="false">SUM(C2237:K2237)</f>
        <v>0</v>
      </c>
      <c r="P2237" s="1230"/>
      <c r="Q2237" s="1230"/>
      <c r="R2237" s="1230"/>
      <c r="S2237" s="1230"/>
      <c r="T2237" s="1230"/>
      <c r="U2237" s="1230"/>
      <c r="V2237" s="1230"/>
      <c r="W2237" s="1230"/>
      <c r="X2237" s="1230"/>
      <c r="Y2237" s="1230"/>
    </row>
    <row r="2238" customFormat="false" ht="15.75" hidden="false" customHeight="true" outlineLevel="0" collapsed="false">
      <c r="A2238" s="1993" t="s">
        <v>3852</v>
      </c>
      <c r="B2238" s="1994"/>
      <c r="C2238" s="1995" t="n">
        <f aca="false">(C2235+C2228)*C2217*C2218</f>
        <v>0</v>
      </c>
      <c r="D2238" s="1993"/>
      <c r="E2238" s="1995" t="n">
        <f aca="false">(E2235+E2228)*E2217*E2216*E2218</f>
        <v>0</v>
      </c>
      <c r="F2238" s="1995" t="n">
        <f aca="false">(F2235+F2228)*F2217*F2216*F2218</f>
        <v>0</v>
      </c>
      <c r="G2238" s="1347"/>
      <c r="H2238" s="1347"/>
      <c r="I2238" s="1995" t="n">
        <f aca="false">(I2235+I2228)*I2217*I2218*I2217</f>
        <v>0</v>
      </c>
      <c r="J2238" s="1347"/>
      <c r="K2238" s="1995" t="n">
        <f aca="false">(K2235+K2228)*K2217*K2218</f>
        <v>0</v>
      </c>
      <c r="L2238" s="1407" t="n">
        <f aca="false">SUM(C2238:K2238)</f>
        <v>0</v>
      </c>
      <c r="P2238" s="1230"/>
      <c r="Q2238" s="1230"/>
      <c r="R2238" s="1230"/>
      <c r="S2238" s="1230"/>
      <c r="T2238" s="1230"/>
      <c r="U2238" s="1230"/>
      <c r="V2238" s="1230"/>
      <c r="W2238" s="1230"/>
      <c r="X2238" s="1230"/>
      <c r="Y2238" s="1230"/>
    </row>
    <row r="2239" customFormat="false" ht="15.75" hidden="false" customHeight="true" outlineLevel="0" collapsed="false">
      <c r="A2239" s="1993" t="s">
        <v>3853</v>
      </c>
      <c r="B2239" s="1994"/>
      <c r="C2239" s="1995" t="n">
        <f aca="false">C2228*C2217*C2218</f>
        <v>0</v>
      </c>
      <c r="D2239" s="1993"/>
      <c r="E2239" s="1995" t="n">
        <f aca="false">E2228*E2217*E2216*E2218</f>
        <v>0</v>
      </c>
      <c r="F2239" s="1995" t="n">
        <f aca="false">F2228*F2217*F2216*F2218</f>
        <v>0</v>
      </c>
      <c r="G2239" s="1347"/>
      <c r="H2239" s="1347"/>
      <c r="I2239" s="1995" t="n">
        <f aca="false">I2228*I2217*I2218*I2217</f>
        <v>0</v>
      </c>
      <c r="J2239" s="1347"/>
      <c r="K2239" s="1995" t="n">
        <f aca="false">K2228*K2217*K2218</f>
        <v>0</v>
      </c>
      <c r="L2239" s="1407" t="n">
        <f aca="false">SUM(C2239:K2239)</f>
        <v>0</v>
      </c>
      <c r="P2239" s="1230"/>
      <c r="Q2239" s="1230"/>
      <c r="R2239" s="1230"/>
      <c r="S2239" s="1230"/>
      <c r="T2239" s="1230"/>
      <c r="U2239" s="1230"/>
      <c r="V2239" s="1230"/>
      <c r="W2239" s="1230"/>
      <c r="X2239" s="1230"/>
      <c r="Y2239" s="1230"/>
    </row>
    <row r="2240" customFormat="false" ht="15.75" hidden="false" customHeight="true" outlineLevel="0" collapsed="false">
      <c r="A2240" s="1993" t="s">
        <v>3854</v>
      </c>
      <c r="B2240" s="1994"/>
      <c r="C2240" s="1995" t="n">
        <f aca="false">CEILING(C2220/'Ввод данных'!C1027+1,1)*C2217*C2218</f>
        <v>0</v>
      </c>
      <c r="D2240" s="1993"/>
      <c r="E2240" s="1995" t="n">
        <f aca="false">CEILING(E2219/'Ввод данных'!C1027+1,1)*E2217*E2216*E2218</f>
        <v>0</v>
      </c>
      <c r="F2240" s="1993" t="n">
        <f aca="false">CEILING(E2220/'Ввод данных'!C1027+1,1)*E2217*F2216*F2218</f>
        <v>0</v>
      </c>
      <c r="G2240" s="1347"/>
      <c r="H2240" s="1347"/>
      <c r="I2240" s="1301" t="n">
        <f aca="false">CEILING(I2220/'Ввод данных'!C1027+1,1)*I2217*I2218*I2217</f>
        <v>0</v>
      </c>
      <c r="J2240" s="1347"/>
      <c r="K2240" s="1347" t="n">
        <f aca="false">CEILING(K2220/'Ввод данных'!C1027+1,1)*K2217*K2218</f>
        <v>0</v>
      </c>
      <c r="L2240" s="1407" t="n">
        <f aca="false">SUM(C2240:K2240)</f>
        <v>0</v>
      </c>
      <c r="P2240" s="1230"/>
      <c r="Q2240" s="1230"/>
      <c r="R2240" s="1230"/>
      <c r="S2240" s="1230"/>
      <c r="T2240" s="1230"/>
      <c r="U2240" s="1230"/>
      <c r="V2240" s="1230"/>
      <c r="W2240" s="1230"/>
      <c r="X2240" s="1230"/>
      <c r="Y2240" s="1230"/>
    </row>
    <row r="2241" customFormat="false" ht="15.75" hidden="false" customHeight="true" outlineLevel="0" collapsed="false">
      <c r="A2241" s="1311"/>
      <c r="B2241" s="1719"/>
      <c r="C2241" s="1719"/>
      <c r="D2241" s="1311"/>
      <c r="E2241" s="1311"/>
      <c r="F2241" s="1230"/>
      <c r="P2241" s="1230"/>
      <c r="Q2241" s="1230"/>
      <c r="R2241" s="1230"/>
      <c r="S2241" s="1230"/>
      <c r="T2241" s="1230"/>
      <c r="U2241" s="1230"/>
      <c r="V2241" s="1230"/>
      <c r="W2241" s="1230"/>
      <c r="X2241" s="1230"/>
      <c r="Y2241" s="1230"/>
    </row>
    <row r="2242" customFormat="false" ht="15.75" hidden="false" customHeight="true" outlineLevel="0" collapsed="false">
      <c r="A2242" s="1311"/>
      <c r="B2242" s="1719"/>
      <c r="C2242" s="1719"/>
      <c r="D2242" s="1311"/>
      <c r="E2242" s="1311"/>
      <c r="F2242" s="1230"/>
      <c r="P2242" s="1230"/>
      <c r="Q2242" s="1230"/>
      <c r="R2242" s="1230"/>
      <c r="S2242" s="1230"/>
      <c r="T2242" s="1230"/>
      <c r="U2242" s="1230"/>
      <c r="V2242" s="1230"/>
      <c r="W2242" s="1230"/>
      <c r="X2242" s="1230"/>
      <c r="Y2242" s="1230"/>
    </row>
    <row r="2243" customFormat="false" ht="15.75" hidden="false" customHeight="true" outlineLevel="0" collapsed="false">
      <c r="A2243" s="1648" t="s">
        <v>3855</v>
      </c>
      <c r="B2243" s="1648"/>
      <c r="C2243" s="1648"/>
      <c r="D2243" s="1648"/>
      <c r="E2243" s="1648"/>
      <c r="F2243" s="1648"/>
      <c r="G2243" s="1648"/>
      <c r="H2243" s="1648"/>
      <c r="I2243" s="1648"/>
      <c r="J2243" s="1648"/>
      <c r="K2243" s="1648"/>
      <c r="L2243" s="1230"/>
      <c r="M2243" s="1230"/>
      <c r="N2243" s="1230"/>
      <c r="O2243" s="1230"/>
      <c r="P2243" s="1230"/>
      <c r="Q2243" s="1230"/>
      <c r="R2243" s="1230"/>
      <c r="S2243" s="1230"/>
      <c r="T2243" s="1230"/>
      <c r="U2243" s="1230"/>
      <c r="V2243" s="1230"/>
      <c r="W2243" s="1230"/>
      <c r="X2243" s="1230"/>
      <c r="Y2243" s="1230"/>
    </row>
    <row r="2244" customFormat="false" ht="15.75" hidden="false" customHeight="true" outlineLevel="0" collapsed="false">
      <c r="A2244" s="933" t="str">
        <f aca="false">'Ввод данных'!A624</f>
        <v>Длина крыльца</v>
      </c>
      <c r="B2244" s="887" t="str">
        <f aca="false">'Ввод данных'!B624</f>
        <v>м.п.</v>
      </c>
      <c r="C2244" s="933" t="n">
        <f aca="false">'Ввод данных'!C624</f>
        <v>3</v>
      </c>
      <c r="F2244" s="1230"/>
      <c r="G2244" s="1230"/>
      <c r="H2244" s="1230"/>
      <c r="I2244" s="1770"/>
      <c r="J2244" s="1230"/>
      <c r="K2244" s="1230"/>
      <c r="L2244" s="1230"/>
      <c r="M2244" s="1230"/>
      <c r="N2244" s="1230"/>
      <c r="O2244" s="1230"/>
      <c r="P2244" s="1230"/>
      <c r="Q2244" s="1230"/>
      <c r="R2244" s="1230"/>
      <c r="S2244" s="1230"/>
      <c r="T2244" s="1230"/>
      <c r="U2244" s="1230"/>
      <c r="V2244" s="1230"/>
      <c r="W2244" s="1230"/>
      <c r="X2244" s="1230"/>
      <c r="Y2244" s="1230"/>
    </row>
    <row r="2245" customFormat="false" ht="15.75" hidden="false" customHeight="true" outlineLevel="0" collapsed="false">
      <c r="A2245" s="933" t="str">
        <f aca="false">'Ввод данных'!A625</f>
        <v>Ширина крыльца</v>
      </c>
      <c r="B2245" s="887" t="str">
        <f aca="false">'Ввод данных'!B625</f>
        <v>м.п.</v>
      </c>
      <c r="C2245" s="933" t="n">
        <f aca="false">'Ввод данных'!C625</f>
        <v>1</v>
      </c>
      <c r="F2245" s="1230"/>
      <c r="G2245" s="1230"/>
      <c r="H2245" s="1230"/>
      <c r="I2245" s="1770"/>
      <c r="J2245" s="1230"/>
      <c r="K2245" s="1230"/>
      <c r="L2245" s="1230"/>
      <c r="M2245" s="1230"/>
      <c r="N2245" s="1230"/>
      <c r="O2245" s="1230"/>
      <c r="P2245" s="1230"/>
      <c r="Q2245" s="1230"/>
      <c r="R2245" s="1230"/>
      <c r="S2245" s="1230"/>
      <c r="T2245" s="1230"/>
      <c r="U2245" s="1230"/>
      <c r="V2245" s="1230"/>
      <c r="W2245" s="1230"/>
      <c r="X2245" s="1230"/>
      <c r="Y2245" s="1230"/>
    </row>
    <row r="2246" customFormat="false" ht="15.75" hidden="false" customHeight="true" outlineLevel="0" collapsed="false">
      <c r="A2246" s="933" t="str">
        <f aca="false">'Ввод данных'!A626</f>
        <v>Высота от перекрытия до конька</v>
      </c>
      <c r="B2246" s="887" t="str">
        <f aca="false">'Ввод данных'!B626</f>
        <v>м.п.</v>
      </c>
      <c r="C2246" s="933" t="n">
        <f aca="false">'Ввод данных'!C626</f>
        <v>3</v>
      </c>
      <c r="E2246" s="1230"/>
      <c r="F2246" s="1230"/>
      <c r="G2246" s="1230"/>
      <c r="H2246" s="1230"/>
      <c r="I2246" s="1770"/>
      <c r="J2246" s="1230"/>
      <c r="K2246" s="1230"/>
      <c r="L2246" s="1230"/>
      <c r="M2246" s="1230"/>
      <c r="N2246" s="1230"/>
      <c r="O2246" s="1230"/>
      <c r="P2246" s="1230"/>
      <c r="Q2246" s="1230"/>
      <c r="R2246" s="1230"/>
      <c r="S2246" s="1230"/>
      <c r="T2246" s="1230"/>
      <c r="U2246" s="1230"/>
      <c r="V2246" s="1230"/>
      <c r="W2246" s="1230"/>
      <c r="X2246" s="1230"/>
      <c r="Y2246" s="1230"/>
    </row>
    <row r="2247" customFormat="false" ht="15.75" hidden="false" customHeight="true" outlineLevel="0" collapsed="false">
      <c r="A2247" s="933" t="str">
        <f aca="false">'Ввод данных'!A627</f>
        <v>Высота до перекрытия кровли</v>
      </c>
      <c r="B2247" s="887" t="str">
        <f aca="false">'Ввод данных'!B627</f>
        <v>м.п.</v>
      </c>
      <c r="C2247" s="933" t="n">
        <f aca="false">'Ввод данных'!C627</f>
        <v>2.3</v>
      </c>
      <c r="E2247" s="1230"/>
      <c r="F2247" s="1230"/>
      <c r="G2247" s="1230"/>
      <c r="H2247" s="1230"/>
      <c r="I2247" s="1770"/>
      <c r="J2247" s="1230"/>
      <c r="K2247" s="1230"/>
      <c r="L2247" s="1230"/>
      <c r="M2247" s="1230"/>
      <c r="N2247" s="1230"/>
      <c r="O2247" s="1230"/>
      <c r="P2247" s="1230"/>
      <c r="Q2247" s="1230"/>
      <c r="R2247" s="1230"/>
      <c r="S2247" s="1230"/>
      <c r="T2247" s="1230"/>
      <c r="U2247" s="1230"/>
      <c r="V2247" s="1230"/>
      <c r="W2247" s="1230"/>
      <c r="X2247" s="1230"/>
      <c r="Y2247" s="1230"/>
    </row>
    <row r="2248" customFormat="false" ht="15.75" hidden="false" customHeight="true" outlineLevel="0" collapsed="false">
      <c r="A2248" s="933" t="str">
        <f aca="false">'Ввод данных'!A628</f>
        <v>Выпуск кровли по карнизу</v>
      </c>
      <c r="B2248" s="887" t="str">
        <f aca="false">'Ввод данных'!B628</f>
        <v>м.п.</v>
      </c>
      <c r="C2248" s="933" t="n">
        <f aca="false">'Ввод данных'!C628</f>
        <v>0.4</v>
      </c>
      <c r="E2248" s="1230"/>
      <c r="F2248" s="1230"/>
      <c r="G2248" s="1230"/>
      <c r="H2248" s="1230"/>
      <c r="I2248" s="1770"/>
      <c r="J2248" s="1230"/>
      <c r="K2248" s="1230"/>
      <c r="L2248" s="1230"/>
      <c r="M2248" s="1230"/>
      <c r="N2248" s="1230"/>
      <c r="O2248" s="1230"/>
      <c r="P2248" s="1230"/>
      <c r="Q2248" s="1230"/>
      <c r="R2248" s="1230"/>
      <c r="S2248" s="1230"/>
      <c r="T2248" s="1230"/>
      <c r="U2248" s="1230"/>
      <c r="V2248" s="1230"/>
      <c r="W2248" s="1230"/>
      <c r="X2248" s="1230"/>
      <c r="Y2248" s="1230"/>
    </row>
    <row r="2249" customFormat="false" ht="15.75" hidden="false" customHeight="true" outlineLevel="0" collapsed="false">
      <c r="A2249" s="933" t="str">
        <f aca="false">'Ввод данных'!A629</f>
        <v>Выпуск кровли по фронтону</v>
      </c>
      <c r="B2249" s="887" t="str">
        <f aca="false">'Ввод данных'!B629</f>
        <v>м.п.</v>
      </c>
      <c r="C2249" s="933" t="n">
        <f aca="false">'Ввод данных'!C629</f>
        <v>0.4</v>
      </c>
      <c r="E2249" s="1230"/>
      <c r="F2249" s="1230"/>
      <c r="G2249" s="1230"/>
      <c r="H2249" s="1230"/>
      <c r="I2249" s="1770"/>
      <c r="J2249" s="1230"/>
      <c r="K2249" s="1230"/>
      <c r="L2249" s="1230"/>
      <c r="M2249" s="1230"/>
      <c r="N2249" s="1230"/>
      <c r="O2249" s="1230"/>
      <c r="P2249" s="1230"/>
      <c r="Q2249" s="1230"/>
      <c r="R2249" s="1230"/>
      <c r="S2249" s="1230"/>
      <c r="T2249" s="1230"/>
      <c r="U2249" s="1230"/>
      <c r="V2249" s="1230"/>
      <c r="W2249" s="1230"/>
      <c r="X2249" s="1230"/>
      <c r="Y2249" s="1230"/>
    </row>
    <row r="2250" customFormat="false" ht="15.75" hidden="false" customHeight="true" outlineLevel="0" collapsed="false">
      <c r="A2250" s="933" t="str">
        <f aca="false">'Ввод данных'!A630</f>
        <v>Длина конька для вальмовой пристройки</v>
      </c>
      <c r="B2250" s="887" t="str">
        <f aca="false">'Ввод данных'!B630</f>
        <v>м.п.</v>
      </c>
      <c r="C2250" s="933" t="n">
        <f aca="false">'Ввод данных'!C630</f>
        <v>1</v>
      </c>
      <c r="E2250" s="1230"/>
      <c r="F2250" s="1230"/>
      <c r="G2250" s="1230"/>
      <c r="H2250" s="1230"/>
      <c r="I2250" s="1770"/>
      <c r="J2250" s="1230"/>
      <c r="K2250" s="1230"/>
      <c r="L2250" s="1230"/>
      <c r="M2250" s="1230"/>
      <c r="N2250" s="1230"/>
      <c r="O2250" s="1230"/>
      <c r="P2250" s="1230"/>
      <c r="Q2250" s="1230"/>
      <c r="R2250" s="1230"/>
      <c r="S2250" s="1230"/>
      <c r="T2250" s="1230"/>
      <c r="U2250" s="1230"/>
      <c r="V2250" s="1230"/>
      <c r="W2250" s="1230"/>
      <c r="X2250" s="1230"/>
      <c r="Y2250" s="1230"/>
    </row>
    <row r="2251" customFormat="false" ht="15.75" hidden="false" customHeight="true" outlineLevel="0" collapsed="false">
      <c r="A2251" s="933" t="str">
        <f aca="false">'Ввод данных'!A631</f>
        <v>Количество ступеней</v>
      </c>
      <c r="B2251" s="1996" t="str">
        <f aca="false">'Ввод данных'!B631</f>
        <v>шт</v>
      </c>
      <c r="C2251" s="1216" t="n">
        <f aca="false">'Ввод данных'!C631</f>
        <v>3</v>
      </c>
      <c r="E2251" s="1230"/>
      <c r="F2251" s="1230"/>
      <c r="G2251" s="1230"/>
      <c r="H2251" s="1230"/>
      <c r="I2251" s="1770"/>
      <c r="J2251" s="1230"/>
      <c r="K2251" s="1230"/>
      <c r="L2251" s="1230"/>
      <c r="M2251" s="1230"/>
      <c r="N2251" s="1230"/>
      <c r="O2251" s="1230"/>
      <c r="P2251" s="1230"/>
      <c r="Q2251" s="1230"/>
      <c r="R2251" s="1230"/>
      <c r="S2251" s="1230"/>
      <c r="T2251" s="1230"/>
      <c r="U2251" s="1230"/>
      <c r="V2251" s="1230"/>
      <c r="W2251" s="1230"/>
      <c r="X2251" s="1230"/>
      <c r="Y2251" s="1230"/>
    </row>
    <row r="2252" customFormat="false" ht="15.75" hidden="false" customHeight="true" outlineLevel="0" collapsed="false">
      <c r="A2252" s="932" t="str">
        <f aca="false">'Ввод данных'!A632</f>
        <v>Размер ступеней</v>
      </c>
      <c r="B2252" s="887" t="str">
        <f aca="false">'Ввод данных'!B632</f>
        <v>ед.изм.</v>
      </c>
      <c r="C2252" s="933" t="str">
        <f aca="false">'Ввод данных'!C632</f>
        <v>высота</v>
      </c>
      <c r="D2252" s="933" t="str">
        <f aca="false">'Ввод данных'!D632</f>
        <v>ширина</v>
      </c>
      <c r="E2252" s="1230"/>
      <c r="F2252" s="1230"/>
      <c r="G2252" s="1230"/>
      <c r="H2252" s="1230"/>
      <c r="I2252" s="1770"/>
      <c r="J2252" s="1230"/>
      <c r="K2252" s="1230"/>
      <c r="L2252" s="1230"/>
      <c r="M2252" s="1230"/>
      <c r="N2252" s="1230"/>
      <c r="O2252" s="1230"/>
      <c r="P2252" s="1230"/>
      <c r="Q2252" s="1230"/>
      <c r="R2252" s="1230"/>
      <c r="S2252" s="1230"/>
      <c r="T2252" s="1230"/>
      <c r="U2252" s="1230"/>
      <c r="V2252" s="1230"/>
      <c r="W2252" s="1230"/>
      <c r="X2252" s="1230"/>
      <c r="Y2252" s="1230"/>
    </row>
    <row r="2253" customFormat="false" ht="15.75" hidden="false" customHeight="true" outlineLevel="0" collapsed="false">
      <c r="B2253" s="887" t="str">
        <f aca="false">'Ввод данных'!B633</f>
        <v>м.п.</v>
      </c>
      <c r="C2253" s="933" t="n">
        <f aca="false">'Ввод данных'!C633</f>
        <v>0.2</v>
      </c>
      <c r="D2253" s="933" t="n">
        <f aca="false">'Ввод данных'!D633</f>
        <v>0.4</v>
      </c>
      <c r="E2253" s="1230"/>
      <c r="F2253" s="1230"/>
      <c r="G2253" s="1230"/>
      <c r="H2253" s="1230"/>
      <c r="I2253" s="1770"/>
      <c r="J2253" s="1230"/>
      <c r="K2253" s="1230"/>
      <c r="L2253" s="1230"/>
      <c r="M2253" s="1230"/>
      <c r="N2253" s="1230"/>
      <c r="O2253" s="1230"/>
      <c r="P2253" s="1230"/>
      <c r="Q2253" s="1230"/>
      <c r="R2253" s="1230"/>
      <c r="S2253" s="1230"/>
      <c r="T2253" s="1230"/>
      <c r="U2253" s="1230"/>
      <c r="V2253" s="1230"/>
      <c r="W2253" s="1230"/>
      <c r="X2253" s="1230"/>
      <c r="Y2253" s="1230"/>
    </row>
    <row r="2254" customFormat="false" ht="15.75" hidden="false" customHeight="true" outlineLevel="0" collapsed="false">
      <c r="A2254" s="1230"/>
      <c r="B2254" s="1527"/>
      <c r="C2254" s="933" t="s">
        <v>3856</v>
      </c>
      <c r="E2254" s="933" t="s">
        <v>3429</v>
      </c>
      <c r="G2254" s="933" t="s">
        <v>3841</v>
      </c>
      <c r="H2254" s="998"/>
      <c r="I2254" s="1770"/>
      <c r="J2254" s="1230"/>
      <c r="K2254" s="1230"/>
      <c r="L2254" s="1230"/>
      <c r="M2254" s="1230"/>
      <c r="N2254" s="1230"/>
      <c r="O2254" s="1230"/>
      <c r="P2254" s="1230"/>
      <c r="Q2254" s="1230"/>
      <c r="R2254" s="1230"/>
      <c r="S2254" s="1230"/>
      <c r="T2254" s="1230"/>
      <c r="U2254" s="1230"/>
      <c r="V2254" s="1230"/>
      <c r="W2254" s="1230"/>
      <c r="X2254" s="1230"/>
      <c r="Y2254" s="1230"/>
    </row>
    <row r="2255" customFormat="false" ht="15.75" hidden="false" customHeight="true" outlineLevel="0" collapsed="false">
      <c r="A2255" s="1150" t="str">
        <f aca="false">A2100</f>
        <v>выбор</v>
      </c>
      <c r="B2255" s="887"/>
      <c r="C2255" s="933" t="n">
        <f aca="false">IF('Ввод данных'!A646=связи1!A107,1,0)</f>
        <v>0</v>
      </c>
      <c r="E2255" s="933" t="n">
        <f aca="false">IF('Ввод данных'!A646=связи1!A106,1,0)</f>
        <v>1</v>
      </c>
      <c r="G2255" s="933" t="n">
        <f aca="false">IF('Ввод данных'!A646=связи1!A108,1,0)</f>
        <v>0</v>
      </c>
      <c r="H2255" s="998"/>
    </row>
    <row r="2256" customFormat="false" ht="15.75" hidden="false" customHeight="true" outlineLevel="0" collapsed="false">
      <c r="A2256" s="1150" t="str">
        <f aca="false">A2101</f>
        <v>высота 1 этажа</v>
      </c>
      <c r="B2256" s="887" t="str">
        <f aca="false">D2101</f>
        <v>м.п.</v>
      </c>
      <c r="C2256" s="933" t="n">
        <f aca="false">дома!C2247</f>
        <v>2.3</v>
      </c>
      <c r="E2256" s="933" t="n">
        <f aca="false">C2256</f>
        <v>2.3</v>
      </c>
      <c r="G2256" s="933" t="n">
        <f aca="false">C2256</f>
        <v>2.3</v>
      </c>
      <c r="H2256" s="998"/>
    </row>
    <row r="2257" customFormat="false" ht="15.75" hidden="false" customHeight="true" outlineLevel="0" collapsed="false">
      <c r="A2257" s="1150" t="str">
        <f aca="false">A2103</f>
        <v>высота от перекрытия 0 этажа до конька, Е</v>
      </c>
      <c r="B2257" s="887" t="s">
        <v>156</v>
      </c>
      <c r="C2257" s="933" t="n">
        <f aca="false">C2246</f>
        <v>3</v>
      </c>
      <c r="E2257" s="933" t="n">
        <f aca="false">C2257</f>
        <v>3</v>
      </c>
      <c r="G2257" s="933" t="n">
        <f aca="false">C2257</f>
        <v>3</v>
      </c>
      <c r="H2257" s="998"/>
    </row>
    <row r="2258" customFormat="false" ht="15.75" hidden="false" customHeight="true" outlineLevel="0" collapsed="false">
      <c r="A2258" s="1150" t="str">
        <f aca="false">A2104</f>
        <v>длина дома В</v>
      </c>
      <c r="B2258" s="887" t="str">
        <f aca="false">D2104</f>
        <v>м.п.</v>
      </c>
      <c r="C2258" s="933" t="n">
        <f aca="false">C2244</f>
        <v>3</v>
      </c>
      <c r="E2258" s="933" t="n">
        <f aca="false">C2258</f>
        <v>3</v>
      </c>
      <c r="G2258" s="933" t="n">
        <f aca="false">C2258</f>
        <v>3</v>
      </c>
      <c r="H2258" s="998"/>
    </row>
    <row r="2259" customFormat="false" ht="15.75" hidden="false" customHeight="true" outlineLevel="0" collapsed="false">
      <c r="A2259" s="1150" t="str">
        <f aca="false">A2105</f>
        <v>ширина дома</v>
      </c>
      <c r="B2259" s="887" t="s">
        <v>156</v>
      </c>
      <c r="C2259" s="933" t="n">
        <f aca="false">C2245</f>
        <v>1</v>
      </c>
      <c r="E2259" s="933" t="n">
        <f aca="false">C2259</f>
        <v>1</v>
      </c>
      <c r="G2259" s="933" t="n">
        <f aca="false">C2259</f>
        <v>1</v>
      </c>
      <c r="H2259" s="998"/>
    </row>
    <row r="2260" customFormat="false" ht="15.75" hidden="false" customHeight="true" outlineLevel="0" collapsed="false">
      <c r="A2260" s="1150" t="s">
        <v>3857</v>
      </c>
      <c r="B2260" s="887" t="str">
        <f aca="false">D2106</f>
        <v>м.п.</v>
      </c>
      <c r="C2260" s="933" t="n">
        <f aca="false">SQRT(C2258/2*C2258/2+(C2257-C2256)*(C2257-C2256))+C2263</f>
        <v>2.05529453572468</v>
      </c>
      <c r="E2260" s="933" t="n">
        <f aca="false">SQRT((E2257-E2256)*(E2257-E2256)+E2259*E2259)+E2263</f>
        <v>1.62065556157337</v>
      </c>
      <c r="G2260" s="933" t="n">
        <f aca="false">SQRT((G2257-G2256)*(G2257-G2256)+(G2258/2+G2263)*(G2258/2+G2263))</f>
        <v>2.02484567313166</v>
      </c>
      <c r="H2260" s="998"/>
    </row>
    <row r="2261" customFormat="false" ht="15.75" hidden="false" customHeight="true" outlineLevel="0" collapsed="false">
      <c r="A2261" s="1150" t="s">
        <v>3858</v>
      </c>
      <c r="B2261" s="887" t="str">
        <f aca="false">D2107</f>
        <v>м.п.</v>
      </c>
      <c r="C2261" s="933"/>
      <c r="E2261" s="933"/>
      <c r="G2261" s="933" t="n">
        <f aca="false">SQRT((G2259+G2263-C2250)*(G2259+G2263-C2250)+(G2257-G2256)*(G2257-G2256))</f>
        <v>0.806225774829855</v>
      </c>
      <c r="H2261" s="998"/>
    </row>
    <row r="2262" customFormat="false" ht="15.75" hidden="false" customHeight="true" outlineLevel="0" collapsed="false">
      <c r="A2262" s="1150" t="s">
        <v>3859</v>
      </c>
      <c r="B2262" s="887" t="str">
        <f aca="false">D2108</f>
        <v>м.п.</v>
      </c>
      <c r="C2262" s="933"/>
      <c r="E2262" s="933"/>
      <c r="G2262" s="933" t="n">
        <f aca="false">SQRT(G2261*G2261+(G2258+G2263)/2*(G2258+G2263)/2)</f>
        <v>1.88148877222268</v>
      </c>
      <c r="H2262" s="998"/>
    </row>
    <row r="2263" customFormat="false" ht="15.75" hidden="false" customHeight="true" outlineLevel="0" collapsed="false">
      <c r="A2263" s="1150" t="str">
        <f aca="false">A2107</f>
        <v>Выпуск кровли карниз, J</v>
      </c>
      <c r="B2263" s="887" t="str">
        <f aca="false">D2107</f>
        <v>м.п.</v>
      </c>
      <c r="C2263" s="933" t="n">
        <f aca="false">C2248</f>
        <v>0.4</v>
      </c>
      <c r="E2263" s="933" t="n">
        <f aca="false">C2263</f>
        <v>0.4</v>
      </c>
      <c r="G2263" s="933" t="n">
        <f aca="false">E2263</f>
        <v>0.4</v>
      </c>
      <c r="H2263" s="998"/>
    </row>
    <row r="2264" customFormat="false" ht="15.75" hidden="false" customHeight="true" outlineLevel="0" collapsed="false">
      <c r="A2264" s="1150" t="str">
        <f aca="false">A2108</f>
        <v>Выпуск кровли фронтон, M</v>
      </c>
      <c r="B2264" s="887" t="str">
        <f aca="false">D2108</f>
        <v>м.п.</v>
      </c>
      <c r="C2264" s="933" t="n">
        <f aca="false">C2249</f>
        <v>0.4</v>
      </c>
      <c r="E2264" s="933" t="n">
        <f aca="false">C2264</f>
        <v>0.4</v>
      </c>
      <c r="G2264" s="933" t="n">
        <f aca="false">E2264</f>
        <v>0.4</v>
      </c>
      <c r="H2264" s="998"/>
    </row>
    <row r="2265" customFormat="false" ht="15.75" hidden="false" customHeight="true" outlineLevel="0" collapsed="false">
      <c r="A2265" s="1150" t="str">
        <f aca="false">A2110</f>
        <v>Длина конька с выпускам, O</v>
      </c>
      <c r="B2265" s="887" t="str">
        <f aca="false">D2110</f>
        <v>м.п.</v>
      </c>
      <c r="C2265" s="933" t="n">
        <f aca="false">C2259+C2264</f>
        <v>1.4</v>
      </c>
      <c r="E2265" s="933"/>
      <c r="G2265" s="933" t="n">
        <f aca="false">C2250*1.1</f>
        <v>1.1</v>
      </c>
      <c r="H2265" s="998"/>
    </row>
    <row r="2266" customFormat="false" ht="15.75" hidden="false" customHeight="true" outlineLevel="0" collapsed="false">
      <c r="A2266" s="1150" t="s">
        <v>2717</v>
      </c>
      <c r="B2266" s="887" t="str">
        <f aca="false">D2111</f>
        <v>м2</v>
      </c>
      <c r="C2266" s="933" t="n">
        <f aca="false">(C2260+C2260)*1.1</f>
        <v>4.52164797859431</v>
      </c>
      <c r="E2266" s="933" t="n">
        <f aca="false">(E2258+E2264+E2264)*1.1</f>
        <v>4.18</v>
      </c>
      <c r="G2266" s="933" t="n">
        <f aca="false">G2260*2*1.1</f>
        <v>4.45466048088965</v>
      </c>
      <c r="H2266" s="998"/>
    </row>
    <row r="2267" customFormat="false" ht="15.75" hidden="false" customHeight="true" outlineLevel="0" collapsed="false">
      <c r="A2267" s="1997" t="str">
        <f aca="false">A2113</f>
        <v>S кровли с выпусками</v>
      </c>
      <c r="B2267" s="1454" t="str">
        <f aca="false">D2113</f>
        <v>м2</v>
      </c>
      <c r="C2267" s="1407" t="n">
        <f aca="false">C2260*2*C2265*C2255</f>
        <v>0</v>
      </c>
      <c r="D2267" s="1997"/>
      <c r="E2267" s="1407" t="n">
        <f aca="false">(E2258+E2264+E2264)*E2260*E2255</f>
        <v>6.15849113397881</v>
      </c>
      <c r="F2267" s="1997"/>
      <c r="G2267" s="1407" t="n">
        <f aca="false">(((G2258/2)+G2263)*G2261+G2260*C2250*2+G2260*(G2259+G2264-C2250))*G2255</f>
        <v>0</v>
      </c>
      <c r="H2267" s="1998"/>
      <c r="I2267" s="1999" t="n">
        <f aca="false">G2267+E2267+C2267</f>
        <v>6.15849113397881</v>
      </c>
    </row>
    <row r="2268" customFormat="false" ht="15.75" hidden="false" customHeight="true" outlineLevel="0" collapsed="false">
      <c r="A2268" s="1997" t="s">
        <v>3860</v>
      </c>
      <c r="B2268" s="1454" t="str">
        <f aca="false">D2114</f>
        <v>м2</v>
      </c>
      <c r="C2268" s="1407" t="n">
        <f aca="false">C2267*1.2*C2255</f>
        <v>0</v>
      </c>
      <c r="D2268" s="1997"/>
      <c r="E2268" s="1407" t="n">
        <f aca="false">E2267*1.2</f>
        <v>7.39018936077457</v>
      </c>
      <c r="F2268" s="1997"/>
      <c r="G2268" s="1407" t="n">
        <f aca="false">G2267*1.45*G2255</f>
        <v>0</v>
      </c>
      <c r="H2268" s="1998"/>
      <c r="I2268" s="1999" t="n">
        <f aca="false">G2268+E2268+C2268</f>
        <v>7.39018936077457</v>
      </c>
    </row>
    <row r="2269" customFormat="false" ht="15.75" hidden="false" customHeight="true" outlineLevel="0" collapsed="false">
      <c r="A2269" s="1997" t="s">
        <v>3861</v>
      </c>
      <c r="B2269" s="1454" t="s">
        <v>133</v>
      </c>
      <c r="C2269" s="1407" t="n">
        <f aca="false">C2267*1.1*C2255</f>
        <v>0</v>
      </c>
      <c r="D2269" s="1997"/>
      <c r="E2269" s="1407" t="n">
        <f aca="false">E2267*1.1</f>
        <v>6.77434024737669</v>
      </c>
      <c r="F2269" s="1997"/>
      <c r="G2269" s="1407" t="n">
        <f aca="false">G2267*1.1*G2255</f>
        <v>0</v>
      </c>
      <c r="H2269" s="1998"/>
      <c r="I2269" s="1999" t="n">
        <f aca="false">G2269+E2269+C2269</f>
        <v>6.77434024737669</v>
      </c>
    </row>
    <row r="2270" customFormat="false" ht="15.75" hidden="false" customHeight="true" outlineLevel="0" collapsed="false">
      <c r="A2270" s="1997" t="s">
        <v>1059</v>
      </c>
      <c r="B2270" s="1454"/>
      <c r="C2270" s="1407" t="n">
        <f aca="false">(C2259+C2264)*2*1.1*C2255</f>
        <v>0</v>
      </c>
      <c r="D2270" s="1997"/>
      <c r="E2270" s="1407" t="n">
        <f aca="false">(E2258+E2264+E2264)*1.1*E2255</f>
        <v>4.18</v>
      </c>
      <c r="F2270" s="1997"/>
      <c r="G2270" s="1407" t="n">
        <f aca="false">(G2258+G2263+G2263+G2259+G2259+G2264+G2264)*G2255</f>
        <v>0</v>
      </c>
      <c r="H2270" s="1998"/>
      <c r="I2270" s="1999" t="n">
        <f aca="false">G2270+E2270+C2270</f>
        <v>4.18</v>
      </c>
    </row>
    <row r="2271" customFormat="false" ht="15.75" hidden="false" customHeight="true" outlineLevel="0" collapsed="false">
      <c r="A2271" s="1997" t="s">
        <v>1060</v>
      </c>
      <c r="B2271" s="1454"/>
      <c r="C2271" s="1407" t="n">
        <f aca="false">C2260*2*1.1*C2255</f>
        <v>0</v>
      </c>
      <c r="D2271" s="1997"/>
      <c r="E2271" s="1407" t="n">
        <f aca="false">E2260*2*1.1*E2255</f>
        <v>3.56544223546141</v>
      </c>
      <c r="F2271" s="1997"/>
      <c r="G2271" s="1407"/>
      <c r="H2271" s="1998"/>
      <c r="I2271" s="1999" t="n">
        <f aca="false">G2271+E2271+C2271</f>
        <v>3.56544223546141</v>
      </c>
    </row>
    <row r="2272" customFormat="false" ht="15.75" hidden="false" customHeight="true" outlineLevel="0" collapsed="false">
      <c r="A2272" s="1997" t="s">
        <v>3862</v>
      </c>
      <c r="B2272" s="1454"/>
      <c r="C2272" s="1407" t="n">
        <f aca="false">C2270*C2255</f>
        <v>0</v>
      </c>
      <c r="D2272" s="1997"/>
      <c r="E2272" s="1407" t="n">
        <f aca="false">E2270</f>
        <v>4.18</v>
      </c>
      <c r="F2272" s="1997"/>
      <c r="G2272" s="1407" t="n">
        <f aca="false">G2270</f>
        <v>0</v>
      </c>
      <c r="H2272" s="1998"/>
      <c r="I2272" s="1999" t="n">
        <f aca="false">G2272+E2272+C2272</f>
        <v>4.18</v>
      </c>
    </row>
    <row r="2273" customFormat="false" ht="15.75" hidden="false" customHeight="true" outlineLevel="0" collapsed="false">
      <c r="A2273" s="1997" t="s">
        <v>3863</v>
      </c>
      <c r="B2273" s="1454"/>
      <c r="C2273" s="1407" t="n">
        <f aca="false">C2247*C2255</f>
        <v>0</v>
      </c>
      <c r="D2273" s="1997"/>
      <c r="E2273" s="1407" t="n">
        <f aca="false">C2273*E2255</f>
        <v>0</v>
      </c>
      <c r="F2273" s="1997"/>
      <c r="G2273" s="1407" t="n">
        <f aca="false">C2273*G2255</f>
        <v>0</v>
      </c>
      <c r="H2273" s="1998"/>
      <c r="I2273" s="1999" t="n">
        <f aca="false">G2273+E2273+C2273</f>
        <v>0</v>
      </c>
    </row>
    <row r="2274" customFormat="false" ht="15.75" hidden="false" customHeight="true" outlineLevel="0" collapsed="false">
      <c r="A2274" s="1997" t="s">
        <v>2717</v>
      </c>
      <c r="B2274" s="2000"/>
      <c r="C2274" s="1997" t="n">
        <f aca="false">C2260*2*1.1*C2255</f>
        <v>0</v>
      </c>
      <c r="D2274" s="1997"/>
      <c r="E2274" s="1997" t="n">
        <f aca="false">E2270</f>
        <v>4.18</v>
      </c>
      <c r="F2274" s="1997"/>
      <c r="G2274" s="1997" t="n">
        <f aca="false">G2260*1.1*G2255</f>
        <v>0</v>
      </c>
      <c r="H2274" s="1997"/>
      <c r="I2274" s="1999" t="n">
        <f aca="false">G2274+E2274+C2274</f>
        <v>4.18</v>
      </c>
    </row>
    <row r="2275" customFormat="false" ht="15.75" hidden="false" customHeight="true" outlineLevel="0" collapsed="false">
      <c r="A2275" s="1997" t="s">
        <v>3864</v>
      </c>
      <c r="B2275" s="2000"/>
      <c r="C2275" s="1997" t="n">
        <f aca="false">C2274*C2255</f>
        <v>0</v>
      </c>
      <c r="D2275" s="1997"/>
      <c r="E2275" s="1997" t="n">
        <f aca="false">E2270</f>
        <v>4.18</v>
      </c>
      <c r="F2275" s="1997"/>
      <c r="G2275" s="1997" t="n">
        <f aca="false">G2274</f>
        <v>0</v>
      </c>
      <c r="H2275" s="1997"/>
      <c r="I2275" s="1999" t="n">
        <f aca="false">G2275+E2275+C2275</f>
        <v>4.18</v>
      </c>
    </row>
    <row r="2276" customFormat="false" ht="15.75" hidden="false" customHeight="true" outlineLevel="0" collapsed="false">
      <c r="A2276" s="1997" t="s">
        <v>1546</v>
      </c>
      <c r="B2276" s="2000"/>
      <c r="C2276" s="1997" t="n">
        <f aca="false">C2265*C2255</f>
        <v>0</v>
      </c>
      <c r="D2276" s="1997"/>
      <c r="E2276" s="1997"/>
      <c r="F2276" s="1997"/>
      <c r="G2276" s="1997" t="n">
        <f aca="false">(C2250+G2262*2)*G2255</f>
        <v>0</v>
      </c>
      <c r="H2276" s="1997"/>
      <c r="I2276" s="1999" t="n">
        <f aca="false">G2276+E2276+C2276</f>
        <v>0</v>
      </c>
    </row>
    <row r="2277" customFormat="false" ht="15.75" hidden="false" customHeight="true" outlineLevel="0" collapsed="false">
      <c r="A2277" s="1997" t="s">
        <v>3865</v>
      </c>
      <c r="B2277" s="2000"/>
      <c r="C2277" s="1997" t="n">
        <f aca="false">((C2276/0.6+1)*C2260*2+C2260+C2260+C2259+C2259+C2264+C2264)*C2255</f>
        <v>0</v>
      </c>
      <c r="D2277" s="1997"/>
      <c r="E2277" s="1997" t="n">
        <f aca="false">(((E2258+E2264+E2264)/0.6+2)*E2260+(E2258+E2264+E2264)*2)*E2255</f>
        <v>21.1054630131114</v>
      </c>
      <c r="F2277" s="1997"/>
      <c r="G2277" s="1997" t="n">
        <f aca="false">(((G2259+G2264)/0.6+1)*G2260+C2250+G2258+G2259+G2259+G2264+G2264+G2263+G2263+(G2259/0.6+1)*G2261++G2260*4)*G2255</f>
        <v>0</v>
      </c>
      <c r="H2277" s="1997"/>
      <c r="I2277" s="1999" t="n">
        <f aca="false">G2277+E2277+C2277</f>
        <v>21.1054630131114</v>
      </c>
    </row>
    <row r="2278" customFormat="false" ht="15.75" hidden="false" customHeight="true" outlineLevel="0" collapsed="false">
      <c r="A2278" s="933" t="str">
        <f aca="false">'Ввод данных'!A650</f>
        <v>Доска сухая, 150*50мм</v>
      </c>
      <c r="B2278" s="887" t="s">
        <v>135</v>
      </c>
      <c r="C2278" s="933" t="n">
        <f aca="false">I2277*VLOOKUP(A2278,связи1!A407:E416,5,0)</f>
        <v>0.158290972598336</v>
      </c>
      <c r="D2278" s="933" t="n">
        <f aca="false">VLOOKUP(A2278,связи1!A407:E416,2,0)</f>
        <v>9000</v>
      </c>
      <c r="E2278" s="933" t="n">
        <f aca="false">C2278*D2278*$E$2318*$E$2319</f>
        <v>0</v>
      </c>
      <c r="G2278" s="933" t="str">
        <f aca="false">G2136</f>
        <v>монтаж стропил</v>
      </c>
      <c r="H2278" s="933"/>
      <c r="I2278" s="933"/>
      <c r="J2278" s="933" t="str">
        <f aca="false">J2136</f>
        <v>м2</v>
      </c>
      <c r="K2278" s="933" t="n">
        <f aca="false">I2267*IF(A2278=связи1!A407,0,1)</f>
        <v>6.15849113397881</v>
      </c>
      <c r="L2278" s="933" t="n">
        <f aca="false">L2136</f>
        <v>450</v>
      </c>
      <c r="M2278" s="933" t="n">
        <f aca="false">K2278*L2278*$M$2318*$E$2319</f>
        <v>0</v>
      </c>
    </row>
    <row r="2279" customFormat="false" ht="15.75" hidden="false" customHeight="true" outlineLevel="0" collapsed="false">
      <c r="A2279" s="933" t="str">
        <f aca="false">'Ввод данных'!A652</f>
        <v>Сосна влаж,100*25мм</v>
      </c>
      <c r="B2279" s="887" t="s">
        <v>135</v>
      </c>
      <c r="C2279" s="933" t="n">
        <f aca="false">I2267*3*VLOOKUP(A2279,связи1!A432:F440,5,0)</f>
        <v>0.0461886835048411</v>
      </c>
      <c r="D2279" s="933" t="n">
        <f aca="false">VLOOKUP(A2279,связи1!A432:F440,6,0)</f>
        <v>6500</v>
      </c>
      <c r="E2279" s="933" t="n">
        <f aca="false">C2279*D2279*$E$2318*$E$2319</f>
        <v>0</v>
      </c>
      <c r="G2279" s="933" t="str">
        <f aca="false">G2137</f>
        <v>обрешетка</v>
      </c>
      <c r="H2279" s="933"/>
      <c r="I2279" s="933"/>
      <c r="J2279" s="933" t="str">
        <f aca="false">J2137</f>
        <v>м2</v>
      </c>
      <c r="K2279" s="933" t="n">
        <f aca="false">K2278*IF(A2279=связи1!A432,0,1)</f>
        <v>6.15849113397881</v>
      </c>
      <c r="L2279" s="933" t="n">
        <f aca="false">L2137</f>
        <v>100</v>
      </c>
      <c r="M2279" s="933" t="n">
        <f aca="false">K2279*L2279*$M$2318*$E$2319</f>
        <v>0</v>
      </c>
    </row>
    <row r="2280" customFormat="false" ht="15.75" hidden="false" customHeight="true" outlineLevel="0" collapsed="false">
      <c r="A2280" s="933" t="str">
        <f aca="false">'Ввод данных'!A654</f>
        <v>нет</v>
      </c>
      <c r="B2280" s="887" t="s">
        <v>133</v>
      </c>
      <c r="C2280" s="933" t="n">
        <f aca="false">I2267*3*VLOOKUP(A2280,связи1!A418:E421,5,0)</f>
        <v>0</v>
      </c>
      <c r="D2280" s="933" t="n">
        <f aca="false">VLOOKUP(A2280,связи1!A418:D421,2,0)</f>
        <v>0</v>
      </c>
      <c r="E2280" s="933" t="n">
        <f aca="false">C2280*D2280*$E$2318*$E$2319</f>
        <v>0</v>
      </c>
      <c r="G2280" s="933" t="str">
        <f aca="false">G2138</f>
        <v>контробеш</v>
      </c>
      <c r="H2280" s="933"/>
      <c r="I2280" s="933"/>
      <c r="J2280" s="933" t="str">
        <f aca="false">J2138</f>
        <v>м2</v>
      </c>
      <c r="K2280" s="933" t="n">
        <f aca="false">K2278*IF(A2280=связи1!A418,0,1)</f>
        <v>0</v>
      </c>
      <c r="L2280" s="933" t="n">
        <f aca="false">L2138</f>
        <v>100</v>
      </c>
      <c r="M2280" s="933" t="n">
        <f aca="false">K2280*L2280*$M$2318*$E$2319</f>
        <v>0</v>
      </c>
    </row>
    <row r="2281" customFormat="false" ht="15.75" hidden="false" customHeight="true" outlineLevel="0" collapsed="false">
      <c r="A2281" s="933" t="str">
        <f aca="false">'Ввод данных'!A656</f>
        <v>нет</v>
      </c>
      <c r="B2281" s="887" t="s">
        <v>133</v>
      </c>
      <c r="C2281" s="933" t="n">
        <f aca="false">I2267*1.2</f>
        <v>7.39018936077457</v>
      </c>
      <c r="D2281" s="933" t="n">
        <f aca="false">VLOOKUP(A2281,'Прайс лист'!B1027:G1078,6,0)</f>
        <v>0</v>
      </c>
      <c r="E2281" s="933" t="n">
        <f aca="false">C2281*D2281*$E$2318*$E$2319</f>
        <v>0</v>
      </c>
      <c r="F2281" s="1150" t="s">
        <v>3866</v>
      </c>
      <c r="G2281" s="933" t="str">
        <f aca="false">G2139</f>
        <v>мембрана</v>
      </c>
      <c r="H2281" s="933"/>
      <c r="I2281" s="933"/>
      <c r="J2281" s="933" t="str">
        <f aca="false">J2139</f>
        <v>м2</v>
      </c>
      <c r="K2281" s="933" t="n">
        <f aca="false">K2278*IF(A2282='Прайс лист'!B793,0,1)</f>
        <v>6.15849113397881</v>
      </c>
      <c r="L2281" s="933" t="n">
        <f aca="false">L2139</f>
        <v>100</v>
      </c>
      <c r="M2281" s="933" t="n">
        <f aca="false">K2281*L2281*$M$2318*$E$2319</f>
        <v>0</v>
      </c>
    </row>
    <row r="2282" customFormat="false" ht="15.75" hidden="false" customHeight="true" outlineLevel="0" collapsed="false">
      <c r="A2282" s="933" t="str">
        <f aca="false">'Ввод данных'!A658</f>
        <v>Мембраны Tyvek Solid</v>
      </c>
      <c r="B2282" s="887" t="s">
        <v>133</v>
      </c>
      <c r="C2282" s="933" t="n">
        <f aca="false">I2267*1.2</f>
        <v>7.39018936077457</v>
      </c>
      <c r="D2282" s="933" t="n">
        <f aca="false">VLOOKUP(A2282,'Прайс лист'!B793:G819,6,0)</f>
        <v>99</v>
      </c>
      <c r="E2282" s="933" t="n">
        <f aca="false">C2282*D2282*$E$2318*$E$2319</f>
        <v>0</v>
      </c>
      <c r="F2282" s="1150" t="n">
        <f aca="false">IF('Ввод данных'!A648=связи1!A6,1,0)</f>
        <v>1</v>
      </c>
      <c r="G2282" s="933" t="str">
        <f aca="false">G2140</f>
        <v>Монтаж металлочерепицы</v>
      </c>
      <c r="H2282" s="933"/>
      <c r="I2282" s="933"/>
      <c r="J2282" s="933" t="str">
        <f aca="false">J2140</f>
        <v>м2</v>
      </c>
      <c r="K2282" s="933" t="n">
        <f aca="false">K2278*F2282</f>
        <v>6.15849113397881</v>
      </c>
      <c r="L2282" s="933" t="n">
        <f aca="false">L2140</f>
        <v>300</v>
      </c>
      <c r="M2282" s="933" t="n">
        <f aca="false">K2282*L2282*$M$2318*$E$2319</f>
        <v>0</v>
      </c>
    </row>
    <row r="2283" customFormat="false" ht="15.75" hidden="false" customHeight="true" outlineLevel="0" collapsed="false">
      <c r="A2283" s="933" t="str">
        <f aca="false">A2140</f>
        <v>металлочерепица</v>
      </c>
      <c r="B2283" s="887" t="str">
        <f aca="false">B2140</f>
        <v>м2</v>
      </c>
      <c r="C2283" s="933" t="n">
        <f aca="false">I2268*F2282</f>
        <v>7.39018936077457</v>
      </c>
      <c r="D2283" s="933" t="n">
        <f aca="false">D2140</f>
        <v>250</v>
      </c>
      <c r="E2283" s="933" t="n">
        <f aca="false">C2283*D2283*$E$2318*$E$2319</f>
        <v>0</v>
      </c>
      <c r="F2283" s="1150" t="s">
        <v>3867</v>
      </c>
      <c r="G2283" s="933" t="str">
        <f aca="false">G2141</f>
        <v>карнизная планка</v>
      </c>
      <c r="H2283" s="933"/>
      <c r="I2283" s="933"/>
      <c r="J2283" s="933" t="str">
        <f aca="false">J2141</f>
        <v>м2</v>
      </c>
      <c r="K2283" s="933" t="n">
        <f aca="false">I2270</f>
        <v>4.18</v>
      </c>
      <c r="L2283" s="933" t="n">
        <f aca="false">L2141</f>
        <v>100</v>
      </c>
      <c r="M2283" s="933" t="n">
        <f aca="false">K2283*L2283*$M$2318*$E$2319</f>
        <v>0</v>
      </c>
    </row>
    <row r="2284" customFormat="false" ht="15.75" hidden="false" customHeight="true" outlineLevel="0" collapsed="false">
      <c r="A2284" s="933" t="str">
        <f aca="false">A2141</f>
        <v>карнизная планка</v>
      </c>
      <c r="B2284" s="887" t="str">
        <f aca="false">B2141</f>
        <v>м.п.</v>
      </c>
      <c r="C2284" s="933" t="n">
        <f aca="false">I2270*(F2286+F2282)</f>
        <v>4.18</v>
      </c>
      <c r="D2284" s="933" t="n">
        <f aca="false">D2141</f>
        <v>200</v>
      </c>
      <c r="E2284" s="933" t="n">
        <f aca="false">C2284*D2284*$E$2318*$E$2319</f>
        <v>0</v>
      </c>
      <c r="F2284" s="1150" t="n">
        <f aca="false">IF('Ввод данных'!A648=связи1!A7,1,0)</f>
        <v>0</v>
      </c>
      <c r="G2284" s="933" t="str">
        <f aca="false">G2142</f>
        <v>торцевая планка</v>
      </c>
      <c r="H2284" s="933"/>
      <c r="I2284" s="933"/>
      <c r="J2284" s="933" t="str">
        <f aca="false">J2142</f>
        <v>м2</v>
      </c>
      <c r="K2284" s="933" t="n">
        <f aca="false">I2271</f>
        <v>3.56544223546141</v>
      </c>
      <c r="L2284" s="933" t="n">
        <f aca="false">L2142</f>
        <v>100</v>
      </c>
      <c r="M2284" s="933" t="n">
        <f aca="false">K2284*L2284*$M$2318*$E$2319</f>
        <v>0</v>
      </c>
    </row>
    <row r="2285" customFormat="false" ht="15.75" hidden="false" customHeight="true" outlineLevel="0" collapsed="false">
      <c r="A2285" s="933" t="str">
        <f aca="false">A2142</f>
        <v>торцевая планка</v>
      </c>
      <c r="B2285" s="887" t="str">
        <f aca="false">B2142</f>
        <v>м.п.</v>
      </c>
      <c r="C2285" s="933" t="n">
        <f aca="false">I2271*(F2282+F2286)</f>
        <v>3.56544223546141</v>
      </c>
      <c r="D2285" s="933" t="n">
        <f aca="false">D2142</f>
        <v>200</v>
      </c>
      <c r="E2285" s="933" t="n">
        <f aca="false">C2285*D2285*$E$2318*$E$2319</f>
        <v>0</v>
      </c>
      <c r="F2285" s="1150" t="s">
        <v>3868</v>
      </c>
      <c r="G2285" s="933" t="str">
        <f aca="false">G2143</f>
        <v>желоб водосточный</v>
      </c>
      <c r="H2285" s="933"/>
      <c r="I2285" s="933"/>
      <c r="J2285" s="933" t="str">
        <f aca="false">J2143</f>
        <v>м.п.</v>
      </c>
      <c r="K2285" s="933" t="n">
        <f aca="false">I2272</f>
        <v>4.18</v>
      </c>
      <c r="L2285" s="933" t="n">
        <f aca="false">L2143</f>
        <v>300</v>
      </c>
      <c r="M2285" s="933" t="n">
        <f aca="false">K2285*L2285*$M$2318*$E$2319</f>
        <v>0</v>
      </c>
    </row>
    <row r="2286" customFormat="false" ht="15.75" hidden="false" customHeight="true" outlineLevel="0" collapsed="false">
      <c r="A2286" s="933" t="str">
        <f aca="false">A2143</f>
        <v>конек</v>
      </c>
      <c r="B2286" s="887" t="str">
        <f aca="false">B2143</f>
        <v>м.п.</v>
      </c>
      <c r="C2286" s="933" t="n">
        <f aca="false">I2276*F2282</f>
        <v>0</v>
      </c>
      <c r="D2286" s="933" t="n">
        <f aca="false">D2143</f>
        <v>230</v>
      </c>
      <c r="E2286" s="933" t="n">
        <f aca="false">C2286*D2286*$E$2318*$E$2319</f>
        <v>0</v>
      </c>
      <c r="F2286" s="1150" t="n">
        <f aca="false">IF('Ввод данных'!A648=связи1!A8,1,0)</f>
        <v>0</v>
      </c>
      <c r="G2286" s="933" t="str">
        <f aca="false">G2144</f>
        <v>труба водосточная</v>
      </c>
      <c r="H2286" s="933"/>
      <c r="I2286" s="933"/>
      <c r="J2286" s="933" t="str">
        <f aca="false">J2144</f>
        <v>м.п.</v>
      </c>
      <c r="K2286" s="933" t="n">
        <f aca="false">I2273</f>
        <v>0</v>
      </c>
      <c r="L2286" s="933" t="n">
        <f aca="false">L2144</f>
        <v>300</v>
      </c>
      <c r="M2286" s="933" t="n">
        <f aca="false">K2286*L2286*$M$2318*$E$2319</f>
        <v>0</v>
      </c>
    </row>
    <row r="2287" customFormat="false" ht="15.75" hidden="false" customHeight="true" outlineLevel="0" collapsed="false">
      <c r="A2287" s="933" t="str">
        <f aca="false">A2144</f>
        <v>ондулин</v>
      </c>
      <c r="B2287" s="887" t="str">
        <f aca="false">B2144</f>
        <v>м2</v>
      </c>
      <c r="C2287" s="933" t="n">
        <f aca="false">I2268*F2284</f>
        <v>0</v>
      </c>
      <c r="D2287" s="933" t="n">
        <f aca="false">D2144</f>
        <v>180</v>
      </c>
      <c r="E2287" s="933" t="n">
        <f aca="false">C2287*D2287*$E$2318*$E$2319</f>
        <v>0</v>
      </c>
      <c r="G2287" s="933" t="str">
        <f aca="false">G2145</f>
        <v>Монтаж ондулина</v>
      </c>
      <c r="H2287" s="933"/>
      <c r="I2287" s="933"/>
      <c r="J2287" s="933" t="str">
        <f aca="false">J2145</f>
        <v>м2</v>
      </c>
      <c r="K2287" s="933" t="n">
        <f aca="false">I2267*F2284</f>
        <v>0</v>
      </c>
      <c r="L2287" s="933" t="n">
        <f aca="false">L2145</f>
        <v>300</v>
      </c>
      <c r="M2287" s="933" t="n">
        <f aca="false">K2287*L2287*$M$2318*$E$2319</f>
        <v>0</v>
      </c>
    </row>
    <row r="2288" customFormat="false" ht="15.75" hidden="false" customHeight="true" outlineLevel="0" collapsed="false">
      <c r="A2288" s="933" t="str">
        <f aca="false">A2145</f>
        <v>Карнизная планка</v>
      </c>
      <c r="B2288" s="887" t="str">
        <f aca="false">B2145</f>
        <v>м.п.</v>
      </c>
      <c r="C2288" s="933" t="n">
        <f aca="false">I2270*F2284</f>
        <v>0</v>
      </c>
      <c r="D2288" s="933" t="n">
        <f aca="false">D2145</f>
        <v>190</v>
      </c>
      <c r="E2288" s="933" t="n">
        <f aca="false">C2288*D2288*$E$2318*$E$2319</f>
        <v>0</v>
      </c>
      <c r="G2288" s="933" t="str">
        <f aca="false">G2146</f>
        <v>Монтаж фанеры/osb</v>
      </c>
      <c r="H2288" s="933"/>
      <c r="I2288" s="933"/>
      <c r="J2288" s="933" t="str">
        <f aca="false">J2146</f>
        <v>м2</v>
      </c>
      <c r="K2288" s="933" t="n">
        <f aca="false">I2267*IF('Ввод данных'!A656='Прайс лист'!B978,0,1)</f>
        <v>0</v>
      </c>
      <c r="L2288" s="933" t="n">
        <f aca="false">L2146</f>
        <v>200</v>
      </c>
      <c r="M2288" s="933" t="n">
        <f aca="false">K2288*L2288*$M$2318*$E$2319</f>
        <v>0</v>
      </c>
    </row>
    <row r="2289" customFormat="false" ht="15.75" hidden="false" customHeight="true" outlineLevel="0" collapsed="false">
      <c r="A2289" s="933" t="str">
        <f aca="false">A2146</f>
        <v>Торцевая планка</v>
      </c>
      <c r="B2289" s="887" t="str">
        <f aca="false">B2146</f>
        <v>м.п.</v>
      </c>
      <c r="C2289" s="933" t="n">
        <f aca="false">I2271*F2284</f>
        <v>0</v>
      </c>
      <c r="D2289" s="933" t="n">
        <f aca="false">D2146</f>
        <v>190</v>
      </c>
      <c r="E2289" s="933" t="n">
        <f aca="false">C2289*D2289*$E$2318*$E$2319</f>
        <v>0</v>
      </c>
      <c r="G2289" s="933" t="str">
        <f aca="false">G2147</f>
        <v>монтаж подкладочного ковра</v>
      </c>
      <c r="H2289" s="933"/>
      <c r="I2289" s="933"/>
      <c r="J2289" s="933" t="str">
        <f aca="false">J2147</f>
        <v>м2</v>
      </c>
      <c r="K2289" s="933" t="n">
        <f aca="false">I2267*F2286</f>
        <v>0</v>
      </c>
      <c r="L2289" s="933" t="n">
        <f aca="false">L2147</f>
        <v>150</v>
      </c>
      <c r="M2289" s="933" t="n">
        <f aca="false">K2289*L2289*$M$2318*$E$2319</f>
        <v>0</v>
      </c>
    </row>
    <row r="2290" customFormat="false" ht="15.75" hidden="false" customHeight="true" outlineLevel="0" collapsed="false">
      <c r="A2290" s="933" t="str">
        <f aca="false">A2147</f>
        <v>Конек</v>
      </c>
      <c r="B2290" s="887" t="str">
        <f aca="false">B2147</f>
        <v>м.п.</v>
      </c>
      <c r="C2290" s="933" t="n">
        <f aca="false">I2276*F2284</f>
        <v>0</v>
      </c>
      <c r="D2290" s="933" t="n">
        <f aca="false">D2147</f>
        <v>200</v>
      </c>
      <c r="E2290" s="933" t="n">
        <f aca="false">C2290*D2290*$E$2318*$E$2319</f>
        <v>0</v>
      </c>
      <c r="G2290" s="933" t="str">
        <f aca="false">G2148</f>
        <v>Монтаж мягкой кровли</v>
      </c>
      <c r="H2290" s="933"/>
      <c r="I2290" s="933"/>
      <c r="J2290" s="933" t="str">
        <f aca="false">J2148</f>
        <v>м2</v>
      </c>
      <c r="K2290" s="933" t="n">
        <f aca="false">I2267*F2286</f>
        <v>0</v>
      </c>
      <c r="L2290" s="933" t="n">
        <f aca="false">L2148</f>
        <v>350</v>
      </c>
      <c r="M2290" s="933" t="n">
        <f aca="false">K2290*L2290*$M$2318*$E$2319</f>
        <v>0</v>
      </c>
    </row>
    <row r="2291" customFormat="false" ht="15.75" hidden="false" customHeight="true" outlineLevel="0" collapsed="false">
      <c r="A2291" s="933" t="str">
        <f aca="false">A2148</f>
        <v>Ендова нижняя</v>
      </c>
      <c r="B2291" s="887" t="str">
        <f aca="false">B2148</f>
        <v>м.п.</v>
      </c>
      <c r="C2291" s="933" t="n">
        <f aca="false">I2274*F2284</f>
        <v>0</v>
      </c>
      <c r="D2291" s="933" t="n">
        <f aca="false">D2148</f>
        <v>160</v>
      </c>
      <c r="E2291" s="933" t="n">
        <f aca="false">C2291*D2291*$E$2318*$E$2319</f>
        <v>0</v>
      </c>
      <c r="G2291" s="933" t="s">
        <v>1550</v>
      </c>
      <c r="H2291" s="933"/>
      <c r="I2291" s="933"/>
      <c r="J2291" s="933" t="s">
        <v>156</v>
      </c>
      <c r="K2291" s="933" t="n">
        <f aca="false">I2275*F2286</f>
        <v>0</v>
      </c>
      <c r="L2291" s="933" t="n">
        <f aca="false">'Прайс лист'!G1754</f>
        <v>200</v>
      </c>
      <c r="M2291" s="933" t="n">
        <f aca="false">K2291*L2291*$M$2318*$E$2319</f>
        <v>0</v>
      </c>
    </row>
    <row r="2292" s="1150" customFormat="true" ht="15.75" hidden="false" customHeight="true" outlineLevel="0" collapsed="false">
      <c r="A2292" s="933" t="str">
        <f aca="false">A2149</f>
        <v>Ендова верхняя</v>
      </c>
      <c r="B2292" s="887" t="str">
        <f aca="false">B2149</f>
        <v>м.п.</v>
      </c>
      <c r="C2292" s="933" t="n">
        <f aca="false">0</f>
        <v>0</v>
      </c>
      <c r="D2292" s="933" t="n">
        <f aca="false">D2149</f>
        <v>190</v>
      </c>
      <c r="E2292" s="933" t="n">
        <f aca="false">C2292*D2292*$E$2318*$E$2319</f>
        <v>0</v>
      </c>
    </row>
    <row r="2293" s="1150" customFormat="true" ht="15.75" hidden="false" customHeight="true" outlineLevel="0" collapsed="false">
      <c r="A2293" s="933" t="str">
        <f aca="false">A2150</f>
        <v>Планка примыкания</v>
      </c>
      <c r="B2293" s="887" t="str">
        <f aca="false">B2150</f>
        <v>м.п.</v>
      </c>
      <c r="C2293" s="933" t="n">
        <f aca="false">I2275*F2284</f>
        <v>0</v>
      </c>
      <c r="D2293" s="933" t="n">
        <f aca="false">D2150</f>
        <v>190</v>
      </c>
      <c r="E2293" s="933" t="n">
        <f aca="false">C2293*D2293*$E$2318*$E$2319</f>
        <v>0</v>
      </c>
    </row>
    <row r="2294" s="1150" customFormat="true" ht="15.75" hidden="false" customHeight="true" outlineLevel="0" collapsed="false">
      <c r="A2294" s="933" t="str">
        <f aca="false">A2151</f>
        <v>Крепеж для ондулина</v>
      </c>
      <c r="B2294" s="887" t="str">
        <f aca="false">B2151</f>
        <v>шт</v>
      </c>
      <c r="C2294" s="933" t="n">
        <f aca="false">I2267*12*F2284</f>
        <v>0</v>
      </c>
      <c r="D2294" s="933" t="n">
        <f aca="false">D2151</f>
        <v>4.5</v>
      </c>
      <c r="E2294" s="933" t="n">
        <f aca="false">C2294*D2294*$E$2318*$E$2319</f>
        <v>0</v>
      </c>
    </row>
    <row r="2295" customFormat="false" ht="15.75" hidden="false" customHeight="true" outlineLevel="0" collapsed="false">
      <c r="A2295" s="933" t="str">
        <f aca="false">A2153</f>
        <v>Рядовая черепица</v>
      </c>
      <c r="B2295" s="887" t="str">
        <f aca="false">B2153</f>
        <v>м2</v>
      </c>
      <c r="C2295" s="933" t="n">
        <f aca="false">I2269*F2286</f>
        <v>0</v>
      </c>
      <c r="D2295" s="933" t="n">
        <f aca="false">D2153</f>
        <v>360</v>
      </c>
      <c r="E2295" s="933" t="n">
        <f aca="false">C2295*D2295*$E$2318*$E$2319</f>
        <v>0</v>
      </c>
    </row>
    <row r="2296" customFormat="false" ht="15.75" hidden="false" customHeight="true" outlineLevel="0" collapsed="false">
      <c r="A2296" s="933" t="str">
        <f aca="false">A2154</f>
        <v>Металл оцинк защита (карниз)</v>
      </c>
      <c r="B2296" s="887" t="str">
        <f aca="false">B2154</f>
        <v>м.п.</v>
      </c>
      <c r="C2296" s="933" t="n">
        <f aca="false">I2270*F2286</f>
        <v>0</v>
      </c>
      <c r="D2296" s="933" t="n">
        <f aca="false">D2154</f>
        <v>200</v>
      </c>
      <c r="E2296" s="933" t="n">
        <f aca="false">C2296*D2296*$E$2318*$E$2319</f>
        <v>0</v>
      </c>
    </row>
    <row r="2297" customFormat="false" ht="15.75" hidden="false" customHeight="true" outlineLevel="0" collapsed="false">
      <c r="A2297" s="933" t="str">
        <f aca="false">A2155</f>
        <v>Подкладочный ковер</v>
      </c>
      <c r="B2297" s="887" t="str">
        <f aca="false">B2155</f>
        <v>м.п.</v>
      </c>
      <c r="C2297" s="933" t="n">
        <f aca="false">I2267*F2286</f>
        <v>0</v>
      </c>
      <c r="D2297" s="933" t="n">
        <f aca="false">D2155</f>
        <v>220</v>
      </c>
      <c r="E2297" s="933" t="n">
        <f aca="false">C2297*D2297*$E$2318*$E$2319</f>
        <v>0</v>
      </c>
    </row>
    <row r="2298" customFormat="false" ht="15.75" hidden="false" customHeight="true" outlineLevel="0" collapsed="false">
      <c r="A2298" s="933" t="str">
        <f aca="false">A2156</f>
        <v>Карнизная самоклеющаяся черепица</v>
      </c>
      <c r="B2298" s="887" t="str">
        <f aca="false">B2156</f>
        <v>м.п.</v>
      </c>
      <c r="C2298" s="933" t="n">
        <f aca="false">I2270*0.2*F2286</f>
        <v>0</v>
      </c>
      <c r="D2298" s="933" t="n">
        <f aca="false">D2156</f>
        <v>220</v>
      </c>
      <c r="E2298" s="933" t="n">
        <f aca="false">C2298*D2298*$E$2318*$E$2319</f>
        <v>0</v>
      </c>
    </row>
    <row r="2299" customFormat="false" ht="15.75" hidden="false" customHeight="true" outlineLevel="0" collapsed="false">
      <c r="A2299" s="933" t="str">
        <f aca="false">A2157</f>
        <v>Спец ковер ендова нижняя</v>
      </c>
      <c r="B2299" s="887" t="str">
        <f aca="false">B2157</f>
        <v>м.п.</v>
      </c>
      <c r="C2299" s="933" t="n">
        <f aca="false">I2274*F2286</f>
        <v>0</v>
      </c>
      <c r="D2299" s="933" t="n">
        <f aca="false">D2157</f>
        <v>200</v>
      </c>
      <c r="E2299" s="933" t="n">
        <f aca="false">C2299*D2299*$E$2318*$E$2319</f>
        <v>0</v>
      </c>
    </row>
    <row r="2300" customFormat="false" ht="15.75" hidden="false" customHeight="true" outlineLevel="0" collapsed="false">
      <c r="A2300" s="933" t="str">
        <f aca="false">A2158</f>
        <v>Коньковой элемент</v>
      </c>
      <c r="B2300" s="887" t="str">
        <f aca="false">B2158</f>
        <v>м.п.</v>
      </c>
      <c r="C2300" s="933" t="n">
        <f aca="false">I2276*F2286</f>
        <v>0</v>
      </c>
      <c r="D2300" s="933" t="n">
        <f aca="false">D2158</f>
        <v>250</v>
      </c>
      <c r="E2300" s="933" t="n">
        <f aca="false">C2300*D2300*$E$2318*$E$2319</f>
        <v>0</v>
      </c>
    </row>
    <row r="2301" customFormat="false" ht="15.75" hidden="false" customHeight="true" outlineLevel="0" collapsed="false">
      <c r="A2301" s="933" t="str">
        <f aca="false">A2159</f>
        <v>Планка премыкания</v>
      </c>
      <c r="B2301" s="887" t="str">
        <f aca="false">B2159</f>
        <v>м.п.</v>
      </c>
      <c r="C2301" s="933" t="n">
        <f aca="false">I2275*F2286</f>
        <v>0</v>
      </c>
      <c r="D2301" s="933" t="n">
        <f aca="false">D2159</f>
        <v>200</v>
      </c>
      <c r="E2301" s="933" t="n">
        <f aca="false">C2301*D2301*$E$2318*$E$2319</f>
        <v>0</v>
      </c>
    </row>
    <row r="2302" customFormat="false" ht="15.75" hidden="false" customHeight="true" outlineLevel="0" collapsed="false">
      <c r="A2302" s="933" t="str">
        <f aca="false">A2160</f>
        <v>Гвозди для крепления подкладочного ковра</v>
      </c>
      <c r="B2302" s="887" t="str">
        <f aca="false">B2160</f>
        <v>шт</v>
      </c>
      <c r="C2302" s="933" t="n">
        <f aca="false">I2267*20*F2286</f>
        <v>0</v>
      </c>
      <c r="D2302" s="933" t="n">
        <f aca="false">D2160</f>
        <v>0.012</v>
      </c>
      <c r="E2302" s="933" t="n">
        <f aca="false">C2302*D2302*$E$2318*$E$2319</f>
        <v>0</v>
      </c>
    </row>
    <row r="2303" customFormat="false" ht="15.75" hidden="false" customHeight="true" outlineLevel="0" collapsed="false">
      <c r="A2303" s="933" t="str">
        <f aca="false">A2161</f>
        <v>Гвозди для крепления черепицы</v>
      </c>
      <c r="B2303" s="887" t="str">
        <f aca="false">B2161</f>
        <v>шт</v>
      </c>
      <c r="C2303" s="933" t="n">
        <f aca="false">I2267*F2286*25</f>
        <v>0</v>
      </c>
      <c r="D2303" s="933" t="n">
        <f aca="false">D2161</f>
        <v>0.25</v>
      </c>
      <c r="E2303" s="933" t="n">
        <f aca="false">C2303*D2303*$E$2318*$E$2319</f>
        <v>0</v>
      </c>
    </row>
    <row r="2304" customFormat="false" ht="15.75" hidden="false" customHeight="true" outlineLevel="0" collapsed="false">
      <c r="A2304" s="933" t="str">
        <f aca="false">A2162</f>
        <v>Клей для монтажа черепицы</v>
      </c>
      <c r="B2304" s="887" t="str">
        <f aca="false">B2162</f>
        <v>кг</v>
      </c>
      <c r="C2304" s="933" t="n">
        <f aca="false">I2267*F2286</f>
        <v>0</v>
      </c>
      <c r="D2304" s="933" t="n">
        <f aca="false">D2162</f>
        <v>250</v>
      </c>
      <c r="E2304" s="933" t="n">
        <f aca="false">C2304*D2304*$E$2318*$E$2319</f>
        <v>0</v>
      </c>
    </row>
    <row r="2305" customFormat="false" ht="15.75" hidden="false" customHeight="true" outlineLevel="0" collapsed="false">
      <c r="A2305" s="933" t="str">
        <f aca="false">A2163</f>
        <v>желоб</v>
      </c>
      <c r="B2305" s="887" t="str">
        <f aca="false">B2163</f>
        <v>м.п</v>
      </c>
      <c r="C2305" s="933" t="n">
        <f aca="false">I2272</f>
        <v>4.18</v>
      </c>
      <c r="D2305" s="933" t="n">
        <f aca="false">D2163</f>
        <v>300</v>
      </c>
      <c r="E2305" s="933" t="n">
        <f aca="false">C2305*D2305*$E$2318*$E$2319</f>
        <v>0</v>
      </c>
    </row>
    <row r="2306" customFormat="false" ht="15.75" hidden="false" customHeight="true" outlineLevel="0" collapsed="false">
      <c r="A2306" s="933" t="str">
        <f aca="false">A2164</f>
        <v>отвод</v>
      </c>
      <c r="B2306" s="887" t="str">
        <f aca="false">B2164</f>
        <v>шт</v>
      </c>
      <c r="C2306" s="933" t="n">
        <f aca="false">2</f>
        <v>2</v>
      </c>
      <c r="D2306" s="933" t="n">
        <f aca="false">D2164</f>
        <v>250</v>
      </c>
      <c r="E2306" s="933" t="n">
        <f aca="false">C2306*D2306*$E$2318*$E$2319</f>
        <v>0</v>
      </c>
    </row>
    <row r="2307" customFormat="false" ht="15.75" hidden="false" customHeight="true" outlineLevel="0" collapsed="false">
      <c r="A2307" s="933" t="str">
        <f aca="false">A2165</f>
        <v>труба водосточная</v>
      </c>
      <c r="B2307" s="887" t="str">
        <f aca="false">B2165</f>
        <v>м.п.</v>
      </c>
      <c r="C2307" s="933" t="n">
        <f aca="false">I2273</f>
        <v>0</v>
      </c>
      <c r="D2307" s="933" t="n">
        <f aca="false">D2165</f>
        <v>300</v>
      </c>
      <c r="E2307" s="933" t="n">
        <f aca="false">C2307*D2307*$E$2318*$E$2319</f>
        <v>0</v>
      </c>
    </row>
    <row r="2308" customFormat="false" ht="15.75" hidden="false" customHeight="true" outlineLevel="0" collapsed="false">
      <c r="A2308" s="933" t="str">
        <f aca="false">A2166</f>
        <v>заглушка для желоба</v>
      </c>
      <c r="B2308" s="887" t="str">
        <f aca="false">B2166</f>
        <v>шт</v>
      </c>
      <c r="C2308" s="933" t="n">
        <f aca="false">2</f>
        <v>2</v>
      </c>
      <c r="D2308" s="933" t="n">
        <f aca="false">D2166</f>
        <v>190</v>
      </c>
      <c r="E2308" s="933" t="n">
        <f aca="false">C2308*D2308*$E$2318*$E$2319</f>
        <v>0</v>
      </c>
    </row>
    <row r="2309" customFormat="false" ht="15.75" hidden="false" customHeight="true" outlineLevel="0" collapsed="false">
      <c r="A2309" s="933" t="str">
        <f aca="false">A2167</f>
        <v>соеденитель для желоба</v>
      </c>
      <c r="B2309" s="887" t="str">
        <f aca="false">B2167</f>
        <v>шт</v>
      </c>
      <c r="C2309" s="933" t="n">
        <f aca="false">2</f>
        <v>2</v>
      </c>
      <c r="D2309" s="933" t="n">
        <f aca="false">D2167</f>
        <v>180</v>
      </c>
      <c r="E2309" s="933" t="n">
        <f aca="false">C2309*D2309*$E$2318*$E$2319</f>
        <v>0</v>
      </c>
    </row>
    <row r="2310" customFormat="false" ht="15.75" hidden="false" customHeight="true" outlineLevel="0" collapsed="false">
      <c r="A2310" s="933" t="str">
        <f aca="false">A2168</f>
        <v>кронштейн для желоба</v>
      </c>
      <c r="B2310" s="887" t="str">
        <f aca="false">B2168</f>
        <v>шт</v>
      </c>
      <c r="C2310" s="933" t="n">
        <f aca="false">I2272/0.4</f>
        <v>10.45</v>
      </c>
      <c r="D2310" s="933" t="n">
        <f aca="false">D2168</f>
        <v>130</v>
      </c>
      <c r="E2310" s="933" t="n">
        <f aca="false">C2310*D2310*$E$2318*$E$2319</f>
        <v>0</v>
      </c>
    </row>
    <row r="2311" customFormat="false" ht="15.75" hidden="false" customHeight="true" outlineLevel="0" collapsed="false">
      <c r="A2311" s="933" t="str">
        <f aca="false">A2169</f>
        <v>переход из желоба в трубу</v>
      </c>
      <c r="B2311" s="887" t="str">
        <f aca="false">B2169</f>
        <v>шт</v>
      </c>
      <c r="C2311" s="933" t="n">
        <f aca="false">2</f>
        <v>2</v>
      </c>
      <c r="D2311" s="933" t="n">
        <f aca="false">D2169</f>
        <v>350</v>
      </c>
      <c r="E2311" s="933" t="n">
        <f aca="false">C2311*D2311*$E$2318*$E$2319</f>
        <v>0</v>
      </c>
    </row>
    <row r="2312" customFormat="false" ht="15.75" hidden="false" customHeight="true" outlineLevel="0" collapsed="false">
      <c r="A2312" s="933" t="str">
        <f aca="false">A2170</f>
        <v>лента дельта мульти бэнд</v>
      </c>
      <c r="B2312" s="887" t="str">
        <f aca="false">B2170</f>
        <v>шт</v>
      </c>
      <c r="C2312" s="933" t="n">
        <f aca="false">I2267/35</f>
        <v>0.175956889542252</v>
      </c>
      <c r="D2312" s="933" t="n">
        <f aca="false">D2170</f>
        <v>1200</v>
      </c>
      <c r="E2312" s="933" t="n">
        <f aca="false">C2312*D2312*$E$2318*$E$2319</f>
        <v>0</v>
      </c>
    </row>
    <row r="2313" customFormat="false" ht="15.75" hidden="false" customHeight="true" outlineLevel="0" collapsed="false">
      <c r="A2313" s="933" t="str">
        <f aca="false">A2171</f>
        <v>лента дельта sb-60</v>
      </c>
      <c r="B2313" s="887" t="str">
        <f aca="false">B2171</f>
        <v>шт</v>
      </c>
      <c r="C2313" s="933" t="n">
        <f aca="false">I2267/45</f>
        <v>0.136855358532862</v>
      </c>
      <c r="D2313" s="933" t="n">
        <f aca="false">D2171</f>
        <v>1100</v>
      </c>
      <c r="E2313" s="933" t="n">
        <f aca="false">C2313*D2313*$E$2318*$E$2319</f>
        <v>0</v>
      </c>
    </row>
    <row r="2314" customFormat="false" ht="15.75" hidden="false" customHeight="true" outlineLevel="0" collapsed="false">
      <c r="A2314" s="933" t="str">
        <f aca="false">A2172</f>
        <v>Кровельный саморез</v>
      </c>
      <c r="B2314" s="887" t="str">
        <f aca="false">B2172</f>
        <v>шт</v>
      </c>
      <c r="C2314" s="933" t="n">
        <f aca="false">I2267*12</f>
        <v>73.9018936077457</v>
      </c>
      <c r="D2314" s="933" t="n">
        <f aca="false">D2172</f>
        <v>2</v>
      </c>
      <c r="E2314" s="933" t="n">
        <f aca="false">C2314*D2314*$E$2318*$E$2319</f>
        <v>0</v>
      </c>
    </row>
    <row r="2315" customFormat="false" ht="15.75" hidden="false" customHeight="true" outlineLevel="0" collapsed="false">
      <c r="A2315" s="933" t="str">
        <f aca="false">'Ввод данных'!A690</f>
        <v>Экскаватор погрузчик, бурение</v>
      </c>
      <c r="B2315" s="887" t="str">
        <f aca="false">'Ввод данных'!B690</f>
        <v>ед.</v>
      </c>
      <c r="C2315" s="933" t="n">
        <f aca="false">'Ввод данных'!C690</f>
        <v>0</v>
      </c>
      <c r="D2315" s="933" t="n">
        <f aca="false">VLOOKUP(A2315,'Прайс лист'!B180:G194,6,0)</f>
        <v>300</v>
      </c>
      <c r="E2315" s="933" t="n">
        <f aca="false">C2315*D2315*$E$2318*$E$2319</f>
        <v>0</v>
      </c>
    </row>
    <row r="2316" customFormat="false" ht="15.75" hidden="false" customHeight="true" outlineLevel="0" collapsed="false">
      <c r="A2316" s="933" t="str">
        <f aca="false">'Ввод данных'!A691</f>
        <v>Нет техники</v>
      </c>
      <c r="B2316" s="887" t="str">
        <f aca="false">'Ввод данных'!B691</f>
        <v>ед.</v>
      </c>
      <c r="C2316" s="933" t="n">
        <f aca="false">'Ввод данных'!C691</f>
        <v>0</v>
      </c>
      <c r="D2316" s="933" t="n">
        <f aca="false">VLOOKUP(A2316,'Прайс лист'!B180:G194,6,0)</f>
        <v>0</v>
      </c>
      <c r="E2316" s="933" t="n">
        <f aca="false">C2316*D2316*$E$2318*$E$2319</f>
        <v>0</v>
      </c>
    </row>
    <row r="2317" customFormat="false" ht="15.75" hidden="false" customHeight="true" outlineLevel="0" collapsed="false">
      <c r="A2317" s="933" t="str">
        <f aca="false">'Ввод данных'!A692</f>
        <v>Расходные материалы крыльцо</v>
      </c>
      <c r="B2317" s="887" t="str">
        <f aca="false">'Ввод данных'!B692</f>
        <v>рублей</v>
      </c>
      <c r="C2317" s="933" t="n">
        <f aca="false">1</f>
        <v>1</v>
      </c>
      <c r="D2317" s="933" t="n">
        <f aca="false">'Ввод данных'!C692</f>
        <v>5000</v>
      </c>
      <c r="E2317" s="933" t="n">
        <f aca="false">C2317*D2317*$E$2318*$E$2319</f>
        <v>0</v>
      </c>
    </row>
    <row r="2318" customFormat="false" ht="15.75" hidden="false" customHeight="true" outlineLevel="0" collapsed="false">
      <c r="E2318" s="933" t="n">
        <f aca="false">'Ввод данных'!E621</f>
        <v>1.1</v>
      </c>
      <c r="M2318" s="933" t="n">
        <f aca="false">'Ввод данных'!E622</f>
        <v>1.2</v>
      </c>
    </row>
    <row r="2319" customFormat="false" ht="15.75" hidden="false" customHeight="true" outlineLevel="0" collapsed="false">
      <c r="A2319" s="1150" t="s">
        <v>3869</v>
      </c>
      <c r="E2319" s="933" t="n">
        <f aca="false">VLOOKUP('Ввод данных'!F693,связи1!A2:B3,2,0)</f>
        <v>0</v>
      </c>
    </row>
    <row r="2320" customFormat="false" ht="15.75" hidden="false" customHeight="true" outlineLevel="0" collapsed="false">
      <c r="A2320" s="933" t="str">
        <f aca="false">'Ввод данных'!A674</f>
        <v>Листв. влаж, 150*150мм</v>
      </c>
      <c r="B2320" s="887" t="s">
        <v>135</v>
      </c>
      <c r="C2320" s="887" t="n">
        <f aca="false">(C2244+C2245+C2245)*VLOOKUP(A2320,'Прайс лист'!B333:G419,5)</f>
        <v>0.084</v>
      </c>
      <c r="D2320" s="933" t="n">
        <f aca="false">VLOOKUP(A2320,'Прайс лист'!B333:G419,6,0)</f>
        <v>8500</v>
      </c>
      <c r="E2320" s="933" t="n">
        <f aca="false">C2320*D2320*E2319*E2318</f>
        <v>0</v>
      </c>
      <c r="G2320" s="933"/>
      <c r="H2320" s="933"/>
      <c r="I2320" s="1219" t="str">
        <f aca="false">'Прайс лист'!B1879</f>
        <v>монтаж веранды/крыльцо</v>
      </c>
      <c r="J2320" s="933" t="s">
        <v>133</v>
      </c>
      <c r="K2320" s="933" t="n">
        <f aca="false">C2244*C2245</f>
        <v>3</v>
      </c>
      <c r="L2320" s="933" t="n">
        <f aca="false">'Прайс лист'!G1879</f>
        <v>1500</v>
      </c>
      <c r="M2320" s="933" t="n">
        <f aca="false">K2320*L2320*E2319*M2318</f>
        <v>0</v>
      </c>
    </row>
    <row r="2321" customFormat="false" ht="15.75" hidden="false" customHeight="true" outlineLevel="0" collapsed="false">
      <c r="A2321" s="933" t="str">
        <f aca="false">'Ввод данных'!A672</f>
        <v>Листв. влаж, 150*100мм</v>
      </c>
      <c r="B2321" s="887" t="s">
        <v>135</v>
      </c>
      <c r="C2321" s="887" t="n">
        <f aca="false">(C2258/0.6+1)*C2259*VLOOKUP(A2321,'Прайс лист'!B333:G419,5,0)</f>
        <v>0.09</v>
      </c>
      <c r="D2321" s="933" t="n">
        <f aca="false">VLOOKUP(A2321,'Прайс лист'!B333:G419,6,0)</f>
        <v>8500</v>
      </c>
      <c r="E2321" s="933" t="n">
        <f aca="false">C2321*D2321*E2319*E2318</f>
        <v>0</v>
      </c>
    </row>
    <row r="2322" customFormat="false" ht="15.75" hidden="false" customHeight="true" outlineLevel="0" collapsed="false">
      <c r="A2322" s="933" t="str">
        <f aca="false">'Ввод данных'!A676</f>
        <v>Сосна влаж, 150*100мм</v>
      </c>
      <c r="B2322" s="887" t="s">
        <v>135</v>
      </c>
      <c r="C2322" s="887" t="n">
        <f aca="false">(C2244+C2245+C2245)*VLOOKUP(A2322,'Прайс лист'!B333:G419,5,0)</f>
        <v>0.075</v>
      </c>
      <c r="D2322" s="933" t="n">
        <f aca="false">VLOOKUP(A2322,'Прайс лист'!B333:G419,6,0)</f>
        <v>6500</v>
      </c>
      <c r="E2322" s="933" t="n">
        <f aca="false">C2322*D2322*E2319*E2318</f>
        <v>0</v>
      </c>
    </row>
    <row r="2323" customFormat="false" ht="15.75" hidden="false" customHeight="true" outlineLevel="0" collapsed="false">
      <c r="A2323" s="933" t="str">
        <f aca="false">'Ввод данных'!A635</f>
        <v>Нет</v>
      </c>
      <c r="B2323" s="887" t="s">
        <v>135</v>
      </c>
      <c r="C2323" s="887" t="n">
        <f aca="false">5*C2247*VLOOKUP(A2323,'Прайс лист'!B333:G419,5,0)</f>
        <v>11.5</v>
      </c>
      <c r="D2323" s="933" t="n">
        <f aca="false">VLOOKUP(A2323,'Прайс лист'!B333:G419,6,0)</f>
        <v>0</v>
      </c>
      <c r="E2323" s="933" t="n">
        <f aca="false">C2323*D2323*E2319*E2318</f>
        <v>0</v>
      </c>
    </row>
    <row r="2324" customFormat="false" ht="15.75" hidden="false" customHeight="true" outlineLevel="0" collapsed="false">
      <c r="A2324" s="933" t="str">
        <f aca="false">'Ввод данных'!A637</f>
        <v>Брус клееный проф 2 ламель кедр Шир. 240 выс. 140</v>
      </c>
      <c r="B2324" s="887" t="s">
        <v>135</v>
      </c>
      <c r="C2324" s="887" t="n">
        <f aca="false">(C2244+C2245+C2245)*VLOOKUP(A2324,'Прайс лист'!B333:G419,5,0)</f>
        <v>0.168</v>
      </c>
      <c r="D2324" s="933" t="n">
        <f aca="false">VLOOKUP(A2324,'Прайс лист'!B333:G419,6,0)</f>
        <v>24000</v>
      </c>
      <c r="E2324" s="933" t="n">
        <f aca="false">C2324*D2324*E2319*E2318</f>
        <v>0</v>
      </c>
    </row>
    <row r="2325" customFormat="false" ht="15.75" hidden="false" customHeight="true" outlineLevel="0" collapsed="false">
      <c r="A2325" s="933" t="str">
        <f aca="false">'Ввод данных'!A639</f>
        <v>Брус клееный проф 1 ламель кедр Шир. 240 выс. 140</v>
      </c>
      <c r="B2325" s="887" t="s">
        <v>135</v>
      </c>
      <c r="C2325" s="887" t="n">
        <f aca="false">(C2244+C2245+C2245)/0.5*VLOOKUP(A2325,'Прайс лист'!B333:G419,5,0)</f>
        <v>0.336</v>
      </c>
      <c r="D2325" s="933" t="n">
        <f aca="false">VLOOKUP(A2325,'Прайс лист'!B333:G419,6,0)</f>
        <v>24000</v>
      </c>
      <c r="E2325" s="933" t="n">
        <f aca="false">C2325*D2325*E2319*E2318</f>
        <v>0</v>
      </c>
    </row>
    <row r="2326" customFormat="false" ht="15.75" hidden="false" customHeight="true" outlineLevel="0" collapsed="false">
      <c r="A2326" s="933" t="str">
        <f aca="false">'Ввод данных'!A641</f>
        <v>Нет накладки</v>
      </c>
      <c r="B2326" s="887" t="s">
        <v>156</v>
      </c>
      <c r="C2326" s="887" t="n">
        <f aca="false">(C2244+C2245+C2245)</f>
        <v>5</v>
      </c>
      <c r="D2326" s="933" t="n">
        <f aca="false">VLOOKUP(A2326,'Прайс лист'!B420:G424,6,0)</f>
        <v>0</v>
      </c>
      <c r="E2326" s="933" t="n">
        <f aca="false">C2326*D2326*E2319*E2318</f>
        <v>0</v>
      </c>
    </row>
    <row r="2327" customFormat="false" ht="15.75" hidden="false" customHeight="true" outlineLevel="0" collapsed="false">
      <c r="A2327" s="933" t="str">
        <f aca="false">'Ввод данных'!A643</f>
        <v>Листв. влаж, 200*200мм</v>
      </c>
      <c r="B2327" s="887" t="s">
        <v>135</v>
      </c>
      <c r="C2327" s="887" t="n">
        <f aca="false">'Ввод данных'!C643*'Ввод данных'!D643*VLOOKUP(A2327,'Прайс лист'!B333:G419,5,0)</f>
        <v>0.32</v>
      </c>
      <c r="D2327" s="933" t="n">
        <f aca="false">VLOOKUP(A2327,'Прайс лист'!B333:G419,6,0)</f>
        <v>9000</v>
      </c>
      <c r="E2327" s="933" t="n">
        <f aca="false">C2327*D2327*E2319*E2318</f>
        <v>0</v>
      </c>
    </row>
    <row r="2328" customFormat="false" ht="15.75" hidden="false" customHeight="true" outlineLevel="0" collapsed="false">
      <c r="A2328" s="933" t="str">
        <f aca="false">'Ввод данных'!A679</f>
        <v>Уголок усиленный 90х70х55х2,5</v>
      </c>
      <c r="B2328" s="933" t="str">
        <f aca="false">'Ввод данных'!B679</f>
        <v>шт</v>
      </c>
      <c r="C2328" s="933" t="n">
        <f aca="false">'Ввод данных'!C679</f>
        <v>6</v>
      </c>
      <c r="D2328" s="933" t="n">
        <f aca="false">VLOOKUP(A2328,'Прайс лист'!B837:G840,6,0)</f>
        <v>30</v>
      </c>
      <c r="E2328" s="933" t="n">
        <f aca="false">C2328*D2328*E2320*E2319</f>
        <v>0</v>
      </c>
    </row>
    <row r="2329" customFormat="false" ht="15.75" hidden="false" customHeight="true" outlineLevel="0" collapsed="false">
      <c r="A2329" s="933" t="str">
        <f aca="false">'Ввод данных'!A680</f>
        <v>Нет уголков</v>
      </c>
      <c r="B2329" s="933" t="str">
        <f aca="false">'Ввод данных'!B680</f>
        <v>шт</v>
      </c>
      <c r="C2329" s="933" t="n">
        <f aca="false">'Ввод данных'!C680</f>
        <v>0</v>
      </c>
      <c r="D2329" s="933" t="n">
        <f aca="false">VLOOKUP(A2329,'Прайс лист'!B837:G840,6,0)</f>
        <v>0</v>
      </c>
      <c r="E2329" s="933" t="n">
        <f aca="false">C2329*D2329*E2321*E2320</f>
        <v>0</v>
      </c>
    </row>
    <row r="2330" customFormat="false" ht="15.75" hidden="false" customHeight="true" outlineLevel="0" collapsed="false">
      <c r="A2330" s="933" t="str">
        <f aca="false">'Ввод данных'!A681</f>
        <v>Пластина соеденительная 100х240х2</v>
      </c>
      <c r="B2330" s="933" t="str">
        <f aca="false">'Ввод данных'!B681</f>
        <v>шт</v>
      </c>
      <c r="C2330" s="933" t="n">
        <f aca="false">'Ввод данных'!C681</f>
        <v>2</v>
      </c>
      <c r="D2330" s="1150" t="n">
        <f aca="false">VLOOKUP(A2330,'Прайс лист'!B845:G848,6,0)</f>
        <v>31.54</v>
      </c>
      <c r="E2330" s="933" t="n">
        <f aca="false">C2330*D2330*E2322*E2321</f>
        <v>0</v>
      </c>
    </row>
    <row r="2331" customFormat="false" ht="15.75" hidden="false" customHeight="true" outlineLevel="0" collapsed="false">
      <c r="A2331" s="933" t="str">
        <f aca="false">'Ввод данных'!A682</f>
        <v>Нет пластин</v>
      </c>
      <c r="B2331" s="933" t="str">
        <f aca="false">'Ввод данных'!B682</f>
        <v>шт</v>
      </c>
      <c r="C2331" s="933" t="n">
        <f aca="false">'Ввод данных'!C682</f>
        <v>0</v>
      </c>
      <c r="D2331" s="1150" t="n">
        <f aca="false">VLOOKUP(A2331,'Прайс лист'!B845:G848,6,0)</f>
        <v>0</v>
      </c>
      <c r="E2331" s="933" t="n">
        <f aca="false">C2331*D2331*E2323*E2322</f>
        <v>0</v>
      </c>
    </row>
    <row r="2332" customFormat="false" ht="15.75" hidden="false" customHeight="true" outlineLevel="0" collapsed="false">
      <c r="A2332" s="933" t="str">
        <f aca="false">'Ввод данных'!A683</f>
        <v>Болты анкерные с гайкой 12,0 x 100</v>
      </c>
      <c r="B2332" s="933" t="str">
        <f aca="false">'Ввод данных'!B683</f>
        <v>шт</v>
      </c>
      <c r="C2332" s="933" t="n">
        <f aca="false">'Ввод данных'!C683</f>
        <v>6</v>
      </c>
      <c r="D2332" s="1150" t="n">
        <f aca="false">VLOOKUP(A2332,'Прайс лист'!B858:G870,6,0)</f>
        <v>11.2</v>
      </c>
      <c r="E2332" s="933" t="n">
        <f aca="false">C2332*D2332*E2324*E2323</f>
        <v>0</v>
      </c>
    </row>
    <row r="2333" customFormat="false" ht="15.75" hidden="false" customHeight="true" outlineLevel="0" collapsed="false">
      <c r="A2333" s="933" t="str">
        <f aca="false">'Ввод данных'!A684</f>
        <v>Нет анкерных болтов</v>
      </c>
      <c r="B2333" s="933" t="str">
        <f aca="false">'Ввод данных'!B684</f>
        <v>шт</v>
      </c>
      <c r="C2333" s="933" t="n">
        <f aca="false">'Ввод данных'!C684</f>
        <v>0</v>
      </c>
      <c r="D2333" s="1150" t="n">
        <f aca="false">VLOOKUP(A2333,'Прайс лист'!B858:G870,6,0)</f>
        <v>0</v>
      </c>
      <c r="E2333" s="933" t="n">
        <f aca="false">C2333*D2333*E2325*E2324</f>
        <v>0</v>
      </c>
    </row>
    <row r="2334" customFormat="false" ht="15.75" hidden="false" customHeight="true" outlineLevel="0" collapsed="false">
      <c r="A2334" s="933" t="str">
        <f aca="false">'Ввод данных'!A685</f>
        <v>Саморезы 3,5 x 45</v>
      </c>
      <c r="B2334" s="933" t="str">
        <f aca="false">'Ввод данных'!B685</f>
        <v>кг</v>
      </c>
      <c r="C2334" s="933" t="n">
        <f aca="false">'Ввод данных'!C685</f>
        <v>0</v>
      </c>
      <c r="D2334" s="1150" t="n">
        <f aca="false">VLOOKUP(A2334,'Прайс лист'!B875:G881,6,0)</f>
        <v>105.62</v>
      </c>
      <c r="E2334" s="933" t="n">
        <f aca="false">C2334*D2334*E2326*E2325</f>
        <v>0</v>
      </c>
    </row>
    <row r="2335" customFormat="false" ht="15.75" hidden="false" customHeight="true" outlineLevel="0" collapsed="false">
      <c r="A2335" s="933" t="str">
        <f aca="false">'Ввод данных'!A686</f>
        <v>Нет саморезов</v>
      </c>
      <c r="B2335" s="933" t="str">
        <f aca="false">'Ввод данных'!B686</f>
        <v>кг</v>
      </c>
      <c r="C2335" s="933" t="n">
        <f aca="false">'Ввод данных'!C686</f>
        <v>0</v>
      </c>
      <c r="D2335" s="1150" t="n">
        <f aca="false">VLOOKUP(A2335,'Прайс лист'!B875:G881,6,0)</f>
        <v>0</v>
      </c>
      <c r="E2335" s="933" t="n">
        <f aca="false">C2335*D2335*E2327*E2326</f>
        <v>0</v>
      </c>
    </row>
    <row r="2336" customFormat="false" ht="15.75" hidden="false" customHeight="true" outlineLevel="0" collapsed="false">
      <c r="A2336" s="933" t="str">
        <f aca="false">'Ввод данных'!A687</f>
        <v>Гвозди строительные 2,5 x 60</v>
      </c>
      <c r="B2336" s="933" t="str">
        <f aca="false">'Ввод данных'!B687</f>
        <v>кг</v>
      </c>
      <c r="C2336" s="933" t="n">
        <f aca="false">'Ввод данных'!C687</f>
        <v>1</v>
      </c>
      <c r="D2336" s="1150" t="n">
        <f aca="false">VLOOKUP(A2336,'Прайс лист'!B888:G891,6,0)</f>
        <v>70</v>
      </c>
      <c r="E2336" s="933" t="n">
        <f aca="false">C2336*D2336*E2328*E2327</f>
        <v>0</v>
      </c>
    </row>
    <row r="2337" customFormat="false" ht="15.75" hidden="false" customHeight="true" outlineLevel="0" collapsed="false">
      <c r="A2337" s="933" t="str">
        <f aca="false">'Ввод данных'!A688</f>
        <v>Гвозди ершоные 3,4 x 60</v>
      </c>
      <c r="B2337" s="933" t="str">
        <f aca="false">'Ввод данных'!B688</f>
        <v>кг</v>
      </c>
      <c r="C2337" s="933" t="n">
        <f aca="false">'Ввод данных'!C688</f>
        <v>1</v>
      </c>
      <c r="D2337" s="1150" t="n">
        <f aca="false">VLOOKUP(A2337,'Прайс лист'!B896:G898,6,0)</f>
        <v>75.51</v>
      </c>
      <c r="E2337" s="933" t="n">
        <f aca="false">C2337*D2337*E2329*E2328</f>
        <v>0</v>
      </c>
    </row>
    <row r="2338" customFormat="false" ht="15.75" hidden="false" customHeight="true" outlineLevel="0" collapsed="false">
      <c r="A2338" s="933" t="n">
        <f aca="false">'Ввод данных'!A689</f>
        <v>0</v>
      </c>
      <c r="B2338" s="933" t="n">
        <f aca="false">'Ввод данных'!B689</f>
        <v>0</v>
      </c>
      <c r="C2338" s="933" t="n">
        <f aca="false">'Ввод данных'!C689</f>
        <v>0</v>
      </c>
      <c r="E2338" s="933" t="n">
        <f aca="false">C2338*D2338*E2330*E2329</f>
        <v>0</v>
      </c>
    </row>
    <row r="2340" customFormat="false" ht="15.75" hidden="false" customHeight="true" outlineLevel="0" collapsed="false">
      <c r="A2340" s="933"/>
      <c r="B2340" s="887"/>
      <c r="C2340" s="887"/>
      <c r="D2340" s="933"/>
      <c r="E2340" s="933"/>
      <c r="F2340" s="933"/>
      <c r="G2340" s="933"/>
      <c r="H2340" s="933"/>
    </row>
    <row r="2341" customFormat="false" ht="15.75" hidden="false" customHeight="true" outlineLevel="0" collapsed="false">
      <c r="A2341" s="2001"/>
      <c r="B2341" s="2002"/>
      <c r="C2341" s="2002"/>
      <c r="D2341" s="2001"/>
      <c r="E2341" s="2001"/>
      <c r="F2341" s="2001"/>
      <c r="G2341" s="2001"/>
      <c r="H2341" s="2003"/>
    </row>
    <row r="2342" customFormat="false" ht="15.75" hidden="false" customHeight="true" outlineLevel="0" collapsed="false">
      <c r="A2342" s="2001"/>
      <c r="B2342" s="2002"/>
      <c r="C2342" s="2002"/>
      <c r="D2342" s="2001"/>
      <c r="E2342" s="2001"/>
      <c r="F2342" s="2001"/>
      <c r="G2342" s="2001"/>
      <c r="H2342" s="2003"/>
    </row>
    <row r="2343" customFormat="false" ht="15.75" hidden="false" customHeight="true" outlineLevel="0" collapsed="false">
      <c r="A2343" s="447"/>
      <c r="B2343" s="2004"/>
      <c r="C2343" s="2004"/>
      <c r="D2343" s="447"/>
      <c r="E2343" s="447"/>
      <c r="F2343" s="447"/>
      <c r="G2343" s="2004"/>
      <c r="H2343" s="2003"/>
    </row>
    <row r="2344" customFormat="false" ht="15.75" hidden="false" customHeight="true" outlineLevel="0" collapsed="false">
      <c r="A2344" s="2005"/>
      <c r="B2344" s="2006"/>
      <c r="C2344" s="2006"/>
      <c r="D2344" s="2005"/>
      <c r="E2344" s="2007"/>
      <c r="F2344" s="2005"/>
      <c r="G2344" s="2005"/>
      <c r="H2344" s="2008"/>
    </row>
    <row r="2345" customFormat="false" ht="15.75" hidden="false" customHeight="true" outlineLevel="0" collapsed="false">
      <c r="A2345" s="2009"/>
      <c r="B2345" s="2006"/>
      <c r="C2345" s="2006"/>
      <c r="D2345" s="2005"/>
      <c r="E2345" s="2005"/>
      <c r="F2345" s="2005"/>
      <c r="G2345" s="2005"/>
      <c r="H2345" s="2008"/>
    </row>
    <row r="2346" customFormat="false" ht="15.75" hidden="false" customHeight="true" outlineLevel="0" collapsed="false">
      <c r="A2346" s="2009"/>
      <c r="B2346" s="2006"/>
      <c r="C2346" s="2006"/>
      <c r="D2346" s="2005"/>
      <c r="E2346" s="2005"/>
      <c r="F2346" s="2005"/>
      <c r="G2346" s="2005"/>
      <c r="H2346" s="2008"/>
    </row>
    <row r="2347" customFormat="false" ht="15.75" hidden="false" customHeight="true" outlineLevel="0" collapsed="false">
      <c r="A2347" s="2009"/>
      <c r="B2347" s="2006"/>
      <c r="C2347" s="2006"/>
      <c r="D2347" s="2005"/>
      <c r="E2347" s="2005"/>
      <c r="F2347" s="2005"/>
      <c r="G2347" s="2005"/>
      <c r="H2347" s="2008"/>
    </row>
    <row r="2348" customFormat="false" ht="15.75" hidden="false" customHeight="true" outlineLevel="0" collapsed="false">
      <c r="A2348" s="2009"/>
      <c r="B2348" s="2006"/>
      <c r="C2348" s="2006"/>
      <c r="D2348" s="2005"/>
      <c r="E2348" s="2005"/>
      <c r="F2348" s="2005"/>
      <c r="G2348" s="2005"/>
      <c r="H2348" s="2008"/>
    </row>
    <row r="2349" customFormat="false" ht="15.75" hidden="false" customHeight="true" outlineLevel="0" collapsed="false">
      <c r="A2349" s="2010"/>
      <c r="B2349" s="2006"/>
      <c r="C2349" s="2006"/>
      <c r="D2349" s="2005"/>
      <c r="E2349" s="2005"/>
      <c r="F2349" s="2005"/>
      <c r="G2349" s="2005"/>
      <c r="H2349" s="2008"/>
    </row>
    <row r="2350" customFormat="false" ht="15.75" hidden="false" customHeight="true" outlineLevel="0" collapsed="false">
      <c r="A2350" s="2010"/>
      <c r="B2350" s="2006"/>
      <c r="C2350" s="2006"/>
      <c r="D2350" s="2005"/>
      <c r="E2350" s="2005"/>
      <c r="F2350" s="2005"/>
      <c r="G2350" s="2005"/>
      <c r="H2350" s="2008"/>
    </row>
    <row r="2351" customFormat="false" ht="15.75" hidden="false" customHeight="true" outlineLevel="0" collapsed="false">
      <c r="A2351" s="1604"/>
      <c r="B2351" s="1527"/>
      <c r="C2351" s="1527"/>
      <c r="D2351" s="2005"/>
      <c r="E2351" s="1290"/>
      <c r="F2351" s="1290"/>
      <c r="G2351" s="1290"/>
      <c r="H2351" s="1611"/>
    </row>
    <row r="2352" customFormat="false" ht="15.75" hidden="false" customHeight="true" outlineLevel="0" collapsed="false">
      <c r="A2352" s="2011"/>
      <c r="B2352" s="1796"/>
      <c r="C2352" s="1796"/>
      <c r="D2352" s="2012"/>
      <c r="E2352" s="1230"/>
      <c r="F2352" s="1230"/>
      <c r="G2352" s="1230"/>
      <c r="H2352" s="1770"/>
    </row>
    <row r="2353" customFormat="false" ht="15.75" hidden="false" customHeight="true" outlineLevel="0" collapsed="false">
      <c r="A2353" s="1786"/>
      <c r="B2353" s="1527"/>
      <c r="C2353" s="1527"/>
      <c r="D2353" s="2005"/>
      <c r="E2353" s="1230"/>
      <c r="F2353" s="1230"/>
      <c r="G2353" s="1230"/>
      <c r="H2353" s="1770"/>
    </row>
    <row r="2354" customFormat="false" ht="15.75" hidden="false" customHeight="true" outlineLevel="0" collapsed="false">
      <c r="A2354" s="1786"/>
      <c r="B2354" s="1527"/>
      <c r="C2354" s="1527"/>
      <c r="D2354" s="2005"/>
      <c r="E2354" s="1230"/>
      <c r="F2354" s="1230"/>
      <c r="G2354" s="1230"/>
      <c r="H2354" s="1770"/>
    </row>
    <row r="2355" customFormat="false" ht="15.75" hidden="false" customHeight="true" outlineLevel="0" collapsed="false">
      <c r="A2355" s="1608"/>
      <c r="B2355" s="1527"/>
      <c r="C2355" s="1527"/>
      <c r="D2355" s="2005"/>
      <c r="E2355" s="1230"/>
      <c r="F2355" s="1230"/>
      <c r="G2355" s="1230"/>
      <c r="H2355" s="1770"/>
    </row>
    <row r="2356" customFormat="false" ht="15.75" hidden="false" customHeight="true" outlineLevel="0" collapsed="false">
      <c r="A2356" s="1758"/>
      <c r="B2356" s="1527"/>
      <c r="C2356" s="1527"/>
      <c r="D2356" s="2005"/>
      <c r="E2356" s="1230"/>
      <c r="F2356" s="1230"/>
      <c r="G2356" s="1230"/>
      <c r="H2356" s="1770"/>
    </row>
    <row r="2357" customFormat="false" ht="15.75" hidden="false" customHeight="true" outlineLevel="0" collapsed="false">
      <c r="A2357" s="1758"/>
      <c r="B2357" s="1527"/>
      <c r="C2357" s="1527"/>
      <c r="D2357" s="2005"/>
      <c r="E2357" s="1230"/>
      <c r="H2357" s="1152"/>
    </row>
    <row r="2358" customFormat="false" ht="15.75" hidden="false" customHeight="true" outlineLevel="0" collapsed="false">
      <c r="A2358" s="1758"/>
      <c r="B2358" s="1527"/>
      <c r="C2358" s="1527"/>
      <c r="D2358" s="2005"/>
      <c r="E2358" s="1230"/>
      <c r="H2358" s="1152"/>
    </row>
    <row r="2359" customFormat="false" ht="15.75" hidden="false" customHeight="true" outlineLevel="0" collapsed="false">
      <c r="A2359" s="1758"/>
      <c r="B2359" s="1527"/>
      <c r="C2359" s="1527"/>
      <c r="D2359" s="2005"/>
      <c r="E2359" s="1230"/>
      <c r="H2359" s="1152"/>
    </row>
    <row r="2360" customFormat="false" ht="15.75" hidden="false" customHeight="true" outlineLevel="0" collapsed="false">
      <c r="A2360" s="1604"/>
      <c r="B2360" s="1527"/>
      <c r="C2360" s="2006"/>
      <c r="D2360" s="2013"/>
      <c r="E2360" s="1311"/>
      <c r="F2360" s="1230"/>
      <c r="G2360" s="1230"/>
      <c r="H2360" s="1770"/>
    </row>
    <row r="2361" customFormat="false" ht="15.75" hidden="false" customHeight="true" outlineLevel="0" collapsed="false">
      <c r="A2361" s="1787"/>
      <c r="B2361" s="1788"/>
      <c r="C2361" s="1789"/>
      <c r="D2361" s="2014"/>
      <c r="E2361" s="1719"/>
      <c r="F2361" s="1719"/>
      <c r="G2361" s="1230"/>
      <c r="H2361" s="1770"/>
    </row>
    <row r="2362" customFormat="false" ht="15.75" hidden="false" customHeight="true" outlineLevel="0" collapsed="false">
      <c r="A2362" s="1751"/>
      <c r="B2362" s="1527"/>
      <c r="C2362" s="1527"/>
      <c r="D2362" s="1719"/>
      <c r="E2362" s="1769"/>
      <c r="F2362" s="1311"/>
      <c r="G2362" s="1696"/>
      <c r="H2362" s="1770"/>
    </row>
    <row r="2363" customFormat="false" ht="15.75" hidden="false" customHeight="true" outlineLevel="0" collapsed="false">
      <c r="A2363" s="1751"/>
      <c r="B2363" s="1527"/>
      <c r="C2363" s="1527"/>
      <c r="D2363" s="1719"/>
      <c r="E2363" s="1769"/>
      <c r="F2363" s="1311"/>
      <c r="G2363" s="1696"/>
      <c r="H2363" s="1770"/>
    </row>
    <row r="2364" customFormat="false" ht="15.75" hidden="false" customHeight="true" outlineLevel="0" collapsed="false">
      <c r="A2364" s="1751"/>
      <c r="B2364" s="1527"/>
      <c r="C2364" s="1527"/>
      <c r="D2364" s="1719"/>
      <c r="E2364" s="1769"/>
      <c r="F2364" s="1311"/>
      <c r="G2364" s="1696"/>
      <c r="H2364" s="1770"/>
    </row>
    <row r="2365" customFormat="false" ht="15.75" hidden="false" customHeight="true" outlineLevel="0" collapsed="false">
      <c r="A2365" s="1751"/>
      <c r="B2365" s="1527"/>
      <c r="C2365" s="2006"/>
      <c r="D2365" s="1719"/>
      <c r="E2365" s="1769"/>
      <c r="F2365" s="1311"/>
      <c r="G2365" s="1696"/>
      <c r="H2365" s="1770"/>
    </row>
    <row r="2366" customFormat="false" ht="15.75" hidden="false" customHeight="true" outlineLevel="0" collapsed="false">
      <c r="A2366" s="1751"/>
      <c r="B2366" s="1527"/>
      <c r="C2366" s="2006"/>
      <c r="D2366" s="1719"/>
      <c r="E2366" s="1769"/>
      <c r="F2366" s="1311"/>
      <c r="G2366" s="1696"/>
      <c r="H2366" s="1770"/>
    </row>
    <row r="2367" customFormat="false" ht="15.75" hidden="false" customHeight="true" outlineLevel="0" collapsed="false">
      <c r="A2367" s="1751"/>
      <c r="B2367" s="1527"/>
      <c r="C2367" s="2006"/>
      <c r="D2367" s="1719"/>
      <c r="E2367" s="1769"/>
      <c r="F2367" s="1311"/>
      <c r="G2367" s="1696"/>
      <c r="H2367" s="1770"/>
    </row>
    <row r="2368" customFormat="false" ht="15.75" hidden="false" customHeight="true" outlineLevel="0" collapsed="false">
      <c r="A2368" s="1751"/>
      <c r="B2368" s="1527"/>
      <c r="C2368" s="2006"/>
      <c r="D2368" s="2015"/>
      <c r="E2368" s="1769"/>
      <c r="F2368" s="1311"/>
      <c r="G2368" s="1696"/>
      <c r="H2368" s="1770"/>
    </row>
    <row r="2369" customFormat="false" ht="15.75" hidden="false" customHeight="true" outlineLevel="0" collapsed="false">
      <c r="A2369" s="1751"/>
      <c r="B2369" s="1527"/>
      <c r="C2369" s="2006"/>
      <c r="D2369" s="2015"/>
      <c r="E2369" s="1769"/>
      <c r="F2369" s="1311"/>
      <c r="G2369" s="1696"/>
      <c r="H2369" s="1770"/>
    </row>
    <row r="2370" customFormat="false" ht="15.75" hidden="false" customHeight="true" outlineLevel="0" collapsed="false">
      <c r="A2370" s="1751"/>
      <c r="B2370" s="1527"/>
      <c r="C2370" s="2006"/>
      <c r="D2370" s="2015"/>
      <c r="E2370" s="1769"/>
      <c r="F2370" s="1311"/>
      <c r="G2370" s="1696"/>
      <c r="H2370" s="1770"/>
    </row>
    <row r="2371" customFormat="false" ht="15.75" hidden="false" customHeight="true" outlineLevel="0" collapsed="false">
      <c r="A2371" s="1751"/>
      <c r="B2371" s="1527"/>
      <c r="C2371" s="2006"/>
      <c r="D2371" s="1719"/>
      <c r="E2371" s="1769"/>
      <c r="F2371" s="1311"/>
      <c r="G2371" s="1696"/>
      <c r="H2371" s="1770"/>
    </row>
    <row r="2372" customFormat="false" ht="15.75" hidden="false" customHeight="true" outlineLevel="0" collapsed="false">
      <c r="A2372" s="1751"/>
      <c r="B2372" s="1527"/>
      <c r="C2372" s="2006"/>
      <c r="D2372" s="1719"/>
      <c r="E2372" s="1769"/>
      <c r="F2372" s="1311"/>
      <c r="G2372" s="1696"/>
      <c r="H2372" s="1770"/>
    </row>
    <row r="2373" customFormat="false" ht="15.75" hidden="false" customHeight="true" outlineLevel="0" collapsed="false">
      <c r="A2373" s="1751"/>
      <c r="B2373" s="1527"/>
      <c r="C2373" s="2006"/>
      <c r="D2373" s="1719"/>
      <c r="E2373" s="1769"/>
      <c r="F2373" s="1311"/>
      <c r="G2373" s="1696"/>
      <c r="H2373" s="1770"/>
    </row>
    <row r="2374" customFormat="false" ht="15.75" hidden="false" customHeight="true" outlineLevel="0" collapsed="false">
      <c r="A2374" s="1751"/>
      <c r="B2374" s="1527"/>
      <c r="C2374" s="2006"/>
      <c r="D2374" s="1719"/>
      <c r="E2374" s="1769"/>
      <c r="F2374" s="1311"/>
      <c r="G2374" s="1696"/>
      <c r="H2374" s="1770"/>
    </row>
    <row r="2375" customFormat="false" ht="15.75" hidden="false" customHeight="true" outlineLevel="0" collapsed="false">
      <c r="A2375" s="1751"/>
      <c r="B2375" s="1527"/>
      <c r="C2375" s="2006"/>
      <c r="D2375" s="1719"/>
      <c r="E2375" s="1719"/>
      <c r="F2375" s="1719"/>
      <c r="G2375" s="1230"/>
      <c r="H2375" s="1770"/>
    </row>
    <row r="2376" customFormat="false" ht="15.75" hidden="false" customHeight="true" outlineLevel="0" collapsed="false">
      <c r="A2376" s="2016"/>
      <c r="B2376" s="2006"/>
      <c r="C2376" s="2006"/>
      <c r="D2376" s="2014"/>
      <c r="E2376" s="2014"/>
      <c r="F2376" s="1719"/>
      <c r="G2376" s="1230"/>
      <c r="H2376" s="1770"/>
    </row>
    <row r="2377" customFormat="false" ht="15.75" hidden="false" customHeight="true" outlineLevel="0" collapsed="false">
      <c r="A2377" s="2016"/>
      <c r="B2377" s="2006"/>
      <c r="C2377" s="2006"/>
      <c r="D2377" s="2014"/>
      <c r="E2377" s="2014"/>
      <c r="F2377" s="1719"/>
      <c r="G2377" s="1230"/>
      <c r="H2377" s="1770"/>
    </row>
    <row r="2378" customFormat="false" ht="15.75" hidden="false" customHeight="true" outlineLevel="0" collapsed="false">
      <c r="A2378" s="2016"/>
      <c r="B2378" s="2006"/>
      <c r="C2378" s="2006"/>
      <c r="D2378" s="2014"/>
      <c r="E2378" s="2014"/>
      <c r="F2378" s="1719"/>
      <c r="G2378" s="1230"/>
      <c r="H2378" s="1770"/>
    </row>
    <row r="2379" customFormat="false" ht="15.75" hidden="false" customHeight="true" outlineLevel="0" collapsed="false">
      <c r="A2379" s="2016"/>
      <c r="B2379" s="2006"/>
      <c r="C2379" s="2006"/>
      <c r="D2379" s="2014"/>
      <c r="E2379" s="2014"/>
      <c r="F2379" s="1719"/>
      <c r="G2379" s="1230"/>
      <c r="H2379" s="1770"/>
    </row>
    <row r="2380" customFormat="false" ht="15.75" hidden="false" customHeight="true" outlineLevel="0" collapsed="false">
      <c r="A2380" s="2016"/>
      <c r="B2380" s="2006"/>
      <c r="C2380" s="2006"/>
      <c r="D2380" s="2014"/>
      <c r="E2380" s="2014"/>
      <c r="F2380" s="1719"/>
      <c r="G2380" s="1230"/>
      <c r="H2380" s="1770"/>
    </row>
    <row r="2381" customFormat="false" ht="15.75" hidden="false" customHeight="true" outlineLevel="0" collapsed="false">
      <c r="A2381" s="2017"/>
      <c r="B2381" s="2018"/>
      <c r="C2381" s="2018"/>
      <c r="D2381" s="2014"/>
      <c r="E2381" s="2014"/>
      <c r="F2381" s="1719"/>
      <c r="G2381" s="1230"/>
      <c r="H2381" s="1770"/>
    </row>
  </sheetData>
  <mergeCells count="105">
    <mergeCell ref="AE1:AH2"/>
    <mergeCell ref="AI1:AI2"/>
    <mergeCell ref="AJ1:AJ2"/>
    <mergeCell ref="AE3:AG3"/>
    <mergeCell ref="AE4:AG4"/>
    <mergeCell ref="AE5:AG5"/>
    <mergeCell ref="AE6:AG6"/>
    <mergeCell ref="AE7:AG7"/>
    <mergeCell ref="AE8:AG8"/>
    <mergeCell ref="AE9:AG9"/>
    <mergeCell ref="AE10:AG10"/>
    <mergeCell ref="AE11:AG11"/>
    <mergeCell ref="AE12:AG12"/>
    <mergeCell ref="AE13:AG13"/>
    <mergeCell ref="AE14:AG14"/>
    <mergeCell ref="AE15:AG15"/>
    <mergeCell ref="AE16:AG16"/>
    <mergeCell ref="AE18:AG19"/>
    <mergeCell ref="AH18:AI19"/>
    <mergeCell ref="AJ18:AK19"/>
    <mergeCell ref="AE20:AG20"/>
    <mergeCell ref="AE21:AF21"/>
    <mergeCell ref="AE22:AF22"/>
    <mergeCell ref="AE23:AF23"/>
    <mergeCell ref="AE24:AF24"/>
    <mergeCell ref="AE25:AF25"/>
    <mergeCell ref="AE26:AF26"/>
    <mergeCell ref="AE27:AF27"/>
    <mergeCell ref="AE28:AF28"/>
    <mergeCell ref="AE29:AF29"/>
    <mergeCell ref="AE30:AF30"/>
    <mergeCell ref="AE31:AF31"/>
    <mergeCell ref="AG33:AJ34"/>
    <mergeCell ref="AK33:AK34"/>
    <mergeCell ref="AL33:AL34"/>
    <mergeCell ref="AG35:AI35"/>
    <mergeCell ref="AG36:AI36"/>
    <mergeCell ref="AG37:AL37"/>
    <mergeCell ref="AG38:AI38"/>
    <mergeCell ref="AG39:AI39"/>
    <mergeCell ref="AG40:AL40"/>
    <mergeCell ref="AG41:AI41"/>
    <mergeCell ref="AG42:AI42"/>
    <mergeCell ref="AG43:AI43"/>
    <mergeCell ref="AG44:AI44"/>
    <mergeCell ref="AG45:AI45"/>
    <mergeCell ref="AG46:AL46"/>
    <mergeCell ref="AG47:AI47"/>
    <mergeCell ref="AG48:AI48"/>
    <mergeCell ref="AG49:AI49"/>
    <mergeCell ref="AG50:AI50"/>
    <mergeCell ref="AG51:AI51"/>
    <mergeCell ref="AG52:AI52"/>
    <mergeCell ref="AG53:AI53"/>
    <mergeCell ref="AG54:AI54"/>
    <mergeCell ref="AG55:AI55"/>
    <mergeCell ref="AG56:AI56"/>
    <mergeCell ref="AG58:AJ59"/>
    <mergeCell ref="AK58:AK59"/>
    <mergeCell ref="AL58:AL59"/>
    <mergeCell ref="AG60:AI60"/>
    <mergeCell ref="AG61:AI61"/>
    <mergeCell ref="AG62:AL62"/>
    <mergeCell ref="AG63:AI63"/>
    <mergeCell ref="AG64:AI64"/>
    <mergeCell ref="AG65:AL65"/>
    <mergeCell ref="AG66:AI66"/>
    <mergeCell ref="AG67:AI67"/>
    <mergeCell ref="AG68:AI68"/>
    <mergeCell ref="AG69:AL69"/>
    <mergeCell ref="AG70:AI70"/>
    <mergeCell ref="AG71:AI71"/>
    <mergeCell ref="AG72:AI72"/>
    <mergeCell ref="AG73:AI73"/>
    <mergeCell ref="AG74:AI74"/>
    <mergeCell ref="I89:L89"/>
    <mergeCell ref="F90:G90"/>
    <mergeCell ref="I90:J90"/>
    <mergeCell ref="I95:L95"/>
    <mergeCell ref="P98:S98"/>
    <mergeCell ref="I100:L100"/>
    <mergeCell ref="P101:S101"/>
    <mergeCell ref="I112:J112"/>
    <mergeCell ref="I114:J114"/>
    <mergeCell ref="I116:J116"/>
    <mergeCell ref="I117:J117"/>
    <mergeCell ref="I118:J118"/>
    <mergeCell ref="A375:A378"/>
    <mergeCell ref="A380:A383"/>
    <mergeCell ref="A385:A388"/>
    <mergeCell ref="A390:A393"/>
    <mergeCell ref="U618:V618"/>
    <mergeCell ref="A834:B834"/>
    <mergeCell ref="A836:A839"/>
    <mergeCell ref="A841:A844"/>
    <mergeCell ref="A846:A849"/>
    <mergeCell ref="A851:A854"/>
    <mergeCell ref="J1115:K1115"/>
    <mergeCell ref="K1321:L1324"/>
    <mergeCell ref="K1325:L1328"/>
    <mergeCell ref="K1329:L1332"/>
    <mergeCell ref="K1333:L1336"/>
    <mergeCell ref="F1359:I1360"/>
    <mergeCell ref="F1773:I1773"/>
    <mergeCell ref="A2243:K22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815"/>
  <sheetViews>
    <sheetView showFormulas="false" showGridLines="true" showRowColHeaders="true" showZeros="true" rightToLeft="false" tabSelected="false" showOutlineSymbols="true" defaultGridColor="true" view="normal" topLeftCell="A781" colorId="64" zoomScale="60" zoomScaleNormal="60" zoomScalePageLayoutView="100" workbookViewId="0">
      <selection pane="topLeft" activeCell="G430" activeCellId="0" sqref="G430"/>
    </sheetView>
  </sheetViews>
  <sheetFormatPr defaultColWidth="8.5234375" defaultRowHeight="14.5" zeroHeight="false" outlineLevelRow="0" outlineLevelCol="0"/>
  <cols>
    <col collapsed="false" customWidth="true" hidden="false" outlineLevel="0" max="1" min="1" style="0" width="32"/>
    <col collapsed="false" customWidth="true" hidden="false" outlineLevel="0" max="4" min="3" style="0" width="13.82"/>
    <col collapsed="false" customWidth="true" hidden="false" outlineLevel="0" max="5" min="5" style="0" width="14.54"/>
    <col collapsed="false" customWidth="true" hidden="false" outlineLevel="0" max="6" min="6" style="0" width="14.81"/>
    <col collapsed="false" customWidth="true" hidden="false" outlineLevel="0" max="8" min="8" style="0" width="14.16"/>
    <col collapsed="false" customWidth="true" hidden="false" outlineLevel="0" max="9" min="9" style="0" width="11.27"/>
    <col collapsed="false" customWidth="true" hidden="false" outlineLevel="0" max="12" min="11" style="0" width="12.71"/>
    <col collapsed="false" customWidth="true" hidden="false" outlineLevel="0" max="13" min="13" style="0" width="10.73"/>
  </cols>
  <sheetData>
    <row r="1" customFormat="false" ht="15.5" hidden="false" customHeight="false" outlineLevel="0" collapsed="false">
      <c r="A1" s="2019" t="s">
        <v>1093</v>
      </c>
      <c r="B1" s="2019"/>
      <c r="C1" s="2019"/>
      <c r="D1" s="2020" t="s">
        <v>120</v>
      </c>
      <c r="E1" s="2020" t="s">
        <v>1753</v>
      </c>
      <c r="F1" s="2021"/>
      <c r="G1" s="461"/>
      <c r="H1" s="461"/>
      <c r="I1" s="461"/>
      <c r="J1" s="461"/>
      <c r="K1" s="1148"/>
      <c r="L1" s="1148"/>
      <c r="M1" s="1148"/>
      <c r="N1" s="1148"/>
      <c r="O1" s="1148"/>
      <c r="P1" s="1148"/>
      <c r="Q1" s="1148"/>
      <c r="R1" s="1148"/>
    </row>
    <row r="2" customFormat="false" ht="15.5" hidden="false" customHeight="false" outlineLevel="0" collapsed="false">
      <c r="A2" s="1201" t="s">
        <v>2779</v>
      </c>
      <c r="B2" s="1201"/>
      <c r="C2" s="1201"/>
      <c r="D2" s="2022"/>
      <c r="E2" s="2023" t="e">
        <f aca="false">'ввод данных'!#ref!</f>
        <v>#VALUE!</v>
      </c>
      <c r="F2" s="2024"/>
      <c r="G2" s="2021"/>
      <c r="H2" s="2025"/>
      <c r="I2" s="1985"/>
      <c r="J2" s="1985"/>
      <c r="K2" s="1148"/>
      <c r="L2" s="1148"/>
      <c r="M2" s="1148"/>
      <c r="N2" s="1148"/>
      <c r="O2" s="1148"/>
      <c r="P2" s="1148"/>
      <c r="Q2" s="1148"/>
      <c r="R2" s="1148"/>
    </row>
    <row r="3" customFormat="false" ht="15.5" hidden="false" customHeight="false" outlineLevel="0" collapsed="false">
      <c r="A3" s="902" t="s">
        <v>2746</v>
      </c>
      <c r="B3" s="902"/>
      <c r="C3" s="902"/>
      <c r="D3" s="2022" t="s">
        <v>156</v>
      </c>
      <c r="E3" s="2023" t="n">
        <f aca="false">'Ввод данных'!C11</f>
        <v>10</v>
      </c>
      <c r="F3" s="2025"/>
      <c r="G3" s="2021"/>
      <c r="H3" s="2025"/>
      <c r="I3" s="1985"/>
      <c r="J3" s="1985"/>
      <c r="K3" s="1148"/>
      <c r="L3" s="1148"/>
      <c r="M3" s="1148"/>
      <c r="N3" s="1148"/>
      <c r="O3" s="1148"/>
      <c r="P3" s="1148"/>
      <c r="Q3" s="1148"/>
      <c r="R3" s="1148"/>
    </row>
    <row r="4" customFormat="false" ht="15.5" hidden="false" customHeight="false" outlineLevel="0" collapsed="false">
      <c r="A4" s="902" t="s">
        <v>2782</v>
      </c>
      <c r="B4" s="902"/>
      <c r="C4" s="902"/>
      <c r="D4" s="2022" t="s">
        <v>156</v>
      </c>
      <c r="E4" s="2023" t="n">
        <f aca="false">'Ввод данных'!C12</f>
        <v>10</v>
      </c>
      <c r="F4" s="2025"/>
      <c r="G4" s="2025"/>
      <c r="H4" s="2025"/>
      <c r="I4" s="998"/>
      <c r="J4" s="998"/>
      <c r="K4" s="1148"/>
      <c r="L4" s="1148"/>
      <c r="M4" s="1148"/>
      <c r="N4" s="1148"/>
      <c r="O4" s="1148"/>
      <c r="P4" s="1148"/>
      <c r="Q4" s="1148"/>
      <c r="R4" s="1148"/>
    </row>
    <row r="5" customFormat="false" ht="15.5" hidden="false" customHeight="false" outlineLevel="0" collapsed="false">
      <c r="A5" s="902" t="s">
        <v>2783</v>
      </c>
      <c r="B5" s="902"/>
      <c r="C5" s="902"/>
      <c r="D5" s="2022" t="s">
        <v>156</v>
      </c>
      <c r="E5" s="2023" t="n">
        <f aca="false">'Ввод данных'!C13</f>
        <v>3</v>
      </c>
      <c r="F5" s="2025"/>
      <c r="G5" s="2025"/>
      <c r="H5" s="2025"/>
      <c r="I5" s="1217"/>
      <c r="J5" s="1217"/>
      <c r="K5" s="1148"/>
      <c r="L5" s="1148"/>
      <c r="M5" s="1148"/>
      <c r="N5" s="1148"/>
      <c r="O5" s="1148"/>
      <c r="P5" s="1148"/>
      <c r="Q5" s="1148"/>
      <c r="R5" s="1148"/>
    </row>
    <row r="6" customFormat="false" ht="15.5" hidden="false" customHeight="false" outlineLevel="0" collapsed="false">
      <c r="A6" s="902" t="s">
        <v>2793</v>
      </c>
      <c r="B6" s="902"/>
      <c r="C6" s="902"/>
      <c r="D6" s="2022" t="s">
        <v>156</v>
      </c>
      <c r="E6" s="2023" t="n">
        <f aca="false">связи1!K207</f>
        <v>1.2</v>
      </c>
      <c r="F6" s="2025"/>
      <c r="G6" s="2025"/>
      <c r="H6" s="2025"/>
      <c r="I6" s="2026"/>
      <c r="J6" s="1217"/>
      <c r="K6" s="1148"/>
      <c r="L6" s="1148"/>
      <c r="M6" s="1148"/>
      <c r="N6" s="1148"/>
      <c r="O6" s="1148"/>
      <c r="P6" s="1148"/>
      <c r="Q6" s="1148"/>
      <c r="R6" s="1148"/>
    </row>
    <row r="7" customFormat="false" ht="15.5" hidden="false" customHeight="false" outlineLevel="0" collapsed="false">
      <c r="A7" s="902" t="s">
        <v>3870</v>
      </c>
      <c r="B7" s="902"/>
      <c r="C7" s="902"/>
      <c r="D7" s="1026" t="s">
        <v>156</v>
      </c>
      <c r="E7" s="2023" t="n">
        <f aca="false">'Ввод данных'!C16</f>
        <v>2.2</v>
      </c>
      <c r="F7" s="895"/>
      <c r="G7" s="2025"/>
      <c r="H7" s="2026"/>
      <c r="I7" s="2026"/>
      <c r="J7" s="1217"/>
      <c r="K7" s="1148"/>
      <c r="L7" s="1148"/>
      <c r="M7" s="1148"/>
      <c r="N7" s="1148"/>
      <c r="O7" s="1148"/>
      <c r="P7" s="1148"/>
      <c r="Q7" s="1148"/>
      <c r="R7" s="1148"/>
    </row>
    <row r="8" customFormat="false" ht="15.5" hidden="false" customHeight="false" outlineLevel="0" collapsed="false">
      <c r="A8" s="902" t="s">
        <v>3871</v>
      </c>
      <c r="B8" s="902"/>
      <c r="C8" s="902"/>
      <c r="D8" s="2022" t="s">
        <v>156</v>
      </c>
      <c r="E8" s="2023" t="n">
        <f aca="false">связи1!K206</f>
        <v>4.8</v>
      </c>
      <c r="F8" s="2025"/>
      <c r="G8" s="895"/>
      <c r="H8" s="2021"/>
      <c r="I8" s="2021"/>
      <c r="J8" s="2021"/>
      <c r="K8" s="1148"/>
      <c r="L8" s="1148"/>
      <c r="M8" s="1148"/>
      <c r="N8" s="1148"/>
      <c r="O8" s="1148"/>
      <c r="P8" s="1148"/>
      <c r="Q8" s="1148"/>
      <c r="R8" s="1148"/>
    </row>
    <row r="9" customFormat="false" ht="15.5" hidden="false" customHeight="false" outlineLevel="0" collapsed="false">
      <c r="A9" s="907" t="s">
        <v>3872</v>
      </c>
      <c r="B9" s="907"/>
      <c r="C9" s="907"/>
      <c r="D9" s="2027" t="s">
        <v>1820</v>
      </c>
      <c r="E9" s="2023"/>
      <c r="F9" s="2025" t="s">
        <v>3873</v>
      </c>
      <c r="G9" s="998"/>
      <c r="H9" s="2025"/>
      <c r="I9" s="2028"/>
      <c r="J9" s="2028"/>
      <c r="K9" s="1148"/>
      <c r="L9" s="1148"/>
      <c r="M9" s="1148"/>
      <c r="N9" s="1148"/>
      <c r="O9" s="1148"/>
      <c r="P9" s="1148"/>
      <c r="Q9" s="1148"/>
      <c r="R9" s="1148"/>
    </row>
    <row r="10" customFormat="false" ht="15.5" hidden="false" customHeight="true" outlineLevel="0" collapsed="false">
      <c r="A10" s="2029" t="s">
        <v>2854</v>
      </c>
      <c r="B10" s="2029"/>
      <c r="C10" s="2029"/>
      <c r="D10" s="2030" t="s">
        <v>120</v>
      </c>
      <c r="E10" s="2031" t="s">
        <v>293</v>
      </c>
      <c r="F10" s="2032"/>
      <c r="G10" s="998"/>
      <c r="H10" s="2025"/>
      <c r="I10" s="2028"/>
      <c r="J10" s="2028"/>
      <c r="K10" s="1148"/>
      <c r="L10" s="1148"/>
      <c r="M10" s="1148"/>
      <c r="N10" s="1148"/>
      <c r="O10" s="1148"/>
      <c r="P10" s="1148"/>
      <c r="Q10" s="1148"/>
      <c r="R10" s="1148"/>
    </row>
    <row r="11" customFormat="false" ht="15.5" hidden="false" customHeight="false" outlineLevel="0" collapsed="false">
      <c r="A11" s="902" t="s">
        <v>2001</v>
      </c>
      <c r="B11" s="902"/>
      <c r="C11" s="902"/>
      <c r="D11" s="924" t="s">
        <v>156</v>
      </c>
      <c r="E11" s="2023"/>
      <c r="F11" s="2033" t="n">
        <f aca="false">дома!AA38</f>
        <v>7.8</v>
      </c>
      <c r="G11" s="2024" t="s">
        <v>3521</v>
      </c>
      <c r="H11" s="2025"/>
      <c r="I11" s="2028"/>
      <c r="J11" s="2028"/>
      <c r="K11" s="1148"/>
      <c r="L11" s="1148"/>
      <c r="M11" s="1148"/>
      <c r="N11" s="1148"/>
      <c r="O11" s="1148"/>
      <c r="P11" s="1148"/>
      <c r="Q11" s="1148"/>
      <c r="R11" s="1148"/>
    </row>
    <row r="12" customFormat="false" ht="15.5" hidden="false" customHeight="false" outlineLevel="0" collapsed="false">
      <c r="A12" s="902" t="s">
        <v>2557</v>
      </c>
      <c r="B12" s="902"/>
      <c r="C12" s="902"/>
      <c r="D12" s="924" t="s">
        <v>156</v>
      </c>
      <c r="E12" s="2023"/>
      <c r="F12" s="2033" t="n">
        <f aca="false">дома!AA42</f>
        <v>7.8</v>
      </c>
      <c r="G12" s="2024" t="s">
        <v>3522</v>
      </c>
      <c r="H12" s="2025"/>
      <c r="I12" s="2028"/>
      <c r="J12" s="2028"/>
      <c r="K12" s="1148"/>
      <c r="L12" s="1148"/>
      <c r="M12" s="1148"/>
      <c r="N12" s="1148"/>
      <c r="O12" s="1148"/>
      <c r="P12" s="1148"/>
      <c r="Q12" s="1148"/>
      <c r="R12" s="1148"/>
    </row>
    <row r="13" customFormat="false" ht="15.5" hidden="false" customHeight="false" outlineLevel="0" collapsed="false">
      <c r="A13" s="902" t="s">
        <v>2558</v>
      </c>
      <c r="B13" s="902"/>
      <c r="C13" s="902"/>
      <c r="D13" s="924" t="s">
        <v>156</v>
      </c>
      <c r="E13" s="2023"/>
      <c r="F13" s="2033" t="n">
        <f aca="false">дома!AA51</f>
        <v>0</v>
      </c>
      <c r="G13" s="2024" t="s">
        <v>3523</v>
      </c>
      <c r="H13" s="2025"/>
      <c r="I13" s="2028"/>
      <c r="J13" s="2028"/>
      <c r="K13" s="1148"/>
      <c r="L13" s="1148"/>
      <c r="M13" s="1148"/>
      <c r="N13" s="1148"/>
      <c r="O13" s="1148"/>
      <c r="P13" s="1148"/>
      <c r="Q13" s="1148"/>
      <c r="R13" s="1148"/>
    </row>
    <row r="14" customFormat="false" ht="15.5" hidden="false" customHeight="false" outlineLevel="0" collapsed="false">
      <c r="A14" s="1200" t="s">
        <v>1515</v>
      </c>
      <c r="B14" s="1200"/>
      <c r="C14" s="1200"/>
      <c r="D14" s="890" t="s">
        <v>1800</v>
      </c>
      <c r="E14" s="890" t="s">
        <v>293</v>
      </c>
      <c r="F14" s="2031" t="s">
        <v>1802</v>
      </c>
      <c r="G14" s="2034" t="s">
        <v>2866</v>
      </c>
      <c r="H14" s="2024"/>
      <c r="I14" s="2028"/>
      <c r="J14" s="2028"/>
      <c r="K14" s="1148"/>
      <c r="L14" s="1148"/>
      <c r="M14" s="1148"/>
      <c r="N14" s="1148"/>
      <c r="O14" s="1148"/>
      <c r="P14" s="1148"/>
      <c r="Q14" s="1148"/>
      <c r="R14" s="1148"/>
    </row>
    <row r="15" customFormat="false" ht="15.5" hidden="false" customHeight="false" outlineLevel="0" collapsed="false">
      <c r="A15" s="1372" t="s">
        <v>2902</v>
      </c>
      <c r="B15" s="1372"/>
      <c r="C15" s="1372"/>
      <c r="D15" s="2035" t="n">
        <f aca="false">'Ввод данных'!C68</f>
        <v>1</v>
      </c>
      <c r="E15" s="2023" t="n">
        <f aca="false">'Ввод данных'!D68</f>
        <v>1.2</v>
      </c>
      <c r="F15" s="2033" t="n">
        <f aca="false">'Ввод данных'!E68</f>
        <v>1</v>
      </c>
      <c r="G15" s="903" t="n">
        <f aca="false">D15*E15*F15</f>
        <v>1.2</v>
      </c>
      <c r="H15" s="2024"/>
      <c r="I15" s="2028"/>
      <c r="J15" s="2028"/>
      <c r="K15" s="1148"/>
      <c r="L15" s="1148"/>
      <c r="M15" s="1148"/>
      <c r="N15" s="1148"/>
      <c r="O15" s="1148"/>
      <c r="P15" s="1148"/>
      <c r="Q15" s="1148"/>
      <c r="R15" s="1148"/>
    </row>
    <row r="16" customFormat="false" ht="15.5" hidden="false" customHeight="false" outlineLevel="0" collapsed="false">
      <c r="A16" s="1372" t="s">
        <v>2903</v>
      </c>
      <c r="B16" s="1372"/>
      <c r="C16" s="1372"/>
      <c r="D16" s="2035" t="n">
        <f aca="false">'Ввод данных'!C69</f>
        <v>0.6</v>
      </c>
      <c r="E16" s="2023" t="n">
        <f aca="false">'Ввод данных'!D69</f>
        <v>0.6</v>
      </c>
      <c r="F16" s="2033" t="n">
        <f aca="false">'Ввод данных'!E69</f>
        <v>0</v>
      </c>
      <c r="G16" s="903" t="n">
        <f aca="false">D16*E16*F16</f>
        <v>0</v>
      </c>
      <c r="H16" s="2024"/>
      <c r="I16" s="2028"/>
      <c r="J16" s="2028"/>
      <c r="K16" s="1148"/>
      <c r="L16" s="1148"/>
      <c r="M16" s="1148"/>
      <c r="N16" s="1148"/>
      <c r="O16" s="1148"/>
      <c r="P16" s="1148"/>
      <c r="Q16" s="1148"/>
      <c r="R16" s="1148"/>
    </row>
    <row r="17" customFormat="false" ht="15.5" hidden="false" customHeight="false" outlineLevel="0" collapsed="false">
      <c r="A17" s="1372" t="s">
        <v>2904</v>
      </c>
      <c r="B17" s="1372"/>
      <c r="C17" s="1372"/>
      <c r="D17" s="2035" t="n">
        <f aca="false">'Ввод данных'!C70</f>
        <v>1</v>
      </c>
      <c r="E17" s="2023" t="n">
        <f aca="false">'Ввод данных'!D70</f>
        <v>2</v>
      </c>
      <c r="F17" s="2033" t="n">
        <f aca="false">'Ввод данных'!E70</f>
        <v>0</v>
      </c>
      <c r="G17" s="903" t="n">
        <f aca="false">D17*E17*F17</f>
        <v>0</v>
      </c>
      <c r="H17" s="2024"/>
      <c r="I17" s="2028"/>
      <c r="J17" s="2028"/>
      <c r="K17" s="1148"/>
      <c r="L17" s="1148"/>
      <c r="M17" s="1148"/>
      <c r="N17" s="1148"/>
      <c r="O17" s="1148"/>
      <c r="P17" s="1148"/>
      <c r="Q17" s="1148"/>
      <c r="R17" s="1148"/>
    </row>
    <row r="18" customFormat="false" ht="15.5" hidden="false" customHeight="false" outlineLevel="0" collapsed="false">
      <c r="A18" s="1372" t="s">
        <v>2894</v>
      </c>
      <c r="B18" s="1372"/>
      <c r="C18" s="1372"/>
      <c r="D18" s="2035" t="n">
        <f aca="false">'Ввод данных'!C73</f>
        <v>0.8</v>
      </c>
      <c r="E18" s="2023" t="n">
        <f aca="false">'Ввод данных'!D73</f>
        <v>2.1</v>
      </c>
      <c r="F18" s="2033" t="n">
        <f aca="false">'Ввод данных'!E73</f>
        <v>0</v>
      </c>
      <c r="G18" s="903" t="n">
        <f aca="false">D18*E18*F18</f>
        <v>0</v>
      </c>
      <c r="H18" s="2024"/>
      <c r="I18" s="2028"/>
      <c r="J18" s="2028"/>
      <c r="K18" s="1148"/>
      <c r="L18" s="1148"/>
      <c r="M18" s="1148"/>
      <c r="N18" s="1148"/>
      <c r="O18" s="1148"/>
      <c r="P18" s="1148"/>
      <c r="Q18" s="1148"/>
      <c r="R18" s="1148"/>
    </row>
    <row r="19" customFormat="false" ht="15.5" hidden="false" customHeight="false" outlineLevel="0" collapsed="false">
      <c r="A19" s="2036" t="s">
        <v>2898</v>
      </c>
      <c r="B19" s="2036"/>
      <c r="C19" s="2036"/>
      <c r="D19" s="2036"/>
      <c r="E19" s="2036"/>
      <c r="F19" s="2036"/>
      <c r="G19" s="903" t="n">
        <f aca="false">SUM(G15:G18)</f>
        <v>1.2</v>
      </c>
      <c r="H19" s="2024"/>
      <c r="I19" s="2028"/>
      <c r="J19" s="2028"/>
      <c r="K19" s="1148"/>
      <c r="L19" s="1148"/>
      <c r="M19" s="1148"/>
      <c r="N19" s="1148"/>
      <c r="O19" s="1148"/>
      <c r="P19" s="1148"/>
      <c r="Q19" s="1148"/>
      <c r="R19" s="1148"/>
    </row>
    <row r="20" customFormat="false" ht="15.5" hidden="false" customHeight="true" outlineLevel="0" collapsed="false">
      <c r="A20" s="2037" t="s">
        <v>2593</v>
      </c>
      <c r="B20" s="2037"/>
      <c r="C20" s="2037"/>
      <c r="D20" s="900" t="s">
        <v>1800</v>
      </c>
      <c r="E20" s="900" t="s">
        <v>293</v>
      </c>
      <c r="F20" s="900" t="s">
        <v>1802</v>
      </c>
      <c r="G20" s="900" t="s">
        <v>2900</v>
      </c>
      <c r="H20" s="2024"/>
      <c r="I20" s="2028"/>
      <c r="J20" s="2028"/>
      <c r="K20" s="1148"/>
      <c r="L20" s="1148"/>
      <c r="M20" s="1148"/>
      <c r="N20" s="1148"/>
      <c r="O20" s="1148"/>
      <c r="P20" s="1148"/>
      <c r="Q20" s="1148"/>
      <c r="R20" s="1148"/>
    </row>
    <row r="21" customFormat="false" ht="15.5" hidden="false" customHeight="true" outlineLevel="0" collapsed="false">
      <c r="A21" s="2038" t="s">
        <v>2902</v>
      </c>
      <c r="B21" s="2038"/>
      <c r="C21" s="2038"/>
      <c r="D21" s="2035" t="n">
        <f aca="false">'Ввод данных'!C91</f>
        <v>0.8</v>
      </c>
      <c r="E21" s="2023" t="n">
        <f aca="false">'Ввод данных'!D91</f>
        <v>2.1</v>
      </c>
      <c r="F21" s="2033" t="n">
        <f aca="false">'Ввод данных'!E91</f>
        <v>0</v>
      </c>
      <c r="G21" s="903" t="n">
        <f aca="false">D21*E21*F21</f>
        <v>0</v>
      </c>
      <c r="H21" s="2024"/>
      <c r="I21" s="2028"/>
      <c r="J21" s="2028"/>
      <c r="K21" s="1148"/>
      <c r="L21" s="1148"/>
      <c r="M21" s="1148"/>
      <c r="N21" s="1148"/>
      <c r="O21" s="1148"/>
      <c r="P21" s="1148"/>
      <c r="Q21" s="1148"/>
      <c r="R21" s="1148"/>
    </row>
    <row r="22" customFormat="false" ht="15.5" hidden="false" customHeight="true" outlineLevel="0" collapsed="false">
      <c r="A22" s="2038" t="s">
        <v>2903</v>
      </c>
      <c r="B22" s="2038"/>
      <c r="C22" s="2038"/>
      <c r="D22" s="2035" t="n">
        <f aca="false">'Ввод данных'!C92</f>
        <v>0.6</v>
      </c>
      <c r="E22" s="2023" t="n">
        <f aca="false">'Ввод данных'!D92</f>
        <v>2</v>
      </c>
      <c r="F22" s="2033" t="n">
        <f aca="false">'Ввод данных'!E92</f>
        <v>0</v>
      </c>
      <c r="G22" s="903" t="n">
        <f aca="false">D22*E22*F22</f>
        <v>0</v>
      </c>
      <c r="H22" s="2024"/>
      <c r="I22" s="2028"/>
      <c r="J22" s="2028"/>
      <c r="K22" s="1148"/>
      <c r="L22" s="1148"/>
      <c r="M22" s="1148"/>
      <c r="N22" s="1148"/>
      <c r="O22" s="1148"/>
      <c r="P22" s="1148"/>
      <c r="Q22" s="1148"/>
      <c r="R22" s="1148"/>
    </row>
    <row r="23" customFormat="false" ht="15.5" hidden="false" customHeight="true" outlineLevel="0" collapsed="false">
      <c r="A23" s="2038" t="s">
        <v>2904</v>
      </c>
      <c r="B23" s="2038"/>
      <c r="C23" s="2038"/>
      <c r="D23" s="2035" t="n">
        <f aca="false">'Ввод данных'!C95</f>
        <v>0.9</v>
      </c>
      <c r="E23" s="2023" t="n">
        <f aca="false">'Ввод данных'!D95</f>
        <v>2.1</v>
      </c>
      <c r="F23" s="2033" t="n">
        <f aca="false">'Ввод данных'!E95</f>
        <v>0</v>
      </c>
      <c r="G23" s="903" t="n">
        <f aca="false">D23*E23*F23</f>
        <v>0</v>
      </c>
      <c r="H23" s="2024"/>
      <c r="I23" s="2028"/>
      <c r="J23" s="2028"/>
      <c r="K23" s="1148"/>
      <c r="L23" s="1148"/>
      <c r="M23" s="1148"/>
      <c r="N23" s="1148"/>
      <c r="O23" s="1148"/>
      <c r="P23" s="1148"/>
      <c r="Q23" s="1148"/>
      <c r="R23" s="1148"/>
    </row>
    <row r="24" customFormat="false" ht="15.5" hidden="false" customHeight="true" outlineLevel="0" collapsed="false">
      <c r="A24" s="2038" t="s">
        <v>2905</v>
      </c>
      <c r="B24" s="2038"/>
      <c r="C24" s="2038"/>
      <c r="D24" s="2035" t="n">
        <f aca="false">'Ввод данных'!C99</f>
        <v>0.8</v>
      </c>
      <c r="E24" s="2023" t="n">
        <f aca="false">'Ввод данных'!D99</f>
        <v>2.1</v>
      </c>
      <c r="F24" s="2033" t="n">
        <f aca="false">'Ввод данных'!E99</f>
        <v>0</v>
      </c>
      <c r="G24" s="903" t="n">
        <f aca="false">D24*E24*F24</f>
        <v>0</v>
      </c>
      <c r="H24" s="2024"/>
      <c r="I24" s="2028"/>
      <c r="J24" s="2028"/>
      <c r="K24" s="1148"/>
      <c r="L24" s="1148"/>
      <c r="M24" s="1148"/>
      <c r="N24" s="1148"/>
      <c r="O24" s="1148"/>
      <c r="P24" s="1148"/>
      <c r="Q24" s="1148"/>
      <c r="R24" s="1148"/>
    </row>
    <row r="25" customFormat="false" ht="15.5" hidden="false" customHeight="false" outlineLevel="0" collapsed="false">
      <c r="A25" s="2036" t="s">
        <v>3874</v>
      </c>
      <c r="B25" s="2036"/>
      <c r="C25" s="2036"/>
      <c r="D25" s="2036"/>
      <c r="E25" s="2036"/>
      <c r="F25" s="2036"/>
      <c r="G25" s="903" t="n">
        <f aca="false">SUM(G21:G24)</f>
        <v>0</v>
      </c>
      <c r="H25" s="2024"/>
      <c r="I25" s="2028"/>
      <c r="J25" s="2028"/>
      <c r="K25" s="1148"/>
      <c r="L25" s="1148"/>
      <c r="M25" s="1148"/>
      <c r="N25" s="1148"/>
      <c r="O25" s="1148"/>
      <c r="P25" s="1148"/>
      <c r="Q25" s="1148"/>
      <c r="R25" s="1148"/>
    </row>
    <row r="26" customFormat="false" ht="15.5" hidden="false" customHeight="true" outlineLevel="0" collapsed="false">
      <c r="A26" s="2037" t="s">
        <v>1217</v>
      </c>
      <c r="B26" s="2037"/>
      <c r="C26" s="2037"/>
      <c r="D26" s="900" t="s">
        <v>1800</v>
      </c>
      <c r="E26" s="900" t="s">
        <v>293</v>
      </c>
      <c r="F26" s="900" t="s">
        <v>1802</v>
      </c>
      <c r="G26" s="900" t="s">
        <v>2900</v>
      </c>
      <c r="H26" s="2024"/>
      <c r="I26" s="2028"/>
      <c r="J26" s="2028"/>
      <c r="K26" s="1148"/>
      <c r="L26" s="1148"/>
      <c r="M26" s="1148"/>
      <c r="N26" s="1148"/>
      <c r="O26" s="1148"/>
      <c r="P26" s="1148"/>
      <c r="Q26" s="1148"/>
      <c r="R26" s="1148"/>
    </row>
    <row r="27" customFormat="false" ht="15.5" hidden="false" customHeight="true" outlineLevel="0" collapsed="false">
      <c r="A27" s="2038" t="s">
        <v>2902</v>
      </c>
      <c r="B27" s="2038"/>
      <c r="C27" s="2038"/>
      <c r="D27" s="2035" t="n">
        <f aca="false">'Ввод данных'!C85</f>
        <v>0.8</v>
      </c>
      <c r="E27" s="2023" t="n">
        <f aca="false">'Ввод данных'!D85</f>
        <v>2</v>
      </c>
      <c r="F27" s="2033" t="n">
        <f aca="false">'Ввод данных'!E85</f>
        <v>0</v>
      </c>
      <c r="G27" s="903" t="n">
        <f aca="false">D27*E27*F27</f>
        <v>0</v>
      </c>
      <c r="H27" s="2024"/>
      <c r="I27" s="2028"/>
      <c r="J27" s="2028"/>
      <c r="K27" s="1148"/>
      <c r="L27" s="1148"/>
      <c r="M27" s="1148"/>
      <c r="N27" s="1148"/>
      <c r="O27" s="1148"/>
      <c r="P27" s="1148"/>
      <c r="Q27" s="1148"/>
      <c r="R27" s="1148"/>
    </row>
    <row r="28" customFormat="false" ht="15.5" hidden="false" customHeight="true" outlineLevel="0" collapsed="false">
      <c r="A28" s="2038" t="s">
        <v>2903</v>
      </c>
      <c r="B28" s="2038"/>
      <c r="C28" s="2038"/>
      <c r="D28" s="2035" t="n">
        <f aca="false">'Ввод данных'!C86</f>
        <v>0.9</v>
      </c>
      <c r="E28" s="2023" t="n">
        <f aca="false">'Ввод данных'!D86</f>
        <v>2.1</v>
      </c>
      <c r="F28" s="2033" t="n">
        <f aca="false">'Ввод данных'!E86</f>
        <v>0</v>
      </c>
      <c r="G28" s="903" t="n">
        <f aca="false">D28*E28*F28</f>
        <v>0</v>
      </c>
      <c r="H28" s="2024"/>
      <c r="I28" s="2028"/>
      <c r="J28" s="2028"/>
      <c r="K28" s="1148"/>
      <c r="L28" s="1148"/>
      <c r="M28" s="1148"/>
      <c r="N28" s="1148"/>
      <c r="O28" s="1148"/>
      <c r="P28" s="1148"/>
      <c r="Q28" s="1148"/>
      <c r="R28" s="1148"/>
    </row>
    <row r="29" customFormat="false" ht="15.5" hidden="false" customHeight="true" outlineLevel="0" collapsed="false">
      <c r="A29" s="2038" t="s">
        <v>2904</v>
      </c>
      <c r="B29" s="2038"/>
      <c r="C29" s="2038"/>
      <c r="D29" s="2035" t="n">
        <f aca="false">'Ввод данных'!C87</f>
        <v>1</v>
      </c>
      <c r="E29" s="2023" t="n">
        <f aca="false">'Ввод данных'!D87</f>
        <v>2</v>
      </c>
      <c r="F29" s="2033" t="n">
        <f aca="false">'Ввод данных'!E87</f>
        <v>0</v>
      </c>
      <c r="G29" s="903" t="n">
        <f aca="false">D29*E29*F29</f>
        <v>0</v>
      </c>
      <c r="H29" s="2024"/>
      <c r="I29" s="2028"/>
      <c r="J29" s="2028"/>
      <c r="K29" s="1148"/>
      <c r="L29" s="1148"/>
      <c r="M29" s="1148"/>
      <c r="N29" s="1148"/>
      <c r="O29" s="1148"/>
      <c r="P29" s="1148"/>
      <c r="Q29" s="1148"/>
      <c r="R29" s="1148"/>
    </row>
    <row r="30" customFormat="false" ht="15.5" hidden="false" customHeight="false" outlineLevel="0" collapsed="false">
      <c r="A30" s="2036" t="s">
        <v>2898</v>
      </c>
      <c r="B30" s="2036"/>
      <c r="C30" s="2036"/>
      <c r="D30" s="2036"/>
      <c r="E30" s="2036"/>
      <c r="F30" s="2036"/>
      <c r="G30" s="903" t="n">
        <f aca="false">SUM(G27:G29)</f>
        <v>0</v>
      </c>
      <c r="H30" s="2024"/>
      <c r="I30" s="2028"/>
      <c r="J30" s="2028"/>
      <c r="K30" s="1148"/>
      <c r="L30" s="1148"/>
      <c r="M30" s="1148"/>
      <c r="N30" s="1148"/>
      <c r="O30" s="1148"/>
      <c r="P30" s="1148"/>
      <c r="Q30" s="1148"/>
      <c r="R30" s="1148"/>
    </row>
    <row r="31" customFormat="false" ht="15.5" hidden="false" customHeight="false" outlineLevel="0" collapsed="false">
      <c r="A31" s="2039"/>
      <c r="B31" s="2039"/>
      <c r="C31" s="2039"/>
      <c r="D31" s="2039"/>
      <c r="E31" s="2025"/>
      <c r="F31" s="2025"/>
      <c r="G31" s="2025"/>
      <c r="H31" s="2028"/>
      <c r="I31" s="2028"/>
      <c r="J31" s="2028"/>
      <c r="K31" s="1148"/>
      <c r="L31" s="1148"/>
      <c r="M31" s="1148"/>
      <c r="N31" s="1148"/>
      <c r="O31" s="1148"/>
      <c r="P31" s="1148"/>
      <c r="Q31" s="1148"/>
      <c r="R31" s="1148"/>
    </row>
    <row r="32" customFormat="false" ht="15.5" hidden="false" customHeight="false" outlineLevel="0" collapsed="false">
      <c r="A32" s="890" t="s">
        <v>1236</v>
      </c>
      <c r="B32" s="890"/>
      <c r="C32" s="2031" t="s">
        <v>208</v>
      </c>
      <c r="D32" s="2031" t="s">
        <v>853</v>
      </c>
      <c r="E32" s="2040" t="s">
        <v>1802</v>
      </c>
      <c r="F32" s="890" t="s">
        <v>853</v>
      </c>
      <c r="G32" s="2025"/>
      <c r="H32" s="2028"/>
      <c r="I32" s="2028"/>
      <c r="J32" s="2028"/>
      <c r="K32" s="1148"/>
      <c r="L32" s="1148"/>
      <c r="M32" s="1148"/>
      <c r="N32" s="1148"/>
      <c r="O32" s="1148"/>
      <c r="P32" s="1148"/>
      <c r="Q32" s="1148"/>
      <c r="R32" s="1148"/>
    </row>
    <row r="33" customFormat="false" ht="15.5" hidden="false" customHeight="true" outlineLevel="0" collapsed="false">
      <c r="A33" s="2041" t="s">
        <v>1862</v>
      </c>
      <c r="B33" s="2041"/>
      <c r="C33" s="2042" t="s">
        <v>156</v>
      </c>
      <c r="D33" s="2035" t="n">
        <f aca="false">'Ввод данных'!C112</f>
        <v>6</v>
      </c>
      <c r="E33" s="2023" t="n">
        <f aca="false">'Ввод данных'!D112</f>
        <v>2</v>
      </c>
      <c r="F33" s="903" t="n">
        <f aca="false">D33*E33</f>
        <v>12</v>
      </c>
      <c r="G33" s="2025"/>
      <c r="H33" s="2028"/>
      <c r="I33" s="2028"/>
      <c r="J33" s="2028"/>
      <c r="K33" s="1148"/>
      <c r="L33" s="1148"/>
      <c r="M33" s="1148"/>
      <c r="N33" s="1148"/>
      <c r="O33" s="1148"/>
      <c r="P33" s="1148"/>
      <c r="Q33" s="1148"/>
      <c r="R33" s="1148"/>
    </row>
    <row r="34" customFormat="false" ht="15.5" hidden="false" customHeight="false" outlineLevel="0" collapsed="false">
      <c r="A34" s="2041"/>
      <c r="B34" s="2041"/>
      <c r="C34" s="2042" t="s">
        <v>156</v>
      </c>
      <c r="D34" s="2035" t="n">
        <f aca="false">'Ввод данных'!C113</f>
        <v>4</v>
      </c>
      <c r="E34" s="2023" t="n">
        <f aca="false">'Ввод данных'!D113</f>
        <v>1</v>
      </c>
      <c r="F34" s="903" t="n">
        <f aca="false">D34*E34</f>
        <v>4</v>
      </c>
      <c r="G34" s="2025"/>
      <c r="H34" s="2028"/>
      <c r="I34" s="2028"/>
      <c r="J34" s="2028"/>
      <c r="K34" s="1148"/>
      <c r="L34" s="1148"/>
      <c r="M34" s="1148"/>
      <c r="N34" s="1148"/>
      <c r="O34" s="1148"/>
      <c r="P34" s="1148"/>
      <c r="Q34" s="1148"/>
      <c r="R34" s="1148"/>
    </row>
    <row r="35" customFormat="false" ht="15.5" hidden="false" customHeight="false" outlineLevel="0" collapsed="false">
      <c r="A35" s="2041"/>
      <c r="B35" s="2041"/>
      <c r="C35" s="2042" t="s">
        <v>156</v>
      </c>
      <c r="D35" s="2035" t="n">
        <f aca="false">'Ввод данных'!C114</f>
        <v>0</v>
      </c>
      <c r="E35" s="2023" t="n">
        <f aca="false">'Ввод данных'!D114</f>
        <v>0</v>
      </c>
      <c r="F35" s="903" t="n">
        <f aca="false">D35*E35</f>
        <v>0</v>
      </c>
      <c r="G35" s="2025"/>
      <c r="H35" s="2028"/>
      <c r="I35" s="2028"/>
      <c r="J35" s="2028"/>
      <c r="K35" s="1148"/>
      <c r="L35" s="1148"/>
      <c r="M35" s="1148"/>
      <c r="N35" s="1148"/>
      <c r="O35" s="1148"/>
      <c r="P35" s="1148"/>
      <c r="Q35" s="1148"/>
      <c r="R35" s="1148"/>
    </row>
    <row r="36" customFormat="false" ht="15.5" hidden="false" customHeight="false" outlineLevel="0" collapsed="false">
      <c r="A36" s="2041"/>
      <c r="B36" s="2041"/>
      <c r="C36" s="2042" t="s">
        <v>156</v>
      </c>
      <c r="D36" s="2035" t="n">
        <f aca="false">'Ввод данных'!C115</f>
        <v>0</v>
      </c>
      <c r="E36" s="2023" t="n">
        <f aca="false">'Ввод данных'!D115</f>
        <v>0</v>
      </c>
      <c r="F36" s="903" t="n">
        <f aca="false">D36*E36</f>
        <v>0</v>
      </c>
      <c r="G36" s="2025"/>
      <c r="H36" s="2028"/>
      <c r="I36" s="2028"/>
      <c r="J36" s="2028"/>
      <c r="K36" s="1148"/>
      <c r="L36" s="1148"/>
      <c r="M36" s="1148"/>
      <c r="N36" s="1148"/>
      <c r="O36" s="1148"/>
      <c r="P36" s="1148"/>
      <c r="Q36" s="1148"/>
      <c r="R36" s="1148"/>
    </row>
    <row r="37" customFormat="false" ht="15.5" hidden="false" customHeight="true" outlineLevel="0" collapsed="false">
      <c r="A37" s="2041" t="s">
        <v>1866</v>
      </c>
      <c r="B37" s="2041"/>
      <c r="C37" s="2042" t="s">
        <v>156</v>
      </c>
      <c r="D37" s="2035" t="n">
        <f aca="false">'Ввод данных'!C116</f>
        <v>1.8</v>
      </c>
      <c r="E37" s="2023" t="n">
        <f aca="false">'Ввод данных'!D116</f>
        <v>1</v>
      </c>
      <c r="F37" s="903" t="n">
        <f aca="false">D37*E37</f>
        <v>1.8</v>
      </c>
      <c r="G37" s="2025"/>
      <c r="H37" s="2028"/>
      <c r="I37" s="2028"/>
      <c r="J37" s="2025"/>
      <c r="K37" s="1148"/>
      <c r="L37" s="1148"/>
      <c r="M37" s="1148"/>
      <c r="N37" s="1148"/>
      <c r="O37" s="1148"/>
      <c r="P37" s="1148"/>
      <c r="Q37" s="1148"/>
      <c r="R37" s="1148"/>
    </row>
    <row r="38" customFormat="false" ht="15.5" hidden="false" customHeight="false" outlineLevel="0" collapsed="false">
      <c r="A38" s="2041"/>
      <c r="B38" s="2041"/>
      <c r="C38" s="2042" t="s">
        <v>156</v>
      </c>
      <c r="D38" s="2035" t="n">
        <f aca="false">'Ввод данных'!C117</f>
        <v>0</v>
      </c>
      <c r="E38" s="2023" t="n">
        <f aca="false">'Ввод данных'!D117</f>
        <v>0</v>
      </c>
      <c r="F38" s="903" t="n">
        <f aca="false">D38*E38</f>
        <v>0</v>
      </c>
      <c r="G38" s="2025"/>
      <c r="H38" s="2028"/>
      <c r="I38" s="2025"/>
      <c r="J38" s="2025"/>
      <c r="K38" s="1148"/>
      <c r="L38" s="1148"/>
      <c r="M38" s="1148"/>
      <c r="N38" s="1148"/>
      <c r="O38" s="1148"/>
      <c r="P38" s="1148"/>
      <c r="Q38" s="1148"/>
      <c r="R38" s="1148"/>
    </row>
    <row r="39" customFormat="false" ht="15.5" hidden="false" customHeight="false" outlineLevel="0" collapsed="false">
      <c r="A39" s="2041"/>
      <c r="B39" s="2041"/>
      <c r="C39" s="2042" t="s">
        <v>156</v>
      </c>
      <c r="D39" s="2035" t="n">
        <f aca="false">'Ввод данных'!C118</f>
        <v>0</v>
      </c>
      <c r="E39" s="2023" t="n">
        <f aca="false">'Ввод данных'!D118</f>
        <v>0</v>
      </c>
      <c r="F39" s="903" t="n">
        <f aca="false">D39*E39</f>
        <v>0</v>
      </c>
      <c r="G39" s="2025"/>
      <c r="H39" s="2028"/>
      <c r="I39" s="2028"/>
      <c r="J39" s="2025"/>
      <c r="K39" s="1148"/>
      <c r="L39" s="1148"/>
      <c r="M39" s="1148"/>
      <c r="N39" s="1148"/>
      <c r="O39" s="1148"/>
      <c r="P39" s="1148"/>
      <c r="Q39" s="1148"/>
      <c r="R39" s="1148"/>
    </row>
    <row r="40" customFormat="false" ht="15.5" hidden="false" customHeight="false" outlineLevel="0" collapsed="false">
      <c r="A40" s="2041"/>
      <c r="B40" s="2041"/>
      <c r="C40" s="2042" t="s">
        <v>156</v>
      </c>
      <c r="D40" s="2035" t="n">
        <f aca="false">'Ввод данных'!C119</f>
        <v>0</v>
      </c>
      <c r="E40" s="2023" t="n">
        <f aca="false">'Ввод данных'!D119</f>
        <v>0</v>
      </c>
      <c r="F40" s="903" t="n">
        <f aca="false">D40*E40</f>
        <v>0</v>
      </c>
      <c r="G40" s="2025"/>
      <c r="H40" s="2028"/>
      <c r="I40" s="2025"/>
      <c r="J40" s="2025"/>
      <c r="K40" s="1148"/>
      <c r="L40" s="1148"/>
      <c r="M40" s="1148"/>
      <c r="N40" s="1148"/>
      <c r="O40" s="1148"/>
      <c r="P40" s="1148"/>
      <c r="Q40" s="1148"/>
      <c r="R40" s="1148"/>
    </row>
    <row r="41" customFormat="false" ht="15.5" hidden="false" customHeight="true" outlineLevel="0" collapsed="false">
      <c r="A41" s="2041" t="s">
        <v>1867</v>
      </c>
      <c r="B41" s="2041"/>
      <c r="C41" s="2042" t="s">
        <v>156</v>
      </c>
      <c r="D41" s="2035" t="n">
        <f aca="false">'Ввод данных'!C120</f>
        <v>0</v>
      </c>
      <c r="E41" s="2023" t="n">
        <f aca="false">'Ввод данных'!D120</f>
        <v>0</v>
      </c>
      <c r="F41" s="903" t="n">
        <f aca="false">D41*E41</f>
        <v>0</v>
      </c>
      <c r="G41" s="2025"/>
      <c r="H41" s="2028"/>
      <c r="I41" s="2025"/>
      <c r="J41" s="2025"/>
      <c r="K41" s="1148"/>
      <c r="L41" s="1148"/>
      <c r="M41" s="1148"/>
      <c r="N41" s="1148"/>
      <c r="O41" s="1148"/>
      <c r="P41" s="1148"/>
      <c r="Q41" s="1148"/>
      <c r="R41" s="1148"/>
    </row>
    <row r="42" customFormat="false" ht="15.5" hidden="false" customHeight="false" outlineLevel="0" collapsed="false">
      <c r="A42" s="2041"/>
      <c r="B42" s="2041"/>
      <c r="C42" s="2042" t="s">
        <v>156</v>
      </c>
      <c r="D42" s="2035" t="n">
        <f aca="false">'Ввод данных'!C121</f>
        <v>0</v>
      </c>
      <c r="E42" s="2023" t="n">
        <f aca="false">'Ввод данных'!D121</f>
        <v>0</v>
      </c>
      <c r="F42" s="903" t="n">
        <f aca="false">D42*E42</f>
        <v>0</v>
      </c>
      <c r="G42" s="2025"/>
      <c r="H42" s="2028"/>
      <c r="I42" s="2025"/>
      <c r="J42" s="2025"/>
      <c r="K42" s="1148"/>
      <c r="L42" s="1148"/>
      <c r="M42" s="1148"/>
      <c r="N42" s="1148"/>
      <c r="O42" s="1148"/>
      <c r="P42" s="1148"/>
      <c r="Q42" s="1148"/>
      <c r="R42" s="1148"/>
    </row>
    <row r="43" customFormat="false" ht="15.5" hidden="false" customHeight="false" outlineLevel="0" collapsed="false">
      <c r="A43" s="2041"/>
      <c r="B43" s="2041"/>
      <c r="C43" s="2042" t="s">
        <v>156</v>
      </c>
      <c r="D43" s="2035" t="n">
        <f aca="false">'Ввод данных'!C122</f>
        <v>0</v>
      </c>
      <c r="E43" s="2023" t="n">
        <f aca="false">'Ввод данных'!D122</f>
        <v>0</v>
      </c>
      <c r="F43" s="903" t="n">
        <f aca="false">D43*E43</f>
        <v>0</v>
      </c>
      <c r="G43" s="2025"/>
      <c r="H43" s="2028"/>
      <c r="I43" s="2024"/>
      <c r="J43" s="2025"/>
      <c r="K43" s="1148"/>
      <c r="L43" s="1148"/>
      <c r="M43" s="1148"/>
      <c r="N43" s="1148"/>
      <c r="O43" s="1148"/>
      <c r="P43" s="1148"/>
      <c r="Q43" s="1148"/>
      <c r="R43" s="1148"/>
    </row>
    <row r="44" customFormat="false" ht="15.5" hidden="false" customHeight="false" outlineLevel="0" collapsed="false">
      <c r="A44" s="2041"/>
      <c r="B44" s="2041"/>
      <c r="C44" s="2042" t="s">
        <v>156</v>
      </c>
      <c r="D44" s="2035" t="n">
        <f aca="false">'Ввод данных'!C123</f>
        <v>0</v>
      </c>
      <c r="E44" s="2023" t="n">
        <f aca="false">'Ввод данных'!D123</f>
        <v>0</v>
      </c>
      <c r="F44" s="903" t="n">
        <f aca="false">D44*E44</f>
        <v>0</v>
      </c>
      <c r="G44" s="2025"/>
      <c r="H44" s="2028"/>
      <c r="I44" s="2025"/>
      <c r="J44" s="2025"/>
      <c r="K44" s="1148"/>
      <c r="L44" s="1148"/>
      <c r="M44" s="1148"/>
      <c r="N44" s="1148"/>
      <c r="O44" s="1148"/>
      <c r="P44" s="1148"/>
      <c r="Q44" s="1148"/>
      <c r="R44" s="1148"/>
    </row>
    <row r="45" customFormat="false" ht="15.5" hidden="false" customHeight="true" outlineLevel="0" collapsed="false">
      <c r="A45" s="2041" t="s">
        <v>1869</v>
      </c>
      <c r="B45" s="2041"/>
      <c r="C45" s="2042" t="s">
        <v>156</v>
      </c>
      <c r="D45" s="2035" t="n">
        <f aca="false">'Ввод данных'!C124</f>
        <v>3</v>
      </c>
      <c r="E45" s="2023" t="n">
        <f aca="false">'Ввод данных'!D124</f>
        <v>2</v>
      </c>
      <c r="F45" s="903" t="n">
        <f aca="false">D45*E45</f>
        <v>6</v>
      </c>
      <c r="G45" s="2025"/>
      <c r="H45" s="2028"/>
      <c r="I45" s="2025"/>
      <c r="J45" s="2025"/>
      <c r="K45" s="1148"/>
      <c r="L45" s="1148"/>
      <c r="M45" s="1148"/>
      <c r="N45" s="1148"/>
      <c r="O45" s="1148"/>
      <c r="P45" s="1148"/>
      <c r="Q45" s="1148"/>
      <c r="R45" s="1148"/>
    </row>
    <row r="46" customFormat="false" ht="15.5" hidden="false" customHeight="false" outlineLevel="0" collapsed="false">
      <c r="A46" s="2041"/>
      <c r="B46" s="2041"/>
      <c r="C46" s="2042" t="s">
        <v>156</v>
      </c>
      <c r="D46" s="2035" t="n">
        <f aca="false">'Ввод данных'!C125</f>
        <v>0</v>
      </c>
      <c r="E46" s="2023" t="n">
        <f aca="false">'Ввод данных'!D125</f>
        <v>0</v>
      </c>
      <c r="F46" s="903" t="n">
        <f aca="false">D46*E46</f>
        <v>0</v>
      </c>
      <c r="G46" s="2025"/>
      <c r="H46" s="2043"/>
      <c r="I46" s="2025"/>
      <c r="J46" s="2025"/>
      <c r="K46" s="1148"/>
      <c r="L46" s="1148"/>
      <c r="M46" s="1148"/>
      <c r="N46" s="1148"/>
      <c r="O46" s="1148"/>
      <c r="P46" s="1148"/>
      <c r="Q46" s="1148"/>
      <c r="R46" s="1148"/>
    </row>
    <row r="47" customFormat="false" ht="15.5" hidden="false" customHeight="false" outlineLevel="0" collapsed="false">
      <c r="A47" s="2041"/>
      <c r="B47" s="2041"/>
      <c r="C47" s="2042" t="s">
        <v>156</v>
      </c>
      <c r="D47" s="2035" t="n">
        <f aca="false">'Ввод данных'!C126</f>
        <v>0</v>
      </c>
      <c r="E47" s="2023" t="n">
        <f aca="false">'Ввод данных'!D126</f>
        <v>0</v>
      </c>
      <c r="F47" s="903" t="n">
        <f aca="false">D47*E47</f>
        <v>0</v>
      </c>
      <c r="G47" s="2025"/>
      <c r="H47" s="2043"/>
      <c r="I47" s="2025"/>
      <c r="J47" s="2025"/>
      <c r="K47" s="1148"/>
      <c r="L47" s="1148"/>
      <c r="M47" s="1148"/>
      <c r="N47" s="1148"/>
      <c r="O47" s="1148"/>
      <c r="P47" s="1148"/>
      <c r="Q47" s="1148"/>
      <c r="R47" s="1148"/>
    </row>
    <row r="48" customFormat="false" ht="15.5" hidden="false" customHeight="false" outlineLevel="0" collapsed="false">
      <c r="A48" s="2041"/>
      <c r="B48" s="2041"/>
      <c r="C48" s="2042" t="s">
        <v>156</v>
      </c>
      <c r="D48" s="2035" t="n">
        <f aca="false">'Ввод данных'!C127</f>
        <v>0</v>
      </c>
      <c r="E48" s="2023" t="n">
        <f aca="false">'Ввод данных'!D127</f>
        <v>0</v>
      </c>
      <c r="F48" s="903" t="n">
        <f aca="false">D48*E48</f>
        <v>0</v>
      </c>
      <c r="G48" s="2025"/>
      <c r="H48" s="2043"/>
      <c r="I48" s="2025"/>
      <c r="J48" s="2025"/>
      <c r="K48" s="1148"/>
      <c r="L48" s="1148"/>
      <c r="M48" s="1148"/>
      <c r="N48" s="1148"/>
      <c r="O48" s="1148"/>
      <c r="P48" s="1148"/>
      <c r="Q48" s="1148"/>
      <c r="R48" s="1148"/>
    </row>
    <row r="49" customFormat="false" ht="15.5" hidden="false" customHeight="true" outlineLevel="0" collapsed="false">
      <c r="A49" s="2041" t="s">
        <v>1870</v>
      </c>
      <c r="B49" s="2041"/>
      <c r="C49" s="2042" t="s">
        <v>156</v>
      </c>
      <c r="D49" s="2035" t="n">
        <f aca="false">'Ввод данных'!C128</f>
        <v>3.5</v>
      </c>
      <c r="E49" s="2023" t="n">
        <f aca="false">'Ввод данных'!D128</f>
        <v>1</v>
      </c>
      <c r="F49" s="903" t="n">
        <f aca="false">D49*E49</f>
        <v>3.5</v>
      </c>
      <c r="G49" s="2044"/>
      <c r="H49" s="2045"/>
      <c r="I49" s="2046" t="s">
        <v>1906</v>
      </c>
      <c r="J49" s="2025"/>
      <c r="K49" s="1148"/>
      <c r="L49" s="1148"/>
      <c r="M49" s="1148"/>
      <c r="N49" s="1148"/>
      <c r="O49" s="1148"/>
      <c r="P49" s="1148"/>
      <c r="Q49" s="1148"/>
      <c r="R49" s="1148"/>
    </row>
    <row r="50" customFormat="false" ht="15.5" hidden="false" customHeight="false" outlineLevel="0" collapsed="false">
      <c r="A50" s="2041"/>
      <c r="B50" s="2041"/>
      <c r="C50" s="2042" t="s">
        <v>156</v>
      </c>
      <c r="D50" s="2035" t="n">
        <f aca="false">'Ввод данных'!C129</f>
        <v>0</v>
      </c>
      <c r="E50" s="2023" t="n">
        <f aca="false">'Ввод данных'!D129</f>
        <v>0</v>
      </c>
      <c r="F50" s="903" t="n">
        <f aca="false">D50*E50</f>
        <v>0</v>
      </c>
      <c r="G50" s="2044"/>
      <c r="H50" s="2045"/>
      <c r="I50" s="2046"/>
      <c r="J50" s="2025"/>
      <c r="K50" s="1148"/>
      <c r="L50" s="1148"/>
      <c r="M50" s="1148"/>
      <c r="N50" s="1148"/>
      <c r="O50" s="1148"/>
      <c r="P50" s="1148"/>
      <c r="Q50" s="1148"/>
      <c r="R50" s="1148"/>
    </row>
    <row r="51" customFormat="false" ht="15.5" hidden="false" customHeight="false" outlineLevel="0" collapsed="false">
      <c r="A51" s="2041"/>
      <c r="B51" s="2041"/>
      <c r="C51" s="2042" t="s">
        <v>156</v>
      </c>
      <c r="D51" s="2035" t="n">
        <f aca="false">'Ввод данных'!C130</f>
        <v>0</v>
      </c>
      <c r="E51" s="2023" t="n">
        <f aca="false">'Ввод данных'!D130</f>
        <v>0</v>
      </c>
      <c r="F51" s="903" t="n">
        <f aca="false">D51*E51</f>
        <v>0</v>
      </c>
      <c r="G51" s="2044"/>
      <c r="H51" s="2045"/>
      <c r="I51" s="2046"/>
      <c r="J51" s="2025"/>
      <c r="K51" s="1148"/>
      <c r="L51" s="1148"/>
      <c r="M51" s="1148"/>
      <c r="N51" s="1148"/>
      <c r="O51" s="1148"/>
      <c r="P51" s="1148"/>
      <c r="Q51" s="1148"/>
      <c r="R51" s="1148"/>
    </row>
    <row r="52" customFormat="false" ht="15.5" hidden="false" customHeight="false" outlineLevel="0" collapsed="false">
      <c r="A52" s="2041"/>
      <c r="B52" s="2041"/>
      <c r="C52" s="2042" t="s">
        <v>156</v>
      </c>
      <c r="D52" s="2035" t="n">
        <f aca="false">'Ввод данных'!C131</f>
        <v>0</v>
      </c>
      <c r="E52" s="2023" t="n">
        <f aca="false">'Ввод данных'!D131</f>
        <v>0</v>
      </c>
      <c r="F52" s="903" t="n">
        <f aca="false">D52*E52</f>
        <v>0</v>
      </c>
      <c r="G52" s="2047"/>
      <c r="H52" s="2047"/>
      <c r="I52" s="2046"/>
      <c r="J52" s="2025"/>
      <c r="K52" s="1148"/>
      <c r="L52" s="1148"/>
      <c r="M52" s="1148"/>
      <c r="N52" s="1148"/>
      <c r="O52" s="1148"/>
      <c r="P52" s="1148"/>
      <c r="Q52" s="1148"/>
      <c r="R52" s="1148"/>
    </row>
    <row r="53" customFormat="false" ht="15.5" hidden="false" customHeight="true" outlineLevel="0" collapsed="false">
      <c r="A53" s="2041" t="s">
        <v>1872</v>
      </c>
      <c r="B53" s="2041"/>
      <c r="C53" s="2042" t="s">
        <v>156</v>
      </c>
      <c r="D53" s="2035" t="n">
        <f aca="false">'Ввод данных'!C132</f>
        <v>0</v>
      </c>
      <c r="E53" s="2023" t="n">
        <f aca="false">'Ввод данных'!D132</f>
        <v>0</v>
      </c>
      <c r="F53" s="903" t="n">
        <f aca="false">D53*E53</f>
        <v>0</v>
      </c>
      <c r="G53" s="2025"/>
      <c r="H53" s="2043"/>
      <c r="I53" s="2046"/>
      <c r="J53" s="2025"/>
      <c r="K53" s="1148"/>
      <c r="L53" s="1148"/>
      <c r="M53" s="1148"/>
      <c r="N53" s="1148"/>
      <c r="O53" s="1148"/>
      <c r="P53" s="1148"/>
      <c r="Q53" s="1148"/>
      <c r="R53" s="1148"/>
    </row>
    <row r="54" customFormat="false" ht="15.5" hidden="false" customHeight="false" outlineLevel="0" collapsed="false">
      <c r="A54" s="2041"/>
      <c r="B54" s="2041"/>
      <c r="C54" s="2042" t="s">
        <v>156</v>
      </c>
      <c r="D54" s="2035" t="n">
        <f aca="false">'Ввод данных'!C133</f>
        <v>0</v>
      </c>
      <c r="E54" s="2023" t="n">
        <f aca="false">'Ввод данных'!D133</f>
        <v>0</v>
      </c>
      <c r="F54" s="903" t="n">
        <f aca="false">D54*E54</f>
        <v>0</v>
      </c>
      <c r="G54" s="2025"/>
      <c r="H54" s="2043"/>
      <c r="I54" s="2046"/>
      <c r="J54" s="2025"/>
      <c r="K54" s="1148"/>
      <c r="L54" s="1148"/>
      <c r="M54" s="1148"/>
      <c r="N54" s="1148"/>
      <c r="O54" s="1148"/>
      <c r="P54" s="1148"/>
      <c r="Q54" s="1148"/>
      <c r="R54" s="1148"/>
    </row>
    <row r="55" customFormat="false" ht="15.5" hidden="false" customHeight="false" outlineLevel="0" collapsed="false">
      <c r="A55" s="2041"/>
      <c r="B55" s="2041"/>
      <c r="C55" s="2042" t="s">
        <v>156</v>
      </c>
      <c r="D55" s="2035" t="n">
        <f aca="false">'Ввод данных'!C134</f>
        <v>0</v>
      </c>
      <c r="E55" s="2023" t="n">
        <f aca="false">'Ввод данных'!D134</f>
        <v>0</v>
      </c>
      <c r="F55" s="903" t="n">
        <f aca="false">D55*E55</f>
        <v>0</v>
      </c>
      <c r="G55" s="2025"/>
      <c r="H55" s="2043"/>
      <c r="I55" s="2046"/>
      <c r="J55" s="2025"/>
      <c r="K55" s="1148"/>
      <c r="L55" s="1148"/>
      <c r="M55" s="1148"/>
      <c r="N55" s="1148"/>
      <c r="O55" s="1148"/>
      <c r="P55" s="1148"/>
      <c r="Q55" s="1148"/>
      <c r="R55" s="1148"/>
    </row>
    <row r="56" customFormat="false" ht="15.5" hidden="false" customHeight="false" outlineLevel="0" collapsed="false">
      <c r="A56" s="2041"/>
      <c r="B56" s="2041"/>
      <c r="C56" s="2042" t="s">
        <v>156</v>
      </c>
      <c r="D56" s="2035" t="n">
        <f aca="false">'Ввод данных'!C135</f>
        <v>0</v>
      </c>
      <c r="E56" s="2023" t="n">
        <f aca="false">'Ввод данных'!D135</f>
        <v>0</v>
      </c>
      <c r="F56" s="903" t="n">
        <f aca="false">D56*E56</f>
        <v>0</v>
      </c>
      <c r="G56" s="2025"/>
      <c r="H56" s="2048"/>
      <c r="I56" s="2046"/>
      <c r="J56" s="2025"/>
      <c r="K56" s="1148"/>
      <c r="L56" s="1148"/>
      <c r="M56" s="1148"/>
      <c r="N56" s="1148"/>
      <c r="O56" s="1148"/>
      <c r="P56" s="1148"/>
      <c r="Q56" s="1148"/>
      <c r="R56" s="1148"/>
    </row>
    <row r="57" customFormat="false" ht="15.5" hidden="false" customHeight="true" outlineLevel="0" collapsed="false">
      <c r="A57" s="2041" t="s">
        <v>1875</v>
      </c>
      <c r="B57" s="2041"/>
      <c r="C57" s="2042" t="s">
        <v>156</v>
      </c>
      <c r="D57" s="2035" t="n">
        <f aca="false">'Ввод данных'!C136</f>
        <v>4</v>
      </c>
      <c r="E57" s="2023" t="n">
        <f aca="false">'Ввод данных'!D136</f>
        <v>1</v>
      </c>
      <c r="F57" s="903" t="n">
        <f aca="false">D57*E57</f>
        <v>4</v>
      </c>
      <c r="G57" s="2025"/>
      <c r="H57" s="2048"/>
      <c r="I57" s="2025"/>
      <c r="J57" s="2025"/>
      <c r="K57" s="1148"/>
      <c r="L57" s="1148"/>
      <c r="M57" s="1148"/>
      <c r="N57" s="1148"/>
      <c r="O57" s="1148"/>
      <c r="P57" s="1148"/>
      <c r="Q57" s="1148"/>
      <c r="R57" s="1148"/>
    </row>
    <row r="58" customFormat="false" ht="15.5" hidden="false" customHeight="false" outlineLevel="0" collapsed="false">
      <c r="A58" s="2041"/>
      <c r="B58" s="2041"/>
      <c r="C58" s="2042" t="s">
        <v>156</v>
      </c>
      <c r="D58" s="2035" t="n">
        <f aca="false">'Ввод данных'!C137</f>
        <v>2</v>
      </c>
      <c r="E58" s="2023" t="n">
        <f aca="false">'Ввод данных'!D137</f>
        <v>1</v>
      </c>
      <c r="F58" s="903" t="n">
        <f aca="false">D58*E58</f>
        <v>2</v>
      </c>
      <c r="G58" s="2025"/>
      <c r="H58" s="2048"/>
      <c r="I58" s="2025"/>
      <c r="J58" s="2025"/>
      <c r="K58" s="1148"/>
      <c r="L58" s="1148"/>
      <c r="M58" s="1148"/>
      <c r="N58" s="1148"/>
      <c r="O58" s="1148"/>
      <c r="P58" s="1148"/>
      <c r="Q58" s="1148"/>
      <c r="R58" s="1148"/>
    </row>
    <row r="59" customFormat="false" ht="15.5" hidden="false" customHeight="false" outlineLevel="0" collapsed="false">
      <c r="A59" s="2041"/>
      <c r="B59" s="2041"/>
      <c r="C59" s="2042" t="s">
        <v>156</v>
      </c>
      <c r="D59" s="2035" t="n">
        <f aca="false">'Ввод данных'!C138</f>
        <v>3</v>
      </c>
      <c r="E59" s="2023" t="n">
        <f aca="false">'Ввод данных'!D138</f>
        <v>1</v>
      </c>
      <c r="F59" s="903" t="n">
        <f aca="false">D59*E59</f>
        <v>3</v>
      </c>
      <c r="G59" s="2025"/>
      <c r="H59" s="2048"/>
      <c r="I59" s="2025"/>
      <c r="J59" s="2025"/>
      <c r="K59" s="1148"/>
      <c r="L59" s="1148"/>
      <c r="M59" s="1148"/>
      <c r="N59" s="1148"/>
      <c r="O59" s="1148"/>
      <c r="P59" s="1148"/>
      <c r="Q59" s="1148"/>
      <c r="R59" s="1148"/>
    </row>
    <row r="60" customFormat="false" ht="15.5" hidden="false" customHeight="false" outlineLevel="0" collapsed="false">
      <c r="A60" s="2041"/>
      <c r="B60" s="2041"/>
      <c r="C60" s="2042" t="s">
        <v>156</v>
      </c>
      <c r="D60" s="2035" t="n">
        <f aca="false">'Ввод данных'!C139</f>
        <v>0</v>
      </c>
      <c r="E60" s="2023" t="n">
        <f aca="false">'Ввод данных'!D139</f>
        <v>0</v>
      </c>
      <c r="F60" s="903" t="n">
        <f aca="false">D60*E60</f>
        <v>0</v>
      </c>
      <c r="G60" s="2025"/>
      <c r="H60" s="2048"/>
      <c r="I60" s="2024"/>
      <c r="J60" s="2025"/>
      <c r="K60" s="1148"/>
      <c r="L60" s="1148"/>
      <c r="M60" s="1148"/>
      <c r="N60" s="1148"/>
      <c r="O60" s="1148"/>
      <c r="P60" s="1148"/>
      <c r="Q60" s="1148"/>
      <c r="R60" s="1148"/>
    </row>
    <row r="61" customFormat="false" ht="15.5" hidden="false" customHeight="true" outlineLevel="0" collapsed="false">
      <c r="A61" s="2041" t="s">
        <v>1880</v>
      </c>
      <c r="B61" s="2041"/>
      <c r="C61" s="2042" t="s">
        <v>156</v>
      </c>
      <c r="D61" s="2035" t="n">
        <f aca="false">'Ввод данных'!C140</f>
        <v>0</v>
      </c>
      <c r="E61" s="2023" t="n">
        <f aca="false">'Ввод данных'!D140</f>
        <v>0</v>
      </c>
      <c r="F61" s="903" t="n">
        <f aca="false">D61*E61</f>
        <v>0</v>
      </c>
      <c r="G61" s="2025"/>
      <c r="H61" s="2048"/>
      <c r="I61" s="2025"/>
      <c r="J61" s="894"/>
      <c r="K61" s="1148"/>
      <c r="L61" s="1148"/>
      <c r="M61" s="1148"/>
      <c r="N61" s="1148"/>
      <c r="O61" s="1148"/>
      <c r="P61" s="1148"/>
      <c r="Q61" s="1148"/>
      <c r="R61" s="1148"/>
    </row>
    <row r="62" customFormat="false" ht="15.5" hidden="false" customHeight="false" outlineLevel="0" collapsed="false">
      <c r="A62" s="2041"/>
      <c r="B62" s="2041"/>
      <c r="C62" s="2042" t="s">
        <v>156</v>
      </c>
      <c r="D62" s="2035" t="n">
        <f aca="false">'Ввод данных'!C141</f>
        <v>0</v>
      </c>
      <c r="E62" s="2023" t="n">
        <f aca="false">'Ввод данных'!D141</f>
        <v>0</v>
      </c>
      <c r="F62" s="903" t="n">
        <f aca="false">D62*E62</f>
        <v>0</v>
      </c>
      <c r="G62" s="2025"/>
      <c r="H62" s="2048"/>
      <c r="I62" s="2024"/>
      <c r="J62" s="894"/>
      <c r="K62" s="1148"/>
      <c r="L62" s="1148"/>
      <c r="M62" s="1148"/>
      <c r="N62" s="1148"/>
      <c r="O62" s="1148"/>
      <c r="P62" s="1148"/>
      <c r="Q62" s="1148"/>
      <c r="R62" s="1148"/>
    </row>
    <row r="63" customFormat="false" ht="15.5" hidden="false" customHeight="false" outlineLevel="0" collapsed="false">
      <c r="A63" s="2041"/>
      <c r="B63" s="2041"/>
      <c r="C63" s="2042" t="s">
        <v>156</v>
      </c>
      <c r="D63" s="2035" t="n">
        <f aca="false">'Ввод данных'!C142</f>
        <v>0</v>
      </c>
      <c r="E63" s="2023" t="n">
        <f aca="false">'Ввод данных'!D142</f>
        <v>0</v>
      </c>
      <c r="F63" s="903" t="n">
        <f aca="false">D63*E63</f>
        <v>0</v>
      </c>
      <c r="G63" s="2025"/>
      <c r="H63" s="2048"/>
      <c r="I63" s="2025"/>
      <c r="J63" s="2025"/>
      <c r="K63" s="1148"/>
      <c r="L63" s="1148"/>
      <c r="M63" s="1148"/>
      <c r="N63" s="1148"/>
      <c r="O63" s="1148"/>
      <c r="P63" s="1148"/>
      <c r="Q63" s="1148"/>
      <c r="R63" s="1148"/>
    </row>
    <row r="64" customFormat="false" ht="15.5" hidden="false" customHeight="false" outlineLevel="0" collapsed="false">
      <c r="A64" s="2041"/>
      <c r="B64" s="2041"/>
      <c r="C64" s="2042" t="s">
        <v>156</v>
      </c>
      <c r="D64" s="2035" t="n">
        <f aca="false">'Ввод данных'!C143</f>
        <v>0</v>
      </c>
      <c r="E64" s="2023" t="n">
        <f aca="false">'Ввод данных'!D143</f>
        <v>0</v>
      </c>
      <c r="F64" s="903" t="n">
        <f aca="false">D64*E64</f>
        <v>0</v>
      </c>
      <c r="G64" s="2025"/>
      <c r="H64" s="2048"/>
      <c r="I64" s="2025"/>
      <c r="J64" s="2025"/>
      <c r="K64" s="1148"/>
      <c r="L64" s="1148"/>
      <c r="M64" s="1148"/>
      <c r="N64" s="1148"/>
      <c r="O64" s="1148"/>
      <c r="P64" s="1148"/>
      <c r="Q64" s="1148"/>
      <c r="R64" s="1148"/>
    </row>
    <row r="65" customFormat="false" ht="15.5" hidden="false" customHeight="true" outlineLevel="0" collapsed="false">
      <c r="A65" s="2049" t="s">
        <v>3875</v>
      </c>
      <c r="B65" s="2049"/>
      <c r="C65" s="903" t="s">
        <v>133</v>
      </c>
      <c r="D65" s="903" t="n">
        <f aca="false">(E3+E4+E3+E4)*E5+(E3+E4+E3+E4)*E6+(E3/2)*E8*2*E9+(E3+E4+E3+E4)*E11*F11+(E3+E4+E3+E4)*E12*F12+(E3+E4+E3+E4)*E13*F13</f>
        <v>168</v>
      </c>
      <c r="E65" s="894"/>
      <c r="F65" s="894"/>
      <c r="G65" s="2025"/>
      <c r="H65" s="2048"/>
      <c r="I65" s="2025"/>
      <c r="J65" s="2025"/>
      <c r="K65" s="1148"/>
      <c r="L65" s="1148"/>
      <c r="M65" s="1148"/>
      <c r="N65" s="1148"/>
      <c r="O65" s="1148"/>
      <c r="P65" s="1148"/>
      <c r="Q65" s="1148"/>
      <c r="R65" s="1148"/>
    </row>
    <row r="66" customFormat="false" ht="15.5" hidden="false" customHeight="true" outlineLevel="0" collapsed="false">
      <c r="A66" s="2049" t="s">
        <v>3876</v>
      </c>
      <c r="B66" s="2049"/>
      <c r="C66" s="903" t="s">
        <v>133</v>
      </c>
      <c r="D66" s="903" t="n">
        <f aca="false">D65-G30-G19</f>
        <v>166.8</v>
      </c>
      <c r="E66" s="894"/>
      <c r="F66" s="894"/>
      <c r="G66" s="2025"/>
      <c r="H66" s="2048"/>
      <c r="I66" s="2025"/>
      <c r="J66" s="2025"/>
      <c r="K66" s="1148"/>
      <c r="L66" s="1148"/>
      <c r="M66" s="1148"/>
      <c r="N66" s="1148"/>
      <c r="O66" s="1148"/>
      <c r="P66" s="1148"/>
      <c r="Q66" s="1148"/>
      <c r="R66" s="1148"/>
    </row>
    <row r="67" customFormat="false" ht="15.5" hidden="false" customHeight="true" outlineLevel="0" collapsed="false">
      <c r="A67" s="2049" t="s">
        <v>2908</v>
      </c>
      <c r="B67" s="2049"/>
      <c r="C67" s="903" t="s">
        <v>133</v>
      </c>
      <c r="D67" s="903" t="e">
        <f aca="false">(F33+F34+F35+F36+F41+F42+F43+F44)*E5+(F49+F50+F51+F52)*(E2-1)*E7+(F57+F58+F59+F60)*((E6+E7)/1.7)*(E2-1)</f>
        <v>#VALUE!</v>
      </c>
      <c r="E67" s="894"/>
      <c r="F67" s="894"/>
      <c r="G67" s="2025"/>
      <c r="H67" s="2048"/>
      <c r="I67" s="2025"/>
      <c r="J67" s="2025"/>
      <c r="K67" s="1148"/>
      <c r="L67" s="1148"/>
      <c r="M67" s="1148"/>
      <c r="N67" s="1148"/>
      <c r="O67" s="1148"/>
      <c r="P67" s="1148"/>
      <c r="Q67" s="1148"/>
      <c r="R67" s="1148"/>
    </row>
    <row r="68" customFormat="false" ht="15.5" hidden="false" customHeight="true" outlineLevel="0" collapsed="false">
      <c r="A68" s="2049" t="s">
        <v>2909</v>
      </c>
      <c r="B68" s="2049"/>
      <c r="C68" s="903" t="s">
        <v>133</v>
      </c>
      <c r="D68" s="903" t="e">
        <f aca="false">(F37+F38+F39+F40+F45+F46+F47+F48)*E5+(F53+F54+F55+F56)*(E2-1)*E7+(F61+F62+F63+F64)*((E6+E7)/1.7)*(E2-1)</f>
        <v>#VALUE!</v>
      </c>
      <c r="E68" s="894"/>
      <c r="F68" s="894"/>
      <c r="G68" s="2025"/>
      <c r="H68" s="2048"/>
      <c r="I68" s="2025"/>
      <c r="J68" s="2025"/>
      <c r="K68" s="1148"/>
      <c r="L68" s="1148"/>
      <c r="M68" s="1148"/>
      <c r="N68" s="1148"/>
      <c r="O68" s="1148"/>
      <c r="P68" s="1148"/>
      <c r="Q68" s="1148"/>
      <c r="R68" s="1148"/>
    </row>
    <row r="69" customFormat="false" ht="15.5" hidden="false" customHeight="false" outlineLevel="0" collapsed="false">
      <c r="A69" s="903" t="s">
        <v>2910</v>
      </c>
      <c r="B69" s="903"/>
      <c r="C69" s="903" t="s">
        <v>133</v>
      </c>
      <c r="D69" s="903" t="e">
        <f aca="false">(D68+D67)-G25</f>
        <v>#VALUE!</v>
      </c>
      <c r="E69" s="894"/>
      <c r="F69" s="894"/>
      <c r="G69" s="2025"/>
      <c r="H69" s="2048"/>
      <c r="I69" s="2025"/>
      <c r="J69" s="2025"/>
      <c r="K69" s="1148"/>
      <c r="L69" s="1148"/>
      <c r="M69" s="1148"/>
      <c r="N69" s="1148"/>
      <c r="O69" s="1148"/>
      <c r="P69" s="1148"/>
      <c r="Q69" s="1148"/>
      <c r="R69" s="1148"/>
    </row>
    <row r="70" customFormat="false" ht="15.5" hidden="false" customHeight="true" outlineLevel="0" collapsed="false">
      <c r="A70" s="2049" t="s">
        <v>3877</v>
      </c>
      <c r="B70" s="2049"/>
      <c r="C70" s="474" t="s">
        <v>133</v>
      </c>
      <c r="D70" s="474" t="e">
        <f aca="false">D66+D69</f>
        <v>#VALUE!</v>
      </c>
      <c r="E70" s="358"/>
      <c r="F70" s="358"/>
      <c r="G70" s="347"/>
      <c r="H70" s="2048"/>
      <c r="I70" s="347"/>
      <c r="J70" s="347"/>
      <c r="K70" s="1148"/>
      <c r="L70" s="1148"/>
      <c r="M70" s="1148"/>
      <c r="N70" s="1148"/>
      <c r="O70" s="1148"/>
      <c r="P70" s="1148"/>
      <c r="Q70" s="1148"/>
      <c r="R70" s="1148"/>
    </row>
    <row r="71" customFormat="false" ht="15.5" hidden="false" customHeight="false" outlineLevel="0" collapsed="false">
      <c r="A71" s="2050" t="s">
        <v>2635</v>
      </c>
      <c r="B71" s="2050"/>
      <c r="C71" s="2050"/>
      <c r="D71" s="2050"/>
      <c r="E71" s="2050"/>
      <c r="F71" s="2033" t="n">
        <f aca="false">дома!J12</f>
        <v>1</v>
      </c>
      <c r="G71" s="2024" t="s">
        <v>3568</v>
      </c>
      <c r="H71" s="2048"/>
      <c r="I71" s="347"/>
      <c r="J71" s="347"/>
      <c r="K71" s="1148"/>
      <c r="L71" s="1148"/>
      <c r="M71" s="1148"/>
      <c r="N71" s="1148"/>
      <c r="O71" s="1148"/>
      <c r="P71" s="1148"/>
      <c r="Q71" s="1148"/>
      <c r="R71" s="1148"/>
    </row>
    <row r="72" customFormat="false" ht="15.5" hidden="false" customHeight="false" outlineLevel="0" collapsed="false">
      <c r="A72" s="902" t="s">
        <v>3426</v>
      </c>
      <c r="B72" s="902"/>
      <c r="C72" s="2051" t="s">
        <v>156</v>
      </c>
      <c r="D72" s="2052" t="n">
        <f aca="false">E3+E3+E4+E4+F33+F34+F35+F36+F41+F42+F43+F44</f>
        <v>56</v>
      </c>
      <c r="E72" s="2024"/>
      <c r="F72" s="2024"/>
      <c r="G72" s="1217"/>
      <c r="H72" s="2048"/>
      <c r="I72" s="347"/>
      <c r="J72" s="347"/>
      <c r="K72" s="1148"/>
      <c r="L72" s="1148"/>
      <c r="M72" s="1148"/>
      <c r="N72" s="1148"/>
      <c r="O72" s="1148"/>
      <c r="P72" s="1148"/>
      <c r="Q72" s="1148"/>
      <c r="R72" s="1148"/>
    </row>
    <row r="73" customFormat="false" ht="15.5" hidden="false" customHeight="false" outlineLevel="0" collapsed="false">
      <c r="A73" s="902" t="s">
        <v>3427</v>
      </c>
      <c r="B73" s="902"/>
      <c r="C73" s="925" t="s">
        <v>133</v>
      </c>
      <c r="D73" s="2053" t="e">
        <f aca="false">E3*E4*E2</f>
        <v>#VALUE!</v>
      </c>
      <c r="E73" s="2024"/>
      <c r="F73" s="2024"/>
      <c r="G73" s="1217"/>
      <c r="H73" s="2048"/>
      <c r="I73" s="347"/>
      <c r="J73" s="347"/>
      <c r="K73" s="1148"/>
      <c r="L73" s="1148"/>
      <c r="M73" s="1148"/>
      <c r="N73" s="1148"/>
      <c r="O73" s="1148"/>
      <c r="P73" s="1148"/>
      <c r="Q73" s="1148"/>
      <c r="R73" s="1148"/>
    </row>
    <row r="74" customFormat="false" ht="15.5" hidden="false" customHeight="false" outlineLevel="0" collapsed="false">
      <c r="A74" s="2054"/>
      <c r="B74" s="2054"/>
      <c r="C74" s="2055"/>
      <c r="D74" s="2024"/>
      <c r="E74" s="2024"/>
      <c r="F74" s="2024"/>
      <c r="G74" s="1217"/>
      <c r="H74" s="2048"/>
      <c r="I74" s="347"/>
      <c r="J74" s="347"/>
      <c r="K74" s="1148"/>
      <c r="L74" s="1148"/>
      <c r="M74" s="1148"/>
      <c r="N74" s="1148"/>
      <c r="O74" s="1148"/>
      <c r="P74" s="1148"/>
      <c r="Q74" s="1148"/>
      <c r="R74" s="1148"/>
    </row>
    <row r="75" customFormat="false" ht="15.5" hidden="false" customHeight="false" outlineLevel="0" collapsed="false">
      <c r="A75" s="2056"/>
      <c r="B75" s="2056"/>
      <c r="C75" s="358"/>
      <c r="D75" s="358"/>
      <c r="E75" s="358"/>
      <c r="F75" s="358"/>
      <c r="G75" s="347"/>
      <c r="H75" s="2048"/>
      <c r="I75" s="347"/>
      <c r="J75" s="347"/>
      <c r="K75" s="1148"/>
      <c r="L75" s="1148"/>
      <c r="M75" s="1148"/>
      <c r="N75" s="1148"/>
      <c r="O75" s="1148"/>
      <c r="P75" s="1148"/>
      <c r="Q75" s="1148"/>
      <c r="R75" s="1148"/>
    </row>
    <row r="76" customFormat="false" ht="15.5" hidden="false" customHeight="false" outlineLevel="0" collapsed="false">
      <c r="A76" s="1160" t="s">
        <v>1925</v>
      </c>
      <c r="B76" s="1160"/>
      <c r="C76" s="1160"/>
      <c r="D76" s="1160"/>
      <c r="E76" s="1160"/>
      <c r="F76" s="1160"/>
      <c r="G76" s="937" t="str">
        <f aca="false">'Ввод данных'!F237</f>
        <v>Не считать</v>
      </c>
      <c r="H76" s="347" t="s">
        <v>3823</v>
      </c>
      <c r="I76" s="347"/>
      <c r="J76" s="347"/>
      <c r="K76" s="1148"/>
      <c r="L76" s="1148"/>
      <c r="M76" s="1148"/>
      <c r="N76" s="1148"/>
      <c r="O76" s="1148"/>
      <c r="P76" s="1148"/>
      <c r="Q76" s="1148"/>
      <c r="R76" s="1148"/>
    </row>
    <row r="77" customFormat="false" ht="15.5" hidden="false" customHeight="false" outlineLevel="0" collapsed="false">
      <c r="A77" s="795" t="s">
        <v>2705</v>
      </c>
      <c r="B77" s="795"/>
      <c r="C77" s="795"/>
      <c r="D77" s="2057" t="s">
        <v>156</v>
      </c>
      <c r="E77" s="2057" t="n">
        <f aca="false">E80*4+E79*2</f>
        <v>47.7243575218615</v>
      </c>
      <c r="F77" s="2033"/>
      <c r="G77" s="347"/>
      <c r="H77" s="2043"/>
      <c r="I77" s="347"/>
      <c r="J77" s="347"/>
      <c r="K77" s="1148"/>
      <c r="L77" s="1148"/>
      <c r="M77" s="1148"/>
      <c r="N77" s="1148"/>
      <c r="O77" s="1148"/>
      <c r="P77" s="1148"/>
      <c r="Q77" s="1148"/>
      <c r="R77" s="1148"/>
    </row>
    <row r="78" customFormat="false" ht="15.5" hidden="false" customHeight="false" outlineLevel="0" collapsed="false">
      <c r="A78" s="686" t="s">
        <v>3441</v>
      </c>
      <c r="B78" s="686"/>
      <c r="C78" s="686"/>
      <c r="D78" s="686"/>
      <c r="E78" s="537" t="n">
        <f aca="false">E8</f>
        <v>4.8</v>
      </c>
      <c r="F78" s="347"/>
      <c r="G78" s="347"/>
      <c r="H78" s="2043"/>
      <c r="I78" s="347"/>
      <c r="J78" s="347"/>
      <c r="K78" s="1148"/>
      <c r="L78" s="1148"/>
      <c r="M78" s="1148"/>
      <c r="N78" s="1148"/>
      <c r="O78" s="1148"/>
      <c r="P78" s="1148"/>
      <c r="Q78" s="1148"/>
      <c r="R78" s="1148"/>
    </row>
    <row r="79" customFormat="false" ht="15.5" hidden="false" customHeight="false" outlineLevel="0" collapsed="false">
      <c r="A79" s="261" t="s">
        <v>2743</v>
      </c>
      <c r="B79" s="261"/>
      <c r="C79" s="261"/>
      <c r="D79" s="265" t="s">
        <v>156</v>
      </c>
      <c r="E79" s="265" t="n">
        <f aca="false">E4</f>
        <v>10</v>
      </c>
      <c r="F79" s="468"/>
      <c r="G79" s="347"/>
      <c r="H79" s="2043"/>
      <c r="I79" s="347"/>
      <c r="J79" s="347"/>
      <c r="K79" s="1148"/>
      <c r="L79" s="1148"/>
      <c r="M79" s="1148"/>
      <c r="N79" s="1148"/>
      <c r="O79" s="1148"/>
      <c r="P79" s="1148"/>
      <c r="Q79" s="1148"/>
      <c r="R79" s="1148"/>
    </row>
    <row r="80" customFormat="false" ht="15.5" hidden="false" customHeight="false" outlineLevel="0" collapsed="false">
      <c r="A80" s="261" t="s">
        <v>2600</v>
      </c>
      <c r="B80" s="261"/>
      <c r="C80" s="261"/>
      <c r="D80" s="265" t="s">
        <v>156</v>
      </c>
      <c r="E80" s="265" t="n">
        <f aca="false">SQRT((E3/2)*(E3/2)+E8*E8)</f>
        <v>6.93108938046538</v>
      </c>
      <c r="F80" s="468"/>
      <c r="G80" s="347"/>
      <c r="H80" s="2043"/>
      <c r="I80" s="347"/>
      <c r="J80" s="347"/>
      <c r="K80" s="1148"/>
      <c r="L80" s="1148"/>
      <c r="M80" s="1148"/>
      <c r="N80" s="1148"/>
      <c r="O80" s="1148"/>
      <c r="P80" s="1148"/>
      <c r="Q80" s="1148"/>
      <c r="R80" s="1148"/>
    </row>
    <row r="81" customFormat="false" ht="15.5" hidden="false" customHeight="false" outlineLevel="0" collapsed="false">
      <c r="A81" s="261" t="s">
        <v>1927</v>
      </c>
      <c r="B81" s="261"/>
      <c r="C81" s="261"/>
      <c r="D81" s="265" t="s">
        <v>156</v>
      </c>
      <c r="E81" s="2023" t="n">
        <f aca="false">'Ввод данных'!C206</f>
        <v>0.5</v>
      </c>
      <c r="F81" s="2058"/>
      <c r="G81" s="347"/>
      <c r="H81" s="2043"/>
      <c r="I81" s="347"/>
      <c r="J81" s="347"/>
      <c r="K81" s="1148"/>
      <c r="L81" s="1148"/>
      <c r="M81" s="1148"/>
      <c r="N81" s="1148"/>
      <c r="O81" s="1148"/>
      <c r="P81" s="1148"/>
      <c r="Q81" s="1148"/>
      <c r="R81" s="1148"/>
    </row>
    <row r="82" customFormat="false" ht="15.5" hidden="false" customHeight="false" outlineLevel="0" collapsed="false">
      <c r="A82" s="261" t="s">
        <v>1896</v>
      </c>
      <c r="B82" s="261"/>
      <c r="C82" s="261"/>
      <c r="D82" s="265" t="s">
        <v>156</v>
      </c>
      <c r="E82" s="2023" t="n">
        <f aca="false">'Ввод данных'!C208</f>
        <v>0.8</v>
      </c>
      <c r="F82" s="2058"/>
      <c r="G82" s="347"/>
      <c r="H82" s="2043"/>
      <c r="I82" s="347"/>
      <c r="J82" s="347"/>
      <c r="K82" s="1148"/>
      <c r="L82" s="1148"/>
      <c r="M82" s="1148"/>
      <c r="N82" s="1148"/>
      <c r="O82" s="1148"/>
      <c r="P82" s="1148"/>
      <c r="Q82" s="1148"/>
      <c r="R82" s="1148"/>
    </row>
    <row r="83" customFormat="false" ht="15.5" hidden="false" customHeight="false" outlineLevel="0" collapsed="false">
      <c r="A83" s="560" t="s">
        <v>2765</v>
      </c>
      <c r="B83" s="560"/>
      <c r="C83" s="560"/>
      <c r="D83" s="474" t="s">
        <v>156</v>
      </c>
      <c r="E83" s="537" t="n">
        <f aca="false">E80+E82</f>
        <v>7.73108938046538</v>
      </c>
      <c r="F83" s="347"/>
      <c r="G83" s="347"/>
      <c r="H83" s="2043"/>
      <c r="I83" s="347"/>
      <c r="J83" s="347"/>
      <c r="K83" s="1148"/>
      <c r="L83" s="1148"/>
      <c r="M83" s="1148"/>
      <c r="N83" s="1148"/>
      <c r="O83" s="1148"/>
      <c r="P83" s="1148"/>
      <c r="Q83" s="1148"/>
      <c r="R83" s="1148"/>
    </row>
    <row r="84" customFormat="false" ht="15.5" hidden="false" customHeight="false" outlineLevel="0" collapsed="false">
      <c r="A84" s="560" t="s">
        <v>2768</v>
      </c>
      <c r="B84" s="560"/>
      <c r="C84" s="560"/>
      <c r="D84" s="474" t="s">
        <v>156</v>
      </c>
      <c r="E84" s="537" t="n">
        <f aca="false">E79+E81+E81</f>
        <v>11</v>
      </c>
      <c r="F84" s="347"/>
      <c r="G84" s="347"/>
      <c r="H84" s="2043"/>
      <c r="I84" s="347"/>
      <c r="J84" s="347"/>
      <c r="K84" s="1148"/>
      <c r="L84" s="1148"/>
      <c r="M84" s="1148"/>
      <c r="N84" s="1148"/>
      <c r="O84" s="1148"/>
      <c r="P84" s="1148"/>
      <c r="Q84" s="1148"/>
      <c r="R84" s="1148"/>
    </row>
    <row r="85" customFormat="false" ht="15.5" hidden="false" customHeight="false" outlineLevel="0" collapsed="false">
      <c r="A85" s="261" t="s">
        <v>2773</v>
      </c>
      <c r="B85" s="261"/>
      <c r="C85" s="261"/>
      <c r="D85" s="265" t="s">
        <v>133</v>
      </c>
      <c r="E85" s="265" t="n">
        <f aca="false">E80*E79*2</f>
        <v>138.621787609308</v>
      </c>
      <c r="F85" s="2058"/>
      <c r="G85" s="347"/>
      <c r="H85" s="2043"/>
      <c r="I85" s="347"/>
      <c r="J85" s="347"/>
      <c r="K85" s="1148"/>
      <c r="L85" s="1148"/>
      <c r="M85" s="1148"/>
      <c r="N85" s="1148"/>
      <c r="O85" s="1148"/>
      <c r="P85" s="1148"/>
      <c r="Q85" s="1148"/>
      <c r="R85" s="1148"/>
    </row>
    <row r="86" customFormat="false" ht="15.5" hidden="false" customHeight="false" outlineLevel="0" collapsed="false">
      <c r="A86" s="261" t="s">
        <v>2766</v>
      </c>
      <c r="B86" s="261"/>
      <c r="C86" s="261"/>
      <c r="D86" s="265" t="s">
        <v>133</v>
      </c>
      <c r="E86" s="265" t="n">
        <f aca="false">(E80*E81)*4+(E79+E81+E81)*E82*2</f>
        <v>31.4621787609308</v>
      </c>
      <c r="F86" s="601"/>
      <c r="G86" s="347"/>
      <c r="H86" s="2043"/>
      <c r="I86" s="347"/>
      <c r="J86" s="347"/>
      <c r="K86" s="1148"/>
      <c r="L86" s="1148"/>
      <c r="M86" s="1148"/>
      <c r="N86" s="1148"/>
      <c r="O86" s="1148"/>
      <c r="P86" s="1148"/>
      <c r="Q86" s="1148"/>
      <c r="R86" s="1148"/>
    </row>
    <row r="87" customFormat="false" ht="15.5" hidden="false" customHeight="false" outlineLevel="0" collapsed="false">
      <c r="A87" s="261" t="s">
        <v>2781</v>
      </c>
      <c r="B87" s="261"/>
      <c r="C87" s="261"/>
      <c r="D87" s="265" t="s">
        <v>133</v>
      </c>
      <c r="E87" s="265" t="n">
        <f aca="false">E85+E86</f>
        <v>170.083966370238</v>
      </c>
      <c r="F87" s="601"/>
      <c r="G87" s="347"/>
      <c r="H87" s="2043"/>
      <c r="I87" s="347"/>
      <c r="J87" s="347"/>
      <c r="K87" s="1148"/>
      <c r="L87" s="1148"/>
      <c r="M87" s="1148"/>
      <c r="N87" s="1148"/>
      <c r="O87" s="1148"/>
      <c r="P87" s="1148"/>
      <c r="Q87" s="1148"/>
      <c r="R87" s="1148"/>
    </row>
    <row r="88" customFormat="false" ht="15.5" hidden="false" customHeight="false" outlineLevel="0" collapsed="false">
      <c r="A88" s="474" t="s">
        <v>2774</v>
      </c>
      <c r="B88" s="474"/>
      <c r="C88" s="474"/>
      <c r="D88" s="474" t="s">
        <v>133</v>
      </c>
      <c r="E88" s="474" t="n">
        <f aca="false">E87*1.2</f>
        <v>204.100759644286</v>
      </c>
      <c r="F88" s="347"/>
      <c r="G88" s="347"/>
      <c r="H88" s="2043"/>
      <c r="I88" s="347"/>
      <c r="J88" s="347"/>
      <c r="K88" s="1148"/>
      <c r="L88" s="1148"/>
      <c r="M88" s="1148"/>
      <c r="N88" s="1148"/>
      <c r="O88" s="1148"/>
      <c r="P88" s="1148"/>
      <c r="Q88" s="1148"/>
      <c r="R88" s="1148"/>
    </row>
    <row r="89" customFormat="false" ht="15.5" hidden="false" customHeight="false" outlineLevel="0" collapsed="false">
      <c r="A89" s="534" t="s">
        <v>2628</v>
      </c>
      <c r="B89" s="723"/>
      <c r="C89" s="754"/>
      <c r="D89" s="474" t="s">
        <v>1820</v>
      </c>
      <c r="E89" s="474"/>
      <c r="F89" s="2033"/>
      <c r="G89" s="347"/>
      <c r="H89" s="2043"/>
      <c r="I89" s="347"/>
      <c r="J89" s="347"/>
      <c r="K89" s="1148"/>
      <c r="L89" s="1148"/>
      <c r="M89" s="1148"/>
      <c r="N89" s="1148"/>
      <c r="O89" s="1148"/>
      <c r="P89" s="1148"/>
      <c r="Q89" s="1148"/>
      <c r="R89" s="1148"/>
    </row>
    <row r="90" customFormat="false" ht="15.5" hidden="false" customHeight="false" outlineLevel="0" collapsed="false">
      <c r="A90" s="1021" t="s">
        <v>3518</v>
      </c>
      <c r="B90" s="2059"/>
      <c r="C90" s="2060"/>
      <c r="D90" s="265" t="s">
        <v>156</v>
      </c>
      <c r="E90" s="265" t="n">
        <v>0.15</v>
      </c>
      <c r="F90" s="2033"/>
      <c r="G90" s="347"/>
      <c r="H90" s="2043"/>
      <c r="I90" s="347"/>
      <c r="J90" s="347"/>
      <c r="K90" s="1148"/>
      <c r="L90" s="1148"/>
      <c r="M90" s="1148"/>
      <c r="N90" s="1148"/>
      <c r="O90" s="1148"/>
      <c r="P90" s="1148"/>
      <c r="Q90" s="1148"/>
      <c r="R90" s="1148"/>
    </row>
    <row r="91" customFormat="false" ht="15.5" hidden="false" customHeight="false" outlineLevel="0" collapsed="false">
      <c r="A91" s="1016"/>
      <c r="B91" s="2061"/>
      <c r="C91" s="2062"/>
      <c r="D91" s="265" t="s">
        <v>156</v>
      </c>
      <c r="E91" s="265" t="n">
        <v>0.2</v>
      </c>
      <c r="F91" s="2033"/>
      <c r="G91" s="347"/>
      <c r="H91" s="2043"/>
      <c r="I91" s="347"/>
      <c r="J91" s="347"/>
      <c r="K91" s="1148"/>
      <c r="L91" s="1148"/>
      <c r="M91" s="1148"/>
      <c r="N91" s="1148"/>
      <c r="O91" s="1148"/>
      <c r="P91" s="1148"/>
      <c r="Q91" s="1148"/>
      <c r="R91" s="1148"/>
    </row>
    <row r="92" customFormat="false" ht="15.5" hidden="false" customHeight="false" outlineLevel="0" collapsed="false">
      <c r="A92" s="1021" t="s">
        <v>2632</v>
      </c>
      <c r="B92" s="2059"/>
      <c r="C92" s="2060"/>
      <c r="D92" s="265" t="s">
        <v>156</v>
      </c>
      <c r="E92" s="265" t="n">
        <v>0.15</v>
      </c>
      <c r="F92" s="2033"/>
      <c r="G92" s="347"/>
      <c r="H92" s="2043"/>
      <c r="I92" s="347"/>
      <c r="J92" s="347"/>
      <c r="K92" s="1148"/>
      <c r="L92" s="1148"/>
      <c r="M92" s="1148"/>
      <c r="N92" s="1148"/>
      <c r="O92" s="1148"/>
      <c r="P92" s="1148"/>
      <c r="Q92" s="1148"/>
      <c r="R92" s="1148"/>
    </row>
    <row r="93" customFormat="false" ht="15.5" hidden="false" customHeight="false" outlineLevel="0" collapsed="false">
      <c r="A93" s="1016"/>
      <c r="B93" s="2061"/>
      <c r="C93" s="2062"/>
      <c r="D93" s="265" t="s">
        <v>156</v>
      </c>
      <c r="E93" s="265" t="n">
        <v>0.2</v>
      </c>
      <c r="F93" s="2033"/>
      <c r="G93" s="347"/>
      <c r="H93" s="2043"/>
      <c r="I93" s="347"/>
      <c r="J93" s="347"/>
      <c r="K93" s="1148"/>
      <c r="L93" s="1148"/>
      <c r="M93" s="1148"/>
      <c r="N93" s="1148"/>
      <c r="O93" s="1148"/>
      <c r="P93" s="1148"/>
      <c r="Q93" s="1148"/>
      <c r="R93" s="1148"/>
    </row>
    <row r="94" customFormat="false" ht="15.5" hidden="false" customHeight="false" outlineLevel="0" collapsed="false">
      <c r="A94" s="347"/>
      <c r="B94" s="347"/>
      <c r="C94" s="347"/>
      <c r="D94" s="347"/>
      <c r="E94" s="347"/>
      <c r="F94" s="347"/>
      <c r="G94" s="347"/>
      <c r="H94" s="2043"/>
      <c r="I94" s="347"/>
      <c r="J94" s="347"/>
      <c r="K94" s="1148"/>
      <c r="L94" s="1148"/>
      <c r="M94" s="1148"/>
      <c r="N94" s="1148"/>
      <c r="O94" s="1148"/>
      <c r="P94" s="1148"/>
      <c r="Q94" s="1148"/>
      <c r="R94" s="1148"/>
    </row>
    <row r="95" customFormat="false" ht="15.5" hidden="false" customHeight="false" outlineLevel="0" collapsed="false">
      <c r="A95" s="347"/>
      <c r="B95" s="347"/>
      <c r="C95" s="347"/>
      <c r="D95" s="347"/>
      <c r="E95" s="347"/>
      <c r="F95" s="347"/>
      <c r="G95" s="347"/>
      <c r="H95" s="2043"/>
      <c r="I95" s="347"/>
      <c r="J95" s="347"/>
      <c r="K95" s="1148"/>
      <c r="L95" s="1148"/>
      <c r="M95" s="1148"/>
      <c r="N95" s="1148"/>
      <c r="O95" s="1148"/>
      <c r="P95" s="1148"/>
      <c r="Q95" s="1148"/>
      <c r="R95" s="1148"/>
    </row>
    <row r="96" customFormat="false" ht="15.5" hidden="false" customHeight="false" outlineLevel="0" collapsed="false">
      <c r="A96" s="1160" t="s">
        <v>1942</v>
      </c>
      <c r="B96" s="1160"/>
      <c r="C96" s="1160"/>
      <c r="D96" s="1160"/>
      <c r="E96" s="1160"/>
      <c r="F96" s="1160"/>
      <c r="G96" s="937" t="str">
        <f aca="false">'Ввод данных'!F273</f>
        <v>Не считать</v>
      </c>
      <c r="H96" s="347" t="s">
        <v>3878</v>
      </c>
      <c r="I96" s="347"/>
      <c r="J96" s="347"/>
      <c r="K96" s="1148"/>
      <c r="L96" s="1148"/>
      <c r="M96" s="1148"/>
      <c r="N96" s="1148"/>
      <c r="O96" s="1148"/>
      <c r="P96" s="1148"/>
      <c r="Q96" s="1148"/>
      <c r="R96" s="1148"/>
    </row>
    <row r="97" customFormat="false" ht="23.5" hidden="false" customHeight="false" outlineLevel="0" collapsed="false">
      <c r="A97" s="795" t="s">
        <v>2705</v>
      </c>
      <c r="B97" s="795"/>
      <c r="C97" s="795"/>
      <c r="D97" s="1185" t="s">
        <v>156</v>
      </c>
      <c r="E97" s="2063" t="n">
        <f aca="false">E3+E4+E3+E4</f>
        <v>40</v>
      </c>
      <c r="F97" s="2064"/>
      <c r="G97" s="2065"/>
      <c r="H97" s="2043"/>
      <c r="I97" s="347"/>
      <c r="J97" s="347"/>
      <c r="K97" s="1148"/>
      <c r="L97" s="1148"/>
      <c r="M97" s="1148"/>
      <c r="N97" s="1148"/>
      <c r="O97" s="1148"/>
      <c r="P97" s="1148"/>
      <c r="Q97" s="1148"/>
      <c r="R97" s="1148"/>
    </row>
    <row r="98" customFormat="false" ht="15.5" hidden="false" customHeight="false" outlineLevel="0" collapsed="false">
      <c r="A98" s="560" t="s">
        <v>2739</v>
      </c>
      <c r="B98" s="560"/>
      <c r="C98" s="560"/>
      <c r="D98" s="680" t="s">
        <v>156</v>
      </c>
      <c r="E98" s="2066" t="n">
        <f aca="false">E4</f>
        <v>10</v>
      </c>
      <c r="F98" s="347"/>
      <c r="G98" s="347"/>
      <c r="H98" s="2067"/>
      <c r="I98" s="347"/>
      <c r="J98" s="347"/>
      <c r="K98" s="1148"/>
      <c r="L98" s="1148"/>
      <c r="M98" s="1148"/>
      <c r="N98" s="1148"/>
      <c r="O98" s="1148"/>
      <c r="P98" s="1148"/>
      <c r="Q98" s="1148"/>
      <c r="R98" s="1148"/>
    </row>
    <row r="99" customFormat="false" ht="15.5" hidden="false" customHeight="false" outlineLevel="0" collapsed="false">
      <c r="A99" s="560" t="s">
        <v>2744</v>
      </c>
      <c r="B99" s="560"/>
      <c r="C99" s="560"/>
      <c r="D99" s="680" t="s">
        <v>156</v>
      </c>
      <c r="E99" s="2066" t="n">
        <f aca="false">E3</f>
        <v>10</v>
      </c>
      <c r="F99" s="351"/>
      <c r="G99" s="351"/>
      <c r="H99" s="2067"/>
      <c r="I99" s="347"/>
      <c r="J99" s="347"/>
      <c r="K99" s="1148"/>
      <c r="L99" s="1148"/>
      <c r="M99" s="1148"/>
      <c r="N99" s="1148"/>
      <c r="O99" s="1148"/>
      <c r="P99" s="1148"/>
      <c r="Q99" s="1148"/>
      <c r="R99" s="1148"/>
    </row>
    <row r="100" customFormat="false" ht="15.5" hidden="false" customHeight="false" outlineLevel="0" collapsed="false">
      <c r="A100" s="686" t="s">
        <v>3441</v>
      </c>
      <c r="B100" s="686"/>
      <c r="C100" s="686"/>
      <c r="D100" s="686"/>
      <c r="E100" s="2066" t="n">
        <f aca="false">E8</f>
        <v>4.8</v>
      </c>
      <c r="F100" s="351"/>
      <c r="G100" s="351"/>
      <c r="H100" s="2067"/>
      <c r="I100" s="347"/>
      <c r="J100" s="347"/>
      <c r="K100" s="1148"/>
      <c r="L100" s="1148"/>
      <c r="M100" s="1148"/>
      <c r="N100" s="1148"/>
      <c r="O100" s="1148"/>
      <c r="P100" s="1148"/>
      <c r="Q100" s="1148"/>
      <c r="R100" s="1148"/>
    </row>
    <row r="101" customFormat="false" ht="15.5" hidden="false" customHeight="false" outlineLevel="0" collapsed="false">
      <c r="A101" s="261" t="s">
        <v>1943</v>
      </c>
      <c r="B101" s="261"/>
      <c r="C101" s="261"/>
      <c r="D101" s="263" t="s">
        <v>156</v>
      </c>
      <c r="E101" s="2023" t="n">
        <f aca="false">'Ввод данных'!C248</f>
        <v>5</v>
      </c>
      <c r="F101" s="1954"/>
      <c r="G101" s="1954"/>
      <c r="H101" s="2067"/>
      <c r="I101" s="347"/>
      <c r="J101" s="347"/>
      <c r="K101" s="1148"/>
      <c r="L101" s="1148"/>
      <c r="M101" s="1148"/>
      <c r="N101" s="1148"/>
      <c r="O101" s="1148"/>
      <c r="P101" s="1148"/>
      <c r="Q101" s="1148"/>
      <c r="R101" s="1148"/>
    </row>
    <row r="102" customFormat="false" ht="15.5" hidden="false" customHeight="false" outlineLevel="0" collapsed="false">
      <c r="A102" s="261" t="s">
        <v>2752</v>
      </c>
      <c r="B102" s="261"/>
      <c r="C102" s="261"/>
      <c r="D102" s="263" t="s">
        <v>156</v>
      </c>
      <c r="E102" s="2068" t="n">
        <f aca="false">SQRT(E100*E100+((E99/2)+E104)*((E99/2)+E104))</f>
        <v>7.3</v>
      </c>
      <c r="F102" s="1954"/>
      <c r="G102" s="1954"/>
      <c r="H102" s="2067"/>
      <c r="I102" s="347"/>
      <c r="J102" s="347"/>
      <c r="K102" s="1148"/>
      <c r="L102" s="1148"/>
      <c r="M102" s="1148"/>
      <c r="N102" s="1148"/>
      <c r="O102" s="1148"/>
      <c r="P102" s="1148"/>
      <c r="Q102" s="1148"/>
      <c r="R102" s="1148"/>
    </row>
    <row r="103" customFormat="false" ht="15.5" hidden="false" customHeight="false" outlineLevel="0" collapsed="false">
      <c r="A103" s="261" t="s">
        <v>2755</v>
      </c>
      <c r="B103" s="261"/>
      <c r="C103" s="261"/>
      <c r="D103" s="263" t="s">
        <v>156</v>
      </c>
      <c r="E103" s="2068" t="n">
        <f aca="false">SQRT(E100*E100+((E98-E101)/2)*((E98-E101)/2))</f>
        <v>5.41202365109392</v>
      </c>
      <c r="F103" s="2069"/>
      <c r="G103" s="2070"/>
      <c r="H103" s="2067"/>
      <c r="I103" s="347"/>
      <c r="J103" s="347"/>
      <c r="K103" s="1148"/>
      <c r="L103" s="1148"/>
      <c r="M103" s="1148"/>
      <c r="N103" s="1148"/>
      <c r="O103" s="1148"/>
      <c r="P103" s="1148"/>
      <c r="Q103" s="1148"/>
      <c r="R103" s="1148"/>
    </row>
    <row r="104" customFormat="false" ht="15.5" hidden="false" customHeight="false" outlineLevel="0" collapsed="false">
      <c r="A104" s="261" t="s">
        <v>1927</v>
      </c>
      <c r="B104" s="261"/>
      <c r="C104" s="261"/>
      <c r="D104" s="263" t="s">
        <v>156</v>
      </c>
      <c r="E104" s="2023" t="n">
        <f aca="false">'Ввод данных'!C249</f>
        <v>0.5</v>
      </c>
      <c r="F104" s="2069"/>
      <c r="G104" s="2070"/>
      <c r="H104" s="2067"/>
      <c r="I104" s="347"/>
      <c r="J104" s="347"/>
      <c r="K104" s="1148"/>
      <c r="L104" s="1148"/>
      <c r="M104" s="1148"/>
      <c r="N104" s="1148"/>
      <c r="O104" s="1148"/>
      <c r="P104" s="1148"/>
      <c r="Q104" s="1148"/>
      <c r="R104" s="1148"/>
    </row>
    <row r="105" customFormat="false" ht="15.5" hidden="false" customHeight="false" outlineLevel="0" collapsed="false">
      <c r="A105" s="261" t="s">
        <v>1896</v>
      </c>
      <c r="B105" s="261"/>
      <c r="C105" s="261"/>
      <c r="D105" s="263" t="s">
        <v>156</v>
      </c>
      <c r="E105" s="2023" t="n">
        <f aca="false">'Ввод данных'!C250</f>
        <v>0.5</v>
      </c>
      <c r="F105" s="2069"/>
      <c r="G105" s="2070"/>
      <c r="H105" s="2067"/>
      <c r="I105" s="347"/>
      <c r="J105" s="347"/>
      <c r="K105" s="1148"/>
      <c r="L105" s="1148"/>
      <c r="M105" s="1148"/>
      <c r="N105" s="1148"/>
      <c r="O105" s="1148"/>
      <c r="P105" s="1148"/>
      <c r="Q105" s="1148"/>
      <c r="R105" s="1148"/>
    </row>
    <row r="106" customFormat="false" ht="15.5" hidden="false" customHeight="false" outlineLevel="0" collapsed="false">
      <c r="A106" s="560" t="s">
        <v>2757</v>
      </c>
      <c r="B106" s="560"/>
      <c r="C106" s="560"/>
      <c r="D106" s="680" t="s">
        <v>156</v>
      </c>
      <c r="E106" s="2066" t="n">
        <f aca="false">SQRT(G103*G103+((E99/2)+E104)*((E99/2)+E104))</f>
        <v>5.5</v>
      </c>
      <c r="F106" s="351"/>
      <c r="G106" s="351"/>
      <c r="H106" s="2067"/>
      <c r="I106" s="347"/>
      <c r="J106" s="347"/>
      <c r="K106" s="1148"/>
      <c r="L106" s="1148"/>
      <c r="M106" s="1148"/>
      <c r="N106" s="1148"/>
      <c r="O106" s="1148"/>
      <c r="P106" s="1148"/>
      <c r="Q106" s="1148"/>
      <c r="R106" s="1148"/>
    </row>
    <row r="107" customFormat="false" ht="15.5" hidden="false" customHeight="false" outlineLevel="0" collapsed="false">
      <c r="A107" s="261" t="s">
        <v>2766</v>
      </c>
      <c r="B107" s="261"/>
      <c r="C107" s="261"/>
      <c r="D107" s="263" t="s">
        <v>133</v>
      </c>
      <c r="E107" s="2068" t="n">
        <f aca="false">(E99+E104+E104)*E105*2+E98*2*E104</f>
        <v>21</v>
      </c>
      <c r="F107" s="2071"/>
      <c r="G107" s="2070"/>
      <c r="H107" s="2067"/>
      <c r="I107" s="347"/>
      <c r="J107" s="347"/>
      <c r="K107" s="1148"/>
      <c r="L107" s="1148"/>
      <c r="M107" s="1148"/>
      <c r="N107" s="1148"/>
      <c r="O107" s="1148"/>
      <c r="P107" s="1148"/>
      <c r="Q107" s="1148"/>
      <c r="R107" s="1148"/>
    </row>
    <row r="108" customFormat="false" ht="15.5" hidden="false" customHeight="false" outlineLevel="0" collapsed="false">
      <c r="A108" s="261" t="s">
        <v>2769</v>
      </c>
      <c r="B108" s="261"/>
      <c r="C108" s="261"/>
      <c r="D108" s="680" t="s">
        <v>133</v>
      </c>
      <c r="E108" s="2066" t="n">
        <f aca="false">((E99/2)+E104)*E103*2+((E98+E105+E105-E101)/2)*((E98+E105+E105-E101)/2)*4+E101*E102*2</f>
        <v>168.532260162033</v>
      </c>
      <c r="F108" s="347"/>
      <c r="G108" s="347"/>
      <c r="H108" s="2067"/>
      <c r="I108" s="347"/>
      <c r="J108" s="347"/>
      <c r="K108" s="1148"/>
      <c r="L108" s="1148"/>
      <c r="M108" s="1148"/>
      <c r="N108" s="1148"/>
      <c r="O108" s="1148"/>
      <c r="P108" s="1148"/>
      <c r="Q108" s="1148"/>
      <c r="R108" s="1148"/>
    </row>
    <row r="109" customFormat="false" ht="15.5" hidden="false" customHeight="false" outlineLevel="0" collapsed="false">
      <c r="A109" s="261" t="s">
        <v>2774</v>
      </c>
      <c r="B109" s="261"/>
      <c r="C109" s="261"/>
      <c r="D109" s="263" t="s">
        <v>133</v>
      </c>
      <c r="E109" s="2068" t="n">
        <f aca="false">E108*1.5</f>
        <v>252.79839024305</v>
      </c>
      <c r="F109" s="2033"/>
      <c r="G109" s="2070"/>
      <c r="H109" s="2067"/>
      <c r="I109" s="347"/>
      <c r="J109" s="347"/>
      <c r="K109" s="1148"/>
      <c r="L109" s="1148"/>
      <c r="M109" s="1148"/>
      <c r="N109" s="1148"/>
      <c r="O109" s="1148"/>
      <c r="P109" s="1148"/>
      <c r="Q109" s="1148"/>
      <c r="R109" s="1148"/>
    </row>
    <row r="110" customFormat="false" ht="15.5" hidden="false" customHeight="false" outlineLevel="0" collapsed="false">
      <c r="A110" s="560" t="s">
        <v>2628</v>
      </c>
      <c r="B110" s="560"/>
      <c r="C110" s="560"/>
      <c r="D110" s="560" t="s">
        <v>1820</v>
      </c>
      <c r="E110" s="2066"/>
      <c r="F110" s="2033"/>
      <c r="G110" s="2070"/>
      <c r="H110" s="2067"/>
      <c r="I110" s="347"/>
      <c r="J110" s="347"/>
      <c r="K110" s="1148"/>
      <c r="L110" s="1148"/>
      <c r="M110" s="1148"/>
      <c r="N110" s="1148"/>
      <c r="O110" s="1148"/>
      <c r="P110" s="1148"/>
      <c r="Q110" s="1148"/>
      <c r="R110" s="1148"/>
    </row>
    <row r="111" customFormat="false" ht="15.5" hidden="false" customHeight="false" outlineLevel="0" collapsed="false">
      <c r="A111" s="263" t="s">
        <v>3518</v>
      </c>
      <c r="B111" s="263"/>
      <c r="C111" s="263"/>
      <c r="D111" s="265" t="s">
        <v>156</v>
      </c>
      <c r="E111" s="1017" t="n">
        <v>0.15</v>
      </c>
      <c r="F111" s="2033"/>
      <c r="G111" s="2070"/>
      <c r="H111" s="2067"/>
      <c r="I111" s="347"/>
      <c r="J111" s="347"/>
      <c r="K111" s="1148"/>
      <c r="L111" s="1148"/>
      <c r="M111" s="1148"/>
      <c r="N111" s="1148"/>
      <c r="O111" s="1148"/>
      <c r="P111" s="1148"/>
      <c r="Q111" s="1148"/>
      <c r="R111" s="1148"/>
    </row>
    <row r="112" customFormat="false" ht="15.5" hidden="false" customHeight="false" outlineLevel="0" collapsed="false">
      <c r="A112" s="263"/>
      <c r="B112" s="263"/>
      <c r="C112" s="263"/>
      <c r="D112" s="265" t="s">
        <v>156</v>
      </c>
      <c r="E112" s="1017" t="n">
        <v>0.2</v>
      </c>
      <c r="F112" s="2033"/>
      <c r="G112" s="2070"/>
      <c r="H112" s="2067"/>
      <c r="I112" s="347"/>
      <c r="J112" s="347"/>
      <c r="K112" s="1148"/>
      <c r="L112" s="1148"/>
      <c r="M112" s="1148"/>
      <c r="N112" s="1148"/>
      <c r="O112" s="1148"/>
      <c r="P112" s="1148"/>
      <c r="Q112" s="1148"/>
      <c r="R112" s="1148"/>
    </row>
    <row r="113" customFormat="false" ht="15.5" hidden="false" customHeight="false" outlineLevel="0" collapsed="false">
      <c r="A113" s="263" t="s">
        <v>2632</v>
      </c>
      <c r="B113" s="263"/>
      <c r="C113" s="263"/>
      <c r="D113" s="265" t="s">
        <v>156</v>
      </c>
      <c r="E113" s="1017" t="n">
        <v>0.15</v>
      </c>
      <c r="F113" s="2033"/>
      <c r="G113" s="2070"/>
      <c r="H113" s="2043"/>
      <c r="I113" s="347"/>
      <c r="J113" s="347"/>
      <c r="K113" s="1148"/>
      <c r="L113" s="1148"/>
      <c r="M113" s="1148"/>
      <c r="N113" s="1148"/>
      <c r="O113" s="1148"/>
      <c r="P113" s="1148"/>
      <c r="Q113" s="1148"/>
      <c r="R113" s="1148"/>
    </row>
    <row r="114" customFormat="false" ht="15.5" hidden="false" customHeight="false" outlineLevel="0" collapsed="false">
      <c r="A114" s="263"/>
      <c r="B114" s="263"/>
      <c r="C114" s="263"/>
      <c r="D114" s="265" t="s">
        <v>156</v>
      </c>
      <c r="E114" s="1017" t="n">
        <v>0.2</v>
      </c>
      <c r="F114" s="2033"/>
      <c r="G114" s="2070"/>
      <c r="H114" s="2043"/>
      <c r="I114" s="347"/>
      <c r="J114" s="347"/>
      <c r="K114" s="1148"/>
      <c r="L114" s="1148"/>
      <c r="M114" s="1148"/>
      <c r="N114" s="1148"/>
      <c r="O114" s="1148"/>
      <c r="P114" s="1148"/>
      <c r="Q114" s="1148"/>
      <c r="R114" s="1148"/>
    </row>
    <row r="115" customFormat="false" ht="15.5" hidden="false" customHeight="false" outlineLevel="0" collapsed="false">
      <c r="A115" s="477"/>
      <c r="B115" s="477"/>
      <c r="C115" s="477"/>
      <c r="D115" s="479"/>
      <c r="E115" s="501"/>
      <c r="F115" s="504"/>
      <c r="G115" s="2070"/>
      <c r="H115" s="2043"/>
      <c r="I115" s="347"/>
      <c r="J115" s="347"/>
      <c r="K115" s="1148"/>
      <c r="L115" s="1148"/>
      <c r="M115" s="1148"/>
      <c r="N115" s="1148"/>
      <c r="O115" s="1148"/>
      <c r="P115" s="1148"/>
      <c r="Q115" s="1148"/>
      <c r="R115" s="1148"/>
    </row>
    <row r="116" customFormat="false" ht="15.5" hidden="false" customHeight="false" outlineLevel="0" collapsed="false">
      <c r="A116" s="477"/>
      <c r="B116" s="477"/>
      <c r="C116" s="477"/>
      <c r="D116" s="479"/>
      <c r="E116" s="501"/>
      <c r="F116" s="504"/>
      <c r="G116" s="2070"/>
      <c r="H116" s="2043"/>
      <c r="I116" s="347"/>
      <c r="J116" s="347"/>
      <c r="K116" s="1148"/>
      <c r="L116" s="1148"/>
      <c r="M116" s="1148"/>
      <c r="N116" s="1148"/>
      <c r="O116" s="1148"/>
      <c r="P116" s="1148"/>
      <c r="Q116" s="1148"/>
      <c r="R116" s="1148"/>
    </row>
    <row r="117" customFormat="false" ht="15.5" hidden="false" customHeight="false" outlineLevel="0" collapsed="false">
      <c r="A117" s="347"/>
      <c r="B117" s="347"/>
      <c r="C117" s="347"/>
      <c r="D117" s="347"/>
      <c r="E117" s="347"/>
      <c r="F117" s="347"/>
      <c r="G117" s="2070"/>
      <c r="H117" s="2043"/>
      <c r="I117" s="347"/>
      <c r="J117" s="347"/>
      <c r="K117" s="1148"/>
      <c r="L117" s="1148"/>
      <c r="M117" s="1148"/>
      <c r="N117" s="1148"/>
      <c r="O117" s="1148"/>
      <c r="P117" s="1148"/>
      <c r="Q117" s="1148"/>
      <c r="R117" s="1148"/>
    </row>
    <row r="118" customFormat="false" ht="15.5" hidden="false" customHeight="false" outlineLevel="0" collapsed="false">
      <c r="A118" s="479"/>
      <c r="B118" s="479"/>
      <c r="C118" s="905"/>
      <c r="D118" s="2072"/>
      <c r="E118" s="2072"/>
      <c r="F118" s="358"/>
      <c r="G118" s="347"/>
      <c r="H118" s="2067"/>
      <c r="I118" s="347"/>
      <c r="J118" s="347"/>
      <c r="K118" s="1148"/>
      <c r="L118" s="1148"/>
      <c r="M118" s="1148"/>
      <c r="N118" s="1148"/>
      <c r="O118" s="1148"/>
      <c r="P118" s="1148"/>
      <c r="Q118" s="1148"/>
      <c r="R118" s="1148"/>
    </row>
    <row r="119" customFormat="false" ht="15.5" hidden="false" customHeight="false" outlineLevel="0" collapsed="false">
      <c r="A119" s="1160" t="s">
        <v>1965</v>
      </c>
      <c r="B119" s="1160"/>
      <c r="C119" s="1160"/>
      <c r="D119" s="1160"/>
      <c r="E119" s="1160"/>
      <c r="F119" s="1160"/>
      <c r="G119" s="937" t="str">
        <f aca="false">'Ввод данных'!F353</f>
        <v>Не считать</v>
      </c>
      <c r="H119" s="347" t="s">
        <v>3879</v>
      </c>
      <c r="I119" s="347"/>
      <c r="J119" s="347"/>
      <c r="K119" s="1148"/>
      <c r="L119" s="1148"/>
      <c r="M119" s="1148"/>
      <c r="N119" s="1148"/>
      <c r="O119" s="1148"/>
      <c r="P119" s="1148"/>
      <c r="Q119" s="1148"/>
      <c r="R119" s="1148"/>
    </row>
    <row r="120" customFormat="false" ht="15.5" hidden="false" customHeight="false" outlineLevel="0" collapsed="false">
      <c r="A120" s="1160" t="s">
        <v>1236</v>
      </c>
      <c r="B120" s="1160"/>
      <c r="C120" s="1160"/>
      <c r="D120" s="1160" t="s">
        <v>120</v>
      </c>
      <c r="E120" s="1160" t="s">
        <v>1802</v>
      </c>
      <c r="F120" s="1160"/>
      <c r="G120" s="358"/>
      <c r="H120" s="347"/>
      <c r="I120" s="347"/>
      <c r="J120" s="347"/>
      <c r="K120" s="1148"/>
      <c r="L120" s="1148"/>
      <c r="M120" s="1148"/>
      <c r="N120" s="1148"/>
      <c r="O120" s="1148"/>
      <c r="P120" s="1148"/>
      <c r="Q120" s="1148"/>
      <c r="R120" s="1148"/>
    </row>
    <row r="121" customFormat="false" ht="15.5" hidden="false" customHeight="false" outlineLevel="0" collapsed="false">
      <c r="A121" s="560" t="s">
        <v>2902</v>
      </c>
      <c r="B121" s="560"/>
      <c r="C121" s="560"/>
      <c r="D121" s="680" t="s">
        <v>159</v>
      </c>
      <c r="E121" s="474" t="n">
        <v>1</v>
      </c>
      <c r="F121" s="2033" t="e">
        <f aca="false">'ввод данных'!#ref!</f>
        <v>#VALUE!</v>
      </c>
      <c r="G121" s="347"/>
      <c r="H121" s="347"/>
      <c r="I121" s="347"/>
      <c r="J121" s="347"/>
      <c r="K121" s="1148"/>
      <c r="L121" s="1148"/>
      <c r="M121" s="1148"/>
      <c r="N121" s="1148"/>
      <c r="O121" s="1148"/>
      <c r="P121" s="1148"/>
      <c r="Q121" s="1148"/>
      <c r="R121" s="1148"/>
    </row>
    <row r="122" customFormat="false" ht="23.5" hidden="false" customHeight="false" outlineLevel="0" collapsed="false">
      <c r="A122" s="1973" t="s">
        <v>2903</v>
      </c>
      <c r="B122" s="1973"/>
      <c r="C122" s="1973"/>
      <c r="D122" s="1185" t="s">
        <v>159</v>
      </c>
      <c r="E122" s="2073" t="n">
        <v>1</v>
      </c>
      <c r="F122" s="2033" t="e">
        <f aca="false">'ввод данных'!#ref!</f>
        <v>#VALUE!</v>
      </c>
      <c r="G122" s="2065"/>
      <c r="H122" s="2043"/>
      <c r="I122" s="347"/>
      <c r="J122" s="347"/>
      <c r="K122" s="1148"/>
      <c r="L122" s="1148"/>
      <c r="M122" s="1148"/>
      <c r="N122" s="1148"/>
      <c r="O122" s="1148"/>
      <c r="P122" s="1148"/>
      <c r="Q122" s="1148"/>
      <c r="R122" s="1148"/>
    </row>
    <row r="123" customFormat="false" ht="15.5" hidden="false" customHeight="false" outlineLevel="0" collapsed="false">
      <c r="A123" s="560" t="s">
        <v>1978</v>
      </c>
      <c r="B123" s="560"/>
      <c r="C123" s="560"/>
      <c r="D123" s="680" t="s">
        <v>156</v>
      </c>
      <c r="E123" s="2023" t="n">
        <f aca="false">'Ввод данных'!C331</f>
        <v>1</v>
      </c>
      <c r="F123" s="347"/>
      <c r="G123" s="347"/>
      <c r="H123" s="2067"/>
      <c r="I123" s="347"/>
      <c r="J123" s="347"/>
      <c r="K123" s="1148"/>
      <c r="L123" s="1148"/>
      <c r="M123" s="1148"/>
      <c r="N123" s="1148"/>
      <c r="O123" s="1148"/>
      <c r="P123" s="1148"/>
      <c r="Q123" s="1148"/>
      <c r="R123" s="1148"/>
    </row>
    <row r="124" customFormat="false" ht="15.5" hidden="false" customHeight="false" outlineLevel="0" collapsed="false">
      <c r="A124" s="560" t="s">
        <v>1979</v>
      </c>
      <c r="B124" s="560"/>
      <c r="C124" s="560"/>
      <c r="D124" s="680" t="s">
        <v>156</v>
      </c>
      <c r="E124" s="2023" t="n">
        <f aca="false">'Ввод данных'!C332</f>
        <v>2</v>
      </c>
      <c r="F124" s="351"/>
      <c r="G124" s="351"/>
      <c r="H124" s="2067"/>
      <c r="I124" s="347"/>
      <c r="J124" s="347"/>
      <c r="K124" s="2021"/>
      <c r="L124" s="1148"/>
      <c r="M124" s="1148"/>
      <c r="N124" s="1148"/>
      <c r="O124" s="1148"/>
      <c r="P124" s="1148"/>
      <c r="Q124" s="1148"/>
      <c r="R124" s="1148"/>
    </row>
    <row r="125" customFormat="false" ht="15.5" hidden="false" customHeight="false" outlineLevel="0" collapsed="false">
      <c r="A125" s="2074" t="s">
        <v>3500</v>
      </c>
      <c r="B125" s="2074"/>
      <c r="C125" s="2074"/>
      <c r="D125" s="725" t="s">
        <v>156</v>
      </c>
      <c r="E125" s="2023" t="n">
        <f aca="false">'Ввод данных'!C329</f>
        <v>2</v>
      </c>
      <c r="F125" s="351"/>
      <c r="G125" s="351"/>
      <c r="H125" s="2067"/>
      <c r="I125" s="347"/>
      <c r="J125" s="347"/>
      <c r="K125" s="2024"/>
      <c r="L125" s="1148"/>
      <c r="M125" s="1148"/>
      <c r="N125" s="1148"/>
      <c r="O125" s="1148"/>
      <c r="P125" s="1148"/>
      <c r="Q125" s="1148"/>
      <c r="R125" s="1148"/>
    </row>
    <row r="126" customFormat="false" ht="15.5" hidden="false" customHeight="false" outlineLevel="0" collapsed="false">
      <c r="A126" s="261" t="s">
        <v>1943</v>
      </c>
      <c r="B126" s="261"/>
      <c r="C126" s="261"/>
      <c r="D126" s="263" t="s">
        <v>156</v>
      </c>
      <c r="E126" s="2023" t="n">
        <f aca="false">'Ввод данных'!C333</f>
        <v>2</v>
      </c>
      <c r="F126" s="1954"/>
      <c r="G126" s="1954"/>
      <c r="H126" s="2067"/>
      <c r="I126" s="347"/>
      <c r="J126" s="347"/>
      <c r="K126" s="2024"/>
      <c r="L126" s="1148"/>
      <c r="M126" s="1148"/>
      <c r="N126" s="1148"/>
      <c r="O126" s="1148"/>
      <c r="P126" s="1148"/>
      <c r="Q126" s="1148"/>
      <c r="R126" s="1148"/>
    </row>
    <row r="127" customFormat="false" ht="15.5" hidden="false" customHeight="false" outlineLevel="0" collapsed="false">
      <c r="A127" s="261" t="s">
        <v>3504</v>
      </c>
      <c r="B127" s="261"/>
      <c r="C127" s="261"/>
      <c r="D127" s="263" t="s">
        <v>156</v>
      </c>
      <c r="E127" s="2068" t="n">
        <f aca="false">SQRT((E124/2)*(E124/2)+E125*E125)</f>
        <v>2.23606797749979</v>
      </c>
      <c r="F127" s="1954"/>
      <c r="G127" s="1954"/>
      <c r="H127" s="2067"/>
      <c r="I127" s="347"/>
      <c r="J127" s="347"/>
      <c r="K127" s="2024"/>
      <c r="L127" s="1148"/>
      <c r="M127" s="1148"/>
      <c r="N127" s="1148"/>
      <c r="O127" s="1148"/>
      <c r="P127" s="1148"/>
      <c r="Q127" s="1148"/>
      <c r="R127" s="1148"/>
    </row>
    <row r="128" customFormat="false" ht="15.5" hidden="false" customHeight="false" outlineLevel="0" collapsed="false">
      <c r="A128" s="534" t="s">
        <v>3505</v>
      </c>
      <c r="B128" s="723"/>
      <c r="C128" s="754"/>
      <c r="D128" s="680" t="s">
        <v>156</v>
      </c>
      <c r="E128" s="2066" t="n">
        <f aca="false">SQRT((E126-E123)*(E126-E123)+E127*E127)</f>
        <v>2.44948974278318</v>
      </c>
      <c r="F128" s="2069"/>
      <c r="G128" s="2070"/>
      <c r="H128" s="2067"/>
      <c r="I128" s="347"/>
      <c r="J128" s="347"/>
      <c r="K128" s="2024"/>
      <c r="L128" s="1148"/>
      <c r="M128" s="1148"/>
      <c r="N128" s="1148"/>
      <c r="O128" s="1148"/>
      <c r="P128" s="1148"/>
      <c r="Q128" s="1148"/>
      <c r="R128" s="1148"/>
    </row>
    <row r="129" customFormat="false" ht="15.5" hidden="false" customHeight="false" outlineLevel="0" collapsed="false">
      <c r="A129" s="534" t="s">
        <v>3507</v>
      </c>
      <c r="B129" s="723"/>
      <c r="C129" s="754"/>
      <c r="D129" s="263" t="s">
        <v>156</v>
      </c>
      <c r="E129" s="2068" t="n">
        <f aca="false">SQRT(E126*E126+E127*E127)</f>
        <v>3</v>
      </c>
      <c r="F129" s="2069"/>
      <c r="G129" s="2070"/>
      <c r="H129" s="2067"/>
      <c r="I129" s="347"/>
      <c r="J129" s="347"/>
      <c r="K129" s="2024"/>
      <c r="L129" s="1148"/>
      <c r="M129" s="1148"/>
      <c r="N129" s="1148"/>
      <c r="O129" s="1148"/>
      <c r="P129" s="1148"/>
      <c r="Q129" s="1148"/>
      <c r="R129" s="1148"/>
    </row>
    <row r="130" customFormat="false" ht="15.5" hidden="false" customHeight="false" outlineLevel="0" collapsed="false">
      <c r="A130" s="261" t="s">
        <v>3508</v>
      </c>
      <c r="B130" s="261"/>
      <c r="C130" s="261"/>
      <c r="D130" s="263" t="s">
        <v>133</v>
      </c>
      <c r="E130" s="2068" t="n">
        <f aca="false">E127*(E126-E123)+E127*E123*2</f>
        <v>6.70820393249937</v>
      </c>
      <c r="F130" s="2069"/>
      <c r="G130" s="2070"/>
      <c r="H130" s="2067"/>
      <c r="I130" s="347"/>
      <c r="J130" s="347"/>
      <c r="K130" s="894"/>
      <c r="L130" s="1148"/>
      <c r="M130" s="1148"/>
      <c r="N130" s="1148"/>
      <c r="O130" s="1148"/>
      <c r="P130" s="1148"/>
      <c r="Q130" s="1148"/>
      <c r="R130" s="1148"/>
    </row>
    <row r="131" customFormat="false" ht="15.5" hidden="false" customHeight="false" outlineLevel="0" collapsed="false">
      <c r="A131" s="560" t="s">
        <v>3880</v>
      </c>
      <c r="B131" s="560"/>
      <c r="C131" s="560"/>
      <c r="D131" s="680" t="s">
        <v>133</v>
      </c>
      <c r="E131" s="537" t="n">
        <f aca="false">E127*E126</f>
        <v>4.47213595499958</v>
      </c>
      <c r="F131" s="351"/>
      <c r="G131" s="351"/>
      <c r="H131" s="2067"/>
      <c r="I131" s="347"/>
      <c r="J131" s="347"/>
      <c r="K131" s="2024"/>
      <c r="L131" s="1148"/>
      <c r="M131" s="1148"/>
      <c r="N131" s="1148"/>
      <c r="O131" s="1148"/>
      <c r="P131" s="1148"/>
      <c r="Q131" s="1148"/>
      <c r="R131" s="1148"/>
    </row>
    <row r="132" customFormat="false" ht="15.5" hidden="false" customHeight="false" outlineLevel="0" collapsed="false">
      <c r="A132" s="560" t="s">
        <v>3510</v>
      </c>
      <c r="B132" s="560"/>
      <c r="C132" s="560"/>
      <c r="D132" s="680" t="s">
        <v>133</v>
      </c>
      <c r="E132" s="474" t="n">
        <f aca="false">SQRT(E129*E129-(E124/2)*(E124/2))</f>
        <v>2.82842712474619</v>
      </c>
      <c r="F132" s="347"/>
      <c r="G132" s="2070"/>
      <c r="H132" s="2067"/>
      <c r="I132" s="347"/>
      <c r="J132" s="347"/>
      <c r="K132" s="2075"/>
      <c r="L132" s="1148"/>
      <c r="M132" s="1148"/>
      <c r="N132" s="1148"/>
      <c r="O132" s="1148"/>
      <c r="P132" s="1148"/>
      <c r="Q132" s="1148"/>
      <c r="R132" s="1148"/>
    </row>
    <row r="133" customFormat="false" ht="15.5" hidden="false" customHeight="false" outlineLevel="0" collapsed="false">
      <c r="A133" s="261" t="s">
        <v>3512</v>
      </c>
      <c r="B133" s="261"/>
      <c r="C133" s="261"/>
      <c r="D133" s="474" t="s">
        <v>133</v>
      </c>
      <c r="E133" s="474" t="n">
        <f aca="false">E130*1.35</f>
        <v>9.05607530887415</v>
      </c>
      <c r="F133" s="347"/>
      <c r="G133" s="347"/>
      <c r="H133" s="2067"/>
      <c r="I133" s="347"/>
      <c r="J133" s="347"/>
      <c r="K133" s="2032"/>
      <c r="L133" s="1148"/>
      <c r="M133" s="1148"/>
      <c r="N133" s="1148"/>
      <c r="O133" s="1148"/>
      <c r="P133" s="1148"/>
      <c r="Q133" s="1148"/>
      <c r="R133" s="1148"/>
    </row>
    <row r="134" customFormat="false" ht="15.5" hidden="false" customHeight="false" outlineLevel="0" collapsed="false">
      <c r="A134" s="261" t="s">
        <v>3881</v>
      </c>
      <c r="B134" s="261"/>
      <c r="C134" s="261"/>
      <c r="D134" s="474" t="s">
        <v>133</v>
      </c>
      <c r="E134" s="474" t="n">
        <f aca="false">E131*1.35</f>
        <v>6.03738353924943</v>
      </c>
      <c r="F134" s="347"/>
      <c r="G134" s="2070"/>
      <c r="H134" s="2067"/>
      <c r="I134" s="347"/>
      <c r="J134" s="347"/>
      <c r="K134" s="2032"/>
      <c r="L134" s="1148"/>
      <c r="M134" s="1148"/>
      <c r="N134" s="1148"/>
      <c r="O134" s="1148"/>
      <c r="P134" s="1148"/>
      <c r="Q134" s="1148"/>
      <c r="R134" s="1148"/>
    </row>
    <row r="135" customFormat="false" ht="15.5" hidden="false" customHeight="false" outlineLevel="0" collapsed="false">
      <c r="A135" s="560" t="s">
        <v>2628</v>
      </c>
      <c r="B135" s="560"/>
      <c r="C135" s="560"/>
      <c r="D135" s="560" t="s">
        <v>1820</v>
      </c>
      <c r="E135" s="2066"/>
      <c r="F135" s="2033"/>
      <c r="G135" s="2070"/>
      <c r="H135" s="2067"/>
      <c r="I135" s="347"/>
      <c r="J135" s="347"/>
      <c r="K135" s="2024"/>
      <c r="L135" s="1148"/>
      <c r="M135" s="1148"/>
      <c r="N135" s="1148"/>
      <c r="O135" s="1148"/>
      <c r="P135" s="1148"/>
      <c r="Q135" s="1148"/>
      <c r="R135" s="1148"/>
    </row>
    <row r="136" customFormat="false" ht="15.5" hidden="false" customHeight="false" outlineLevel="0" collapsed="false">
      <c r="A136" s="263" t="s">
        <v>3518</v>
      </c>
      <c r="B136" s="263"/>
      <c r="C136" s="263"/>
      <c r="D136" s="263" t="s">
        <v>156</v>
      </c>
      <c r="E136" s="1017" t="n">
        <v>0.15</v>
      </c>
      <c r="F136" s="2033"/>
      <c r="G136" s="2070"/>
      <c r="H136" s="2067"/>
      <c r="I136" s="347"/>
      <c r="J136" s="347"/>
      <c r="K136" s="2024"/>
      <c r="L136" s="1148"/>
      <c r="M136" s="1148"/>
      <c r="N136" s="1148"/>
      <c r="O136" s="1148"/>
      <c r="P136" s="1148"/>
      <c r="Q136" s="1148"/>
      <c r="R136" s="1148"/>
    </row>
    <row r="137" customFormat="false" ht="15.5" hidden="false" customHeight="false" outlineLevel="0" collapsed="false">
      <c r="A137" s="263"/>
      <c r="B137" s="263"/>
      <c r="C137" s="263"/>
      <c r="D137" s="263" t="s">
        <v>156</v>
      </c>
      <c r="E137" s="1017" t="n">
        <v>0.2</v>
      </c>
      <c r="F137" s="2033"/>
      <c r="G137" s="2070"/>
      <c r="H137" s="2067"/>
      <c r="I137" s="347"/>
      <c r="J137" s="347"/>
      <c r="K137" s="2024"/>
      <c r="L137" s="1148"/>
      <c r="M137" s="1148"/>
      <c r="N137" s="1148"/>
      <c r="O137" s="1148"/>
      <c r="P137" s="1148"/>
      <c r="Q137" s="1148"/>
      <c r="R137" s="1148"/>
    </row>
    <row r="138" customFormat="false" ht="15.5" hidden="false" customHeight="false" outlineLevel="0" collapsed="false">
      <c r="A138" s="263" t="s">
        <v>2632</v>
      </c>
      <c r="B138" s="263"/>
      <c r="C138" s="263"/>
      <c r="D138" s="263" t="s">
        <v>156</v>
      </c>
      <c r="E138" s="1017" t="n">
        <v>0.15</v>
      </c>
      <c r="F138" s="2033"/>
      <c r="G138" s="347"/>
      <c r="H138" s="2048"/>
      <c r="I138" s="347"/>
      <c r="J138" s="347"/>
      <c r="K138" s="2024"/>
      <c r="L138" s="1148"/>
      <c r="M138" s="1148"/>
      <c r="N138" s="1148"/>
      <c r="O138" s="1148"/>
      <c r="P138" s="1148"/>
      <c r="Q138" s="1148"/>
      <c r="R138" s="1148"/>
    </row>
    <row r="139" customFormat="false" ht="15.5" hidden="false" customHeight="false" outlineLevel="0" collapsed="false">
      <c r="A139" s="263"/>
      <c r="B139" s="263"/>
      <c r="C139" s="263"/>
      <c r="D139" s="263" t="s">
        <v>156</v>
      </c>
      <c r="E139" s="1017" t="n">
        <v>0.2</v>
      </c>
      <c r="F139" s="2033"/>
      <c r="G139" s="347"/>
      <c r="H139" s="2048"/>
      <c r="I139" s="347"/>
      <c r="J139" s="347"/>
      <c r="K139" s="2024"/>
      <c r="L139" s="1148"/>
      <c r="M139" s="1148"/>
      <c r="N139" s="1148"/>
      <c r="O139" s="1148"/>
      <c r="P139" s="1148"/>
      <c r="Q139" s="1148"/>
      <c r="R139" s="1148"/>
    </row>
    <row r="140" customFormat="false" ht="15.5" hidden="false" customHeight="false" outlineLevel="0" collapsed="false">
      <c r="A140" s="347"/>
      <c r="B140" s="347"/>
      <c r="C140" s="347"/>
      <c r="D140" s="347"/>
      <c r="E140" s="347"/>
      <c r="F140" s="358"/>
      <c r="G140" s="347"/>
      <c r="H140" s="2048"/>
      <c r="I140" s="347"/>
      <c r="J140" s="347"/>
      <c r="K140" s="998"/>
      <c r="L140" s="1148"/>
      <c r="M140" s="1148"/>
      <c r="N140" s="1148"/>
      <c r="O140" s="1148"/>
      <c r="P140" s="1148"/>
      <c r="Q140" s="1148"/>
      <c r="R140" s="1148"/>
    </row>
    <row r="141" customFormat="false" ht="15.5" hidden="false" customHeight="false" outlineLevel="0" collapsed="false">
      <c r="A141" s="2025"/>
      <c r="B141" s="2025"/>
      <c r="C141" s="2025"/>
      <c r="D141" s="2025"/>
      <c r="E141" s="2024"/>
      <c r="F141" s="2055"/>
      <c r="G141" s="2025"/>
      <c r="H141" s="2048"/>
      <c r="I141" s="2048"/>
      <c r="J141" s="2048"/>
      <c r="K141" s="998"/>
      <c r="L141" s="1148"/>
      <c r="M141" s="1148"/>
      <c r="N141" s="1148"/>
      <c r="O141" s="1148"/>
      <c r="P141" s="1148"/>
      <c r="Q141" s="1148"/>
      <c r="R141" s="1148"/>
    </row>
    <row r="142" customFormat="false" ht="15.5" hidden="false" customHeight="false" outlineLevel="0" collapsed="false">
      <c r="A142" s="2025"/>
      <c r="B142" s="2025"/>
      <c r="C142" s="2025"/>
      <c r="D142" s="2025"/>
      <c r="E142" s="2025"/>
      <c r="F142" s="2025"/>
      <c r="G142" s="2025"/>
      <c r="H142" s="2048"/>
      <c r="I142" s="2048"/>
      <c r="J142" s="2048"/>
      <c r="K142" s="998"/>
      <c r="L142" s="1148"/>
      <c r="M142" s="1148"/>
      <c r="N142" s="1148"/>
      <c r="O142" s="1148"/>
      <c r="P142" s="1148"/>
      <c r="Q142" s="1148"/>
      <c r="R142" s="1148"/>
    </row>
    <row r="143" customFormat="false" ht="15.5" hidden="false" customHeight="false" outlineLevel="0" collapsed="false">
      <c r="A143" s="889" t="s">
        <v>2544</v>
      </c>
      <c r="B143" s="2076"/>
      <c r="C143" s="2031" t="s">
        <v>120</v>
      </c>
      <c r="D143" s="2031" t="s">
        <v>1753</v>
      </c>
      <c r="E143" s="2023" t="str">
        <f aca="false">'Ввод данных'!F416</f>
        <v>Не считать</v>
      </c>
      <c r="F143" s="2077" t="s">
        <v>2545</v>
      </c>
      <c r="G143" s="2025"/>
      <c r="H143" s="2048"/>
      <c r="I143" s="2048"/>
      <c r="J143" s="2048"/>
      <c r="K143" s="998"/>
      <c r="L143" s="1148"/>
      <c r="M143" s="1148"/>
      <c r="N143" s="1148"/>
      <c r="O143" s="1148"/>
      <c r="P143" s="1148"/>
      <c r="Q143" s="1148"/>
      <c r="R143" s="1148"/>
    </row>
    <row r="144" customFormat="false" ht="15.5" hidden="false" customHeight="false" outlineLevel="0" collapsed="false">
      <c r="A144" s="560" t="s">
        <v>2547</v>
      </c>
      <c r="B144" s="560"/>
      <c r="C144" s="754" t="s">
        <v>159</v>
      </c>
      <c r="D144" s="2035"/>
      <c r="E144" s="2025"/>
      <c r="F144" s="2025"/>
      <c r="G144" s="2025"/>
      <c r="H144" s="2025"/>
      <c r="I144" s="2025"/>
      <c r="J144" s="2025"/>
      <c r="K144" s="894"/>
      <c r="L144" s="1148"/>
      <c r="M144" s="1148"/>
      <c r="N144" s="1148"/>
      <c r="O144" s="1148"/>
      <c r="P144" s="1148"/>
      <c r="Q144" s="1148"/>
      <c r="R144" s="1148"/>
    </row>
    <row r="145" customFormat="false" ht="15.5" hidden="false" customHeight="false" outlineLevel="0" collapsed="false">
      <c r="A145" s="560" t="s">
        <v>2552</v>
      </c>
      <c r="B145" s="560"/>
      <c r="C145" s="754" t="s">
        <v>159</v>
      </c>
      <c r="D145" s="2035" t="n">
        <f aca="false">'Ввод данных'!E358</f>
        <v>1</v>
      </c>
      <c r="E145" s="2025"/>
      <c r="F145" s="2025"/>
      <c r="G145" s="2025"/>
      <c r="H145" s="2025"/>
      <c r="I145" s="2025"/>
      <c r="J145" s="2025"/>
      <c r="K145" s="894"/>
      <c r="L145" s="1148"/>
      <c r="M145" s="1148"/>
      <c r="N145" s="1148"/>
      <c r="O145" s="1148"/>
      <c r="P145" s="1148"/>
      <c r="Q145" s="1148"/>
      <c r="R145" s="1148"/>
    </row>
    <row r="146" customFormat="false" ht="15.5" hidden="false" customHeight="false" outlineLevel="0" collapsed="false">
      <c r="A146" s="560" t="s">
        <v>1236</v>
      </c>
      <c r="B146" s="560"/>
      <c r="C146" s="347" t="s">
        <v>120</v>
      </c>
      <c r="D146" s="474" t="s">
        <v>1753</v>
      </c>
      <c r="E146" s="474" t="s">
        <v>293</v>
      </c>
      <c r="F146" s="474" t="s">
        <v>1820</v>
      </c>
      <c r="G146" s="2025"/>
      <c r="H146" s="2025"/>
      <c r="I146" s="2025"/>
      <c r="J146" s="2025"/>
      <c r="K146" s="894"/>
      <c r="L146" s="1148"/>
      <c r="M146" s="1148"/>
      <c r="N146" s="1148"/>
      <c r="O146" s="1148"/>
      <c r="P146" s="1148"/>
      <c r="Q146" s="1148"/>
      <c r="R146" s="1148"/>
    </row>
    <row r="147" customFormat="false" ht="15.5" hidden="false" customHeight="false" outlineLevel="0" collapsed="false">
      <c r="A147" s="560" t="s">
        <v>2001</v>
      </c>
      <c r="B147" s="560"/>
      <c r="C147" s="723" t="s">
        <v>156</v>
      </c>
      <c r="D147" s="680" t="e">
        <f aca="false">D150*D151*F147</f>
        <v>#VALUE!</v>
      </c>
      <c r="E147" s="2023" t="str">
        <f aca="false">связи1!E549</f>
        <v>№3</v>
      </c>
      <c r="F147" s="2033" t="e">
        <f aca="false">'ввод данных'!#ref!</f>
        <v>#VALUE!</v>
      </c>
      <c r="G147" s="358" t="s">
        <v>3521</v>
      </c>
      <c r="H147" s="347"/>
      <c r="I147" s="2025"/>
      <c r="J147" s="2025"/>
      <c r="K147" s="894"/>
      <c r="L147" s="1148"/>
      <c r="M147" s="1148"/>
      <c r="N147" s="1148"/>
      <c r="O147" s="1148"/>
      <c r="P147" s="1148"/>
      <c r="Q147" s="1148"/>
      <c r="R147" s="1148"/>
    </row>
    <row r="148" customFormat="false" ht="15.5" hidden="false" customHeight="false" outlineLevel="0" collapsed="false">
      <c r="A148" s="560" t="s">
        <v>2557</v>
      </c>
      <c r="B148" s="560"/>
      <c r="C148" s="723" t="s">
        <v>156</v>
      </c>
      <c r="D148" s="680" t="e">
        <f aca="false">D150*D151*F148</f>
        <v>#VALUE!</v>
      </c>
      <c r="E148" s="2023" t="n">
        <f aca="false">связи1!E550</f>
        <v>1</v>
      </c>
      <c r="F148" s="2033" t="e">
        <f aca="false">'ввод данных'!#ref!</f>
        <v>#VALUE!</v>
      </c>
      <c r="G148" s="358" t="s">
        <v>3522</v>
      </c>
      <c r="H148" s="347"/>
      <c r="I148" s="2025"/>
      <c r="J148" s="2025"/>
      <c r="K148" s="894"/>
      <c r="L148" s="1148"/>
      <c r="M148" s="1148"/>
      <c r="N148" s="1148"/>
      <c r="O148" s="1148"/>
      <c r="P148" s="1148"/>
      <c r="Q148" s="1148"/>
      <c r="R148" s="1148"/>
    </row>
    <row r="149" customFormat="false" ht="15.5" hidden="false" customHeight="false" outlineLevel="0" collapsed="false">
      <c r="A149" s="902" t="s">
        <v>2558</v>
      </c>
      <c r="B149" s="902"/>
      <c r="C149" s="948" t="s">
        <v>156</v>
      </c>
      <c r="D149" s="925" t="n">
        <f aca="false">D150*D151*F149</f>
        <v>0</v>
      </c>
      <c r="E149" s="2023" t="n">
        <f aca="false">'Ввод данных'!E362</f>
        <v>0</v>
      </c>
      <c r="F149" s="2033" t="n">
        <f aca="false">'Ввод данных'!G366</f>
        <v>0</v>
      </c>
      <c r="G149" s="358" t="s">
        <v>3523</v>
      </c>
      <c r="H149" s="2048"/>
      <c r="I149" s="2048"/>
      <c r="J149" s="2048"/>
      <c r="K149" s="894"/>
      <c r="L149" s="1148"/>
      <c r="M149" s="1148"/>
      <c r="N149" s="1148"/>
      <c r="O149" s="1148"/>
      <c r="P149" s="1148"/>
      <c r="Q149" s="1148"/>
      <c r="R149" s="1148"/>
    </row>
    <row r="150" customFormat="false" ht="15.5" hidden="false" customHeight="false" outlineLevel="0" collapsed="false">
      <c r="A150" s="902" t="s">
        <v>2071</v>
      </c>
      <c r="B150" s="902"/>
      <c r="C150" s="2022" t="s">
        <v>156</v>
      </c>
      <c r="D150" s="2035"/>
      <c r="E150" s="2025"/>
      <c r="F150" s="2025"/>
      <c r="G150" s="2025"/>
      <c r="H150" s="2048"/>
      <c r="I150" s="2048"/>
      <c r="J150" s="2048"/>
      <c r="K150" s="894"/>
      <c r="L150" s="1148"/>
      <c r="M150" s="1148"/>
      <c r="N150" s="1148"/>
      <c r="O150" s="1148"/>
      <c r="P150" s="1148"/>
      <c r="Q150" s="1148"/>
      <c r="R150" s="1148"/>
    </row>
    <row r="151" customFormat="false" ht="15.5" hidden="false" customHeight="false" outlineLevel="0" collapsed="false">
      <c r="A151" s="902" t="s">
        <v>2573</v>
      </c>
      <c r="B151" s="902"/>
      <c r="C151" s="2042" t="s">
        <v>156</v>
      </c>
      <c r="D151" s="2035"/>
      <c r="E151" s="2025"/>
      <c r="F151" s="2025"/>
      <c r="G151" s="2025"/>
      <c r="H151" s="2024"/>
      <c r="I151" s="2048"/>
      <c r="J151" s="2048"/>
      <c r="K151" s="894"/>
      <c r="L151" s="1148"/>
      <c r="M151" s="1148"/>
      <c r="N151" s="1148"/>
      <c r="O151" s="1148"/>
      <c r="P151" s="1148"/>
      <c r="Q151" s="1148"/>
      <c r="R151" s="1148"/>
    </row>
    <row r="152" customFormat="false" ht="15.5" hidden="false" customHeight="false" outlineLevel="0" collapsed="false">
      <c r="A152" s="902" t="s">
        <v>3882</v>
      </c>
      <c r="B152" s="902"/>
      <c r="C152" s="2042" t="s">
        <v>156</v>
      </c>
      <c r="D152" s="2035"/>
      <c r="E152" s="2025"/>
      <c r="F152" s="2025"/>
      <c r="G152" s="2025"/>
      <c r="H152" s="2024"/>
      <c r="I152" s="2048"/>
      <c r="J152" s="2048"/>
      <c r="K152" s="894"/>
      <c r="L152" s="1148"/>
      <c r="M152" s="1148"/>
      <c r="N152" s="1148"/>
      <c r="O152" s="1148"/>
      <c r="P152" s="1148"/>
      <c r="Q152" s="1148"/>
      <c r="R152" s="1148"/>
    </row>
    <row r="153" customFormat="false" ht="15.5" hidden="false" customHeight="false" outlineLevel="0" collapsed="false">
      <c r="A153" s="902" t="s">
        <v>3883</v>
      </c>
      <c r="B153" s="902"/>
      <c r="C153" s="2042" t="s">
        <v>156</v>
      </c>
      <c r="D153" s="2035"/>
      <c r="E153" s="2025"/>
      <c r="F153" s="2025"/>
      <c r="G153" s="2025"/>
      <c r="H153" s="2024"/>
      <c r="I153" s="2048"/>
      <c r="J153" s="2048"/>
      <c r="K153" s="894"/>
      <c r="L153" s="1148"/>
      <c r="M153" s="1148"/>
      <c r="N153" s="1148"/>
      <c r="O153" s="1148"/>
      <c r="P153" s="1148"/>
      <c r="Q153" s="1148"/>
      <c r="R153" s="1148"/>
    </row>
    <row r="154" customFormat="false" ht="15.5" hidden="false" customHeight="false" outlineLevel="0" collapsed="false">
      <c r="A154" s="902" t="s">
        <v>3884</v>
      </c>
      <c r="B154" s="902"/>
      <c r="C154" s="2042" t="s">
        <v>156</v>
      </c>
      <c r="D154" s="2035"/>
      <c r="E154" s="2025"/>
      <c r="F154" s="2025"/>
      <c r="G154" s="2025"/>
      <c r="H154" s="2025"/>
      <c r="I154" s="2048"/>
      <c r="J154" s="2048"/>
      <c r="K154" s="894"/>
      <c r="L154" s="1148"/>
      <c r="M154" s="1148"/>
      <c r="N154" s="1148"/>
      <c r="O154" s="1148"/>
      <c r="P154" s="1148"/>
      <c r="Q154" s="1148"/>
      <c r="R154" s="1148"/>
    </row>
    <row r="155" customFormat="false" ht="15.5" hidden="false" customHeight="false" outlineLevel="0" collapsed="false">
      <c r="A155" s="907" t="s">
        <v>3885</v>
      </c>
      <c r="B155" s="907"/>
      <c r="C155" s="2042" t="s">
        <v>156</v>
      </c>
      <c r="D155" s="2053" t="n">
        <f aca="false">D154-D152</f>
        <v>0</v>
      </c>
      <c r="E155" s="2025"/>
      <c r="F155" s="2025"/>
      <c r="G155" s="2025"/>
      <c r="H155" s="2025"/>
      <c r="I155" s="2048"/>
      <c r="J155" s="2048"/>
      <c r="K155" s="894"/>
      <c r="L155" s="1148"/>
      <c r="M155" s="1148"/>
      <c r="N155" s="1148"/>
      <c r="O155" s="1148"/>
      <c r="P155" s="1148"/>
      <c r="Q155" s="1148"/>
      <c r="R155" s="1148"/>
    </row>
    <row r="156" customFormat="false" ht="15.5" hidden="false" customHeight="false" outlineLevel="0" collapsed="false">
      <c r="A156" s="902" t="s">
        <v>3886</v>
      </c>
      <c r="B156" s="902"/>
      <c r="C156" s="2042" t="s">
        <v>156</v>
      </c>
      <c r="D156" s="2042" t="e">
        <f aca="false">(D153+D152+D155+E147+E148+E149)*E143</f>
        <v>#VALUE!</v>
      </c>
      <c r="E156" s="2025"/>
      <c r="F156" s="2025"/>
      <c r="G156" s="2025"/>
      <c r="H156" s="2025"/>
      <c r="I156" s="2048"/>
      <c r="J156" s="2048"/>
      <c r="K156" s="894"/>
      <c r="L156" s="1148"/>
      <c r="M156" s="1148"/>
      <c r="N156" s="1148"/>
      <c r="O156" s="1148"/>
      <c r="P156" s="1148"/>
      <c r="Q156" s="1148"/>
      <c r="R156" s="1148"/>
    </row>
    <row r="157" customFormat="false" ht="15.5" hidden="false" customHeight="false" outlineLevel="0" collapsed="false">
      <c r="A157" s="902" t="s">
        <v>1093</v>
      </c>
      <c r="B157" s="902"/>
      <c r="C157" s="2025" t="s">
        <v>120</v>
      </c>
      <c r="D157" s="2077" t="s">
        <v>853</v>
      </c>
      <c r="E157" s="2042" t="s">
        <v>1802</v>
      </c>
      <c r="F157" s="2053" t="s">
        <v>853</v>
      </c>
      <c r="G157" s="2053" t="s">
        <v>2548</v>
      </c>
      <c r="H157" s="2024"/>
      <c r="I157" s="2048"/>
      <c r="J157" s="2048"/>
      <c r="K157" s="2078"/>
      <c r="L157" s="1148"/>
      <c r="M157" s="1148"/>
      <c r="N157" s="1148"/>
      <c r="O157" s="1148"/>
      <c r="P157" s="1148"/>
      <c r="Q157" s="1148"/>
      <c r="R157" s="1148"/>
    </row>
    <row r="158" customFormat="false" ht="15.5" hidden="false" customHeight="false" outlineLevel="0" collapsed="false">
      <c r="A158" s="680" t="s">
        <v>2553</v>
      </c>
      <c r="B158" s="680"/>
      <c r="C158" s="2042" t="s">
        <v>156</v>
      </c>
      <c r="D158" s="2035" t="n">
        <f aca="false">связи1!D552</f>
        <v>3</v>
      </c>
      <c r="E158" s="2023" t="n">
        <f aca="false">связи1!E552</f>
        <v>3</v>
      </c>
      <c r="F158" s="2053" t="n">
        <f aca="false">D158*E158</f>
        <v>9</v>
      </c>
      <c r="G158" s="2053" t="n">
        <f aca="false">F158*D153</f>
        <v>0</v>
      </c>
      <c r="H158" s="2024"/>
      <c r="I158" s="2048"/>
      <c r="J158" s="2048"/>
      <c r="K158" s="2055"/>
      <c r="L158" s="1148"/>
      <c r="M158" s="1148"/>
      <c r="N158" s="1148"/>
      <c r="O158" s="1148"/>
      <c r="P158" s="1148"/>
      <c r="Q158" s="1148"/>
      <c r="R158" s="1148"/>
    </row>
    <row r="159" customFormat="false" ht="15.5" hidden="false" customHeight="false" outlineLevel="0" collapsed="false">
      <c r="A159" s="680"/>
      <c r="B159" s="680"/>
      <c r="C159" s="2042" t="s">
        <v>1322</v>
      </c>
      <c r="D159" s="2035" t="n">
        <f aca="false">связи1!D553</f>
        <v>2.9</v>
      </c>
      <c r="E159" s="2023" t="n">
        <f aca="false">связи1!E553</f>
        <v>2.9</v>
      </c>
      <c r="F159" s="2053" t="n">
        <f aca="false">D159*E159</f>
        <v>8.41</v>
      </c>
      <c r="G159" s="2053" t="n">
        <f aca="false">F159*D153</f>
        <v>0</v>
      </c>
      <c r="H159" s="2024"/>
      <c r="I159" s="2048"/>
      <c r="J159" s="2048"/>
      <c r="K159" s="894"/>
      <c r="L159" s="1148"/>
      <c r="M159" s="1148"/>
      <c r="N159" s="1148"/>
      <c r="O159" s="1148"/>
      <c r="P159" s="1148"/>
      <c r="Q159" s="1148"/>
      <c r="R159" s="1148"/>
    </row>
    <row r="160" customFormat="false" ht="15.5" hidden="false" customHeight="false" outlineLevel="0" collapsed="false">
      <c r="A160" s="680" t="s">
        <v>2556</v>
      </c>
      <c r="B160" s="680"/>
      <c r="C160" s="2042" t="s">
        <v>156</v>
      </c>
      <c r="D160" s="2035" t="n">
        <f aca="false">связи1!D556</f>
        <v>2.2</v>
      </c>
      <c r="E160" s="2023" t="n">
        <f aca="false">связи1!E556</f>
        <v>2.2</v>
      </c>
      <c r="F160" s="2053" t="n">
        <f aca="false">D160*E160</f>
        <v>4.84</v>
      </c>
      <c r="G160" s="2053" t="n">
        <f aca="false">F160*D153</f>
        <v>0</v>
      </c>
      <c r="H160" s="2024"/>
      <c r="I160" s="2048"/>
      <c r="J160" s="2048"/>
      <c r="K160" s="894"/>
      <c r="L160" s="1148"/>
      <c r="M160" s="1148"/>
      <c r="N160" s="1148"/>
      <c r="O160" s="1148"/>
      <c r="P160" s="1148"/>
      <c r="Q160" s="1148"/>
      <c r="R160" s="1148"/>
    </row>
    <row r="161" customFormat="false" ht="15.5" hidden="false" customHeight="false" outlineLevel="0" collapsed="false">
      <c r="A161" s="680"/>
      <c r="B161" s="680"/>
      <c r="C161" s="2042" t="s">
        <v>156</v>
      </c>
      <c r="D161" s="2035" t="n">
        <f aca="false">связи1!D557</f>
        <v>1</v>
      </c>
      <c r="E161" s="2023" t="n">
        <f aca="false">связи1!E557</f>
        <v>2.9</v>
      </c>
      <c r="F161" s="2053" t="n">
        <f aca="false">D161*E161</f>
        <v>2.9</v>
      </c>
      <c r="G161" s="2053" t="n">
        <f aca="false">F161*D153</f>
        <v>0</v>
      </c>
      <c r="H161" s="2024"/>
      <c r="I161" s="2048"/>
      <c r="J161" s="2048"/>
      <c r="K161" s="894"/>
      <c r="L161" s="1148"/>
      <c r="M161" s="1148"/>
      <c r="N161" s="1148"/>
      <c r="O161" s="1148"/>
      <c r="P161" s="1148"/>
      <c r="Q161" s="1148"/>
      <c r="R161" s="1148"/>
    </row>
    <row r="162" customFormat="false" ht="15.5" hidden="false" customHeight="false" outlineLevel="0" collapsed="false">
      <c r="A162" s="680" t="s">
        <v>2559</v>
      </c>
      <c r="B162" s="680"/>
      <c r="C162" s="2042" t="s">
        <v>1322</v>
      </c>
      <c r="D162" s="2035" t="n">
        <f aca="false">связи1!D558</f>
        <v>2.1</v>
      </c>
      <c r="E162" s="2023"/>
      <c r="F162" s="2053" t="n">
        <f aca="false">D162*E162</f>
        <v>0</v>
      </c>
      <c r="G162" s="2053" t="n">
        <f aca="false">F162*D152*D145</f>
        <v>0</v>
      </c>
      <c r="H162" s="2048"/>
      <c r="I162" s="2048"/>
      <c r="J162" s="2048"/>
      <c r="K162" s="894"/>
      <c r="L162" s="1148"/>
      <c r="M162" s="1148"/>
      <c r="N162" s="1148"/>
      <c r="O162" s="1148"/>
      <c r="P162" s="1148"/>
      <c r="Q162" s="1148"/>
      <c r="R162" s="1148"/>
    </row>
    <row r="163" customFormat="false" ht="15.5" hidden="false" customHeight="false" outlineLevel="0" collapsed="false">
      <c r="A163" s="680"/>
      <c r="B163" s="680"/>
      <c r="C163" s="2042" t="s">
        <v>156</v>
      </c>
      <c r="D163" s="2035" t="e">
        <f aca="false">'ввод данных'!#ref!</f>
        <v>#VALUE!</v>
      </c>
      <c r="E163" s="2023" t="e">
        <f aca="false">'ввод данных'!#ref!</f>
        <v>#VALUE!</v>
      </c>
      <c r="F163" s="2053" t="e">
        <f aca="false">D163*E163</f>
        <v>#VALUE!</v>
      </c>
      <c r="G163" s="2053" t="e">
        <f aca="false">F163*D152*D145</f>
        <v>#VALUE!</v>
      </c>
      <c r="H163" s="2048"/>
      <c r="I163" s="2048"/>
      <c r="J163" s="2048"/>
      <c r="K163" s="894"/>
      <c r="L163" s="1148"/>
      <c r="M163" s="1148"/>
      <c r="N163" s="1148"/>
      <c r="O163" s="1148"/>
      <c r="P163" s="1148"/>
      <c r="Q163" s="1148"/>
      <c r="R163" s="1148"/>
    </row>
    <row r="164" customFormat="false" ht="15.5" hidden="false" customHeight="false" outlineLevel="0" collapsed="false">
      <c r="A164" s="680" t="s">
        <v>2559</v>
      </c>
      <c r="B164" s="680"/>
      <c r="C164" s="2042" t="s">
        <v>156</v>
      </c>
      <c r="D164" s="2035" t="e">
        <f aca="false">'ввод данных'!#ref!</f>
        <v>#VALUE!</v>
      </c>
      <c r="E164" s="2023" t="e">
        <f aca="false">'ввод данных'!#ref!</f>
        <v>#VALUE!</v>
      </c>
      <c r="F164" s="2053" t="e">
        <f aca="false">D164*E164</f>
        <v>#VALUE!</v>
      </c>
      <c r="G164" s="903" t="e">
        <f aca="false">F164*D152*D145</f>
        <v>#VALUE!</v>
      </c>
      <c r="H164" s="895"/>
      <c r="I164" s="895"/>
      <c r="J164" s="2048"/>
      <c r="K164" s="894"/>
      <c r="L164" s="1148"/>
      <c r="M164" s="1148"/>
      <c r="N164" s="1148"/>
      <c r="O164" s="1148"/>
      <c r="P164" s="1148"/>
      <c r="Q164" s="1148"/>
      <c r="R164" s="1148"/>
    </row>
    <row r="165" customFormat="false" ht="15.5" hidden="false" customHeight="false" outlineLevel="0" collapsed="false">
      <c r="A165" s="680"/>
      <c r="B165" s="680"/>
      <c r="C165" s="2042" t="s">
        <v>156</v>
      </c>
      <c r="D165" s="2035" t="e">
        <f aca="false">'ввод данных'!#ref!</f>
        <v>#VALUE!</v>
      </c>
      <c r="E165" s="2023" t="e">
        <f aca="false">'ввод данных'!#ref!</f>
        <v>#VALUE!</v>
      </c>
      <c r="F165" s="2053" t="e">
        <f aca="false">D165*E165</f>
        <v>#VALUE!</v>
      </c>
      <c r="G165" s="903" t="e">
        <f aca="false">F165*D152*D145</f>
        <v>#VALUE!</v>
      </c>
      <c r="H165" s="895"/>
      <c r="I165" s="895"/>
      <c r="J165" s="998"/>
      <c r="K165" s="894"/>
      <c r="L165" s="1148"/>
      <c r="M165" s="1148"/>
      <c r="N165" s="1148"/>
      <c r="O165" s="1148"/>
      <c r="P165" s="1148"/>
      <c r="Q165" s="1148"/>
      <c r="R165" s="1148"/>
    </row>
    <row r="166" customFormat="false" ht="15.5" hidden="false" customHeight="false" outlineLevel="0" collapsed="false">
      <c r="A166" s="495" t="s">
        <v>2578</v>
      </c>
      <c r="B166" s="495"/>
      <c r="C166" s="495"/>
      <c r="D166" s="495"/>
      <c r="E166" s="495"/>
      <c r="F166" s="2053" t="e">
        <f aca="false">SUM(F158:F165)</f>
        <v>#VALUE!</v>
      </c>
      <c r="G166" s="2053" t="e">
        <f aca="false">SUM(G158:G165)</f>
        <v>#VALUE!</v>
      </c>
      <c r="H166" s="2048"/>
      <c r="I166" s="2048"/>
      <c r="J166" s="895"/>
      <c r="K166" s="894"/>
      <c r="L166" s="1148"/>
      <c r="M166" s="1148"/>
      <c r="N166" s="1148"/>
      <c r="O166" s="1148"/>
      <c r="P166" s="1148"/>
      <c r="Q166" s="1148"/>
      <c r="R166" s="1148"/>
    </row>
    <row r="167" customFormat="false" ht="15.5" hidden="false" customHeight="false" outlineLevel="0" collapsed="false">
      <c r="A167" s="950" t="s">
        <v>2208</v>
      </c>
      <c r="B167" s="951"/>
      <c r="C167" s="757" t="s">
        <v>120</v>
      </c>
      <c r="D167" s="757" t="s">
        <v>2580</v>
      </c>
      <c r="E167" s="757" t="s">
        <v>2581</v>
      </c>
      <c r="F167" s="757" t="s">
        <v>1802</v>
      </c>
      <c r="G167" s="2031" t="s">
        <v>2548</v>
      </c>
      <c r="H167" s="2048"/>
      <c r="I167" s="1009"/>
      <c r="J167" s="998"/>
      <c r="K167" s="894"/>
      <c r="L167" s="1148"/>
      <c r="M167" s="1148"/>
      <c r="N167" s="1148"/>
      <c r="O167" s="1148"/>
      <c r="P167" s="1148"/>
      <c r="Q167" s="1148"/>
      <c r="R167" s="1148"/>
    </row>
    <row r="168" customFormat="false" ht="15.5" hidden="false" customHeight="false" outlineLevel="0" collapsed="false">
      <c r="A168" s="680" t="s">
        <v>2210</v>
      </c>
      <c r="B168" s="680"/>
      <c r="C168" s="680" t="s">
        <v>156</v>
      </c>
      <c r="D168" s="2035" t="e">
        <f aca="false">'ввод данных'!#ref!</f>
        <v>#VALUE!</v>
      </c>
      <c r="E168" s="2023" t="e">
        <f aca="false">'ввод данных'!#ref!</f>
        <v>#VALUE!</v>
      </c>
      <c r="F168" s="2033" t="n">
        <f aca="false">'Ввод данных'!G377</f>
        <v>0</v>
      </c>
      <c r="G168" s="495" t="e">
        <f aca="false">D168*E168*F168</f>
        <v>#VALUE!</v>
      </c>
      <c r="H168" s="2048"/>
      <c r="I168" s="2028"/>
      <c r="J168" s="998"/>
      <c r="K168" s="894"/>
      <c r="L168" s="1148"/>
      <c r="M168" s="1148"/>
      <c r="N168" s="1148"/>
      <c r="O168" s="1148"/>
      <c r="P168" s="1148"/>
      <c r="Q168" s="1148"/>
      <c r="R168" s="1148"/>
    </row>
    <row r="169" customFormat="false" ht="15.5" hidden="false" customHeight="false" outlineLevel="0" collapsed="false">
      <c r="A169" s="680"/>
      <c r="B169" s="680"/>
      <c r="C169" s="680" t="s">
        <v>156</v>
      </c>
      <c r="D169" s="2035" t="e">
        <f aca="false">'ввод данных'!#ref!</f>
        <v>#VALUE!</v>
      </c>
      <c r="E169" s="2023" t="e">
        <f aca="false">'ввод данных'!#ref!</f>
        <v>#VALUE!</v>
      </c>
      <c r="F169" s="2033" t="n">
        <f aca="false">'Ввод данных'!G378</f>
        <v>0</v>
      </c>
      <c r="G169" s="495" t="e">
        <f aca="false">D169*E169*F169</f>
        <v>#VALUE!</v>
      </c>
      <c r="H169" s="2048"/>
      <c r="I169" s="1009"/>
      <c r="J169" s="998"/>
      <c r="K169" s="894"/>
      <c r="L169" s="1148"/>
      <c r="M169" s="1148"/>
      <c r="N169" s="1148"/>
      <c r="O169" s="1148"/>
      <c r="P169" s="1148"/>
      <c r="Q169" s="1148"/>
      <c r="R169" s="1148"/>
    </row>
    <row r="170" customFormat="false" ht="15.5" hidden="false" customHeight="false" outlineLevel="0" collapsed="false">
      <c r="A170" s="680"/>
      <c r="B170" s="680"/>
      <c r="C170" s="680" t="s">
        <v>156</v>
      </c>
      <c r="D170" s="2035" t="e">
        <f aca="false">'ввод данных'!#ref!</f>
        <v>#VALUE!</v>
      </c>
      <c r="E170" s="2023" t="e">
        <f aca="false">'ввод данных'!#ref!</f>
        <v>#VALUE!</v>
      </c>
      <c r="F170" s="2033" t="n">
        <f aca="false">'Ввод данных'!G379</f>
        <v>0</v>
      </c>
      <c r="G170" s="495" t="e">
        <f aca="false">D170*E170*F170</f>
        <v>#VALUE!</v>
      </c>
      <c r="H170" s="2079"/>
      <c r="I170" s="1009"/>
      <c r="J170" s="998"/>
      <c r="K170" s="894"/>
      <c r="L170" s="1148"/>
      <c r="M170" s="1148"/>
      <c r="N170" s="1148"/>
      <c r="O170" s="1148"/>
      <c r="P170" s="1148"/>
      <c r="Q170" s="1148"/>
      <c r="R170" s="1148"/>
    </row>
    <row r="171" customFormat="false" ht="15.5" hidden="false" customHeight="false" outlineLevel="0" collapsed="false">
      <c r="A171" s="725" t="s">
        <v>2593</v>
      </c>
      <c r="B171" s="725"/>
      <c r="C171" s="680" t="s">
        <v>156</v>
      </c>
      <c r="D171" s="2035" t="e">
        <f aca="false">'ввод данных'!#ref!</f>
        <v>#VALUE!</v>
      </c>
      <c r="E171" s="2023"/>
      <c r="F171" s="2033" t="e">
        <f aca="false">'ввод данных'!#ref!</f>
        <v>#VALUE!</v>
      </c>
      <c r="G171" s="495" t="e">
        <f aca="false">D171*E171*F171</f>
        <v>#VALUE!</v>
      </c>
      <c r="H171" s="895"/>
      <c r="I171" s="1009"/>
      <c r="J171" s="998"/>
      <c r="K171" s="894"/>
      <c r="L171" s="1148"/>
      <c r="M171" s="1148"/>
      <c r="N171" s="1148"/>
      <c r="O171" s="1148"/>
      <c r="P171" s="1148"/>
      <c r="Q171" s="1148"/>
      <c r="R171" s="1148"/>
    </row>
    <row r="172" customFormat="false" ht="15.5" hidden="false" customHeight="false" outlineLevel="0" collapsed="false">
      <c r="A172" s="725"/>
      <c r="B172" s="725"/>
      <c r="C172" s="680" t="s">
        <v>156</v>
      </c>
      <c r="D172" s="2035"/>
      <c r="E172" s="2023"/>
      <c r="F172" s="2033"/>
      <c r="G172" s="495" t="n">
        <f aca="false">D172*E172*F172</f>
        <v>0</v>
      </c>
      <c r="H172" s="2079"/>
      <c r="I172" s="1009"/>
      <c r="J172" s="998"/>
      <c r="K172" s="894"/>
      <c r="L172" s="1148"/>
      <c r="M172" s="1148"/>
      <c r="N172" s="1148"/>
      <c r="O172" s="1148"/>
      <c r="P172" s="1148"/>
      <c r="Q172" s="1148"/>
      <c r="R172" s="1148"/>
    </row>
    <row r="173" customFormat="false" ht="15.5" hidden="false" customHeight="false" outlineLevel="0" collapsed="false">
      <c r="A173" s="902" t="s">
        <v>1217</v>
      </c>
      <c r="B173" s="902"/>
      <c r="C173" s="925" t="s">
        <v>156</v>
      </c>
      <c r="D173" s="2035" t="n">
        <f aca="false">связи1!D559</f>
        <v>0.6</v>
      </c>
      <c r="E173" s="2023" t="n">
        <f aca="false">связи1!E559</f>
        <v>0.6</v>
      </c>
      <c r="F173" s="2033" t="e">
        <f aca="false">'ввод данных'!#ref!</f>
        <v>#VALUE!</v>
      </c>
      <c r="G173" s="903" t="e">
        <f aca="false">D173*E173*F173</f>
        <v>#VALUE!</v>
      </c>
      <c r="H173" s="895"/>
      <c r="I173" s="895"/>
      <c r="J173" s="998"/>
      <c r="K173" s="894"/>
      <c r="L173" s="1148"/>
      <c r="M173" s="1148"/>
      <c r="N173" s="1148"/>
      <c r="O173" s="1148"/>
      <c r="P173" s="1148"/>
      <c r="Q173" s="1148"/>
      <c r="R173" s="1148"/>
    </row>
    <row r="174" customFormat="false" ht="15.5" hidden="false" customHeight="false" outlineLevel="0" collapsed="false">
      <c r="A174" s="560" t="s">
        <v>2213</v>
      </c>
      <c r="B174" s="560"/>
      <c r="C174" s="925" t="s">
        <v>156</v>
      </c>
      <c r="D174" s="2035" t="n">
        <f aca="false">связи1!D561</f>
        <v>0.5</v>
      </c>
      <c r="E174" s="2023" t="n">
        <f aca="false">связи1!E561</f>
        <v>0.8</v>
      </c>
      <c r="F174" s="2033" t="n">
        <f aca="false">связи1!F548</f>
        <v>0</v>
      </c>
      <c r="G174" s="903" t="n">
        <f aca="false">D174*E174*F174</f>
        <v>0</v>
      </c>
      <c r="H174" s="2080"/>
      <c r="I174" s="998" t="s">
        <v>3887</v>
      </c>
      <c r="J174" s="998"/>
      <c r="K174" s="894"/>
      <c r="L174" s="1148"/>
      <c r="M174" s="1148"/>
      <c r="N174" s="1148"/>
      <c r="O174" s="1148"/>
      <c r="P174" s="1148"/>
      <c r="Q174" s="1148"/>
      <c r="R174" s="1148"/>
    </row>
    <row r="175" customFormat="false" ht="15.5" hidden="false" customHeight="false" outlineLevel="0" collapsed="false">
      <c r="A175" s="932" t="s">
        <v>2599</v>
      </c>
      <c r="B175" s="996"/>
      <c r="C175" s="996"/>
      <c r="D175" s="996"/>
      <c r="E175" s="996"/>
      <c r="F175" s="997"/>
      <c r="G175" s="1111" t="e">
        <f aca="false">SUM(G168:G174)*E143</f>
        <v>#VALUE!</v>
      </c>
      <c r="H175" s="2079"/>
      <c r="I175" s="1009"/>
      <c r="J175" s="998"/>
      <c r="K175" s="894"/>
      <c r="L175" s="1148"/>
      <c r="M175" s="1148"/>
      <c r="N175" s="1148"/>
      <c r="O175" s="1148"/>
      <c r="P175" s="1148"/>
      <c r="Q175" s="1148"/>
      <c r="R175" s="1148"/>
    </row>
    <row r="176" customFormat="false" ht="15.5" hidden="false" customHeight="false" outlineLevel="0" collapsed="false">
      <c r="A176" s="903" t="s">
        <v>3888</v>
      </c>
      <c r="B176" s="903"/>
      <c r="C176" s="903" t="s">
        <v>133</v>
      </c>
      <c r="D176" s="903" t="e">
        <f aca="false">G166-G171-G172</f>
        <v>#VALUE!</v>
      </c>
      <c r="E176" s="895"/>
      <c r="F176" s="895"/>
      <c r="G176" s="2028"/>
      <c r="H176" s="2079"/>
      <c r="I176" s="1009"/>
      <c r="J176" s="998"/>
      <c r="K176" s="894"/>
      <c r="L176" s="1148"/>
      <c r="M176" s="1148"/>
      <c r="N176" s="1148"/>
      <c r="O176" s="1148"/>
      <c r="P176" s="1148"/>
      <c r="Q176" s="1148"/>
      <c r="R176" s="1148"/>
    </row>
    <row r="177" customFormat="false" ht="15.5" hidden="false" customHeight="false" outlineLevel="0" collapsed="false">
      <c r="A177" s="903" t="s">
        <v>2648</v>
      </c>
      <c r="B177" s="903"/>
      <c r="C177" s="903" t="s">
        <v>133</v>
      </c>
      <c r="D177" s="903" t="e">
        <f aca="false">(D153*D144+D152*D145+E147*F147+E148*F148+E149*F149)*(D151+D151+D150)-G168-G169-G170-G173-G174*H174</f>
        <v>#VALUE!</v>
      </c>
      <c r="E177" s="895"/>
      <c r="F177" s="895"/>
      <c r="G177" s="2028"/>
      <c r="H177" s="2079"/>
      <c r="I177" s="1009"/>
      <c r="J177" s="998"/>
      <c r="K177" s="894"/>
      <c r="L177" s="1148"/>
      <c r="M177" s="1148"/>
      <c r="N177" s="1148"/>
      <c r="O177" s="1148"/>
      <c r="P177" s="1148"/>
      <c r="Q177" s="1148"/>
      <c r="R177" s="1148"/>
    </row>
    <row r="178" customFormat="false" ht="15.5" hidden="false" customHeight="false" outlineLevel="0" collapsed="false">
      <c r="A178" s="903" t="s">
        <v>3889</v>
      </c>
      <c r="B178" s="903"/>
      <c r="C178" s="903" t="s">
        <v>133</v>
      </c>
      <c r="D178" s="903" t="e">
        <f aca="false">D176*2+D177</f>
        <v>#VALUE!</v>
      </c>
      <c r="E178" s="895"/>
      <c r="F178" s="895"/>
      <c r="G178" s="2028"/>
      <c r="H178" s="2079"/>
      <c r="I178" s="1009"/>
      <c r="J178" s="998"/>
      <c r="K178" s="894"/>
      <c r="L178" s="1148"/>
      <c r="M178" s="1148"/>
      <c r="N178" s="1148"/>
      <c r="O178" s="1148"/>
      <c r="P178" s="1148"/>
      <c r="Q178" s="1148"/>
      <c r="R178" s="1148"/>
    </row>
    <row r="179" customFormat="false" ht="15.5" hidden="false" customHeight="false" outlineLevel="0" collapsed="false">
      <c r="A179" s="2081" t="s">
        <v>2592</v>
      </c>
      <c r="B179" s="2082"/>
      <c r="C179" s="2083" t="s">
        <v>120</v>
      </c>
      <c r="D179" s="2083" t="s">
        <v>853</v>
      </c>
      <c r="E179" s="2023" t="n">
        <f aca="false">связи1!E558</f>
        <v>1.5</v>
      </c>
      <c r="F179" s="2084" t="s">
        <v>3890</v>
      </c>
      <c r="G179" s="2028"/>
      <c r="H179" s="2079"/>
      <c r="I179" s="1009"/>
      <c r="J179" s="998"/>
      <c r="K179" s="894"/>
      <c r="L179" s="1148"/>
      <c r="M179" s="1148"/>
      <c r="N179" s="1148"/>
      <c r="O179" s="1148"/>
      <c r="P179" s="1148"/>
      <c r="Q179" s="1148"/>
      <c r="R179" s="1148"/>
    </row>
    <row r="180" customFormat="false" ht="15.5" hidden="false" customHeight="false" outlineLevel="0" collapsed="false">
      <c r="A180" s="985" t="s">
        <v>2820</v>
      </c>
      <c r="B180" s="2085"/>
      <c r="C180" s="544" t="s">
        <v>156</v>
      </c>
      <c r="D180" s="544" t="n">
        <f aca="false">SQRT(D151*D151+D155*D155)</f>
        <v>0</v>
      </c>
      <c r="E180" s="489"/>
      <c r="F180" s="489"/>
      <c r="G180" s="2028"/>
      <c r="H180" s="2079"/>
      <c r="I180" s="1009"/>
      <c r="J180" s="998"/>
      <c r="K180" s="894"/>
      <c r="L180" s="1148"/>
      <c r="M180" s="1148"/>
      <c r="N180" s="1148"/>
      <c r="O180" s="1148"/>
      <c r="P180" s="1148"/>
      <c r="Q180" s="1148"/>
      <c r="R180" s="1148"/>
    </row>
    <row r="181" customFormat="false" ht="15.5" hidden="false" customHeight="false" outlineLevel="0" collapsed="false">
      <c r="A181" s="985" t="s">
        <v>3545</v>
      </c>
      <c r="B181" s="2085"/>
      <c r="C181" s="544" t="s">
        <v>156</v>
      </c>
      <c r="D181" s="2035" t="n">
        <f aca="false">связи1!C559</f>
        <v>0.5</v>
      </c>
      <c r="E181" s="489"/>
      <c r="F181" s="489"/>
      <c r="G181" s="2028"/>
      <c r="H181" s="2079"/>
      <c r="I181" s="1009"/>
      <c r="J181" s="998"/>
      <c r="K181" s="894"/>
      <c r="L181" s="1148"/>
      <c r="M181" s="1148"/>
      <c r="N181" s="1148"/>
      <c r="O181" s="1148"/>
      <c r="P181" s="1148"/>
      <c r="Q181" s="1148"/>
      <c r="R181" s="1148"/>
    </row>
    <row r="182" customFormat="false" ht="15.5" hidden="false" customHeight="false" outlineLevel="0" collapsed="false">
      <c r="A182" s="985" t="s">
        <v>3891</v>
      </c>
      <c r="B182" s="2085"/>
      <c r="C182" s="544" t="s">
        <v>156</v>
      </c>
      <c r="D182" s="2035" t="n">
        <f aca="false">связи1!C561</f>
        <v>0.5</v>
      </c>
      <c r="E182" s="489"/>
      <c r="F182" s="489"/>
      <c r="G182" s="2028"/>
      <c r="H182" s="560" t="s">
        <v>2547</v>
      </c>
      <c r="I182" s="560"/>
      <c r="J182" s="754" t="s">
        <v>159</v>
      </c>
      <c r="K182" s="2035" t="e">
        <f aca="false">'ввод данных'!#ref!</f>
        <v>#VALUE!</v>
      </c>
      <c r="L182" s="1148"/>
      <c r="M182" s="1148"/>
      <c r="N182" s="1148"/>
      <c r="O182" s="1148"/>
      <c r="P182" s="1148"/>
      <c r="Q182" s="1148"/>
      <c r="R182" s="1148"/>
    </row>
    <row r="183" customFormat="false" ht="15.5" hidden="false" customHeight="false" outlineLevel="0" collapsed="false">
      <c r="A183" s="985" t="s">
        <v>2609</v>
      </c>
      <c r="B183" s="2086"/>
      <c r="C183" s="543" t="s">
        <v>133</v>
      </c>
      <c r="D183" s="544" t="n">
        <f aca="false">D180*D150</f>
        <v>0</v>
      </c>
      <c r="E183" s="489"/>
      <c r="F183" s="489"/>
      <c r="G183" s="2028"/>
      <c r="H183" s="560" t="s">
        <v>2552</v>
      </c>
      <c r="I183" s="560"/>
      <c r="J183" s="754" t="s">
        <v>159</v>
      </c>
      <c r="K183" s="2035" t="e">
        <f aca="false">'ввод данных'!#ref!</f>
        <v>#VALUE!</v>
      </c>
      <c r="L183" s="1148"/>
      <c r="M183" s="1148"/>
      <c r="N183" s="1148"/>
      <c r="O183" s="1148"/>
      <c r="P183" s="1148"/>
      <c r="Q183" s="1148"/>
      <c r="R183" s="1148"/>
    </row>
    <row r="184" customFormat="false" ht="15.5" hidden="false" customHeight="false" outlineLevel="0" collapsed="false">
      <c r="A184" s="985" t="s">
        <v>2610</v>
      </c>
      <c r="B184" s="2086"/>
      <c r="C184" s="543" t="s">
        <v>133</v>
      </c>
      <c r="D184" s="544" t="n">
        <f aca="false">(D180+D181)*(D150+D182+D182)</f>
        <v>0.5</v>
      </c>
      <c r="E184" s="489"/>
      <c r="F184" s="489"/>
      <c r="G184" s="2028"/>
      <c r="H184" s="474" t="s">
        <v>2638</v>
      </c>
      <c r="I184" s="680" t="s">
        <v>133</v>
      </c>
      <c r="J184" s="474" t="n">
        <f aca="false">K142*K143*K136+K142*K143*K137</f>
        <v>0</v>
      </c>
      <c r="K184" s="894"/>
      <c r="L184" s="1148"/>
      <c r="M184" s="1148"/>
      <c r="N184" s="1148"/>
      <c r="O184" s="1148"/>
      <c r="P184" s="1148"/>
      <c r="Q184" s="1148"/>
      <c r="R184" s="1148"/>
    </row>
    <row r="185" customFormat="false" ht="15.5" hidden="false" customHeight="false" outlineLevel="0" collapsed="false">
      <c r="A185" s="560" t="s">
        <v>2628</v>
      </c>
      <c r="B185" s="560"/>
      <c r="C185" s="560"/>
      <c r="D185" s="560" t="s">
        <v>1820</v>
      </c>
      <c r="E185" s="2066" t="s">
        <v>293</v>
      </c>
      <c r="F185" s="2033"/>
      <c r="G185" s="895"/>
      <c r="H185" s="903" t="s">
        <v>3888</v>
      </c>
      <c r="I185" s="903"/>
      <c r="J185" s="903" t="s">
        <v>133</v>
      </c>
      <c r="K185" s="903" t="n">
        <f aca="false">N175-N180-N181</f>
        <v>0</v>
      </c>
      <c r="L185" s="1148"/>
      <c r="M185" s="1148"/>
      <c r="N185" s="1148"/>
      <c r="O185" s="1148"/>
      <c r="P185" s="1148"/>
      <c r="Q185" s="1148"/>
      <c r="R185" s="1148"/>
    </row>
    <row r="186" customFormat="false" ht="15.5" hidden="false" customHeight="false" outlineLevel="0" collapsed="false">
      <c r="A186" s="263" t="s">
        <v>3518</v>
      </c>
      <c r="B186" s="263"/>
      <c r="C186" s="263"/>
      <c r="D186" s="263" t="s">
        <v>156</v>
      </c>
      <c r="E186" s="1017" t="n">
        <v>0.15</v>
      </c>
      <c r="F186" s="2033" t="n">
        <f aca="false">связи1!F551</f>
        <v>3</v>
      </c>
      <c r="G186" s="895"/>
      <c r="H186" s="903" t="s">
        <v>2648</v>
      </c>
      <c r="I186" s="903"/>
      <c r="J186" s="903" t="s">
        <v>133</v>
      </c>
      <c r="K186" s="903" t="n">
        <f aca="false">(K162*K153+K161*K154+L156*M156+L157*M157+L158*M158)*(K160+K160+K159)-N177-N178-N179-N182-N183*O183</f>
        <v>0</v>
      </c>
      <c r="L186" s="1148"/>
      <c r="M186" s="1148"/>
      <c r="N186" s="1148"/>
      <c r="O186" s="1148"/>
      <c r="P186" s="1148"/>
      <c r="Q186" s="1148"/>
      <c r="R186" s="1148"/>
    </row>
    <row r="187" customFormat="false" ht="15.5" hidden="false" customHeight="false" outlineLevel="0" collapsed="false">
      <c r="A187" s="263"/>
      <c r="B187" s="263"/>
      <c r="C187" s="263"/>
      <c r="D187" s="263" t="s">
        <v>156</v>
      </c>
      <c r="E187" s="1017" t="n">
        <v>0.2</v>
      </c>
      <c r="F187" s="2033" t="n">
        <f aca="false">связи1!F552</f>
        <v>5</v>
      </c>
      <c r="G187" s="895"/>
      <c r="H187" s="903" t="s">
        <v>3889</v>
      </c>
      <c r="I187" s="903"/>
      <c r="J187" s="903" t="s">
        <v>133</v>
      </c>
      <c r="K187" s="903" t="n">
        <f aca="false">K185*2+K186</f>
        <v>0</v>
      </c>
      <c r="L187" s="1148"/>
      <c r="M187" s="1148"/>
      <c r="N187" s="1148"/>
      <c r="O187" s="1148"/>
      <c r="P187" s="1148"/>
      <c r="Q187" s="1148"/>
      <c r="R187" s="1148"/>
    </row>
    <row r="188" customFormat="false" ht="15.5" hidden="false" customHeight="false" outlineLevel="0" collapsed="false">
      <c r="A188" s="263" t="s">
        <v>2632</v>
      </c>
      <c r="B188" s="263"/>
      <c r="C188" s="263"/>
      <c r="D188" s="263" t="s">
        <v>156</v>
      </c>
      <c r="E188" s="1017" t="n">
        <v>0.15</v>
      </c>
      <c r="F188" s="2033" t="n">
        <f aca="false">связи1!F553</f>
        <v>3</v>
      </c>
      <c r="G188" s="895"/>
      <c r="H188" s="932" t="s">
        <v>2599</v>
      </c>
      <c r="I188" s="996"/>
      <c r="J188" s="996"/>
      <c r="K188" s="996"/>
      <c r="L188" s="1148"/>
      <c r="M188" s="1148"/>
      <c r="N188" s="1148"/>
      <c r="O188" s="1148"/>
      <c r="P188" s="1148"/>
      <c r="Q188" s="1148"/>
      <c r="R188" s="1148"/>
    </row>
    <row r="189" customFormat="false" ht="15.5" hidden="false" customHeight="false" outlineLevel="0" collapsed="false">
      <c r="A189" s="263"/>
      <c r="B189" s="263"/>
      <c r="C189" s="263"/>
      <c r="D189" s="263" t="s">
        <v>156</v>
      </c>
      <c r="E189" s="1017" t="n">
        <v>0.2</v>
      </c>
      <c r="F189" s="2033" t="n">
        <f aca="false">связи1!F554</f>
        <v>4</v>
      </c>
      <c r="G189" s="895"/>
      <c r="H189" s="902" t="s">
        <v>2071</v>
      </c>
      <c r="I189" s="902"/>
      <c r="J189" s="2022" t="s">
        <v>156</v>
      </c>
      <c r="K189" s="2035"/>
      <c r="L189" s="1148"/>
      <c r="M189" s="1148"/>
      <c r="N189" s="1148"/>
      <c r="O189" s="1148"/>
      <c r="P189" s="1148"/>
      <c r="Q189" s="1148"/>
      <c r="R189" s="1148"/>
    </row>
    <row r="190" customFormat="false" ht="15.5" hidden="false" customHeight="false" outlineLevel="0" collapsed="false">
      <c r="A190" s="2087" t="s">
        <v>2635</v>
      </c>
      <c r="B190" s="2087"/>
      <c r="C190" s="2087"/>
      <c r="D190" s="2087"/>
      <c r="E190" s="2023" t="e">
        <f aca="false">'ввод данных'!#ref!</f>
        <v>#VALUE!</v>
      </c>
      <c r="F190" s="358" t="s">
        <v>3568</v>
      </c>
      <c r="G190" s="895"/>
      <c r="H190" s="902" t="s">
        <v>2573</v>
      </c>
      <c r="I190" s="902"/>
      <c r="J190" s="2042" t="s">
        <v>156</v>
      </c>
      <c r="K190" s="2035"/>
      <c r="L190" s="1148"/>
      <c r="M190" s="1148"/>
      <c r="N190" s="1148"/>
      <c r="O190" s="1148"/>
      <c r="P190" s="1148"/>
      <c r="Q190" s="1148"/>
      <c r="R190" s="1148"/>
    </row>
    <row r="191" customFormat="false" ht="15.5" hidden="false" customHeight="false" outlineLevel="0" collapsed="false">
      <c r="A191" s="474" t="s">
        <v>2572</v>
      </c>
      <c r="B191" s="680" t="s">
        <v>156</v>
      </c>
      <c r="C191" s="474" t="n">
        <f aca="false">D150+D151*2</f>
        <v>0</v>
      </c>
      <c r="D191" s="358"/>
      <c r="E191" s="358"/>
      <c r="F191" s="489"/>
      <c r="G191" s="895"/>
      <c r="H191" s="902" t="s">
        <v>3882</v>
      </c>
      <c r="I191" s="902"/>
      <c r="J191" s="2042" t="s">
        <v>156</v>
      </c>
      <c r="K191" s="2035"/>
      <c r="L191" s="1148"/>
      <c r="M191" s="1148"/>
      <c r="N191" s="1148"/>
      <c r="O191" s="1148"/>
      <c r="P191" s="1148"/>
      <c r="Q191" s="1148"/>
      <c r="R191" s="1148"/>
    </row>
    <row r="192" customFormat="false" ht="15.5" hidden="false" customHeight="false" outlineLevel="0" collapsed="false">
      <c r="A192" s="474" t="s">
        <v>2638</v>
      </c>
      <c r="B192" s="680" t="s">
        <v>133</v>
      </c>
      <c r="C192" s="474" t="n">
        <f aca="false">D150*D151*D144+D150*D151*D145</f>
        <v>0</v>
      </c>
      <c r="D192" s="358"/>
      <c r="E192" s="358"/>
      <c r="F192" s="489"/>
      <c r="G192" s="895"/>
      <c r="H192" s="902" t="s">
        <v>3883</v>
      </c>
      <c r="I192" s="902"/>
      <c r="J192" s="2042" t="s">
        <v>156</v>
      </c>
      <c r="K192" s="2035"/>
      <c r="L192" s="1148"/>
      <c r="M192" s="1148"/>
      <c r="N192" s="1148"/>
      <c r="O192" s="1148"/>
      <c r="P192" s="1148"/>
      <c r="Q192" s="1148"/>
      <c r="R192" s="1148"/>
    </row>
    <row r="193" customFormat="false" ht="15.5" hidden="false" customHeight="false" outlineLevel="0" collapsed="false">
      <c r="A193" s="358"/>
      <c r="B193" s="371"/>
      <c r="C193" s="358"/>
      <c r="D193" s="358"/>
      <c r="E193" s="358"/>
      <c r="F193" s="489"/>
      <c r="G193" s="895"/>
      <c r="H193" s="902" t="s">
        <v>3884</v>
      </c>
      <c r="I193" s="902"/>
      <c r="J193" s="2042" t="s">
        <v>156</v>
      </c>
      <c r="K193" s="2035"/>
      <c r="L193" s="1148"/>
      <c r="M193" s="1148"/>
      <c r="N193" s="1148"/>
      <c r="O193" s="1148"/>
      <c r="P193" s="1148"/>
      <c r="Q193" s="1148"/>
      <c r="R193" s="1148"/>
    </row>
    <row r="194" customFormat="false" ht="15.5" hidden="false" customHeight="false" outlineLevel="0" collapsed="false">
      <c r="A194" s="358"/>
      <c r="B194" s="371"/>
      <c r="C194" s="358"/>
      <c r="D194" s="358"/>
      <c r="E194" s="358"/>
      <c r="F194" s="489"/>
      <c r="G194" s="895"/>
      <c r="H194" s="907" t="s">
        <v>3885</v>
      </c>
      <c r="I194" s="907"/>
      <c r="J194" s="2042" t="s">
        <v>156</v>
      </c>
      <c r="K194" s="2053" t="n">
        <f aca="false">K193-K191</f>
        <v>0</v>
      </c>
      <c r="L194" s="1148"/>
      <c r="M194" s="1148"/>
      <c r="N194" s="1148"/>
      <c r="O194" s="1148"/>
      <c r="P194" s="1148"/>
      <c r="Q194" s="1148"/>
      <c r="R194" s="1148"/>
    </row>
    <row r="195" customFormat="false" ht="15.5" hidden="false" customHeight="false" outlineLevel="0" collapsed="false">
      <c r="A195" s="2087" t="s">
        <v>2030</v>
      </c>
      <c r="B195" s="757" t="s">
        <v>120</v>
      </c>
      <c r="C195" s="757" t="s">
        <v>1753</v>
      </c>
      <c r="D195" s="2035" t="str">
        <f aca="false">'Ввод данных'!F458</f>
        <v>Не считать</v>
      </c>
      <c r="E195" s="2088" t="s">
        <v>3520</v>
      </c>
      <c r="F195" s="450"/>
      <c r="G195" s="2089"/>
      <c r="H195" s="560" t="s">
        <v>2001</v>
      </c>
      <c r="I195" s="560"/>
      <c r="J195" s="723" t="s">
        <v>156</v>
      </c>
      <c r="K195" s="680" t="n">
        <f aca="false">K198*K199*M195</f>
        <v>0</v>
      </c>
      <c r="L195" s="1148"/>
      <c r="M195" s="1148"/>
      <c r="N195" s="1148"/>
      <c r="O195" s="1148"/>
      <c r="P195" s="1148"/>
      <c r="Q195" s="1148"/>
      <c r="R195" s="1148"/>
    </row>
    <row r="196" customFormat="false" ht="15.5" hidden="false" customHeight="false" outlineLevel="0" collapsed="false">
      <c r="A196" s="474" t="s">
        <v>2547</v>
      </c>
      <c r="B196" s="474" t="s">
        <v>159</v>
      </c>
      <c r="C196" s="2090" t="n">
        <f aca="false">'Ввод данных'!E422</f>
        <v>0</v>
      </c>
      <c r="D196" s="347"/>
      <c r="E196" s="347"/>
      <c r="F196" s="347"/>
      <c r="G196" s="347"/>
      <c r="H196" s="560" t="s">
        <v>2557</v>
      </c>
      <c r="I196" s="560"/>
      <c r="J196" s="723" t="s">
        <v>156</v>
      </c>
      <c r="K196" s="680" t="n">
        <f aca="false">K198*K199*M196</f>
        <v>0</v>
      </c>
      <c r="L196" s="1148"/>
      <c r="M196" s="1148"/>
      <c r="N196" s="1148"/>
      <c r="O196" s="1148"/>
      <c r="P196" s="1148"/>
      <c r="Q196" s="1148"/>
      <c r="R196" s="1148"/>
    </row>
    <row r="197" customFormat="false" ht="15.5" hidden="false" customHeight="false" outlineLevel="0" collapsed="false">
      <c r="A197" s="474" t="s">
        <v>2552</v>
      </c>
      <c r="B197" s="474" t="s">
        <v>159</v>
      </c>
      <c r="C197" s="2090" t="n">
        <f aca="false">'Ввод данных'!E423</f>
        <v>0</v>
      </c>
      <c r="D197" s="895"/>
      <c r="E197" s="347"/>
      <c r="F197" s="347"/>
      <c r="G197" s="347"/>
      <c r="H197" s="902" t="s">
        <v>2558</v>
      </c>
      <c r="I197" s="902"/>
      <c r="J197" s="948" t="s">
        <v>156</v>
      </c>
      <c r="K197" s="925" t="n">
        <f aca="false">K198*K199*M197</f>
        <v>0</v>
      </c>
      <c r="L197" s="1148"/>
      <c r="M197" s="1148"/>
      <c r="N197" s="1148"/>
      <c r="O197" s="1148"/>
      <c r="P197" s="1148"/>
      <c r="Q197" s="1148"/>
      <c r="R197" s="1148"/>
    </row>
    <row r="198" customFormat="false" ht="15.5" hidden="false" customHeight="false" outlineLevel="0" collapsed="false">
      <c r="A198" s="450" t="s">
        <v>1236</v>
      </c>
      <c r="B198" s="450" t="s">
        <v>120</v>
      </c>
      <c r="C198" s="450" t="s">
        <v>2548</v>
      </c>
      <c r="D198" s="474" t="s">
        <v>2975</v>
      </c>
      <c r="E198" s="895"/>
      <c r="F198" s="895"/>
      <c r="G198" s="347"/>
      <c r="H198" s="2048"/>
      <c r="I198" s="1009"/>
      <c r="J198" s="998"/>
      <c r="K198" s="2024"/>
      <c r="L198" s="1148"/>
      <c r="M198" s="1148"/>
      <c r="N198" s="1148"/>
      <c r="O198" s="1148"/>
      <c r="P198" s="1148"/>
      <c r="Q198" s="1148"/>
      <c r="R198" s="1148"/>
    </row>
    <row r="199" customFormat="false" ht="15.5" hidden="false" customHeight="false" outlineLevel="0" collapsed="false">
      <c r="A199" s="474" t="s">
        <v>2001</v>
      </c>
      <c r="B199" s="474" t="s">
        <v>159</v>
      </c>
      <c r="C199" s="903" t="e">
        <f aca="false">(C204*C208+(C207-C204)*C202+(C207-C204)*((C208-C202)/2)*2)*E199</f>
        <v>#VALUE!</v>
      </c>
      <c r="D199" s="2035" t="n">
        <f aca="false">'Ввод данных'!D425</f>
        <v>0</v>
      </c>
      <c r="E199" s="2023" t="e">
        <f aca="false">'ввод данных'!#ref!</f>
        <v>#VALUE!</v>
      </c>
      <c r="F199" s="358" t="s">
        <v>3521</v>
      </c>
      <c r="G199" s="347"/>
      <c r="H199" s="2048"/>
      <c r="I199" s="1009"/>
      <c r="J199" s="998"/>
      <c r="K199" s="2024"/>
      <c r="L199" s="1148"/>
      <c r="M199" s="1148"/>
      <c r="N199" s="1148"/>
      <c r="O199" s="1148"/>
      <c r="P199" s="1148"/>
      <c r="Q199" s="1148"/>
      <c r="R199" s="1148"/>
    </row>
    <row r="200" customFormat="false" ht="15.5" hidden="false" customHeight="false" outlineLevel="0" collapsed="false">
      <c r="A200" s="474" t="s">
        <v>2557</v>
      </c>
      <c r="B200" s="474" t="s">
        <v>159</v>
      </c>
      <c r="C200" s="903" t="e">
        <f aca="false">(C204*C208+(C207-C204)*C202+(C207-C204)*((C208-C202)/2)*2)*E200</f>
        <v>#VALUE!</v>
      </c>
      <c r="D200" s="2035" t="n">
        <f aca="false">'Ввод данных'!D426</f>
        <v>0</v>
      </c>
      <c r="E200" s="2023" t="e">
        <f aca="false">'ввод данных'!#ref!</f>
        <v>#VALUE!</v>
      </c>
      <c r="F200" s="358" t="s">
        <v>3522</v>
      </c>
      <c r="G200" s="2089"/>
      <c r="H200" s="2048"/>
      <c r="I200" s="1009"/>
      <c r="J200" s="998"/>
      <c r="K200" s="2024"/>
      <c r="L200" s="1148"/>
      <c r="M200" s="1148"/>
      <c r="N200" s="1148"/>
      <c r="O200" s="1148"/>
      <c r="P200" s="1148"/>
      <c r="Q200" s="1148"/>
      <c r="R200" s="1148"/>
    </row>
    <row r="201" customFormat="false" ht="15.5" hidden="false" customHeight="false" outlineLevel="0" collapsed="false">
      <c r="A201" s="474" t="s">
        <v>2558</v>
      </c>
      <c r="B201" s="474" t="s">
        <v>159</v>
      </c>
      <c r="C201" s="903" t="e">
        <f aca="false">(C204*C208+(C207-C204)*C202+(C207-C204)*((C208-C202)/2)*2)*E201</f>
        <v>#VALUE!</v>
      </c>
      <c r="D201" s="2035" t="n">
        <f aca="false">'Ввод данных'!D427</f>
        <v>0</v>
      </c>
      <c r="E201" s="2023" t="e">
        <f aca="false">'ввод данных'!#ref!</f>
        <v>#VALUE!</v>
      </c>
      <c r="F201" s="358" t="s">
        <v>3523</v>
      </c>
      <c r="G201" s="2028"/>
      <c r="H201" s="2079"/>
      <c r="I201" s="1009"/>
      <c r="J201" s="998"/>
      <c r="K201" s="2024"/>
      <c r="L201" s="1148"/>
      <c r="M201" s="1148"/>
      <c r="N201" s="1148"/>
      <c r="O201" s="1148"/>
      <c r="P201" s="1148"/>
      <c r="Q201" s="1148"/>
      <c r="R201" s="1148"/>
    </row>
    <row r="202" customFormat="false" ht="15.5" hidden="false" customHeight="false" outlineLevel="0" collapsed="false">
      <c r="A202" s="560" t="s">
        <v>3524</v>
      </c>
      <c r="B202" s="680" t="s">
        <v>156</v>
      </c>
      <c r="C202" s="2090"/>
      <c r="D202" s="450"/>
      <c r="E202" s="450"/>
      <c r="F202" s="450"/>
      <c r="G202" s="2028"/>
      <c r="H202" s="2079"/>
      <c r="I202" s="1009"/>
      <c r="J202" s="998"/>
      <c r="K202" s="2024"/>
      <c r="L202" s="1148"/>
      <c r="M202" s="1148"/>
      <c r="N202" s="1148"/>
      <c r="O202" s="1148"/>
      <c r="P202" s="1148"/>
      <c r="Q202" s="1148"/>
      <c r="R202" s="1148"/>
    </row>
    <row r="203" customFormat="false" ht="15.5" hidden="false" customHeight="false" outlineLevel="0" collapsed="false">
      <c r="A203" s="560" t="s">
        <v>3525</v>
      </c>
      <c r="B203" s="680" t="s">
        <v>156</v>
      </c>
      <c r="C203" s="680" t="n">
        <f aca="false">SQRT((C208-C202)/2*(C208-C202)/2+(C207-C204)*(C207-C204))</f>
        <v>0</v>
      </c>
      <c r="D203" s="450"/>
      <c r="E203" s="450"/>
      <c r="F203" s="450"/>
      <c r="G203" s="2028"/>
      <c r="H203" s="2079"/>
      <c r="I203" s="1009"/>
      <c r="J203" s="998"/>
      <c r="K203" s="2024"/>
      <c r="L203" s="1148"/>
      <c r="M203" s="1148"/>
      <c r="N203" s="1148"/>
      <c r="O203" s="1148"/>
      <c r="P203" s="1148"/>
      <c r="Q203" s="1148"/>
      <c r="R203" s="1148"/>
    </row>
    <row r="204" customFormat="false" ht="15.5" hidden="false" customHeight="false" outlineLevel="0" collapsed="false">
      <c r="A204" s="560" t="s">
        <v>3526</v>
      </c>
      <c r="B204" s="680" t="s">
        <v>156</v>
      </c>
      <c r="C204" s="2090"/>
      <c r="D204" s="2035"/>
      <c r="E204" s="450"/>
      <c r="F204" s="450"/>
      <c r="G204" s="2028"/>
      <c r="H204" s="2079"/>
      <c r="I204" s="1009"/>
      <c r="J204" s="998"/>
      <c r="K204" s="2024"/>
      <c r="L204" s="1148"/>
      <c r="M204" s="1148"/>
      <c r="N204" s="1148"/>
      <c r="O204" s="1148"/>
      <c r="P204" s="1148"/>
      <c r="Q204" s="1148"/>
      <c r="R204" s="1148"/>
    </row>
    <row r="205" customFormat="false" ht="15.5" hidden="false" customHeight="false" outlineLevel="0" collapsed="false">
      <c r="A205" s="560" t="s">
        <v>3892</v>
      </c>
      <c r="B205" s="680" t="s">
        <v>156</v>
      </c>
      <c r="C205" s="2090"/>
      <c r="D205" s="371"/>
      <c r="E205" s="450"/>
      <c r="F205" s="450"/>
      <c r="G205" s="2028"/>
      <c r="H205" s="2079"/>
      <c r="I205" s="1009"/>
      <c r="J205" s="998"/>
      <c r="K205" s="2024"/>
      <c r="L205" s="1148"/>
      <c r="M205" s="1148"/>
      <c r="N205" s="1148"/>
      <c r="O205" s="1148"/>
      <c r="P205" s="1148"/>
      <c r="Q205" s="1148"/>
      <c r="R205" s="1148"/>
    </row>
    <row r="206" customFormat="false" ht="15.5" hidden="false" customHeight="false" outlineLevel="0" collapsed="false">
      <c r="A206" s="560" t="s">
        <v>3529</v>
      </c>
      <c r="B206" s="680" t="s">
        <v>156</v>
      </c>
      <c r="C206" s="2090"/>
      <c r="D206" s="371"/>
      <c r="E206" s="450"/>
      <c r="F206" s="450"/>
      <c r="G206" s="2028"/>
      <c r="H206" s="2079"/>
      <c r="I206" s="1009"/>
      <c r="J206" s="998"/>
      <c r="K206" s="2024"/>
      <c r="L206" s="1148"/>
      <c r="M206" s="1148"/>
      <c r="N206" s="1148"/>
      <c r="O206" s="1148"/>
      <c r="P206" s="1148"/>
      <c r="Q206" s="1148"/>
      <c r="R206" s="1148"/>
    </row>
    <row r="207" customFormat="false" ht="15.5" hidden="false" customHeight="false" outlineLevel="0" collapsed="false">
      <c r="A207" s="560" t="s">
        <v>3530</v>
      </c>
      <c r="B207" s="680" t="s">
        <v>156</v>
      </c>
      <c r="C207" s="2090"/>
      <c r="D207" s="450"/>
      <c r="E207" s="450"/>
      <c r="F207" s="450"/>
      <c r="G207" s="2028"/>
      <c r="H207" s="895"/>
      <c r="I207" s="1009"/>
      <c r="J207" s="998"/>
      <c r="K207" s="2024"/>
      <c r="L207" s="1148"/>
      <c r="M207" s="1148"/>
      <c r="N207" s="1148"/>
      <c r="O207" s="1148"/>
      <c r="P207" s="1148"/>
      <c r="Q207" s="1148"/>
      <c r="R207" s="1148"/>
    </row>
    <row r="208" customFormat="false" ht="15.5" hidden="false" customHeight="false" outlineLevel="0" collapsed="false">
      <c r="A208" s="560" t="s">
        <v>3531</v>
      </c>
      <c r="B208" s="680" t="s">
        <v>156</v>
      </c>
      <c r="C208" s="2090"/>
      <c r="D208" s="450"/>
      <c r="E208" s="450"/>
      <c r="F208" s="450"/>
      <c r="G208" s="2028"/>
      <c r="H208" s="2079"/>
      <c r="I208" s="1009"/>
      <c r="J208" s="998"/>
      <c r="K208" s="2024"/>
      <c r="L208" s="1148"/>
      <c r="M208" s="1148"/>
      <c r="N208" s="1148"/>
      <c r="O208" s="1148"/>
      <c r="P208" s="1148"/>
      <c r="Q208" s="1148"/>
      <c r="R208" s="1148"/>
    </row>
    <row r="209" customFormat="false" ht="15.5" hidden="false" customHeight="false" outlineLevel="0" collapsed="false">
      <c r="A209" s="2091" t="s">
        <v>3893</v>
      </c>
      <c r="B209" s="2092" t="s">
        <v>156</v>
      </c>
      <c r="C209" s="2090"/>
      <c r="D209" s="2025"/>
      <c r="E209" s="2025"/>
      <c r="F209" s="2025"/>
      <c r="G209" s="895"/>
      <c r="H209" s="2079"/>
      <c r="I209" s="1009"/>
      <c r="J209" s="998"/>
      <c r="K209" s="2024"/>
      <c r="L209" s="1148"/>
      <c r="M209" s="1148"/>
      <c r="N209" s="1148"/>
      <c r="O209" s="1148"/>
      <c r="P209" s="1148"/>
      <c r="Q209" s="1148"/>
      <c r="R209" s="1148"/>
    </row>
    <row r="210" customFormat="false" ht="15.5" hidden="false" customHeight="false" outlineLevel="0" collapsed="false">
      <c r="A210" s="2093" t="s">
        <v>1236</v>
      </c>
      <c r="B210" s="757" t="s">
        <v>120</v>
      </c>
      <c r="C210" s="757" t="s">
        <v>2580</v>
      </c>
      <c r="D210" s="757" t="s">
        <v>2581</v>
      </c>
      <c r="E210" s="757" t="s">
        <v>1802</v>
      </c>
      <c r="F210" s="890" t="s">
        <v>3894</v>
      </c>
      <c r="G210" s="2028"/>
      <c r="H210" s="2079"/>
      <c r="I210" s="1009"/>
      <c r="J210" s="998"/>
      <c r="K210" s="2024"/>
      <c r="L210" s="1148"/>
      <c r="M210" s="1148"/>
      <c r="N210" s="1148"/>
      <c r="O210" s="1148"/>
      <c r="P210" s="1148"/>
      <c r="Q210" s="1148"/>
      <c r="R210" s="1148"/>
    </row>
    <row r="211" customFormat="false" ht="15.5" hidden="false" customHeight="false" outlineLevel="0" collapsed="false">
      <c r="A211" s="701" t="s">
        <v>2210</v>
      </c>
      <c r="B211" s="680" t="s">
        <v>156</v>
      </c>
      <c r="C211" s="2090" t="n">
        <f aca="false">'Ввод данных'!C432</f>
        <v>2.7</v>
      </c>
      <c r="D211" s="2035" t="n">
        <f aca="false">'Ввод данных'!D429</f>
        <v>0</v>
      </c>
      <c r="E211" s="2023" t="e">
        <f aca="false">'ввод данных'!#ref!</f>
        <v>#VALUE!</v>
      </c>
      <c r="F211" s="2094" t="e">
        <f aca="false">C211*D211*E211</f>
        <v>#VALUE!</v>
      </c>
      <c r="G211" s="2028"/>
      <c r="H211" s="2079"/>
      <c r="I211" s="1009"/>
      <c r="J211" s="998"/>
      <c r="K211" s="2024"/>
      <c r="L211" s="1148"/>
      <c r="M211" s="1148"/>
      <c r="N211" s="1148"/>
      <c r="O211" s="1148"/>
      <c r="P211" s="1148"/>
      <c r="Q211" s="1148"/>
      <c r="R211" s="1148"/>
    </row>
    <row r="212" customFormat="false" ht="15.5" hidden="false" customHeight="false" outlineLevel="0" collapsed="false">
      <c r="A212" s="2092"/>
      <c r="B212" s="680" t="s">
        <v>156</v>
      </c>
      <c r="C212" s="2090"/>
      <c r="D212" s="2035" t="n">
        <f aca="false">'Ввод данных'!D430</f>
        <v>0</v>
      </c>
      <c r="E212" s="2023" t="e">
        <f aca="false">'ввод данных'!#ref!</f>
        <v>#VALUE!</v>
      </c>
      <c r="F212" s="2094" t="e">
        <f aca="false">C212*D212*E212</f>
        <v>#VALUE!</v>
      </c>
      <c r="G212" s="2028"/>
      <c r="H212" s="2079"/>
      <c r="I212" s="1009"/>
      <c r="J212" s="998"/>
      <c r="K212" s="2024"/>
      <c r="L212" s="1148"/>
      <c r="M212" s="1148"/>
      <c r="N212" s="1148"/>
      <c r="O212" s="1148"/>
      <c r="P212" s="1148"/>
      <c r="Q212" s="1148"/>
      <c r="R212" s="1148"/>
    </row>
    <row r="213" customFormat="false" ht="15.5" hidden="false" customHeight="false" outlineLevel="0" collapsed="false">
      <c r="A213" s="736"/>
      <c r="B213" s="680" t="s">
        <v>156</v>
      </c>
      <c r="C213" s="2090"/>
      <c r="D213" s="2035" t="n">
        <f aca="false">'Ввод данных'!D431</f>
        <v>0</v>
      </c>
      <c r="E213" s="2023" t="e">
        <f aca="false">'ввод данных'!#ref!</f>
        <v>#VALUE!</v>
      </c>
      <c r="F213" s="2094" t="e">
        <f aca="false">C213*D213*E213</f>
        <v>#VALUE!</v>
      </c>
      <c r="G213" s="2028"/>
      <c r="H213" s="2079"/>
      <c r="I213" s="1009"/>
      <c r="J213" s="998"/>
      <c r="K213" s="2024"/>
      <c r="L213" s="1148"/>
      <c r="M213" s="1148"/>
      <c r="N213" s="1148"/>
      <c r="O213" s="1148"/>
      <c r="P213" s="1148"/>
      <c r="Q213" s="1148"/>
      <c r="R213" s="1148"/>
    </row>
    <row r="214" customFormat="false" ht="15.5" hidden="false" customHeight="false" outlineLevel="0" collapsed="false">
      <c r="A214" s="701" t="s">
        <v>3895</v>
      </c>
      <c r="B214" s="680" t="s">
        <v>156</v>
      </c>
      <c r="C214" s="2090" t="e">
        <f aca="false">'ввод данных'!#ref!</f>
        <v>#VALUE!</v>
      </c>
      <c r="D214" s="2035" t="n">
        <f aca="false">'Ввод данных'!D432</f>
        <v>0</v>
      </c>
      <c r="E214" s="2023" t="e">
        <f aca="false">'ввод данных'!#ref!</f>
        <v>#VALUE!</v>
      </c>
      <c r="F214" s="2094" t="e">
        <f aca="false">C214*D214*E214</f>
        <v>#VALUE!</v>
      </c>
      <c r="G214" s="2028"/>
      <c r="H214" s="2079"/>
      <c r="I214" s="1009"/>
      <c r="J214" s="998"/>
      <c r="K214" s="2024"/>
      <c r="L214" s="1148"/>
      <c r="M214" s="1148"/>
      <c r="N214" s="1148"/>
      <c r="O214" s="1148"/>
      <c r="P214" s="1148"/>
      <c r="Q214" s="1148"/>
      <c r="R214" s="1148"/>
    </row>
    <row r="215" customFormat="false" ht="15.5" hidden="false" customHeight="false" outlineLevel="0" collapsed="false">
      <c r="A215" s="736"/>
      <c r="B215" s="680" t="s">
        <v>156</v>
      </c>
      <c r="C215" s="2090" t="n">
        <f aca="false">'Ввод данных'!C434</f>
        <v>0</v>
      </c>
      <c r="D215" s="2035" t="n">
        <f aca="false">'Ввод данных'!D433</f>
        <v>0</v>
      </c>
      <c r="E215" s="2023" t="e">
        <f aca="false">'ввод данных'!#ref!</f>
        <v>#VALUE!</v>
      </c>
      <c r="F215" s="2094" t="e">
        <f aca="false">C215*D215*E215</f>
        <v>#VALUE!</v>
      </c>
      <c r="G215" s="2028"/>
      <c r="H215" s="2079"/>
      <c r="I215" s="1009"/>
      <c r="J215" s="998"/>
      <c r="K215" s="2024"/>
      <c r="L215" s="1148"/>
      <c r="M215" s="1148"/>
      <c r="N215" s="1148"/>
      <c r="O215" s="1148"/>
      <c r="P215" s="1148"/>
      <c r="Q215" s="1148"/>
      <c r="R215" s="1148"/>
    </row>
    <row r="216" customFormat="false" ht="15.5" hidden="false" customHeight="false" outlineLevel="0" collapsed="false">
      <c r="A216" s="903" t="s">
        <v>3896</v>
      </c>
      <c r="B216" s="903" t="s">
        <v>133</v>
      </c>
      <c r="C216" s="903" t="e">
        <f aca="false">F211+F212+F215+F214+F213</f>
        <v>#VALUE!</v>
      </c>
      <c r="D216" s="895"/>
      <c r="E216" s="895"/>
      <c r="F216" s="895"/>
      <c r="G216" s="2028"/>
      <c r="H216" s="2079"/>
      <c r="I216" s="1009"/>
      <c r="J216" s="998"/>
      <c r="K216" s="2024"/>
      <c r="L216" s="1148"/>
      <c r="M216" s="1148"/>
      <c r="N216" s="1148"/>
      <c r="O216" s="1148"/>
      <c r="P216" s="1148"/>
      <c r="Q216" s="1148"/>
      <c r="R216" s="1148"/>
    </row>
    <row r="217" customFormat="false" ht="15.5" hidden="false" customHeight="false" outlineLevel="0" collapsed="false">
      <c r="A217" s="903" t="s">
        <v>3541</v>
      </c>
      <c r="B217" s="903" t="s">
        <v>133</v>
      </c>
      <c r="C217" s="903" t="e">
        <f aca="false">(C204*2+C203*2+C202)*(C205+C209*C197+D199*E199+D200*E200+D201*E201)</f>
        <v>#VALUE!</v>
      </c>
      <c r="D217" s="895"/>
      <c r="E217" s="895"/>
      <c r="F217" s="895"/>
      <c r="G217" s="2028"/>
      <c r="H217" s="2079"/>
      <c r="I217" s="1009"/>
      <c r="J217" s="998"/>
      <c r="K217" s="2024"/>
      <c r="L217" s="1148"/>
      <c r="M217" s="1148"/>
      <c r="N217" s="1148"/>
      <c r="O217" s="1148"/>
      <c r="P217" s="1148"/>
      <c r="Q217" s="1148"/>
      <c r="R217" s="1148"/>
    </row>
    <row r="218" customFormat="false" ht="15.5" hidden="false" customHeight="false" outlineLevel="0" collapsed="false">
      <c r="A218" s="903" t="s">
        <v>3542</v>
      </c>
      <c r="B218" s="903" t="s">
        <v>133</v>
      </c>
      <c r="C218" s="903" t="e">
        <f aca="false">C217-C216</f>
        <v>#VALUE!</v>
      </c>
      <c r="D218" s="895"/>
      <c r="E218" s="895"/>
      <c r="F218" s="895"/>
      <c r="G218" s="2028"/>
      <c r="H218" s="2079"/>
      <c r="I218" s="1009"/>
      <c r="J218" s="998"/>
      <c r="K218" s="2024"/>
      <c r="L218" s="1148"/>
      <c r="M218" s="1148"/>
      <c r="N218" s="1148"/>
      <c r="O218" s="1148"/>
      <c r="P218" s="1148"/>
      <c r="Q218" s="1148"/>
      <c r="R218" s="1148"/>
    </row>
    <row r="219" customFormat="false" ht="15.5" hidden="false" customHeight="false" outlineLevel="0" collapsed="false">
      <c r="A219" s="2095" t="s">
        <v>3543</v>
      </c>
      <c r="B219" s="2095"/>
      <c r="C219" s="2083" t="s">
        <v>120</v>
      </c>
      <c r="D219" s="2083" t="s">
        <v>853</v>
      </c>
      <c r="E219" s="2023" t="e">
        <f aca="false">'ввод данных'!#ref!</f>
        <v>#VALUE!</v>
      </c>
      <c r="F219" s="2084" t="s">
        <v>3555</v>
      </c>
      <c r="G219" s="2028"/>
      <c r="H219" s="2079"/>
      <c r="I219" s="1009"/>
      <c r="J219" s="998"/>
      <c r="K219" s="2024"/>
      <c r="L219" s="1148"/>
      <c r="M219" s="1148"/>
      <c r="N219" s="1148"/>
      <c r="O219" s="1148"/>
      <c r="P219" s="1148"/>
      <c r="Q219" s="1148"/>
      <c r="R219" s="1148"/>
    </row>
    <row r="220" customFormat="false" ht="15.5" hidden="false" customHeight="false" outlineLevel="0" collapsed="false">
      <c r="A220" s="906" t="s">
        <v>3544</v>
      </c>
      <c r="B220" s="907"/>
      <c r="C220" s="925" t="s">
        <v>156</v>
      </c>
      <c r="D220" s="903" t="n">
        <f aca="false">SQRT((C208/2)*(C208/2)+C206*C206)</f>
        <v>0</v>
      </c>
      <c r="E220" s="1217"/>
      <c r="F220" s="1217"/>
      <c r="G220" s="2028"/>
      <c r="H220" s="2079"/>
      <c r="I220" s="1009"/>
      <c r="J220" s="998"/>
      <c r="K220" s="2024"/>
      <c r="L220" s="1148"/>
      <c r="M220" s="1148"/>
      <c r="N220" s="1148"/>
      <c r="O220" s="1148"/>
      <c r="P220" s="1148"/>
      <c r="Q220" s="1148"/>
      <c r="R220" s="1148"/>
    </row>
    <row r="221" customFormat="false" ht="15.5" hidden="false" customHeight="false" outlineLevel="0" collapsed="false">
      <c r="A221" s="906" t="s">
        <v>3548</v>
      </c>
      <c r="B221" s="907"/>
      <c r="C221" s="925" t="s">
        <v>156</v>
      </c>
      <c r="D221" s="903" t="n">
        <f aca="false">SQRT(D220*D220+C204*C204)</f>
        <v>0</v>
      </c>
      <c r="E221" s="1217"/>
      <c r="F221" s="1217"/>
      <c r="G221" s="2028"/>
      <c r="H221" s="2079"/>
      <c r="I221" s="1009"/>
      <c r="J221" s="998"/>
      <c r="K221" s="2024"/>
      <c r="L221" s="1148"/>
      <c r="M221" s="1148"/>
      <c r="N221" s="1148"/>
      <c r="O221" s="1148"/>
      <c r="P221" s="1148"/>
      <c r="Q221" s="1148"/>
      <c r="R221" s="1148"/>
    </row>
    <row r="222" customFormat="false" ht="15.5" hidden="false" customHeight="false" outlineLevel="0" collapsed="false">
      <c r="A222" s="906" t="s">
        <v>3549</v>
      </c>
      <c r="B222" s="907"/>
      <c r="C222" s="925" t="s">
        <v>156</v>
      </c>
      <c r="D222" s="903" t="n">
        <f aca="false">SQRT(D221*D221+C203*C203)</f>
        <v>0</v>
      </c>
      <c r="E222" s="1217"/>
      <c r="F222" s="1217"/>
      <c r="G222" s="2028"/>
      <c r="H222" s="2079"/>
      <c r="I222" s="1009"/>
      <c r="J222" s="998"/>
      <c r="K222" s="2024"/>
      <c r="L222" s="1148"/>
      <c r="M222" s="1148"/>
      <c r="N222" s="1148"/>
      <c r="O222" s="1148"/>
      <c r="P222" s="1148"/>
      <c r="Q222" s="1148"/>
      <c r="R222" s="1148"/>
    </row>
    <row r="223" customFormat="false" ht="15.5" hidden="false" customHeight="false" outlineLevel="0" collapsed="false">
      <c r="A223" s="2096" t="s">
        <v>2609</v>
      </c>
      <c r="B223" s="2097"/>
      <c r="C223" s="887" t="s">
        <v>133</v>
      </c>
      <c r="D223" s="1219" t="n">
        <f aca="false">D220*C204+D221*C203*1.1+(C202/2)*SQRT(C207*C207+C206*C206)*2</f>
        <v>0</v>
      </c>
      <c r="E223" s="1217"/>
      <c r="F223" s="1217"/>
      <c r="G223" s="2028"/>
      <c r="H223" s="2079"/>
      <c r="I223" s="1009"/>
      <c r="J223" s="998"/>
      <c r="K223" s="371"/>
      <c r="L223" s="1148"/>
      <c r="M223" s="1148"/>
      <c r="N223" s="1148"/>
      <c r="O223" s="1148"/>
      <c r="P223" s="1148"/>
      <c r="Q223" s="1148"/>
      <c r="R223" s="1148"/>
    </row>
    <row r="224" customFormat="false" ht="15.5" hidden="false" customHeight="false" outlineLevel="0" collapsed="false">
      <c r="A224" s="2096" t="s">
        <v>3545</v>
      </c>
      <c r="B224" s="2098"/>
      <c r="C224" s="887" t="s">
        <v>156</v>
      </c>
      <c r="D224" s="2035" t="n">
        <f aca="false">'Ввод данных'!C433</f>
        <v>0.8</v>
      </c>
      <c r="E224" s="1217"/>
      <c r="F224" s="1217"/>
      <c r="G224" s="2028"/>
      <c r="H224" s="2079"/>
      <c r="I224" s="1009"/>
      <c r="J224" s="998"/>
      <c r="K224" s="452"/>
      <c r="L224" s="1148"/>
      <c r="M224" s="1148"/>
      <c r="N224" s="1148"/>
      <c r="O224" s="1148"/>
      <c r="P224" s="1148"/>
      <c r="Q224" s="1148"/>
      <c r="R224" s="1148"/>
    </row>
    <row r="225" customFormat="false" ht="15.5" hidden="false" customHeight="false" outlineLevel="0" collapsed="false">
      <c r="A225" s="906" t="s">
        <v>3550</v>
      </c>
      <c r="B225" s="907"/>
      <c r="C225" s="903" t="s">
        <v>156</v>
      </c>
      <c r="D225" s="1023" t="n">
        <f aca="false">D220+D224</f>
        <v>0.8</v>
      </c>
      <c r="E225" s="1217"/>
      <c r="F225" s="1217"/>
      <c r="G225" s="2028"/>
      <c r="H225" s="2079"/>
      <c r="I225" s="1009"/>
      <c r="J225" s="998"/>
      <c r="K225" s="452"/>
      <c r="L225" s="1148"/>
      <c r="M225" s="1148"/>
      <c r="N225" s="1148"/>
      <c r="O225" s="1148"/>
      <c r="P225" s="1148"/>
      <c r="Q225" s="1148"/>
      <c r="R225" s="1148"/>
    </row>
    <row r="226" customFormat="false" ht="15.5" hidden="false" customHeight="false" outlineLevel="0" collapsed="false">
      <c r="A226" s="906" t="s">
        <v>3552</v>
      </c>
      <c r="B226" s="907"/>
      <c r="C226" s="903" t="s">
        <v>156</v>
      </c>
      <c r="D226" s="1023" t="n">
        <f aca="false">D221+D224</f>
        <v>0.8</v>
      </c>
      <c r="E226" s="1217"/>
      <c r="F226" s="1217"/>
      <c r="G226" s="2028"/>
      <c r="H226" s="2079"/>
      <c r="I226" s="1009"/>
      <c r="J226" s="998"/>
      <c r="K226" s="452"/>
      <c r="L226" s="1148"/>
      <c r="M226" s="1148"/>
      <c r="N226" s="1148"/>
      <c r="O226" s="1148"/>
      <c r="P226" s="1148"/>
      <c r="Q226" s="1148"/>
      <c r="R226" s="1148"/>
    </row>
    <row r="227" customFormat="false" ht="15.5" hidden="false" customHeight="false" outlineLevel="0" collapsed="false">
      <c r="A227" s="906" t="s">
        <v>3554</v>
      </c>
      <c r="B227" s="907"/>
      <c r="C227" s="903" t="s">
        <v>156</v>
      </c>
      <c r="D227" s="1023" t="n">
        <f aca="false">D222+D224</f>
        <v>0.8</v>
      </c>
      <c r="E227" s="1217"/>
      <c r="F227" s="1217"/>
      <c r="G227" s="2028"/>
      <c r="H227" s="2079"/>
      <c r="I227" s="1009"/>
      <c r="J227" s="998"/>
      <c r="K227" s="452"/>
      <c r="L227" s="1148"/>
      <c r="M227" s="1148"/>
      <c r="N227" s="1148"/>
      <c r="O227" s="1148"/>
      <c r="P227" s="1148"/>
      <c r="Q227" s="1148"/>
      <c r="R227" s="1148"/>
    </row>
    <row r="228" customFormat="false" ht="15.5" hidden="false" customHeight="false" outlineLevel="0" collapsed="false">
      <c r="A228" s="2096" t="s">
        <v>2610</v>
      </c>
      <c r="B228" s="2097"/>
      <c r="C228" s="887" t="s">
        <v>133</v>
      </c>
      <c r="D228" s="1219" t="e">
        <f aca="false">((C204*D224*2+C203*D224*2+C202*D224)*1.1+D223)*E219</f>
        <v>#VALUE!</v>
      </c>
      <c r="E228" s="1217"/>
      <c r="F228" s="1217"/>
      <c r="G228" s="2028"/>
      <c r="H228" s="2079"/>
      <c r="I228" s="1009"/>
      <c r="J228" s="998"/>
      <c r="K228" s="452"/>
      <c r="L228" s="1148"/>
      <c r="M228" s="1148"/>
      <c r="N228" s="1148"/>
      <c r="O228" s="1148"/>
      <c r="P228" s="1148"/>
      <c r="Q228" s="1148"/>
      <c r="R228" s="1148"/>
    </row>
    <row r="229" customFormat="false" ht="15.5" hidden="false" customHeight="false" outlineLevel="0" collapsed="false">
      <c r="A229" s="2099" t="s">
        <v>2635</v>
      </c>
      <c r="B229" s="2099"/>
      <c r="C229" s="2099"/>
      <c r="D229" s="2099"/>
      <c r="E229" s="2023" t="e">
        <f aca="false">'ввод данных'!#ref!</f>
        <v>#VALUE!</v>
      </c>
      <c r="F229" s="2024" t="s">
        <v>3568</v>
      </c>
      <c r="G229" s="2028"/>
      <c r="H229" s="2079"/>
      <c r="I229" s="1009"/>
      <c r="J229" s="998"/>
      <c r="K229" s="894"/>
      <c r="L229" s="1148"/>
      <c r="M229" s="1148"/>
      <c r="N229" s="1148"/>
      <c r="O229" s="1148"/>
      <c r="P229" s="1148"/>
      <c r="Q229" s="1148"/>
      <c r="R229" s="1148"/>
    </row>
    <row r="230" customFormat="false" ht="15.5" hidden="false" customHeight="false" outlineLevel="0" collapsed="false">
      <c r="A230" s="2100" t="s">
        <v>2572</v>
      </c>
      <c r="B230" s="2051" t="s">
        <v>156</v>
      </c>
      <c r="C230" s="2100" t="n">
        <f aca="false">C204*2+C203*2+C202</f>
        <v>0</v>
      </c>
      <c r="D230" s="2024"/>
      <c r="E230" s="2024"/>
      <c r="F230" s="1217"/>
      <c r="G230" s="2028"/>
      <c r="H230" s="2079"/>
      <c r="I230" s="1009"/>
      <c r="J230" s="998"/>
      <c r="K230" s="998"/>
      <c r="L230" s="1148"/>
      <c r="M230" s="1148"/>
      <c r="N230" s="1148"/>
      <c r="O230" s="1148"/>
      <c r="P230" s="1148"/>
      <c r="Q230" s="1148"/>
      <c r="R230" s="1148"/>
    </row>
    <row r="231" customFormat="false" ht="15.5" hidden="false" customHeight="false" outlineLevel="0" collapsed="false">
      <c r="A231" s="2053" t="s">
        <v>3427</v>
      </c>
      <c r="B231" s="925" t="s">
        <v>133</v>
      </c>
      <c r="C231" s="2053" t="e">
        <f aca="false">C199+C200</f>
        <v>#VALUE!</v>
      </c>
      <c r="D231" s="2024"/>
      <c r="E231" s="2024"/>
      <c r="F231" s="1217"/>
      <c r="G231" s="2028"/>
      <c r="H231" s="2079"/>
      <c r="I231" s="1009"/>
      <c r="J231" s="998"/>
      <c r="K231" s="2084"/>
      <c r="L231" s="1148"/>
      <c r="M231" s="1148"/>
      <c r="N231" s="1148"/>
      <c r="O231" s="1148"/>
      <c r="P231" s="1148"/>
      <c r="Q231" s="1148"/>
      <c r="R231" s="1148"/>
    </row>
    <row r="232" customFormat="false" ht="15.5" hidden="false" customHeight="false" outlineLevel="0" collapsed="false">
      <c r="A232" s="895"/>
      <c r="B232" s="895"/>
      <c r="C232" s="895"/>
      <c r="D232" s="895"/>
      <c r="E232" s="895"/>
      <c r="F232" s="895"/>
      <c r="G232" s="2028"/>
      <c r="H232" s="2079"/>
      <c r="I232" s="1009"/>
      <c r="J232" s="998"/>
      <c r="K232" s="1217"/>
      <c r="L232" s="1148"/>
      <c r="M232" s="1148"/>
      <c r="N232" s="1148"/>
      <c r="O232" s="1148"/>
      <c r="P232" s="1148"/>
      <c r="Q232" s="1148"/>
      <c r="R232" s="1148"/>
    </row>
    <row r="233" customFormat="false" ht="15.5" hidden="false" customHeight="false" outlineLevel="0" collapsed="false">
      <c r="A233" s="895"/>
      <c r="B233" s="895"/>
      <c r="C233" s="895"/>
      <c r="D233" s="895"/>
      <c r="E233" s="895"/>
      <c r="F233" s="895"/>
      <c r="G233" s="2028"/>
      <c r="H233" s="2079"/>
      <c r="I233" s="1009"/>
      <c r="J233" s="998"/>
      <c r="K233" s="1217"/>
      <c r="L233" s="1148"/>
      <c r="M233" s="1148"/>
      <c r="N233" s="1148"/>
      <c r="O233" s="1148"/>
      <c r="P233" s="1148"/>
      <c r="Q233" s="1148"/>
      <c r="R233" s="1148"/>
    </row>
    <row r="234" customFormat="false" ht="15.5" hidden="false" customHeight="false" outlineLevel="0" collapsed="false">
      <c r="A234" s="895"/>
      <c r="B234" s="895"/>
      <c r="C234" s="895"/>
      <c r="D234" s="895"/>
      <c r="E234" s="895"/>
      <c r="F234" s="895"/>
      <c r="G234" s="2028"/>
      <c r="H234" s="2079"/>
      <c r="I234" s="1009"/>
      <c r="J234" s="998"/>
      <c r="K234" s="1217"/>
      <c r="L234" s="1148"/>
      <c r="M234" s="1148"/>
      <c r="N234" s="1148"/>
      <c r="O234" s="1148"/>
      <c r="P234" s="1148"/>
      <c r="Q234" s="1148"/>
      <c r="R234" s="1148"/>
    </row>
    <row r="235" customFormat="false" ht="15.5" hidden="false" customHeight="false" outlineLevel="0" collapsed="false">
      <c r="A235" s="895"/>
      <c r="B235" s="895"/>
      <c r="C235" s="895"/>
      <c r="D235" s="895"/>
      <c r="E235" s="895"/>
      <c r="F235" s="895"/>
      <c r="G235" s="2028"/>
      <c r="H235" s="2079"/>
      <c r="I235" s="1009"/>
      <c r="J235" s="998"/>
      <c r="K235" s="1217"/>
      <c r="L235" s="1148"/>
      <c r="M235" s="1148"/>
      <c r="N235" s="1148"/>
      <c r="O235" s="1148"/>
      <c r="P235" s="1148"/>
      <c r="Q235" s="1148"/>
      <c r="R235" s="1148"/>
    </row>
    <row r="236" customFormat="false" ht="15.5" hidden="false" customHeight="false" outlineLevel="0" collapsed="false">
      <c r="A236" s="2084"/>
      <c r="B236" s="2084"/>
      <c r="C236" s="2101"/>
      <c r="D236" s="1217"/>
      <c r="E236" s="1217"/>
      <c r="F236" s="1217"/>
      <c r="G236" s="2028"/>
      <c r="H236" s="2079"/>
      <c r="I236" s="1009"/>
      <c r="J236" s="998"/>
      <c r="K236" s="1217"/>
      <c r="L236" s="1148"/>
      <c r="M236" s="1148"/>
      <c r="N236" s="1148"/>
      <c r="O236" s="1148"/>
      <c r="P236" s="1148"/>
      <c r="Q236" s="1148"/>
      <c r="R236" s="1148"/>
    </row>
    <row r="237" customFormat="false" ht="15.5" hidden="false" customHeight="false" outlineLevel="0" collapsed="false">
      <c r="A237" s="895"/>
      <c r="B237" s="895"/>
      <c r="C237" s="895"/>
      <c r="D237" s="895"/>
      <c r="E237" s="358"/>
      <c r="F237" s="2024"/>
      <c r="G237" s="895"/>
      <c r="H237" s="2079"/>
      <c r="I237" s="1009"/>
      <c r="J237" s="998"/>
      <c r="K237" s="2024"/>
      <c r="L237" s="1148"/>
      <c r="M237" s="1148"/>
      <c r="N237" s="1148"/>
      <c r="O237" s="1148"/>
      <c r="P237" s="1148"/>
      <c r="Q237" s="1148"/>
      <c r="R237" s="1148"/>
    </row>
    <row r="238" customFormat="false" ht="15.5" hidden="false" customHeight="false" outlineLevel="0" collapsed="false">
      <c r="A238" s="895"/>
      <c r="B238" s="895"/>
      <c r="C238" s="895"/>
      <c r="D238" s="895"/>
      <c r="E238" s="358"/>
      <c r="F238" s="358"/>
      <c r="G238" s="2025"/>
      <c r="H238" s="2079"/>
      <c r="I238" s="1009"/>
      <c r="J238" s="998"/>
      <c r="K238" s="1217"/>
      <c r="L238" s="1148"/>
      <c r="M238" s="1148"/>
      <c r="N238" s="1148"/>
      <c r="O238" s="1148"/>
      <c r="P238" s="1148"/>
      <c r="Q238" s="1148"/>
      <c r="R238" s="1148"/>
    </row>
    <row r="239" customFormat="false" ht="15.5" hidden="false" customHeight="false" outlineLevel="0" collapsed="false">
      <c r="A239" s="895"/>
      <c r="B239" s="895"/>
      <c r="C239" s="895"/>
      <c r="D239" s="895"/>
      <c r="E239" s="358"/>
      <c r="F239" s="358"/>
      <c r="G239" s="2025"/>
      <c r="H239" s="2079"/>
      <c r="I239" s="1009"/>
      <c r="J239" s="998"/>
      <c r="K239" s="1217"/>
      <c r="L239" s="1148"/>
      <c r="M239" s="1148"/>
      <c r="N239" s="1148"/>
      <c r="O239" s="1148"/>
      <c r="P239" s="1148"/>
      <c r="Q239" s="1148"/>
      <c r="R239" s="1148"/>
    </row>
    <row r="240" customFormat="false" ht="15.5" hidden="false" customHeight="false" outlineLevel="0" collapsed="false">
      <c r="A240" s="895"/>
      <c r="B240" s="895"/>
      <c r="C240" s="895"/>
      <c r="D240" s="895"/>
      <c r="E240" s="2024"/>
      <c r="F240" s="2024"/>
      <c r="G240" s="2025"/>
      <c r="H240" s="2079"/>
      <c r="I240" s="1009"/>
      <c r="J240" s="998"/>
      <c r="K240" s="894"/>
      <c r="L240" s="1148"/>
      <c r="M240" s="1148"/>
      <c r="N240" s="1148"/>
      <c r="O240" s="1148"/>
      <c r="P240" s="1148"/>
      <c r="Q240" s="1148"/>
      <c r="R240" s="1148"/>
    </row>
    <row r="241" customFormat="false" ht="15.5" hidden="false" customHeight="false" outlineLevel="0" collapsed="false">
      <c r="A241" s="2102" t="s">
        <v>2069</v>
      </c>
      <c r="B241" s="756" t="s">
        <v>120</v>
      </c>
      <c r="C241" s="758" t="s">
        <v>1753</v>
      </c>
      <c r="D241" s="2035" t="str">
        <f aca="false">'Ввод данных'!F512</f>
        <v>Не считать</v>
      </c>
      <c r="E241" s="2024" t="s">
        <v>3897</v>
      </c>
      <c r="F241" s="2024"/>
      <c r="G241" s="2025"/>
      <c r="H241" s="2079"/>
      <c r="I241" s="1009"/>
      <c r="J241" s="998"/>
      <c r="K241" s="894"/>
      <c r="L241" s="1148"/>
      <c r="M241" s="1148"/>
      <c r="N241" s="1148"/>
      <c r="O241" s="1148"/>
      <c r="P241" s="1148"/>
      <c r="Q241" s="1148"/>
      <c r="R241" s="1148"/>
    </row>
    <row r="242" customFormat="false" ht="15.5" hidden="false" customHeight="false" outlineLevel="0" collapsed="false">
      <c r="A242" s="2053" t="s">
        <v>2058</v>
      </c>
      <c r="B242" s="925" t="s">
        <v>156</v>
      </c>
      <c r="C242" s="474" t="n">
        <v>3</v>
      </c>
      <c r="D242" s="358"/>
      <c r="E242" s="2024"/>
      <c r="F242" s="2024"/>
      <c r="G242" s="2025"/>
      <c r="H242" s="2079"/>
      <c r="I242" s="1009"/>
      <c r="J242" s="998"/>
      <c r="K242" s="371"/>
      <c r="L242" s="1148"/>
      <c r="M242" s="1148"/>
      <c r="N242" s="1148"/>
      <c r="O242" s="1148"/>
      <c r="P242" s="1148"/>
      <c r="Q242" s="1148"/>
      <c r="R242" s="1148"/>
    </row>
    <row r="243" customFormat="false" ht="15.5" hidden="false" customHeight="false" outlineLevel="0" collapsed="false">
      <c r="A243" s="2053" t="s">
        <v>3898</v>
      </c>
      <c r="B243" s="925" t="s">
        <v>156</v>
      </c>
      <c r="C243" s="2090" t="n">
        <f aca="false">'Ввод данных'!C467</f>
        <v>1</v>
      </c>
      <c r="D243" s="358"/>
      <c r="E243" s="2024"/>
      <c r="F243" s="2024"/>
      <c r="G243" s="2025"/>
      <c r="H243" s="2079"/>
      <c r="I243" s="1009"/>
      <c r="J243" s="998"/>
      <c r="K243" s="358"/>
      <c r="L243" s="1148"/>
      <c r="M243" s="1148"/>
      <c r="N243" s="1148"/>
      <c r="O243" s="1148"/>
      <c r="P243" s="1148"/>
      <c r="Q243" s="1148"/>
      <c r="R243" s="1148"/>
    </row>
    <row r="244" customFormat="false" ht="15.5" hidden="false" customHeight="false" outlineLevel="0" collapsed="false">
      <c r="A244" s="2042" t="s">
        <v>3838</v>
      </c>
      <c r="B244" s="925" t="s">
        <v>156</v>
      </c>
      <c r="C244" s="2090" t="n">
        <f aca="false">'Ввод данных'!C468</f>
        <v>0.9</v>
      </c>
      <c r="D244" s="358"/>
      <c r="E244" s="2024"/>
      <c r="F244" s="2024"/>
      <c r="G244" s="2024"/>
      <c r="H244" s="2079"/>
      <c r="I244" s="1009"/>
      <c r="J244" s="998"/>
      <c r="K244" s="358"/>
      <c r="L244" s="1148"/>
      <c r="M244" s="1148"/>
      <c r="N244" s="1148"/>
      <c r="O244" s="1148"/>
      <c r="P244" s="1148"/>
      <c r="Q244" s="1148"/>
      <c r="R244" s="1148"/>
    </row>
    <row r="245" customFormat="false" ht="15.5" hidden="false" customHeight="false" outlineLevel="0" collapsed="false">
      <c r="A245" s="2053" t="s">
        <v>3899</v>
      </c>
      <c r="B245" s="925" t="s">
        <v>133</v>
      </c>
      <c r="C245" s="2053" t="n">
        <f aca="false">C242*C243</f>
        <v>3</v>
      </c>
      <c r="D245" s="358"/>
      <c r="E245" s="2024"/>
      <c r="F245" s="2024"/>
      <c r="G245" s="2024"/>
      <c r="H245" s="2079"/>
      <c r="I245" s="1009"/>
      <c r="J245" s="998"/>
      <c r="K245" s="358"/>
      <c r="L245" s="1148"/>
      <c r="M245" s="1148"/>
      <c r="N245" s="1148"/>
      <c r="O245" s="1148"/>
      <c r="P245" s="1148"/>
      <c r="Q245" s="1148"/>
      <c r="R245" s="1148"/>
    </row>
    <row r="246" customFormat="false" ht="15.5" hidden="false" customHeight="false" outlineLevel="0" collapsed="false">
      <c r="A246" s="903" t="s">
        <v>3900</v>
      </c>
      <c r="B246" s="903" t="s">
        <v>133</v>
      </c>
      <c r="C246" s="2053" t="n">
        <f aca="false">(C242+C243+C243)*C244</f>
        <v>4.5</v>
      </c>
      <c r="D246" s="358"/>
      <c r="E246" s="2024"/>
      <c r="F246" s="2024"/>
      <c r="G246" s="2024"/>
      <c r="H246" s="2079"/>
      <c r="I246" s="1009"/>
      <c r="J246" s="998"/>
      <c r="K246" s="358"/>
      <c r="L246" s="1148"/>
      <c r="M246" s="1148"/>
      <c r="N246" s="1148"/>
      <c r="O246" s="1148"/>
      <c r="P246" s="1148"/>
      <c r="Q246" s="1148"/>
      <c r="R246" s="1148"/>
    </row>
    <row r="247" customFormat="false" ht="15.5" hidden="false" customHeight="false" outlineLevel="0" collapsed="false">
      <c r="A247" s="895"/>
      <c r="B247" s="895"/>
      <c r="C247" s="895"/>
      <c r="D247" s="358"/>
      <c r="E247" s="2024"/>
      <c r="F247" s="2024"/>
      <c r="G247" s="2024"/>
      <c r="H247" s="2079"/>
      <c r="I247" s="1009"/>
      <c r="J247" s="998"/>
      <c r="K247" s="358"/>
      <c r="L247" s="1148"/>
      <c r="M247" s="1148"/>
      <c r="N247" s="1148"/>
      <c r="O247" s="1148"/>
      <c r="P247" s="1148"/>
      <c r="Q247" s="1148"/>
      <c r="R247" s="1148"/>
    </row>
    <row r="248" customFormat="false" ht="15.5" hidden="false" customHeight="false" outlineLevel="0" collapsed="false">
      <c r="A248" s="2024"/>
      <c r="B248" s="2055"/>
      <c r="C248" s="2024"/>
      <c r="D248" s="2024"/>
      <c r="E248" s="2024"/>
      <c r="F248" s="2024"/>
      <c r="G248" s="2024"/>
      <c r="H248" s="2079"/>
      <c r="I248" s="1009"/>
      <c r="J248" s="998"/>
      <c r="K248" s="371"/>
      <c r="L248" s="1148"/>
      <c r="M248" s="1148"/>
      <c r="N248" s="1148"/>
      <c r="O248" s="1148"/>
      <c r="P248" s="1148"/>
      <c r="Q248" s="1148"/>
      <c r="R248" s="1148"/>
    </row>
    <row r="249" customFormat="false" ht="15.5" hidden="false" customHeight="false" outlineLevel="0" collapsed="false">
      <c r="A249" s="2024"/>
      <c r="B249" s="2055"/>
      <c r="C249" s="2024"/>
      <c r="D249" s="2024"/>
      <c r="E249" s="2024"/>
      <c r="F249" s="2024"/>
      <c r="G249" s="2024"/>
      <c r="H249" s="2079"/>
      <c r="I249" s="1009"/>
      <c r="J249" s="998"/>
      <c r="K249" s="371"/>
      <c r="L249" s="1148"/>
      <c r="M249" s="1148"/>
      <c r="N249" s="1148"/>
      <c r="O249" s="1148"/>
      <c r="P249" s="1148"/>
      <c r="Q249" s="1148"/>
      <c r="R249" s="1148"/>
    </row>
    <row r="250" customFormat="false" ht="15.5" hidden="false" customHeight="false" outlineLevel="0" collapsed="false">
      <c r="A250" s="2024"/>
      <c r="B250" s="2055"/>
      <c r="C250" s="2024"/>
      <c r="D250" s="2024"/>
      <c r="E250" s="2024"/>
      <c r="F250" s="2024"/>
      <c r="G250" s="2024"/>
      <c r="H250" s="2079"/>
      <c r="I250" s="1009"/>
      <c r="J250" s="998"/>
      <c r="K250" s="371"/>
      <c r="L250" s="1148"/>
      <c r="M250" s="1148"/>
      <c r="N250" s="1148"/>
      <c r="O250" s="1148"/>
      <c r="P250" s="1148"/>
      <c r="Q250" s="1148"/>
      <c r="R250" s="1148"/>
    </row>
    <row r="251" customFormat="false" ht="15.5" hidden="false" customHeight="false" outlineLevel="0" collapsed="false">
      <c r="A251" s="2024"/>
      <c r="B251" s="2055"/>
      <c r="C251" s="2024"/>
      <c r="D251" s="2024"/>
      <c r="E251" s="2024"/>
      <c r="F251" s="2024"/>
      <c r="G251" s="2024"/>
      <c r="H251" s="2079"/>
      <c r="I251" s="1009"/>
      <c r="J251" s="998"/>
      <c r="K251" s="371"/>
      <c r="L251" s="1148"/>
      <c r="M251" s="1148"/>
      <c r="N251" s="1148"/>
      <c r="O251" s="1148"/>
      <c r="P251" s="1148"/>
      <c r="Q251" s="1148"/>
      <c r="R251" s="1148"/>
    </row>
    <row r="252" customFormat="false" ht="15.5" hidden="false" customHeight="false" outlineLevel="0" collapsed="false">
      <c r="A252" s="2024"/>
      <c r="B252" s="2055"/>
      <c r="C252" s="2024"/>
      <c r="D252" s="2024"/>
      <c r="E252" s="2024"/>
      <c r="F252" s="2024"/>
      <c r="G252" s="2024"/>
      <c r="H252" s="2079"/>
      <c r="I252" s="1009"/>
      <c r="J252" s="998"/>
      <c r="K252" s="371"/>
      <c r="L252" s="1148"/>
      <c r="M252" s="1148"/>
      <c r="N252" s="1148"/>
      <c r="O252" s="1148"/>
      <c r="P252" s="1148"/>
      <c r="Q252" s="1148"/>
      <c r="R252" s="1148"/>
    </row>
    <row r="253" customFormat="false" ht="15.5" hidden="false" customHeight="false" outlineLevel="0" collapsed="false">
      <c r="A253" s="2024"/>
      <c r="B253" s="2055"/>
      <c r="C253" s="2024"/>
      <c r="D253" s="2024"/>
      <c r="E253" s="2024"/>
      <c r="F253" s="2024"/>
      <c r="G253" s="2024"/>
      <c r="H253" s="2079"/>
      <c r="I253" s="1009"/>
      <c r="J253" s="998"/>
      <c r="K253" s="371"/>
      <c r="L253" s="1148"/>
      <c r="M253" s="1148"/>
      <c r="N253" s="1148"/>
      <c r="O253" s="1148"/>
      <c r="P253" s="1148"/>
      <c r="Q253" s="1148"/>
      <c r="R253" s="1148"/>
    </row>
    <row r="254" customFormat="false" ht="15.5" hidden="false" customHeight="false" outlineLevel="0" collapsed="false">
      <c r="A254" s="2024"/>
      <c r="B254" s="2055"/>
      <c r="C254" s="2024"/>
      <c r="D254" s="2024"/>
      <c r="E254" s="2024"/>
      <c r="F254" s="2024"/>
      <c r="G254" s="2024"/>
      <c r="H254" s="2079"/>
      <c r="I254" s="1009"/>
      <c r="J254" s="998"/>
      <c r="K254" s="371"/>
      <c r="L254" s="1148"/>
      <c r="M254" s="1148"/>
      <c r="N254" s="1148"/>
      <c r="O254" s="1148"/>
      <c r="P254" s="1148"/>
      <c r="Q254" s="1148"/>
      <c r="R254" s="1148"/>
    </row>
    <row r="255" customFormat="false" ht="15.5" hidden="false" customHeight="false" outlineLevel="0" collapsed="false">
      <c r="A255" s="2024"/>
      <c r="B255" s="2055"/>
      <c r="C255" s="2024"/>
      <c r="D255" s="2024"/>
      <c r="E255" s="2024"/>
      <c r="F255" s="2024"/>
      <c r="G255" s="2024"/>
      <c r="H255" s="2079"/>
      <c r="I255" s="1009"/>
      <c r="J255" s="998"/>
      <c r="K255" s="2024"/>
      <c r="L255" s="1148"/>
      <c r="M255" s="1148"/>
      <c r="N255" s="1148"/>
      <c r="O255" s="1148"/>
      <c r="P255" s="1148"/>
      <c r="Q255" s="1148"/>
      <c r="R255" s="1148"/>
    </row>
    <row r="256" customFormat="false" ht="15.5" hidden="false" customHeight="false" outlineLevel="0" collapsed="false">
      <c r="A256" s="2024"/>
      <c r="B256" s="2055"/>
      <c r="C256" s="2024"/>
      <c r="D256" s="2024"/>
      <c r="E256" s="2024"/>
      <c r="F256" s="2024"/>
      <c r="G256" s="2024"/>
      <c r="H256" s="2079"/>
      <c r="I256" s="1009"/>
      <c r="J256" s="998"/>
      <c r="K256" s="894"/>
      <c r="L256" s="1148"/>
      <c r="M256" s="1148"/>
      <c r="N256" s="1148"/>
      <c r="O256" s="1148"/>
      <c r="P256" s="1148"/>
      <c r="Q256" s="1148"/>
      <c r="R256" s="1148"/>
    </row>
    <row r="257" customFormat="false" ht="15.5" hidden="false" customHeight="false" outlineLevel="0" collapsed="false">
      <c r="A257" s="895"/>
      <c r="B257" s="895"/>
      <c r="C257" s="895"/>
      <c r="D257" s="895"/>
      <c r="E257" s="358"/>
      <c r="F257" s="2024"/>
      <c r="G257" s="358"/>
      <c r="H257" s="2079"/>
      <c r="I257" s="1009"/>
      <c r="J257" s="895"/>
      <c r="K257" s="894"/>
      <c r="L257" s="1148"/>
      <c r="M257" s="1148"/>
      <c r="N257" s="1148"/>
      <c r="O257" s="1148"/>
      <c r="P257" s="1148"/>
      <c r="Q257" s="1148"/>
      <c r="R257" s="1148"/>
    </row>
    <row r="258" customFormat="false" ht="15.5" hidden="false" customHeight="false" outlineLevel="0" collapsed="false">
      <c r="A258" s="895"/>
      <c r="B258" s="895"/>
      <c r="C258" s="895"/>
      <c r="D258" s="895"/>
      <c r="E258" s="358"/>
      <c r="F258" s="358"/>
      <c r="G258" s="2024"/>
      <c r="H258" s="2079"/>
      <c r="I258" s="1009"/>
      <c r="J258" s="895"/>
      <c r="K258" s="894"/>
      <c r="L258" s="1148"/>
      <c r="M258" s="1148"/>
      <c r="N258" s="1148"/>
      <c r="O258" s="1148"/>
      <c r="P258" s="1148"/>
      <c r="Q258" s="1148"/>
      <c r="R258" s="1148"/>
    </row>
    <row r="259" customFormat="false" ht="15.5" hidden="false" customHeight="false" outlineLevel="0" collapsed="false">
      <c r="A259" s="895"/>
      <c r="B259" s="895"/>
      <c r="C259" s="895"/>
      <c r="D259" s="895"/>
      <c r="E259" s="358"/>
      <c r="F259" s="358"/>
      <c r="G259" s="2024"/>
      <c r="H259" s="2079"/>
      <c r="I259" s="1009"/>
      <c r="J259" s="895"/>
      <c r="K259" s="894"/>
      <c r="L259" s="1148"/>
      <c r="M259" s="1148"/>
      <c r="N259" s="1148"/>
      <c r="O259" s="1148"/>
      <c r="P259" s="1148"/>
      <c r="Q259" s="1148"/>
      <c r="R259" s="1148"/>
    </row>
    <row r="260" customFormat="false" ht="15.5" hidden="false" customHeight="false" outlineLevel="0" collapsed="false">
      <c r="A260" s="895"/>
      <c r="B260" s="895"/>
      <c r="C260" s="895"/>
      <c r="D260" s="895"/>
      <c r="E260" s="2024"/>
      <c r="F260" s="2024"/>
      <c r="G260" s="2024"/>
      <c r="H260" s="2079"/>
      <c r="I260" s="1009"/>
      <c r="J260" s="895"/>
      <c r="K260" s="2055"/>
      <c r="L260" s="1148"/>
      <c r="M260" s="1148"/>
      <c r="N260" s="1148"/>
      <c r="O260" s="1148"/>
      <c r="P260" s="1148"/>
      <c r="Q260" s="1148"/>
      <c r="R260" s="1148"/>
    </row>
    <row r="261" customFormat="false" ht="15.5" hidden="false" customHeight="false" outlineLevel="0" collapsed="false">
      <c r="A261" s="895"/>
      <c r="B261" s="895"/>
      <c r="C261" s="895"/>
      <c r="D261" s="895"/>
      <c r="E261" s="2024"/>
      <c r="F261" s="2024"/>
      <c r="G261" s="2024"/>
      <c r="H261" s="2079"/>
      <c r="I261" s="1009"/>
      <c r="J261" s="895"/>
      <c r="K261" s="452"/>
      <c r="L261" s="1148"/>
      <c r="M261" s="1148"/>
      <c r="N261" s="1148"/>
      <c r="O261" s="1148"/>
      <c r="P261" s="1148"/>
      <c r="Q261" s="1148"/>
      <c r="R261" s="1148"/>
    </row>
    <row r="262" customFormat="false" ht="15.5" hidden="false" customHeight="false" outlineLevel="0" collapsed="false">
      <c r="A262" s="895"/>
      <c r="B262" s="895"/>
      <c r="C262" s="895"/>
      <c r="D262" s="895"/>
      <c r="E262" s="2024"/>
      <c r="F262" s="2024"/>
      <c r="G262" s="2024"/>
      <c r="H262" s="2079"/>
      <c r="I262" s="1009"/>
      <c r="J262" s="895"/>
      <c r="K262" s="452"/>
      <c r="L262" s="1148"/>
      <c r="M262" s="1148"/>
      <c r="N262" s="1148"/>
      <c r="O262" s="1148"/>
      <c r="P262" s="1148"/>
      <c r="Q262" s="1148"/>
      <c r="R262" s="1148"/>
    </row>
    <row r="263" customFormat="false" ht="15.5" hidden="false" customHeight="false" outlineLevel="0" collapsed="false">
      <c r="A263" s="2103" t="s">
        <v>3812</v>
      </c>
      <c r="B263" s="2104" t="s">
        <v>120</v>
      </c>
      <c r="C263" s="756" t="s">
        <v>1753</v>
      </c>
      <c r="D263" s="2035" t="str">
        <f aca="false">'Ввод данных'!F617</f>
        <v>Не считать</v>
      </c>
      <c r="E263" s="2024" t="s">
        <v>3813</v>
      </c>
      <c r="F263" s="2024"/>
      <c r="G263" s="2024"/>
      <c r="H263" s="2079"/>
      <c r="I263" s="1009"/>
      <c r="J263" s="895"/>
      <c r="K263" s="452"/>
      <c r="L263" s="1148"/>
      <c r="M263" s="1148"/>
      <c r="N263" s="1148"/>
      <c r="O263" s="1148"/>
      <c r="P263" s="1148"/>
      <c r="Q263" s="1148"/>
      <c r="R263" s="1148"/>
    </row>
    <row r="264" customFormat="false" ht="15.5" hidden="false" customHeight="false" outlineLevel="0" collapsed="false">
      <c r="A264" s="903" t="s">
        <v>2002</v>
      </c>
      <c r="B264" s="903" t="s">
        <v>159</v>
      </c>
      <c r="C264" s="2090" t="n">
        <f aca="false">'Ввод данных'!E520</f>
        <v>0</v>
      </c>
      <c r="D264" s="894"/>
      <c r="E264" s="2024"/>
      <c r="F264" s="2024"/>
      <c r="G264" s="2024"/>
      <c r="H264" s="2079"/>
      <c r="I264" s="1009"/>
      <c r="J264" s="895"/>
      <c r="K264" s="452"/>
      <c r="L264" s="1148"/>
      <c r="M264" s="1148"/>
      <c r="N264" s="1148"/>
      <c r="O264" s="1148"/>
      <c r="P264" s="1148"/>
      <c r="Q264" s="1148"/>
      <c r="R264" s="1148"/>
    </row>
    <row r="265" customFormat="false" ht="15.5" hidden="false" customHeight="false" outlineLevel="0" collapsed="false">
      <c r="A265" s="903" t="s">
        <v>3814</v>
      </c>
      <c r="B265" s="903" t="s">
        <v>159</v>
      </c>
      <c r="C265" s="2090" t="n">
        <f aca="false">'Ввод данных'!E521</f>
        <v>0</v>
      </c>
      <c r="D265" s="903" t="s">
        <v>2975</v>
      </c>
      <c r="E265" s="2024"/>
      <c r="F265" s="2024"/>
      <c r="G265" s="2024"/>
      <c r="H265" s="2079"/>
      <c r="I265" s="1009"/>
      <c r="J265" s="895"/>
      <c r="K265" s="452"/>
      <c r="L265" s="1148"/>
      <c r="M265" s="1148"/>
      <c r="N265" s="1148"/>
      <c r="O265" s="1148"/>
      <c r="P265" s="1148"/>
      <c r="Q265" s="1148"/>
      <c r="R265" s="1148"/>
    </row>
    <row r="266" customFormat="false" ht="15.5" hidden="false" customHeight="false" outlineLevel="0" collapsed="false">
      <c r="A266" s="903" t="s">
        <v>2001</v>
      </c>
      <c r="B266" s="903" t="s">
        <v>159</v>
      </c>
      <c r="C266" s="903"/>
      <c r="D266" s="2035" t="e">
        <f aca="false">'ввод данных'!#ref!</f>
        <v>#VALUE!</v>
      </c>
      <c r="E266" s="2023" t="e">
        <f aca="false">'ввод данных'!#ref!</f>
        <v>#VALUE!</v>
      </c>
      <c r="F266" s="2024" t="s">
        <v>3521</v>
      </c>
      <c r="G266" s="2024"/>
      <c r="H266" s="2079"/>
      <c r="I266" s="1009"/>
      <c r="J266" s="895"/>
      <c r="K266" s="894"/>
      <c r="L266" s="1148"/>
      <c r="M266" s="1148"/>
      <c r="N266" s="1148"/>
      <c r="O266" s="1148"/>
      <c r="P266" s="1148"/>
      <c r="Q266" s="1148"/>
      <c r="R266" s="1148"/>
    </row>
    <row r="267" customFormat="false" ht="15.5" hidden="false" customHeight="false" outlineLevel="0" collapsed="false">
      <c r="A267" s="903" t="s">
        <v>2557</v>
      </c>
      <c r="B267" s="903" t="s">
        <v>159</v>
      </c>
      <c r="C267" s="903"/>
      <c r="D267" s="2035" t="e">
        <f aca="false">'ввод данных'!#ref!</f>
        <v>#VALUE!</v>
      </c>
      <c r="E267" s="2023" t="e">
        <f aca="false">'ввод данных'!#ref!</f>
        <v>#VALUE!</v>
      </c>
      <c r="F267" s="2024" t="s">
        <v>3522</v>
      </c>
      <c r="G267" s="2024"/>
      <c r="H267" s="2079"/>
      <c r="I267" s="1009"/>
      <c r="J267" s="895"/>
      <c r="K267" s="894"/>
      <c r="L267" s="1148"/>
      <c r="M267" s="1148"/>
      <c r="N267" s="1148"/>
      <c r="O267" s="1148"/>
      <c r="P267" s="1148"/>
      <c r="Q267" s="1148"/>
      <c r="R267" s="1148"/>
    </row>
    <row r="268" customFormat="false" ht="15.5" hidden="false" customHeight="false" outlineLevel="0" collapsed="false">
      <c r="A268" s="903" t="s">
        <v>2558</v>
      </c>
      <c r="B268" s="903" t="s">
        <v>159</v>
      </c>
      <c r="C268" s="903"/>
      <c r="D268" s="2035" t="e">
        <f aca="false">'ввод данных'!#ref!</f>
        <v>#VALUE!</v>
      </c>
      <c r="E268" s="2023" t="e">
        <f aca="false">'ввод данных'!#ref!</f>
        <v>#VALUE!</v>
      </c>
      <c r="F268" s="2024" t="s">
        <v>3523</v>
      </c>
      <c r="G268" s="2024"/>
      <c r="H268" s="2079"/>
      <c r="I268" s="1009"/>
      <c r="J268" s="895"/>
      <c r="K268" s="894"/>
      <c r="L268" s="1148"/>
      <c r="M268" s="1148"/>
      <c r="N268" s="1148"/>
      <c r="O268" s="1148"/>
      <c r="P268" s="1148"/>
      <c r="Q268" s="1148"/>
      <c r="R268" s="1148"/>
    </row>
    <row r="269" customFormat="false" ht="15.5" hidden="false" customHeight="false" outlineLevel="0" collapsed="false">
      <c r="A269" s="560" t="s">
        <v>2091</v>
      </c>
      <c r="B269" s="680" t="s">
        <v>156</v>
      </c>
      <c r="C269" s="2090" t="n">
        <f aca="false">'Ввод данных'!C522</f>
        <v>3</v>
      </c>
      <c r="D269" s="450"/>
      <c r="E269" s="2024"/>
      <c r="F269" s="2024"/>
      <c r="G269" s="2024"/>
      <c r="H269" s="2079"/>
      <c r="I269" s="1009"/>
      <c r="J269" s="895"/>
      <c r="K269" s="2084"/>
      <c r="L269" s="1148"/>
      <c r="M269" s="1148"/>
      <c r="N269" s="1148"/>
      <c r="O269" s="1148"/>
      <c r="P269" s="1148"/>
      <c r="Q269" s="1148"/>
      <c r="R269" s="1148"/>
    </row>
    <row r="270" customFormat="false" ht="15.5" hidden="false" customHeight="false" outlineLevel="0" collapsed="false">
      <c r="A270" s="560" t="s">
        <v>3901</v>
      </c>
      <c r="B270" s="680" t="s">
        <v>156</v>
      </c>
      <c r="C270" s="2090" t="n">
        <f aca="false">'Ввод данных'!C523</f>
        <v>3</v>
      </c>
      <c r="D270" s="450"/>
      <c r="E270" s="2024"/>
      <c r="F270" s="2024"/>
      <c r="G270" s="2024"/>
      <c r="H270" s="2079"/>
      <c r="I270" s="1009"/>
      <c r="J270" s="895"/>
      <c r="K270" s="1217"/>
      <c r="L270" s="1148"/>
      <c r="M270" s="1148"/>
      <c r="N270" s="1148"/>
      <c r="O270" s="1148"/>
      <c r="P270" s="1148"/>
      <c r="Q270" s="1148"/>
      <c r="R270" s="1148"/>
    </row>
    <row r="271" customFormat="false" ht="15.5" hidden="false" customHeight="false" outlineLevel="0" collapsed="false">
      <c r="A271" s="560" t="s">
        <v>2093</v>
      </c>
      <c r="B271" s="680" t="s">
        <v>156</v>
      </c>
      <c r="C271" s="2090" t="n">
        <f aca="false">'Ввод данных'!C524</f>
        <v>2.7</v>
      </c>
      <c r="D271" s="371"/>
      <c r="E271" s="2024"/>
      <c r="F271" s="2024"/>
      <c r="G271" s="2024"/>
      <c r="H271" s="2079"/>
      <c r="I271" s="1009"/>
      <c r="J271" s="895"/>
      <c r="K271" s="1217"/>
      <c r="L271" s="1148"/>
      <c r="M271" s="1148"/>
      <c r="N271" s="1148"/>
      <c r="O271" s="1148"/>
      <c r="P271" s="1148"/>
      <c r="Q271" s="1148"/>
      <c r="R271" s="1148"/>
    </row>
    <row r="272" customFormat="false" ht="15.5" hidden="false" customHeight="false" outlineLevel="0" collapsed="false">
      <c r="A272" s="560" t="s">
        <v>2094</v>
      </c>
      <c r="B272" s="680" t="s">
        <v>156</v>
      </c>
      <c r="C272" s="2090" t="n">
        <f aca="false">'Ввод данных'!C525</f>
        <v>2.7</v>
      </c>
      <c r="D272" s="371"/>
      <c r="E272" s="2024"/>
      <c r="F272" s="2024"/>
      <c r="G272" s="2024"/>
      <c r="H272" s="2079"/>
      <c r="I272" s="1009"/>
      <c r="J272" s="895"/>
      <c r="K272" s="1217"/>
      <c r="L272" s="1148"/>
      <c r="M272" s="1148"/>
      <c r="N272" s="1148"/>
      <c r="O272" s="1148"/>
      <c r="P272" s="1148"/>
      <c r="Q272" s="1148"/>
      <c r="R272" s="1148"/>
    </row>
    <row r="273" customFormat="false" ht="15.5" hidden="false" customHeight="false" outlineLevel="0" collapsed="false">
      <c r="A273" s="2105" t="s">
        <v>1236</v>
      </c>
      <c r="B273" s="2105" t="s">
        <v>120</v>
      </c>
      <c r="C273" s="900" t="s">
        <v>2548</v>
      </c>
      <c r="D273" s="895"/>
      <c r="E273" s="2024"/>
      <c r="F273" s="2024"/>
      <c r="G273" s="2024"/>
      <c r="H273" s="2079"/>
      <c r="I273" s="1009"/>
      <c r="J273" s="895"/>
      <c r="K273" s="1217"/>
      <c r="L273" s="1148"/>
      <c r="M273" s="1148"/>
      <c r="N273" s="1148"/>
      <c r="O273" s="1148"/>
      <c r="P273" s="1148"/>
      <c r="Q273" s="1148"/>
      <c r="R273" s="1148"/>
    </row>
    <row r="274" customFormat="false" ht="15.5" hidden="false" customHeight="false" outlineLevel="0" collapsed="false">
      <c r="A274" s="903" t="s">
        <v>3902</v>
      </c>
      <c r="B274" s="924" t="s">
        <v>133</v>
      </c>
      <c r="C274" s="903" t="e">
        <f aca="false">C269*C270*E266</f>
        <v>#VALUE!</v>
      </c>
      <c r="D274" s="895"/>
      <c r="E274" s="2024"/>
      <c r="F274" s="2024"/>
      <c r="G274" s="2024"/>
      <c r="H274" s="2079"/>
      <c r="I274" s="1009"/>
      <c r="J274" s="895"/>
      <c r="K274" s="1217"/>
      <c r="L274" s="1148"/>
      <c r="M274" s="1148"/>
      <c r="N274" s="1148"/>
      <c r="O274" s="1148"/>
      <c r="P274" s="1148"/>
      <c r="Q274" s="1148"/>
      <c r="R274" s="1148"/>
    </row>
    <row r="275" customFormat="false" ht="15.5" hidden="false" customHeight="false" outlineLevel="0" collapsed="false">
      <c r="A275" s="903" t="s">
        <v>3903</v>
      </c>
      <c r="B275" s="924" t="s">
        <v>133</v>
      </c>
      <c r="C275" s="903" t="e">
        <f aca="false">C269*C270*E267</f>
        <v>#VALUE!</v>
      </c>
      <c r="D275" s="895"/>
      <c r="E275" s="2024"/>
      <c r="F275" s="2024"/>
      <c r="G275" s="2024"/>
      <c r="H275" s="2079"/>
      <c r="I275" s="1009"/>
      <c r="J275" s="895"/>
      <c r="K275" s="1217"/>
      <c r="L275" s="1148"/>
      <c r="M275" s="1148"/>
      <c r="N275" s="1148"/>
      <c r="O275" s="1148"/>
      <c r="P275" s="1148"/>
      <c r="Q275" s="1148"/>
      <c r="R275" s="1148"/>
    </row>
    <row r="276" customFormat="false" ht="15.5" hidden="false" customHeight="false" outlineLevel="0" collapsed="false">
      <c r="A276" s="903" t="s">
        <v>3904</v>
      </c>
      <c r="B276" s="924" t="s">
        <v>133</v>
      </c>
      <c r="C276" s="903" t="e">
        <f aca="false">C269*C270*E268</f>
        <v>#VALUE!</v>
      </c>
      <c r="D276" s="895"/>
      <c r="E276" s="2024"/>
      <c r="F276" s="2024"/>
      <c r="G276" s="2024"/>
      <c r="H276" s="2079"/>
      <c r="I276" s="1009"/>
      <c r="J276" s="895"/>
      <c r="K276" s="1217"/>
      <c r="L276" s="1148"/>
      <c r="M276" s="1148"/>
      <c r="N276" s="1148"/>
      <c r="O276" s="1148"/>
      <c r="P276" s="1148"/>
      <c r="Q276" s="1148"/>
      <c r="R276" s="1148"/>
    </row>
    <row r="277" customFormat="false" ht="15.5" hidden="false" customHeight="false" outlineLevel="0" collapsed="false">
      <c r="A277" s="2099" t="s">
        <v>2635</v>
      </c>
      <c r="B277" s="2099"/>
      <c r="C277" s="2099"/>
      <c r="D277" s="2099"/>
      <c r="E277" s="2023" t="n">
        <f aca="false">'Ввод данных'!D555</f>
        <v>2</v>
      </c>
      <c r="F277" s="2024" t="s">
        <v>3568</v>
      </c>
      <c r="G277" s="2024"/>
      <c r="H277" s="2079"/>
      <c r="I277" s="1009"/>
      <c r="J277" s="895"/>
      <c r="K277" s="1217"/>
      <c r="L277" s="1148"/>
      <c r="M277" s="1148"/>
      <c r="N277" s="1148"/>
      <c r="O277" s="1148"/>
      <c r="P277" s="1148"/>
      <c r="Q277" s="1148"/>
      <c r="R277" s="1148"/>
    </row>
    <row r="278" customFormat="false" ht="15.5" hidden="false" customHeight="false" outlineLevel="0" collapsed="false">
      <c r="A278" s="2100" t="s">
        <v>2572</v>
      </c>
      <c r="B278" s="2051" t="s">
        <v>156</v>
      </c>
      <c r="C278" s="2100" t="n">
        <f aca="false">(C270+C270+C269)*E277</f>
        <v>18</v>
      </c>
      <c r="D278" s="2024"/>
      <c r="E278" s="2024"/>
      <c r="F278" s="2024"/>
      <c r="G278" s="2024"/>
      <c r="H278" s="2079"/>
      <c r="I278" s="1009"/>
      <c r="J278" s="895"/>
      <c r="K278" s="1217"/>
      <c r="L278" s="1148"/>
      <c r="M278" s="1148"/>
      <c r="N278" s="1148"/>
      <c r="O278" s="1148"/>
      <c r="P278" s="1148"/>
      <c r="Q278" s="1148"/>
      <c r="R278" s="1148"/>
    </row>
    <row r="279" customFormat="false" ht="15.5" hidden="false" customHeight="false" outlineLevel="0" collapsed="false">
      <c r="A279" s="2053" t="s">
        <v>3427</v>
      </c>
      <c r="B279" s="925" t="s">
        <v>133</v>
      </c>
      <c r="C279" s="2053" t="n">
        <f aca="false">C269*C270*E277</f>
        <v>18</v>
      </c>
      <c r="D279" s="2024"/>
      <c r="E279" s="2024"/>
      <c r="F279" s="2024"/>
      <c r="G279" s="2024"/>
      <c r="H279" s="2079"/>
      <c r="I279" s="1009"/>
      <c r="J279" s="895"/>
      <c r="K279" s="1217"/>
      <c r="L279" s="1148"/>
      <c r="M279" s="1148"/>
      <c r="N279" s="1148"/>
      <c r="O279" s="1148"/>
      <c r="P279" s="1148"/>
      <c r="Q279" s="1148"/>
      <c r="R279" s="1148"/>
    </row>
    <row r="280" customFormat="false" ht="15.5" hidden="false" customHeight="false" outlineLevel="0" collapsed="false">
      <c r="A280" s="2024"/>
      <c r="B280" s="2055"/>
      <c r="C280" s="2024"/>
      <c r="D280" s="2024"/>
      <c r="E280" s="2024"/>
      <c r="F280" s="2024"/>
      <c r="G280" s="2024"/>
      <c r="H280" s="2079"/>
      <c r="I280" s="1009"/>
      <c r="J280" s="895"/>
      <c r="K280" s="1217"/>
      <c r="L280" s="1148"/>
      <c r="M280" s="1148"/>
      <c r="N280" s="1148"/>
      <c r="O280" s="1148"/>
      <c r="P280" s="1148"/>
      <c r="Q280" s="1148"/>
      <c r="R280" s="1148"/>
    </row>
    <row r="281" customFormat="false" ht="15.5" hidden="false" customHeight="false" outlineLevel="0" collapsed="false">
      <c r="A281" s="2024"/>
      <c r="B281" s="2055"/>
      <c r="C281" s="2024"/>
      <c r="D281" s="2024"/>
      <c r="E281" s="2024"/>
      <c r="F281" s="2024"/>
      <c r="G281" s="2024"/>
      <c r="H281" s="2079"/>
      <c r="I281" s="1009"/>
      <c r="J281" s="895"/>
      <c r="K281" s="1217"/>
      <c r="L281" s="1148"/>
      <c r="M281" s="1148"/>
      <c r="N281" s="1148"/>
      <c r="O281" s="1148"/>
      <c r="P281" s="1148"/>
      <c r="Q281" s="1148"/>
      <c r="R281" s="1148"/>
    </row>
    <row r="282" customFormat="false" ht="15.5" hidden="false" customHeight="false" outlineLevel="0" collapsed="false">
      <c r="A282" s="2024"/>
      <c r="B282" s="2055"/>
      <c r="C282" s="2024"/>
      <c r="D282" s="2024"/>
      <c r="E282" s="2024"/>
      <c r="F282" s="2024"/>
      <c r="G282" s="2024"/>
      <c r="H282" s="2079"/>
      <c r="I282" s="1009"/>
      <c r="J282" s="895"/>
      <c r="K282" s="1217"/>
      <c r="L282" s="1148"/>
      <c r="M282" s="1148"/>
      <c r="N282" s="1148"/>
      <c r="O282" s="1148"/>
      <c r="P282" s="1148"/>
      <c r="Q282" s="1148"/>
      <c r="R282" s="1148"/>
    </row>
    <row r="283" customFormat="false" ht="15.5" hidden="false" customHeight="false" outlineLevel="0" collapsed="false">
      <c r="A283" s="2024"/>
      <c r="B283" s="2024"/>
      <c r="C283" s="2024"/>
      <c r="D283" s="2024"/>
      <c r="E283" s="2024"/>
      <c r="F283" s="2024"/>
      <c r="G283" s="2024"/>
      <c r="H283" s="2079"/>
      <c r="I283" s="1009"/>
      <c r="J283" s="895"/>
      <c r="K283" s="1217"/>
      <c r="L283" s="1148"/>
      <c r="M283" s="1148"/>
      <c r="N283" s="1148"/>
      <c r="O283" s="1148"/>
      <c r="P283" s="1148"/>
      <c r="Q283" s="1148"/>
      <c r="R283" s="1148"/>
    </row>
    <row r="284" customFormat="false" ht="15.5" hidden="false" customHeight="false" outlineLevel="0" collapsed="false">
      <c r="A284" s="490"/>
      <c r="B284" s="358"/>
      <c r="C284" s="358"/>
      <c r="D284" s="358"/>
      <c r="E284" s="358"/>
      <c r="F284" s="2024"/>
      <c r="G284" s="358"/>
      <c r="H284" s="2079"/>
      <c r="I284" s="1009"/>
      <c r="J284" s="895"/>
      <c r="K284" s="1217"/>
      <c r="L284" s="1148"/>
      <c r="M284" s="1148"/>
      <c r="N284" s="1148"/>
      <c r="O284" s="1148"/>
      <c r="P284" s="1148"/>
      <c r="Q284" s="1148"/>
      <c r="R284" s="1148"/>
    </row>
    <row r="285" customFormat="false" ht="15.5" hidden="false" customHeight="false" outlineLevel="0" collapsed="false">
      <c r="A285" s="358"/>
      <c r="B285" s="371"/>
      <c r="C285" s="358"/>
      <c r="D285" s="358"/>
      <c r="E285" s="358"/>
      <c r="F285" s="358"/>
      <c r="G285" s="2024"/>
      <c r="H285" s="2079"/>
      <c r="I285" s="1009"/>
      <c r="J285" s="895"/>
      <c r="K285" s="1217"/>
      <c r="L285" s="1148"/>
      <c r="M285" s="1148"/>
      <c r="N285" s="1148"/>
      <c r="O285" s="1148"/>
      <c r="P285" s="1148"/>
      <c r="Q285" s="1148"/>
      <c r="R285" s="1148"/>
    </row>
    <row r="286" customFormat="false" ht="15.5" hidden="false" customHeight="false" outlineLevel="0" collapsed="false">
      <c r="A286" s="358"/>
      <c r="B286" s="371"/>
      <c r="C286" s="358"/>
      <c r="D286" s="358"/>
      <c r="E286" s="358"/>
      <c r="F286" s="358"/>
      <c r="G286" s="2024"/>
      <c r="H286" s="2079"/>
      <c r="I286" s="1009"/>
      <c r="J286" s="998"/>
      <c r="K286" s="1217"/>
      <c r="L286" s="1148"/>
      <c r="M286" s="1148"/>
      <c r="N286" s="1148"/>
      <c r="O286" s="1148"/>
      <c r="P286" s="1148"/>
      <c r="Q286" s="1148"/>
      <c r="R286" s="1148"/>
    </row>
    <row r="287" customFormat="false" ht="15.5" hidden="false" customHeight="false" outlineLevel="0" collapsed="false">
      <c r="A287" s="2024"/>
      <c r="B287" s="2055"/>
      <c r="C287" s="2024"/>
      <c r="D287" s="358"/>
      <c r="E287" s="2024"/>
      <c r="F287" s="2024"/>
      <c r="G287" s="2024"/>
      <c r="H287" s="2079"/>
      <c r="I287" s="1009"/>
      <c r="J287" s="998"/>
      <c r="K287" s="1217"/>
      <c r="L287" s="1148"/>
      <c r="M287" s="1148"/>
      <c r="N287" s="1148"/>
      <c r="O287" s="1148"/>
      <c r="P287" s="1148"/>
      <c r="Q287" s="1148"/>
      <c r="R287" s="1148"/>
    </row>
    <row r="288" customFormat="false" ht="15.5" hidden="false" customHeight="false" outlineLevel="0" collapsed="false">
      <c r="A288" s="2024"/>
      <c r="B288" s="2055"/>
      <c r="C288" s="2024"/>
      <c r="D288" s="2024"/>
      <c r="E288" s="2024"/>
      <c r="F288" s="2024"/>
      <c r="G288" s="2024"/>
      <c r="H288" s="2079"/>
      <c r="I288" s="1009"/>
      <c r="J288" s="998"/>
      <c r="K288" s="1217"/>
      <c r="L288" s="1148"/>
      <c r="M288" s="1148"/>
      <c r="N288" s="1148"/>
      <c r="O288" s="1148"/>
      <c r="P288" s="1148"/>
      <c r="Q288" s="1148"/>
      <c r="R288" s="1148"/>
    </row>
    <row r="289" customFormat="false" ht="15.5" hidden="false" customHeight="false" outlineLevel="0" collapsed="false">
      <c r="A289" s="2050" t="s">
        <v>3905</v>
      </c>
      <c r="B289" s="2050"/>
      <c r="C289" s="2050"/>
      <c r="D289" s="2050"/>
      <c r="E289" s="2050"/>
      <c r="F289" s="2033" t="e">
        <f aca="false">'ввод данных'!#ref!</f>
        <v>#VALUE!</v>
      </c>
      <c r="G289" s="2077" t="s">
        <v>3906</v>
      </c>
      <c r="H289" s="2048"/>
      <c r="I289" s="2048"/>
      <c r="J289" s="2048"/>
      <c r="K289" s="1217"/>
      <c r="L289" s="1148"/>
      <c r="M289" s="1148"/>
      <c r="N289" s="1148"/>
      <c r="O289" s="1148"/>
      <c r="P289" s="1148"/>
      <c r="Q289" s="1148"/>
      <c r="R289" s="1148"/>
    </row>
    <row r="290" customFormat="false" ht="15.5" hidden="false" customHeight="false" outlineLevel="0" collapsed="false">
      <c r="A290" s="890" t="s">
        <v>1236</v>
      </c>
      <c r="B290" s="890"/>
      <c r="C290" s="900" t="s">
        <v>120</v>
      </c>
      <c r="D290" s="2031" t="s">
        <v>1552</v>
      </c>
      <c r="E290" s="2031" t="s">
        <v>1820</v>
      </c>
      <c r="F290" s="2024"/>
      <c r="G290" s="2024"/>
      <c r="H290" s="2024"/>
      <c r="I290" s="2024"/>
      <c r="J290" s="2025"/>
      <c r="K290" s="1217"/>
      <c r="L290" s="1148"/>
      <c r="M290" s="1148"/>
      <c r="N290" s="1148"/>
      <c r="O290" s="1148"/>
      <c r="P290" s="1148"/>
      <c r="Q290" s="1148"/>
      <c r="R290" s="1148"/>
    </row>
    <row r="291" customFormat="false" ht="15.5" hidden="false" customHeight="false" outlineLevel="0" collapsed="false">
      <c r="A291" s="902" t="s">
        <v>134</v>
      </c>
      <c r="B291" s="902"/>
      <c r="C291" s="2053" t="s">
        <v>156</v>
      </c>
      <c r="D291" s="2035" t="n">
        <f aca="false">'Ввод данных'!C830</f>
        <v>0.6</v>
      </c>
      <c r="E291" s="2023" t="n">
        <f aca="false">'Ввод данных'!D829</f>
        <v>0</v>
      </c>
      <c r="F291" s="2024" t="s">
        <v>3907</v>
      </c>
      <c r="G291" s="2024"/>
      <c r="H291" s="2024"/>
      <c r="I291" s="2024"/>
      <c r="J291" s="2025"/>
      <c r="K291" s="1217"/>
      <c r="L291" s="1148"/>
      <c r="M291" s="1148"/>
      <c r="N291" s="1148"/>
      <c r="O291" s="1148"/>
      <c r="P291" s="1148"/>
      <c r="Q291" s="1148"/>
      <c r="R291" s="1148"/>
    </row>
    <row r="292" customFormat="false" ht="15.5" hidden="false" customHeight="false" outlineLevel="0" collapsed="false">
      <c r="A292" s="902" t="s">
        <v>3908</v>
      </c>
      <c r="B292" s="902"/>
      <c r="C292" s="903" t="s">
        <v>156</v>
      </c>
      <c r="D292" s="2035" t="e">
        <f aca="false">'ввод данных'!#ref!</f>
        <v>#VALUE!</v>
      </c>
      <c r="E292" s="2023" t="n">
        <f aca="false">'Ввод данных'!D830</f>
        <v>0</v>
      </c>
      <c r="F292" s="2024" t="s">
        <v>3909</v>
      </c>
      <c r="G292" s="2024"/>
      <c r="H292" s="2024"/>
      <c r="I292" s="2024"/>
      <c r="J292" s="2025"/>
      <c r="K292" s="1217"/>
      <c r="L292" s="1148"/>
      <c r="M292" s="1148"/>
      <c r="N292" s="1148"/>
      <c r="O292" s="1148"/>
      <c r="P292" s="1148"/>
      <c r="Q292" s="1148"/>
      <c r="R292" s="1148"/>
    </row>
    <row r="293" customFormat="false" ht="15.5" hidden="false" customHeight="false" outlineLevel="0" collapsed="false">
      <c r="A293" s="902" t="s">
        <v>2214</v>
      </c>
      <c r="B293" s="902"/>
      <c r="C293" s="903" t="s">
        <v>156</v>
      </c>
      <c r="D293" s="925"/>
      <c r="E293" s="2023" t="n">
        <f aca="false">'Ввод данных'!D832</f>
        <v>0</v>
      </c>
      <c r="F293" s="2024" t="s">
        <v>3910</v>
      </c>
      <c r="G293" s="2024"/>
      <c r="H293" s="2048"/>
      <c r="I293" s="2048"/>
      <c r="J293" s="2048"/>
      <c r="K293" s="1217"/>
      <c r="L293" s="1148"/>
      <c r="M293" s="1148"/>
      <c r="N293" s="1148"/>
      <c r="O293" s="1148"/>
      <c r="P293" s="1148"/>
      <c r="Q293" s="1148"/>
      <c r="R293" s="1148"/>
    </row>
    <row r="294" customFormat="false" ht="15.5" hidden="false" customHeight="false" outlineLevel="0" collapsed="false">
      <c r="A294" s="902" t="s">
        <v>2203</v>
      </c>
      <c r="B294" s="902"/>
      <c r="C294" s="2100" t="s">
        <v>156</v>
      </c>
      <c r="D294" s="2035" t="n">
        <f aca="false">'Ввод данных'!C832</f>
        <v>4</v>
      </c>
      <c r="E294" s="2025"/>
      <c r="F294" s="2025"/>
      <c r="G294" s="2025"/>
      <c r="H294" s="2048"/>
      <c r="I294" s="2048"/>
      <c r="J294" s="2048"/>
      <c r="K294" s="1217"/>
      <c r="L294" s="1148"/>
      <c r="M294" s="1148"/>
      <c r="N294" s="1148"/>
      <c r="O294" s="1148"/>
      <c r="P294" s="1148"/>
      <c r="Q294" s="1148"/>
      <c r="R294" s="1148"/>
    </row>
    <row r="295" customFormat="false" ht="15.5" hidden="false" customHeight="false" outlineLevel="0" collapsed="false">
      <c r="A295" s="902" t="s">
        <v>2204</v>
      </c>
      <c r="B295" s="902"/>
      <c r="C295" s="2042" t="s">
        <v>156</v>
      </c>
      <c r="D295" s="2035" t="n">
        <f aca="false">'Ввод данных'!C833</f>
        <v>5</v>
      </c>
      <c r="E295" s="2025"/>
      <c r="F295" s="2025"/>
      <c r="G295" s="2025"/>
      <c r="H295" s="2024"/>
      <c r="I295" s="2048"/>
      <c r="J295" s="2048"/>
      <c r="K295" s="1217"/>
      <c r="L295" s="1148"/>
      <c r="M295" s="1148"/>
      <c r="N295" s="1148"/>
      <c r="O295" s="1148"/>
      <c r="P295" s="1148"/>
      <c r="Q295" s="1148"/>
      <c r="R295" s="1148"/>
    </row>
    <row r="296" customFormat="false" ht="15.5" hidden="false" customHeight="false" outlineLevel="0" collapsed="false">
      <c r="A296" s="902" t="s">
        <v>2205</v>
      </c>
      <c r="B296" s="902"/>
      <c r="C296" s="2042" t="s">
        <v>156</v>
      </c>
      <c r="D296" s="2035" t="n">
        <f aca="false">'Ввод данных'!C834</f>
        <v>3</v>
      </c>
      <c r="E296" s="2025"/>
      <c r="F296" s="2025"/>
      <c r="G296" s="2025"/>
      <c r="H296" s="2024"/>
      <c r="I296" s="2048"/>
      <c r="J296" s="2048"/>
      <c r="K296" s="1217"/>
      <c r="L296" s="1148"/>
      <c r="M296" s="1148"/>
      <c r="N296" s="1148"/>
      <c r="O296" s="1148"/>
      <c r="P296" s="1148"/>
      <c r="Q296" s="1148"/>
      <c r="R296" s="1148"/>
    </row>
    <row r="297" customFormat="false" ht="15.5" hidden="false" customHeight="false" outlineLevel="0" collapsed="false">
      <c r="A297" s="902" t="s">
        <v>3911</v>
      </c>
      <c r="B297" s="902"/>
      <c r="C297" s="2053" t="s">
        <v>133</v>
      </c>
      <c r="D297" s="2053" t="n">
        <f aca="false">D294*D295</f>
        <v>20</v>
      </c>
      <c r="E297" s="2025"/>
      <c r="F297" s="2025"/>
      <c r="G297" s="2025"/>
      <c r="H297" s="2024"/>
      <c r="I297" s="2048"/>
      <c r="J297" s="2048"/>
      <c r="K297" s="1217"/>
      <c r="L297" s="1148"/>
      <c r="M297" s="1148"/>
      <c r="N297" s="1148"/>
      <c r="O297" s="1148"/>
      <c r="P297" s="1148"/>
      <c r="Q297" s="1148"/>
      <c r="R297" s="1148"/>
    </row>
    <row r="298" customFormat="false" ht="15.5" hidden="false" customHeight="false" outlineLevel="0" collapsed="false">
      <c r="A298" s="902" t="s">
        <v>3912</v>
      </c>
      <c r="B298" s="902"/>
      <c r="C298" s="2053" t="s">
        <v>135</v>
      </c>
      <c r="D298" s="2053" t="n">
        <f aca="false">D294*D295*D296</f>
        <v>60</v>
      </c>
      <c r="E298" s="2025"/>
      <c r="F298" s="2025"/>
      <c r="G298" s="2025"/>
      <c r="H298" s="2025"/>
      <c r="I298" s="2048"/>
      <c r="J298" s="2048"/>
      <c r="K298" s="1217"/>
      <c r="L298" s="1148"/>
      <c r="M298" s="1148"/>
      <c r="N298" s="1148"/>
      <c r="O298" s="1148"/>
      <c r="P298" s="1148"/>
      <c r="Q298" s="1148"/>
      <c r="R298" s="1148"/>
    </row>
    <row r="299" customFormat="false" ht="15.5" hidden="false" customHeight="false" outlineLevel="0" collapsed="false">
      <c r="A299" s="907" t="s">
        <v>3913</v>
      </c>
      <c r="B299" s="907"/>
      <c r="C299" s="2053" t="s">
        <v>135</v>
      </c>
      <c r="D299" s="2053" t="e">
        <f aca="false">(D294+D294+D295+D295)*D296*(D291*E291+D292*E292)</f>
        <v>#VALUE!</v>
      </c>
      <c r="E299" s="2025"/>
      <c r="F299" s="2025"/>
      <c r="G299" s="2025"/>
      <c r="H299" s="2025"/>
      <c r="I299" s="2048"/>
      <c r="J299" s="2048"/>
      <c r="K299" s="1217"/>
      <c r="L299" s="1148"/>
      <c r="M299" s="1148"/>
      <c r="N299" s="1148"/>
      <c r="O299" s="1148"/>
      <c r="P299" s="1148"/>
      <c r="Q299" s="1148"/>
      <c r="R299" s="1148"/>
    </row>
    <row r="300" customFormat="false" ht="15.5" hidden="false" customHeight="false" outlineLevel="0" collapsed="false">
      <c r="A300" s="890" t="s">
        <v>1093</v>
      </c>
      <c r="B300" s="890"/>
      <c r="C300" s="2106" t="s">
        <v>120</v>
      </c>
      <c r="D300" s="2107" t="s">
        <v>853</v>
      </c>
      <c r="E300" s="2031" t="s">
        <v>1802</v>
      </c>
      <c r="F300" s="2031" t="s">
        <v>853</v>
      </c>
      <c r="G300" s="2025"/>
      <c r="H300" s="2025"/>
      <c r="I300" s="2048"/>
      <c r="J300" s="2048"/>
      <c r="K300" s="1217"/>
      <c r="L300" s="1148"/>
      <c r="M300" s="1148"/>
      <c r="N300" s="1148"/>
      <c r="O300" s="1148"/>
      <c r="P300" s="1148"/>
      <c r="Q300" s="1148"/>
      <c r="R300" s="1148"/>
    </row>
    <row r="301" customFormat="false" ht="15.5" hidden="false" customHeight="false" outlineLevel="0" collapsed="false">
      <c r="A301" s="680" t="s">
        <v>2206</v>
      </c>
      <c r="B301" s="680"/>
      <c r="C301" s="2042" t="s">
        <v>156</v>
      </c>
      <c r="D301" s="2035" t="n">
        <f aca="false">'Ввод данных'!C836</f>
        <v>3</v>
      </c>
      <c r="E301" s="2023" t="n">
        <f aca="false">'Ввод данных'!D836</f>
        <v>0</v>
      </c>
      <c r="F301" s="2053" t="n">
        <f aca="false">D301*E301</f>
        <v>0</v>
      </c>
      <c r="G301" s="2024"/>
      <c r="H301" s="2024"/>
      <c r="I301" s="2048"/>
      <c r="J301" s="2048"/>
      <c r="K301" s="1217"/>
      <c r="L301" s="1148"/>
      <c r="M301" s="1148"/>
      <c r="N301" s="1148"/>
      <c r="O301" s="1148"/>
      <c r="P301" s="1148"/>
      <c r="Q301" s="1148"/>
      <c r="R301" s="1148"/>
    </row>
    <row r="302" customFormat="false" ht="15.5" hidden="false" customHeight="false" outlineLevel="0" collapsed="false">
      <c r="A302" s="680"/>
      <c r="B302" s="680"/>
      <c r="C302" s="2042"/>
      <c r="D302" s="2035" t="n">
        <f aca="false">'Ввод данных'!C837</f>
        <v>1</v>
      </c>
      <c r="E302" s="2023" t="n">
        <f aca="false">'Ввод данных'!D837</f>
        <v>0</v>
      </c>
      <c r="F302" s="2053" t="n">
        <f aca="false">D302*E302</f>
        <v>0</v>
      </c>
      <c r="G302" s="2024"/>
      <c r="H302" s="2024"/>
      <c r="I302" s="2048"/>
      <c r="J302" s="2048"/>
      <c r="K302" s="1217"/>
      <c r="L302" s="1148"/>
      <c r="M302" s="1148"/>
      <c r="N302" s="1148"/>
      <c r="O302" s="1148"/>
      <c r="P302" s="1148"/>
      <c r="Q302" s="1148"/>
      <c r="R302" s="1148"/>
    </row>
    <row r="303" customFormat="false" ht="15.5" hidden="false" customHeight="false" outlineLevel="0" collapsed="false">
      <c r="A303" s="680" t="s">
        <v>2207</v>
      </c>
      <c r="B303" s="680"/>
      <c r="C303" s="2042" t="s">
        <v>156</v>
      </c>
      <c r="D303" s="2035" t="n">
        <f aca="false">'Ввод данных'!C838</f>
        <v>0</v>
      </c>
      <c r="E303" s="2023" t="n">
        <f aca="false">'Ввод данных'!D838</f>
        <v>0</v>
      </c>
      <c r="F303" s="2053" t="n">
        <f aca="false">D303*E303</f>
        <v>0</v>
      </c>
      <c r="G303" s="2024"/>
      <c r="H303" s="2024"/>
      <c r="I303" s="2048"/>
      <c r="J303" s="2048"/>
      <c r="K303" s="1217"/>
      <c r="L303" s="1148"/>
      <c r="M303" s="1148"/>
      <c r="N303" s="1148"/>
      <c r="O303" s="1148"/>
      <c r="P303" s="1148"/>
      <c r="Q303" s="1148"/>
      <c r="R303" s="1148"/>
    </row>
    <row r="304" customFormat="false" ht="15.5" hidden="false" customHeight="false" outlineLevel="0" collapsed="false">
      <c r="A304" s="680"/>
      <c r="B304" s="680"/>
      <c r="C304" s="2042"/>
      <c r="D304" s="2035" t="n">
        <f aca="false">'Ввод данных'!C839</f>
        <v>0</v>
      </c>
      <c r="E304" s="2023" t="n">
        <f aca="false">'Ввод данных'!D839</f>
        <v>0</v>
      </c>
      <c r="F304" s="2053" t="n">
        <f aca="false">D304*E304</f>
        <v>0</v>
      </c>
      <c r="G304" s="2024"/>
      <c r="H304" s="2024"/>
      <c r="I304" s="2048"/>
      <c r="J304" s="2048"/>
      <c r="K304" s="1217"/>
      <c r="L304" s="1148"/>
      <c r="M304" s="1148"/>
      <c r="N304" s="1148"/>
      <c r="O304" s="1148"/>
      <c r="P304" s="1148"/>
      <c r="Q304" s="1148"/>
      <c r="R304" s="1148"/>
    </row>
    <row r="305" customFormat="false" ht="15.5" hidden="false" customHeight="false" outlineLevel="0" collapsed="false">
      <c r="A305" s="560" t="s">
        <v>3914</v>
      </c>
      <c r="B305" s="560"/>
      <c r="C305" s="560"/>
      <c r="D305" s="560"/>
      <c r="E305" s="560"/>
      <c r="F305" s="2053" t="n">
        <f aca="false">SUM(F301:F304)</f>
        <v>0</v>
      </c>
      <c r="G305" s="2024"/>
      <c r="H305" s="2024"/>
      <c r="I305" s="2048"/>
      <c r="J305" s="2048"/>
      <c r="K305" s="1217"/>
      <c r="L305" s="1148"/>
      <c r="M305" s="1148"/>
      <c r="N305" s="1148"/>
      <c r="O305" s="1148"/>
      <c r="P305" s="1148"/>
      <c r="Q305" s="1148"/>
      <c r="R305" s="1148"/>
    </row>
    <row r="306" customFormat="false" ht="15.5" hidden="false" customHeight="false" outlineLevel="0" collapsed="false">
      <c r="A306" s="1160" t="s">
        <v>2208</v>
      </c>
      <c r="B306" s="1160"/>
      <c r="C306" s="757" t="s">
        <v>120</v>
      </c>
      <c r="D306" s="757" t="s">
        <v>2580</v>
      </c>
      <c r="E306" s="757" t="s">
        <v>2581</v>
      </c>
      <c r="F306" s="757" t="s">
        <v>1802</v>
      </c>
      <c r="G306" s="2031" t="s">
        <v>2548</v>
      </c>
      <c r="H306" s="2048"/>
      <c r="I306" s="1009"/>
      <c r="J306" s="2048"/>
      <c r="K306" s="1217"/>
      <c r="L306" s="1148"/>
      <c r="M306" s="1148"/>
      <c r="N306" s="1148"/>
      <c r="O306" s="1148"/>
      <c r="P306" s="1148"/>
      <c r="Q306" s="1148"/>
      <c r="R306" s="1148"/>
    </row>
    <row r="307" customFormat="false" ht="15.5" hidden="false" customHeight="false" outlineLevel="0" collapsed="false">
      <c r="A307" s="680" t="s">
        <v>2210</v>
      </c>
      <c r="B307" s="680"/>
      <c r="C307" s="680" t="s">
        <v>156</v>
      </c>
      <c r="D307" s="2035" t="n">
        <f aca="false">'Ввод данных'!C841</f>
        <v>0</v>
      </c>
      <c r="E307" s="2023" t="n">
        <f aca="false">'Ввод данных'!D841</f>
        <v>0</v>
      </c>
      <c r="F307" s="2033" t="n">
        <f aca="false">'Ввод данных'!E841</f>
        <v>0</v>
      </c>
      <c r="G307" s="495" t="n">
        <f aca="false">D307*E307*F307</f>
        <v>0</v>
      </c>
      <c r="H307" s="2048"/>
      <c r="I307" s="2028"/>
      <c r="J307" s="2048"/>
      <c r="K307" s="1217"/>
      <c r="L307" s="1148"/>
      <c r="M307" s="1148"/>
      <c r="N307" s="1148"/>
      <c r="O307" s="1148"/>
      <c r="P307" s="1148"/>
      <c r="Q307" s="1148"/>
      <c r="R307" s="1148"/>
    </row>
    <row r="308" customFormat="false" ht="15.5" hidden="false" customHeight="false" outlineLevel="0" collapsed="false">
      <c r="A308" s="680"/>
      <c r="B308" s="680"/>
      <c r="C308" s="680" t="s">
        <v>156</v>
      </c>
      <c r="D308" s="2035" t="n">
        <f aca="false">'Ввод данных'!C842</f>
        <v>0</v>
      </c>
      <c r="E308" s="2023" t="n">
        <f aca="false">'Ввод данных'!D842</f>
        <v>0</v>
      </c>
      <c r="F308" s="2033" t="n">
        <f aca="false">'Ввод данных'!E842</f>
        <v>0</v>
      </c>
      <c r="G308" s="495" t="n">
        <f aca="false">D308*E308*F308</f>
        <v>0</v>
      </c>
      <c r="H308" s="2048"/>
      <c r="I308" s="1009"/>
      <c r="J308" s="2048"/>
      <c r="K308" s="1217"/>
      <c r="L308" s="1148"/>
      <c r="M308" s="1148"/>
      <c r="N308" s="1148"/>
      <c r="O308" s="1148"/>
      <c r="P308" s="1148"/>
      <c r="Q308" s="1148"/>
      <c r="R308" s="1148"/>
    </row>
    <row r="309" customFormat="false" ht="15.5" hidden="false" customHeight="false" outlineLevel="0" collapsed="false">
      <c r="A309" s="680"/>
      <c r="B309" s="680"/>
      <c r="C309" s="680" t="s">
        <v>156</v>
      </c>
      <c r="D309" s="2035" t="n">
        <f aca="false">'Ввод данных'!C843</f>
        <v>0</v>
      </c>
      <c r="E309" s="2023" t="n">
        <f aca="false">'Ввод данных'!D843</f>
        <v>0</v>
      </c>
      <c r="F309" s="2033" t="n">
        <f aca="false">'Ввод данных'!E843</f>
        <v>0</v>
      </c>
      <c r="G309" s="495" t="n">
        <f aca="false">D309*E309*F309</f>
        <v>0</v>
      </c>
      <c r="H309" s="2079"/>
      <c r="I309" s="1009"/>
      <c r="J309" s="998"/>
      <c r="K309" s="1217"/>
      <c r="L309" s="1148"/>
      <c r="M309" s="1148"/>
      <c r="N309" s="1148"/>
      <c r="O309" s="1148"/>
      <c r="P309" s="1148"/>
      <c r="Q309" s="1148"/>
      <c r="R309" s="1148"/>
    </row>
    <row r="310" customFormat="false" ht="15.5" hidden="false" customHeight="false" outlineLevel="0" collapsed="false">
      <c r="A310" s="725" t="s">
        <v>2211</v>
      </c>
      <c r="B310" s="725"/>
      <c r="C310" s="680" t="s">
        <v>156</v>
      </c>
      <c r="D310" s="2035" t="n">
        <f aca="false">'Ввод данных'!C844</f>
        <v>1</v>
      </c>
      <c r="E310" s="2023" t="n">
        <f aca="false">'Ввод данных'!D844</f>
        <v>2</v>
      </c>
      <c r="F310" s="2033" t="n">
        <f aca="false">'Ввод данных'!E844</f>
        <v>0</v>
      </c>
      <c r="G310" s="495" t="n">
        <f aca="false">D310*E310*F310</f>
        <v>0</v>
      </c>
      <c r="H310" s="895"/>
      <c r="I310" s="1009"/>
      <c r="J310" s="895"/>
      <c r="K310" s="1217"/>
      <c r="L310" s="1148"/>
      <c r="M310" s="1148"/>
      <c r="N310" s="1148"/>
      <c r="O310" s="1148"/>
      <c r="P310" s="1148"/>
      <c r="Q310" s="1148"/>
      <c r="R310" s="1148"/>
    </row>
    <row r="311" customFormat="false" ht="15.5" hidden="false" customHeight="false" outlineLevel="0" collapsed="false">
      <c r="A311" s="725"/>
      <c r="B311" s="725"/>
      <c r="C311" s="680" t="s">
        <v>156</v>
      </c>
      <c r="D311" s="2035" t="n">
        <f aca="false">'Ввод данных'!C845</f>
        <v>0</v>
      </c>
      <c r="E311" s="2023" t="n">
        <f aca="false">'Ввод данных'!D845</f>
        <v>2.7</v>
      </c>
      <c r="F311" s="2033" t="n">
        <f aca="false">'Ввод данных'!E845</f>
        <v>0</v>
      </c>
      <c r="G311" s="495" t="n">
        <f aca="false">D311*E311*F311</f>
        <v>0</v>
      </c>
      <c r="H311" s="2079"/>
      <c r="I311" s="1009"/>
      <c r="J311" s="998"/>
      <c r="K311" s="1217"/>
      <c r="L311" s="1148"/>
      <c r="M311" s="1148"/>
      <c r="N311" s="1148"/>
      <c r="O311" s="1148"/>
      <c r="P311" s="1148"/>
      <c r="Q311" s="1148"/>
      <c r="R311" s="1148"/>
    </row>
    <row r="312" customFormat="false" ht="15.5" hidden="false" customHeight="false" outlineLevel="0" collapsed="false">
      <c r="A312" s="560" t="s">
        <v>2213</v>
      </c>
      <c r="B312" s="560"/>
      <c r="C312" s="925" t="s">
        <v>156</v>
      </c>
      <c r="D312" s="2035" t="n">
        <f aca="false">'Ввод данных'!C846</f>
        <v>2</v>
      </c>
      <c r="E312" s="2023" t="n">
        <f aca="false">'Ввод данных'!D846</f>
        <v>2</v>
      </c>
      <c r="F312" s="2033" t="n">
        <f aca="false">'Ввод данных'!E846</f>
        <v>0</v>
      </c>
      <c r="G312" s="903" t="n">
        <f aca="false">D312*E312*F312</f>
        <v>0</v>
      </c>
      <c r="H312" s="2080" t="e">
        <f aca="false">'ввод данных'!#ref!</f>
        <v>#VALUE!</v>
      </c>
      <c r="I312" s="998" t="s">
        <v>3887</v>
      </c>
      <c r="J312" s="998"/>
      <c r="K312" s="1217"/>
      <c r="L312" s="1148"/>
      <c r="M312" s="1148"/>
      <c r="N312" s="1148"/>
      <c r="O312" s="1148"/>
      <c r="P312" s="1148"/>
      <c r="Q312" s="1148"/>
      <c r="R312" s="1148"/>
    </row>
    <row r="313" customFormat="false" ht="15.5" hidden="false" customHeight="false" outlineLevel="0" collapsed="false">
      <c r="A313" s="902" t="s">
        <v>3915</v>
      </c>
      <c r="B313" s="902"/>
      <c r="C313" s="903" t="s">
        <v>133</v>
      </c>
      <c r="D313" s="903" t="n">
        <f aca="false">G307+G308+G309+G310+G311</f>
        <v>0</v>
      </c>
      <c r="E313" s="895"/>
      <c r="F313" s="895"/>
      <c r="G313" s="895"/>
      <c r="H313" s="895"/>
      <c r="I313" s="895"/>
      <c r="J313" s="998"/>
      <c r="K313" s="1217"/>
      <c r="L313" s="1148"/>
      <c r="M313" s="1148"/>
      <c r="N313" s="1148"/>
      <c r="O313" s="1148"/>
      <c r="P313" s="1148"/>
      <c r="Q313" s="1148"/>
      <c r="R313" s="1148"/>
    </row>
    <row r="314" customFormat="false" ht="15.5" hidden="false" customHeight="false" outlineLevel="0" collapsed="false">
      <c r="A314" s="1372" t="s">
        <v>3916</v>
      </c>
      <c r="B314" s="1372"/>
      <c r="C314" s="933" t="s">
        <v>135</v>
      </c>
      <c r="D314" s="933" t="e">
        <f aca="false">D313*(D291*E291+D292*E292)</f>
        <v>#VALUE!</v>
      </c>
      <c r="E314" s="998"/>
      <c r="F314" s="998"/>
      <c r="G314" s="2028"/>
      <c r="H314" s="2079"/>
      <c r="I314" s="1009"/>
      <c r="J314" s="998"/>
      <c r="K314" s="1217"/>
      <c r="L314" s="1148"/>
      <c r="M314" s="1148"/>
      <c r="N314" s="1148"/>
      <c r="O314" s="1148"/>
      <c r="P314" s="1148"/>
      <c r="Q314" s="1148"/>
      <c r="R314" s="1148"/>
    </row>
    <row r="315" customFormat="false" ht="15.5" hidden="false" customHeight="false" outlineLevel="0" collapsed="false">
      <c r="A315" s="902" t="s">
        <v>3917</v>
      </c>
      <c r="B315" s="902"/>
      <c r="C315" s="903" t="s">
        <v>135</v>
      </c>
      <c r="D315" s="1023" t="e">
        <f aca="false">D299-D314</f>
        <v>#VALUE!</v>
      </c>
      <c r="E315" s="895"/>
      <c r="F315" s="895"/>
      <c r="G315" s="895"/>
      <c r="H315" s="895"/>
      <c r="I315" s="895"/>
      <c r="J315" s="998"/>
      <c r="K315" s="1217"/>
      <c r="L315" s="1148"/>
      <c r="M315" s="1148"/>
      <c r="N315" s="1148"/>
      <c r="O315" s="1148"/>
      <c r="P315" s="1148"/>
      <c r="Q315" s="1148"/>
      <c r="R315" s="1148"/>
    </row>
    <row r="316" customFormat="false" ht="15.5" hidden="false" customHeight="false" outlineLevel="0" collapsed="false">
      <c r="A316" s="2050" t="s">
        <v>2635</v>
      </c>
      <c r="B316" s="2050"/>
      <c r="C316" s="2050"/>
      <c r="D316" s="2050"/>
      <c r="E316" s="2023"/>
      <c r="F316" s="2024" t="s">
        <v>3568</v>
      </c>
      <c r="G316" s="895"/>
      <c r="H316" s="895"/>
      <c r="I316" s="895"/>
      <c r="J316" s="998"/>
      <c r="K316" s="1217"/>
      <c r="L316" s="1148"/>
      <c r="M316" s="1148"/>
      <c r="N316" s="1148"/>
      <c r="O316" s="1148"/>
      <c r="P316" s="1148"/>
      <c r="Q316" s="1148"/>
      <c r="R316" s="1148"/>
    </row>
    <row r="317" customFormat="false" ht="15.5" hidden="false" customHeight="false" outlineLevel="0" collapsed="false">
      <c r="A317" s="902" t="s">
        <v>2572</v>
      </c>
      <c r="B317" s="902"/>
      <c r="C317" s="2051" t="s">
        <v>156</v>
      </c>
      <c r="D317" s="2100" t="n">
        <f aca="false">D294*2+D295*2+F305</f>
        <v>18</v>
      </c>
      <c r="E317" s="2024"/>
      <c r="F317" s="1217"/>
      <c r="G317" s="2028"/>
      <c r="H317" s="2079"/>
      <c r="I317" s="1009"/>
      <c r="J317" s="998"/>
      <c r="K317" s="1217"/>
      <c r="L317" s="1148"/>
      <c r="M317" s="1148"/>
      <c r="N317" s="1148"/>
      <c r="O317" s="1148"/>
      <c r="P317" s="1148"/>
      <c r="Q317" s="1148"/>
      <c r="R317" s="1148"/>
    </row>
    <row r="318" customFormat="false" ht="15.5" hidden="false" customHeight="false" outlineLevel="0" collapsed="false">
      <c r="A318" s="902" t="s">
        <v>3427</v>
      </c>
      <c r="B318" s="902"/>
      <c r="C318" s="2108" t="s">
        <v>133</v>
      </c>
      <c r="D318" s="2109" t="n">
        <f aca="false">D294*D295</f>
        <v>20</v>
      </c>
      <c r="E318" s="2024"/>
      <c r="F318" s="1217"/>
      <c r="G318" s="2028"/>
      <c r="H318" s="2079"/>
      <c r="I318" s="1009"/>
      <c r="J318" s="998"/>
      <c r="K318" s="1217"/>
      <c r="L318" s="1148"/>
      <c r="M318" s="1148"/>
      <c r="N318" s="1148"/>
      <c r="O318" s="1148"/>
      <c r="P318" s="1148"/>
      <c r="Q318" s="1148"/>
      <c r="R318" s="1148"/>
    </row>
    <row r="319" customFormat="false" ht="15.5" hidden="false" customHeight="false" outlineLevel="0" collapsed="false">
      <c r="A319" s="902" t="s">
        <v>3918</v>
      </c>
      <c r="B319" s="902"/>
      <c r="C319" s="925" t="s">
        <v>133</v>
      </c>
      <c r="D319" s="1219" t="e">
        <f aca="false">D317*(D291*E291+D292*E292)</f>
        <v>#VALUE!</v>
      </c>
      <c r="E319" s="1217"/>
      <c r="F319" s="1217"/>
      <c r="G319" s="2028"/>
      <c r="H319" s="2079"/>
      <c r="I319" s="1009"/>
      <c r="J319" s="998"/>
      <c r="K319" s="1217"/>
      <c r="L319" s="1148"/>
      <c r="M319" s="1148"/>
      <c r="N319" s="1148"/>
      <c r="O319" s="1148"/>
      <c r="P319" s="1148"/>
      <c r="Q319" s="1148"/>
      <c r="R319" s="1148"/>
    </row>
    <row r="320" customFormat="false" ht="15.5" hidden="false" customHeight="false" outlineLevel="0" collapsed="false">
      <c r="A320" s="1372" t="s">
        <v>3919</v>
      </c>
      <c r="B320" s="1372"/>
      <c r="C320" s="887" t="s">
        <v>133</v>
      </c>
      <c r="D320" s="1219" t="e">
        <f aca="false">D297-D319</f>
        <v>#VALUE!</v>
      </c>
      <c r="E320" s="1217"/>
      <c r="F320" s="1217"/>
      <c r="G320" s="2028"/>
      <c r="H320" s="2079"/>
      <c r="I320" s="1009"/>
      <c r="J320" s="998"/>
      <c r="K320" s="1217"/>
      <c r="L320" s="1148"/>
      <c r="M320" s="1148"/>
      <c r="N320" s="1148"/>
      <c r="O320" s="1148"/>
      <c r="P320" s="1148"/>
      <c r="Q320" s="1148"/>
      <c r="R320" s="1148"/>
    </row>
    <row r="321" customFormat="false" ht="15.5" hidden="false" customHeight="false" outlineLevel="0" collapsed="false">
      <c r="A321" s="2110" t="s">
        <v>3920</v>
      </c>
      <c r="B321" s="2110"/>
      <c r="C321" s="2110"/>
      <c r="D321" s="2110"/>
      <c r="E321" s="2110"/>
      <c r="F321" s="2110"/>
      <c r="G321" s="2110"/>
      <c r="H321" s="2110"/>
      <c r="I321" s="2110"/>
      <c r="J321" s="2110"/>
      <c r="K321" s="2110"/>
      <c r="L321" s="2111"/>
      <c r="M321" s="1148"/>
      <c r="N321" s="1148"/>
      <c r="O321" s="1148"/>
      <c r="P321" s="1148"/>
      <c r="Q321" s="1148"/>
      <c r="R321" s="1148"/>
    </row>
    <row r="322" customFormat="false" ht="15.5" hidden="false" customHeight="false" outlineLevel="0" collapsed="false">
      <c r="A322" s="2110"/>
      <c r="B322" s="2110"/>
      <c r="C322" s="2110"/>
      <c r="D322" s="2110"/>
      <c r="E322" s="2110"/>
      <c r="F322" s="2110"/>
      <c r="G322" s="2110"/>
      <c r="H322" s="2110"/>
      <c r="I322" s="2110"/>
      <c r="J322" s="2110"/>
      <c r="K322" s="2110"/>
      <c r="L322" s="2111"/>
      <c r="M322" s="1148"/>
      <c r="N322" s="1148"/>
      <c r="O322" s="1148"/>
      <c r="P322" s="1148"/>
      <c r="Q322" s="1148"/>
      <c r="R322" s="1148"/>
    </row>
    <row r="323" customFormat="false" ht="15.5" hidden="false" customHeight="true" outlineLevel="0" collapsed="false">
      <c r="A323" s="2112" t="s">
        <v>3570</v>
      </c>
      <c r="B323" s="2112"/>
      <c r="C323" s="2112"/>
      <c r="D323" s="2112"/>
      <c r="E323" s="2112"/>
      <c r="F323" s="2112"/>
      <c r="G323" s="2112" t="s">
        <v>3571</v>
      </c>
      <c r="H323" s="2112"/>
      <c r="I323" s="2112"/>
      <c r="J323" s="2112"/>
      <c r="K323" s="2112"/>
      <c r="L323" s="2112"/>
      <c r="M323" s="1148"/>
      <c r="N323" s="1148"/>
      <c r="O323" s="1148"/>
      <c r="P323" s="1148"/>
      <c r="Q323" s="1148"/>
      <c r="R323" s="1148"/>
    </row>
    <row r="324" customFormat="false" ht="46.5" hidden="false" customHeight="false" outlineLevel="0" collapsed="false">
      <c r="A324" s="2113" t="s">
        <v>1515</v>
      </c>
      <c r="B324" s="2114" t="s">
        <v>1800</v>
      </c>
      <c r="C324" s="2115" t="s">
        <v>293</v>
      </c>
      <c r="D324" s="2115" t="s">
        <v>1802</v>
      </c>
      <c r="E324" s="2114"/>
      <c r="F324" s="2115" t="s">
        <v>3572</v>
      </c>
      <c r="G324" s="2115" t="s">
        <v>2593</v>
      </c>
      <c r="H324" s="2114" t="s">
        <v>1800</v>
      </c>
      <c r="I324" s="2114" t="s">
        <v>293</v>
      </c>
      <c r="J324" s="2114" t="s">
        <v>1802</v>
      </c>
      <c r="K324" s="2114"/>
      <c r="L324" s="2114" t="s">
        <v>3573</v>
      </c>
      <c r="M324" s="2116"/>
      <c r="N324" s="1148"/>
      <c r="O324" s="1148"/>
      <c r="P324" s="1148"/>
      <c r="Q324" s="1148"/>
      <c r="R324" s="1148"/>
    </row>
    <row r="325" customFormat="false" ht="31" hidden="false" customHeight="false" outlineLevel="0" collapsed="false">
      <c r="A325" s="122" t="s">
        <v>2902</v>
      </c>
      <c r="B325" s="2117" t="n">
        <f aca="false">дома!B1290</f>
        <v>1</v>
      </c>
      <c r="C325" s="2118" t="n">
        <f aca="false">дома!C1290</f>
        <v>1.2</v>
      </c>
      <c r="D325" s="2118" t="n">
        <f aca="false">дома!D1290</f>
        <v>1</v>
      </c>
      <c r="E325" s="232"/>
      <c r="F325" s="2119" t="n">
        <f aca="false">B325*C325*D325</f>
        <v>1.2</v>
      </c>
      <c r="G325" s="2119" t="s">
        <v>2902</v>
      </c>
      <c r="H325" s="2117" t="n">
        <f aca="false">дома!I1290</f>
        <v>0.8</v>
      </c>
      <c r="I325" s="2117" t="n">
        <f aca="false">дома!J1290</f>
        <v>2.1</v>
      </c>
      <c r="J325" s="2117" t="n">
        <f aca="false">дома!K1290</f>
        <v>0</v>
      </c>
      <c r="K325" s="232"/>
      <c r="L325" s="232" t="n">
        <f aca="false">H325*I325*J325</f>
        <v>0</v>
      </c>
      <c r="M325" s="2116"/>
      <c r="N325" s="1148"/>
      <c r="O325" s="1148"/>
      <c r="P325" s="1148"/>
      <c r="Q325" s="1148"/>
      <c r="R325" s="1148"/>
    </row>
    <row r="326" customFormat="false" ht="31" hidden="false" customHeight="false" outlineLevel="0" collapsed="false">
      <c r="A326" s="122" t="s">
        <v>2903</v>
      </c>
      <c r="B326" s="2117" t="n">
        <f aca="false">дома!B1291</f>
        <v>0.6</v>
      </c>
      <c r="C326" s="2118" t="n">
        <f aca="false">дома!C1291</f>
        <v>0.6</v>
      </c>
      <c r="D326" s="2118" t="n">
        <f aca="false">дома!D1291</f>
        <v>0</v>
      </c>
      <c r="E326" s="232"/>
      <c r="F326" s="2119" t="n">
        <f aca="false">B326*C326*D326</f>
        <v>0</v>
      </c>
      <c r="G326" s="2119" t="s">
        <v>2903</v>
      </c>
      <c r="H326" s="2117" t="n">
        <f aca="false">дома!I1291</f>
        <v>0.6</v>
      </c>
      <c r="I326" s="2117" t="n">
        <f aca="false">дома!J1291</f>
        <v>2</v>
      </c>
      <c r="J326" s="2117" t="n">
        <f aca="false">дома!K1291</f>
        <v>0</v>
      </c>
      <c r="K326" s="232"/>
      <c r="L326" s="232" t="n">
        <f aca="false">H326*I326*J326</f>
        <v>0</v>
      </c>
      <c r="M326" s="2116"/>
      <c r="N326" s="1148"/>
      <c r="O326" s="1148"/>
      <c r="P326" s="1148"/>
      <c r="Q326" s="1148"/>
      <c r="R326" s="1148"/>
    </row>
    <row r="327" customFormat="false" ht="31" hidden="false" customHeight="false" outlineLevel="0" collapsed="false">
      <c r="A327" s="122" t="s">
        <v>2904</v>
      </c>
      <c r="B327" s="2117" t="n">
        <f aca="false">дома!B1292</f>
        <v>1</v>
      </c>
      <c r="C327" s="2118" t="n">
        <f aca="false">дома!C1292</f>
        <v>2</v>
      </c>
      <c r="D327" s="2118" t="n">
        <f aca="false">дома!D1292</f>
        <v>0</v>
      </c>
      <c r="E327" s="232"/>
      <c r="F327" s="2119" t="n">
        <f aca="false">B327*C327*D327</f>
        <v>0</v>
      </c>
      <c r="G327" s="2119" t="s">
        <v>2904</v>
      </c>
      <c r="H327" s="2117" t="n">
        <f aca="false">дома!I1292</f>
        <v>2</v>
      </c>
      <c r="I327" s="2117" t="n">
        <f aca="false">дома!J1292</f>
        <v>2.3</v>
      </c>
      <c r="J327" s="2117" t="n">
        <f aca="false">дома!K1292</f>
        <v>0</v>
      </c>
      <c r="K327" s="232"/>
      <c r="L327" s="232" t="n">
        <f aca="false">H327*I327*J327</f>
        <v>0</v>
      </c>
      <c r="M327" s="905"/>
      <c r="N327" s="1148"/>
      <c r="O327" s="1148"/>
      <c r="P327" s="1148"/>
      <c r="Q327" s="1148"/>
      <c r="R327" s="1148"/>
    </row>
    <row r="328" customFormat="false" ht="15.5" hidden="false" customHeight="false" outlineLevel="0" collapsed="false">
      <c r="A328" s="122" t="s">
        <v>3921</v>
      </c>
      <c r="B328" s="2117" t="n">
        <f aca="false">дома!B1293</f>
        <v>0.6</v>
      </c>
      <c r="C328" s="2118" t="n">
        <f aca="false">дома!C1293</f>
        <v>1.5</v>
      </c>
      <c r="D328" s="2118" t="n">
        <f aca="false">дома!D1293</f>
        <v>0</v>
      </c>
      <c r="E328" s="232"/>
      <c r="F328" s="2119" t="n">
        <f aca="false">B328*C328*D328</f>
        <v>0</v>
      </c>
      <c r="G328" s="2119"/>
      <c r="H328" s="2117" t="n">
        <f aca="false">дома!I1293</f>
        <v>0.9</v>
      </c>
      <c r="I328" s="2117" t="n">
        <f aca="false">дома!J1293</f>
        <v>2.1</v>
      </c>
      <c r="J328" s="2117" t="n">
        <f aca="false">дома!K1293</f>
        <v>0</v>
      </c>
      <c r="K328" s="232"/>
      <c r="L328" s="232" t="n">
        <f aca="false">H328*I328*J328</f>
        <v>0</v>
      </c>
      <c r="M328" s="905"/>
      <c r="N328" s="1148"/>
      <c r="O328" s="1148"/>
      <c r="P328" s="1148"/>
      <c r="Q328" s="1148"/>
      <c r="R328" s="1148"/>
    </row>
    <row r="329" customFormat="false" ht="15.5" hidden="false" customHeight="false" outlineLevel="0" collapsed="false">
      <c r="A329" s="122"/>
      <c r="B329" s="2117" t="n">
        <f aca="false">дома!B59</f>
        <v>2</v>
      </c>
      <c r="C329" s="2118" t="n">
        <f aca="false">дома!C59</f>
        <v>2</v>
      </c>
      <c r="D329" s="2118" t="n">
        <f aca="false">дома!D59</f>
        <v>0</v>
      </c>
      <c r="E329" s="232"/>
      <c r="F329" s="2119" t="n">
        <f aca="false">B329*C329*D329</f>
        <v>0</v>
      </c>
      <c r="G329" s="2119"/>
      <c r="H329" s="2117"/>
      <c r="I329" s="2117"/>
      <c r="J329" s="2117"/>
      <c r="K329" s="232"/>
      <c r="L329" s="232"/>
      <c r="M329" s="905"/>
      <c r="N329" s="1148"/>
      <c r="O329" s="1148"/>
      <c r="P329" s="1148"/>
      <c r="Q329" s="1148"/>
      <c r="R329" s="1148"/>
    </row>
    <row r="330" customFormat="false" ht="15.5" hidden="false" customHeight="false" outlineLevel="0" collapsed="false">
      <c r="A330" s="122"/>
      <c r="B330" s="2117" t="n">
        <f aca="false">дома!B60</f>
        <v>0</v>
      </c>
      <c r="C330" s="2118" t="n">
        <f aca="false">дома!C60</f>
        <v>3</v>
      </c>
      <c r="D330" s="2118" t="n">
        <f aca="false">дома!D60</f>
        <v>0</v>
      </c>
      <c r="E330" s="232"/>
      <c r="F330" s="2119" t="n">
        <f aca="false">B330*C330*D330</f>
        <v>0</v>
      </c>
      <c r="G330" s="2119"/>
      <c r="H330" s="2117"/>
      <c r="I330" s="2117"/>
      <c r="J330" s="2117"/>
      <c r="K330" s="232"/>
      <c r="L330" s="232"/>
      <c r="M330" s="905"/>
      <c r="N330" s="1148"/>
      <c r="O330" s="1148"/>
      <c r="P330" s="1148"/>
      <c r="Q330" s="1148"/>
      <c r="R330" s="1148"/>
    </row>
    <row r="331" customFormat="false" ht="15.5" hidden="false" customHeight="false" outlineLevel="0" collapsed="false">
      <c r="A331" s="89" t="s">
        <v>3574</v>
      </c>
      <c r="B331" s="89"/>
      <c r="C331" s="89"/>
      <c r="D331" s="89"/>
      <c r="E331" s="89"/>
      <c r="F331" s="2119" t="n">
        <f aca="false">F325+F326+F327</f>
        <v>1.2</v>
      </c>
      <c r="G331" s="89" t="s">
        <v>3922</v>
      </c>
      <c r="H331" s="89"/>
      <c r="I331" s="89"/>
      <c r="J331" s="89"/>
      <c r="K331" s="89"/>
      <c r="L331" s="232" t="n">
        <f aca="false">SUM(L325:L327)</f>
        <v>0</v>
      </c>
      <c r="M331" s="2120"/>
      <c r="N331" s="1148"/>
      <c r="O331" s="1148"/>
      <c r="P331" s="1148"/>
      <c r="Q331" s="1148"/>
      <c r="R331" s="1148"/>
    </row>
    <row r="332" customFormat="false" ht="46.5" hidden="false" customHeight="false" outlineLevel="0" collapsed="false">
      <c r="A332" s="2113" t="s">
        <v>2069</v>
      </c>
      <c r="B332" s="2114" t="s">
        <v>209</v>
      </c>
      <c r="C332" s="2115" t="s">
        <v>273</v>
      </c>
      <c r="D332" s="2115" t="s">
        <v>1802</v>
      </c>
      <c r="E332" s="2114"/>
      <c r="F332" s="2115" t="s">
        <v>3581</v>
      </c>
      <c r="G332" s="2115" t="s">
        <v>1217</v>
      </c>
      <c r="H332" s="2114" t="s">
        <v>1800</v>
      </c>
      <c r="I332" s="2114" t="s">
        <v>293</v>
      </c>
      <c r="J332" s="2114" t="s">
        <v>1802</v>
      </c>
      <c r="K332" s="2114"/>
      <c r="L332" s="2114" t="s">
        <v>3573</v>
      </c>
      <c r="M332" s="905"/>
      <c r="N332" s="1148"/>
      <c r="O332" s="1148"/>
      <c r="P332" s="1148"/>
      <c r="Q332" s="1148"/>
      <c r="R332" s="1148"/>
    </row>
    <row r="333" customFormat="false" ht="31" hidden="false" customHeight="false" outlineLevel="0" collapsed="false">
      <c r="A333" s="122" t="s">
        <v>2069</v>
      </c>
      <c r="B333" s="2117" t="n">
        <v>4</v>
      </c>
      <c r="C333" s="2118" t="n">
        <v>0.9</v>
      </c>
      <c r="D333" s="2118" t="n">
        <v>1</v>
      </c>
      <c r="E333" s="2117"/>
      <c r="F333" s="2119" t="n">
        <f aca="false">B333*C333*D333</f>
        <v>3.6</v>
      </c>
      <c r="G333" s="2119" t="s">
        <v>3582</v>
      </c>
      <c r="H333" s="2117" t="n">
        <f aca="false">дома!I1312</f>
        <v>0.8</v>
      </c>
      <c r="I333" s="2117" t="n">
        <f aca="false">дома!J1312</f>
        <v>2</v>
      </c>
      <c r="J333" s="2117" t="n">
        <f aca="false">дома!K1312</f>
        <v>0</v>
      </c>
      <c r="K333" s="232"/>
      <c r="L333" s="232" t="n">
        <f aca="false">H333*I333*J333</f>
        <v>0</v>
      </c>
      <c r="M333" s="2120"/>
      <c r="N333" s="1148"/>
      <c r="O333" s="1148"/>
      <c r="P333" s="1148"/>
      <c r="Q333" s="1148"/>
      <c r="R333" s="1148"/>
    </row>
    <row r="334" customFormat="false" ht="31" hidden="false" customHeight="false" outlineLevel="0" collapsed="false">
      <c r="A334" s="122"/>
      <c r="B334" s="232"/>
      <c r="C334" s="2119"/>
      <c r="D334" s="2119"/>
      <c r="E334" s="232"/>
      <c r="F334" s="2119"/>
      <c r="G334" s="2119" t="s">
        <v>1184</v>
      </c>
      <c r="H334" s="2117" t="n">
        <f aca="false">дома!I1313</f>
        <v>0.9</v>
      </c>
      <c r="I334" s="2117" t="n">
        <f aca="false">дома!J1313</f>
        <v>2.1</v>
      </c>
      <c r="J334" s="2117" t="n">
        <f aca="false">дома!K1313</f>
        <v>0</v>
      </c>
      <c r="K334" s="232"/>
      <c r="L334" s="232" t="n">
        <f aca="false">H334*I334*J334</f>
        <v>0</v>
      </c>
      <c r="M334" s="2120"/>
      <c r="N334" s="1148"/>
      <c r="O334" s="1148"/>
      <c r="P334" s="1148"/>
      <c r="Q334" s="1148"/>
      <c r="R334" s="1148"/>
    </row>
    <row r="335" customFormat="false" ht="15.5" hidden="false" customHeight="false" outlineLevel="0" collapsed="false">
      <c r="A335" s="122"/>
      <c r="B335" s="232"/>
      <c r="C335" s="2119"/>
      <c r="D335" s="2119"/>
      <c r="E335" s="232"/>
      <c r="F335" s="2119"/>
      <c r="G335" s="2119"/>
      <c r="H335" s="2117" t="n">
        <f aca="false">дома!I1314</f>
        <v>1</v>
      </c>
      <c r="I335" s="2117" t="n">
        <f aca="false">дома!J1314</f>
        <v>2</v>
      </c>
      <c r="J335" s="2117" t="n">
        <f aca="false">дома!K1314</f>
        <v>0</v>
      </c>
      <c r="K335" s="232"/>
      <c r="L335" s="232" t="n">
        <f aca="false">H335*I335*J335</f>
        <v>0</v>
      </c>
      <c r="M335" s="2120"/>
      <c r="N335" s="1148"/>
      <c r="O335" s="1148"/>
      <c r="P335" s="1148"/>
      <c r="Q335" s="1148"/>
      <c r="R335" s="1148"/>
    </row>
    <row r="336" customFormat="false" ht="15.5" hidden="false" customHeight="false" outlineLevel="0" collapsed="false">
      <c r="A336" s="89" t="s">
        <v>3583</v>
      </c>
      <c r="B336" s="89"/>
      <c r="C336" s="89"/>
      <c r="D336" s="89"/>
      <c r="E336" s="89"/>
      <c r="F336" s="2119" t="n">
        <f aca="false">F333</f>
        <v>3.6</v>
      </c>
      <c r="G336" s="89" t="s">
        <v>3584</v>
      </c>
      <c r="H336" s="89"/>
      <c r="I336" s="89"/>
      <c r="J336" s="89"/>
      <c r="K336" s="89"/>
      <c r="L336" s="232" t="n">
        <f aca="false">SUM(L333:L335)</f>
        <v>0</v>
      </c>
      <c r="M336" s="2120"/>
      <c r="N336" s="2116"/>
      <c r="O336" s="2116"/>
      <c r="P336" s="2116"/>
      <c r="Q336" s="2116"/>
      <c r="R336" s="2116"/>
    </row>
    <row r="337" customFormat="false" ht="15.5" hidden="false" customHeight="false" outlineLevel="0" collapsed="false">
      <c r="A337" s="2121"/>
      <c r="B337" s="2121"/>
      <c r="C337" s="2122"/>
      <c r="D337" s="2122"/>
      <c r="E337" s="2121"/>
      <c r="F337" s="2123"/>
      <c r="G337" s="2122"/>
      <c r="H337" s="2121"/>
      <c r="I337" s="2121"/>
      <c r="J337" s="2121"/>
      <c r="K337" s="2121"/>
      <c r="L337" s="2124"/>
      <c r="M337" s="2120"/>
      <c r="N337" s="2124"/>
      <c r="O337" s="2124"/>
      <c r="P337" s="2124"/>
      <c r="Q337" s="2124"/>
      <c r="R337" s="2124"/>
    </row>
    <row r="338" customFormat="false" ht="15.5" hidden="false" customHeight="true" outlineLevel="0" collapsed="false">
      <c r="A338" s="2112" t="s">
        <v>3586</v>
      </c>
      <c r="B338" s="2112"/>
      <c r="C338" s="2112"/>
      <c r="D338" s="2112"/>
      <c r="E338" s="2112"/>
      <c r="F338" s="2112"/>
      <c r="G338" s="2112"/>
      <c r="H338" s="2112"/>
      <c r="I338" s="2112"/>
      <c r="J338" s="2121"/>
      <c r="K338" s="2121"/>
      <c r="L338" s="2124"/>
      <c r="M338" s="2120"/>
      <c r="N338" s="2124"/>
      <c r="O338" s="2124"/>
      <c r="P338" s="2124"/>
      <c r="Q338" s="2124"/>
      <c r="R338" s="2124"/>
    </row>
    <row r="339" customFormat="false" ht="46.5" hidden="false" customHeight="true" outlineLevel="0" collapsed="false">
      <c r="A339" s="2113" t="s">
        <v>1093</v>
      </c>
      <c r="B339" s="2114" t="s">
        <v>3587</v>
      </c>
      <c r="C339" s="2115" t="s">
        <v>1800</v>
      </c>
      <c r="D339" s="2115" t="s">
        <v>853</v>
      </c>
      <c r="E339" s="2114" t="s">
        <v>1992</v>
      </c>
      <c r="F339" s="2115" t="s">
        <v>1931</v>
      </c>
      <c r="G339" s="2125" t="s">
        <v>2751</v>
      </c>
      <c r="H339" s="2126" t="s">
        <v>3923</v>
      </c>
      <c r="I339" s="2126"/>
      <c r="J339" s="1148"/>
      <c r="K339" s="2116"/>
      <c r="L339" s="2116"/>
      <c r="M339" s="2116"/>
      <c r="N339" s="2116"/>
      <c r="O339" s="2116"/>
      <c r="P339" s="2116"/>
      <c r="Q339" s="2116"/>
      <c r="R339" s="2116"/>
    </row>
    <row r="340" customFormat="false" ht="15.5" hidden="false" customHeight="false" outlineLevel="0" collapsed="false">
      <c r="A340" s="122" t="s">
        <v>3589</v>
      </c>
      <c r="B340" s="2127" t="n">
        <f aca="false">дома!B1319</f>
        <v>1</v>
      </c>
      <c r="C340" s="2128" t="n">
        <f aca="false">дома!C1319</f>
        <v>10</v>
      </c>
      <c r="D340" s="2128" t="n">
        <f aca="false">дома!D1319</f>
        <v>10</v>
      </c>
      <c r="E340" s="2127" t="n">
        <f aca="false">дома!E1319</f>
        <v>3</v>
      </c>
      <c r="F340" s="2128" t="n">
        <f aca="false">дома!F1319</f>
        <v>0</v>
      </c>
      <c r="G340" s="2128" t="n">
        <f aca="false">дома!G1319</f>
        <v>0</v>
      </c>
      <c r="H340" s="2127" t="n">
        <f aca="false">дома!I1319</f>
        <v>0</v>
      </c>
      <c r="I340" s="2129"/>
      <c r="J340" s="1148"/>
      <c r="K340" s="2116"/>
      <c r="L340" s="2116"/>
      <c r="M340" s="2116"/>
      <c r="N340" s="2116"/>
      <c r="O340" s="2116"/>
      <c r="P340" s="2116"/>
      <c r="Q340" s="2116"/>
      <c r="R340" s="2116"/>
    </row>
    <row r="341" customFormat="false" ht="15.5" hidden="false" customHeight="true" outlineLevel="0" collapsed="false">
      <c r="A341" s="2130" t="s">
        <v>1236</v>
      </c>
      <c r="B341" s="2131" t="s">
        <v>120</v>
      </c>
      <c r="C341" s="2132" t="s">
        <v>3924</v>
      </c>
      <c r="D341" s="2132"/>
      <c r="E341" s="2131" t="s">
        <v>1802</v>
      </c>
      <c r="F341" s="2133" t="s">
        <v>3591</v>
      </c>
      <c r="G341" s="2134" t="s">
        <v>1236</v>
      </c>
      <c r="H341" s="2134"/>
      <c r="I341" s="2131" t="s">
        <v>3593</v>
      </c>
      <c r="J341" s="2131" t="s">
        <v>3594</v>
      </c>
      <c r="K341" s="2131" t="s">
        <v>1802</v>
      </c>
      <c r="L341" s="2131" t="s">
        <v>3573</v>
      </c>
      <c r="M341" s="2116"/>
      <c r="N341" s="2116"/>
      <c r="O341" s="2116"/>
      <c r="P341" s="2116"/>
      <c r="Q341" s="2116"/>
      <c r="R341" s="2116"/>
    </row>
    <row r="342" customFormat="false" ht="15.5" hidden="false" customHeight="true" outlineLevel="0" collapsed="false">
      <c r="A342" s="2135" t="s">
        <v>3596</v>
      </c>
      <c r="B342" s="232" t="s">
        <v>156</v>
      </c>
      <c r="C342" s="2136" t="n">
        <f aca="false">дома!C1321</f>
        <v>6</v>
      </c>
      <c r="D342" s="2136"/>
      <c r="E342" s="2117" t="n">
        <f aca="false">дома!D1321</f>
        <v>2</v>
      </c>
      <c r="F342" s="2119" t="n">
        <f aca="false">C342*E342*E340</f>
        <v>36</v>
      </c>
      <c r="G342" s="2135" t="s">
        <v>3597</v>
      </c>
      <c r="H342" s="2135"/>
      <c r="I342" s="232" t="s">
        <v>156</v>
      </c>
      <c r="J342" s="2117" t="n">
        <f aca="false">дома!N1321</f>
        <v>3.5</v>
      </c>
      <c r="K342" s="2117" t="n">
        <f aca="false">дома!O1321</f>
        <v>1</v>
      </c>
      <c r="L342" s="232" t="n">
        <f aca="false">J342*K342*G340</f>
        <v>0</v>
      </c>
      <c r="M342" s="2116"/>
      <c r="N342" s="2116"/>
      <c r="O342" s="2116"/>
      <c r="P342" s="2116"/>
      <c r="Q342" s="2116"/>
      <c r="R342" s="2116"/>
    </row>
    <row r="343" customFormat="false" ht="15.5" hidden="false" customHeight="false" outlineLevel="0" collapsed="false">
      <c r="A343" s="2135"/>
      <c r="B343" s="232" t="s">
        <v>156</v>
      </c>
      <c r="C343" s="2136" t="n">
        <f aca="false">дома!C1322</f>
        <v>4</v>
      </c>
      <c r="D343" s="2136"/>
      <c r="E343" s="2117" t="n">
        <f aca="false">дома!D1322</f>
        <v>1</v>
      </c>
      <c r="F343" s="2119" t="n">
        <f aca="false">C343*E343*E340</f>
        <v>12</v>
      </c>
      <c r="G343" s="2135"/>
      <c r="H343" s="2135"/>
      <c r="I343" s="232" t="s">
        <v>156</v>
      </c>
      <c r="J343" s="2117" t="n">
        <f aca="false">дома!N1322</f>
        <v>0</v>
      </c>
      <c r="K343" s="2117" t="n">
        <f aca="false">дома!O1322</f>
        <v>0</v>
      </c>
      <c r="L343" s="232" t="n">
        <f aca="false">J343*K343*G340</f>
        <v>0</v>
      </c>
      <c r="M343" s="2116"/>
      <c r="N343" s="2116"/>
      <c r="O343" s="2116"/>
      <c r="P343" s="2116"/>
      <c r="Q343" s="2116"/>
      <c r="R343" s="2116"/>
    </row>
    <row r="344" customFormat="false" ht="15.5" hidden="false" customHeight="false" outlineLevel="0" collapsed="false">
      <c r="A344" s="2135"/>
      <c r="B344" s="232" t="s">
        <v>156</v>
      </c>
      <c r="C344" s="2136" t="n">
        <f aca="false">дома!C1323</f>
        <v>0</v>
      </c>
      <c r="D344" s="2136"/>
      <c r="E344" s="2117" t="n">
        <f aca="false">дома!D1323</f>
        <v>0</v>
      </c>
      <c r="F344" s="2119" t="n">
        <f aca="false">C344*E344*E340</f>
        <v>0</v>
      </c>
      <c r="G344" s="2135"/>
      <c r="H344" s="2135"/>
      <c r="I344" s="232" t="s">
        <v>156</v>
      </c>
      <c r="J344" s="2117" t="n">
        <f aca="false">дома!N1323</f>
        <v>0</v>
      </c>
      <c r="K344" s="2117" t="n">
        <f aca="false">дома!O1323</f>
        <v>0</v>
      </c>
      <c r="L344" s="232" t="n">
        <f aca="false">J344*K344*G340</f>
        <v>0</v>
      </c>
      <c r="M344" s="2116"/>
      <c r="N344" s="2116"/>
      <c r="O344" s="2116"/>
      <c r="P344" s="2116"/>
      <c r="Q344" s="2116"/>
      <c r="R344" s="2116"/>
    </row>
    <row r="345" customFormat="false" ht="15.5" hidden="false" customHeight="false" outlineLevel="0" collapsed="false">
      <c r="A345" s="2135"/>
      <c r="B345" s="232"/>
      <c r="C345" s="2136" t="n">
        <f aca="false">дома!C1324</f>
        <v>0</v>
      </c>
      <c r="D345" s="2136"/>
      <c r="E345" s="2117" t="n">
        <f aca="false">дома!D1324</f>
        <v>0</v>
      </c>
      <c r="F345" s="2119" t="n">
        <f aca="false">C345*E345*E340</f>
        <v>0</v>
      </c>
      <c r="G345" s="2135"/>
      <c r="H345" s="2135"/>
      <c r="I345" s="232"/>
      <c r="J345" s="2117" t="n">
        <f aca="false">дома!N1324</f>
        <v>0</v>
      </c>
      <c r="K345" s="2117" t="n">
        <f aca="false">дома!O1324</f>
        <v>0</v>
      </c>
      <c r="L345" s="232" t="n">
        <f aca="false">J345*K345*G340</f>
        <v>0</v>
      </c>
      <c r="M345" s="2116"/>
      <c r="N345" s="2116"/>
      <c r="O345" s="2116"/>
      <c r="P345" s="2116"/>
      <c r="Q345" s="2116"/>
      <c r="R345" s="2116"/>
    </row>
    <row r="346" customFormat="false" ht="15.5" hidden="false" customHeight="true" outlineLevel="0" collapsed="false">
      <c r="A346" s="2135" t="s">
        <v>3598</v>
      </c>
      <c r="B346" s="232"/>
      <c r="C346" s="2136" t="n">
        <f aca="false">дома!C1325</f>
        <v>1.8</v>
      </c>
      <c r="D346" s="2136"/>
      <c r="E346" s="2117" t="n">
        <f aca="false">дома!D1325</f>
        <v>1</v>
      </c>
      <c r="F346" s="2119" t="n">
        <f aca="false">C346*E346*E340</f>
        <v>5.4</v>
      </c>
      <c r="G346" s="2135" t="s">
        <v>3599</v>
      </c>
      <c r="H346" s="2135"/>
      <c r="I346" s="232"/>
      <c r="J346" s="2117" t="n">
        <f aca="false">дома!N1325</f>
        <v>0</v>
      </c>
      <c r="K346" s="2117" t="n">
        <f aca="false">дома!O1325</f>
        <v>0</v>
      </c>
      <c r="L346" s="232" t="n">
        <f aca="false">J346*K346*G340</f>
        <v>0</v>
      </c>
      <c r="M346" s="2116"/>
      <c r="N346" s="2116"/>
      <c r="O346" s="2116"/>
      <c r="P346" s="2116"/>
      <c r="Q346" s="2116"/>
      <c r="R346" s="2116"/>
    </row>
    <row r="347" customFormat="false" ht="15.5" hidden="false" customHeight="false" outlineLevel="0" collapsed="false">
      <c r="A347" s="2135"/>
      <c r="B347" s="232"/>
      <c r="C347" s="2136" t="n">
        <f aca="false">дома!C1326</f>
        <v>0</v>
      </c>
      <c r="D347" s="2136"/>
      <c r="E347" s="2117" t="n">
        <f aca="false">дома!D1326</f>
        <v>0</v>
      </c>
      <c r="F347" s="2119" t="n">
        <f aca="false">C347*E347*E340</f>
        <v>0</v>
      </c>
      <c r="G347" s="2135"/>
      <c r="H347" s="2135"/>
      <c r="I347" s="232"/>
      <c r="J347" s="2117" t="n">
        <f aca="false">дома!N1326</f>
        <v>0</v>
      </c>
      <c r="K347" s="2117" t="n">
        <f aca="false">дома!O1326</f>
        <v>0</v>
      </c>
      <c r="L347" s="232" t="n">
        <f aca="false">J347*K347*G340</f>
        <v>0</v>
      </c>
      <c r="M347" s="2116"/>
      <c r="N347" s="2116"/>
      <c r="O347" s="2116"/>
      <c r="P347" s="2116"/>
      <c r="Q347" s="2116"/>
      <c r="R347" s="2116"/>
    </row>
    <row r="348" customFormat="false" ht="15.5" hidden="false" customHeight="false" outlineLevel="0" collapsed="false">
      <c r="A348" s="2135"/>
      <c r="B348" s="232"/>
      <c r="C348" s="2136" t="n">
        <f aca="false">дома!C1327</f>
        <v>0</v>
      </c>
      <c r="D348" s="2136"/>
      <c r="E348" s="2117" t="n">
        <f aca="false">дома!D1327</f>
        <v>0</v>
      </c>
      <c r="F348" s="2119" t="n">
        <f aca="false">C348*E348*E340</f>
        <v>0</v>
      </c>
      <c r="G348" s="2135"/>
      <c r="H348" s="2135"/>
      <c r="I348" s="232"/>
      <c r="J348" s="2117" t="n">
        <f aca="false">дома!N1327</f>
        <v>0</v>
      </c>
      <c r="K348" s="2117" t="n">
        <f aca="false">дома!O1327</f>
        <v>0</v>
      </c>
      <c r="L348" s="232" t="n">
        <f aca="false">J348*K348*G340</f>
        <v>0</v>
      </c>
      <c r="M348" s="2116"/>
      <c r="N348" s="2116"/>
      <c r="O348" s="2116"/>
      <c r="P348" s="2116"/>
      <c r="Q348" s="2116"/>
      <c r="R348" s="2116"/>
    </row>
    <row r="349" customFormat="false" ht="15.5" hidden="false" customHeight="false" outlineLevel="0" collapsed="false">
      <c r="A349" s="2135"/>
      <c r="B349" s="232"/>
      <c r="C349" s="2136" t="n">
        <f aca="false">дома!C1328</f>
        <v>0</v>
      </c>
      <c r="D349" s="2136"/>
      <c r="E349" s="2117" t="n">
        <f aca="false">дома!D1328</f>
        <v>0</v>
      </c>
      <c r="F349" s="2119" t="n">
        <f aca="false">C349*E349*E340</f>
        <v>0</v>
      </c>
      <c r="G349" s="2135"/>
      <c r="H349" s="2135"/>
      <c r="I349" s="232"/>
      <c r="J349" s="2117" t="n">
        <f aca="false">дома!N1328</f>
        <v>0</v>
      </c>
      <c r="K349" s="2117" t="n">
        <f aca="false">дома!O1328</f>
        <v>0</v>
      </c>
      <c r="L349" s="232" t="n">
        <f aca="false">J349*K349*G340</f>
        <v>0</v>
      </c>
      <c r="M349" s="2116"/>
      <c r="N349" s="2116"/>
      <c r="O349" s="2116"/>
      <c r="P349" s="2116"/>
      <c r="Q349" s="2116"/>
      <c r="R349" s="2116"/>
    </row>
    <row r="350" customFormat="false" ht="15.5" hidden="false" customHeight="true" outlineLevel="0" collapsed="false">
      <c r="A350" s="2135" t="s">
        <v>3600</v>
      </c>
      <c r="B350" s="232" t="s">
        <v>156</v>
      </c>
      <c r="C350" s="2136" t="n">
        <f aca="false">дома!C1329</f>
        <v>0</v>
      </c>
      <c r="D350" s="2136"/>
      <c r="E350" s="2117" t="n">
        <f aca="false">дома!D1329</f>
        <v>0</v>
      </c>
      <c r="F350" s="2119" t="n">
        <f aca="false">C350*E350*E340</f>
        <v>0</v>
      </c>
      <c r="G350" s="2135" t="s">
        <v>3601</v>
      </c>
      <c r="H350" s="2135"/>
      <c r="I350" s="232" t="s">
        <v>156</v>
      </c>
      <c r="J350" s="2117" t="n">
        <f aca="false">дома!N1329</f>
        <v>4</v>
      </c>
      <c r="K350" s="2117" t="n">
        <f aca="false">дома!O1329</f>
        <v>1</v>
      </c>
      <c r="L350" s="232" t="n">
        <f aca="false">J350*K350*(G340+F340)/2</f>
        <v>0</v>
      </c>
      <c r="M350" s="2116"/>
      <c r="N350" s="2116"/>
      <c r="O350" s="2116"/>
      <c r="P350" s="2116"/>
      <c r="Q350" s="2116"/>
      <c r="R350" s="2116"/>
    </row>
    <row r="351" customFormat="false" ht="15.5" hidden="false" customHeight="false" outlineLevel="0" collapsed="false">
      <c r="A351" s="2135"/>
      <c r="B351" s="232" t="s">
        <v>156</v>
      </c>
      <c r="C351" s="2136" t="n">
        <f aca="false">дома!C1330</f>
        <v>0</v>
      </c>
      <c r="D351" s="2136"/>
      <c r="E351" s="2117" t="n">
        <f aca="false">дома!D1330</f>
        <v>0</v>
      </c>
      <c r="F351" s="2119" t="n">
        <f aca="false">C351*E351*E340</f>
        <v>0</v>
      </c>
      <c r="G351" s="2135"/>
      <c r="H351" s="2135"/>
      <c r="I351" s="232" t="s">
        <v>156</v>
      </c>
      <c r="J351" s="2117" t="n">
        <f aca="false">дома!N1330</f>
        <v>2</v>
      </c>
      <c r="K351" s="2117" t="n">
        <f aca="false">дома!O1330</f>
        <v>1</v>
      </c>
      <c r="L351" s="232" t="n">
        <f aca="false">J351*K351*(G340+F340)/2</f>
        <v>0</v>
      </c>
      <c r="M351" s="2116"/>
      <c r="N351" s="2116"/>
      <c r="O351" s="2116"/>
      <c r="P351" s="2116"/>
      <c r="Q351" s="2116"/>
      <c r="R351" s="2116"/>
    </row>
    <row r="352" customFormat="false" ht="15.5" hidden="false" customHeight="false" outlineLevel="0" collapsed="false">
      <c r="A352" s="2135"/>
      <c r="B352" s="232" t="s">
        <v>156</v>
      </c>
      <c r="C352" s="2136" t="n">
        <f aca="false">дома!C1331</f>
        <v>0</v>
      </c>
      <c r="D352" s="2136"/>
      <c r="E352" s="2117" t="n">
        <f aca="false">дома!D1331</f>
        <v>0</v>
      </c>
      <c r="F352" s="2119" t="n">
        <f aca="false">C352*E352*E340</f>
        <v>0</v>
      </c>
      <c r="G352" s="2135"/>
      <c r="H352" s="2135"/>
      <c r="I352" s="232" t="s">
        <v>156</v>
      </c>
      <c r="J352" s="2117" t="n">
        <f aca="false">дома!N1331</f>
        <v>3</v>
      </c>
      <c r="K352" s="2117" t="n">
        <f aca="false">дома!O1331</f>
        <v>1</v>
      </c>
      <c r="L352" s="232" t="n">
        <f aca="false">J352*K352*(G340+F340)/2</f>
        <v>0</v>
      </c>
      <c r="M352" s="2116"/>
      <c r="N352" s="2116"/>
      <c r="O352" s="2116"/>
      <c r="P352" s="2116"/>
      <c r="Q352" s="2116"/>
      <c r="R352" s="2116"/>
    </row>
    <row r="353" customFormat="false" ht="15.5" hidden="false" customHeight="false" outlineLevel="0" collapsed="false">
      <c r="A353" s="2135"/>
      <c r="B353" s="232"/>
      <c r="C353" s="2136" t="n">
        <f aca="false">дома!C1332</f>
        <v>0</v>
      </c>
      <c r="D353" s="2136"/>
      <c r="E353" s="2117" t="n">
        <f aca="false">дома!D1332</f>
        <v>0</v>
      </c>
      <c r="F353" s="2119" t="n">
        <f aca="false">C353*E353*E340</f>
        <v>0</v>
      </c>
      <c r="G353" s="2135"/>
      <c r="H353" s="2135"/>
      <c r="I353" s="232"/>
      <c r="J353" s="2117" t="n">
        <f aca="false">дома!N1332</f>
        <v>0</v>
      </c>
      <c r="K353" s="2117" t="n">
        <f aca="false">дома!O1332</f>
        <v>0</v>
      </c>
      <c r="L353" s="232" t="n">
        <f aca="false">J353*K353*(G340+F340)/2</f>
        <v>0</v>
      </c>
      <c r="M353" s="2116"/>
      <c r="N353" s="2116"/>
      <c r="O353" s="2116"/>
      <c r="P353" s="2116"/>
      <c r="Q353" s="2116"/>
      <c r="R353" s="2116"/>
    </row>
    <row r="354" customFormat="false" ht="15.5" hidden="false" customHeight="true" outlineLevel="0" collapsed="false">
      <c r="A354" s="2135" t="s">
        <v>3602</v>
      </c>
      <c r="B354" s="232"/>
      <c r="C354" s="2136" t="n">
        <f aca="false">дома!C1333</f>
        <v>3</v>
      </c>
      <c r="D354" s="2136"/>
      <c r="E354" s="2117" t="n">
        <f aca="false">дома!D1333</f>
        <v>2</v>
      </c>
      <c r="F354" s="2119" t="n">
        <f aca="false">C354*E354*E340</f>
        <v>18</v>
      </c>
      <c r="G354" s="2135" t="s">
        <v>3603</v>
      </c>
      <c r="H354" s="2135"/>
      <c r="I354" s="232"/>
      <c r="J354" s="2117" t="n">
        <f aca="false">дома!N1333</f>
        <v>0</v>
      </c>
      <c r="K354" s="2117" t="n">
        <f aca="false">дома!O1333</f>
        <v>0</v>
      </c>
      <c r="L354" s="232" t="n">
        <f aca="false">J354*K354*(G340+F340)/2</f>
        <v>0</v>
      </c>
      <c r="M354" s="2116"/>
      <c r="N354" s="2116"/>
      <c r="O354" s="2116"/>
      <c r="P354" s="2116"/>
      <c r="Q354" s="2116"/>
      <c r="R354" s="2116"/>
    </row>
    <row r="355" customFormat="false" ht="15.5" hidden="false" customHeight="false" outlineLevel="0" collapsed="false">
      <c r="A355" s="2135"/>
      <c r="B355" s="232"/>
      <c r="C355" s="2136" t="n">
        <f aca="false">дома!C1334</f>
        <v>0</v>
      </c>
      <c r="D355" s="2136"/>
      <c r="E355" s="2117" t="n">
        <f aca="false">дома!D1334</f>
        <v>0</v>
      </c>
      <c r="F355" s="2119" t="n">
        <f aca="false">C355*E355*E340</f>
        <v>0</v>
      </c>
      <c r="G355" s="2135"/>
      <c r="H355" s="2135"/>
      <c r="I355" s="232"/>
      <c r="J355" s="2117" t="n">
        <f aca="false">дома!N1334</f>
        <v>0</v>
      </c>
      <c r="K355" s="2117" t="n">
        <f aca="false">дома!O1334</f>
        <v>0</v>
      </c>
      <c r="L355" s="232" t="n">
        <f aca="false">J355*K355*(G340+F340)/2</f>
        <v>0</v>
      </c>
      <c r="M355" s="2116"/>
      <c r="N355" s="2116"/>
      <c r="O355" s="2116"/>
      <c r="P355" s="2116"/>
      <c r="Q355" s="2116"/>
      <c r="R355" s="2116"/>
    </row>
    <row r="356" customFormat="false" ht="15.5" hidden="false" customHeight="false" outlineLevel="0" collapsed="false">
      <c r="A356" s="2135"/>
      <c r="B356" s="232"/>
      <c r="C356" s="2136" t="n">
        <f aca="false">дома!C1335</f>
        <v>0</v>
      </c>
      <c r="D356" s="2136"/>
      <c r="E356" s="2117" t="n">
        <f aca="false">дома!D1335</f>
        <v>0</v>
      </c>
      <c r="F356" s="2119" t="n">
        <f aca="false">C356*E356*E340</f>
        <v>0</v>
      </c>
      <c r="G356" s="2135"/>
      <c r="H356" s="2135"/>
      <c r="I356" s="232"/>
      <c r="J356" s="2117" t="n">
        <f aca="false">дома!N1335</f>
        <v>0</v>
      </c>
      <c r="K356" s="2117" t="n">
        <f aca="false">дома!O1335</f>
        <v>0</v>
      </c>
      <c r="L356" s="232" t="n">
        <f aca="false">J356*K356*(G340+F340)/2</f>
        <v>0</v>
      </c>
      <c r="M356" s="2116"/>
      <c r="N356" s="2116"/>
      <c r="O356" s="2116"/>
      <c r="P356" s="2116"/>
      <c r="Q356" s="2116"/>
      <c r="R356" s="2116"/>
    </row>
    <row r="357" customFormat="false" ht="15.5" hidden="false" customHeight="false" outlineLevel="0" collapsed="false">
      <c r="A357" s="2135"/>
      <c r="B357" s="232"/>
      <c r="C357" s="2136" t="n">
        <f aca="false">дома!C1336</f>
        <v>0</v>
      </c>
      <c r="D357" s="2136"/>
      <c r="E357" s="2117" t="n">
        <f aca="false">дома!D1336</f>
        <v>0</v>
      </c>
      <c r="F357" s="2119" t="n">
        <f aca="false">C357*E357*E340</f>
        <v>0</v>
      </c>
      <c r="G357" s="2135"/>
      <c r="H357" s="2135"/>
      <c r="I357" s="232"/>
      <c r="J357" s="2117" t="n">
        <f aca="false">дома!N1336</f>
        <v>0</v>
      </c>
      <c r="K357" s="2117" t="n">
        <f aca="false">дома!O1336</f>
        <v>0</v>
      </c>
      <c r="L357" s="232" t="n">
        <f aca="false">J357*K357*(G340+F340)/2</f>
        <v>0</v>
      </c>
      <c r="M357" s="2116"/>
      <c r="N357" s="2116"/>
      <c r="O357" s="2116"/>
      <c r="P357" s="2116"/>
      <c r="Q357" s="2116"/>
      <c r="R357" s="2116"/>
    </row>
    <row r="358" customFormat="false" ht="15.5" hidden="false" customHeight="false" outlineLevel="0" collapsed="false">
      <c r="A358" s="477"/>
      <c r="B358" s="2116"/>
      <c r="C358" s="2137"/>
      <c r="D358" s="2137"/>
      <c r="E358" s="1124" t="s">
        <v>3925</v>
      </c>
      <c r="F358" s="2138" t="n">
        <f aca="false">SUM(F342:F352)</f>
        <v>53.4</v>
      </c>
      <c r="G358" s="2139"/>
      <c r="H358" s="2139"/>
      <c r="I358" s="2124"/>
      <c r="J358" s="2116"/>
      <c r="K358" s="1124" t="s">
        <v>3925</v>
      </c>
      <c r="L358" s="1124" t="n">
        <f aca="false">SUM(L342:L352)</f>
        <v>0</v>
      </c>
      <c r="M358" s="2116"/>
      <c r="N358" s="2116"/>
      <c r="O358" s="2116"/>
      <c r="P358" s="2116"/>
      <c r="Q358" s="2116"/>
      <c r="R358" s="2116"/>
    </row>
    <row r="359" customFormat="false" ht="15.5" hidden="false" customHeight="false" outlineLevel="0" collapsed="false">
      <c r="A359" s="2140" t="s">
        <v>3626</v>
      </c>
      <c r="B359" s="2140"/>
      <c r="C359" s="2140"/>
      <c r="D359" s="2141"/>
      <c r="E359" s="2141"/>
      <c r="F359" s="2141"/>
      <c r="G359" s="2116"/>
      <c r="H359" s="2116"/>
      <c r="I359" s="2124"/>
      <c r="J359" s="2116"/>
      <c r="K359" s="2116"/>
      <c r="L359" s="2116"/>
      <c r="M359" s="2116"/>
      <c r="N359" s="2116"/>
      <c r="O359" s="2116"/>
      <c r="P359" s="2116"/>
      <c r="Q359" s="2116"/>
      <c r="R359" s="2116"/>
    </row>
    <row r="360" customFormat="false" ht="15.5" hidden="false" customHeight="false" outlineLevel="0" collapsed="false">
      <c r="A360" s="87" t="s">
        <v>3678</v>
      </c>
      <c r="B360" s="232" t="s">
        <v>133</v>
      </c>
      <c r="C360" s="89" t="n">
        <f aca="false">дома!C1364</f>
        <v>100</v>
      </c>
      <c r="D360" s="2141"/>
      <c r="E360" s="2141"/>
      <c r="F360" s="2141"/>
      <c r="G360" s="2116"/>
      <c r="H360" s="2116"/>
      <c r="I360" s="2124"/>
      <c r="J360" s="2116"/>
      <c r="K360" s="2116"/>
      <c r="L360" s="2116"/>
      <c r="M360" s="2116"/>
      <c r="N360" s="2116"/>
      <c r="O360" s="2116"/>
      <c r="P360" s="2116"/>
      <c r="Q360" s="2116"/>
      <c r="R360" s="2116"/>
    </row>
    <row r="361" customFormat="false" ht="15.5" hidden="false" customHeight="false" outlineLevel="0" collapsed="false">
      <c r="A361" s="87" t="s">
        <v>3628</v>
      </c>
      <c r="B361" s="232" t="s">
        <v>133</v>
      </c>
      <c r="C361" s="89" t="n">
        <f aca="false">дома!C1365</f>
        <v>0</v>
      </c>
      <c r="D361" s="2141"/>
      <c r="E361" s="2141"/>
      <c r="F361" s="2141"/>
      <c r="G361" s="2116"/>
      <c r="H361" s="2116"/>
      <c r="I361" s="2124"/>
      <c r="J361" s="2116"/>
      <c r="K361" s="2116"/>
      <c r="L361" s="2116"/>
      <c r="M361" s="2116"/>
      <c r="N361" s="2116"/>
      <c r="O361" s="2116"/>
      <c r="P361" s="2116"/>
      <c r="Q361" s="2116"/>
      <c r="R361" s="2116"/>
    </row>
    <row r="362" customFormat="false" ht="15.5" hidden="false" customHeight="false" outlineLevel="0" collapsed="false">
      <c r="A362" s="87" t="s">
        <v>3680</v>
      </c>
      <c r="B362" s="232" t="s">
        <v>156</v>
      </c>
      <c r="C362" s="89" t="n">
        <f aca="false">дома!C1366</f>
        <v>56</v>
      </c>
      <c r="D362" s="2141"/>
      <c r="E362" s="2141"/>
      <c r="F362" s="2141"/>
      <c r="G362" s="2116"/>
      <c r="H362" s="2116"/>
      <c r="I362" s="2124"/>
      <c r="J362" s="2116"/>
      <c r="K362" s="2116"/>
      <c r="L362" s="2116"/>
      <c r="M362" s="2116"/>
      <c r="N362" s="2116"/>
      <c r="O362" s="2116"/>
      <c r="P362" s="2116"/>
      <c r="Q362" s="2116"/>
      <c r="R362" s="2116"/>
    </row>
    <row r="363" customFormat="false" ht="15.5" hidden="false" customHeight="false" outlineLevel="0" collapsed="false">
      <c r="A363" s="87" t="s">
        <v>3752</v>
      </c>
      <c r="B363" s="232" t="s">
        <v>156</v>
      </c>
      <c r="C363" s="89" t="n">
        <f aca="false">дома!C1367</f>
        <v>40</v>
      </c>
      <c r="D363" s="2141"/>
      <c r="E363" s="2141"/>
      <c r="F363" s="2141"/>
      <c r="G363" s="2116"/>
      <c r="H363" s="2116"/>
      <c r="I363" s="2124"/>
      <c r="J363" s="2116"/>
      <c r="K363" s="2116"/>
      <c r="L363" s="2116"/>
      <c r="M363" s="2116"/>
      <c r="N363" s="2116"/>
      <c r="O363" s="2116"/>
      <c r="P363" s="2116"/>
      <c r="Q363" s="2116"/>
      <c r="R363" s="2116"/>
    </row>
    <row r="364" customFormat="false" ht="15.5" hidden="false" customHeight="false" outlineLevel="0" collapsed="false">
      <c r="A364" s="87" t="s">
        <v>3755</v>
      </c>
      <c r="B364" s="232" t="s">
        <v>156</v>
      </c>
      <c r="C364" s="89" t="n">
        <f aca="false">дома!C1368</f>
        <v>16</v>
      </c>
      <c r="D364" s="2141"/>
      <c r="E364" s="2141"/>
      <c r="F364" s="2141"/>
      <c r="G364" s="2116"/>
      <c r="H364" s="2116"/>
      <c r="I364" s="2124"/>
      <c r="J364" s="2116"/>
      <c r="K364" s="2116"/>
      <c r="L364" s="2116"/>
      <c r="M364" s="2116"/>
      <c r="N364" s="2116"/>
      <c r="O364" s="2116"/>
      <c r="P364" s="2116"/>
      <c r="Q364" s="2116"/>
      <c r="R364" s="2116"/>
    </row>
    <row r="365" customFormat="false" ht="15.5" hidden="false" customHeight="false" outlineLevel="0" collapsed="false">
      <c r="A365" s="87"/>
      <c r="B365" s="232"/>
      <c r="C365" s="89" t="n">
        <f aca="false">дома!C1369</f>
        <v>7.8</v>
      </c>
      <c r="D365" s="2141"/>
      <c r="E365" s="2141"/>
      <c r="F365" s="2141"/>
      <c r="G365" s="2116"/>
      <c r="H365" s="2116"/>
      <c r="I365" s="2124"/>
      <c r="J365" s="2116"/>
      <c r="K365" s="2116"/>
      <c r="L365" s="2116"/>
      <c r="M365" s="2116"/>
      <c r="N365" s="2116"/>
      <c r="O365" s="2116"/>
      <c r="P365" s="2116"/>
      <c r="Q365" s="2116"/>
      <c r="R365" s="2116"/>
    </row>
    <row r="366" customFormat="false" ht="15.5" hidden="false" customHeight="false" outlineLevel="0" collapsed="false">
      <c r="A366" s="87" t="s">
        <v>3633</v>
      </c>
      <c r="B366" s="232" t="s">
        <v>133</v>
      </c>
      <c r="C366" s="89" t="n">
        <f aca="false">дома!C1370</f>
        <v>0</v>
      </c>
      <c r="D366" s="2141"/>
      <c r="E366" s="2141"/>
      <c r="F366" s="2141"/>
      <c r="G366" s="2116"/>
      <c r="H366" s="2116"/>
      <c r="I366" s="2124"/>
      <c r="J366" s="2116"/>
      <c r="K366" s="2116"/>
      <c r="L366" s="2116"/>
      <c r="M366" s="2116"/>
      <c r="N366" s="2116"/>
      <c r="O366" s="2116"/>
      <c r="P366" s="2116"/>
      <c r="Q366" s="2116"/>
      <c r="R366" s="2116"/>
    </row>
    <row r="367" customFormat="false" ht="15.5" hidden="false" customHeight="false" outlineLevel="0" collapsed="false">
      <c r="A367" s="87" t="s">
        <v>3926</v>
      </c>
      <c r="B367" s="232" t="s">
        <v>133</v>
      </c>
      <c r="C367" s="89" t="e">
        <f aca="false">дома!#REF!</f>
        <v>#VALUE!</v>
      </c>
      <c r="D367" s="2141"/>
      <c r="E367" s="2141"/>
      <c r="F367" s="2141"/>
      <c r="G367" s="2116"/>
      <c r="H367" s="2116"/>
      <c r="I367" s="2124"/>
      <c r="J367" s="2116"/>
      <c r="K367" s="2116"/>
      <c r="L367" s="2116"/>
      <c r="M367" s="2116"/>
      <c r="N367" s="2116"/>
      <c r="O367" s="2116"/>
      <c r="P367" s="2116"/>
      <c r="Q367" s="2116"/>
      <c r="R367" s="2116"/>
    </row>
    <row r="368" customFormat="false" ht="15.5" hidden="false" customHeight="false" outlineLevel="0" collapsed="false">
      <c r="A368" s="87" t="s">
        <v>3687</v>
      </c>
      <c r="B368" s="232" t="s">
        <v>133</v>
      </c>
      <c r="C368" s="89" t="e">
        <f aca="false">дома!#REF!</f>
        <v>#VALUE!</v>
      </c>
      <c r="D368" s="2141"/>
      <c r="E368" s="2141"/>
      <c r="F368" s="2141"/>
      <c r="G368" s="2116"/>
      <c r="H368" s="2116"/>
      <c r="I368" s="2124"/>
      <c r="J368" s="2116"/>
      <c r="K368" s="2116"/>
      <c r="L368" s="2116"/>
      <c r="M368" s="2116"/>
      <c r="N368" s="2116"/>
      <c r="O368" s="2116"/>
      <c r="P368" s="2116"/>
      <c r="Q368" s="2116"/>
      <c r="R368" s="2116"/>
    </row>
    <row r="369" customFormat="false" ht="15.5" hidden="false" customHeight="false" outlineLevel="0" collapsed="false">
      <c r="A369" s="87" t="s">
        <v>3802</v>
      </c>
      <c r="B369" s="232" t="s">
        <v>133</v>
      </c>
      <c r="C369" s="89" t="n">
        <f aca="false">дома!C1373</f>
        <v>0</v>
      </c>
      <c r="D369" s="2141"/>
      <c r="E369" s="2141"/>
      <c r="F369" s="2141"/>
      <c r="G369" s="2116"/>
      <c r="H369" s="2116"/>
      <c r="I369" s="2124"/>
      <c r="J369" s="2116"/>
      <c r="K369" s="2116"/>
      <c r="L369" s="2116"/>
      <c r="M369" s="2116"/>
      <c r="N369" s="2116"/>
      <c r="O369" s="2116"/>
      <c r="P369" s="2116"/>
      <c r="Q369" s="2116"/>
      <c r="R369" s="2116"/>
    </row>
    <row r="370" customFormat="false" ht="15.5" hidden="false" customHeight="false" outlineLevel="0" collapsed="false">
      <c r="A370" s="87" t="s">
        <v>3927</v>
      </c>
      <c r="B370" s="232" t="s">
        <v>133</v>
      </c>
      <c r="C370" s="89" t="e">
        <f aca="false">дома!#REF!</f>
        <v>#VALUE!</v>
      </c>
      <c r="D370" s="2141"/>
      <c r="E370" s="2141"/>
      <c r="F370" s="2141"/>
      <c r="G370" s="2116"/>
      <c r="H370" s="2116"/>
      <c r="I370" s="2124"/>
      <c r="J370" s="2116"/>
      <c r="K370" s="2116"/>
      <c r="L370" s="2116"/>
      <c r="M370" s="2116"/>
      <c r="N370" s="2116"/>
      <c r="O370" s="2116"/>
      <c r="P370" s="2116"/>
      <c r="Q370" s="2116"/>
      <c r="R370" s="2116"/>
    </row>
    <row r="371" customFormat="false" ht="15.5" hidden="false" customHeight="false" outlineLevel="0" collapsed="false">
      <c r="A371" s="87" t="s">
        <v>3638</v>
      </c>
      <c r="B371" s="232" t="s">
        <v>133</v>
      </c>
      <c r="C371" s="89" t="n">
        <f aca="false">дома!C1375</f>
        <v>0</v>
      </c>
      <c r="D371" s="2141"/>
      <c r="E371" s="2141"/>
      <c r="F371" s="2141"/>
      <c r="G371" s="2116"/>
      <c r="H371" s="2116"/>
      <c r="I371" s="2124"/>
      <c r="J371" s="2116"/>
      <c r="K371" s="2116"/>
      <c r="L371" s="2116"/>
      <c r="M371" s="2116"/>
      <c r="N371" s="2116"/>
      <c r="O371" s="2116"/>
      <c r="P371" s="2116"/>
      <c r="Q371" s="2116"/>
      <c r="R371" s="2116"/>
    </row>
    <row r="372" customFormat="false" ht="15.5" hidden="false" customHeight="false" outlineLevel="0" collapsed="false">
      <c r="A372" s="2142" t="s">
        <v>3645</v>
      </c>
      <c r="B372" s="232" t="s">
        <v>133</v>
      </c>
      <c r="C372" s="89" t="n">
        <f aca="false">дома!C1382</f>
        <v>0</v>
      </c>
      <c r="D372" s="2141"/>
      <c r="E372" s="2141"/>
      <c r="F372" s="2141"/>
      <c r="G372" s="2116"/>
      <c r="H372" s="2116"/>
      <c r="I372" s="2124"/>
      <c r="J372" s="2116"/>
      <c r="K372" s="2116"/>
      <c r="L372" s="2116"/>
      <c r="M372" s="2116"/>
      <c r="N372" s="2116"/>
      <c r="O372" s="2116"/>
      <c r="P372" s="2116"/>
      <c r="Q372" s="2116"/>
      <c r="R372" s="2116"/>
    </row>
    <row r="373" customFormat="false" ht="15.5" hidden="false" customHeight="true" outlineLevel="0" collapsed="false">
      <c r="A373" s="2143" t="s">
        <v>3543</v>
      </c>
      <c r="B373" s="2143"/>
      <c r="C373" s="2143"/>
      <c r="D373" s="2141"/>
      <c r="E373" s="2141"/>
      <c r="F373" s="2141"/>
      <c r="G373" s="2116"/>
      <c r="H373" s="2116"/>
      <c r="I373" s="2124"/>
      <c r="J373" s="2116"/>
      <c r="K373" s="2116"/>
      <c r="L373" s="2116"/>
      <c r="M373" s="2116"/>
      <c r="N373" s="2116"/>
      <c r="O373" s="2116"/>
      <c r="P373" s="2116"/>
      <c r="Q373" s="2116"/>
      <c r="R373" s="2116"/>
    </row>
    <row r="374" customFormat="false" ht="15.5" hidden="false" customHeight="false" outlineLevel="0" collapsed="false">
      <c r="A374" s="232" t="s">
        <v>2623</v>
      </c>
      <c r="B374" s="232" t="s">
        <v>133</v>
      </c>
      <c r="C374" s="89" t="n">
        <f aca="false">дома!C1384</f>
        <v>0</v>
      </c>
      <c r="D374" s="2141"/>
      <c r="E374" s="2141"/>
      <c r="F374" s="2141"/>
      <c r="G374" s="2116"/>
      <c r="H374" s="2116"/>
      <c r="I374" s="2124"/>
      <c r="J374" s="2116"/>
      <c r="K374" s="2116"/>
      <c r="L374" s="2116"/>
      <c r="M374" s="2116"/>
      <c r="N374" s="2116"/>
      <c r="O374" s="2116"/>
      <c r="P374" s="2116"/>
      <c r="Q374" s="2116"/>
      <c r="R374" s="2116"/>
    </row>
    <row r="375" customFormat="false" ht="15.5" hidden="false" customHeight="false" outlineLevel="0" collapsed="false">
      <c r="A375" s="232" t="s">
        <v>1546</v>
      </c>
      <c r="B375" s="232" t="s">
        <v>156</v>
      </c>
      <c r="C375" s="89" t="n">
        <f aca="false">дома!C1385</f>
        <v>0</v>
      </c>
      <c r="D375" s="2141"/>
      <c r="E375" s="2141"/>
      <c r="F375" s="2141"/>
      <c r="G375" s="2116"/>
      <c r="H375" s="2116"/>
      <c r="I375" s="2124"/>
      <c r="J375" s="2116"/>
      <c r="K375" s="2116"/>
      <c r="L375" s="2116"/>
      <c r="M375" s="2116"/>
      <c r="N375" s="2116"/>
      <c r="O375" s="2116"/>
      <c r="P375" s="2116"/>
      <c r="Q375" s="2116"/>
      <c r="R375" s="2116"/>
    </row>
    <row r="376" customFormat="false" ht="15.5" hidden="false" customHeight="false" outlineLevel="0" collapsed="false">
      <c r="A376" s="232" t="s">
        <v>3502</v>
      </c>
      <c r="B376" s="232" t="s">
        <v>156</v>
      </c>
      <c r="C376" s="89" t="n">
        <f aca="false">дома!C1389</f>
        <v>5</v>
      </c>
      <c r="D376" s="2141"/>
      <c r="E376" s="2141"/>
      <c r="F376" s="2141"/>
      <c r="G376" s="2116"/>
      <c r="H376" s="2116"/>
      <c r="I376" s="2124"/>
      <c r="J376" s="2116"/>
      <c r="K376" s="2116"/>
      <c r="L376" s="2116"/>
      <c r="M376" s="2116"/>
      <c r="N376" s="2116"/>
      <c r="O376" s="2116"/>
      <c r="P376" s="2116"/>
      <c r="Q376" s="2116"/>
      <c r="R376" s="2116"/>
    </row>
    <row r="377" customFormat="false" ht="15.5" hidden="false" customHeight="false" outlineLevel="0" collapsed="false">
      <c r="A377" s="232" t="s">
        <v>1972</v>
      </c>
      <c r="B377" s="232" t="s">
        <v>156</v>
      </c>
      <c r="C377" s="2144" t="n">
        <v>0.5</v>
      </c>
      <c r="D377" s="2141"/>
      <c r="E377" s="2141"/>
      <c r="F377" s="2141"/>
      <c r="G377" s="2116"/>
      <c r="H377" s="2116"/>
      <c r="I377" s="2124"/>
      <c r="J377" s="2116"/>
      <c r="K377" s="2116"/>
      <c r="L377" s="2116"/>
      <c r="M377" s="2116"/>
      <c r="N377" s="2116"/>
      <c r="O377" s="2116"/>
      <c r="P377" s="2116"/>
      <c r="Q377" s="2116"/>
      <c r="R377" s="2116"/>
    </row>
    <row r="378" customFormat="false" ht="15.5" hidden="false" customHeight="false" outlineLevel="0" collapsed="false">
      <c r="A378" s="260" t="s">
        <v>1975</v>
      </c>
      <c r="B378" s="260" t="s">
        <v>156</v>
      </c>
      <c r="C378" s="2145" t="n">
        <v>0.5</v>
      </c>
      <c r="D378" s="2141"/>
      <c r="E378" s="2141"/>
      <c r="F378" s="2141"/>
      <c r="G378" s="2116"/>
      <c r="H378" s="2116"/>
      <c r="I378" s="2124"/>
      <c r="J378" s="2116"/>
      <c r="K378" s="2116"/>
      <c r="L378" s="2116"/>
      <c r="M378" s="2116"/>
      <c r="N378" s="2116"/>
      <c r="O378" s="2116"/>
      <c r="P378" s="2116"/>
      <c r="Q378" s="2116"/>
      <c r="R378" s="2116"/>
    </row>
    <row r="379" customFormat="false" ht="15.5" hidden="false" customHeight="false" outlineLevel="0" collapsed="false">
      <c r="A379" s="2146" t="s">
        <v>2364</v>
      </c>
      <c r="B379" s="2147" t="n">
        <v>1</v>
      </c>
      <c r="C379" s="2148" t="s">
        <v>3663</v>
      </c>
      <c r="D379" s="2148"/>
      <c r="E379" s="2148"/>
      <c r="F379" s="2148"/>
      <c r="G379" s="2149"/>
      <c r="H379" s="1148"/>
      <c r="I379" s="1148"/>
      <c r="J379" s="1148"/>
      <c r="K379" s="1148"/>
      <c r="L379" s="1148"/>
      <c r="M379" s="1148"/>
      <c r="N379" s="1148"/>
      <c r="O379" s="1148"/>
      <c r="P379" s="1148"/>
      <c r="Q379" s="1148"/>
      <c r="R379" s="1148"/>
    </row>
    <row r="380" customFormat="false" ht="23.5" hidden="false" customHeight="false" outlineLevel="0" collapsed="false">
      <c r="A380" s="2150" t="s">
        <v>1200</v>
      </c>
      <c r="B380" s="2150"/>
      <c r="C380" s="2150"/>
      <c r="D380" s="2150"/>
      <c r="E380" s="2150"/>
      <c r="F380" s="2150"/>
      <c r="G380" s="2150"/>
      <c r="H380" s="2150"/>
      <c r="I380" s="2150"/>
      <c r="J380" s="784"/>
      <c r="K380" s="784"/>
      <c r="L380" s="784"/>
      <c r="M380" s="1148"/>
      <c r="N380" s="1148"/>
      <c r="O380" s="1148"/>
      <c r="P380" s="1148"/>
      <c r="Q380" s="1148"/>
      <c r="R380" s="1148"/>
    </row>
    <row r="381" customFormat="false" ht="23.5" hidden="false" customHeight="false" outlineLevel="0" collapsed="false">
      <c r="A381" s="2150"/>
      <c r="B381" s="2150"/>
      <c r="C381" s="2150"/>
      <c r="D381" s="2150"/>
      <c r="E381" s="2150"/>
      <c r="F381" s="2150"/>
      <c r="G381" s="2150"/>
      <c r="H381" s="2150"/>
      <c r="I381" s="2150"/>
      <c r="J381" s="784"/>
      <c r="K381" s="784"/>
      <c r="L381" s="784"/>
      <c r="M381" s="1148"/>
      <c r="N381" s="1148"/>
      <c r="O381" s="1148"/>
      <c r="P381" s="1148"/>
      <c r="Q381" s="1148"/>
      <c r="R381" s="1148"/>
    </row>
    <row r="382" customFormat="false" ht="23.5" hidden="false" customHeight="false" outlineLevel="0" collapsed="false">
      <c r="A382" s="2151" t="s">
        <v>1806</v>
      </c>
      <c r="B382" s="2151"/>
      <c r="C382" s="2151"/>
      <c r="D382" s="2151"/>
      <c r="E382" s="2151"/>
      <c r="F382" s="2151"/>
      <c r="G382" s="2152" t="n">
        <f aca="false">'Ввод данных'!Z68</f>
        <v>1</v>
      </c>
      <c r="H382" s="855" t="n">
        <f aca="false">'Ввод данных'!Z69</f>
        <v>1</v>
      </c>
      <c r="I382" s="855"/>
      <c r="J382" s="855"/>
      <c r="K382" s="855"/>
      <c r="L382" s="855"/>
      <c r="M382" s="1148"/>
      <c r="N382" s="1148"/>
      <c r="O382" s="1148"/>
      <c r="P382" s="1148"/>
      <c r="Q382" s="1148"/>
      <c r="R382" s="1148"/>
    </row>
    <row r="383" customFormat="false" ht="23.5" hidden="false" customHeight="false" outlineLevel="0" collapsed="false">
      <c r="A383" s="2151"/>
      <c r="B383" s="2151"/>
      <c r="C383" s="2151"/>
      <c r="D383" s="2151"/>
      <c r="E383" s="2151"/>
      <c r="F383" s="2151"/>
      <c r="G383" s="2153"/>
      <c r="H383" s="855"/>
      <c r="I383" s="855"/>
      <c r="J383" s="855"/>
      <c r="K383" s="855"/>
      <c r="L383" s="855"/>
      <c r="M383" s="1148"/>
      <c r="N383" s="1148"/>
      <c r="O383" s="1148"/>
      <c r="P383" s="1148"/>
      <c r="Q383" s="1148"/>
      <c r="R383" s="1148"/>
    </row>
    <row r="384" customFormat="false" ht="15.5" hidden="false" customHeight="false" outlineLevel="0" collapsed="false">
      <c r="A384" s="2154" t="s">
        <v>1819</v>
      </c>
      <c r="B384" s="1124" t="s">
        <v>133</v>
      </c>
      <c r="C384" s="2138" t="n">
        <f aca="false">дома!E61</f>
        <v>1.2</v>
      </c>
      <c r="D384" s="2119" t="n">
        <f aca="false">VLOOKUP('Ввод данных'!Z77,связи1!A2:B3,2,0)</f>
        <v>1</v>
      </c>
      <c r="E384" s="226" t="s">
        <v>1819</v>
      </c>
      <c r="F384" s="2149"/>
      <c r="G384" s="2149"/>
      <c r="H384" s="1148"/>
      <c r="I384" s="1148"/>
      <c r="J384" s="1148"/>
      <c r="K384" s="1148"/>
      <c r="L384" s="1148"/>
      <c r="M384" s="1148"/>
      <c r="N384" s="1148"/>
      <c r="O384" s="1148"/>
      <c r="P384" s="1148"/>
      <c r="Q384" s="1148"/>
      <c r="R384" s="1148"/>
    </row>
    <row r="385" customFormat="false" ht="15.5" hidden="false" customHeight="false" outlineLevel="0" collapsed="false">
      <c r="A385" s="122" t="s">
        <v>1823</v>
      </c>
      <c r="B385" s="232" t="s">
        <v>159</v>
      </c>
      <c r="C385" s="2119" t="n">
        <f aca="false">'Ввод данных'!E73+'Ввод данных'!E82</f>
        <v>0</v>
      </c>
      <c r="D385" s="2119" t="n">
        <f aca="false">VLOOKUP('Ввод данных'!Z78,связи1!A2:B3,2,0)</f>
        <v>1</v>
      </c>
      <c r="E385" s="226" t="s">
        <v>1823</v>
      </c>
      <c r="F385" s="2149"/>
      <c r="G385" s="2149"/>
      <c r="H385" s="1148"/>
      <c r="I385" s="1148"/>
      <c r="J385" s="1148"/>
      <c r="K385" s="1148"/>
      <c r="L385" s="1148"/>
      <c r="M385" s="1148"/>
      <c r="N385" s="1148"/>
      <c r="O385" s="1148"/>
      <c r="P385" s="1148"/>
      <c r="Q385" s="1148"/>
      <c r="R385" s="1148"/>
    </row>
    <row r="386" customFormat="false" ht="15.5" hidden="false" customHeight="false" outlineLevel="0" collapsed="false">
      <c r="A386" s="122" t="s">
        <v>1825</v>
      </c>
      <c r="B386" s="232" t="s">
        <v>156</v>
      </c>
      <c r="C386" s="232" t="n">
        <f aca="false">дома!F1752</f>
        <v>1</v>
      </c>
      <c r="D386" s="2119" t="n">
        <f aca="false">VLOOKUP('Ввод данных'!Z79,связи1!A2:B3,2,0)</f>
        <v>1</v>
      </c>
      <c r="E386" s="226" t="s">
        <v>1825</v>
      </c>
      <c r="F386" s="2149"/>
      <c r="G386" s="2149"/>
      <c r="H386" s="1148"/>
      <c r="I386" s="1148"/>
      <c r="J386" s="1148"/>
      <c r="K386" s="1148"/>
      <c r="L386" s="1148"/>
      <c r="M386" s="1148"/>
      <c r="N386" s="1148"/>
      <c r="O386" s="1148"/>
      <c r="P386" s="1148"/>
      <c r="Q386" s="1148"/>
      <c r="R386" s="1148"/>
    </row>
    <row r="387" customFormat="false" ht="15.5" hidden="false" customHeight="false" outlineLevel="0" collapsed="false">
      <c r="A387" s="122" t="s">
        <v>1827</v>
      </c>
      <c r="B387" s="232" t="s">
        <v>156</v>
      </c>
      <c r="C387" s="232" t="n">
        <f aca="false">дома!F1753</f>
        <v>3.4</v>
      </c>
      <c r="D387" s="2119" t="n">
        <f aca="false">VLOOKUP('Ввод данных'!Z80,связи1!A2:B3,2,0)</f>
        <v>1</v>
      </c>
      <c r="E387" s="226" t="s">
        <v>1827</v>
      </c>
      <c r="F387" s="2149"/>
      <c r="G387" s="2149"/>
      <c r="H387" s="1148"/>
      <c r="I387" s="1148"/>
      <c r="J387" s="1148"/>
      <c r="K387" s="1148"/>
      <c r="L387" s="1148"/>
      <c r="M387" s="1148"/>
      <c r="N387" s="1148"/>
      <c r="O387" s="1148"/>
      <c r="P387" s="1148"/>
      <c r="Q387" s="1148"/>
      <c r="R387" s="1148"/>
    </row>
    <row r="388" customFormat="false" ht="15.5" hidden="false" customHeight="false" outlineLevel="0" collapsed="false">
      <c r="A388" s="122" t="s">
        <v>1829</v>
      </c>
      <c r="B388" s="232" t="s">
        <v>156</v>
      </c>
      <c r="C388" s="232" t="n">
        <f aca="false">C387</f>
        <v>3.4</v>
      </c>
      <c r="D388" s="2119" t="n">
        <f aca="false">VLOOKUP('Ввод данных'!Z81,связи1!A2:B3,2,0)</f>
        <v>0</v>
      </c>
      <c r="E388" s="226" t="s">
        <v>1829</v>
      </c>
      <c r="F388" s="2149"/>
      <c r="G388" s="2149"/>
      <c r="H388" s="1148"/>
      <c r="I388" s="1148"/>
      <c r="J388" s="1148"/>
      <c r="K388" s="1148"/>
      <c r="L388" s="1148"/>
      <c r="M388" s="1148"/>
      <c r="N388" s="1148"/>
      <c r="O388" s="1148"/>
      <c r="P388" s="1148"/>
      <c r="Q388" s="1148"/>
      <c r="R388" s="1148"/>
    </row>
    <row r="389" customFormat="false" ht="15.5" hidden="false" customHeight="false" outlineLevel="0" collapsed="false">
      <c r="A389" s="122" t="s">
        <v>1831</v>
      </c>
      <c r="B389" s="232" t="s">
        <v>156</v>
      </c>
      <c r="C389" s="232" t="n">
        <f aca="false">C386</f>
        <v>1</v>
      </c>
      <c r="D389" s="2119" t="n">
        <f aca="false">VLOOKUP('Ввод данных'!Z82,связи1!A2:B3,2,0)</f>
        <v>0</v>
      </c>
      <c r="E389" s="226" t="s">
        <v>1831</v>
      </c>
      <c r="F389" s="2149"/>
      <c r="G389" s="2149"/>
      <c r="H389" s="1148"/>
      <c r="I389" s="1148"/>
      <c r="J389" s="1148"/>
      <c r="K389" s="1148"/>
      <c r="L389" s="1148"/>
      <c r="M389" s="1148"/>
      <c r="N389" s="1148"/>
      <c r="O389" s="1148"/>
      <c r="P389" s="1148"/>
      <c r="Q389" s="1148"/>
      <c r="R389" s="1148"/>
    </row>
    <row r="390" customFormat="false" ht="15.5" hidden="false" customHeight="false" outlineLevel="0" collapsed="false">
      <c r="A390" s="232" t="s">
        <v>1217</v>
      </c>
      <c r="B390" s="232" t="s">
        <v>159</v>
      </c>
      <c r="C390" s="232" t="n">
        <f aca="false">дома!K1312+дома!K1313+дома!K1314</f>
        <v>0</v>
      </c>
      <c r="D390" s="2119" t="n">
        <f aca="false">VLOOKUP('Ввод данных'!Z84,связи1!A2:B3,2,0)</f>
        <v>1</v>
      </c>
      <c r="E390" s="226" t="s">
        <v>1834</v>
      </c>
      <c r="F390" s="2149"/>
      <c r="G390" s="2149"/>
      <c r="H390" s="1148"/>
      <c r="I390" s="1148"/>
      <c r="J390" s="1148"/>
      <c r="K390" s="1148"/>
      <c r="L390" s="1148"/>
      <c r="M390" s="1148"/>
      <c r="N390" s="1148"/>
      <c r="O390" s="1148"/>
      <c r="P390" s="1148"/>
      <c r="Q390" s="1148"/>
      <c r="R390" s="1148"/>
    </row>
    <row r="391" customFormat="false" ht="15.5" hidden="false" customHeight="false" outlineLevel="0" collapsed="false">
      <c r="A391" s="232" t="s">
        <v>1214</v>
      </c>
      <c r="B391" s="232" t="s">
        <v>133</v>
      </c>
      <c r="C391" s="232" t="n">
        <f aca="false">дома!E59+дома!E60</f>
        <v>0</v>
      </c>
      <c r="D391" s="2144" t="n">
        <f aca="false">VLOOKUP('Ввод данных'!Z83,связи1!A2:B3,2,0)</f>
        <v>0</v>
      </c>
      <c r="E391" s="226" t="s">
        <v>3928</v>
      </c>
      <c r="F391" s="2149"/>
      <c r="G391" s="2149"/>
      <c r="H391" s="1148"/>
      <c r="I391" s="1148"/>
      <c r="J391" s="1148"/>
      <c r="K391" s="1148"/>
      <c r="L391" s="1148"/>
      <c r="M391" s="1148"/>
      <c r="N391" s="1148"/>
      <c r="O391" s="1148"/>
      <c r="P391" s="1148"/>
      <c r="Q391" s="1148"/>
      <c r="R391" s="1148"/>
    </row>
    <row r="392" customFormat="false" ht="15.5" hidden="false" customHeight="false" outlineLevel="0" collapsed="false">
      <c r="A392" s="90" t="s">
        <v>2720</v>
      </c>
      <c r="B392" s="1129" t="s">
        <v>1094</v>
      </c>
      <c r="C392" s="1129" t="s">
        <v>1802</v>
      </c>
      <c r="D392" s="1129" t="s">
        <v>3649</v>
      </c>
      <c r="E392" s="260" t="s">
        <v>2722</v>
      </c>
      <c r="F392" s="2116"/>
      <c r="G392" s="87" t="s">
        <v>3652</v>
      </c>
      <c r="H392" s="87"/>
      <c r="I392" s="88" t="s">
        <v>1094</v>
      </c>
      <c r="J392" s="232" t="s">
        <v>1802</v>
      </c>
      <c r="K392" s="232" t="s">
        <v>2721</v>
      </c>
      <c r="L392" s="232" t="s">
        <v>2722</v>
      </c>
      <c r="M392" s="1148"/>
      <c r="N392" s="1148"/>
      <c r="O392" s="1148"/>
      <c r="P392" s="1148"/>
      <c r="Q392" s="1148"/>
      <c r="R392" s="1148"/>
    </row>
    <row r="393" customFormat="false" ht="15.5" hidden="false" customHeight="false" outlineLevel="0" collapsed="false">
      <c r="A393" s="232" t="s">
        <v>1202</v>
      </c>
      <c r="B393" s="88" t="s">
        <v>133</v>
      </c>
      <c r="C393" s="232" t="n">
        <f aca="false">C384*G382</f>
        <v>1.2</v>
      </c>
      <c r="D393" s="232" t="n">
        <f aca="false">'Прайс лист'!G1312</f>
        <v>3500</v>
      </c>
      <c r="E393" s="232" t="n">
        <f aca="false">C393*D393</f>
        <v>4200</v>
      </c>
      <c r="F393" s="2116"/>
      <c r="G393" s="87" t="s">
        <v>1516</v>
      </c>
      <c r="H393" s="87"/>
      <c r="I393" s="88" t="s">
        <v>159</v>
      </c>
      <c r="J393" s="232" t="n">
        <f aca="false">C405*H382</f>
        <v>1</v>
      </c>
      <c r="K393" s="232" t="n">
        <f aca="false">'Прайс лист'!G1706</f>
        <v>1000</v>
      </c>
      <c r="L393" s="232" t="n">
        <f aca="false">J393*K393</f>
        <v>1000</v>
      </c>
      <c r="M393" s="1148"/>
      <c r="N393" s="1148"/>
      <c r="O393" s="1148"/>
      <c r="P393" s="1148"/>
      <c r="Q393" s="1148"/>
      <c r="R393" s="1148"/>
    </row>
    <row r="394" customFormat="false" ht="15.5" hidden="false" customHeight="false" outlineLevel="0" collapsed="false">
      <c r="A394" s="232" t="s">
        <v>1203</v>
      </c>
      <c r="B394" s="88" t="s">
        <v>156</v>
      </c>
      <c r="C394" s="232" t="n">
        <f aca="false">C386*D386*G382</f>
        <v>1</v>
      </c>
      <c r="D394" s="232" t="n">
        <f aca="false">'Прайс лист'!G1313</f>
        <v>200</v>
      </c>
      <c r="E394" s="232" t="n">
        <f aca="false">C394*D394</f>
        <v>200</v>
      </c>
      <c r="F394" s="2116"/>
      <c r="G394" s="87" t="s">
        <v>1517</v>
      </c>
      <c r="H394" s="87"/>
      <c r="I394" s="88" t="s">
        <v>159</v>
      </c>
      <c r="J394" s="232" t="n">
        <f aca="false">C394*H382</f>
        <v>1</v>
      </c>
      <c r="K394" s="232" t="n">
        <f aca="false">'Прайс лист'!G1707</f>
        <v>400</v>
      </c>
      <c r="L394" s="232" t="n">
        <f aca="false">J394*K394</f>
        <v>400</v>
      </c>
      <c r="M394" s="1148"/>
      <c r="N394" s="1148"/>
      <c r="O394" s="1148"/>
      <c r="P394" s="1148"/>
      <c r="Q394" s="1148"/>
      <c r="R394" s="1148"/>
    </row>
    <row r="395" customFormat="false" ht="15.5" hidden="false" customHeight="false" outlineLevel="0" collapsed="false">
      <c r="A395" s="232" t="s">
        <v>1204</v>
      </c>
      <c r="B395" s="88" t="s">
        <v>159</v>
      </c>
      <c r="C395" s="232" t="n">
        <f aca="false">C387*G382*D387</f>
        <v>3.4</v>
      </c>
      <c r="D395" s="232" t="n">
        <f aca="false">'Прайс лист'!G1314</f>
        <v>50</v>
      </c>
      <c r="E395" s="232" t="n">
        <f aca="false">C395*D395</f>
        <v>170</v>
      </c>
      <c r="F395" s="2116"/>
      <c r="G395" s="87" t="s">
        <v>3929</v>
      </c>
      <c r="H395" s="87"/>
      <c r="I395" s="88" t="s">
        <v>159</v>
      </c>
      <c r="J395" s="232" t="n">
        <f aca="false">C396*H382</f>
        <v>3.4</v>
      </c>
      <c r="K395" s="232" t="n">
        <f aca="false">'Прайс лист'!G1708</f>
        <v>150</v>
      </c>
      <c r="L395" s="232" t="n">
        <f aca="false">J395*K395</f>
        <v>510</v>
      </c>
      <c r="M395" s="1148"/>
      <c r="N395" s="1148"/>
      <c r="O395" s="1148"/>
      <c r="P395" s="1148"/>
      <c r="Q395" s="1148"/>
      <c r="R395" s="1148"/>
    </row>
    <row r="396" customFormat="false" ht="15.5" hidden="false" customHeight="false" outlineLevel="0" collapsed="false">
      <c r="A396" s="232" t="s">
        <v>1205</v>
      </c>
      <c r="B396" s="88" t="s">
        <v>159</v>
      </c>
      <c r="C396" s="232" t="n">
        <f aca="false">C387*G382*D387</f>
        <v>3.4</v>
      </c>
      <c r="D396" s="232" t="n">
        <f aca="false">'Прайс лист'!G1315</f>
        <v>100</v>
      </c>
      <c r="E396" s="232" t="n">
        <f aca="false">C396*D396</f>
        <v>340</v>
      </c>
      <c r="F396" s="2116"/>
      <c r="G396" s="87" t="s">
        <v>3930</v>
      </c>
      <c r="H396" s="87"/>
      <c r="I396" s="88" t="s">
        <v>159</v>
      </c>
      <c r="J396" s="232" t="n">
        <f aca="false">C395*H382</f>
        <v>3.4</v>
      </c>
      <c r="K396" s="232" t="n">
        <f aca="false">'Прайс лист'!G1709</f>
        <v>50</v>
      </c>
      <c r="L396" s="232" t="n">
        <f aca="false">J396*K396</f>
        <v>170</v>
      </c>
      <c r="M396" s="1148"/>
      <c r="N396" s="1148"/>
      <c r="O396" s="1148"/>
      <c r="P396" s="1148"/>
      <c r="Q396" s="1148"/>
      <c r="R396" s="1148"/>
    </row>
    <row r="397" customFormat="false" ht="15.5" hidden="false" customHeight="false" outlineLevel="0" collapsed="false">
      <c r="A397" s="232" t="s">
        <v>1206</v>
      </c>
      <c r="B397" s="88" t="s">
        <v>159</v>
      </c>
      <c r="C397" s="232" t="n">
        <f aca="false">C395*D387*G382</f>
        <v>3.4</v>
      </c>
      <c r="D397" s="232" t="n">
        <f aca="false">'Прайс лист'!G1316</f>
        <v>50</v>
      </c>
      <c r="E397" s="232" t="n">
        <f aca="false">C397*D397</f>
        <v>170</v>
      </c>
      <c r="F397" s="2116"/>
      <c r="G397" s="87" t="s">
        <v>3931</v>
      </c>
      <c r="H397" s="87"/>
      <c r="I397" s="88" t="s">
        <v>159</v>
      </c>
      <c r="J397" s="232" t="n">
        <f aca="false">C397*H382</f>
        <v>3.4</v>
      </c>
      <c r="K397" s="232" t="n">
        <f aca="false">'Прайс лист'!G1710</f>
        <v>50</v>
      </c>
      <c r="L397" s="232" t="n">
        <f aca="false">J397*K397</f>
        <v>170</v>
      </c>
      <c r="M397" s="1148"/>
      <c r="N397" s="1148"/>
      <c r="O397" s="1148"/>
      <c r="P397" s="1148"/>
      <c r="Q397" s="1148"/>
      <c r="R397" s="1148"/>
    </row>
    <row r="398" customFormat="false" ht="15.5" hidden="false" customHeight="false" outlineLevel="0" collapsed="false">
      <c r="A398" s="275" t="s">
        <v>1207</v>
      </c>
      <c r="B398" s="88" t="s">
        <v>159</v>
      </c>
      <c r="C398" s="232" t="n">
        <f aca="false">C389*D389*G382</f>
        <v>0</v>
      </c>
      <c r="D398" s="232" t="n">
        <f aca="false">'Прайс лист'!G1317</f>
        <v>130</v>
      </c>
      <c r="E398" s="232" t="n">
        <f aca="false">C398*D398</f>
        <v>0</v>
      </c>
      <c r="F398" s="2116"/>
      <c r="G398" s="87" t="s">
        <v>1521</v>
      </c>
      <c r="H398" s="87"/>
      <c r="I398" s="88" t="s">
        <v>159</v>
      </c>
      <c r="J398" s="232" t="n">
        <f aca="false">C398*H382</f>
        <v>0</v>
      </c>
      <c r="K398" s="232" t="n">
        <f aca="false">'Прайс лист'!G1711</f>
        <v>150</v>
      </c>
      <c r="L398" s="232" t="n">
        <f aca="false">J398*K398</f>
        <v>0</v>
      </c>
      <c r="M398" s="1148"/>
      <c r="N398" s="1148"/>
      <c r="O398" s="1148"/>
      <c r="P398" s="1148"/>
      <c r="Q398" s="1148"/>
      <c r="R398" s="1148"/>
    </row>
    <row r="399" customFormat="false" ht="15.5" hidden="false" customHeight="false" outlineLevel="0" collapsed="false">
      <c r="A399" s="232" t="s">
        <v>1208</v>
      </c>
      <c r="B399" s="88" t="s">
        <v>159</v>
      </c>
      <c r="C399" s="232" t="n">
        <f aca="false">C388*D388*G382</f>
        <v>0</v>
      </c>
      <c r="D399" s="232" t="n">
        <f aca="false">'Прайс лист'!G1318</f>
        <v>150</v>
      </c>
      <c r="E399" s="232" t="n">
        <f aca="false">C399*D399</f>
        <v>0</v>
      </c>
      <c r="F399" s="2116"/>
      <c r="G399" s="87" t="s">
        <v>3932</v>
      </c>
      <c r="H399" s="87"/>
      <c r="I399" s="88" t="s">
        <v>159</v>
      </c>
      <c r="J399" s="232" t="n">
        <f aca="false">C399*H382</f>
        <v>0</v>
      </c>
      <c r="K399" s="232" t="n">
        <f aca="false">'Прайс лист'!G1712</f>
        <v>250</v>
      </c>
      <c r="L399" s="232" t="n">
        <f aca="false">J399*K399</f>
        <v>0</v>
      </c>
      <c r="M399" s="1148"/>
      <c r="N399" s="1148"/>
      <c r="O399" s="1148"/>
      <c r="P399" s="1148"/>
      <c r="Q399" s="1148"/>
      <c r="R399" s="1148"/>
    </row>
    <row r="400" customFormat="false" ht="15.5" hidden="false" customHeight="false" outlineLevel="0" collapsed="false">
      <c r="A400" s="232" t="s">
        <v>1209</v>
      </c>
      <c r="B400" s="88" t="s">
        <v>159</v>
      </c>
      <c r="C400" s="232" t="n">
        <f aca="false">C388*D388*G382</f>
        <v>0</v>
      </c>
      <c r="D400" s="232" t="n">
        <f aca="false">'Прайс лист'!G1319</f>
        <v>80</v>
      </c>
      <c r="E400" s="232" t="n">
        <f aca="false">C400*D400</f>
        <v>0</v>
      </c>
      <c r="F400" s="2116"/>
      <c r="G400" s="87" t="s">
        <v>3933</v>
      </c>
      <c r="H400" s="87"/>
      <c r="I400" s="88" t="s">
        <v>159</v>
      </c>
      <c r="J400" s="232" t="n">
        <f aca="false">C400*H382</f>
        <v>0</v>
      </c>
      <c r="K400" s="232" t="n">
        <f aca="false">'Прайс лист'!G1713</f>
        <v>50</v>
      </c>
      <c r="L400" s="232" t="n">
        <f aca="false">J400*K400</f>
        <v>0</v>
      </c>
      <c r="M400" s="1148"/>
      <c r="N400" s="1148"/>
      <c r="O400" s="1148"/>
      <c r="P400" s="1148"/>
      <c r="Q400" s="1148"/>
      <c r="R400" s="1148"/>
    </row>
    <row r="401" customFormat="false" ht="15.5" hidden="false" customHeight="false" outlineLevel="0" collapsed="false">
      <c r="A401" s="232" t="s">
        <v>1210</v>
      </c>
      <c r="B401" s="88" t="s">
        <v>159</v>
      </c>
      <c r="C401" s="232" t="n">
        <f aca="false">C399*D388*G382</f>
        <v>0</v>
      </c>
      <c r="D401" s="232" t="n">
        <f aca="false">'Прайс лист'!G1320</f>
        <v>60</v>
      </c>
      <c r="E401" s="232" t="n">
        <f aca="false">C401*D401</f>
        <v>0</v>
      </c>
      <c r="F401" s="2116"/>
      <c r="G401" s="87" t="s">
        <v>3934</v>
      </c>
      <c r="H401" s="87"/>
      <c r="I401" s="88" t="s">
        <v>159</v>
      </c>
      <c r="J401" s="232" t="n">
        <f aca="false">C401*H382</f>
        <v>0</v>
      </c>
      <c r="K401" s="232" t="n">
        <f aca="false">'Прайс лист'!G1714</f>
        <v>50</v>
      </c>
      <c r="L401" s="232" t="n">
        <f aca="false">J401*K401</f>
        <v>0</v>
      </c>
      <c r="M401" s="1148"/>
      <c r="N401" s="1148"/>
      <c r="O401" s="1148"/>
      <c r="P401" s="1148"/>
      <c r="Q401" s="1148"/>
      <c r="R401" s="1148"/>
    </row>
    <row r="402" customFormat="false" ht="15.5" hidden="false" customHeight="false" outlineLevel="0" collapsed="false">
      <c r="A402" s="232" t="s">
        <v>1211</v>
      </c>
      <c r="B402" s="88" t="s">
        <v>156</v>
      </c>
      <c r="C402" s="232" t="n">
        <f aca="false">C399*G382</f>
        <v>0</v>
      </c>
      <c r="D402" s="232" t="n">
        <f aca="false">'Прайс лист'!G1321</f>
        <v>40</v>
      </c>
      <c r="E402" s="232" t="n">
        <f aca="false">C402*D402</f>
        <v>0</v>
      </c>
      <c r="F402" s="2116"/>
      <c r="G402" s="87" t="s">
        <v>1525</v>
      </c>
      <c r="H402" s="87"/>
      <c r="I402" s="88" t="s">
        <v>156</v>
      </c>
      <c r="J402" s="232" t="n">
        <f aca="false">C402*H382</f>
        <v>0</v>
      </c>
      <c r="K402" s="232" t="n">
        <f aca="false">'Прайс лист'!G1715</f>
        <v>50</v>
      </c>
      <c r="L402" s="232" t="n">
        <f aca="false">J402*K402</f>
        <v>0</v>
      </c>
      <c r="M402" s="1148"/>
      <c r="N402" s="1148"/>
      <c r="O402" s="1148"/>
      <c r="P402" s="1148"/>
      <c r="Q402" s="1148"/>
      <c r="R402" s="1148"/>
    </row>
    <row r="403" customFormat="false" ht="15.5" hidden="false" customHeight="false" outlineLevel="0" collapsed="false">
      <c r="A403" s="232" t="s">
        <v>1212</v>
      </c>
      <c r="B403" s="88" t="s">
        <v>159</v>
      </c>
      <c r="C403" s="232" t="n">
        <f aca="false">C395*G382</f>
        <v>3.4</v>
      </c>
      <c r="D403" s="232" t="n">
        <f aca="false">'Прайс лист'!G1322</f>
        <v>40</v>
      </c>
      <c r="E403" s="232" t="n">
        <f aca="false">C403*D403</f>
        <v>136</v>
      </c>
      <c r="F403" s="2116"/>
      <c r="G403" s="87" t="s">
        <v>1526</v>
      </c>
      <c r="H403" s="87"/>
      <c r="I403" s="88" t="s">
        <v>156</v>
      </c>
      <c r="J403" s="232" t="n">
        <f aca="false">C403*H382</f>
        <v>3.4</v>
      </c>
      <c r="K403" s="232" t="n">
        <f aca="false">'Прайс лист'!G1716</f>
        <v>50</v>
      </c>
      <c r="L403" s="232" t="n">
        <f aca="false">J403*K403</f>
        <v>170</v>
      </c>
      <c r="M403" s="1148"/>
      <c r="N403" s="1148"/>
      <c r="O403" s="1148"/>
      <c r="P403" s="1148"/>
      <c r="Q403" s="1148"/>
      <c r="R403" s="1148"/>
    </row>
    <row r="404" customFormat="false" ht="15.5" hidden="false" customHeight="false" outlineLevel="0" collapsed="false">
      <c r="A404" s="232" t="s">
        <v>1213</v>
      </c>
      <c r="B404" s="88" t="s">
        <v>159</v>
      </c>
      <c r="C404" s="232" t="n">
        <f aca="false">(D325+D326+D327+D328)*8*G382</f>
        <v>8</v>
      </c>
      <c r="D404" s="232" t="n">
        <f aca="false">'Прайс лист'!G1323</f>
        <v>15</v>
      </c>
      <c r="E404" s="232" t="n">
        <f aca="false">C404*D404</f>
        <v>120</v>
      </c>
      <c r="F404" s="2116"/>
      <c r="G404" s="87" t="str">
        <f aca="false">A410</f>
        <v>Двери входные</v>
      </c>
      <c r="H404" s="87"/>
      <c r="I404" s="88" t="s">
        <v>159</v>
      </c>
      <c r="J404" s="232" t="n">
        <f aca="false">C410*H382</f>
        <v>0</v>
      </c>
      <c r="K404" s="232" t="n">
        <f aca="false">'Прайс лист'!G1717</f>
        <v>2000</v>
      </c>
      <c r="L404" s="232" t="n">
        <f aca="false">J404*K404</f>
        <v>0</v>
      </c>
      <c r="M404" s="1148"/>
      <c r="N404" s="1148"/>
      <c r="O404" s="1148"/>
      <c r="P404" s="1148"/>
      <c r="Q404" s="1148"/>
      <c r="R404" s="1148"/>
    </row>
    <row r="405" customFormat="false" ht="15.5" hidden="false" customHeight="false" outlineLevel="0" collapsed="false">
      <c r="A405" s="232" t="str">
        <f aca="false">'Прайс лист'!B903</f>
        <v>Пена монтажная, всесезонняя 800мл</v>
      </c>
      <c r="B405" s="88" t="s">
        <v>159</v>
      </c>
      <c r="C405" s="232" t="n">
        <f aca="false">('Ввод данных'!E68+'Ввод данных'!E69+'Ввод данных'!E70+'Ввод данных'!E71+'Ввод данных'!E72+'Ввод данных'!E77+'Ввод данных'!E78+'Ввод данных'!E79+'Ввод данных'!E80+'Ввод данных'!E81)*G382</f>
        <v>1</v>
      </c>
      <c r="D405" s="232" t="n">
        <f aca="false">'Прайс лист'!G903</f>
        <v>300</v>
      </c>
      <c r="E405" s="232" t="n">
        <f aca="false">C405*D405</f>
        <v>300</v>
      </c>
      <c r="F405" s="2116"/>
      <c r="G405" s="2155" t="s">
        <v>3935</v>
      </c>
      <c r="H405" s="2156"/>
      <c r="I405" s="88" t="s">
        <v>159</v>
      </c>
      <c r="J405" s="232" t="n">
        <f aca="false">(D329+D330)*D391*H382</f>
        <v>0</v>
      </c>
      <c r="K405" s="232" t="n">
        <f aca="false">'Прайс лист'!G1719</f>
        <v>4500</v>
      </c>
      <c r="L405" s="232" t="n">
        <f aca="false">J405*K405</f>
        <v>0</v>
      </c>
      <c r="M405" s="1148"/>
      <c r="N405" s="1148"/>
      <c r="O405" s="1148"/>
      <c r="P405" s="1148"/>
      <c r="Q405" s="1148"/>
      <c r="R405" s="1148"/>
    </row>
    <row r="406" customFormat="false" ht="15.5" hidden="false" customHeight="false" outlineLevel="0" collapsed="false">
      <c r="A406" s="232" t="s">
        <v>1214</v>
      </c>
      <c r="B406" s="88" t="s">
        <v>133</v>
      </c>
      <c r="C406" s="232" t="n">
        <f aca="false">C391*D391*G382</f>
        <v>0</v>
      </c>
      <c r="D406" s="232" t="n">
        <f aca="false">'Прайс лист'!G1324</f>
        <v>6000</v>
      </c>
      <c r="E406" s="232" t="n">
        <f aca="false">C406*D406</f>
        <v>0</v>
      </c>
      <c r="F406" s="2116"/>
      <c r="M406" s="1148"/>
      <c r="N406" s="1148"/>
      <c r="O406" s="1148"/>
      <c r="P406" s="1148"/>
      <c r="Q406" s="1148"/>
      <c r="R406" s="1148"/>
    </row>
    <row r="407" customFormat="false" ht="15.5" hidden="false" customHeight="false" outlineLevel="0" collapsed="false">
      <c r="A407" s="232" t="s">
        <v>1215</v>
      </c>
      <c r="B407" s="88" t="s">
        <v>159</v>
      </c>
      <c r="C407" s="232" t="n">
        <f aca="false">((B329*2+C329*2)*D329+(B330*2+C330*2)*D330)/0.4*D391*G382</f>
        <v>0</v>
      </c>
      <c r="D407" s="232" t="n">
        <f aca="false">'Прайс лист'!G1325</f>
        <v>20</v>
      </c>
      <c r="E407" s="232" t="n">
        <f aca="false">C407*D407</f>
        <v>0</v>
      </c>
      <c r="F407" s="2116"/>
      <c r="G407" s="2155"/>
      <c r="H407" s="2156"/>
      <c r="I407" s="88"/>
      <c r="J407" s="232"/>
      <c r="K407" s="232"/>
      <c r="L407" s="232"/>
      <c r="M407" s="1148"/>
      <c r="N407" s="1148"/>
      <c r="O407" s="1148"/>
      <c r="P407" s="1148"/>
      <c r="Q407" s="1148"/>
      <c r="R407" s="1148"/>
    </row>
    <row r="408" customFormat="false" ht="15.5" hidden="false" customHeight="false" outlineLevel="0" collapsed="false">
      <c r="A408" s="232" t="str">
        <f aca="false">A405</f>
        <v>Пена монтажная, всесезонняя 800мл</v>
      </c>
      <c r="B408" s="88" t="s">
        <v>159</v>
      </c>
      <c r="C408" s="232" t="n">
        <f aca="false">(D329+D330)*D391*G382</f>
        <v>0</v>
      </c>
      <c r="D408" s="232" t="n">
        <f aca="false">D405</f>
        <v>300</v>
      </c>
      <c r="E408" s="232" t="n">
        <f aca="false">C408*D408</f>
        <v>0</v>
      </c>
      <c r="F408" s="2116"/>
      <c r="G408" s="2155"/>
      <c r="H408" s="2156"/>
      <c r="I408" s="88"/>
      <c r="J408" s="232"/>
      <c r="K408" s="232"/>
      <c r="L408" s="232"/>
      <c r="M408" s="1148"/>
      <c r="N408" s="1148"/>
      <c r="O408" s="1148"/>
      <c r="P408" s="1148"/>
      <c r="Q408" s="1148"/>
      <c r="R408" s="1148"/>
    </row>
    <row r="409" customFormat="false" ht="15.5" hidden="false" customHeight="false" outlineLevel="0" collapsed="false">
      <c r="A409" s="232" t="s">
        <v>1216</v>
      </c>
      <c r="B409" s="88" t="s">
        <v>159</v>
      </c>
      <c r="C409" s="232" t="n">
        <f aca="false">C407*G382</f>
        <v>0</v>
      </c>
      <c r="D409" s="232" t="n">
        <f aca="false">'Прайс лист'!G1326</f>
        <v>25</v>
      </c>
      <c r="E409" s="232" t="n">
        <f aca="false">C409*D409</f>
        <v>0</v>
      </c>
      <c r="F409" s="2116"/>
      <c r="G409" s="2155"/>
      <c r="H409" s="2156"/>
      <c r="I409" s="88"/>
      <c r="J409" s="232"/>
      <c r="K409" s="232"/>
      <c r="L409" s="232"/>
      <c r="M409" s="1148"/>
      <c r="N409" s="1148"/>
      <c r="O409" s="1148"/>
      <c r="P409" s="1148"/>
      <c r="Q409" s="1148"/>
      <c r="R409" s="1148"/>
    </row>
    <row r="410" customFormat="false" ht="15.5" hidden="false" customHeight="false" outlineLevel="0" collapsed="false">
      <c r="A410" s="232" t="s">
        <v>1217</v>
      </c>
      <c r="B410" s="88" t="s">
        <v>159</v>
      </c>
      <c r="C410" s="232" t="n">
        <f aca="false">C390*G382*D390*G382</f>
        <v>0</v>
      </c>
      <c r="D410" s="232" t="n">
        <f aca="false">'Прайс лист'!G1327</f>
        <v>12000</v>
      </c>
      <c r="E410" s="232" t="n">
        <f aca="false">C410*D410</f>
        <v>0</v>
      </c>
      <c r="F410" s="2116"/>
      <c r="G410" s="88"/>
      <c r="H410" s="88"/>
      <c r="I410" s="88"/>
      <c r="J410" s="232"/>
      <c r="K410" s="232"/>
      <c r="L410" s="232"/>
      <c r="M410" s="1148"/>
      <c r="N410" s="1148"/>
      <c r="O410" s="1148"/>
      <c r="P410" s="1148"/>
      <c r="Q410" s="1148"/>
      <c r="R410" s="1148"/>
    </row>
    <row r="411" customFormat="false" ht="15.5" hidden="false" customHeight="false" outlineLevel="0" collapsed="false">
      <c r="A411" s="232" t="s">
        <v>3936</v>
      </c>
      <c r="B411" s="88" t="s">
        <v>159</v>
      </c>
      <c r="C411" s="232" t="n">
        <f aca="false">(C410)*6*G382</f>
        <v>0</v>
      </c>
      <c r="D411" s="232" t="n">
        <f aca="false">'Прайс лист'!G1331</f>
        <v>0</v>
      </c>
      <c r="E411" s="232" t="n">
        <f aca="false">C411*D411</f>
        <v>0</v>
      </c>
      <c r="F411" s="2116"/>
      <c r="G411" s="88"/>
      <c r="H411" s="88"/>
      <c r="I411" s="88"/>
      <c r="J411" s="232"/>
      <c r="K411" s="232"/>
      <c r="L411" s="232"/>
      <c r="M411" s="1148"/>
      <c r="N411" s="1148"/>
      <c r="O411" s="1148"/>
      <c r="P411" s="1148"/>
      <c r="Q411" s="1148"/>
      <c r="R411" s="1148"/>
    </row>
    <row r="412" customFormat="false" ht="15.5" hidden="false" customHeight="false" outlineLevel="0" collapsed="false">
      <c r="A412" s="232" t="s">
        <v>850</v>
      </c>
      <c r="B412" s="88" t="s">
        <v>159</v>
      </c>
      <c r="C412" s="232" t="n">
        <f aca="false">C410*G382</f>
        <v>0</v>
      </c>
      <c r="D412" s="232" t="n">
        <f aca="false">'Прайс лист'!G1332</f>
        <v>0</v>
      </c>
      <c r="E412" s="232" t="n">
        <f aca="false">C412*D412</f>
        <v>0</v>
      </c>
      <c r="F412" s="2116"/>
      <c r="G412" s="88"/>
      <c r="H412" s="88"/>
      <c r="I412" s="88"/>
      <c r="J412" s="232"/>
      <c r="K412" s="232"/>
      <c r="L412" s="232"/>
      <c r="M412" s="1148"/>
      <c r="N412" s="1148"/>
      <c r="O412" s="1148"/>
      <c r="P412" s="1148"/>
      <c r="Q412" s="1148"/>
      <c r="R412" s="1148"/>
    </row>
    <row r="413" customFormat="false" ht="15.5" hidden="false" customHeight="false" outlineLevel="0" collapsed="false">
      <c r="A413" s="232" t="str">
        <f aca="false">'Ввод данных'!H87</f>
        <v>Нет техники</v>
      </c>
      <c r="B413" s="232" t="str">
        <f aca="false">'Ввод данных'!W87</f>
        <v>час</v>
      </c>
      <c r="C413" s="232" t="n">
        <f aca="false">'Ввод данных'!Z87</f>
        <v>0</v>
      </c>
      <c r="D413" s="232" t="n">
        <f aca="false">VLOOKUP(A413,'Прайс лист'!B180:G194,6,0)</f>
        <v>0</v>
      </c>
      <c r="E413" s="232" t="n">
        <f aca="false">C413*D413</f>
        <v>0</v>
      </c>
      <c r="F413" s="2116"/>
      <c r="G413" s="2157"/>
      <c r="H413" s="2158"/>
      <c r="I413" s="88"/>
      <c r="J413" s="232"/>
      <c r="K413" s="232"/>
      <c r="L413" s="232"/>
      <c r="M413" s="1148"/>
      <c r="N413" s="1148"/>
      <c r="O413" s="1148"/>
      <c r="P413" s="1148"/>
      <c r="Q413" s="1148"/>
      <c r="R413" s="1148"/>
    </row>
    <row r="414" customFormat="false" ht="15.5" hidden="false" customHeight="false" outlineLevel="0" collapsed="false">
      <c r="A414" s="232" t="str">
        <f aca="false">'Ввод данных'!H88</f>
        <v>Нет техники</v>
      </c>
      <c r="B414" s="232" t="str">
        <f aca="false">'Ввод данных'!W88</f>
        <v>шт</v>
      </c>
      <c r="C414" s="232" t="n">
        <f aca="false">'Ввод данных'!Z88</f>
        <v>3</v>
      </c>
      <c r="D414" s="232" t="n">
        <f aca="false">VLOOKUP(A414,'Прайс лист'!B180:G194,6,0)</f>
        <v>0</v>
      </c>
      <c r="E414" s="232" t="n">
        <f aca="false">C414*D414</f>
        <v>0</v>
      </c>
      <c r="F414" s="2116"/>
      <c r="G414" s="2157"/>
      <c r="H414" s="2158"/>
      <c r="I414" s="88"/>
      <c r="J414" s="232"/>
      <c r="K414" s="232"/>
      <c r="L414" s="232"/>
      <c r="M414" s="1148"/>
      <c r="N414" s="1148"/>
      <c r="O414" s="1148"/>
      <c r="P414" s="1148"/>
      <c r="Q414" s="1148"/>
      <c r="R414" s="1148"/>
    </row>
    <row r="415" customFormat="false" ht="15.5" hidden="false" customHeight="false" outlineLevel="0" collapsed="false">
      <c r="A415" s="232" t="str">
        <f aca="false">'Ввод данных'!H90</f>
        <v>расходные материалы окна</v>
      </c>
      <c r="B415" s="232" t="str">
        <f aca="false">'Ввод данных'!W90</f>
        <v>рублей</v>
      </c>
      <c r="C415" s="232" t="n">
        <f aca="false">1</f>
        <v>1</v>
      </c>
      <c r="D415" s="232" t="n">
        <f aca="false">'Ввод данных'!Z90</f>
        <v>5000</v>
      </c>
      <c r="E415" s="232" t="n">
        <f aca="false">C415*D415</f>
        <v>5000</v>
      </c>
      <c r="F415" s="2116"/>
      <c r="G415" s="2157"/>
      <c r="H415" s="2158"/>
      <c r="I415" s="88"/>
      <c r="J415" s="232"/>
      <c r="K415" s="232"/>
      <c r="L415" s="232"/>
      <c r="M415" s="1148"/>
      <c r="N415" s="1148"/>
      <c r="O415" s="1148"/>
      <c r="P415" s="1148"/>
      <c r="Q415" s="1148"/>
      <c r="R415" s="1148"/>
    </row>
    <row r="416" customFormat="false" ht="15.5" hidden="false" customHeight="false" outlineLevel="0" collapsed="false">
      <c r="A416" s="1148"/>
      <c r="B416" s="1148"/>
      <c r="C416" s="1148"/>
      <c r="D416" s="1148"/>
      <c r="E416" s="1124" t="n">
        <f aca="false">SUM(E393:E415)</f>
        <v>10636</v>
      </c>
      <c r="F416" s="1148"/>
      <c r="G416" s="2124"/>
      <c r="H416" s="2116"/>
      <c r="I416" s="1148"/>
      <c r="J416" s="1148"/>
      <c r="K416" s="1148"/>
      <c r="L416" s="232" t="n">
        <f aca="false">SUM(L393:L415)</f>
        <v>2420</v>
      </c>
      <c r="M416" s="1148"/>
      <c r="N416" s="1148"/>
      <c r="O416" s="1148"/>
      <c r="P416" s="1148"/>
      <c r="Q416" s="1148"/>
      <c r="R416" s="1148"/>
    </row>
    <row r="417" customFormat="false" ht="15.5" hidden="false" customHeight="false" outlineLevel="0" collapsed="false">
      <c r="A417" s="87" t="s">
        <v>3660</v>
      </c>
      <c r="B417" s="2159" t="n">
        <f aca="false">E416</f>
        <v>10636</v>
      </c>
      <c r="C417" s="1148"/>
      <c r="D417" s="1148"/>
      <c r="E417" s="1148"/>
      <c r="F417" s="1148"/>
      <c r="G417" s="1148"/>
      <c r="H417" s="1148"/>
      <c r="I417" s="1148"/>
      <c r="J417" s="1148"/>
      <c r="K417" s="1148"/>
      <c r="L417" s="1148"/>
      <c r="M417" s="1148"/>
      <c r="N417" s="1148"/>
      <c r="O417" s="1148"/>
      <c r="P417" s="1148"/>
      <c r="Q417" s="1148"/>
      <c r="R417" s="1148"/>
    </row>
    <row r="418" customFormat="false" ht="15.5" hidden="false" customHeight="false" outlineLevel="0" collapsed="false">
      <c r="A418" s="87" t="s">
        <v>3661</v>
      </c>
      <c r="B418" s="2159" t="n">
        <f aca="false">L416</f>
        <v>2420</v>
      </c>
      <c r="C418" s="1148"/>
      <c r="D418" s="1148"/>
      <c r="E418" s="1148"/>
      <c r="F418" s="1148"/>
      <c r="G418" s="1148"/>
      <c r="H418" s="1148"/>
      <c r="I418" s="1148"/>
      <c r="J418" s="1148"/>
      <c r="K418" s="1148"/>
      <c r="L418" s="1148"/>
      <c r="M418" s="1148"/>
      <c r="N418" s="1148"/>
      <c r="O418" s="1148"/>
      <c r="P418" s="1148"/>
      <c r="Q418" s="1148"/>
      <c r="R418" s="1148"/>
    </row>
    <row r="419" customFormat="false" ht="15.5" hidden="false" customHeight="false" outlineLevel="0" collapsed="false">
      <c r="A419" s="232" t="s">
        <v>2728</v>
      </c>
      <c r="B419" s="2159" t="n">
        <f aca="false">(B417+B418)</f>
        <v>13056</v>
      </c>
      <c r="C419" s="1148"/>
      <c r="D419" s="1148"/>
      <c r="E419" s="1148"/>
      <c r="F419" s="1148"/>
      <c r="G419" s="1148"/>
      <c r="H419" s="1148"/>
      <c r="I419" s="1148"/>
      <c r="J419" s="1148"/>
      <c r="K419" s="1148"/>
      <c r="L419" s="1148"/>
      <c r="M419" s="1148"/>
      <c r="N419" s="1148"/>
      <c r="O419" s="1148"/>
      <c r="P419" s="1148"/>
      <c r="Q419" s="1148"/>
      <c r="R419" s="1148"/>
    </row>
    <row r="420" customFormat="false" ht="15.5" hidden="false" customHeight="false" outlineLevel="0" collapsed="false">
      <c r="A420" s="2146" t="s">
        <v>3937</v>
      </c>
      <c r="B420" s="2147"/>
      <c r="C420" s="2148" t="s">
        <v>3663</v>
      </c>
      <c r="D420" s="2148"/>
      <c r="E420" s="2148"/>
      <c r="F420" s="2148"/>
      <c r="G420" s="2149"/>
      <c r="H420" s="1148"/>
      <c r="I420" s="1148"/>
      <c r="J420" s="1148"/>
      <c r="K420" s="1148"/>
      <c r="L420" s="1148"/>
      <c r="M420" s="1148"/>
      <c r="N420" s="1148"/>
      <c r="O420" s="1148"/>
      <c r="P420" s="1148"/>
      <c r="Q420" s="1148"/>
      <c r="R420" s="1148"/>
    </row>
    <row r="421" customFormat="false" ht="15.5" hidden="false" customHeight="false" outlineLevel="0" collapsed="false">
      <c r="A421" s="2160"/>
      <c r="B421" s="1148"/>
      <c r="C421" s="2149"/>
      <c r="D421" s="2149"/>
      <c r="E421" s="1148"/>
      <c r="F421" s="2149"/>
      <c r="G421" s="2149"/>
      <c r="H421" s="1148"/>
      <c r="I421" s="1148"/>
      <c r="J421" s="1148"/>
      <c r="K421" s="1148"/>
      <c r="L421" s="1148"/>
      <c r="M421" s="1148"/>
      <c r="N421" s="1148"/>
      <c r="O421" s="1148"/>
      <c r="P421" s="1148"/>
      <c r="Q421" s="1148"/>
      <c r="R421" s="1148"/>
    </row>
    <row r="422" customFormat="false" ht="23.5" hidden="false" customHeight="false" outlineLevel="0" collapsed="false">
      <c r="A422" s="2161" t="s">
        <v>3938</v>
      </c>
      <c r="B422" s="2161"/>
      <c r="C422" s="2161"/>
      <c r="D422" s="2161"/>
      <c r="E422" s="2161"/>
      <c r="F422" s="2161"/>
      <c r="G422" s="2161"/>
      <c r="H422" s="2161"/>
      <c r="I422" s="2161"/>
      <c r="J422" s="784"/>
      <c r="K422" s="784"/>
      <c r="L422" s="1148"/>
      <c r="M422" s="1148"/>
      <c r="N422" s="1148"/>
      <c r="O422" s="1148"/>
      <c r="P422" s="1148"/>
      <c r="Q422" s="1148"/>
      <c r="R422" s="1148"/>
    </row>
    <row r="423" customFormat="false" ht="23.5" hidden="false" customHeight="false" outlineLevel="0" collapsed="false">
      <c r="A423" s="2161"/>
      <c r="B423" s="2161"/>
      <c r="C423" s="2161"/>
      <c r="D423" s="2161"/>
      <c r="E423" s="2161"/>
      <c r="F423" s="2161"/>
      <c r="G423" s="2161"/>
      <c r="H423" s="2161"/>
      <c r="I423" s="2161"/>
      <c r="J423" s="784"/>
      <c r="K423" s="784"/>
      <c r="L423" s="1148"/>
      <c r="M423" s="1148"/>
      <c r="N423" s="1148"/>
      <c r="O423" s="1148"/>
      <c r="P423" s="1148"/>
      <c r="Q423" s="1148"/>
      <c r="R423" s="1148"/>
    </row>
    <row r="424" customFormat="false" ht="15.5" hidden="false" customHeight="false" outlineLevel="0" collapsed="false">
      <c r="A424" s="2162" t="s">
        <v>2439</v>
      </c>
      <c r="B424" s="261" t="s">
        <v>159</v>
      </c>
      <c r="C424" s="261" t="n">
        <f aca="false">'Ввод данных'!C1156</f>
        <v>18</v>
      </c>
      <c r="D424" s="666"/>
      <c r="E424" s="666"/>
      <c r="F424" s="666"/>
      <c r="G424" s="666"/>
      <c r="H424" s="666"/>
      <c r="I424" s="666"/>
      <c r="J424" s="666"/>
      <c r="K424" s="666"/>
      <c r="L424" s="1148"/>
      <c r="M424" s="1148"/>
      <c r="N424" s="1148"/>
      <c r="O424" s="1148"/>
      <c r="P424" s="1148"/>
      <c r="Q424" s="1148"/>
      <c r="R424" s="1148"/>
    </row>
    <row r="425" customFormat="false" ht="15.5" hidden="false" customHeight="false" outlineLevel="0" collapsed="false">
      <c r="A425" s="2163" t="s">
        <v>1236</v>
      </c>
      <c r="B425" s="2163" t="s">
        <v>1094</v>
      </c>
      <c r="C425" s="2163" t="s">
        <v>1802</v>
      </c>
      <c r="D425" s="2163" t="s">
        <v>854</v>
      </c>
      <c r="E425" s="2163" t="s">
        <v>2722</v>
      </c>
      <c r="F425" s="1148"/>
      <c r="G425" s="2163" t="s">
        <v>1236</v>
      </c>
      <c r="H425" s="2163" t="s">
        <v>1094</v>
      </c>
      <c r="I425" s="2163" t="s">
        <v>1802</v>
      </c>
      <c r="J425" s="2163" t="s">
        <v>854</v>
      </c>
      <c r="K425" s="2163" t="s">
        <v>2722</v>
      </c>
      <c r="L425" s="1148"/>
      <c r="M425" s="1148"/>
      <c r="N425" s="1148"/>
      <c r="O425" s="1148"/>
      <c r="P425" s="1148"/>
      <c r="Q425" s="1148"/>
      <c r="R425" s="1148"/>
    </row>
    <row r="426" customFormat="false" ht="15.5" hidden="false" customHeight="false" outlineLevel="0" collapsed="false">
      <c r="A426" s="232" t="s">
        <v>1237</v>
      </c>
      <c r="B426" s="232" t="s">
        <v>159</v>
      </c>
      <c r="C426" s="2164" t="n">
        <f aca="false">C424</f>
        <v>18</v>
      </c>
      <c r="D426" s="2164" t="n">
        <f aca="false">'Прайс лист'!G1361</f>
        <v>400</v>
      </c>
      <c r="E426" s="2164" t="n">
        <f aca="false">C426*D426</f>
        <v>7200</v>
      </c>
      <c r="F426" s="1149"/>
      <c r="G426" s="2164" t="str">
        <f aca="false">'Прайс лист'!B1835</f>
        <v>Монтаж лестницы в доме</v>
      </c>
      <c r="H426" s="2164" t="s">
        <v>159</v>
      </c>
      <c r="I426" s="2164" t="n">
        <v>1</v>
      </c>
      <c r="J426" s="2164" t="n">
        <f aca="false">'Прайс лист'!G1835</f>
        <v>20000</v>
      </c>
      <c r="K426" s="2164" t="n">
        <f aca="false">I426*J426</f>
        <v>20000</v>
      </c>
      <c r="L426" s="1148"/>
      <c r="M426" s="1148"/>
      <c r="N426" s="1148"/>
      <c r="O426" s="1148"/>
      <c r="P426" s="1148"/>
      <c r="Q426" s="1148"/>
      <c r="R426" s="1148"/>
    </row>
    <row r="427" customFormat="false" ht="15.5" hidden="false" customHeight="false" outlineLevel="0" collapsed="false">
      <c r="A427" s="232" t="s">
        <v>1238</v>
      </c>
      <c r="B427" s="232" t="s">
        <v>159</v>
      </c>
      <c r="C427" s="2164" t="n">
        <v>1</v>
      </c>
      <c r="D427" s="2164" t="n">
        <f aca="false">'Прайс лист'!G1362</f>
        <v>2000</v>
      </c>
      <c r="E427" s="2164" t="n">
        <f aca="false">SUM(E426)</f>
        <v>7200</v>
      </c>
      <c r="F427" s="1149"/>
      <c r="G427" s="2164"/>
      <c r="H427" s="2164"/>
      <c r="I427" s="2164"/>
      <c r="J427" s="2164"/>
      <c r="K427" s="2164"/>
      <c r="L427" s="1148"/>
      <c r="M427" s="1148"/>
      <c r="N427" s="1148"/>
      <c r="O427" s="1148"/>
      <c r="P427" s="1148"/>
      <c r="Q427" s="1148"/>
      <c r="R427" s="1148"/>
    </row>
    <row r="428" customFormat="false" ht="15.5" hidden="false" customHeight="false" outlineLevel="0" collapsed="false">
      <c r="A428" s="232" t="s">
        <v>1239</v>
      </c>
      <c r="B428" s="232" t="s">
        <v>159</v>
      </c>
      <c r="C428" s="2164" t="n">
        <v>4</v>
      </c>
      <c r="D428" s="2164" t="n">
        <f aca="false">'Прайс лист'!G1363</f>
        <v>1000</v>
      </c>
      <c r="E428" s="2164" t="n">
        <f aca="false">C428*D428</f>
        <v>4000</v>
      </c>
      <c r="F428" s="1149"/>
      <c r="G428" s="2164"/>
      <c r="H428" s="2164"/>
      <c r="I428" s="2164"/>
      <c r="J428" s="2164"/>
      <c r="K428" s="2164"/>
      <c r="L428" s="1148"/>
      <c r="M428" s="1148"/>
      <c r="N428" s="1148"/>
      <c r="O428" s="1148"/>
      <c r="P428" s="1148"/>
      <c r="Q428" s="1148"/>
      <c r="R428" s="1148"/>
    </row>
    <row r="429" customFormat="false" ht="15.5" hidden="false" customHeight="false" outlineLevel="0" collapsed="false">
      <c r="A429" s="232" t="s">
        <v>1240</v>
      </c>
      <c r="B429" s="232" t="s">
        <v>159</v>
      </c>
      <c r="C429" s="2164" t="n">
        <v>1</v>
      </c>
      <c r="D429" s="2164" t="n">
        <f aca="false">'Прайс лист'!G1364</f>
        <v>900</v>
      </c>
      <c r="E429" s="2164" t="n">
        <f aca="false">C429*D429</f>
        <v>900</v>
      </c>
      <c r="F429" s="1149"/>
      <c r="G429" s="2164" t="s">
        <v>3939</v>
      </c>
      <c r="H429" s="2164"/>
      <c r="I429" s="2164"/>
      <c r="J429" s="2164"/>
      <c r="K429" s="2164"/>
      <c r="L429" s="1148"/>
      <c r="M429" s="1148"/>
      <c r="N429" s="1148"/>
      <c r="O429" s="1148"/>
      <c r="P429" s="1148"/>
      <c r="Q429" s="1148"/>
      <c r="R429" s="1148"/>
    </row>
    <row r="430" customFormat="false" ht="15.5" hidden="false" customHeight="false" outlineLevel="0" collapsed="false">
      <c r="A430" s="232" t="s">
        <v>1241</v>
      </c>
      <c r="B430" s="232" t="s">
        <v>159</v>
      </c>
      <c r="C430" s="2164" t="n">
        <v>2</v>
      </c>
      <c r="D430" s="2164" t="n">
        <f aca="false">'Прайс лист'!G1365</f>
        <v>500</v>
      </c>
      <c r="E430" s="2164" t="n">
        <f aca="false">C430*D430</f>
        <v>1000</v>
      </c>
      <c r="F430" s="1149"/>
      <c r="G430" s="2164"/>
      <c r="H430" s="2164"/>
      <c r="I430" s="2164"/>
      <c r="J430" s="2164"/>
      <c r="K430" s="2164"/>
      <c r="L430" s="1148"/>
      <c r="M430" s="1148"/>
      <c r="N430" s="1148"/>
      <c r="O430" s="1148"/>
      <c r="P430" s="1148"/>
      <c r="Q430" s="1148"/>
      <c r="R430" s="1148"/>
    </row>
    <row r="431" customFormat="false" ht="15.5" hidden="false" customHeight="false" outlineLevel="0" collapsed="false">
      <c r="A431" s="232" t="s">
        <v>1242</v>
      </c>
      <c r="B431" s="232" t="s">
        <v>159</v>
      </c>
      <c r="C431" s="2164" t="n">
        <v>4</v>
      </c>
      <c r="D431" s="2164" t="n">
        <f aca="false">'Прайс лист'!G1366</f>
        <v>1500</v>
      </c>
      <c r="E431" s="2164" t="n">
        <f aca="false">C431*D431</f>
        <v>6000</v>
      </c>
      <c r="F431" s="1149"/>
      <c r="G431" s="2164"/>
      <c r="H431" s="2164"/>
      <c r="I431" s="2164"/>
      <c r="J431" s="2164"/>
      <c r="K431" s="2164"/>
      <c r="L431" s="1148"/>
      <c r="M431" s="1148"/>
      <c r="N431" s="1148"/>
      <c r="O431" s="1148"/>
      <c r="P431" s="1148"/>
      <c r="Q431" s="1148"/>
      <c r="R431" s="1148"/>
    </row>
    <row r="432" customFormat="false" ht="15.5" hidden="false" customHeight="false" outlineLevel="0" collapsed="false">
      <c r="A432" s="232" t="s">
        <v>1243</v>
      </c>
      <c r="B432" s="232" t="s">
        <v>159</v>
      </c>
      <c r="C432" s="2164" t="n">
        <f aca="false">C426*6</f>
        <v>108</v>
      </c>
      <c r="D432" s="2164" t="n">
        <f aca="false">'Прайс лист'!G1367</f>
        <v>15</v>
      </c>
      <c r="E432" s="2164" t="n">
        <f aca="false">C432*D432</f>
        <v>1620</v>
      </c>
      <c r="F432" s="1149"/>
      <c r="G432" s="2164"/>
      <c r="H432" s="2164"/>
      <c r="I432" s="2164"/>
      <c r="J432" s="2164"/>
      <c r="K432" s="2164"/>
      <c r="L432" s="1148"/>
      <c r="M432" s="1148"/>
      <c r="N432" s="1148"/>
      <c r="O432" s="1148"/>
      <c r="P432" s="1148"/>
      <c r="Q432" s="1148"/>
      <c r="R432" s="1148"/>
    </row>
    <row r="433" customFormat="false" ht="15.5" hidden="false" customHeight="false" outlineLevel="0" collapsed="false">
      <c r="A433" s="232" t="s">
        <v>1244</v>
      </c>
      <c r="B433" s="232" t="s">
        <v>159</v>
      </c>
      <c r="C433" s="2164" t="n">
        <v>8</v>
      </c>
      <c r="D433" s="2164" t="n">
        <f aca="false">'Прайс лист'!G1368</f>
        <v>20</v>
      </c>
      <c r="E433" s="2164" t="n">
        <f aca="false">C433*D433</f>
        <v>160</v>
      </c>
      <c r="F433" s="1149"/>
      <c r="G433" s="2164"/>
      <c r="H433" s="2164"/>
      <c r="I433" s="2164"/>
      <c r="J433" s="2164"/>
      <c r="K433" s="2164"/>
      <c r="L433" s="1148"/>
      <c r="M433" s="1148"/>
      <c r="N433" s="1148"/>
      <c r="O433" s="1148"/>
      <c r="P433" s="1148"/>
      <c r="Q433" s="1148"/>
      <c r="R433" s="1148"/>
    </row>
    <row r="434" customFormat="false" ht="15.5" hidden="false" customHeight="false" outlineLevel="0" collapsed="false">
      <c r="A434" s="232" t="s">
        <v>1245</v>
      </c>
      <c r="B434" s="232" t="s">
        <v>159</v>
      </c>
      <c r="C434" s="2164" t="n">
        <v>4</v>
      </c>
      <c r="D434" s="2164" t="n">
        <f aca="false">'Прайс лист'!G1369</f>
        <v>200</v>
      </c>
      <c r="E434" s="2164" t="n">
        <f aca="false">C434*D434</f>
        <v>800</v>
      </c>
      <c r="F434" s="1149"/>
      <c r="G434" s="2164"/>
      <c r="H434" s="2164"/>
      <c r="I434" s="2164"/>
      <c r="J434" s="2164"/>
      <c r="K434" s="2164"/>
      <c r="L434" s="1148"/>
      <c r="M434" s="1148"/>
      <c r="N434" s="1148"/>
      <c r="O434" s="1148"/>
      <c r="P434" s="1148"/>
      <c r="Q434" s="1148"/>
      <c r="R434" s="1148"/>
    </row>
    <row r="435" customFormat="false" ht="15.5" hidden="false" customHeight="false" outlineLevel="0" collapsed="false">
      <c r="A435" s="232" t="s">
        <v>1246</v>
      </c>
      <c r="B435" s="232" t="s">
        <v>159</v>
      </c>
      <c r="C435" s="2164" t="n">
        <f aca="false">25</f>
        <v>25</v>
      </c>
      <c r="D435" s="2164" t="n">
        <f aca="false">'Прайс лист'!G1370</f>
        <v>100</v>
      </c>
      <c r="E435" s="2164" t="n">
        <f aca="false">C435*D435</f>
        <v>2500</v>
      </c>
      <c r="F435" s="1149"/>
      <c r="G435" s="2164"/>
      <c r="H435" s="2164"/>
      <c r="I435" s="2164"/>
      <c r="J435" s="2164"/>
      <c r="K435" s="2164"/>
      <c r="L435" s="1148"/>
      <c r="M435" s="1148"/>
      <c r="N435" s="1148"/>
      <c r="O435" s="1148"/>
      <c r="P435" s="1148"/>
      <c r="Q435" s="1148"/>
      <c r="R435" s="1148"/>
    </row>
    <row r="436" customFormat="false" ht="15.5" hidden="false" customHeight="false" outlineLevel="0" collapsed="false">
      <c r="A436" s="232" t="str">
        <f aca="false">'Ввод данных'!A1158</f>
        <v>Нет техники</v>
      </c>
      <c r="B436" s="232" t="str">
        <f aca="false">'Ввод данных'!B1158</f>
        <v>час</v>
      </c>
      <c r="C436" s="232" t="n">
        <f aca="false">'Ввод данных'!C1158</f>
        <v>0</v>
      </c>
      <c r="D436" s="2164" t="n">
        <f aca="false">VLOOKUP(A436,'Прайс лист'!B180:G194,6,0)</f>
        <v>0</v>
      </c>
      <c r="E436" s="2164" t="n">
        <f aca="false">C436*D436</f>
        <v>0</v>
      </c>
      <c r="F436" s="1149"/>
      <c r="G436" s="2164"/>
      <c r="H436" s="2164"/>
      <c r="I436" s="2164"/>
      <c r="J436" s="2164"/>
      <c r="K436" s="2164"/>
      <c r="L436" s="1148"/>
      <c r="M436" s="1148"/>
      <c r="N436" s="1148"/>
      <c r="O436" s="1148"/>
      <c r="P436" s="1148"/>
      <c r="Q436" s="1148"/>
      <c r="R436" s="1148"/>
    </row>
    <row r="437" customFormat="false" ht="15.5" hidden="false" customHeight="false" outlineLevel="0" collapsed="false">
      <c r="A437" s="232" t="str">
        <f aca="false">'Ввод данных'!A1159</f>
        <v>Нет техники</v>
      </c>
      <c r="B437" s="232" t="str">
        <f aca="false">'Ввод данных'!B1159</f>
        <v>шт</v>
      </c>
      <c r="C437" s="232" t="n">
        <f aca="false">'Ввод данных'!C1159</f>
        <v>3</v>
      </c>
      <c r="D437" s="2164" t="n">
        <f aca="false">VLOOKUP(A437,'Прайс лист'!B180:G194,6,0)</f>
        <v>0</v>
      </c>
      <c r="E437" s="2164" t="n">
        <f aca="false">C437*D437</f>
        <v>0</v>
      </c>
      <c r="F437" s="1149"/>
      <c r="G437" s="2164"/>
      <c r="H437" s="2164"/>
      <c r="I437" s="2164"/>
      <c r="J437" s="2164"/>
      <c r="K437" s="2164"/>
      <c r="L437" s="1148"/>
      <c r="M437" s="1148"/>
      <c r="N437" s="1148"/>
      <c r="O437" s="1148"/>
      <c r="P437" s="1148"/>
      <c r="Q437" s="1148"/>
      <c r="R437" s="1148"/>
    </row>
    <row r="438" customFormat="false" ht="15.5" hidden="false" customHeight="false" outlineLevel="0" collapsed="false">
      <c r="A438" s="232" t="str">
        <f aca="false">'Ввод данных'!A1161</f>
        <v>расходные материалы лестница</v>
      </c>
      <c r="B438" s="232" t="str">
        <f aca="false">'Ввод данных'!B1161</f>
        <v>рублей</v>
      </c>
      <c r="C438" s="232" t="n">
        <f aca="false">1</f>
        <v>1</v>
      </c>
      <c r="D438" s="2164" t="n">
        <f aca="false">'Ввод данных'!C1161</f>
        <v>5000</v>
      </c>
      <c r="E438" s="2164" t="n">
        <f aca="false">C438*D438</f>
        <v>5000</v>
      </c>
      <c r="F438" s="1149"/>
      <c r="G438" s="2165"/>
      <c r="H438" s="2165"/>
      <c r="I438" s="2165"/>
      <c r="J438" s="2165"/>
      <c r="K438" s="2164"/>
      <c r="L438" s="1148"/>
      <c r="M438" s="1148"/>
      <c r="N438" s="1148"/>
      <c r="O438" s="1148"/>
      <c r="P438" s="1148"/>
      <c r="Q438" s="1148"/>
      <c r="R438" s="1148"/>
    </row>
    <row r="439" customFormat="false" ht="15.5" hidden="false" customHeight="false" outlineLevel="0" collapsed="false">
      <c r="A439" s="2116"/>
      <c r="B439" s="2116"/>
      <c r="C439" s="2165"/>
      <c r="D439" s="2165"/>
      <c r="E439" s="2166" t="n">
        <f aca="false">SUM(E428:E437)</f>
        <v>16980</v>
      </c>
      <c r="F439" s="1149"/>
      <c r="G439" s="2165"/>
      <c r="H439" s="2165"/>
      <c r="I439" s="2165"/>
      <c r="J439" s="2165"/>
      <c r="K439" s="2164" t="n">
        <f aca="false">SUM(K426:K437)</f>
        <v>20000</v>
      </c>
      <c r="L439" s="1148"/>
      <c r="M439" s="1148"/>
      <c r="N439" s="1148"/>
      <c r="O439" s="1148"/>
      <c r="P439" s="1148"/>
      <c r="Q439" s="1148"/>
      <c r="R439" s="1148"/>
    </row>
    <row r="440" customFormat="false" ht="15.5" hidden="false" customHeight="false" outlineLevel="0" collapsed="false">
      <c r="A440" s="232" t="s">
        <v>3940</v>
      </c>
      <c r="B440" s="2159" t="n">
        <f aca="false">E439</f>
        <v>16980</v>
      </c>
      <c r="C440" s="1148"/>
      <c r="D440" s="1148"/>
      <c r="E440" s="1148"/>
      <c r="F440" s="1148"/>
      <c r="G440" s="1148"/>
      <c r="H440" s="1148"/>
      <c r="I440" s="1148"/>
      <c r="J440" s="1148"/>
      <c r="K440" s="1148"/>
      <c r="L440" s="1148"/>
      <c r="M440" s="1148"/>
      <c r="N440" s="1148"/>
      <c r="O440" s="1148"/>
      <c r="P440" s="1148"/>
      <c r="Q440" s="1148"/>
      <c r="R440" s="1148"/>
    </row>
    <row r="441" customFormat="false" ht="15.5" hidden="false" customHeight="false" outlineLevel="0" collapsed="false">
      <c r="A441" s="232" t="s">
        <v>3941</v>
      </c>
      <c r="B441" s="2159" t="n">
        <f aca="false">K439</f>
        <v>20000</v>
      </c>
      <c r="C441" s="1148"/>
      <c r="D441" s="1148"/>
      <c r="E441" s="1148"/>
      <c r="F441" s="1148"/>
      <c r="G441" s="1148"/>
      <c r="H441" s="1148"/>
      <c r="I441" s="1148"/>
      <c r="J441" s="1148"/>
      <c r="K441" s="1148"/>
      <c r="L441" s="1148"/>
      <c r="M441" s="1148"/>
      <c r="N441" s="1148"/>
      <c r="O441" s="1148"/>
      <c r="P441" s="1148"/>
      <c r="Q441" s="1148"/>
      <c r="R441" s="1148"/>
    </row>
    <row r="442" customFormat="false" ht="15.5" hidden="false" customHeight="false" outlineLevel="0" collapsed="false">
      <c r="A442" s="232" t="s">
        <v>2728</v>
      </c>
      <c r="B442" s="2159" t="n">
        <f aca="false">(B440+B441)*B443</f>
        <v>0</v>
      </c>
      <c r="C442" s="1148"/>
      <c r="D442" s="1148"/>
      <c r="E442" s="1148"/>
      <c r="F442" s="1148"/>
      <c r="G442" s="1148"/>
      <c r="H442" s="1148"/>
      <c r="I442" s="1148"/>
      <c r="J442" s="1148"/>
      <c r="K442" s="1148"/>
      <c r="L442" s="1148"/>
      <c r="M442" s="1148"/>
      <c r="N442" s="1148"/>
      <c r="O442" s="1148"/>
      <c r="P442" s="1148"/>
      <c r="Q442" s="1148"/>
      <c r="R442" s="1148"/>
    </row>
    <row r="443" customFormat="false" ht="15.5" hidden="false" customHeight="false" outlineLevel="0" collapsed="false">
      <c r="A443" s="2167" t="s">
        <v>3942</v>
      </c>
      <c r="B443" s="2147"/>
      <c r="C443" s="2148" t="s">
        <v>3663</v>
      </c>
      <c r="D443" s="2148"/>
      <c r="E443" s="2148"/>
      <c r="F443" s="2148"/>
      <c r="G443" s="2149"/>
      <c r="H443" s="1148"/>
      <c r="I443" s="1148"/>
      <c r="J443" s="1148"/>
      <c r="K443" s="1148"/>
      <c r="L443" s="1148"/>
      <c r="M443" s="1148"/>
      <c r="N443" s="1148"/>
      <c r="O443" s="1148"/>
      <c r="P443" s="1148"/>
      <c r="Q443" s="1148"/>
      <c r="R443" s="1148"/>
    </row>
    <row r="444" customFormat="false" ht="15.5" hidden="false" customHeight="false" outlineLevel="0" collapsed="false">
      <c r="A444" s="2160"/>
      <c r="B444" s="1148"/>
      <c r="C444" s="2149"/>
      <c r="D444" s="2149"/>
      <c r="E444" s="1148"/>
      <c r="F444" s="2149"/>
      <c r="G444" s="2149"/>
      <c r="H444" s="1148"/>
      <c r="I444" s="1148"/>
      <c r="J444" s="1148"/>
      <c r="K444" s="1148"/>
      <c r="L444" s="1148"/>
      <c r="M444" s="1148"/>
      <c r="N444" s="1148"/>
      <c r="O444" s="1148"/>
      <c r="P444" s="1148"/>
      <c r="Q444" s="1148"/>
      <c r="R444" s="1148"/>
    </row>
    <row r="445" customFormat="false" ht="15.5" hidden="false" customHeight="false" outlineLevel="0" collapsed="false">
      <c r="A445" s="2168" t="s">
        <v>1247</v>
      </c>
      <c r="B445" s="2168"/>
      <c r="C445" s="2168"/>
      <c r="D445" s="2168"/>
      <c r="E445" s="2168"/>
      <c r="F445" s="2168"/>
      <c r="G445" s="2168"/>
      <c r="H445" s="2168"/>
      <c r="I445" s="2168"/>
      <c r="J445" s="1148"/>
      <c r="K445" s="1148"/>
      <c r="L445" s="1148"/>
      <c r="M445" s="1148"/>
      <c r="N445" s="1148"/>
      <c r="O445" s="1148"/>
      <c r="P445" s="1148"/>
      <c r="Q445" s="1148"/>
      <c r="R445" s="1148"/>
    </row>
    <row r="446" customFormat="false" ht="15.5" hidden="false" customHeight="false" outlineLevel="0" collapsed="false">
      <c r="A446" s="2168"/>
      <c r="B446" s="2168"/>
      <c r="C446" s="2168"/>
      <c r="D446" s="2168"/>
      <c r="E446" s="2168"/>
      <c r="F446" s="2168"/>
      <c r="G446" s="2168"/>
      <c r="H446" s="2168"/>
      <c r="I446" s="2168"/>
      <c r="J446" s="1148"/>
      <c r="K446" s="1148"/>
      <c r="L446" s="1148"/>
      <c r="M446" s="1148"/>
      <c r="N446" s="1148"/>
      <c r="O446" s="1148"/>
      <c r="P446" s="1148"/>
      <c r="Q446" s="1148"/>
      <c r="R446" s="1148"/>
    </row>
    <row r="447" customFormat="false" ht="23.5" hidden="false" customHeight="false" outlineLevel="0" collapsed="false">
      <c r="A447" s="2151" t="s">
        <v>1806</v>
      </c>
      <c r="B447" s="2151"/>
      <c r="C447" s="2151"/>
      <c r="D447" s="2151"/>
      <c r="E447" s="2151"/>
      <c r="F447" s="2151"/>
      <c r="G447" s="2169" t="n">
        <f aca="false">'Ввод данных'!D1167</f>
        <v>1</v>
      </c>
      <c r="H447" s="855" t="n">
        <f aca="false">'Ввод данных'!D1168</f>
        <v>1</v>
      </c>
      <c r="I447" s="1148"/>
      <c r="J447" s="1148"/>
      <c r="K447" s="1148"/>
      <c r="L447" s="1148"/>
      <c r="M447" s="1148"/>
      <c r="N447" s="1148"/>
      <c r="O447" s="1148"/>
      <c r="P447" s="1148"/>
      <c r="Q447" s="1148"/>
      <c r="R447" s="1148"/>
    </row>
    <row r="448" customFormat="false" ht="23.5" hidden="false" customHeight="false" outlineLevel="0" collapsed="false">
      <c r="A448" s="2151"/>
      <c r="B448" s="2151"/>
      <c r="C448" s="2151"/>
      <c r="D448" s="2151"/>
      <c r="E448" s="2151"/>
      <c r="F448" s="2151"/>
      <c r="G448" s="2153"/>
      <c r="H448" s="855"/>
      <c r="I448" s="1148"/>
      <c r="J448" s="1148"/>
      <c r="K448" s="1148"/>
      <c r="L448" s="1148"/>
      <c r="M448" s="1148"/>
      <c r="N448" s="1148"/>
      <c r="O448" s="1148"/>
      <c r="P448" s="1148"/>
      <c r="Q448" s="1148"/>
      <c r="R448" s="1148"/>
    </row>
    <row r="449" customFormat="false" ht="23.5" hidden="false" customHeight="false" outlineLevel="0" collapsed="false">
      <c r="A449" s="263" t="s">
        <v>2467</v>
      </c>
      <c r="B449" s="263" t="s">
        <v>208</v>
      </c>
      <c r="C449" s="263" t="s">
        <v>1802</v>
      </c>
      <c r="D449" s="263" t="s">
        <v>1820</v>
      </c>
      <c r="E449" s="855"/>
      <c r="F449" s="855"/>
      <c r="G449" s="855"/>
      <c r="H449" s="855"/>
      <c r="I449" s="1148"/>
      <c r="J449" s="1148"/>
      <c r="K449" s="1148"/>
      <c r="L449" s="1148"/>
      <c r="M449" s="1148"/>
      <c r="N449" s="1148"/>
      <c r="O449" s="1148"/>
      <c r="P449" s="1148"/>
      <c r="Q449" s="1148"/>
      <c r="R449" s="1148"/>
    </row>
    <row r="450" customFormat="false" ht="23.5" hidden="false" customHeight="false" outlineLevel="0" collapsed="false">
      <c r="A450" s="232" t="s">
        <v>3943</v>
      </c>
      <c r="B450" s="232" t="s">
        <v>156</v>
      </c>
      <c r="C450" s="232" t="n">
        <f aca="false">C497*2.05</f>
        <v>243.54</v>
      </c>
      <c r="D450" s="2117"/>
      <c r="E450" s="855"/>
      <c r="F450" s="855"/>
      <c r="G450" s="855"/>
      <c r="H450" s="855"/>
      <c r="I450" s="1148"/>
      <c r="J450" s="1148"/>
      <c r="K450" s="1148"/>
      <c r="L450" s="1148"/>
      <c r="M450" s="1148"/>
      <c r="N450" s="1148"/>
      <c r="O450" s="1148"/>
      <c r="P450" s="1148"/>
      <c r="Q450" s="1148"/>
      <c r="R450" s="1148"/>
    </row>
    <row r="451" customFormat="false" ht="23.5" hidden="false" customHeight="false" outlineLevel="0" collapsed="false">
      <c r="A451" s="261" t="s">
        <v>1248</v>
      </c>
      <c r="B451" s="261" t="s">
        <v>133</v>
      </c>
      <c r="C451" s="264" t="n">
        <f aca="false">C497</f>
        <v>118.8</v>
      </c>
      <c r="D451" s="2117" t="n">
        <f aca="false">IF('Ввод данных'!A1171=связи1!A19,1,0)</f>
        <v>1</v>
      </c>
      <c r="E451" s="855"/>
      <c r="F451" s="855"/>
      <c r="G451" s="855"/>
      <c r="H451" s="855"/>
      <c r="I451" s="1148"/>
      <c r="J451" s="1148"/>
      <c r="K451" s="1148"/>
      <c r="L451" s="1148"/>
      <c r="M451" s="1148"/>
      <c r="N451" s="1148"/>
      <c r="O451" s="1148"/>
      <c r="P451" s="1148"/>
      <c r="Q451" s="1148"/>
      <c r="R451" s="1148"/>
    </row>
    <row r="452" customFormat="false" ht="15.5" hidden="false" customHeight="false" outlineLevel="0" collapsed="false">
      <c r="A452" s="122" t="s">
        <v>1249</v>
      </c>
      <c r="B452" s="232" t="s">
        <v>133</v>
      </c>
      <c r="C452" s="232" t="n">
        <f aca="false">C497</f>
        <v>118.8</v>
      </c>
      <c r="D452" s="2117" t="n">
        <f aca="false">IF('Ввод данных'!A1171=связи1!A20,1,0)</f>
        <v>0</v>
      </c>
      <c r="E452" s="1148"/>
      <c r="F452" s="2149"/>
      <c r="G452" s="2149"/>
      <c r="H452" s="1148"/>
      <c r="I452" s="1148"/>
      <c r="J452" s="1148"/>
      <c r="K452" s="1148"/>
      <c r="L452" s="1148"/>
      <c r="M452" s="1148"/>
      <c r="N452" s="1148"/>
      <c r="O452" s="1148"/>
      <c r="P452" s="1148"/>
      <c r="Q452" s="1148"/>
      <c r="R452" s="1148"/>
    </row>
    <row r="453" customFormat="false" ht="15.5" hidden="false" customHeight="false" outlineLevel="0" collapsed="false">
      <c r="A453" s="232" t="s">
        <v>1253</v>
      </c>
      <c r="B453" s="232" t="s">
        <v>133</v>
      </c>
      <c r="C453" s="264" t="n">
        <f aca="false">C497</f>
        <v>118.8</v>
      </c>
      <c r="D453" s="2117" t="n">
        <f aca="false">IF('Ввод данных'!A1171=связи1!A21,1,0)</f>
        <v>0</v>
      </c>
      <c r="E453" s="1148"/>
      <c r="F453" s="2149"/>
      <c r="G453" s="2149"/>
      <c r="H453" s="1148"/>
      <c r="I453" s="1148"/>
      <c r="J453" s="1148"/>
      <c r="K453" s="1148"/>
      <c r="L453" s="1148"/>
      <c r="M453" s="1148"/>
      <c r="N453" s="1148"/>
      <c r="O453" s="1148"/>
      <c r="P453" s="1148"/>
      <c r="Q453" s="1148"/>
      <c r="R453" s="1148"/>
    </row>
    <row r="454" customFormat="false" ht="15.5" hidden="false" customHeight="false" outlineLevel="0" collapsed="false">
      <c r="A454" s="232" t="s">
        <v>1255</v>
      </c>
      <c r="B454" s="232" t="s">
        <v>133</v>
      </c>
      <c r="C454" s="264" t="n">
        <f aca="false">C497</f>
        <v>118.8</v>
      </c>
      <c r="D454" s="2117" t="n">
        <f aca="false">IF('Ввод данных'!A1171=связи1!A22,IF('Ввод данных'!A1173='Прайс лист'!B697,1,0)+IF('Ввод данных'!A1173='Прайс лист'!B698,1,0)+IF('Ввод данных'!A1173='Прайс лист'!B699,1,0)+IF('Ввод данных'!A1173='Прайс лист'!B700,1,0)+IF('Ввод данных'!A1173='Прайс лист'!B701,1,0)+IF('Ввод данных'!A1173='Прайс лист'!B702,1,0),0)</f>
        <v>0</v>
      </c>
      <c r="E454" s="1148"/>
      <c r="F454" s="2149"/>
      <c r="G454" s="2149"/>
      <c r="H454" s="1148"/>
      <c r="I454" s="1148"/>
      <c r="J454" s="1148"/>
      <c r="K454" s="1148"/>
      <c r="L454" s="1148"/>
      <c r="M454" s="1148"/>
      <c r="N454" s="1148"/>
      <c r="O454" s="1148"/>
      <c r="P454" s="1148"/>
      <c r="Q454" s="1148"/>
      <c r="R454" s="1148"/>
    </row>
    <row r="455" customFormat="false" ht="15.5" hidden="false" customHeight="false" outlineLevel="0" collapsed="false">
      <c r="A455" s="232" t="s">
        <v>1256</v>
      </c>
      <c r="B455" s="232" t="s">
        <v>133</v>
      </c>
      <c r="C455" s="264" t="n">
        <f aca="false">C497</f>
        <v>118.8</v>
      </c>
      <c r="D455" s="2117" t="n">
        <f aca="false">IF('Ввод данных'!A1171=связи1!A22,IF('Ввод данных'!A1173='Прайс лист'!B685,1,0)+IF('Ввод данных'!A1173='Прайс лист'!B686,1,0)+IF('Ввод данных'!A1173='Прайс лист'!B687,1,0)+IF('Ввод данных'!A1173='Прайс лист'!B688,1,0)+IF('Ввод данных'!A1173='Прайс лист'!B689,1,0)+IF('Ввод данных'!A1173='Прайс лист'!B690,1,0),0)</f>
        <v>0</v>
      </c>
      <c r="E455" s="1148"/>
      <c r="F455" s="2149"/>
      <c r="G455" s="2149"/>
      <c r="H455" s="1148"/>
      <c r="I455" s="1148"/>
      <c r="J455" s="1148"/>
      <c r="K455" s="1148"/>
      <c r="L455" s="1148"/>
      <c r="M455" s="1148"/>
      <c r="N455" s="1148"/>
      <c r="O455" s="1148"/>
      <c r="P455" s="1148"/>
      <c r="Q455" s="1148"/>
      <c r="R455" s="1148"/>
    </row>
    <row r="456" customFormat="false" ht="15.5" hidden="false" customHeight="false" outlineLevel="0" collapsed="false">
      <c r="A456" s="232" t="s">
        <v>1257</v>
      </c>
      <c r="B456" s="232" t="s">
        <v>159</v>
      </c>
      <c r="C456" s="264" t="n">
        <f aca="false">C455*10</f>
        <v>1188</v>
      </c>
      <c r="D456" s="2117" t="n">
        <f aca="false">D455</f>
        <v>0</v>
      </c>
      <c r="E456" s="1148"/>
      <c r="F456" s="2149"/>
      <c r="G456" s="2149"/>
      <c r="H456" s="1148"/>
      <c r="I456" s="1148"/>
      <c r="J456" s="1148"/>
      <c r="K456" s="1148"/>
      <c r="L456" s="1148"/>
      <c r="M456" s="1148"/>
      <c r="N456" s="1148"/>
      <c r="O456" s="1148"/>
      <c r="P456" s="1148"/>
      <c r="Q456" s="1148"/>
      <c r="R456" s="1148"/>
    </row>
    <row r="457" customFormat="false" ht="15.5" hidden="false" customHeight="false" outlineLevel="0" collapsed="false">
      <c r="A457" s="261" t="s">
        <v>3944</v>
      </c>
      <c r="B457" s="232" t="s">
        <v>133</v>
      </c>
      <c r="C457" s="232" t="n">
        <f aca="false">C497*1.05</f>
        <v>124.74</v>
      </c>
      <c r="D457" s="2117" t="n">
        <f aca="false">IF('Ввод данных'!A1171=связи1!A24,1,0)</f>
        <v>0</v>
      </c>
      <c r="E457" s="1148"/>
      <c r="F457" s="2149"/>
      <c r="G457" s="2149"/>
      <c r="H457" s="1148"/>
      <c r="I457" s="1148"/>
      <c r="J457" s="1148"/>
      <c r="K457" s="1148"/>
      <c r="L457" s="1148"/>
      <c r="M457" s="1148"/>
      <c r="N457" s="1148"/>
      <c r="O457" s="1148"/>
      <c r="P457" s="1148"/>
      <c r="Q457" s="1148"/>
      <c r="R457" s="1148"/>
    </row>
    <row r="458" customFormat="false" ht="15.5" hidden="false" customHeight="false" outlineLevel="0" collapsed="false">
      <c r="A458" s="261" t="s">
        <v>3945</v>
      </c>
      <c r="B458" s="232" t="s">
        <v>133</v>
      </c>
      <c r="C458" s="232" t="n">
        <f aca="false">C497</f>
        <v>118.8</v>
      </c>
      <c r="D458" s="2117" t="n">
        <f aca="false">IF('Ввод данных'!A1171=связи1!A25,1,0)</f>
        <v>0</v>
      </c>
      <c r="E458" s="1148"/>
      <c r="F458" s="2149"/>
      <c r="G458" s="2149"/>
      <c r="H458" s="1148"/>
      <c r="I458" s="1148"/>
      <c r="J458" s="1148"/>
      <c r="K458" s="1148"/>
      <c r="L458" s="1148"/>
      <c r="M458" s="1148"/>
      <c r="N458" s="1148"/>
      <c r="O458" s="1148"/>
      <c r="P458" s="1148"/>
      <c r="Q458" s="1148"/>
      <c r="R458" s="1148"/>
    </row>
    <row r="459" customFormat="false" ht="15.5" hidden="false" customHeight="false" outlineLevel="0" collapsed="false">
      <c r="A459" s="261" t="s">
        <v>3946</v>
      </c>
      <c r="B459" s="232" t="s">
        <v>133</v>
      </c>
      <c r="C459" s="232" t="n">
        <f aca="false">C457</f>
        <v>124.74</v>
      </c>
      <c r="D459" s="2117" t="n">
        <f aca="false">IF('Ввод данных'!A1171=связи1!A18,1,0)</f>
        <v>0</v>
      </c>
      <c r="E459" s="1148"/>
      <c r="F459" s="2149"/>
      <c r="G459" s="2149"/>
      <c r="H459" s="1148"/>
      <c r="I459" s="1148"/>
      <c r="J459" s="1148"/>
      <c r="K459" s="1148"/>
      <c r="L459" s="1148"/>
      <c r="M459" s="1148"/>
      <c r="N459" s="1148"/>
      <c r="O459" s="1148"/>
      <c r="P459" s="1148"/>
      <c r="Q459" s="1148"/>
      <c r="R459" s="1148"/>
    </row>
    <row r="460" customFormat="false" ht="15.5" hidden="false" customHeight="false" outlineLevel="0" collapsed="false">
      <c r="A460" s="261" t="s">
        <v>3947</v>
      </c>
      <c r="B460" s="232" t="s">
        <v>133</v>
      </c>
      <c r="C460" s="232" t="n">
        <f aca="false">C451</f>
        <v>118.8</v>
      </c>
      <c r="D460" s="2117" t="n">
        <f aca="false">IF('Ввод данных'!A1171=связи1!A22,IF('Ввод данных'!A1173='Прайс лист'!B691,1,0)+IF('Ввод данных'!A1173='Прайс лист'!B692,1,0)+IF('Ввод данных'!A1173='Прайс лист'!B693,1,0)+IF('Ввод данных'!A1173='Прайс лист'!B694,1,0)+IF('Ввод данных'!A1173='Прайс лист'!B695,1,0)+IF('Ввод данных'!A1173='Прайс лист'!B696,1,0),0)</f>
        <v>0</v>
      </c>
      <c r="E460" s="1148"/>
      <c r="F460" s="2149"/>
      <c r="G460" s="2149"/>
      <c r="H460" s="1148"/>
      <c r="I460" s="1148"/>
      <c r="J460" s="1148"/>
      <c r="K460" s="1148"/>
      <c r="L460" s="1148"/>
      <c r="M460" s="1148"/>
      <c r="N460" s="1148"/>
      <c r="O460" s="1148"/>
      <c r="P460" s="1148"/>
      <c r="Q460" s="1148"/>
      <c r="R460" s="1148"/>
    </row>
    <row r="461" customFormat="false" ht="15.5" hidden="false" customHeight="false" outlineLevel="0" collapsed="false">
      <c r="A461" s="261" t="s">
        <v>3948</v>
      </c>
      <c r="B461" s="232" t="s">
        <v>133</v>
      </c>
      <c r="C461" s="232" t="n">
        <f aca="false">C460</f>
        <v>118.8</v>
      </c>
      <c r="D461" s="2117" t="n">
        <f aca="false">IF('Ввод данных'!A1171=связи1!A22,IF('Ввод данных'!A1173='Прайс лист'!B712,1,0)+IF('Ввод данных'!A1173='Прайс лист'!B713,1,0)+IF('Ввод данных'!A1173='Прайс лист'!B714,1,0),0)</f>
        <v>0</v>
      </c>
      <c r="E461" s="1148"/>
      <c r="F461" s="2149"/>
      <c r="G461" s="2149"/>
      <c r="H461" s="1148"/>
      <c r="I461" s="1148"/>
      <c r="J461" s="1148"/>
      <c r="K461" s="1148"/>
      <c r="L461" s="1148"/>
      <c r="M461" s="1148"/>
      <c r="N461" s="1148"/>
      <c r="O461" s="1148"/>
      <c r="P461" s="1148"/>
      <c r="Q461" s="1148"/>
      <c r="R461" s="1148"/>
    </row>
    <row r="462" customFormat="false" ht="15.5" hidden="false" customHeight="false" outlineLevel="0" collapsed="false">
      <c r="A462" s="261" t="s">
        <v>3949</v>
      </c>
      <c r="B462" s="232" t="s">
        <v>133</v>
      </c>
      <c r="C462" s="232" t="n">
        <f aca="false">C461</f>
        <v>118.8</v>
      </c>
      <c r="D462" s="2117" t="n">
        <f aca="false">IF('Ввод данных'!A1171=связи1!A22,IF('Ввод данных'!A1173='Прайс лист'!B709,1,0)+IF('Ввод данных'!A1173='Прайс лист'!B710,1,0)+IF('Ввод данных'!A1173='Прайс лист'!B711,1,0),0)</f>
        <v>0</v>
      </c>
      <c r="E462" s="1148"/>
      <c r="F462" s="2149"/>
      <c r="G462" s="2149"/>
      <c r="H462" s="1148"/>
      <c r="I462" s="1148"/>
      <c r="J462" s="1148"/>
      <c r="K462" s="1148"/>
      <c r="L462" s="1148"/>
      <c r="M462" s="1148"/>
      <c r="N462" s="1148"/>
      <c r="O462" s="1148"/>
      <c r="P462" s="1148"/>
      <c r="Q462" s="1148"/>
      <c r="R462" s="1148"/>
    </row>
    <row r="463" customFormat="false" ht="15.5" hidden="false" customHeight="false" outlineLevel="0" collapsed="false">
      <c r="A463" s="261" t="s">
        <v>3950</v>
      </c>
      <c r="B463" s="232" t="s">
        <v>133</v>
      </c>
      <c r="C463" s="232" t="n">
        <f aca="false">C462</f>
        <v>118.8</v>
      </c>
      <c r="D463" s="2117" t="n">
        <f aca="false">IF('Ввод данных'!A1171=связи1!A22,IF('Ввод данных'!A1173='Прайс лист'!B703,1,0)+IF('Ввод данных'!A1173='Прайс лист'!B704,1,0)+IF('Ввод данных'!A1173='Прайс лист'!B705,1,0)+IF('Ввод данных'!A1173='Прайс лист'!B706,1,0)+IF('Ввод данных'!A1173='Прайс лист'!B707,1,0)+IF('Ввод данных'!A1173='Прайс лист'!B708,1,0),0)</f>
        <v>0</v>
      </c>
      <c r="E463" s="1148"/>
      <c r="F463" s="2149"/>
      <c r="G463" s="2149"/>
      <c r="H463" s="1148"/>
      <c r="I463" s="1148"/>
      <c r="J463" s="1148"/>
      <c r="K463" s="1148"/>
      <c r="L463" s="1148"/>
      <c r="M463" s="1148"/>
      <c r="N463" s="1148"/>
      <c r="O463" s="1148"/>
      <c r="P463" s="1148"/>
      <c r="Q463" s="1148"/>
      <c r="R463" s="1148"/>
    </row>
    <row r="464" customFormat="false" ht="15.5" hidden="false" customHeight="false" outlineLevel="0" collapsed="false">
      <c r="A464" s="232" t="s">
        <v>3951</v>
      </c>
      <c r="B464" s="232"/>
      <c r="C464" s="232"/>
      <c r="D464" s="2117" t="n">
        <f aca="false">IF('Ввод данных'!A1171=связи1!A23,1,0)</f>
        <v>0</v>
      </c>
      <c r="E464" s="1148"/>
      <c r="F464" s="2149"/>
      <c r="G464" s="2149"/>
      <c r="H464" s="1148"/>
      <c r="I464" s="1148"/>
      <c r="J464" s="1148"/>
      <c r="K464" s="1148"/>
      <c r="L464" s="1148"/>
      <c r="M464" s="1148"/>
      <c r="N464" s="1148"/>
      <c r="O464" s="1148"/>
      <c r="P464" s="1148"/>
      <c r="Q464" s="1148"/>
      <c r="R464" s="1148"/>
    </row>
    <row r="465" customFormat="false" ht="15.5" hidden="false" customHeight="false" outlineLevel="0" collapsed="false">
      <c r="A465" s="232" t="s">
        <v>2449</v>
      </c>
      <c r="B465" s="232" t="s">
        <v>156</v>
      </c>
      <c r="C465" s="2117" t="n">
        <f aca="false">'Ввод данных'!C1182</f>
        <v>0.2</v>
      </c>
      <c r="D465" s="2116"/>
      <c r="E465" s="1148"/>
      <c r="F465" s="2149"/>
      <c r="G465" s="2149"/>
      <c r="H465" s="1148"/>
      <c r="I465" s="1148"/>
      <c r="J465" s="1148"/>
      <c r="K465" s="1148"/>
      <c r="L465" s="1148"/>
      <c r="M465" s="1148"/>
      <c r="N465" s="1148"/>
      <c r="O465" s="1148"/>
      <c r="P465" s="1148"/>
      <c r="Q465" s="1148"/>
      <c r="R465" s="1148"/>
    </row>
    <row r="466" customFormat="false" ht="15.5" hidden="false" customHeight="false" outlineLevel="0" collapsed="false">
      <c r="A466" s="232" t="s">
        <v>3952</v>
      </c>
      <c r="B466" s="232" t="s">
        <v>156</v>
      </c>
      <c r="C466" s="232" t="n">
        <f aca="false">E340+(F340*(B340-1))+0.4</f>
        <v>3.4</v>
      </c>
      <c r="D466" s="2116"/>
      <c r="E466" s="1148"/>
      <c r="F466" s="2149"/>
      <c r="G466" s="2149"/>
      <c r="H466" s="1148"/>
      <c r="I466" s="1148"/>
      <c r="J466" s="1148"/>
      <c r="K466" s="1148"/>
      <c r="L466" s="1148"/>
      <c r="M466" s="1148"/>
      <c r="N466" s="1148"/>
      <c r="O466" s="1148"/>
      <c r="P466" s="1148"/>
      <c r="Q466" s="1148"/>
      <c r="R466" s="1148"/>
    </row>
    <row r="467" customFormat="false" ht="15.5" hidden="false" customHeight="false" outlineLevel="0" collapsed="false">
      <c r="A467" s="232" t="s">
        <v>3953</v>
      </c>
      <c r="B467" s="232" t="s">
        <v>133</v>
      </c>
      <c r="C467" s="232" t="n">
        <f aca="false">C466*C465*8</f>
        <v>5.44</v>
      </c>
      <c r="D467" s="2116"/>
      <c r="E467" s="1148"/>
      <c r="F467" s="2149"/>
      <c r="G467" s="2149"/>
      <c r="H467" s="1148"/>
      <c r="I467" s="1148"/>
      <c r="J467" s="1148"/>
      <c r="K467" s="1148"/>
      <c r="L467" s="1148"/>
      <c r="M467" s="1148"/>
      <c r="N467" s="1148"/>
      <c r="O467" s="1148"/>
      <c r="P467" s="1148"/>
      <c r="Q467" s="1148"/>
      <c r="R467" s="1148"/>
    </row>
    <row r="468" customFormat="false" ht="15.5" hidden="false" customHeight="false" outlineLevel="0" collapsed="false">
      <c r="A468" s="232" t="s">
        <v>3954</v>
      </c>
      <c r="B468" s="232" t="s">
        <v>133</v>
      </c>
      <c r="C468" s="232" t="n">
        <f aca="false">C497-C467</f>
        <v>113.36</v>
      </c>
      <c r="D468" s="2116"/>
      <c r="E468" s="1148"/>
      <c r="F468" s="2149"/>
      <c r="G468" s="2149"/>
      <c r="H468" s="1148"/>
      <c r="I468" s="1148"/>
      <c r="J468" s="1148"/>
      <c r="K468" s="1148"/>
      <c r="L468" s="1148"/>
      <c r="M468" s="1148"/>
      <c r="N468" s="1148"/>
      <c r="O468" s="1148"/>
      <c r="P468" s="1148"/>
      <c r="Q468" s="1148"/>
      <c r="R468" s="1148"/>
    </row>
    <row r="469" customFormat="false" ht="15.5" hidden="false" customHeight="false" outlineLevel="0" collapsed="false">
      <c r="A469" s="232" t="s">
        <v>3955</v>
      </c>
      <c r="B469" s="232" t="s">
        <v>133</v>
      </c>
      <c r="C469" s="232" t="n">
        <f aca="false">C467</f>
        <v>5.44</v>
      </c>
      <c r="D469" s="2117" t="n">
        <f aca="false">D464</f>
        <v>0</v>
      </c>
      <c r="E469" s="1148"/>
      <c r="F469" s="2149"/>
      <c r="G469" s="2149"/>
      <c r="H469" s="1148"/>
      <c r="I469" s="1148"/>
      <c r="J469" s="1148"/>
      <c r="K469" s="1148"/>
      <c r="L469" s="1148"/>
      <c r="M469" s="1148"/>
      <c r="N469" s="1148"/>
      <c r="O469" s="1148"/>
      <c r="P469" s="1148"/>
      <c r="Q469" s="1148"/>
      <c r="R469" s="1148"/>
    </row>
    <row r="470" customFormat="false" ht="15.5" hidden="false" customHeight="false" outlineLevel="0" collapsed="false">
      <c r="A470" s="232" t="s">
        <v>3956</v>
      </c>
      <c r="B470" s="232" t="s">
        <v>133</v>
      </c>
      <c r="C470" s="232" t="n">
        <f aca="false">C497</f>
        <v>118.8</v>
      </c>
      <c r="D470" s="2117" t="n">
        <v>0</v>
      </c>
      <c r="E470" s="1148"/>
      <c r="F470" s="2149"/>
      <c r="G470" s="2149"/>
      <c r="H470" s="1148"/>
      <c r="I470" s="1148"/>
      <c r="J470" s="1148"/>
      <c r="K470" s="1148"/>
      <c r="L470" s="1148"/>
      <c r="M470" s="1148"/>
      <c r="N470" s="1148"/>
      <c r="O470" s="1148"/>
      <c r="P470" s="1148"/>
      <c r="Q470" s="1148"/>
      <c r="R470" s="1148"/>
    </row>
    <row r="471" customFormat="false" ht="15.5" hidden="false" customHeight="false" outlineLevel="0" collapsed="false">
      <c r="A471" s="232" t="s">
        <v>3957</v>
      </c>
      <c r="B471" s="232" t="s">
        <v>133</v>
      </c>
      <c r="C471" s="232" t="n">
        <f aca="false">C497</f>
        <v>118.8</v>
      </c>
      <c r="D471" s="2117" t="n">
        <v>0</v>
      </c>
      <c r="E471" s="1148"/>
      <c r="F471" s="2149"/>
      <c r="G471" s="2149"/>
      <c r="H471" s="1148"/>
      <c r="I471" s="1148"/>
      <c r="J471" s="1148"/>
      <c r="K471" s="1148"/>
      <c r="L471" s="1148"/>
      <c r="M471" s="1148"/>
      <c r="N471" s="1148"/>
      <c r="O471" s="1148"/>
      <c r="P471" s="1148"/>
      <c r="Q471" s="1148"/>
      <c r="R471" s="1148"/>
    </row>
    <row r="472" customFormat="false" ht="15.5" hidden="false" customHeight="false" outlineLevel="0" collapsed="false">
      <c r="A472" s="232" t="s">
        <v>3958</v>
      </c>
      <c r="B472" s="232" t="s">
        <v>133</v>
      </c>
      <c r="C472" s="232" t="n">
        <f aca="false">C497</f>
        <v>118.8</v>
      </c>
      <c r="D472" s="2117" t="n">
        <v>0</v>
      </c>
      <c r="E472" s="1148"/>
      <c r="F472" s="2149"/>
      <c r="G472" s="2149"/>
      <c r="H472" s="1148"/>
      <c r="I472" s="1148"/>
      <c r="J472" s="1148"/>
      <c r="K472" s="1148"/>
      <c r="L472" s="1148"/>
      <c r="M472" s="1148"/>
      <c r="N472" s="1148"/>
      <c r="O472" s="1148"/>
      <c r="P472" s="1148"/>
      <c r="Q472" s="1148"/>
      <c r="R472" s="1148"/>
    </row>
    <row r="473" customFormat="false" ht="15.5" hidden="false" customHeight="false" outlineLevel="0" collapsed="false">
      <c r="A473" s="232" t="s">
        <v>2455</v>
      </c>
      <c r="B473" s="232" t="s">
        <v>133</v>
      </c>
      <c r="C473" s="232" t="n">
        <f aca="false">C497</f>
        <v>118.8</v>
      </c>
      <c r="D473" s="2117" t="n">
        <f aca="false">VLOOKUP('Ввод данных'!C1191,связи1!A2:B3,2,0)</f>
        <v>1</v>
      </c>
      <c r="E473" s="1148"/>
      <c r="F473" s="2149"/>
      <c r="G473" s="2149"/>
      <c r="H473" s="1148"/>
      <c r="I473" s="1148"/>
      <c r="J473" s="1148"/>
      <c r="K473" s="1148"/>
      <c r="L473" s="1148"/>
      <c r="M473" s="1148"/>
      <c r="N473" s="1148"/>
      <c r="O473" s="1148"/>
      <c r="P473" s="1148"/>
      <c r="Q473" s="1148"/>
      <c r="R473" s="1148"/>
    </row>
    <row r="474" customFormat="false" ht="15.5" hidden="false" customHeight="false" outlineLevel="0" collapsed="false">
      <c r="A474" s="2170" t="s">
        <v>2456</v>
      </c>
      <c r="B474" s="2171"/>
      <c r="C474" s="2172"/>
      <c r="D474" s="2172" t="n">
        <f aca="false">VLOOKUP('Ввод данных'!C1193,связи1!A2:B3,2,0)</f>
        <v>1</v>
      </c>
      <c r="E474" s="1148"/>
      <c r="F474" s="2149"/>
      <c r="G474" s="2149"/>
      <c r="H474" s="1148"/>
      <c r="I474" s="1148"/>
      <c r="J474" s="1148"/>
      <c r="K474" s="1148"/>
      <c r="L474" s="1148"/>
      <c r="M474" s="1148"/>
      <c r="N474" s="1148"/>
      <c r="O474" s="1148"/>
      <c r="P474" s="1148"/>
      <c r="Q474" s="1148"/>
      <c r="R474" s="1148"/>
    </row>
    <row r="475" customFormat="false" ht="15.5" hidden="false" customHeight="false" outlineLevel="0" collapsed="false">
      <c r="A475" s="87" t="s">
        <v>2459</v>
      </c>
      <c r="B475" s="232" t="s">
        <v>156</v>
      </c>
      <c r="C475" s="2117" t="n">
        <f aca="false">'Ввод данных'!C1202</f>
        <v>0.4</v>
      </c>
      <c r="D475" s="2173"/>
      <c r="E475" s="1148"/>
      <c r="F475" s="2149"/>
      <c r="G475" s="2149"/>
      <c r="H475" s="1148"/>
      <c r="I475" s="1148"/>
      <c r="J475" s="1148"/>
      <c r="K475" s="1148"/>
      <c r="L475" s="1148"/>
      <c r="M475" s="1148"/>
      <c r="N475" s="1148"/>
      <c r="O475" s="1148"/>
      <c r="P475" s="1148"/>
      <c r="Q475" s="1148"/>
      <c r="R475" s="1148"/>
    </row>
    <row r="476" customFormat="false" ht="15.5" hidden="false" customHeight="false" outlineLevel="0" collapsed="false">
      <c r="A476" s="87" t="s">
        <v>3959</v>
      </c>
      <c r="B476" s="232" t="s">
        <v>156</v>
      </c>
      <c r="C476" s="2119" t="n">
        <f aca="false">дома!C1113+пристройка!D2*пристройка!C33*2+дома!D1229*(дома!C1238+дома!C1239+дома!C1239+дома!C1240*дома!D1240*2-дома!C1245)</f>
        <v>56</v>
      </c>
      <c r="D476" s="2173"/>
      <c r="E476" s="1148"/>
      <c r="F476" s="2149"/>
      <c r="G476" s="2149"/>
      <c r="H476" s="1148"/>
      <c r="I476" s="1148"/>
      <c r="J476" s="1148"/>
      <c r="K476" s="1148"/>
      <c r="L476" s="1148"/>
      <c r="M476" s="1148"/>
      <c r="N476" s="1148"/>
      <c r="O476" s="1148"/>
      <c r="P476" s="1148"/>
      <c r="Q476" s="1148"/>
      <c r="R476" s="1148"/>
    </row>
    <row r="477" customFormat="false" ht="15.5" hidden="false" customHeight="false" outlineLevel="0" collapsed="false">
      <c r="A477" s="87" t="s">
        <v>1260</v>
      </c>
      <c r="B477" s="232" t="s">
        <v>156</v>
      </c>
      <c r="C477" s="2119" t="n">
        <f aca="false">C476</f>
        <v>56</v>
      </c>
      <c r="D477" s="2117" t="n">
        <f aca="false">VLOOKUP('Ввод данных'!C1203,связи1!A2:B3,2,0)</f>
        <v>1</v>
      </c>
      <c r="E477" s="1148"/>
      <c r="F477" s="2149"/>
      <c r="G477" s="2149"/>
      <c r="H477" s="1148"/>
      <c r="I477" s="1148"/>
      <c r="J477" s="1148"/>
      <c r="K477" s="1148"/>
      <c r="L477" s="1148"/>
      <c r="M477" s="1148"/>
      <c r="N477" s="1148"/>
      <c r="O477" s="1148"/>
      <c r="P477" s="1148"/>
      <c r="Q477" s="1148"/>
      <c r="R477" s="1148"/>
    </row>
    <row r="478" customFormat="false" ht="15.5" hidden="false" customHeight="false" outlineLevel="0" collapsed="false">
      <c r="A478" s="122" t="s">
        <v>1253</v>
      </c>
      <c r="B478" s="232" t="s">
        <v>133</v>
      </c>
      <c r="C478" s="2119" t="n">
        <f aca="false">C476*C475</f>
        <v>22.4</v>
      </c>
      <c r="D478" s="2117" t="n">
        <f aca="false">IF('Ввод данных'!A1195=связи1!A28,1,0)</f>
        <v>0</v>
      </c>
      <c r="E478" s="1148"/>
      <c r="F478" s="2149"/>
      <c r="G478" s="2149"/>
      <c r="H478" s="1148"/>
      <c r="I478" s="1148"/>
      <c r="J478" s="1148"/>
      <c r="K478" s="1148"/>
      <c r="L478" s="1148"/>
      <c r="M478" s="1148"/>
      <c r="N478" s="1148"/>
      <c r="O478" s="1148"/>
      <c r="P478" s="1148"/>
      <c r="Q478" s="1148"/>
      <c r="R478" s="1148"/>
    </row>
    <row r="479" customFormat="false" ht="15.5" hidden="false" customHeight="false" outlineLevel="0" collapsed="false">
      <c r="A479" s="122" t="s">
        <v>1261</v>
      </c>
      <c r="B479" s="232" t="s">
        <v>133</v>
      </c>
      <c r="C479" s="2119" t="n">
        <f aca="false">C478</f>
        <v>22.4</v>
      </c>
      <c r="D479" s="2117" t="n">
        <f aca="false">IF('Ввод данных'!A1195=связи1!A29,1,0)</f>
        <v>1</v>
      </c>
      <c r="E479" s="1148"/>
      <c r="F479" s="2149"/>
      <c r="G479" s="2149"/>
      <c r="H479" s="1148"/>
      <c r="I479" s="1148"/>
      <c r="J479" s="1148"/>
      <c r="K479" s="1148"/>
      <c r="L479" s="1148"/>
      <c r="M479" s="1148"/>
      <c r="N479" s="1148"/>
      <c r="O479" s="1148"/>
      <c r="P479" s="1148"/>
      <c r="Q479" s="1148"/>
      <c r="R479" s="1148"/>
    </row>
    <row r="480" customFormat="false" ht="15.5" hidden="false" customHeight="false" outlineLevel="0" collapsed="false">
      <c r="A480" s="122" t="s">
        <v>1258</v>
      </c>
      <c r="B480" s="232" t="s">
        <v>133</v>
      </c>
      <c r="C480" s="2119" t="n">
        <f aca="false">C478</f>
        <v>22.4</v>
      </c>
      <c r="D480" s="2117" t="n">
        <f aca="false">IF('Ввод данных'!A1195=связи1!A30,1,0)</f>
        <v>0</v>
      </c>
      <c r="E480" s="1148"/>
      <c r="F480" s="2149"/>
      <c r="G480" s="2149"/>
      <c r="H480" s="1148"/>
      <c r="I480" s="1148"/>
      <c r="J480" s="1148"/>
      <c r="K480" s="1148"/>
      <c r="L480" s="1148"/>
      <c r="M480" s="1148"/>
      <c r="N480" s="1148"/>
      <c r="O480" s="1148"/>
      <c r="P480" s="1148"/>
      <c r="Q480" s="1148"/>
      <c r="R480" s="1148"/>
    </row>
    <row r="481" customFormat="false" ht="15.5" hidden="false" customHeight="false" outlineLevel="0" collapsed="false">
      <c r="A481" s="232" t="s">
        <v>3943</v>
      </c>
      <c r="B481" s="232" t="s">
        <v>156</v>
      </c>
      <c r="C481" s="2119" t="n">
        <f aca="false">((C476/0.6)+1)*C475*1.2</f>
        <v>45.28</v>
      </c>
      <c r="D481" s="2117" t="n">
        <f aca="false">IF('Ввод данных'!A1197=связи1!A13,1,0)</f>
        <v>0</v>
      </c>
      <c r="E481" s="1148"/>
      <c r="F481" s="2149"/>
      <c r="G481" s="2149"/>
      <c r="H481" s="1148"/>
      <c r="I481" s="1148"/>
      <c r="J481" s="1148"/>
      <c r="K481" s="1148"/>
      <c r="L481" s="1148"/>
      <c r="M481" s="1148"/>
      <c r="N481" s="1148"/>
      <c r="O481" s="1148"/>
      <c r="P481" s="1148"/>
      <c r="Q481" s="1148"/>
      <c r="R481" s="1148"/>
    </row>
    <row r="482" customFormat="false" ht="15.5" hidden="false" customHeight="false" outlineLevel="0" collapsed="false">
      <c r="A482" s="232" t="s">
        <v>3960</v>
      </c>
      <c r="B482" s="232" t="s">
        <v>156</v>
      </c>
      <c r="C482" s="2119" t="n">
        <f aca="false">C481</f>
        <v>45.28</v>
      </c>
      <c r="D482" s="2117" t="n">
        <f aca="false">IF('Ввод данных'!A1197=связи1!A14,1,0)</f>
        <v>0</v>
      </c>
      <c r="E482" s="1148"/>
      <c r="F482" s="2149"/>
      <c r="G482" s="2149"/>
      <c r="H482" s="1148"/>
      <c r="I482" s="1148"/>
      <c r="J482" s="1148"/>
      <c r="K482" s="1148"/>
      <c r="L482" s="1148"/>
      <c r="M482" s="1148"/>
      <c r="N482" s="1148"/>
      <c r="O482" s="1148"/>
      <c r="P482" s="1148"/>
      <c r="Q482" s="1148"/>
      <c r="R482" s="1148"/>
    </row>
    <row r="483" customFormat="false" ht="15.5" hidden="false" customHeight="false" outlineLevel="0" collapsed="false">
      <c r="A483" s="232" t="s">
        <v>3961</v>
      </c>
      <c r="B483" s="232" t="s">
        <v>133</v>
      </c>
      <c r="C483" s="2119" t="n">
        <f aca="false">C478</f>
        <v>22.4</v>
      </c>
      <c r="D483" s="2117" t="n">
        <f aca="false">D480</f>
        <v>0</v>
      </c>
      <c r="E483" s="1148"/>
      <c r="F483" s="2149"/>
      <c r="G483" s="2149"/>
      <c r="H483" s="1148"/>
      <c r="I483" s="1148"/>
      <c r="J483" s="1148"/>
      <c r="K483" s="1148"/>
      <c r="L483" s="1148"/>
      <c r="M483" s="1148"/>
      <c r="N483" s="1148"/>
      <c r="O483" s="1148"/>
      <c r="P483" s="1148"/>
      <c r="Q483" s="1148"/>
      <c r="R483" s="1148"/>
    </row>
    <row r="484" customFormat="false" ht="15.5" hidden="false" customHeight="false" outlineLevel="0" collapsed="false">
      <c r="A484" s="261" t="s">
        <v>3962</v>
      </c>
      <c r="B484" s="232" t="s">
        <v>156</v>
      </c>
      <c r="C484" s="232"/>
      <c r="D484" s="2117" t="n">
        <v>1</v>
      </c>
      <c r="E484" s="1148"/>
      <c r="F484" s="2149"/>
      <c r="G484" s="2149"/>
      <c r="H484" s="1148"/>
      <c r="I484" s="1148"/>
      <c r="J484" s="1148"/>
      <c r="K484" s="1148"/>
      <c r="L484" s="1148"/>
      <c r="M484" s="1148"/>
      <c r="N484" s="1148"/>
      <c r="O484" s="1148"/>
      <c r="P484" s="1148"/>
      <c r="Q484" s="1148"/>
      <c r="R484" s="1148"/>
    </row>
    <row r="485" customFormat="false" ht="15.5" hidden="false" customHeight="false" outlineLevel="0" collapsed="false">
      <c r="A485" s="88" t="s">
        <v>3963</v>
      </c>
      <c r="B485" s="2116"/>
      <c r="C485" s="2173"/>
      <c r="D485" s="2173"/>
      <c r="E485" s="1148"/>
      <c r="F485" s="2149"/>
      <c r="G485" s="2149"/>
      <c r="H485" s="1148"/>
      <c r="I485" s="1148"/>
      <c r="J485" s="1148"/>
      <c r="K485" s="1148"/>
      <c r="L485" s="1148"/>
      <c r="M485" s="1148"/>
      <c r="N485" s="1148"/>
      <c r="O485" s="1148"/>
      <c r="P485" s="1148"/>
      <c r="Q485" s="1148"/>
      <c r="R485" s="1148"/>
    </row>
    <row r="486" customFormat="false" ht="15.5" hidden="false" customHeight="false" outlineLevel="0" collapsed="false">
      <c r="A486" s="2174" t="s">
        <v>2460</v>
      </c>
      <c r="B486" s="2174" t="s">
        <v>133</v>
      </c>
      <c r="C486" s="2172" t="n">
        <f aca="false">дома!C1387</f>
        <v>0</v>
      </c>
      <c r="D486" s="2174" t="n">
        <f aca="false">VLOOKUP('Ввод данных'!C1205,связи1!A2:B3,2,0)</f>
        <v>1</v>
      </c>
      <c r="E486" s="1148"/>
      <c r="F486" s="2149"/>
      <c r="G486" s="2149"/>
      <c r="H486" s="1148"/>
      <c r="I486" s="1148"/>
      <c r="J486" s="1148"/>
      <c r="K486" s="1148"/>
      <c r="L486" s="1148"/>
      <c r="M486" s="1148"/>
      <c r="N486" s="1148"/>
      <c r="O486" s="1148"/>
      <c r="P486" s="1148"/>
      <c r="Q486" s="1148"/>
      <c r="R486" s="1148"/>
    </row>
    <row r="487" customFormat="false" ht="15.5" hidden="false" customHeight="false" outlineLevel="0" collapsed="false">
      <c r="A487" s="232" t="s">
        <v>1256</v>
      </c>
      <c r="B487" s="232" t="s">
        <v>133</v>
      </c>
      <c r="C487" s="2119" t="n">
        <f aca="false">C486</f>
        <v>0</v>
      </c>
      <c r="D487" s="2117" t="n">
        <f aca="false">IF('Ввод данных'!A1207=связи1!H4,1,0)</f>
        <v>1</v>
      </c>
      <c r="E487" s="1148"/>
      <c r="F487" s="2149"/>
      <c r="G487" s="2149"/>
      <c r="H487" s="1148"/>
      <c r="I487" s="1148"/>
      <c r="J487" s="1148"/>
      <c r="K487" s="1148"/>
      <c r="L487" s="1148"/>
      <c r="M487" s="1148"/>
      <c r="N487" s="1148"/>
      <c r="O487" s="1148"/>
      <c r="P487" s="1148"/>
      <c r="Q487" s="1148"/>
      <c r="R487" s="1148"/>
    </row>
    <row r="488" customFormat="false" ht="15.5" hidden="false" customHeight="false" outlineLevel="0" collapsed="false">
      <c r="A488" s="232" t="s">
        <v>1574</v>
      </c>
      <c r="B488" s="232" t="s">
        <v>133</v>
      </c>
      <c r="C488" s="2119" t="n">
        <f aca="false">C486</f>
        <v>0</v>
      </c>
      <c r="D488" s="2117" t="n">
        <f aca="false">IF('Ввод данных'!A1207=связи1!H5,1,0)</f>
        <v>0</v>
      </c>
      <c r="E488" s="1148"/>
      <c r="F488" s="2149"/>
      <c r="G488" s="2149"/>
      <c r="H488" s="1148"/>
      <c r="I488" s="1148"/>
      <c r="J488" s="1148"/>
      <c r="K488" s="1148"/>
      <c r="L488" s="1148"/>
      <c r="M488" s="1148"/>
      <c r="N488" s="1148"/>
      <c r="O488" s="1148"/>
      <c r="P488" s="1148"/>
      <c r="Q488" s="1148"/>
      <c r="R488" s="1148"/>
    </row>
    <row r="489" customFormat="false" ht="15.5" hidden="false" customHeight="false" outlineLevel="0" collapsed="false">
      <c r="A489" s="1121" t="s">
        <v>3626</v>
      </c>
      <c r="B489" s="1121"/>
      <c r="C489" s="1121"/>
      <c r="D489" s="2149"/>
      <c r="E489" s="1148"/>
      <c r="F489" s="2149"/>
      <c r="G489" s="2149"/>
      <c r="H489" s="1148"/>
      <c r="I489" s="1148"/>
      <c r="J489" s="1148"/>
      <c r="K489" s="1148"/>
      <c r="L489" s="1148"/>
      <c r="M489" s="1148"/>
      <c r="N489" s="1148"/>
      <c r="O489" s="1148"/>
      <c r="P489" s="1148"/>
      <c r="Q489" s="1148"/>
      <c r="R489" s="1148"/>
    </row>
    <row r="490" customFormat="false" ht="15.5" hidden="false" customHeight="false" outlineLevel="0" collapsed="false">
      <c r="A490" s="87" t="s">
        <v>3678</v>
      </c>
      <c r="B490" s="232" t="s">
        <v>133</v>
      </c>
      <c r="C490" s="89" t="n">
        <f aca="false">дома!C1364</f>
        <v>100</v>
      </c>
      <c r="D490" s="2149"/>
      <c r="E490" s="1148"/>
      <c r="F490" s="2149"/>
      <c r="G490" s="2149"/>
      <c r="H490" s="1148"/>
      <c r="I490" s="1148"/>
      <c r="J490" s="1148"/>
      <c r="K490" s="1148"/>
      <c r="L490" s="1148"/>
      <c r="M490" s="1148"/>
      <c r="N490" s="1148"/>
      <c r="O490" s="1148"/>
      <c r="P490" s="1148"/>
      <c r="Q490" s="1148"/>
      <c r="R490" s="1148"/>
    </row>
    <row r="491" customFormat="false" ht="15.5" hidden="false" customHeight="false" outlineLevel="0" collapsed="false">
      <c r="A491" s="87" t="s">
        <v>3628</v>
      </c>
      <c r="B491" s="232" t="s">
        <v>133</v>
      </c>
      <c r="C491" s="89" t="n">
        <f aca="false">C616</f>
        <v>190.43</v>
      </c>
      <c r="D491" s="2149"/>
      <c r="E491" s="1148"/>
      <c r="F491" s="2149"/>
      <c r="G491" s="2149"/>
      <c r="H491" s="1148"/>
      <c r="I491" s="1148"/>
      <c r="J491" s="1148"/>
      <c r="K491" s="1148"/>
      <c r="L491" s="1148"/>
      <c r="M491" s="1148"/>
      <c r="N491" s="1148"/>
      <c r="O491" s="1148"/>
      <c r="P491" s="1148"/>
      <c r="Q491" s="1148"/>
      <c r="R491" s="1148"/>
    </row>
    <row r="492" customFormat="false" ht="15.5" hidden="false" customHeight="false" outlineLevel="0" collapsed="false">
      <c r="A492" s="87" t="s">
        <v>3680</v>
      </c>
      <c r="B492" s="232" t="s">
        <v>156</v>
      </c>
      <c r="C492" s="89" t="n">
        <f aca="false">дома!C1366</f>
        <v>56</v>
      </c>
      <c r="D492" s="2149"/>
      <c r="E492" s="1148"/>
      <c r="F492" s="2149"/>
      <c r="G492" s="2149"/>
      <c r="H492" s="1148"/>
      <c r="I492" s="1148"/>
      <c r="J492" s="1148"/>
      <c r="K492" s="1148"/>
      <c r="L492" s="1148"/>
      <c r="M492" s="1148"/>
      <c r="N492" s="1148"/>
      <c r="O492" s="1148"/>
      <c r="P492" s="1148"/>
      <c r="Q492" s="1148"/>
      <c r="R492" s="1148"/>
    </row>
    <row r="493" customFormat="false" ht="15.5" hidden="false" customHeight="false" outlineLevel="0" collapsed="false">
      <c r="A493" s="87" t="s">
        <v>3752</v>
      </c>
      <c r="B493" s="232" t="s">
        <v>156</v>
      </c>
      <c r="C493" s="89" t="n">
        <f aca="false">дома!C1367</f>
        <v>40</v>
      </c>
      <c r="D493" s="2149"/>
      <c r="E493" s="1148"/>
      <c r="F493" s="2149"/>
      <c r="G493" s="2149"/>
      <c r="H493" s="1148"/>
      <c r="I493" s="1148"/>
      <c r="J493" s="1148"/>
      <c r="K493" s="1148"/>
      <c r="L493" s="1148"/>
      <c r="M493" s="1148"/>
      <c r="N493" s="1148"/>
      <c r="O493" s="1148"/>
      <c r="P493" s="1148"/>
      <c r="Q493" s="1148"/>
      <c r="R493" s="1148"/>
    </row>
    <row r="494" customFormat="false" ht="15.5" hidden="false" customHeight="false" outlineLevel="0" collapsed="false">
      <c r="A494" s="87" t="s">
        <v>3755</v>
      </c>
      <c r="B494" s="232" t="s">
        <v>156</v>
      </c>
      <c r="C494" s="89" t="n">
        <f aca="false">дома!C1368</f>
        <v>16</v>
      </c>
      <c r="D494" s="2149"/>
      <c r="E494" s="1148"/>
      <c r="F494" s="2149"/>
      <c r="G494" s="2149"/>
      <c r="H494" s="1148"/>
      <c r="I494" s="1148"/>
      <c r="J494" s="1148"/>
      <c r="K494" s="1148"/>
      <c r="L494" s="1148"/>
      <c r="M494" s="1148"/>
      <c r="N494" s="1148"/>
      <c r="O494" s="1148"/>
      <c r="P494" s="1148"/>
      <c r="Q494" s="1148"/>
      <c r="R494" s="1148"/>
    </row>
    <row r="495" customFormat="false" ht="15.5" hidden="false" customHeight="false" outlineLevel="0" collapsed="false">
      <c r="A495" s="87"/>
      <c r="B495" s="232"/>
      <c r="C495" s="89" t="n">
        <f aca="false">дома!C1369</f>
        <v>7.8</v>
      </c>
      <c r="D495" s="2149"/>
      <c r="E495" s="1148"/>
      <c r="F495" s="2149"/>
      <c r="G495" s="2149"/>
      <c r="H495" s="1148"/>
      <c r="I495" s="1148"/>
      <c r="J495" s="1148"/>
      <c r="K495" s="1148"/>
      <c r="L495" s="1148"/>
      <c r="M495" s="1148"/>
      <c r="N495" s="1148"/>
      <c r="O495" s="1148"/>
      <c r="P495" s="1148"/>
      <c r="Q495" s="1148"/>
      <c r="R495" s="1148"/>
    </row>
    <row r="496" customFormat="false" ht="15.5" hidden="false" customHeight="false" outlineLevel="0" collapsed="false">
      <c r="A496" s="87" t="s">
        <v>3633</v>
      </c>
      <c r="B496" s="232" t="s">
        <v>133</v>
      </c>
      <c r="C496" s="89" t="n">
        <f aca="false">дома!S93</f>
        <v>118.8</v>
      </c>
      <c r="D496" s="2149"/>
      <c r="E496" s="1148"/>
      <c r="F496" s="2149"/>
      <c r="G496" s="2149"/>
      <c r="H496" s="1148"/>
      <c r="I496" s="1148"/>
      <c r="J496" s="1148"/>
      <c r="K496" s="1148"/>
      <c r="L496" s="1148"/>
      <c r="M496" s="1148"/>
      <c r="N496" s="1148"/>
      <c r="O496" s="1148"/>
      <c r="P496" s="1148"/>
      <c r="Q496" s="1148"/>
      <c r="R496" s="1148"/>
    </row>
    <row r="497" customFormat="false" ht="15.5" hidden="false" customHeight="false" outlineLevel="0" collapsed="false">
      <c r="A497" s="87" t="s">
        <v>3687</v>
      </c>
      <c r="B497" s="232" t="s">
        <v>133</v>
      </c>
      <c r="C497" s="89" t="n">
        <f aca="false">C496</f>
        <v>118.8</v>
      </c>
      <c r="D497" s="2149"/>
      <c r="E497" s="1148"/>
      <c r="F497" s="2149"/>
      <c r="G497" s="2149"/>
      <c r="H497" s="1148"/>
      <c r="I497" s="1148"/>
      <c r="J497" s="1148"/>
      <c r="K497" s="1148"/>
      <c r="L497" s="1148"/>
      <c r="M497" s="1148"/>
      <c r="N497" s="1148"/>
      <c r="O497" s="1148"/>
      <c r="P497" s="1148"/>
      <c r="Q497" s="1148"/>
      <c r="R497" s="1148"/>
    </row>
    <row r="498" customFormat="false" ht="15.5" hidden="false" customHeight="false" outlineLevel="0" collapsed="false">
      <c r="A498" s="87" t="s">
        <v>3802</v>
      </c>
      <c r="B498" s="232" t="s">
        <v>133</v>
      </c>
      <c r="C498" s="89" t="n">
        <f aca="false">дома!C1373</f>
        <v>0</v>
      </c>
      <c r="D498" s="2149"/>
      <c r="E498" s="1148"/>
      <c r="F498" s="2149"/>
      <c r="G498" s="2149"/>
      <c r="H498" s="1148"/>
      <c r="I498" s="1148"/>
      <c r="J498" s="1148"/>
      <c r="K498" s="1148"/>
      <c r="L498" s="1148"/>
      <c r="M498" s="1148"/>
      <c r="N498" s="1148"/>
      <c r="O498" s="1148"/>
      <c r="P498" s="1148"/>
      <c r="Q498" s="1148"/>
      <c r="R498" s="1148"/>
    </row>
    <row r="499" customFormat="false" ht="15.5" hidden="false" customHeight="false" outlineLevel="0" collapsed="false">
      <c r="A499" s="87" t="s">
        <v>3638</v>
      </c>
      <c r="B499" s="232" t="s">
        <v>133</v>
      </c>
      <c r="C499" s="89" t="n">
        <f aca="false">дома!C1375</f>
        <v>0</v>
      </c>
      <c r="D499" s="2149"/>
      <c r="E499" s="1148"/>
      <c r="F499" s="2149"/>
      <c r="G499" s="2149"/>
      <c r="H499" s="1148"/>
      <c r="I499" s="1148"/>
      <c r="J499" s="1148"/>
      <c r="K499" s="1148"/>
      <c r="L499" s="1148"/>
      <c r="M499" s="1148"/>
      <c r="N499" s="1148"/>
      <c r="O499" s="1148"/>
      <c r="P499" s="1148"/>
      <c r="Q499" s="1148"/>
      <c r="R499" s="1148"/>
    </row>
    <row r="500" customFormat="false" ht="15.5" hidden="false" customHeight="false" outlineLevel="0" collapsed="false">
      <c r="A500" s="2142" t="s">
        <v>3645</v>
      </c>
      <c r="B500" s="232" t="s">
        <v>133</v>
      </c>
      <c r="C500" s="89" t="n">
        <f aca="false">дома!C1382</f>
        <v>0</v>
      </c>
      <c r="D500" s="2149"/>
      <c r="E500" s="1148"/>
      <c r="F500" s="2149"/>
      <c r="G500" s="2149"/>
      <c r="H500" s="1148"/>
      <c r="I500" s="1148"/>
      <c r="J500" s="1148"/>
      <c r="K500" s="1148"/>
      <c r="L500" s="1148"/>
      <c r="M500" s="1148"/>
      <c r="N500" s="1148"/>
      <c r="O500" s="1148"/>
      <c r="P500" s="1148"/>
      <c r="Q500" s="1148"/>
      <c r="R500" s="1148"/>
    </row>
    <row r="501" customFormat="false" ht="15.5" hidden="false" customHeight="true" outlineLevel="0" collapsed="false">
      <c r="A501" s="2175" t="s">
        <v>3543</v>
      </c>
      <c r="B501" s="2175"/>
      <c r="C501" s="2175"/>
      <c r="D501" s="2149"/>
      <c r="E501" s="1148"/>
      <c r="F501" s="2149"/>
      <c r="G501" s="2149"/>
      <c r="H501" s="1148"/>
      <c r="I501" s="1148"/>
      <c r="J501" s="1148"/>
      <c r="K501" s="1148"/>
      <c r="L501" s="1148"/>
      <c r="M501" s="1148"/>
      <c r="N501" s="1148"/>
      <c r="O501" s="1148"/>
      <c r="P501" s="1148"/>
      <c r="Q501" s="1148"/>
      <c r="R501" s="1148"/>
    </row>
    <row r="502" customFormat="false" ht="15.5" hidden="false" customHeight="false" outlineLevel="0" collapsed="false">
      <c r="A502" s="232" t="s">
        <v>2623</v>
      </c>
      <c r="B502" s="232" t="s">
        <v>133</v>
      </c>
      <c r="C502" s="89" t="n">
        <f aca="false">дома!C1384</f>
        <v>0</v>
      </c>
      <c r="D502" s="2149"/>
      <c r="E502" s="1148"/>
      <c r="F502" s="2149"/>
      <c r="G502" s="2149"/>
      <c r="H502" s="1148"/>
      <c r="I502" s="1148"/>
      <c r="J502" s="1148"/>
      <c r="K502" s="1148"/>
      <c r="L502" s="1148"/>
      <c r="M502" s="1148"/>
      <c r="N502" s="1148"/>
      <c r="O502" s="1148"/>
      <c r="P502" s="1148"/>
      <c r="Q502" s="1148"/>
      <c r="R502" s="1148"/>
    </row>
    <row r="503" customFormat="false" ht="15.5" hidden="false" customHeight="false" outlineLevel="0" collapsed="false">
      <c r="A503" s="232" t="s">
        <v>1546</v>
      </c>
      <c r="B503" s="232" t="s">
        <v>156</v>
      </c>
      <c r="C503" s="89" t="n">
        <f aca="false">D340+C506+C506</f>
        <v>10</v>
      </c>
      <c r="D503" s="2149"/>
      <c r="E503" s="1148"/>
      <c r="F503" s="2149"/>
      <c r="G503" s="2149"/>
      <c r="H503" s="1148"/>
      <c r="I503" s="1148"/>
      <c r="J503" s="1148"/>
      <c r="K503" s="1148"/>
      <c r="L503" s="1148"/>
      <c r="M503" s="1148"/>
      <c r="N503" s="1148"/>
      <c r="O503" s="1148"/>
      <c r="P503" s="1148"/>
      <c r="Q503" s="1148"/>
      <c r="R503" s="1148"/>
    </row>
    <row r="504" customFormat="false" ht="15.5" hidden="false" customHeight="false" outlineLevel="0" collapsed="false">
      <c r="A504" s="232" t="s">
        <v>3502</v>
      </c>
      <c r="B504" s="232" t="s">
        <v>156</v>
      </c>
      <c r="C504" s="89" t="n">
        <f aca="false">(SQRT(((C340/2)*(C340/2))+((H340/2)*(H340/2))))+C505</f>
        <v>5</v>
      </c>
      <c r="D504" s="2149"/>
      <c r="E504" s="1148"/>
      <c r="F504" s="2149"/>
      <c r="G504" s="2149"/>
      <c r="H504" s="1148"/>
      <c r="I504" s="1148"/>
      <c r="J504" s="1148"/>
      <c r="K504" s="1148"/>
      <c r="L504" s="1148"/>
      <c r="M504" s="1148"/>
      <c r="N504" s="1148"/>
      <c r="O504" s="1148"/>
      <c r="P504" s="1148"/>
      <c r="Q504" s="1148"/>
      <c r="R504" s="1148"/>
    </row>
    <row r="505" customFormat="false" ht="15.5" hidden="false" customHeight="false" outlineLevel="0" collapsed="false">
      <c r="A505" s="232" t="s">
        <v>1972</v>
      </c>
      <c r="B505" s="232" t="s">
        <v>156</v>
      </c>
      <c r="C505" s="89"/>
      <c r="D505" s="2149"/>
      <c r="E505" s="1148"/>
      <c r="F505" s="2149"/>
      <c r="G505" s="2149"/>
      <c r="H505" s="1148"/>
      <c r="I505" s="1148"/>
      <c r="J505" s="1148"/>
      <c r="K505" s="1148"/>
      <c r="L505" s="1148"/>
      <c r="M505" s="1148"/>
      <c r="N505" s="1148"/>
      <c r="O505" s="1148"/>
      <c r="P505" s="1148"/>
      <c r="Q505" s="1148"/>
      <c r="R505" s="1148"/>
    </row>
    <row r="506" customFormat="false" ht="15.5" hidden="false" customHeight="false" outlineLevel="0" collapsed="false">
      <c r="A506" s="232" t="s">
        <v>1975</v>
      </c>
      <c r="B506" s="232" t="s">
        <v>156</v>
      </c>
      <c r="C506" s="89"/>
      <c r="D506" s="2149"/>
      <c r="E506" s="1148"/>
      <c r="F506" s="2149"/>
      <c r="G506" s="2149"/>
      <c r="H506" s="1148"/>
      <c r="I506" s="1148"/>
      <c r="J506" s="1148"/>
      <c r="K506" s="1148"/>
      <c r="L506" s="1148"/>
      <c r="M506" s="1148"/>
      <c r="N506" s="1148"/>
      <c r="O506" s="1148"/>
      <c r="P506" s="1148"/>
      <c r="Q506" s="1148"/>
      <c r="R506" s="1148"/>
    </row>
    <row r="507" customFormat="false" ht="15.5" hidden="false" customHeight="false" outlineLevel="0" collapsed="false">
      <c r="A507" s="2176" t="s">
        <v>2720</v>
      </c>
      <c r="B507" s="2177" t="s">
        <v>1094</v>
      </c>
      <c r="C507" s="2177" t="s">
        <v>1802</v>
      </c>
      <c r="D507" s="2177" t="s">
        <v>3649</v>
      </c>
      <c r="E507" s="2178" t="s">
        <v>2722</v>
      </c>
      <c r="F507" s="2116"/>
      <c r="G507" s="2179" t="s">
        <v>3652</v>
      </c>
      <c r="H507" s="2179"/>
      <c r="I507" s="1121" t="s">
        <v>1094</v>
      </c>
      <c r="J507" s="2180" t="s">
        <v>1802</v>
      </c>
      <c r="K507" s="2180" t="s">
        <v>2721</v>
      </c>
      <c r="L507" s="2180" t="s">
        <v>2722</v>
      </c>
      <c r="M507" s="1148"/>
      <c r="N507" s="1148"/>
      <c r="O507" s="1148"/>
      <c r="P507" s="1148"/>
      <c r="Q507" s="1148"/>
      <c r="R507" s="1148"/>
    </row>
    <row r="508" customFormat="false" ht="15.5" hidden="false" customHeight="false" outlineLevel="0" collapsed="false">
      <c r="A508" s="1129" t="s">
        <v>3964</v>
      </c>
      <c r="B508" s="1129"/>
      <c r="C508" s="1129"/>
      <c r="D508" s="1129"/>
      <c r="E508" s="260" t="n">
        <f aca="false">C508*D508</f>
        <v>0</v>
      </c>
      <c r="F508" s="2116"/>
      <c r="G508" s="88" t="s">
        <v>1552</v>
      </c>
      <c r="H508" s="88"/>
      <c r="I508" s="88"/>
      <c r="J508" s="232"/>
      <c r="K508" s="232" t="n">
        <f aca="false">'Прайс лист'!D1759</f>
        <v>0</v>
      </c>
      <c r="L508" s="232" t="n">
        <f aca="false">J508*K508</f>
        <v>0</v>
      </c>
      <c r="M508" s="1148"/>
      <c r="N508" s="1148"/>
      <c r="O508" s="1148"/>
      <c r="P508" s="1148"/>
      <c r="Q508" s="1148"/>
      <c r="R508" s="1148"/>
    </row>
    <row r="509" customFormat="false" ht="15.5" hidden="false" customHeight="false" outlineLevel="0" collapsed="false">
      <c r="A509" s="2181" t="str">
        <f aca="false">'Ввод данных'!A1178</f>
        <v>Г-образный профиль 40*40, 9мм</v>
      </c>
      <c r="B509" s="1129" t="s">
        <v>156</v>
      </c>
      <c r="C509" s="1129" t="n">
        <f aca="false">C450</f>
        <v>243.54</v>
      </c>
      <c r="D509" s="1129" t="n">
        <f aca="false">VLOOKUP(A509,связи1!A443:E454,4,0)</f>
        <v>47</v>
      </c>
      <c r="E509" s="260" t="n">
        <f aca="false">C509*D509</f>
        <v>11446.38</v>
      </c>
      <c r="F509" s="2116"/>
      <c r="G509" s="87" t="s">
        <v>1553</v>
      </c>
      <c r="H509" s="87"/>
      <c r="I509" s="88" t="s">
        <v>133</v>
      </c>
      <c r="J509" s="2159" t="n">
        <f aca="false">C451*D451*H447</f>
        <v>118.8</v>
      </c>
      <c r="K509" s="232" t="n">
        <f aca="false">'Прайс лист'!G1760</f>
        <v>500</v>
      </c>
      <c r="L509" s="232" t="n">
        <f aca="false">J509*K509</f>
        <v>59400</v>
      </c>
      <c r="M509" s="1148"/>
      <c r="N509" s="1148"/>
      <c r="O509" s="1148"/>
      <c r="P509" s="1148"/>
      <c r="Q509" s="1148"/>
      <c r="R509" s="1148"/>
    </row>
    <row r="510" customFormat="false" ht="15.5" hidden="false" customHeight="false" outlineLevel="0" collapsed="false">
      <c r="A510" s="232" t="str">
        <f aca="false">'Ввод данных'!A1180</f>
        <v>Фасадный кронштейн КК 90</v>
      </c>
      <c r="B510" s="1129" t="s">
        <v>159</v>
      </c>
      <c r="C510" s="1129" t="n">
        <f aca="false">(C450*2)*G447*1.2</f>
        <v>584.496</v>
      </c>
      <c r="D510" s="1129" t="n">
        <f aca="false">VLOOKUP(A510,'Прайс лист'!B1505:G1516,6,0)</f>
        <v>15</v>
      </c>
      <c r="E510" s="260" t="n">
        <f aca="false">C510*D510</f>
        <v>8767.44</v>
      </c>
      <c r="F510" s="2116"/>
      <c r="G510" s="87" t="s">
        <v>1554</v>
      </c>
      <c r="H510" s="87"/>
      <c r="I510" s="88" t="s">
        <v>133</v>
      </c>
      <c r="J510" s="2159" t="n">
        <f aca="false">C497*H447*IF(A509=связи1!A443,0,1)</f>
        <v>118.8</v>
      </c>
      <c r="K510" s="232" t="n">
        <f aca="false">'Прайс лист'!G1761</f>
        <v>200</v>
      </c>
      <c r="L510" s="232" t="n">
        <f aca="false">J510*K510</f>
        <v>23760</v>
      </c>
      <c r="M510" s="1148"/>
      <c r="N510" s="1148"/>
      <c r="O510" s="1148"/>
      <c r="P510" s="1148"/>
      <c r="Q510" s="1148"/>
      <c r="R510" s="1148"/>
    </row>
    <row r="511" customFormat="false" ht="15.5" hidden="false" customHeight="false" outlineLevel="0" collapsed="false">
      <c r="A511" s="232" t="str">
        <f aca="false">'Прайс лист'!B877</f>
        <v>Саморезы 3,5 x 45</v>
      </c>
      <c r="B511" s="88" t="s">
        <v>159</v>
      </c>
      <c r="C511" s="232" t="n">
        <f aca="false">C510*2</f>
        <v>1168.992</v>
      </c>
      <c r="D511" s="1129" t="n">
        <f aca="false">'Прайс лист'!F877</f>
        <v>0.25</v>
      </c>
      <c r="E511" s="260" t="n">
        <f aca="false">C511*D511</f>
        <v>292.248</v>
      </c>
      <c r="F511" s="2116"/>
      <c r="G511" s="2155" t="s">
        <v>1249</v>
      </c>
      <c r="H511" s="2156"/>
      <c r="I511" s="88" t="s">
        <v>133</v>
      </c>
      <c r="J511" s="2159" t="n">
        <f aca="false">C452*D452*H447</f>
        <v>0</v>
      </c>
      <c r="K511" s="232" t="n">
        <f aca="false">'Прайс лист'!G1762</f>
        <v>300</v>
      </c>
      <c r="L511" s="232" t="n">
        <f aca="false">J511*K511</f>
        <v>0</v>
      </c>
      <c r="M511" s="1148"/>
      <c r="N511" s="1148"/>
      <c r="O511" s="1148"/>
      <c r="P511" s="1148"/>
      <c r="Q511" s="1148"/>
      <c r="R511" s="1148"/>
    </row>
    <row r="512" customFormat="false" ht="15.5" hidden="false" customHeight="false" outlineLevel="0" collapsed="false">
      <c r="A512" s="232" t="str">
        <f aca="false">'Прайс лист'!B860</f>
        <v>Болты анкерные с гайкой 10,0 х 97</v>
      </c>
      <c r="B512" s="88" t="s">
        <v>159</v>
      </c>
      <c r="C512" s="232" t="n">
        <f aca="false">C510*2*G447</f>
        <v>1168.992</v>
      </c>
      <c r="D512" s="1129" t="n">
        <f aca="false">'Прайс лист'!G860</f>
        <v>7.4</v>
      </c>
      <c r="E512" s="260" t="n">
        <f aca="false">C512*D512</f>
        <v>8650.5408</v>
      </c>
      <c r="F512" s="2116"/>
      <c r="G512" s="87" t="s">
        <v>1555</v>
      </c>
      <c r="H512" s="87"/>
      <c r="I512" s="88" t="s">
        <v>133</v>
      </c>
      <c r="J512" s="2159" t="n">
        <f aca="false">C453*D453*H447</f>
        <v>0</v>
      </c>
      <c r="K512" s="232" t="n">
        <f aca="false">'Прайс лист'!G1763</f>
        <v>350</v>
      </c>
      <c r="L512" s="232" t="n">
        <f aca="false">J512*K512</f>
        <v>0</v>
      </c>
      <c r="M512" s="1148"/>
      <c r="N512" s="1148"/>
      <c r="O512" s="1148"/>
      <c r="P512" s="1148"/>
      <c r="Q512" s="1148"/>
      <c r="R512" s="1148"/>
    </row>
    <row r="513" customFormat="false" ht="15.5" hidden="false" customHeight="false" outlineLevel="0" collapsed="false">
      <c r="A513" s="232" t="str">
        <f aca="false">IF('Ввод данных'!A1171=связи1!A19,'Ввод данных'!A1173,0)</f>
        <v>0,7НФ/150/75 Аренберг</v>
      </c>
      <c r="B513" s="88" t="s">
        <v>133</v>
      </c>
      <c r="C513" s="232" t="n">
        <f aca="false">C451*D451*G447*0.8</f>
        <v>95.04</v>
      </c>
      <c r="D513" s="1129" t="n">
        <f aca="false">IF('Ввод данных'!A1171=связи1!A19,VLOOKUP(A513,связи1!A495:F534,6,0),0)</f>
        <v>1052</v>
      </c>
      <c r="E513" s="260" t="n">
        <f aca="false">C513*D513</f>
        <v>99982.08</v>
      </c>
      <c r="F513" s="2116"/>
      <c r="G513" s="87" t="s">
        <v>1256</v>
      </c>
      <c r="H513" s="87"/>
      <c r="I513" s="88" t="s">
        <v>133</v>
      </c>
      <c r="J513" s="2159" t="n">
        <f aca="false">C455*D455*H447+C468*D464*H447</f>
        <v>0</v>
      </c>
      <c r="K513" s="232" t="n">
        <f aca="false">'Прайс лист'!G1764</f>
        <v>500</v>
      </c>
      <c r="L513" s="232" t="n">
        <f aca="false">J513*K513</f>
        <v>0</v>
      </c>
      <c r="M513" s="1148"/>
      <c r="N513" s="1148"/>
      <c r="O513" s="1148"/>
      <c r="P513" s="1148"/>
      <c r="Q513" s="1148"/>
      <c r="R513" s="1148"/>
    </row>
    <row r="514" customFormat="false" ht="15.5" hidden="false" customHeight="false" outlineLevel="0" collapsed="false">
      <c r="A514" s="232" t="str">
        <f aca="false">'Прайс лист'!B175</f>
        <v>Цемент, мешок, 50кг</v>
      </c>
      <c r="B514" s="88" t="s">
        <v>126</v>
      </c>
      <c r="C514" s="232" t="n">
        <f aca="false">(C513+C515)*4*D451*G447</f>
        <v>532.224</v>
      </c>
      <c r="D514" s="1129" t="n">
        <f aca="false">'Прайс лист'!G175</f>
        <v>250</v>
      </c>
      <c r="E514" s="260" t="n">
        <f aca="false">C514*D514</f>
        <v>133056</v>
      </c>
      <c r="F514" s="2116"/>
      <c r="G514" s="87" t="s">
        <v>1556</v>
      </c>
      <c r="H514" s="87"/>
      <c r="I514" s="88" t="s">
        <v>133</v>
      </c>
      <c r="J514" s="2159" t="n">
        <f aca="false">C451*D457*H447</f>
        <v>0</v>
      </c>
      <c r="K514" s="232" t="n">
        <f aca="false">'Прайс лист'!G1765</f>
        <v>600</v>
      </c>
      <c r="L514" s="232" t="n">
        <f aca="false">J514*K514</f>
        <v>0</v>
      </c>
      <c r="M514" s="1148"/>
      <c r="N514" s="1148"/>
      <c r="O514" s="1148"/>
      <c r="P514" s="1148"/>
      <c r="Q514" s="1148"/>
      <c r="R514" s="1148"/>
    </row>
    <row r="515" customFormat="false" ht="15.5" hidden="false" customHeight="false" outlineLevel="0" collapsed="false">
      <c r="A515" s="232" t="str">
        <f aca="false">'Прайс лист'!B165</f>
        <v>Песок, м3</v>
      </c>
      <c r="B515" s="88" t="s">
        <v>135</v>
      </c>
      <c r="C515" s="232" t="n">
        <f aca="false">(C513/0.75)*0.3*D451*G447</f>
        <v>38.016</v>
      </c>
      <c r="D515" s="1129" t="n">
        <f aca="false">'Прайс лист'!G165</f>
        <v>250</v>
      </c>
      <c r="E515" s="260" t="n">
        <f aca="false">C515*D515</f>
        <v>9504</v>
      </c>
      <c r="F515" s="2116"/>
      <c r="G515" s="87" t="s">
        <v>1557</v>
      </c>
      <c r="H515" s="87"/>
      <c r="I515" s="88" t="s">
        <v>133</v>
      </c>
      <c r="J515" s="2159" t="n">
        <f aca="false">C497*D470*H447</f>
        <v>0</v>
      </c>
      <c r="K515" s="232" t="n">
        <f aca="false">'Прайс лист'!G1766</f>
        <v>200</v>
      </c>
      <c r="L515" s="232" t="n">
        <f aca="false">J515*K515</f>
        <v>0</v>
      </c>
      <c r="M515" s="1148"/>
      <c r="N515" s="1148"/>
      <c r="O515" s="1148"/>
      <c r="P515" s="1148"/>
      <c r="Q515" s="1148"/>
      <c r="R515" s="1148"/>
    </row>
    <row r="516" customFormat="false" ht="15.5" hidden="false" customHeight="false" outlineLevel="0" collapsed="false">
      <c r="A516" s="232" t="str">
        <f aca="false">'Прайс лист'!B211</f>
        <v>Кладочная сетка, 100*100/150*150/200*200мм</v>
      </c>
      <c r="B516" s="88" t="s">
        <v>133</v>
      </c>
      <c r="C516" s="232" t="n">
        <f aca="false">(C497/0.6)*0.1*D451*G447</f>
        <v>19.8</v>
      </c>
      <c r="D516" s="1129" t="n">
        <f aca="false">'Прайс лист'!G211</f>
        <v>70</v>
      </c>
      <c r="E516" s="260" t="n">
        <f aca="false">C516*D516</f>
        <v>1386</v>
      </c>
      <c r="F516" s="2116"/>
      <c r="G516" s="87" t="s">
        <v>1558</v>
      </c>
      <c r="H516" s="87"/>
      <c r="I516" s="88" t="s">
        <v>133</v>
      </c>
      <c r="J516" s="2159" t="n">
        <f aca="false">C497*D471*H447</f>
        <v>0</v>
      </c>
      <c r="K516" s="232" t="n">
        <f aca="false">'Прайс лист'!G1767</f>
        <v>300</v>
      </c>
      <c r="L516" s="232" t="n">
        <f aca="false">J516*K516</f>
        <v>0</v>
      </c>
      <c r="M516" s="1148"/>
      <c r="N516" s="1148"/>
      <c r="O516" s="1148"/>
      <c r="P516" s="1148"/>
      <c r="Q516" s="1148"/>
      <c r="R516" s="1148"/>
    </row>
    <row r="517" customFormat="false" ht="15.5" hidden="false" customHeight="false" outlineLevel="0" collapsed="false">
      <c r="A517" s="87" t="s">
        <v>1249</v>
      </c>
      <c r="B517" s="88" t="s">
        <v>133</v>
      </c>
      <c r="C517" s="232" t="n">
        <f aca="false">C497*G447*D452</f>
        <v>0</v>
      </c>
      <c r="D517" s="1129" t="n">
        <f aca="false">'Прайс лист'!G1376</f>
        <v>350</v>
      </c>
      <c r="E517" s="260" t="n">
        <f aca="false">C517*D517</f>
        <v>0</v>
      </c>
      <c r="F517" s="2116"/>
      <c r="G517" s="87" t="s">
        <v>1559</v>
      </c>
      <c r="H517" s="87"/>
      <c r="I517" s="88" t="s">
        <v>133</v>
      </c>
      <c r="J517" s="2159" t="n">
        <f aca="false">(C459*D459*H447+C469*D469*H447)</f>
        <v>0</v>
      </c>
      <c r="K517" s="232" t="n">
        <f aca="false">'Прайс лист'!G1768</f>
        <v>120</v>
      </c>
      <c r="L517" s="232" t="n">
        <f aca="false">J517*K517</f>
        <v>0</v>
      </c>
      <c r="M517" s="1148"/>
      <c r="N517" s="1148"/>
      <c r="O517" s="1148"/>
      <c r="P517" s="1148"/>
      <c r="Q517" s="1148"/>
      <c r="R517" s="1148"/>
    </row>
    <row r="518" customFormat="false" ht="15.5" hidden="false" customHeight="true" outlineLevel="0" collapsed="false">
      <c r="A518" s="87" t="s">
        <v>1250</v>
      </c>
      <c r="B518" s="88" t="s">
        <v>159</v>
      </c>
      <c r="C518" s="232" t="n">
        <f aca="false">C517*0.15*G447</f>
        <v>0</v>
      </c>
      <c r="D518" s="1129" t="n">
        <f aca="false">'Прайс лист'!G1377</f>
        <v>300</v>
      </c>
      <c r="E518" s="260" t="n">
        <f aca="false">C518*D518</f>
        <v>0</v>
      </c>
      <c r="F518" s="2116"/>
      <c r="G518" s="2142" t="s">
        <v>1255</v>
      </c>
      <c r="H518" s="2142"/>
      <c r="I518" s="232"/>
      <c r="J518" s="232" t="n">
        <f aca="false">C497*D454</f>
        <v>0</v>
      </c>
      <c r="K518" s="232" t="n">
        <f aca="false">'Прайс лист'!G1769</f>
        <v>400</v>
      </c>
      <c r="L518" s="232" t="n">
        <f aca="false">J518*K518</f>
        <v>0</v>
      </c>
      <c r="M518" s="1148"/>
      <c r="N518" s="1148"/>
      <c r="O518" s="1148"/>
      <c r="P518" s="1148"/>
      <c r="Q518" s="1148"/>
      <c r="R518" s="1148"/>
    </row>
    <row r="519" customFormat="false" ht="15.5" hidden="false" customHeight="false" outlineLevel="0" collapsed="false">
      <c r="A519" s="282" t="s">
        <v>1253</v>
      </c>
      <c r="B519" s="88" t="s">
        <v>133</v>
      </c>
      <c r="C519" s="232" t="n">
        <f aca="false">C453*D453*G447</f>
        <v>0</v>
      </c>
      <c r="D519" s="1129" t="n">
        <f aca="false">'Прайс лист'!G1380</f>
        <v>550</v>
      </c>
      <c r="E519" s="260" t="n">
        <f aca="false">C519*D519</f>
        <v>0</v>
      </c>
      <c r="F519" s="2116"/>
      <c r="G519" s="2182" t="s">
        <v>2234</v>
      </c>
      <c r="H519" s="2183"/>
      <c r="I519" s="88" t="s">
        <v>133</v>
      </c>
      <c r="J519" s="2159" t="n">
        <f aca="false">C496*IF(A530='Прайс лист'!B744,0,1)</f>
        <v>118.8</v>
      </c>
      <c r="K519" s="232" t="n">
        <f aca="false">'Прайс лист'!G1671</f>
        <v>200</v>
      </c>
      <c r="L519" s="232" t="n">
        <f aca="false">J519*K519</f>
        <v>23760</v>
      </c>
      <c r="M519" s="1148"/>
      <c r="N519" s="1148"/>
      <c r="O519" s="1148"/>
      <c r="P519" s="1148"/>
      <c r="Q519" s="1148"/>
      <c r="R519" s="1148"/>
    </row>
    <row r="520" customFormat="false" ht="15.5" hidden="false" customHeight="false" outlineLevel="0" collapsed="false">
      <c r="A520" s="282" t="s">
        <v>1254</v>
      </c>
      <c r="B520" s="88" t="s">
        <v>159</v>
      </c>
      <c r="C520" s="232" t="n">
        <f aca="false">C519*0.15*G447</f>
        <v>0</v>
      </c>
      <c r="D520" s="1129" t="n">
        <f aca="false">'Прайс лист'!G1381</f>
        <v>350</v>
      </c>
      <c r="E520" s="260" t="n">
        <f aca="false">C520*D520</f>
        <v>0</v>
      </c>
      <c r="F520" s="2116"/>
      <c r="G520" s="2182" t="str">
        <f aca="false">'Прайс лист'!B1774</f>
        <v>Оштукатуривание поверхности, подготовка</v>
      </c>
      <c r="H520" s="2183"/>
      <c r="I520" s="88" t="s">
        <v>133</v>
      </c>
      <c r="J520" s="2159" t="n">
        <f aca="false">C496*D458</f>
        <v>0</v>
      </c>
      <c r="K520" s="232" t="n">
        <f aca="false">'Прайс лист'!G1774</f>
        <v>400</v>
      </c>
      <c r="L520" s="232" t="n">
        <f aca="false">J520*K520</f>
        <v>0</v>
      </c>
      <c r="M520" s="1148"/>
      <c r="N520" s="1148"/>
      <c r="O520" s="1148"/>
      <c r="P520" s="1148"/>
      <c r="Q520" s="1148"/>
      <c r="R520" s="1148"/>
    </row>
    <row r="521" customFormat="false" ht="15.5" hidden="false" customHeight="false" outlineLevel="0" collapsed="false">
      <c r="A521" s="282" t="n">
        <f aca="false">IF('Ввод данных'!A1171=связи1!A22,'Ввод данных'!A1173,0)</f>
        <v>0</v>
      </c>
      <c r="B521" s="88" t="s">
        <v>133</v>
      </c>
      <c r="C521" s="232" t="n">
        <f aca="false">C454*D454*G447</f>
        <v>0</v>
      </c>
      <c r="D521" s="1129" t="n">
        <f aca="false">IF('Ввод данных'!A1171=связи1!A22,VLOOKUP(A521,'Прайс лист'!B685:G714,6,0),0)</f>
        <v>0</v>
      </c>
      <c r="E521" s="260" t="n">
        <f aca="false">C521*D521</f>
        <v>0</v>
      </c>
      <c r="F521" s="2116"/>
      <c r="G521" s="2182" t="str">
        <f aca="false">'Прайс лист'!B1775</f>
        <v>Наклейка сетки</v>
      </c>
      <c r="H521" s="2183"/>
      <c r="I521" s="88" t="s">
        <v>133</v>
      </c>
      <c r="J521" s="2159" t="n">
        <f aca="false">C496*D458</f>
        <v>0</v>
      </c>
      <c r="K521" s="232" t="n">
        <f aca="false">'Прайс лист'!G1775</f>
        <v>200</v>
      </c>
      <c r="L521" s="232" t="n">
        <f aca="false">J521*K521</f>
        <v>0</v>
      </c>
      <c r="M521" s="1148"/>
      <c r="N521" s="1148"/>
      <c r="O521" s="1148"/>
      <c r="P521" s="1148"/>
      <c r="Q521" s="1148"/>
      <c r="R521" s="1148"/>
    </row>
    <row r="522" customFormat="false" ht="15.5" hidden="false" customHeight="false" outlineLevel="0" collapsed="false">
      <c r="A522" s="87"/>
      <c r="B522" s="88"/>
      <c r="C522" s="232"/>
      <c r="D522" s="1129"/>
      <c r="E522" s="260"/>
      <c r="F522" s="2116"/>
      <c r="G522" s="2182" t="str">
        <f aca="false">'Прайс лист'!B1776</f>
        <v>Нанесение декоративной штукатурки</v>
      </c>
      <c r="H522" s="2183"/>
      <c r="I522" s="88" t="s">
        <v>133</v>
      </c>
      <c r="J522" s="2159" t="n">
        <f aca="false">C496*D458</f>
        <v>0</v>
      </c>
      <c r="K522" s="232" t="n">
        <f aca="false">'Прайс лист'!G1776</f>
        <v>600</v>
      </c>
      <c r="L522" s="232" t="n">
        <f aca="false">J522*K522</f>
        <v>0</v>
      </c>
      <c r="M522" s="1148"/>
      <c r="N522" s="1148"/>
      <c r="O522" s="1148"/>
      <c r="P522" s="1148"/>
      <c r="Q522" s="1148"/>
      <c r="R522" s="1148"/>
    </row>
    <row r="523" customFormat="false" ht="15.5" hidden="false" customHeight="false" outlineLevel="0" collapsed="false">
      <c r="A523" s="232" t="s">
        <v>1257</v>
      </c>
      <c r="B523" s="88" t="s">
        <v>159</v>
      </c>
      <c r="C523" s="232" t="n">
        <f aca="false">C456*D456*G447</f>
        <v>0</v>
      </c>
      <c r="D523" s="1129" t="n">
        <f aca="false">'Прайс лист'!G1384</f>
        <v>15</v>
      </c>
      <c r="E523" s="260" t="n">
        <f aca="false">C523*D523</f>
        <v>0</v>
      </c>
      <c r="F523" s="2116"/>
      <c r="G523" s="2182" t="s">
        <v>1568</v>
      </c>
      <c r="H523" s="2183"/>
      <c r="I523" s="88"/>
      <c r="J523" s="2159"/>
      <c r="K523" s="232" t="n">
        <f aca="false">'Прайс лист'!G1779</f>
        <v>0</v>
      </c>
      <c r="L523" s="232" t="n">
        <f aca="false">J523*K523</f>
        <v>0</v>
      </c>
      <c r="M523" s="1148"/>
      <c r="N523" s="1148"/>
      <c r="O523" s="1148"/>
      <c r="P523" s="1148"/>
      <c r="Q523" s="1148"/>
      <c r="R523" s="1148"/>
    </row>
    <row r="524" customFormat="false" ht="15.5" hidden="false" customHeight="false" outlineLevel="0" collapsed="false">
      <c r="A524" s="261" t="n">
        <f aca="false">IF('Ввод данных'!A1171=связи1!A24,связи1!A24,0)</f>
        <v>0</v>
      </c>
      <c r="B524" s="88" t="s">
        <v>133</v>
      </c>
      <c r="C524" s="232" t="n">
        <f aca="false">C457*D457*G447+C467*D464*G447</f>
        <v>0</v>
      </c>
      <c r="D524" s="1129" t="n">
        <f aca="false">'Прайс лист'!G1385</f>
        <v>1000</v>
      </c>
      <c r="E524" s="260" t="n">
        <f aca="false">C524*D524</f>
        <v>0</v>
      </c>
      <c r="F524" s="2116"/>
      <c r="G524" s="2182" t="s">
        <v>1554</v>
      </c>
      <c r="H524" s="2183"/>
      <c r="I524" s="88" t="s">
        <v>133</v>
      </c>
      <c r="J524" s="2159" t="n">
        <f aca="false">C478*H447*IF(A541=связи1!A443,0,1)</f>
        <v>0</v>
      </c>
      <c r="K524" s="232" t="n">
        <f aca="false">'Прайс лист'!G1780</f>
        <v>200</v>
      </c>
      <c r="L524" s="232" t="n">
        <f aca="false">J524*K524</f>
        <v>0</v>
      </c>
      <c r="M524" s="1148"/>
      <c r="N524" s="1148"/>
      <c r="O524" s="1148"/>
      <c r="P524" s="1148"/>
      <c r="Q524" s="1148"/>
      <c r="R524" s="1148"/>
    </row>
    <row r="525" customFormat="false" ht="15.5" hidden="false" customHeight="false" outlineLevel="0" collapsed="false">
      <c r="A525" s="261" t="n">
        <f aca="false">IF('Ввод данных'!A1171=связи1!A18,'Ввод данных'!A1173,0)</f>
        <v>0</v>
      </c>
      <c r="B525" s="88" t="s">
        <v>133</v>
      </c>
      <c r="C525" s="232" t="n">
        <f aca="false">C459*D459*G447+C469*D469*G447</f>
        <v>0</v>
      </c>
      <c r="D525" s="1129" t="n">
        <f aca="false">IF('Ввод данных'!A1171=связи1!A18,VLOOKUP('Ввод данных'!A1173,'Прайс лист'!B1521:G1526,6,0),0)</f>
        <v>0</v>
      </c>
      <c r="E525" s="260" t="n">
        <f aca="false">C525*D525</f>
        <v>0</v>
      </c>
      <c r="F525" s="2116"/>
      <c r="G525" s="2182" t="s">
        <v>1569</v>
      </c>
      <c r="H525" s="2183"/>
      <c r="I525" s="88" t="s">
        <v>156</v>
      </c>
      <c r="J525" s="2159" t="n">
        <f aca="false">C477*D477*H447</f>
        <v>56</v>
      </c>
      <c r="K525" s="232" t="n">
        <f aca="false">'Прайс лист'!G1781</f>
        <v>120</v>
      </c>
      <c r="L525" s="232" t="n">
        <f aca="false">J525*K525</f>
        <v>6720</v>
      </c>
      <c r="M525" s="1148"/>
      <c r="N525" s="1148"/>
      <c r="O525" s="1148"/>
      <c r="P525" s="1148"/>
      <c r="Q525" s="1148"/>
      <c r="R525" s="1148"/>
    </row>
    <row r="526" customFormat="false" ht="15.5" hidden="false" customHeight="false" outlineLevel="0" collapsed="false">
      <c r="A526" s="261" t="s">
        <v>1259</v>
      </c>
      <c r="B526" s="88" t="s">
        <v>126</v>
      </c>
      <c r="C526" s="232" t="n">
        <f aca="false">C524/4*G447</f>
        <v>0</v>
      </c>
      <c r="D526" s="1129" t="n">
        <f aca="false">'Прайс лист'!G1386</f>
        <v>250</v>
      </c>
      <c r="E526" s="260" t="n">
        <f aca="false">C526*D526</f>
        <v>0</v>
      </c>
      <c r="F526" s="2116"/>
      <c r="G526" s="2182" t="s">
        <v>1559</v>
      </c>
      <c r="H526" s="2183"/>
      <c r="I526" s="88" t="s">
        <v>133</v>
      </c>
      <c r="J526" s="2159" t="n">
        <f aca="false">C483*H447*IF(A545='Прайс лист'!B1521,0,1)</f>
        <v>22.4</v>
      </c>
      <c r="K526" s="232" t="n">
        <f aca="false">'Прайс лист'!G1782</f>
        <v>120</v>
      </c>
      <c r="L526" s="232" t="n">
        <f aca="false">J526*K526</f>
        <v>2688</v>
      </c>
      <c r="M526" s="1148"/>
      <c r="N526" s="1148"/>
      <c r="O526" s="1148"/>
      <c r="P526" s="1148"/>
      <c r="Q526" s="1148"/>
      <c r="R526" s="1148"/>
    </row>
    <row r="527" customFormat="false" ht="15.5" hidden="false" customHeight="false" outlineLevel="0" collapsed="false">
      <c r="A527" s="261" t="str">
        <f aca="false">'Ввод данных'!A1186</f>
        <v>Грунт  1</v>
      </c>
      <c r="B527" s="88" t="s">
        <v>396</v>
      </c>
      <c r="C527" s="232" t="n">
        <f aca="false">(C521+C522+C524+C513)*G447</f>
        <v>95.04</v>
      </c>
      <c r="D527" s="1129" t="n">
        <f aca="false">VLOOKUP(A527,'Прайс лист'!B1531:G1533,6,0)</f>
        <v>100</v>
      </c>
      <c r="E527" s="260" t="n">
        <f aca="false">C527*D527</f>
        <v>9504</v>
      </c>
      <c r="F527" s="2116"/>
      <c r="G527" s="2182" t="s">
        <v>1570</v>
      </c>
      <c r="H527" s="2183"/>
      <c r="I527" s="88" t="s">
        <v>133</v>
      </c>
      <c r="J527" s="2159" t="n">
        <f aca="false">C478*D478*H447</f>
        <v>0</v>
      </c>
      <c r="K527" s="232" t="n">
        <f aca="false">'Прайс лист'!G1783</f>
        <v>350</v>
      </c>
      <c r="L527" s="232" t="n">
        <f aca="false">J527*K527</f>
        <v>0</v>
      </c>
      <c r="M527" s="1148"/>
      <c r="N527" s="1148"/>
      <c r="O527" s="1148"/>
      <c r="P527" s="1148"/>
      <c r="Q527" s="1148"/>
      <c r="R527" s="1148"/>
    </row>
    <row r="528" customFormat="false" ht="15.5" hidden="false" customHeight="false" outlineLevel="0" collapsed="false">
      <c r="A528" s="232" t="str">
        <f aca="false">'Ввод данных'!A1188</f>
        <v>"Тонерол" Антисептик  бесцветный  1л</v>
      </c>
      <c r="B528" s="88" t="s">
        <v>396</v>
      </c>
      <c r="C528" s="232" t="n">
        <f aca="false">(C454*D454+C455*D455+C468*D464)*D470*0.15*G447</f>
        <v>0</v>
      </c>
      <c r="D528" s="1129" t="n">
        <f aca="false">VLOOKUP(A528,'Прайс лист'!B1534:G1561,6,0)</f>
        <v>305</v>
      </c>
      <c r="E528" s="260" t="n">
        <f aca="false">C528*D528</f>
        <v>0</v>
      </c>
      <c r="F528" s="2116"/>
      <c r="G528" s="2155" t="s">
        <v>1571</v>
      </c>
      <c r="H528" s="2156"/>
      <c r="I528" s="88" t="s">
        <v>133</v>
      </c>
      <c r="J528" s="2159" t="n">
        <f aca="false">C479*D479*H447</f>
        <v>22.4</v>
      </c>
      <c r="K528" s="232" t="n">
        <f aca="false">'Прайс лист'!G1784</f>
        <v>900</v>
      </c>
      <c r="L528" s="232" t="n">
        <f aca="false">J528*K528</f>
        <v>20160</v>
      </c>
      <c r="M528" s="1148"/>
      <c r="N528" s="1148"/>
      <c r="O528" s="1148"/>
      <c r="P528" s="1148"/>
      <c r="Q528" s="1148"/>
      <c r="R528" s="1148"/>
    </row>
    <row r="529" customFormat="false" ht="15.5" hidden="false" customHeight="false" outlineLevel="0" collapsed="false">
      <c r="A529" s="232" t="str">
        <f aca="false">'Ввод данных'!A1190</f>
        <v>Лак для поверхностей 1</v>
      </c>
      <c r="B529" s="88" t="s">
        <v>396</v>
      </c>
      <c r="C529" s="232" t="n">
        <f aca="false">(C454*D454+C455*D455+C468*D464)*D471*0.15*G447</f>
        <v>0</v>
      </c>
      <c r="D529" s="1129" t="n">
        <f aca="false">VLOOKUP(A529,'Прайс лист'!B1562:G1564,6,0)</f>
        <v>120</v>
      </c>
      <c r="E529" s="260" t="n">
        <f aca="false">C529*D529</f>
        <v>0</v>
      </c>
      <c r="F529" s="2116"/>
      <c r="G529" s="2155" t="s">
        <v>1572</v>
      </c>
      <c r="H529" s="2156"/>
      <c r="I529" s="88" t="s">
        <v>133</v>
      </c>
      <c r="J529" s="2159" t="n">
        <f aca="false">C480*D480*H447</f>
        <v>0</v>
      </c>
      <c r="K529" s="232" t="n">
        <f aca="false">'Прайс лист'!G1785</f>
        <v>800</v>
      </c>
      <c r="L529" s="232" t="n">
        <f aca="false">J529*K529</f>
        <v>0</v>
      </c>
      <c r="M529" s="1148"/>
      <c r="N529" s="1148"/>
      <c r="O529" s="1148"/>
      <c r="P529" s="1148"/>
      <c r="Q529" s="1148"/>
      <c r="R529" s="1148"/>
    </row>
    <row r="530" customFormat="false" ht="15.5" hidden="false" customHeight="false" outlineLevel="0" collapsed="false">
      <c r="A530" s="232" t="str">
        <f aca="false">'Ввод данных'!A1176</f>
        <v>Плитный,28кг/м3, технониколь, 100мм</v>
      </c>
      <c r="B530" s="88" t="s">
        <v>135</v>
      </c>
      <c r="C530" s="232" t="n">
        <f aca="false">VLOOKUP(A530,'Прайс лист'!B744:G783,3,0)*C496</f>
        <v>11.88</v>
      </c>
      <c r="D530" s="1129" t="n">
        <f aca="false">VLOOKUP(A530,'Прайс лист'!B744:G783,6,0)</f>
        <v>1700</v>
      </c>
      <c r="E530" s="260" t="n">
        <f aca="false">C530*D530</f>
        <v>20196</v>
      </c>
      <c r="F530" s="2116"/>
      <c r="G530" s="2182" t="s">
        <v>1573</v>
      </c>
      <c r="H530" s="2183"/>
      <c r="I530" s="88"/>
      <c r="J530" s="2159"/>
      <c r="K530" s="232" t="n">
        <f aca="false">'Прайс лист'!G1786</f>
        <v>0</v>
      </c>
      <c r="L530" s="232" t="n">
        <f aca="false">J530*K530</f>
        <v>0</v>
      </c>
      <c r="M530" s="1148"/>
      <c r="N530" s="1148"/>
      <c r="O530" s="1148"/>
      <c r="P530" s="1148"/>
      <c r="Q530" s="1148"/>
      <c r="R530" s="1148"/>
    </row>
    <row r="531" customFormat="false" ht="15.5" hidden="false" customHeight="false" outlineLevel="0" collapsed="false">
      <c r="A531" s="232" t="n">
        <f aca="false">IF('Ввод данных'!A1171=связи1!A25,'Ввод данных'!A1173,0)</f>
        <v>0</v>
      </c>
      <c r="B531" s="88" t="s">
        <v>126</v>
      </c>
      <c r="C531" s="232" t="n">
        <f aca="false">CEILING(C458*D458/(25/'Ввод данных'!D1174),1)</f>
        <v>0</v>
      </c>
      <c r="D531" s="1129" t="n">
        <f aca="false">IF('Ввод данных'!A1171=связи1!A25,VLOOKUP(A531,'Прайс лист'!B1582:G1586,6,0),0)</f>
        <v>0</v>
      </c>
      <c r="E531" s="260" t="n">
        <f aca="false">C531*D531</f>
        <v>0</v>
      </c>
      <c r="F531" s="2116"/>
      <c r="G531" s="2182" t="s">
        <v>1256</v>
      </c>
      <c r="H531" s="2183"/>
      <c r="I531" s="88" t="s">
        <v>133</v>
      </c>
      <c r="J531" s="2159" t="n">
        <f aca="false">C487*D487*H447</f>
        <v>0</v>
      </c>
      <c r="K531" s="232" t="n">
        <f aca="false">'Прайс лист'!G1787</f>
        <v>600</v>
      </c>
      <c r="L531" s="232" t="n">
        <f aca="false">J531*K531</f>
        <v>0</v>
      </c>
      <c r="M531" s="1148"/>
      <c r="N531" s="1148"/>
      <c r="O531" s="1148"/>
      <c r="P531" s="1148"/>
      <c r="Q531" s="1148"/>
      <c r="R531" s="1148"/>
    </row>
    <row r="532" customFormat="false" ht="15.5" hidden="false" customHeight="false" outlineLevel="0" collapsed="false">
      <c r="A532" s="232" t="str">
        <f aca="false">'Прайс лист'!B1587</f>
        <v>Сетка штукатурная ПВС 40 Оцинкованная рулон</v>
      </c>
      <c r="B532" s="88" t="s">
        <v>133</v>
      </c>
      <c r="C532" s="232" t="n">
        <f aca="false">C458*D458*1.3</f>
        <v>0</v>
      </c>
      <c r="D532" s="1129" t="n">
        <f aca="false">'Прайс лист'!G1587</f>
        <v>15</v>
      </c>
      <c r="E532" s="260" t="n">
        <f aca="false">C532*D532</f>
        <v>0</v>
      </c>
      <c r="F532" s="2116"/>
      <c r="G532" s="2182" t="s">
        <v>1574</v>
      </c>
      <c r="H532" s="2183"/>
      <c r="I532" s="88" t="s">
        <v>133</v>
      </c>
      <c r="J532" s="2159" t="n">
        <f aca="false">C488*D488*H447</f>
        <v>0</v>
      </c>
      <c r="K532" s="232" t="n">
        <f aca="false">'Прайс лист'!G1788</f>
        <v>500</v>
      </c>
      <c r="L532" s="232" t="n">
        <f aca="false">J532*K532</f>
        <v>0</v>
      </c>
      <c r="M532" s="1148"/>
      <c r="N532" s="1148"/>
      <c r="O532" s="1148"/>
      <c r="P532" s="1148"/>
      <c r="Q532" s="1148"/>
      <c r="R532" s="1148"/>
    </row>
    <row r="533" customFormat="false" ht="15.5" hidden="false" customHeight="false" outlineLevel="0" collapsed="false">
      <c r="A533" s="260" t="str">
        <f aca="false">'Прайс лист'!B1588</f>
        <v>Штукатурка для наружних работ</v>
      </c>
      <c r="B533" s="1129" t="s">
        <v>133</v>
      </c>
      <c r="C533" s="260" t="n">
        <f aca="false">CEILING(C458*D458/(25/'Ввод данных'!D1174),1)</f>
        <v>0</v>
      </c>
      <c r="D533" s="1129" t="n">
        <f aca="false">'Прайс лист'!G1588</f>
        <v>390</v>
      </c>
      <c r="E533" s="260" t="n">
        <f aca="false">C533*D533</f>
        <v>0</v>
      </c>
      <c r="F533" s="2116"/>
      <c r="G533" s="2182" t="s">
        <v>1575</v>
      </c>
      <c r="H533" s="2183"/>
      <c r="I533" s="88" t="s">
        <v>133</v>
      </c>
      <c r="J533" s="2159" t="n">
        <f aca="false">C473*D473*H447</f>
        <v>118.8</v>
      </c>
      <c r="K533" s="232" t="n">
        <f aca="false">'Прайс лист'!G1789</f>
        <v>100</v>
      </c>
      <c r="L533" s="232" t="n">
        <f aca="false">J533*K533</f>
        <v>11880</v>
      </c>
      <c r="M533" s="1148"/>
      <c r="N533" s="1148"/>
      <c r="O533" s="1148"/>
      <c r="P533" s="1148"/>
      <c r="Q533" s="1148"/>
      <c r="R533" s="1148"/>
    </row>
    <row r="534" customFormat="false" ht="15.5" hidden="false" customHeight="false" outlineLevel="0" collapsed="false">
      <c r="A534" s="88" t="s">
        <v>1568</v>
      </c>
      <c r="B534" s="88"/>
      <c r="C534" s="232" t="n">
        <v>0</v>
      </c>
      <c r="D534" s="1129" t="n">
        <v>1</v>
      </c>
      <c r="E534" s="260" t="n">
        <f aca="false">C534*D534</f>
        <v>0</v>
      </c>
      <c r="F534" s="2116"/>
      <c r="G534" s="1018" t="str">
        <f aca="false">'Прайс лист'!B1770</f>
        <v>Монтаж евровагонка</v>
      </c>
      <c r="H534" s="1004"/>
      <c r="I534" s="88" t="s">
        <v>133</v>
      </c>
      <c r="J534" s="1004" t="n">
        <f aca="false">C463*D463*H447</f>
        <v>0</v>
      </c>
      <c r="K534" s="1018" t="n">
        <f aca="false">'Прайс лист'!G1770</f>
        <v>400</v>
      </c>
      <c r="L534" s="232" t="n">
        <f aca="false">J534*K534</f>
        <v>0</v>
      </c>
      <c r="M534" s="1148"/>
      <c r="N534" s="1148"/>
      <c r="O534" s="1148"/>
      <c r="P534" s="1148"/>
      <c r="Q534" s="1148"/>
      <c r="R534" s="1148"/>
    </row>
    <row r="535" customFormat="false" ht="15.5" hidden="false" customHeight="false" outlineLevel="0" collapsed="false">
      <c r="A535" s="87" t="s">
        <v>1260</v>
      </c>
      <c r="B535" s="88" t="s">
        <v>156</v>
      </c>
      <c r="C535" s="232" t="n">
        <f aca="false">C477*D477*G447*D474</f>
        <v>56</v>
      </c>
      <c r="D535" s="1129" t="n">
        <f aca="false">'Прайс лист'!G1387</f>
        <v>100</v>
      </c>
      <c r="E535" s="260" t="n">
        <f aca="false">C535*D535</f>
        <v>5600</v>
      </c>
      <c r="F535" s="2116"/>
      <c r="G535" s="1018" t="str">
        <f aca="false">'Прайс лист'!B1771</f>
        <v>Монтаж вагонка штиль</v>
      </c>
      <c r="H535" s="1004"/>
      <c r="I535" s="88" t="s">
        <v>133</v>
      </c>
      <c r="J535" s="1004" t="n">
        <f aca="false">C462*D462*H447</f>
        <v>0</v>
      </c>
      <c r="K535" s="1018" t="n">
        <f aca="false">'Прайс лист'!G1771</f>
        <v>400</v>
      </c>
      <c r="L535" s="232" t="n">
        <f aca="false">J535*K535</f>
        <v>0</v>
      </c>
      <c r="M535" s="1148"/>
      <c r="N535" s="1148"/>
      <c r="O535" s="1148"/>
      <c r="P535" s="1148"/>
      <c r="Q535" s="1148"/>
      <c r="R535" s="1148"/>
    </row>
    <row r="536" customFormat="false" ht="15.5" hidden="false" customHeight="false" outlineLevel="0" collapsed="false">
      <c r="A536" s="122" t="s">
        <v>1253</v>
      </c>
      <c r="B536" s="88" t="s">
        <v>133</v>
      </c>
      <c r="C536" s="232" t="n">
        <f aca="false">C478*D478*G447*D474</f>
        <v>0</v>
      </c>
      <c r="D536" s="1129" t="n">
        <f aca="false">D519</f>
        <v>550</v>
      </c>
      <c r="E536" s="260" t="n">
        <f aca="false">C536*D536</f>
        <v>0</v>
      </c>
      <c r="F536" s="2116"/>
      <c r="G536" s="1018" t="str">
        <f aca="false">'Прайс лист'!B1772</f>
        <v>Монтаж софт лайн</v>
      </c>
      <c r="H536" s="1004"/>
      <c r="I536" s="88" t="s">
        <v>133</v>
      </c>
      <c r="J536" s="1004" t="n">
        <f aca="false">C461*D461</f>
        <v>0</v>
      </c>
      <c r="K536" s="1018" t="n">
        <f aca="false">'Прайс лист'!G1772</f>
        <v>400</v>
      </c>
      <c r="L536" s="232" t="n">
        <f aca="false">J536*K536</f>
        <v>0</v>
      </c>
      <c r="M536" s="1148"/>
      <c r="N536" s="1148"/>
      <c r="O536" s="1148"/>
      <c r="P536" s="1148"/>
      <c r="Q536" s="1148"/>
      <c r="R536" s="1148"/>
    </row>
    <row r="537" customFormat="false" ht="15.5" hidden="false" customHeight="false" outlineLevel="0" collapsed="false">
      <c r="A537" s="122" t="s">
        <v>1261</v>
      </c>
      <c r="B537" s="88" t="s">
        <v>133</v>
      </c>
      <c r="C537" s="232" t="n">
        <f aca="false">C479*G447*D479*D474</f>
        <v>22.4</v>
      </c>
      <c r="D537" s="1129" t="n">
        <f aca="false">'Прайс лист'!G1388</f>
        <v>600</v>
      </c>
      <c r="E537" s="260" t="n">
        <f aca="false">C537*D537</f>
        <v>13440</v>
      </c>
      <c r="F537" s="2116"/>
      <c r="G537" s="1018" t="str">
        <f aca="false">'Прайс лист'!B1773</f>
        <v>Монтаж блокхаус</v>
      </c>
      <c r="H537" s="122"/>
      <c r="I537" s="88" t="s">
        <v>133</v>
      </c>
      <c r="J537" s="2159" t="n">
        <f aca="false">C460*D460</f>
        <v>0</v>
      </c>
      <c r="K537" s="1018" t="n">
        <f aca="false">'Прайс лист'!G1773</f>
        <v>400</v>
      </c>
      <c r="L537" s="232" t="n">
        <f aca="false">J537*K537</f>
        <v>0</v>
      </c>
      <c r="M537" s="1148"/>
      <c r="N537" s="1148"/>
      <c r="O537" s="1148"/>
      <c r="P537" s="1148"/>
      <c r="Q537" s="1148"/>
      <c r="R537" s="1148"/>
    </row>
    <row r="538" customFormat="false" ht="15.5" hidden="false" customHeight="false" outlineLevel="0" collapsed="false">
      <c r="A538" s="122" t="s">
        <v>1258</v>
      </c>
      <c r="B538" s="88" t="s">
        <v>133</v>
      </c>
      <c r="C538" s="232" t="n">
        <f aca="false">C480*G447*D480*D474</f>
        <v>0</v>
      </c>
      <c r="D538" s="1129" t="n">
        <f aca="false">D524</f>
        <v>1000</v>
      </c>
      <c r="E538" s="260" t="n">
        <f aca="false">C538*D538</f>
        <v>0</v>
      </c>
      <c r="F538" s="2116"/>
      <c r="M538" s="1148"/>
      <c r="N538" s="1148"/>
      <c r="O538" s="1148"/>
      <c r="P538" s="1148"/>
      <c r="Q538" s="1148"/>
      <c r="R538" s="1148"/>
    </row>
    <row r="539" customFormat="false" ht="15.5" hidden="false" customHeight="false" outlineLevel="0" collapsed="false">
      <c r="A539" s="122" t="s">
        <v>1259</v>
      </c>
      <c r="B539" s="88" t="s">
        <v>126</v>
      </c>
      <c r="C539" s="232" t="n">
        <f aca="false">C537/3*G447*D474</f>
        <v>7.46666666666667</v>
      </c>
      <c r="D539" s="1129" t="n">
        <f aca="false">D526</f>
        <v>250</v>
      </c>
      <c r="E539" s="260" t="n">
        <f aca="false">C539*D539</f>
        <v>1866.66666666667</v>
      </c>
      <c r="F539" s="2116"/>
      <c r="G539" s="1018"/>
      <c r="H539" s="122"/>
      <c r="I539" s="88"/>
      <c r="J539" s="2159"/>
      <c r="K539" s="232"/>
      <c r="L539" s="232" t="n">
        <f aca="false">J539*K539</f>
        <v>0</v>
      </c>
      <c r="M539" s="1148"/>
      <c r="N539" s="1148"/>
      <c r="O539" s="1148"/>
      <c r="P539" s="1148"/>
      <c r="Q539" s="1148"/>
      <c r="R539" s="1148"/>
    </row>
    <row r="540" customFormat="false" ht="15.5" hidden="false" customHeight="false" outlineLevel="0" collapsed="false">
      <c r="A540" s="122" t="str">
        <f aca="false">A527</f>
        <v>Грунт  1</v>
      </c>
      <c r="B540" s="88" t="s">
        <v>396</v>
      </c>
      <c r="C540" s="232" t="n">
        <f aca="false">C538/3*G447*D474</f>
        <v>0</v>
      </c>
      <c r="D540" s="1129" t="n">
        <f aca="false">D527</f>
        <v>100</v>
      </c>
      <c r="E540" s="260" t="n">
        <f aca="false">C540*D540</f>
        <v>0</v>
      </c>
      <c r="F540" s="2116"/>
      <c r="G540" s="2182"/>
      <c r="H540" s="2183"/>
      <c r="I540" s="88"/>
      <c r="J540" s="2159"/>
      <c r="K540" s="232"/>
      <c r="L540" s="232" t="n">
        <f aca="false">J540*K540</f>
        <v>0</v>
      </c>
      <c r="M540" s="1148"/>
      <c r="N540" s="1148"/>
      <c r="O540" s="1148"/>
      <c r="P540" s="1148"/>
      <c r="Q540" s="1148"/>
      <c r="R540" s="1148"/>
    </row>
    <row r="541" customFormat="false" ht="15.5" hidden="false" customHeight="false" outlineLevel="0" collapsed="false">
      <c r="A541" s="232" t="str">
        <f aca="false">'Ввод данных'!A1197</f>
        <v>нет</v>
      </c>
      <c r="B541" s="88" t="s">
        <v>156</v>
      </c>
      <c r="C541" s="232" t="n">
        <f aca="false">C481</f>
        <v>45.28</v>
      </c>
      <c r="D541" s="1129" t="n">
        <f aca="false">VLOOKUP(A541,связи1!A443:E454,4,0)</f>
        <v>0</v>
      </c>
      <c r="E541" s="260" t="n">
        <f aca="false">C541*D541</f>
        <v>0</v>
      </c>
      <c r="F541" s="2116"/>
      <c r="G541" s="88"/>
      <c r="H541" s="88"/>
      <c r="I541" s="88"/>
      <c r="J541" s="2159"/>
      <c r="K541" s="232"/>
      <c r="L541" s="232" t="n">
        <f aca="false">J541*K541</f>
        <v>0</v>
      </c>
      <c r="M541" s="1148"/>
      <c r="N541" s="1148"/>
      <c r="O541" s="1148"/>
      <c r="P541" s="1148"/>
      <c r="Q541" s="1148"/>
      <c r="R541" s="1148"/>
    </row>
    <row r="542" customFormat="false" ht="15.5" hidden="false" customHeight="false" outlineLevel="0" collapsed="false">
      <c r="A542" s="232" t="str">
        <f aca="false">'Ввод данных'!A1199</f>
        <v>Фасадный кронштейн КК 120</v>
      </c>
      <c r="B542" s="88" t="s">
        <v>159</v>
      </c>
      <c r="C542" s="232" t="n">
        <f aca="false">C476*D484*3*G447*D474</f>
        <v>168</v>
      </c>
      <c r="D542" s="1129" t="n">
        <f aca="false">VLOOKUP(A542,'Прайс лист'!B1505:G1516,6,0)</f>
        <v>19</v>
      </c>
      <c r="E542" s="260" t="n">
        <f aca="false">C542*D542</f>
        <v>3192</v>
      </c>
      <c r="F542" s="2116"/>
      <c r="G542" s="88"/>
      <c r="H542" s="88"/>
      <c r="I542" s="88"/>
      <c r="J542" s="2159"/>
      <c r="K542" s="232"/>
      <c r="L542" s="232" t="n">
        <f aca="false">J542*K542</f>
        <v>0</v>
      </c>
      <c r="M542" s="1148"/>
      <c r="N542" s="1148"/>
      <c r="O542" s="1148"/>
      <c r="P542" s="1148"/>
      <c r="Q542" s="1148"/>
      <c r="R542" s="1148"/>
    </row>
    <row r="543" customFormat="false" ht="15.5" hidden="false" customHeight="false" outlineLevel="0" collapsed="false">
      <c r="A543" s="232" t="str">
        <f aca="false">A512</f>
        <v>Болты анкерные с гайкой 10,0 х 97</v>
      </c>
      <c r="B543" s="88" t="s">
        <v>159</v>
      </c>
      <c r="C543" s="232" t="n">
        <f aca="false">C542*2*G447*D474</f>
        <v>336</v>
      </c>
      <c r="D543" s="1129" t="n">
        <f aca="false">D512</f>
        <v>7.4</v>
      </c>
      <c r="E543" s="260" t="n">
        <f aca="false">C543*D543</f>
        <v>2486.4</v>
      </c>
      <c r="F543" s="2116"/>
      <c r="G543" s="88"/>
      <c r="H543" s="88"/>
      <c r="I543" s="88"/>
      <c r="J543" s="2159"/>
      <c r="K543" s="232"/>
      <c r="L543" s="232" t="n">
        <f aca="false">J543*K543</f>
        <v>0</v>
      </c>
      <c r="M543" s="1148"/>
      <c r="N543" s="1148"/>
      <c r="O543" s="1148"/>
      <c r="P543" s="1148"/>
      <c r="Q543" s="1148"/>
      <c r="R543" s="1148"/>
    </row>
    <row r="544" customFormat="false" ht="15.5" hidden="false" customHeight="false" outlineLevel="0" collapsed="false">
      <c r="A544" s="232" t="str">
        <f aca="false">A511</f>
        <v>Саморезы 3,5 x 45</v>
      </c>
      <c r="B544" s="88"/>
      <c r="C544" s="232" t="n">
        <f aca="false">C543</f>
        <v>336</v>
      </c>
      <c r="D544" s="1129" t="n">
        <f aca="false">D511</f>
        <v>0.25</v>
      </c>
      <c r="E544" s="260" t="n">
        <f aca="false">C544*D544</f>
        <v>84</v>
      </c>
      <c r="F544" s="2116"/>
      <c r="G544" s="88"/>
      <c r="H544" s="88"/>
      <c r="I544" s="88"/>
      <c r="J544" s="2159"/>
      <c r="K544" s="232"/>
      <c r="L544" s="232" t="n">
        <f aca="false">J544*K544</f>
        <v>0</v>
      </c>
      <c r="M544" s="1148"/>
      <c r="N544" s="1148"/>
      <c r="O544" s="1148"/>
      <c r="P544" s="1148"/>
      <c r="Q544" s="1148"/>
      <c r="R544" s="1148"/>
    </row>
    <row r="545" customFormat="false" ht="15.5" hidden="false" customHeight="false" outlineLevel="0" collapsed="false">
      <c r="A545" s="232" t="str">
        <f aca="false">'Ввод данных'!A1201</f>
        <v>Плоский шифер 8 мм</v>
      </c>
      <c r="B545" s="88" t="s">
        <v>133</v>
      </c>
      <c r="C545" s="232" t="n">
        <f aca="false">C483*G447*D483*D474</f>
        <v>0</v>
      </c>
      <c r="D545" s="1129" t="n">
        <f aca="false">VLOOKUP(A545,'Прайс лист'!B1521:G1526,6,0)</f>
        <v>85</v>
      </c>
      <c r="E545" s="260" t="n">
        <f aca="false">C545*D545</f>
        <v>0</v>
      </c>
      <c r="F545" s="2116"/>
      <c r="G545" s="2157"/>
      <c r="H545" s="2158"/>
      <c r="I545" s="88"/>
      <c r="J545" s="2159"/>
      <c r="K545" s="232"/>
      <c r="L545" s="232"/>
      <c r="M545" s="1148"/>
      <c r="N545" s="1148"/>
      <c r="O545" s="1148"/>
      <c r="P545" s="1148"/>
      <c r="Q545" s="1148"/>
      <c r="R545" s="1148"/>
    </row>
    <row r="546" customFormat="false" ht="15.5" hidden="false" customHeight="false" outlineLevel="0" collapsed="false">
      <c r="A546" s="88" t="s">
        <v>3965</v>
      </c>
      <c r="B546" s="88"/>
      <c r="C546" s="232" t="n">
        <v>0</v>
      </c>
      <c r="D546" s="1129" t="n">
        <v>1</v>
      </c>
      <c r="E546" s="260" t="n">
        <f aca="false">C546*D546</f>
        <v>0</v>
      </c>
      <c r="F546" s="2116"/>
      <c r="G546" s="88"/>
      <c r="H546" s="88"/>
      <c r="I546" s="88"/>
      <c r="J546" s="2159"/>
      <c r="K546" s="232"/>
      <c r="L546" s="232" t="n">
        <f aca="false">J546*K546</f>
        <v>0</v>
      </c>
      <c r="M546" s="1148"/>
      <c r="N546" s="1148"/>
      <c r="O546" s="1148"/>
      <c r="P546" s="1148"/>
      <c r="Q546" s="1148"/>
      <c r="R546" s="1148"/>
    </row>
    <row r="547" customFormat="false" ht="15.5" hidden="false" customHeight="false" outlineLevel="0" collapsed="false">
      <c r="A547" s="232" t="s">
        <v>1256</v>
      </c>
      <c r="B547" s="88" t="s">
        <v>133</v>
      </c>
      <c r="C547" s="232" t="n">
        <f aca="false">C487*D487*G447*D486</f>
        <v>0</v>
      </c>
      <c r="D547" s="1129" t="n">
        <f aca="false">D522</f>
        <v>0</v>
      </c>
      <c r="E547" s="260" t="n">
        <f aca="false">C547*D547</f>
        <v>0</v>
      </c>
      <c r="F547" s="2116"/>
      <c r="G547" s="88"/>
      <c r="H547" s="88"/>
      <c r="I547" s="88"/>
      <c r="J547" s="2159"/>
      <c r="K547" s="232"/>
      <c r="L547" s="232" t="n">
        <f aca="false">J547*K547</f>
        <v>0</v>
      </c>
      <c r="M547" s="1148"/>
      <c r="N547" s="1148"/>
      <c r="O547" s="1148"/>
      <c r="P547" s="1148"/>
      <c r="Q547" s="1148"/>
      <c r="R547" s="1148"/>
    </row>
    <row r="548" customFormat="false" ht="15.5" hidden="false" customHeight="false" outlineLevel="0" collapsed="false">
      <c r="A548" s="232" t="str">
        <f aca="false">'Ввод данных'!A1209</f>
        <v>Доска сухая, калибр., 35*45мм</v>
      </c>
      <c r="B548" s="88" t="s">
        <v>156</v>
      </c>
      <c r="C548" s="232" t="n">
        <f aca="false">C476*2*D487*G447*D486</f>
        <v>112</v>
      </c>
      <c r="D548" s="1129" t="n">
        <f aca="false">VLOOKUP(A548,связи1!A418:E421,4,0)</f>
        <v>19.6875</v>
      </c>
      <c r="E548" s="260" t="n">
        <f aca="false">C548*D548</f>
        <v>2205</v>
      </c>
      <c r="F548" s="2116"/>
      <c r="G548" s="88"/>
      <c r="H548" s="88"/>
      <c r="I548" s="88"/>
      <c r="J548" s="2159"/>
      <c r="K548" s="232"/>
      <c r="L548" s="232" t="n">
        <f aca="false">J548*K548</f>
        <v>0</v>
      </c>
      <c r="M548" s="1148"/>
      <c r="N548" s="1148"/>
      <c r="O548" s="1148"/>
      <c r="P548" s="1148"/>
      <c r="Q548" s="1148"/>
      <c r="R548" s="1148"/>
    </row>
    <row r="549" customFormat="false" ht="15.5" hidden="false" customHeight="false" outlineLevel="0" collapsed="false">
      <c r="A549" s="232" t="s">
        <v>1574</v>
      </c>
      <c r="B549" s="88" t="s">
        <v>133</v>
      </c>
      <c r="C549" s="232" t="n">
        <f aca="false">C488*G447*D488*D486</f>
        <v>0</v>
      </c>
      <c r="D549" s="1129" t="n">
        <f aca="false">D517</f>
        <v>350</v>
      </c>
      <c r="E549" s="260" t="n">
        <f aca="false">C549*D549</f>
        <v>0</v>
      </c>
      <c r="F549" s="2116"/>
      <c r="G549" s="88"/>
      <c r="H549" s="88"/>
      <c r="I549" s="88"/>
      <c r="J549" s="2159"/>
      <c r="K549" s="232"/>
      <c r="L549" s="232" t="n">
        <f aca="false">J549*K549</f>
        <v>0</v>
      </c>
      <c r="M549" s="1148"/>
      <c r="N549" s="1148"/>
      <c r="O549" s="1148"/>
      <c r="P549" s="1148"/>
      <c r="Q549" s="1148"/>
      <c r="R549" s="1148"/>
    </row>
    <row r="550" customFormat="false" ht="15.5" hidden="false" customHeight="false" outlineLevel="0" collapsed="false">
      <c r="A550" s="232" t="s">
        <v>1251</v>
      </c>
      <c r="B550" s="88" t="s">
        <v>156</v>
      </c>
      <c r="C550" s="232" t="n">
        <f aca="false">C476*G447*D488*D486</f>
        <v>0</v>
      </c>
      <c r="D550" s="1129" t="n">
        <f aca="false">'Прайс лист'!G1378</f>
        <v>60</v>
      </c>
      <c r="E550" s="260" t="n">
        <f aca="false">C550*D550</f>
        <v>0</v>
      </c>
      <c r="F550" s="2116"/>
      <c r="G550" s="88"/>
      <c r="H550" s="88"/>
      <c r="I550" s="88"/>
      <c r="J550" s="2159"/>
      <c r="K550" s="232"/>
      <c r="L550" s="232" t="n">
        <f aca="false">J550*K550</f>
        <v>0</v>
      </c>
      <c r="M550" s="1148"/>
      <c r="N550" s="1148"/>
      <c r="O550" s="1148"/>
      <c r="P550" s="1148"/>
      <c r="Q550" s="1148"/>
      <c r="R550" s="1148"/>
    </row>
    <row r="551" customFormat="false" ht="15.5" hidden="false" customHeight="false" outlineLevel="0" collapsed="false">
      <c r="A551" s="232" t="s">
        <v>1252</v>
      </c>
      <c r="B551" s="88" t="s">
        <v>156</v>
      </c>
      <c r="C551" s="232" t="n">
        <f aca="false">C550*D488*G447*D486</f>
        <v>0</v>
      </c>
      <c r="D551" s="1129" t="n">
        <f aca="false">'Прайс лист'!G1379</f>
        <v>40</v>
      </c>
      <c r="E551" s="260" t="n">
        <f aca="false">C551*D551</f>
        <v>0</v>
      </c>
      <c r="F551" s="2116"/>
      <c r="G551" s="88"/>
      <c r="H551" s="88"/>
      <c r="I551" s="88"/>
      <c r="J551" s="2159"/>
      <c r="K551" s="232"/>
      <c r="L551" s="232" t="n">
        <f aca="false">J551*K551</f>
        <v>0</v>
      </c>
      <c r="M551" s="1148"/>
      <c r="N551" s="1148"/>
      <c r="O551" s="1148"/>
      <c r="P551" s="1148"/>
      <c r="Q551" s="1148"/>
      <c r="R551" s="1148"/>
    </row>
    <row r="552" customFormat="false" ht="15.5" hidden="false" customHeight="false" outlineLevel="0" collapsed="false">
      <c r="A552" s="232" t="str">
        <f aca="false">A544</f>
        <v>Саморезы 3,5 x 45</v>
      </c>
      <c r="B552" s="88" t="s">
        <v>159</v>
      </c>
      <c r="C552" s="232" t="n">
        <f aca="false">(D487+D488)*C476*2*3*G447*D486</f>
        <v>336</v>
      </c>
      <c r="D552" s="1129" t="n">
        <f aca="false">D544</f>
        <v>0.25</v>
      </c>
      <c r="E552" s="260" t="n">
        <f aca="false">C552*D552</f>
        <v>84</v>
      </c>
      <c r="F552" s="2116"/>
      <c r="G552" s="88"/>
      <c r="H552" s="88"/>
      <c r="I552" s="88"/>
      <c r="J552" s="2159"/>
      <c r="K552" s="232"/>
      <c r="L552" s="232" t="n">
        <f aca="false">J552*K552</f>
        <v>0</v>
      </c>
      <c r="M552" s="1148"/>
      <c r="N552" s="1148"/>
      <c r="O552" s="1148"/>
      <c r="P552" s="1148"/>
      <c r="Q552" s="1148"/>
      <c r="R552" s="1148"/>
    </row>
    <row r="553" customFormat="false" ht="15.5" hidden="false" customHeight="false" outlineLevel="0" collapsed="false">
      <c r="A553" s="232" t="str">
        <f aca="false">'Прайс лист'!B879</f>
        <v>Саморезы 4,2 х 75</v>
      </c>
      <c r="B553" s="88" t="s">
        <v>159</v>
      </c>
      <c r="C553" s="232" t="n">
        <f aca="false">(C487*D487+C488*D488)*15*G447*D486</f>
        <v>0</v>
      </c>
      <c r="D553" s="1129" t="n">
        <f aca="false">'Прайс лист'!F879</f>
        <v>0.45</v>
      </c>
      <c r="E553" s="260" t="n">
        <f aca="false">C553*D553</f>
        <v>0</v>
      </c>
      <c r="F553" s="2116"/>
      <c r="G553" s="88"/>
      <c r="H553" s="88"/>
      <c r="I553" s="88"/>
      <c r="J553" s="2159"/>
      <c r="K553" s="232"/>
      <c r="L553" s="232" t="n">
        <f aca="false">J553*K553</f>
        <v>0</v>
      </c>
      <c r="M553" s="1148"/>
      <c r="N553" s="1148"/>
      <c r="O553" s="1148"/>
      <c r="P553" s="1148"/>
      <c r="Q553" s="1148"/>
      <c r="R553" s="1148"/>
    </row>
    <row r="554" customFormat="false" ht="15.5" hidden="false" customHeight="false" outlineLevel="0" collapsed="false">
      <c r="A554" s="232" t="str">
        <f aca="false">'Ввод данных'!A1211</f>
        <v>Нет техники</v>
      </c>
      <c r="B554" s="232" t="str">
        <f aca="false">'Ввод данных'!B1211</f>
        <v>час</v>
      </c>
      <c r="C554" s="232" t="n">
        <f aca="false">'Ввод данных'!C1211</f>
        <v>0</v>
      </c>
      <c r="D554" s="88" t="n">
        <f aca="false">VLOOKUP(A554,'Прайс лист'!B180:G194,6,0)</f>
        <v>0</v>
      </c>
      <c r="E554" s="260" t="n">
        <f aca="false">C554*D554</f>
        <v>0</v>
      </c>
      <c r="F554" s="2116"/>
      <c r="G554" s="88"/>
      <c r="H554" s="88"/>
      <c r="I554" s="88"/>
      <c r="J554" s="2159"/>
      <c r="K554" s="232"/>
      <c r="L554" s="232"/>
      <c r="M554" s="1148"/>
      <c r="N554" s="1148"/>
      <c r="O554" s="1148"/>
      <c r="P554" s="1148"/>
      <c r="Q554" s="1148"/>
      <c r="R554" s="1148"/>
    </row>
    <row r="555" customFormat="false" ht="15.5" hidden="false" customHeight="false" outlineLevel="0" collapsed="false">
      <c r="A555" s="232" t="str">
        <f aca="false">'Ввод данных'!A1212</f>
        <v>Нет техники</v>
      </c>
      <c r="B555" s="232" t="str">
        <f aca="false">'Ввод данных'!B1212</f>
        <v>шт</v>
      </c>
      <c r="C555" s="232" t="n">
        <f aca="false">'Ввод данных'!C1212</f>
        <v>0</v>
      </c>
      <c r="D555" s="88" t="n">
        <f aca="false">VLOOKUP(A555,'Прайс лист'!B180:G194,6,0)</f>
        <v>0</v>
      </c>
      <c r="E555" s="260" t="n">
        <f aca="false">C555*D555</f>
        <v>0</v>
      </c>
      <c r="F555" s="2116"/>
      <c r="G555" s="88"/>
      <c r="H555" s="88"/>
      <c r="I555" s="88"/>
      <c r="J555" s="2159"/>
      <c r="K555" s="232"/>
      <c r="L555" s="232" t="n">
        <f aca="false">J555*K555</f>
        <v>0</v>
      </c>
      <c r="M555" s="1148"/>
      <c r="N555" s="1148"/>
      <c r="O555" s="1148"/>
      <c r="P555" s="1148"/>
      <c r="Q555" s="1148"/>
      <c r="R555" s="1148"/>
    </row>
    <row r="556" customFormat="false" ht="15.5" hidden="false" customHeight="false" outlineLevel="0" collapsed="false">
      <c r="A556" s="232" t="str">
        <f aca="false">'Ввод данных'!A1214</f>
        <v>расходные материалы отделка внешняя</v>
      </c>
      <c r="B556" s="232" t="str">
        <f aca="false">'Ввод данных'!B1214</f>
        <v>рублей</v>
      </c>
      <c r="C556" s="232" t="n">
        <f aca="false">1</f>
        <v>1</v>
      </c>
      <c r="D556" s="88" t="n">
        <f aca="false">'Ввод данных'!C1214</f>
        <v>3000</v>
      </c>
      <c r="E556" s="260" t="n">
        <f aca="false">C556*D556</f>
        <v>3000</v>
      </c>
      <c r="F556" s="2116"/>
      <c r="G556" s="88"/>
      <c r="H556" s="88"/>
      <c r="I556" s="88"/>
      <c r="J556" s="2159"/>
      <c r="K556" s="232"/>
      <c r="L556" s="232" t="n">
        <f aca="false">J556*K556</f>
        <v>0</v>
      </c>
      <c r="M556" s="1148"/>
      <c r="N556" s="1148"/>
      <c r="O556" s="1148"/>
      <c r="P556" s="1148"/>
      <c r="Q556" s="1148"/>
      <c r="R556" s="1148"/>
    </row>
    <row r="557" customFormat="false" ht="15.5" hidden="false" customHeight="false" outlineLevel="0" collapsed="false">
      <c r="F557" s="2116"/>
      <c r="G557" s="2184"/>
      <c r="H557" s="2184"/>
      <c r="I557" s="2184"/>
      <c r="J557" s="2185"/>
      <c r="K557" s="2116"/>
      <c r="L557" s="232"/>
      <c r="M557" s="1148"/>
      <c r="N557" s="1148"/>
      <c r="O557" s="1148"/>
      <c r="P557" s="1148"/>
      <c r="Q557" s="1148"/>
      <c r="R557" s="1148"/>
    </row>
    <row r="558" customFormat="false" ht="15.5" hidden="false" customHeight="false" outlineLevel="0" collapsed="false">
      <c r="A558" s="1148"/>
      <c r="B558" s="1148"/>
      <c r="C558" s="1148"/>
      <c r="D558" s="1148"/>
      <c r="E558" s="1124" t="n">
        <f aca="false">SUM(E508:E555)</f>
        <v>331742.755466667</v>
      </c>
      <c r="F558" s="1148"/>
      <c r="G558" s="2124"/>
      <c r="H558" s="2116"/>
      <c r="I558" s="1148"/>
      <c r="J558" s="1148"/>
      <c r="K558" s="1148"/>
      <c r="L558" s="232" t="n">
        <f aca="false">SUM(L508:L556)</f>
        <v>148368</v>
      </c>
      <c r="M558" s="1148"/>
      <c r="N558" s="1148"/>
      <c r="O558" s="1148"/>
      <c r="P558" s="1148"/>
      <c r="Q558" s="1148"/>
      <c r="R558" s="1148"/>
    </row>
    <row r="559" customFormat="false" ht="15.5" hidden="false" customHeight="false" outlineLevel="0" collapsed="false">
      <c r="A559" s="87" t="s">
        <v>3660</v>
      </c>
      <c r="B559" s="2159" t="n">
        <f aca="false">E558</f>
        <v>331742.755466667</v>
      </c>
      <c r="C559" s="1148"/>
      <c r="D559" s="1148"/>
      <c r="E559" s="1148"/>
      <c r="F559" s="1148"/>
      <c r="G559" s="1148"/>
      <c r="H559" s="1148"/>
      <c r="I559" s="1148"/>
      <c r="J559" s="1148"/>
      <c r="K559" s="1148"/>
      <c r="L559" s="1148"/>
      <c r="M559" s="1148"/>
      <c r="N559" s="1148"/>
      <c r="O559" s="1148"/>
      <c r="P559" s="1148"/>
      <c r="Q559" s="1148"/>
      <c r="R559" s="1148"/>
    </row>
    <row r="560" customFormat="false" ht="15.5" hidden="false" customHeight="false" outlineLevel="0" collapsed="false">
      <c r="A560" s="87" t="s">
        <v>3661</v>
      </c>
      <c r="B560" s="2159" t="n">
        <f aca="false">L558</f>
        <v>148368</v>
      </c>
      <c r="C560" s="1148"/>
      <c r="D560" s="1148"/>
      <c r="E560" s="1148"/>
      <c r="F560" s="1148"/>
      <c r="G560" s="1148"/>
      <c r="H560" s="1148"/>
      <c r="I560" s="1148"/>
      <c r="J560" s="1148"/>
      <c r="K560" s="1148"/>
      <c r="L560" s="1148"/>
      <c r="M560" s="1148"/>
      <c r="N560" s="1148"/>
      <c r="O560" s="1148"/>
      <c r="P560" s="1148"/>
      <c r="Q560" s="1148"/>
      <c r="R560" s="1148"/>
    </row>
    <row r="561" customFormat="false" ht="15.5" hidden="false" customHeight="false" outlineLevel="0" collapsed="false">
      <c r="A561" s="232" t="s">
        <v>2728</v>
      </c>
      <c r="B561" s="2159" t="n">
        <f aca="false">(B559+B560)</f>
        <v>480110.755466667</v>
      </c>
      <c r="C561" s="1148"/>
      <c r="D561" s="1148"/>
      <c r="E561" s="1148"/>
      <c r="F561" s="1148"/>
      <c r="G561" s="1148"/>
      <c r="H561" s="1148"/>
      <c r="I561" s="1148"/>
      <c r="J561" s="1148"/>
      <c r="K561" s="1148"/>
      <c r="L561" s="1148"/>
      <c r="M561" s="1148"/>
      <c r="N561" s="1148"/>
      <c r="O561" s="1148"/>
      <c r="P561" s="1148"/>
      <c r="Q561" s="1148"/>
      <c r="R561" s="1148"/>
    </row>
    <row r="562" customFormat="false" ht="15.5" hidden="false" customHeight="false" outlineLevel="0" collapsed="false">
      <c r="A562" s="2186" t="s">
        <v>2465</v>
      </c>
      <c r="B562" s="2147"/>
      <c r="C562" s="2148" t="s">
        <v>3663</v>
      </c>
      <c r="D562" s="2148"/>
      <c r="E562" s="2148"/>
      <c r="F562" s="2148"/>
      <c r="G562" s="2149"/>
      <c r="H562" s="1148"/>
      <c r="I562" s="1148"/>
      <c r="J562" s="1148"/>
      <c r="K562" s="1148"/>
      <c r="L562" s="1148"/>
      <c r="M562" s="1148"/>
      <c r="N562" s="1148"/>
      <c r="O562" s="1148"/>
      <c r="P562" s="1148"/>
      <c r="Q562" s="1148"/>
      <c r="R562" s="1148"/>
    </row>
    <row r="563" customFormat="false" ht="15.5" hidden="false" customHeight="false" outlineLevel="0" collapsed="false">
      <c r="A563" s="2160"/>
      <c r="B563" s="1148"/>
      <c r="C563" s="2149"/>
      <c r="D563" s="2149"/>
      <c r="E563" s="1148"/>
      <c r="F563" s="2149"/>
      <c r="G563" s="2149"/>
      <c r="H563" s="1148"/>
      <c r="I563" s="1148"/>
      <c r="J563" s="1148"/>
      <c r="K563" s="1148"/>
      <c r="L563" s="1148"/>
      <c r="M563" s="1148"/>
      <c r="N563" s="1148"/>
      <c r="O563" s="1148"/>
      <c r="P563" s="1148"/>
      <c r="Q563" s="1148"/>
      <c r="R563" s="1148"/>
    </row>
    <row r="564" customFormat="false" ht="23.5" hidden="false" customHeight="false" outlineLevel="0" collapsed="false">
      <c r="A564" s="2161" t="s">
        <v>2466</v>
      </c>
      <c r="B564" s="2161"/>
      <c r="C564" s="2161"/>
      <c r="D564" s="2161"/>
      <c r="E564" s="2161"/>
      <c r="F564" s="2161"/>
      <c r="G564" s="2161"/>
      <c r="H564" s="2161"/>
      <c r="I564" s="2161"/>
      <c r="J564" s="784"/>
      <c r="K564" s="784"/>
      <c r="L564" s="1148"/>
      <c r="M564" s="1148"/>
      <c r="N564" s="1148"/>
      <c r="O564" s="1148"/>
      <c r="P564" s="1148"/>
      <c r="Q564" s="1148"/>
      <c r="R564" s="1148"/>
    </row>
    <row r="565" customFormat="false" ht="23.5" hidden="false" customHeight="false" outlineLevel="0" collapsed="false">
      <c r="A565" s="2161"/>
      <c r="B565" s="2161"/>
      <c r="C565" s="2161"/>
      <c r="D565" s="2161"/>
      <c r="E565" s="2161"/>
      <c r="F565" s="2161"/>
      <c r="G565" s="2161"/>
      <c r="H565" s="2161"/>
      <c r="I565" s="2161"/>
      <c r="J565" s="784"/>
      <c r="K565" s="784"/>
      <c r="L565" s="1148"/>
      <c r="M565" s="1148"/>
      <c r="N565" s="1148"/>
      <c r="O565" s="1148"/>
      <c r="P565" s="1148"/>
      <c r="Q565" s="1148"/>
      <c r="R565" s="1148"/>
    </row>
    <row r="566" customFormat="false" ht="23.5" hidden="false" customHeight="false" outlineLevel="0" collapsed="false">
      <c r="A566" s="2151" t="s">
        <v>1806</v>
      </c>
      <c r="B566" s="2151"/>
      <c r="C566" s="2151"/>
      <c r="D566" s="2151"/>
      <c r="E566" s="2151"/>
      <c r="F566" s="2151"/>
      <c r="G566" s="2187" t="n">
        <f aca="false">'Ввод данных'!D1220</f>
        <v>1</v>
      </c>
      <c r="H566" s="855" t="n">
        <f aca="false">'Ввод данных'!D1221</f>
        <v>1</v>
      </c>
      <c r="I566" s="855"/>
      <c r="J566" s="855"/>
      <c r="K566" s="855"/>
      <c r="L566" s="1148"/>
      <c r="M566" s="1148"/>
      <c r="N566" s="1148"/>
      <c r="O566" s="1148"/>
      <c r="P566" s="1148"/>
      <c r="Q566" s="1148"/>
      <c r="R566" s="1148"/>
    </row>
    <row r="567" customFormat="false" ht="23.5" hidden="false" customHeight="false" outlineLevel="0" collapsed="false">
      <c r="A567" s="2151"/>
      <c r="B567" s="2151"/>
      <c r="C567" s="2151"/>
      <c r="D567" s="2151"/>
      <c r="E567" s="2151"/>
      <c r="F567" s="2151"/>
      <c r="G567" s="2153"/>
      <c r="H567" s="855"/>
      <c r="I567" s="855"/>
      <c r="J567" s="855"/>
      <c r="K567" s="855"/>
      <c r="L567" s="1148"/>
      <c r="M567" s="1148"/>
      <c r="N567" s="1148"/>
      <c r="O567" s="1148"/>
      <c r="P567" s="1148"/>
      <c r="Q567" s="1148"/>
      <c r="R567" s="1148"/>
    </row>
    <row r="568" customFormat="false" ht="23.5" hidden="false" customHeight="false" outlineLevel="0" collapsed="false">
      <c r="A568" s="263" t="s">
        <v>1552</v>
      </c>
      <c r="B568" s="263" t="s">
        <v>208</v>
      </c>
      <c r="C568" s="263" t="s">
        <v>1802</v>
      </c>
      <c r="D568" s="263" t="n">
        <f aca="false">VLOOKUP('Ввод данных'!C1224,связи1!A2:B3,2,0)</f>
        <v>0</v>
      </c>
      <c r="E568" s="477"/>
      <c r="F568" s="477"/>
      <c r="G568" s="863"/>
      <c r="H568" s="855"/>
      <c r="I568" s="855"/>
      <c r="J568" s="855"/>
      <c r="K568" s="855"/>
      <c r="L568" s="1148"/>
      <c r="M568" s="1148"/>
      <c r="N568" s="1148"/>
      <c r="O568" s="1148"/>
      <c r="P568" s="1148"/>
      <c r="Q568" s="1148"/>
      <c r="R568" s="1148"/>
    </row>
    <row r="569" customFormat="false" ht="23.5" hidden="false" customHeight="false" outlineLevel="0" collapsed="false">
      <c r="A569" s="261" t="s">
        <v>2468</v>
      </c>
      <c r="B569" s="261" t="s">
        <v>133</v>
      </c>
      <c r="C569" s="232" t="n">
        <f aca="false">C624+C626*2-C597</f>
        <v>135.6</v>
      </c>
      <c r="D569" s="2188" t="n">
        <f aca="false">VLOOKUP('Ввод данных'!C1225,связи1!A2:B3,2,0)</f>
        <v>0</v>
      </c>
      <c r="E569" s="477"/>
      <c r="F569" s="477"/>
      <c r="G569" s="863"/>
      <c r="H569" s="855"/>
      <c r="I569" s="855"/>
      <c r="J569" s="855"/>
      <c r="K569" s="855"/>
      <c r="L569" s="1148"/>
      <c r="M569" s="1148"/>
      <c r="N569" s="1148"/>
      <c r="O569" s="1148"/>
      <c r="P569" s="1148"/>
      <c r="Q569" s="1148"/>
      <c r="R569" s="1148"/>
    </row>
    <row r="570" customFormat="false" ht="23.5" hidden="false" customHeight="false" outlineLevel="0" collapsed="false">
      <c r="A570" s="261" t="s">
        <v>3966</v>
      </c>
      <c r="B570" s="261" t="s">
        <v>133</v>
      </c>
      <c r="C570" s="232" t="n">
        <f aca="false">C623+C626*2*0.9</f>
        <v>127.32</v>
      </c>
      <c r="D570" s="2188" t="n">
        <f aca="false">IF('Ввод данных'!A1226=связи1!H9,1,0)</f>
        <v>0</v>
      </c>
      <c r="E570" s="477"/>
      <c r="F570" s="477"/>
      <c r="G570" s="863"/>
      <c r="H570" s="855"/>
      <c r="I570" s="855"/>
      <c r="J570" s="855"/>
      <c r="K570" s="855"/>
      <c r="L570" s="1148"/>
      <c r="M570" s="1148"/>
      <c r="N570" s="1148"/>
      <c r="O570" s="1148"/>
      <c r="P570" s="1148"/>
      <c r="Q570" s="1148"/>
      <c r="R570" s="1148"/>
    </row>
    <row r="571" customFormat="false" ht="23.5" hidden="false" customHeight="false" outlineLevel="0" collapsed="false">
      <c r="A571" s="261" t="s">
        <v>2470</v>
      </c>
      <c r="B571" s="261" t="s">
        <v>133</v>
      </c>
      <c r="C571" s="232" t="n">
        <f aca="false">C569</f>
        <v>135.6</v>
      </c>
      <c r="D571" s="2188" t="n">
        <f aca="false">VLOOKUP('Ввод данных'!C1227,связи1!A2:B3,2,0)</f>
        <v>0</v>
      </c>
      <c r="E571" s="477"/>
      <c r="F571" s="477"/>
      <c r="G571" s="863"/>
      <c r="H571" s="855"/>
      <c r="I571" s="855"/>
      <c r="J571" s="855"/>
      <c r="K571" s="855"/>
      <c r="L571" s="1148"/>
      <c r="M571" s="1148"/>
      <c r="N571" s="1148"/>
      <c r="O571" s="1148"/>
      <c r="P571" s="1148"/>
      <c r="Q571" s="1148"/>
      <c r="R571" s="1148"/>
    </row>
    <row r="572" customFormat="false" ht="23.5" hidden="false" customHeight="false" outlineLevel="0" collapsed="false">
      <c r="A572" s="261" t="s">
        <v>1278</v>
      </c>
      <c r="B572" s="261" t="s">
        <v>133</v>
      </c>
      <c r="C572" s="232" t="n">
        <f aca="false">C569</f>
        <v>135.6</v>
      </c>
      <c r="D572" s="2188" t="n">
        <f aca="false">VLOOKUP('Ввод данных'!C1228,связи1!A2:B3,2,0)</f>
        <v>0</v>
      </c>
      <c r="E572" s="477"/>
      <c r="F572" s="477"/>
      <c r="G572" s="863"/>
      <c r="H572" s="855"/>
      <c r="I572" s="855"/>
      <c r="J572" s="855"/>
      <c r="K572" s="855"/>
      <c r="L572" s="1148"/>
      <c r="M572" s="1148"/>
      <c r="N572" s="1148"/>
      <c r="O572" s="1148"/>
      <c r="P572" s="1148"/>
      <c r="Q572" s="1148"/>
      <c r="R572" s="1148"/>
    </row>
    <row r="573" customFormat="false" ht="23.5" hidden="false" customHeight="false" outlineLevel="0" collapsed="false">
      <c r="A573" s="261" t="s">
        <v>2471</v>
      </c>
      <c r="B573" s="261" t="s">
        <v>133</v>
      </c>
      <c r="C573" s="232" t="n">
        <f aca="false">C569</f>
        <v>135.6</v>
      </c>
      <c r="D573" s="2188" t="n">
        <f aca="false">VLOOKUP('Ввод данных'!C1229,связи1!A2:B3,2,0)</f>
        <v>0</v>
      </c>
      <c r="E573" s="477"/>
      <c r="F573" s="477"/>
      <c r="G573" s="863"/>
      <c r="H573" s="855"/>
      <c r="I573" s="855"/>
      <c r="J573" s="855"/>
      <c r="K573" s="855"/>
      <c r="L573" s="1148"/>
      <c r="M573" s="1148"/>
      <c r="N573" s="1148"/>
      <c r="O573" s="1148"/>
      <c r="P573" s="1148"/>
      <c r="Q573" s="1148"/>
      <c r="R573" s="1148"/>
    </row>
    <row r="574" customFormat="false" ht="23.5" hidden="false" customHeight="false" outlineLevel="0" collapsed="false">
      <c r="A574" s="261" t="s">
        <v>1255</v>
      </c>
      <c r="B574" s="261" t="s">
        <v>133</v>
      </c>
      <c r="C574" s="232" t="n">
        <f aca="false">C624+C626*2-C597</f>
        <v>135.6</v>
      </c>
      <c r="D574" s="2188" t="n">
        <f aca="false">IF('Ввод данных'!A1230=связи1!H27,1,0)</f>
        <v>0</v>
      </c>
      <c r="E574" s="477"/>
      <c r="F574" s="477"/>
      <c r="G574" s="863"/>
      <c r="H574" s="855"/>
      <c r="I574" s="855"/>
      <c r="J574" s="855"/>
      <c r="K574" s="855"/>
      <c r="L574" s="1148"/>
      <c r="M574" s="1148"/>
      <c r="N574" s="1148"/>
      <c r="O574" s="1148"/>
      <c r="P574" s="1148"/>
      <c r="Q574" s="1148"/>
      <c r="R574" s="1148"/>
    </row>
    <row r="575" customFormat="false" ht="23.5" hidden="false" customHeight="false" outlineLevel="0" collapsed="false">
      <c r="A575" s="261" t="s">
        <v>1281</v>
      </c>
      <c r="B575" s="261" t="s">
        <v>133</v>
      </c>
      <c r="C575" s="232" t="n">
        <f aca="false">C624+C626*2-C597</f>
        <v>135.6</v>
      </c>
      <c r="D575" s="2188" t="n">
        <f aca="false">IF('Ввод данных'!A1230=связи1!H28,1,0)</f>
        <v>0</v>
      </c>
      <c r="E575" s="477"/>
      <c r="F575" s="477"/>
      <c r="G575" s="863"/>
      <c r="H575" s="855"/>
      <c r="I575" s="855"/>
      <c r="J575" s="855"/>
      <c r="K575" s="855"/>
      <c r="L575" s="1148"/>
      <c r="M575" s="1148"/>
      <c r="N575" s="1148"/>
      <c r="O575" s="1148"/>
      <c r="P575" s="1148"/>
      <c r="Q575" s="1148"/>
      <c r="R575" s="1148"/>
    </row>
    <row r="576" customFormat="false" ht="23.5" hidden="false" customHeight="false" outlineLevel="0" collapsed="false">
      <c r="A576" s="261" t="s">
        <v>1282</v>
      </c>
      <c r="B576" s="261" t="s">
        <v>133</v>
      </c>
      <c r="C576" s="232" t="n">
        <f aca="false">C624+C626*2-C597</f>
        <v>135.6</v>
      </c>
      <c r="D576" s="2188" t="n">
        <f aca="false">IF('Ввод данных'!A1230=связи1!H29,1,0)</f>
        <v>0</v>
      </c>
      <c r="E576" s="477"/>
      <c r="F576" s="477"/>
      <c r="G576" s="863"/>
      <c r="H576" s="855"/>
      <c r="I576" s="855"/>
      <c r="J576" s="855"/>
      <c r="K576" s="855"/>
      <c r="L576" s="1148"/>
      <c r="M576" s="1148"/>
      <c r="N576" s="1148"/>
      <c r="O576" s="1148"/>
      <c r="P576" s="1148"/>
      <c r="Q576" s="1148"/>
      <c r="R576" s="1148"/>
    </row>
    <row r="577" customFormat="false" ht="23.5" hidden="false" customHeight="false" outlineLevel="0" collapsed="false">
      <c r="A577" s="261" t="s">
        <v>3967</v>
      </c>
      <c r="B577" s="261" t="s">
        <v>133</v>
      </c>
      <c r="C577" s="1124" t="n">
        <f aca="false">C624+C626*2-C597</f>
        <v>135.6</v>
      </c>
      <c r="D577" s="2188" t="n">
        <f aca="false">IF('Ввод данных'!A1226=связи1!H10,1,0)</f>
        <v>0</v>
      </c>
      <c r="E577" s="477"/>
      <c r="F577" s="477"/>
      <c r="G577" s="863"/>
      <c r="H577" s="855"/>
      <c r="I577" s="855"/>
      <c r="J577" s="855"/>
      <c r="K577" s="855"/>
      <c r="L577" s="1148"/>
      <c r="M577" s="1148"/>
      <c r="N577" s="1148"/>
      <c r="O577" s="1148"/>
      <c r="P577" s="1148"/>
      <c r="Q577" s="1148"/>
      <c r="R577" s="1148"/>
    </row>
    <row r="578" customFormat="false" ht="23.5" hidden="false" customHeight="false" outlineLevel="0" collapsed="false">
      <c r="A578" s="261" t="s">
        <v>1284</v>
      </c>
      <c r="B578" s="261" t="s">
        <v>159</v>
      </c>
      <c r="C578" s="1124" t="n">
        <f aca="false">C577*D578</f>
        <v>0</v>
      </c>
      <c r="D578" s="2188" t="n">
        <f aca="false">D577</f>
        <v>0</v>
      </c>
      <c r="E578" s="477"/>
      <c r="F578" s="477"/>
      <c r="G578" s="863"/>
      <c r="H578" s="855"/>
      <c r="I578" s="855"/>
      <c r="J578" s="855"/>
      <c r="K578" s="855"/>
      <c r="L578" s="1148"/>
      <c r="M578" s="1148"/>
      <c r="N578" s="1148"/>
      <c r="O578" s="1148"/>
      <c r="P578" s="1148"/>
      <c r="Q578" s="1148"/>
      <c r="R578" s="1148"/>
    </row>
    <row r="579" customFormat="false" ht="23.5" hidden="false" customHeight="false" outlineLevel="0" collapsed="false">
      <c r="A579" s="263" t="s">
        <v>1582</v>
      </c>
      <c r="B579" s="261"/>
      <c r="C579" s="1124"/>
      <c r="D579" s="263" t="n">
        <f aca="false">VLOOKUP('Ввод данных'!C1231,связи1!A2:B3,2,0)</f>
        <v>0</v>
      </c>
      <c r="E579" s="477"/>
      <c r="F579" s="477"/>
      <c r="G579" s="863"/>
      <c r="H579" s="855"/>
      <c r="I579" s="855"/>
      <c r="J579" s="855"/>
      <c r="K579" s="855"/>
      <c r="L579" s="1148"/>
      <c r="M579" s="1148"/>
      <c r="N579" s="1148"/>
      <c r="O579" s="1148"/>
      <c r="P579" s="1148"/>
      <c r="Q579" s="1148"/>
      <c r="R579" s="1148"/>
    </row>
    <row r="580" customFormat="false" ht="23.5" hidden="false" customHeight="false" outlineLevel="0" collapsed="false">
      <c r="A580" s="261" t="s">
        <v>2473</v>
      </c>
      <c r="B580" s="261" t="s">
        <v>133</v>
      </c>
      <c r="C580" s="232" t="n">
        <f aca="false">C614</f>
        <v>100</v>
      </c>
      <c r="D580" s="2188" t="n">
        <f aca="false">VLOOKUP('Ввод данных'!C1232,связи1!A2:B3,2,0)</f>
        <v>0</v>
      </c>
      <c r="E580" s="477"/>
      <c r="F580" s="477"/>
      <c r="G580" s="863"/>
      <c r="H580" s="855"/>
      <c r="I580" s="855"/>
      <c r="J580" s="855"/>
      <c r="K580" s="855"/>
      <c r="L580" s="1148"/>
      <c r="M580" s="1148"/>
      <c r="N580" s="1148"/>
      <c r="O580" s="1148"/>
      <c r="P580" s="1148"/>
      <c r="Q580" s="1148"/>
      <c r="R580" s="1148"/>
    </row>
    <row r="581" customFormat="false" ht="23.5" hidden="false" customHeight="false" outlineLevel="0" collapsed="false">
      <c r="A581" s="261" t="s">
        <v>3966</v>
      </c>
      <c r="B581" s="261" t="s">
        <v>133</v>
      </c>
      <c r="C581" s="232" t="n">
        <f aca="false">C580</f>
        <v>100</v>
      </c>
      <c r="D581" s="2188" t="n">
        <f aca="false">IF('Ввод данных'!A1233=связи1!H9,1,0)</f>
        <v>0</v>
      </c>
      <c r="E581" s="477"/>
      <c r="F581" s="477"/>
      <c r="G581" s="863"/>
      <c r="H581" s="855"/>
      <c r="I581" s="855"/>
      <c r="J581" s="855"/>
      <c r="K581" s="855"/>
      <c r="L581" s="1148"/>
      <c r="M581" s="1148"/>
      <c r="N581" s="1148"/>
      <c r="O581" s="1148"/>
      <c r="P581" s="1148"/>
      <c r="Q581" s="1148"/>
      <c r="R581" s="1148"/>
    </row>
    <row r="582" customFormat="false" ht="23.5" hidden="false" customHeight="false" outlineLevel="0" collapsed="false">
      <c r="A582" s="261" t="s">
        <v>2470</v>
      </c>
      <c r="B582" s="261" t="s">
        <v>133</v>
      </c>
      <c r="C582" s="232" t="n">
        <f aca="false">C580</f>
        <v>100</v>
      </c>
      <c r="D582" s="2188" t="n">
        <f aca="false">VLOOKUP('Ввод данных'!C1234,связи1!A2:B3,2,0)</f>
        <v>0</v>
      </c>
      <c r="E582" s="477"/>
      <c r="F582" s="477"/>
      <c r="G582" s="863"/>
      <c r="H582" s="855"/>
      <c r="I582" s="855"/>
      <c r="J582" s="855"/>
      <c r="K582" s="855"/>
      <c r="L582" s="1148"/>
      <c r="M582" s="1148"/>
      <c r="N582" s="1148"/>
      <c r="O582" s="1148"/>
      <c r="P582" s="1148"/>
      <c r="Q582" s="1148"/>
      <c r="R582" s="1148"/>
    </row>
    <row r="583" customFormat="false" ht="23.5" hidden="false" customHeight="false" outlineLevel="0" collapsed="false">
      <c r="A583" s="261" t="s">
        <v>2471</v>
      </c>
      <c r="B583" s="261" t="s">
        <v>133</v>
      </c>
      <c r="C583" s="232" t="n">
        <f aca="false">C580</f>
        <v>100</v>
      </c>
      <c r="D583" s="2188" t="n">
        <f aca="false">VLOOKUP('Ввод данных'!C1235,связи1!A2:B3,2,0)</f>
        <v>0</v>
      </c>
      <c r="E583" s="477"/>
      <c r="F583" s="477"/>
      <c r="G583" s="863"/>
      <c r="H583" s="855"/>
      <c r="I583" s="855"/>
      <c r="J583" s="855"/>
      <c r="K583" s="855"/>
      <c r="L583" s="1148"/>
      <c r="M583" s="1148"/>
      <c r="N583" s="1148"/>
      <c r="O583" s="1148"/>
      <c r="P583" s="1148"/>
      <c r="Q583" s="1148"/>
      <c r="R583" s="1148"/>
    </row>
    <row r="584" customFormat="false" ht="23.5" hidden="false" customHeight="false" outlineLevel="0" collapsed="false">
      <c r="A584" s="261" t="s">
        <v>2474</v>
      </c>
      <c r="B584" s="261" t="s">
        <v>156</v>
      </c>
      <c r="C584" s="232" t="n">
        <f aca="false">C595</f>
        <v>87.6</v>
      </c>
      <c r="D584" s="2188" t="n">
        <f aca="false">VLOOKUP('Ввод данных'!C1236,связи1!A2:B3,2,0)</f>
        <v>0</v>
      </c>
      <c r="E584" s="477"/>
      <c r="F584" s="477"/>
      <c r="G584" s="863"/>
      <c r="H584" s="855"/>
      <c r="I584" s="855"/>
      <c r="J584" s="855"/>
      <c r="K584" s="855"/>
      <c r="L584" s="1148"/>
      <c r="M584" s="1148"/>
      <c r="N584" s="1148"/>
      <c r="O584" s="1148"/>
      <c r="P584" s="1148"/>
      <c r="Q584" s="1148"/>
      <c r="R584" s="1148"/>
    </row>
    <row r="585" customFormat="false" ht="23.5" hidden="false" customHeight="false" outlineLevel="0" collapsed="false">
      <c r="A585" s="261" t="s">
        <v>3968</v>
      </c>
      <c r="B585" s="261" t="s">
        <v>133</v>
      </c>
      <c r="C585" s="232" t="n">
        <f aca="false">C580-C599+C605*D605</f>
        <v>94</v>
      </c>
      <c r="D585" s="2188" t="n">
        <f aca="false">IF('Ввод данных'!A1237=связи1!H19,1,0)</f>
        <v>0</v>
      </c>
      <c r="E585" s="477"/>
      <c r="F585" s="477"/>
      <c r="G585" s="863"/>
      <c r="H585" s="855"/>
      <c r="I585" s="855"/>
      <c r="J585" s="855"/>
      <c r="K585" s="855"/>
      <c r="L585" s="1148"/>
      <c r="M585" s="1148"/>
      <c r="N585" s="1148"/>
      <c r="O585" s="1148"/>
      <c r="P585" s="1148"/>
      <c r="Q585" s="1148"/>
      <c r="R585" s="1148"/>
    </row>
    <row r="586" customFormat="false" ht="23.5" hidden="false" customHeight="false" outlineLevel="0" collapsed="false">
      <c r="A586" s="261" t="s">
        <v>1255</v>
      </c>
      <c r="B586" s="261" t="s">
        <v>133</v>
      </c>
      <c r="C586" s="232" t="n">
        <f aca="false">C614-C605*D605-C604*D604-C601*D601</f>
        <v>94</v>
      </c>
      <c r="D586" s="2188" t="n">
        <f aca="false">IF('Ввод данных'!A1237=связи1!H20,1,0)</f>
        <v>0</v>
      </c>
      <c r="E586" s="477"/>
      <c r="F586" s="477"/>
      <c r="G586" s="863"/>
      <c r="H586" s="855"/>
      <c r="I586" s="855"/>
      <c r="J586" s="855"/>
      <c r="K586" s="855"/>
      <c r="L586" s="1148"/>
      <c r="M586" s="1148"/>
      <c r="N586" s="1148"/>
      <c r="O586" s="1148"/>
      <c r="P586" s="1148"/>
      <c r="Q586" s="1148"/>
      <c r="R586" s="1148"/>
    </row>
    <row r="587" customFormat="false" ht="23.5" hidden="false" customHeight="false" outlineLevel="0" collapsed="false">
      <c r="A587" s="261" t="s">
        <v>1281</v>
      </c>
      <c r="B587" s="261" t="s">
        <v>133</v>
      </c>
      <c r="C587" s="232" t="n">
        <f aca="false">C614-C605*D605-C604*D604-C601*D601</f>
        <v>94</v>
      </c>
      <c r="D587" s="2188" t="n">
        <f aca="false">IF('Ввод данных'!A1237=связи1!H21,1,0)</f>
        <v>0</v>
      </c>
      <c r="E587" s="477"/>
      <c r="F587" s="477"/>
      <c r="G587" s="863"/>
      <c r="H587" s="855"/>
      <c r="I587" s="855"/>
      <c r="J587" s="855"/>
      <c r="K587" s="855"/>
      <c r="L587" s="1148"/>
      <c r="M587" s="1148"/>
      <c r="N587" s="1148"/>
      <c r="O587" s="1148"/>
      <c r="P587" s="1148"/>
      <c r="Q587" s="1148"/>
      <c r="R587" s="1148"/>
    </row>
    <row r="588" customFormat="false" ht="23.5" hidden="false" customHeight="false" outlineLevel="0" collapsed="false">
      <c r="A588" s="261" t="s">
        <v>1282</v>
      </c>
      <c r="B588" s="261" t="s">
        <v>133</v>
      </c>
      <c r="C588" s="232" t="n">
        <f aca="false">C614-C605*D605-C604*D604-C601*D601</f>
        <v>94</v>
      </c>
      <c r="D588" s="2188" t="n">
        <f aca="false">IF('Ввод данных'!A1237=связи1!H22,1,0)</f>
        <v>1</v>
      </c>
      <c r="E588" s="477"/>
      <c r="F588" s="477"/>
      <c r="G588" s="863"/>
      <c r="H588" s="855"/>
      <c r="I588" s="855"/>
      <c r="J588" s="855"/>
      <c r="K588" s="855"/>
      <c r="L588" s="1148"/>
      <c r="M588" s="1148"/>
      <c r="N588" s="1148"/>
      <c r="O588" s="1148"/>
      <c r="P588" s="1148"/>
      <c r="Q588" s="1148"/>
      <c r="R588" s="1148"/>
    </row>
    <row r="589" customFormat="false" ht="23.5" hidden="false" customHeight="false" outlineLevel="0" collapsed="false">
      <c r="A589" s="261" t="s">
        <v>3969</v>
      </c>
      <c r="B589" s="261" t="s">
        <v>156</v>
      </c>
      <c r="C589" s="232" t="n">
        <f aca="false">C614-C605*D605-C604*D604-C601*D601</f>
        <v>94</v>
      </c>
      <c r="D589" s="2188" t="n">
        <f aca="false">IF('Ввод данных'!A1233=связи1!H10,1,0)</f>
        <v>0</v>
      </c>
      <c r="E589" s="477"/>
      <c r="F589" s="477"/>
      <c r="G589" s="863"/>
      <c r="H589" s="855"/>
      <c r="I589" s="855"/>
      <c r="J589" s="855"/>
      <c r="K589" s="855"/>
      <c r="L589" s="1148"/>
      <c r="M589" s="1148"/>
      <c r="N589" s="1148"/>
      <c r="O589" s="1148"/>
      <c r="P589" s="1148"/>
      <c r="Q589" s="1148"/>
      <c r="R589" s="1148"/>
    </row>
    <row r="590" customFormat="false" ht="23.5" hidden="false" customHeight="false" outlineLevel="0" collapsed="false">
      <c r="A590" s="261" t="s">
        <v>1284</v>
      </c>
      <c r="B590" s="261" t="s">
        <v>159</v>
      </c>
      <c r="C590" s="232" t="n">
        <f aca="false">C589</f>
        <v>94</v>
      </c>
      <c r="D590" s="2188" t="n">
        <f aca="false">D589</f>
        <v>0</v>
      </c>
      <c r="E590" s="477"/>
      <c r="F590" s="477"/>
      <c r="G590" s="863"/>
      <c r="H590" s="855"/>
      <c r="I590" s="855"/>
      <c r="J590" s="855"/>
      <c r="K590" s="855"/>
      <c r="L590" s="1148"/>
      <c r="M590" s="1148"/>
      <c r="N590" s="1148"/>
      <c r="O590" s="1148"/>
      <c r="P590" s="1148"/>
      <c r="Q590" s="1148"/>
      <c r="R590" s="1148"/>
    </row>
    <row r="591" customFormat="false" ht="23.5" hidden="false" customHeight="false" outlineLevel="0" collapsed="false">
      <c r="A591" s="263" t="s">
        <v>1590</v>
      </c>
      <c r="B591" s="261"/>
      <c r="C591" s="232"/>
      <c r="D591" s="477" t="n">
        <f aca="false">VLOOKUP('Ввод данных'!C1238,связи1!A2:B3,2,0)</f>
        <v>1</v>
      </c>
      <c r="E591" s="477"/>
      <c r="F591" s="477"/>
      <c r="G591" s="863"/>
      <c r="H591" s="855"/>
      <c r="I591" s="855"/>
      <c r="J591" s="855"/>
      <c r="K591" s="855"/>
      <c r="L591" s="1148"/>
      <c r="M591" s="1148"/>
      <c r="N591" s="1148"/>
      <c r="O591" s="1148"/>
      <c r="P591" s="1148"/>
      <c r="Q591" s="1148"/>
      <c r="R591" s="1148"/>
    </row>
    <row r="592" customFormat="false" ht="23.5" hidden="false" customHeight="false" outlineLevel="0" collapsed="false">
      <c r="A592" s="261" t="s">
        <v>1297</v>
      </c>
      <c r="B592" s="261" t="s">
        <v>133</v>
      </c>
      <c r="C592" s="232" t="n">
        <f aca="false">C615-C594-C598</f>
        <v>94</v>
      </c>
      <c r="D592" s="2188" t="n">
        <f aca="false">IF('Ввод данных'!A1239=связи1!H14,1,0)</f>
        <v>0</v>
      </c>
      <c r="E592" s="477"/>
      <c r="F592" s="477"/>
      <c r="G592" s="863"/>
      <c r="H592" s="855"/>
      <c r="I592" s="855"/>
      <c r="J592" s="855"/>
      <c r="K592" s="855"/>
      <c r="L592" s="1148"/>
      <c r="M592" s="1148"/>
      <c r="N592" s="1148"/>
      <c r="O592" s="1148"/>
      <c r="P592" s="1148"/>
      <c r="Q592" s="1148"/>
      <c r="R592" s="1148"/>
    </row>
    <row r="593" customFormat="false" ht="23.5" hidden="false" customHeight="false" outlineLevel="0" collapsed="false">
      <c r="A593" s="261" t="s">
        <v>1298</v>
      </c>
      <c r="B593" s="261" t="s">
        <v>133</v>
      </c>
      <c r="C593" s="232" t="n">
        <f aca="false">C592</f>
        <v>94</v>
      </c>
      <c r="D593" s="2188" t="n">
        <f aca="false">IF('Ввод данных'!A1239=связи1!H15,1,0)</f>
        <v>1</v>
      </c>
      <c r="E593" s="477"/>
      <c r="F593" s="477"/>
      <c r="G593" s="863"/>
      <c r="H593" s="855"/>
      <c r="I593" s="855"/>
      <c r="J593" s="855"/>
      <c r="K593" s="855"/>
      <c r="L593" s="1148"/>
      <c r="M593" s="1148"/>
      <c r="N593" s="1148"/>
      <c r="O593" s="1148"/>
      <c r="P593" s="1148"/>
      <c r="Q593" s="1148"/>
      <c r="R593" s="1148"/>
    </row>
    <row r="594" customFormat="false" ht="23.5" hidden="false" customHeight="false" outlineLevel="0" collapsed="false">
      <c r="A594" s="261" t="s">
        <v>1301</v>
      </c>
      <c r="B594" s="261" t="s">
        <v>133</v>
      </c>
      <c r="C594" s="2117" t="n">
        <f aca="false">'Ввод данных'!C1240</f>
        <v>0</v>
      </c>
      <c r="D594" s="2188" t="n">
        <v>1</v>
      </c>
      <c r="E594" s="477"/>
      <c r="F594" s="477"/>
      <c r="G594" s="863"/>
      <c r="H594" s="855"/>
      <c r="I594" s="855"/>
      <c r="J594" s="855"/>
      <c r="K594" s="855"/>
      <c r="L594" s="1148"/>
      <c r="M594" s="1148"/>
      <c r="N594" s="1148"/>
      <c r="O594" s="1148"/>
      <c r="P594" s="1148"/>
      <c r="Q594" s="1148"/>
      <c r="R594" s="1148"/>
    </row>
    <row r="595" customFormat="false" ht="23.5" hidden="false" customHeight="false" outlineLevel="0" collapsed="false">
      <c r="A595" s="261" t="s">
        <v>2477</v>
      </c>
      <c r="B595" s="261" t="s">
        <v>156</v>
      </c>
      <c r="C595" s="232" t="n">
        <f aca="false">C618+C619*2+C620*2</f>
        <v>87.6</v>
      </c>
      <c r="D595" s="2188" t="n">
        <f aca="false">VLOOKUP('Ввод данных'!C1241,связи1!A2:B3,2,0)</f>
        <v>0</v>
      </c>
      <c r="E595" s="477"/>
      <c r="F595" s="477"/>
      <c r="G595" s="863"/>
      <c r="H595" s="855"/>
      <c r="I595" s="855"/>
      <c r="J595" s="855"/>
      <c r="K595" s="855"/>
      <c r="L595" s="1148"/>
      <c r="M595" s="1148"/>
      <c r="N595" s="1148"/>
      <c r="O595" s="1148"/>
      <c r="P595" s="1148"/>
      <c r="Q595" s="1148"/>
      <c r="R595" s="1148"/>
    </row>
    <row r="596" customFormat="false" ht="23.5" hidden="false" customHeight="false" outlineLevel="0" collapsed="false">
      <c r="A596" s="263" t="s">
        <v>1305</v>
      </c>
      <c r="B596" s="261"/>
      <c r="C596" s="232"/>
      <c r="D596" s="477" t="n">
        <f aca="false">VLOOKUP('Ввод данных'!C1242,связи1!A2:B3,2,0)</f>
        <v>0</v>
      </c>
      <c r="E596" s="477"/>
      <c r="F596" s="477"/>
      <c r="G596" s="863"/>
      <c r="H596" s="855"/>
      <c r="I596" s="855"/>
      <c r="J596" s="855"/>
      <c r="K596" s="855"/>
      <c r="L596" s="1148"/>
      <c r="M596" s="1148"/>
      <c r="N596" s="1148"/>
      <c r="O596" s="1148"/>
      <c r="P596" s="1148"/>
      <c r="Q596" s="1148"/>
      <c r="R596" s="1148"/>
    </row>
    <row r="597" customFormat="false" ht="23.5" hidden="false" customHeight="false" outlineLevel="0" collapsed="false">
      <c r="A597" s="261" t="s">
        <v>2478</v>
      </c>
      <c r="B597" s="261" t="s">
        <v>133</v>
      </c>
      <c r="C597" s="2117" t="n">
        <f aca="false">'Ввод данных'!C1243</f>
        <v>6</v>
      </c>
      <c r="D597" s="477"/>
      <c r="E597" s="477"/>
      <c r="F597" s="477"/>
      <c r="G597" s="863"/>
      <c r="H597" s="855"/>
      <c r="I597" s="855"/>
      <c r="J597" s="855"/>
      <c r="K597" s="855"/>
      <c r="L597" s="1148"/>
      <c r="M597" s="1148"/>
      <c r="N597" s="1148"/>
      <c r="O597" s="1148"/>
      <c r="P597" s="1148"/>
      <c r="Q597" s="1148"/>
      <c r="R597" s="1148"/>
    </row>
    <row r="598" customFormat="false" ht="23.5" hidden="false" customHeight="false" outlineLevel="0" collapsed="false">
      <c r="A598" s="261" t="s">
        <v>2479</v>
      </c>
      <c r="B598" s="261" t="s">
        <v>133</v>
      </c>
      <c r="C598" s="2117" t="n">
        <f aca="false">'Ввод данных'!C1244</f>
        <v>6</v>
      </c>
      <c r="D598" s="477"/>
      <c r="E598" s="477"/>
      <c r="F598" s="477"/>
      <c r="G598" s="863"/>
      <c r="H598" s="855"/>
      <c r="I598" s="855"/>
      <c r="J598" s="855"/>
      <c r="K598" s="855"/>
      <c r="L598" s="1148"/>
      <c r="M598" s="1148"/>
      <c r="N598" s="1148"/>
      <c r="O598" s="1148"/>
      <c r="P598" s="1148"/>
      <c r="Q598" s="1148"/>
      <c r="R598" s="1148"/>
    </row>
    <row r="599" customFormat="false" ht="23.5" hidden="false" customHeight="false" outlineLevel="0" collapsed="false">
      <c r="A599" s="261" t="s">
        <v>2480</v>
      </c>
      <c r="B599" s="261" t="s">
        <v>133</v>
      </c>
      <c r="C599" s="2117" t="n">
        <f aca="false">'Ввод данных'!C1245</f>
        <v>6</v>
      </c>
      <c r="D599" s="477"/>
      <c r="E599" s="477"/>
      <c r="F599" s="477"/>
      <c r="G599" s="863"/>
      <c r="H599" s="855"/>
      <c r="I599" s="855"/>
      <c r="J599" s="855"/>
      <c r="K599" s="855"/>
      <c r="L599" s="1148"/>
      <c r="M599" s="1148"/>
      <c r="N599" s="1148"/>
      <c r="O599" s="1148"/>
      <c r="P599" s="1148"/>
      <c r="Q599" s="1148"/>
      <c r="R599" s="1148"/>
    </row>
    <row r="600" customFormat="false" ht="23.5" hidden="false" customHeight="false" outlineLevel="0" collapsed="false">
      <c r="A600" s="261" t="s">
        <v>1306</v>
      </c>
      <c r="B600" s="261" t="s">
        <v>133</v>
      </c>
      <c r="C600" s="232" t="n">
        <f aca="false">C597</f>
        <v>6</v>
      </c>
      <c r="D600" s="2188" t="n">
        <f aca="false">IF('Ввод данных'!A1246=связи1!H35,1,0)</f>
        <v>1</v>
      </c>
      <c r="E600" s="477"/>
      <c r="F600" s="477"/>
      <c r="G600" s="863"/>
      <c r="H600" s="855"/>
      <c r="I600" s="855"/>
      <c r="J600" s="855"/>
      <c r="K600" s="855"/>
      <c r="L600" s="1148"/>
      <c r="M600" s="1148"/>
      <c r="N600" s="1148"/>
      <c r="O600" s="1148"/>
      <c r="P600" s="1148"/>
      <c r="Q600" s="1148"/>
      <c r="R600" s="1148"/>
    </row>
    <row r="601" customFormat="false" ht="23.5" hidden="false" customHeight="false" outlineLevel="0" collapsed="false">
      <c r="A601" s="261" t="s">
        <v>1307</v>
      </c>
      <c r="B601" s="261" t="s">
        <v>133</v>
      </c>
      <c r="C601" s="232" t="n">
        <f aca="false">C599</f>
        <v>6</v>
      </c>
      <c r="D601" s="2188" t="n">
        <f aca="false">IF('Ввод данных'!A1247=связи1!H41,1,0)</f>
        <v>1</v>
      </c>
      <c r="E601" s="477"/>
      <c r="F601" s="477"/>
      <c r="G601" s="863"/>
      <c r="H601" s="855"/>
      <c r="I601" s="855"/>
      <c r="J601" s="855"/>
      <c r="K601" s="855"/>
      <c r="L601" s="1148"/>
      <c r="M601" s="1148"/>
      <c r="N601" s="1148"/>
      <c r="O601" s="1148"/>
      <c r="P601" s="1148"/>
      <c r="Q601" s="1148"/>
      <c r="R601" s="1148"/>
    </row>
    <row r="602" customFormat="false" ht="23.5" hidden="false" customHeight="false" outlineLevel="0" collapsed="false">
      <c r="A602" s="261" t="s">
        <v>1308</v>
      </c>
      <c r="B602" s="261" t="s">
        <v>133</v>
      </c>
      <c r="C602" s="232" t="n">
        <f aca="false">C599</f>
        <v>6</v>
      </c>
      <c r="D602" s="2188" t="n">
        <f aca="false">IF('Ввод данных'!A1248=связи1!H47,1,0)</f>
        <v>1</v>
      </c>
      <c r="E602" s="477"/>
      <c r="F602" s="477"/>
      <c r="G602" s="863"/>
      <c r="H602" s="855"/>
      <c r="I602" s="855"/>
      <c r="J602" s="855"/>
      <c r="K602" s="855"/>
      <c r="L602" s="1148"/>
      <c r="M602" s="1148"/>
      <c r="N602" s="1148"/>
      <c r="O602" s="1148"/>
      <c r="P602" s="1148"/>
      <c r="Q602" s="1148"/>
      <c r="R602" s="1148"/>
    </row>
    <row r="603" customFormat="false" ht="23.5" hidden="false" customHeight="false" outlineLevel="0" collapsed="false">
      <c r="A603" s="261" t="s">
        <v>3970</v>
      </c>
      <c r="B603" s="261" t="s">
        <v>133</v>
      </c>
      <c r="C603" s="232" t="n">
        <f aca="false">C597</f>
        <v>6</v>
      </c>
      <c r="D603" s="2188" t="n">
        <f aca="false">IF('Ввод данных'!A1246=связи1!H36,1,0)</f>
        <v>0</v>
      </c>
      <c r="E603" s="477"/>
      <c r="F603" s="477"/>
      <c r="G603" s="863"/>
      <c r="H603" s="855"/>
      <c r="I603" s="855"/>
      <c r="J603" s="855"/>
      <c r="K603" s="855"/>
      <c r="L603" s="1148"/>
      <c r="M603" s="1148"/>
      <c r="N603" s="1148"/>
      <c r="O603" s="1148"/>
      <c r="P603" s="1148"/>
      <c r="Q603" s="1148"/>
      <c r="R603" s="1148"/>
    </row>
    <row r="604" customFormat="false" ht="23.5" hidden="false" customHeight="false" outlineLevel="0" collapsed="false">
      <c r="A604" s="261" t="s">
        <v>3971</v>
      </c>
      <c r="B604" s="261" t="s">
        <v>133</v>
      </c>
      <c r="C604" s="232" t="n">
        <f aca="false">C599</f>
        <v>6</v>
      </c>
      <c r="D604" s="2188" t="n">
        <f aca="false">IF('Ввод данных'!A1247=связи1!H42,1,0)</f>
        <v>0</v>
      </c>
      <c r="E604" s="477"/>
      <c r="F604" s="477"/>
      <c r="G604" s="863"/>
      <c r="H604" s="855"/>
      <c r="I604" s="855"/>
      <c r="J604" s="855"/>
      <c r="K604" s="855"/>
      <c r="L604" s="1148"/>
      <c r="M604" s="1148"/>
      <c r="N604" s="1148"/>
      <c r="O604" s="1148"/>
      <c r="P604" s="1148"/>
      <c r="Q604" s="1148"/>
      <c r="R604" s="1148"/>
    </row>
    <row r="605" customFormat="false" ht="23.5" hidden="false" customHeight="false" outlineLevel="0" collapsed="false">
      <c r="A605" s="261" t="s">
        <v>1294</v>
      </c>
      <c r="B605" s="261" t="s">
        <v>133</v>
      </c>
      <c r="C605" s="232" t="n">
        <f aca="false">C599</f>
        <v>6</v>
      </c>
      <c r="D605" s="2188" t="n">
        <f aca="false">IF('Ввод данных'!A1247=связи1!H43,1,0)</f>
        <v>0</v>
      </c>
      <c r="E605" s="477"/>
      <c r="F605" s="477"/>
      <c r="G605" s="863"/>
      <c r="H605" s="855"/>
      <c r="I605" s="855"/>
      <c r="J605" s="855"/>
      <c r="K605" s="855"/>
      <c r="L605" s="1148"/>
      <c r="M605" s="1148"/>
      <c r="N605" s="1148"/>
      <c r="O605" s="1148"/>
      <c r="P605" s="1148"/>
      <c r="Q605" s="1148"/>
      <c r="R605" s="1148"/>
    </row>
    <row r="606" customFormat="false" ht="23.5" hidden="false" customHeight="false" outlineLevel="0" collapsed="false">
      <c r="A606" s="263" t="s">
        <v>3972</v>
      </c>
      <c r="B606" s="261"/>
      <c r="C606" s="232"/>
      <c r="D606" s="263" t="n">
        <f aca="false">VLOOKUP('Ввод данных'!C1249,связи1!A2:B3,2,0)</f>
        <v>0</v>
      </c>
      <c r="E606" s="477"/>
      <c r="F606" s="477"/>
      <c r="G606" s="863"/>
      <c r="H606" s="855"/>
      <c r="I606" s="855"/>
      <c r="J606" s="855"/>
      <c r="K606" s="855"/>
      <c r="L606" s="1148"/>
      <c r="M606" s="1148"/>
      <c r="N606" s="1148"/>
      <c r="O606" s="1148"/>
      <c r="P606" s="1148"/>
      <c r="Q606" s="1148"/>
      <c r="R606" s="1148"/>
    </row>
    <row r="607" customFormat="false" ht="23.5" hidden="false" customHeight="false" outlineLevel="0" collapsed="false">
      <c r="A607" s="261" t="s">
        <v>2484</v>
      </c>
      <c r="B607" s="261" t="s">
        <v>159</v>
      </c>
      <c r="C607" s="232" t="n">
        <f aca="false">дома!D63+дома!D64+дома!D65+дома!D66</f>
        <v>0</v>
      </c>
      <c r="D607" s="1002" t="n">
        <f aca="false">VLOOKUP('Ввод данных'!C1250,связи1!A2:B3,2,0)</f>
        <v>1</v>
      </c>
      <c r="E607" s="477"/>
      <c r="F607" s="477"/>
      <c r="G607" s="863"/>
      <c r="H607" s="855"/>
      <c r="I607" s="855"/>
      <c r="J607" s="855"/>
      <c r="K607" s="855"/>
      <c r="L607" s="1148"/>
      <c r="M607" s="1148"/>
      <c r="N607" s="1148"/>
      <c r="O607" s="1148"/>
      <c r="P607" s="1148"/>
      <c r="Q607" s="1148"/>
      <c r="R607" s="1148"/>
    </row>
    <row r="608" customFormat="false" ht="23.5" hidden="false" customHeight="false" outlineLevel="0" collapsed="false">
      <c r="A608" s="261" t="s">
        <v>2485</v>
      </c>
      <c r="B608" s="261" t="s">
        <v>159</v>
      </c>
      <c r="C608" s="232" t="n">
        <f aca="false">C607</f>
        <v>0</v>
      </c>
      <c r="D608" s="2188" t="n">
        <f aca="false">VLOOKUP('Ввод данных'!C1251,связи1!A2:B3,2,0)</f>
        <v>1</v>
      </c>
      <c r="E608" s="477"/>
      <c r="F608" s="477"/>
      <c r="G608" s="863"/>
      <c r="H608" s="855"/>
      <c r="I608" s="855"/>
      <c r="J608" s="855"/>
      <c r="K608" s="855"/>
      <c r="L608" s="1148"/>
      <c r="M608" s="1148"/>
      <c r="N608" s="1148"/>
      <c r="O608" s="1148"/>
      <c r="P608" s="1148"/>
      <c r="Q608" s="1148"/>
      <c r="R608" s="1148"/>
    </row>
    <row r="609" customFormat="false" ht="23.5" hidden="false" customHeight="false" outlineLevel="0" collapsed="false">
      <c r="A609" s="261" t="s">
        <v>2486</v>
      </c>
      <c r="B609" s="261" t="s">
        <v>159</v>
      </c>
      <c r="C609" s="232" t="n">
        <f aca="false">C607</f>
        <v>0</v>
      </c>
      <c r="D609" s="2188" t="n">
        <f aca="false">VLOOKUP('Ввод данных'!C1252,связи1!A2:B3,2,0)</f>
        <v>1</v>
      </c>
      <c r="E609" s="477"/>
      <c r="F609" s="477"/>
      <c r="G609" s="863"/>
      <c r="H609" s="855"/>
      <c r="I609" s="855"/>
      <c r="J609" s="855"/>
      <c r="K609" s="855"/>
      <c r="L609" s="1148"/>
      <c r="M609" s="1148"/>
      <c r="N609" s="1148"/>
      <c r="O609" s="1148"/>
      <c r="P609" s="1148"/>
      <c r="Q609" s="1148"/>
      <c r="R609" s="1148"/>
    </row>
    <row r="610" customFormat="false" ht="23.5" hidden="false" customHeight="false" outlineLevel="0" collapsed="false">
      <c r="A610" s="261" t="s">
        <v>2487</v>
      </c>
      <c r="B610" s="261" t="s">
        <v>159</v>
      </c>
      <c r="C610" s="232" t="n">
        <f aca="false">C607</f>
        <v>0</v>
      </c>
      <c r="D610" s="2188" t="n">
        <f aca="false">VLOOKUP('Ввод данных'!C1253,связи1!A2:B3,2,0)</f>
        <v>1</v>
      </c>
      <c r="E610" s="477"/>
      <c r="F610" s="477"/>
      <c r="G610" s="863"/>
      <c r="H610" s="855"/>
      <c r="I610" s="855"/>
      <c r="J610" s="855"/>
      <c r="K610" s="855"/>
      <c r="L610" s="1148"/>
      <c r="M610" s="1148"/>
      <c r="N610" s="1148"/>
      <c r="O610" s="1148"/>
      <c r="P610" s="1148"/>
      <c r="Q610" s="1148"/>
      <c r="R610" s="1148"/>
    </row>
    <row r="611" customFormat="false" ht="23.5" hidden="false" customHeight="false" outlineLevel="0" collapsed="false">
      <c r="A611" s="261" t="s">
        <v>2488</v>
      </c>
      <c r="B611" s="261" t="s">
        <v>159</v>
      </c>
      <c r="C611" s="232" t="n">
        <f aca="false">C607</f>
        <v>0</v>
      </c>
      <c r="D611" s="2188" t="n">
        <f aca="false">VLOOKUP('Ввод данных'!C1254,связи1!A2:B3,2,0)</f>
        <v>1</v>
      </c>
      <c r="E611" s="477"/>
      <c r="F611" s="477"/>
      <c r="G611" s="863"/>
      <c r="H611" s="855"/>
      <c r="I611" s="855"/>
      <c r="J611" s="855"/>
      <c r="K611" s="855"/>
      <c r="L611" s="1148"/>
      <c r="M611" s="1148"/>
      <c r="N611" s="1148"/>
      <c r="O611" s="1148"/>
      <c r="P611" s="1148"/>
      <c r="Q611" s="1148"/>
      <c r="R611" s="1148"/>
    </row>
    <row r="612" customFormat="false" ht="23.5" hidden="false" customHeight="false" outlineLevel="0" collapsed="false">
      <c r="A612" s="2189" t="s">
        <v>3626</v>
      </c>
      <c r="B612" s="2189"/>
      <c r="C612" s="2189"/>
      <c r="D612" s="2190"/>
      <c r="E612" s="2190"/>
      <c r="F612" s="2190"/>
      <c r="G612" s="855"/>
      <c r="H612" s="855"/>
      <c r="I612" s="855"/>
      <c r="J612" s="855"/>
      <c r="K612" s="855"/>
      <c r="L612" s="1148"/>
      <c r="M612" s="1148"/>
      <c r="N612" s="1148"/>
      <c r="O612" s="1148"/>
      <c r="P612" s="1148"/>
      <c r="Q612" s="1148"/>
      <c r="R612" s="1148"/>
    </row>
    <row r="613" customFormat="false" ht="23.5" hidden="false" customHeight="false" outlineLevel="0" collapsed="false">
      <c r="A613" s="87" t="s">
        <v>3678</v>
      </c>
      <c r="B613" s="232" t="s">
        <v>133</v>
      </c>
      <c r="C613" s="89" t="n">
        <f aca="false">дома!J105</f>
        <v>200</v>
      </c>
      <c r="D613" s="855"/>
      <c r="E613" s="855"/>
      <c r="F613" s="855"/>
      <c r="G613" s="855"/>
      <c r="H613" s="855"/>
      <c r="I613" s="855"/>
      <c r="J613" s="855"/>
      <c r="K613" s="855"/>
      <c r="L613" s="1148"/>
      <c r="M613" s="1148"/>
      <c r="N613" s="1148"/>
      <c r="O613" s="1148"/>
      <c r="P613" s="1148"/>
      <c r="Q613" s="1148"/>
      <c r="R613" s="1148"/>
    </row>
    <row r="614" customFormat="false" ht="23.5" hidden="false" customHeight="false" outlineLevel="0" collapsed="false">
      <c r="A614" s="87" t="s">
        <v>3973</v>
      </c>
      <c r="B614" s="232"/>
      <c r="C614" s="89" t="n">
        <f aca="false">дома!J107</f>
        <v>100</v>
      </c>
      <c r="D614" s="855"/>
      <c r="E614" s="855"/>
      <c r="F614" s="855"/>
      <c r="G614" s="855"/>
      <c r="H614" s="855"/>
      <c r="I614" s="855"/>
      <c r="J614" s="855"/>
      <c r="K614" s="855"/>
      <c r="L614" s="1148"/>
      <c r="M614" s="1148"/>
      <c r="N614" s="1148"/>
      <c r="O614" s="1148"/>
      <c r="P614" s="1148"/>
      <c r="Q614" s="1148"/>
      <c r="R614" s="1148"/>
    </row>
    <row r="615" customFormat="false" ht="23.5" hidden="false" customHeight="false" outlineLevel="0" collapsed="false">
      <c r="A615" s="87" t="s">
        <v>3974</v>
      </c>
      <c r="B615" s="232"/>
      <c r="C615" s="89" t="n">
        <f aca="false">дома!J106</f>
        <v>100</v>
      </c>
      <c r="D615" s="855"/>
      <c r="E615" s="855"/>
      <c r="F615" s="855"/>
      <c r="G615" s="855"/>
      <c r="H615" s="855"/>
      <c r="I615" s="855"/>
      <c r="J615" s="855"/>
      <c r="K615" s="855"/>
      <c r="L615" s="1148"/>
      <c r="M615" s="1148"/>
      <c r="N615" s="1148"/>
      <c r="O615" s="1148"/>
      <c r="P615" s="1148"/>
      <c r="Q615" s="1148"/>
      <c r="R615" s="1148"/>
    </row>
    <row r="616" customFormat="false" ht="23.5" hidden="false" customHeight="false" outlineLevel="0" collapsed="false">
      <c r="A616" s="87" t="s">
        <v>3628</v>
      </c>
      <c r="B616" s="232" t="s">
        <v>133</v>
      </c>
      <c r="C616" s="89" t="n">
        <f aca="false">C613-E621</f>
        <v>190.43</v>
      </c>
      <c r="D616" s="263"/>
      <c r="E616" s="855"/>
      <c r="F616" s="855"/>
      <c r="G616" s="855"/>
      <c r="H616" s="855"/>
      <c r="I616" s="855"/>
      <c r="J616" s="855"/>
      <c r="K616" s="855"/>
      <c r="L616" s="1148"/>
      <c r="M616" s="1148"/>
      <c r="N616" s="1148"/>
      <c r="O616" s="1148"/>
      <c r="P616" s="1148"/>
      <c r="Q616" s="1148"/>
      <c r="R616" s="1148"/>
    </row>
    <row r="617" customFormat="false" ht="23.5" hidden="false" customHeight="false" outlineLevel="0" collapsed="false">
      <c r="A617" s="87" t="s">
        <v>3680</v>
      </c>
      <c r="B617" s="232" t="s">
        <v>156</v>
      </c>
      <c r="C617" s="89" t="n">
        <f aca="false">дома!C1366</f>
        <v>56</v>
      </c>
      <c r="D617" s="855"/>
      <c r="E617" s="855"/>
      <c r="F617" s="855"/>
      <c r="G617" s="855"/>
      <c r="H617" s="855"/>
      <c r="I617" s="855"/>
      <c r="J617" s="855"/>
      <c r="K617" s="855"/>
      <c r="L617" s="1148"/>
      <c r="M617" s="1148"/>
      <c r="N617" s="1148"/>
      <c r="O617" s="1148"/>
      <c r="P617" s="1148"/>
      <c r="Q617" s="1148"/>
      <c r="R617" s="1148"/>
    </row>
    <row r="618" customFormat="false" ht="23.5" hidden="false" customHeight="false" outlineLevel="0" collapsed="false">
      <c r="A618" s="87" t="s">
        <v>3752</v>
      </c>
      <c r="B618" s="232" t="s">
        <v>156</v>
      </c>
      <c r="C618" s="89" t="n">
        <f aca="false">дома!C1367</f>
        <v>40</v>
      </c>
      <c r="D618" s="263" t="n">
        <v>0.15</v>
      </c>
      <c r="E618" s="263" t="n">
        <f aca="false">C618*D618</f>
        <v>6</v>
      </c>
      <c r="F618" s="855"/>
      <c r="G618" s="855"/>
      <c r="H618" s="855"/>
      <c r="I618" s="855"/>
      <c r="J618" s="855"/>
      <c r="K618" s="855"/>
      <c r="L618" s="1148"/>
      <c r="M618" s="1148"/>
      <c r="N618" s="1148"/>
      <c r="O618" s="1148"/>
      <c r="P618" s="1148"/>
      <c r="Q618" s="1148"/>
      <c r="R618" s="1148"/>
    </row>
    <row r="619" customFormat="false" ht="23.5" hidden="false" customHeight="false" outlineLevel="0" collapsed="false">
      <c r="A619" s="87" t="s">
        <v>3755</v>
      </c>
      <c r="B619" s="232" t="s">
        <v>156</v>
      </c>
      <c r="C619" s="89" t="n">
        <f aca="false">дома!C1368</f>
        <v>16</v>
      </c>
      <c r="D619" s="263" t="n">
        <v>0.15</v>
      </c>
      <c r="E619" s="263" t="n">
        <f aca="false">C619*D619</f>
        <v>2.4</v>
      </c>
      <c r="F619" s="855"/>
      <c r="G619" s="855"/>
      <c r="H619" s="855"/>
      <c r="I619" s="855"/>
      <c r="J619" s="855"/>
      <c r="K619" s="855"/>
      <c r="L619" s="1148"/>
      <c r="M619" s="1148"/>
      <c r="N619" s="1148"/>
      <c r="O619" s="1148"/>
      <c r="P619" s="1148"/>
      <c r="Q619" s="1148"/>
      <c r="R619" s="1148"/>
    </row>
    <row r="620" customFormat="false" ht="23.5" hidden="false" customHeight="false" outlineLevel="0" collapsed="false">
      <c r="A620" s="87"/>
      <c r="B620" s="232"/>
      <c r="C620" s="89" t="n">
        <f aca="false">дома!C1369</f>
        <v>7.8</v>
      </c>
      <c r="D620" s="263" t="n">
        <v>0.15</v>
      </c>
      <c r="E620" s="263" t="n">
        <f aca="false">C620*D620</f>
        <v>1.17</v>
      </c>
      <c r="F620" s="855"/>
      <c r="G620" s="855"/>
      <c r="H620" s="855"/>
      <c r="I620" s="855"/>
      <c r="J620" s="855"/>
      <c r="K620" s="855"/>
      <c r="L620" s="1148"/>
      <c r="M620" s="1148"/>
      <c r="N620" s="1148"/>
      <c r="O620" s="1148"/>
      <c r="P620" s="1148"/>
      <c r="Q620" s="1148"/>
      <c r="R620" s="1148"/>
    </row>
    <row r="621" customFormat="false" ht="23.5" hidden="false" customHeight="false" outlineLevel="0" collapsed="false">
      <c r="A621" s="87" t="s">
        <v>3975</v>
      </c>
      <c r="B621" s="232"/>
      <c r="C621" s="89"/>
      <c r="D621" s="263"/>
      <c r="E621" s="263" t="n">
        <f aca="false">SUM(E618:E620)</f>
        <v>9.57</v>
      </c>
      <c r="F621" s="855"/>
      <c r="G621" s="855"/>
      <c r="H621" s="855"/>
      <c r="I621" s="855"/>
      <c r="J621" s="855"/>
      <c r="K621" s="855"/>
      <c r="L621" s="1148"/>
      <c r="M621" s="1148"/>
      <c r="N621" s="1148"/>
      <c r="O621" s="1148"/>
      <c r="P621" s="1148"/>
      <c r="Q621" s="1148"/>
      <c r="R621" s="1148"/>
    </row>
    <row r="622" customFormat="false" ht="23.5" hidden="false" customHeight="false" outlineLevel="0" collapsed="false">
      <c r="A622" s="87" t="s">
        <v>3633</v>
      </c>
      <c r="B622" s="232" t="s">
        <v>133</v>
      </c>
      <c r="C622" s="89" t="n">
        <f aca="false">дома!O110</f>
        <v>-1.2</v>
      </c>
      <c r="D622" s="263" t="n">
        <f aca="false">((((C340+C340+D340+D340)+(C342*E342+C343*E343+C344*E344+C345*E345+C346*E346+C347*E347+C348*E348+C349*E349+C350*E350+C351*E351+C352*E352+C353*E353+C354*E354+C355*E355+C356*E356+C357*E357)*2)+((C340+C340+D340+D340)+(J342*K342+J343*K343+J344*K344+J345*K345+J346*K346+J347*K347+J348*K348+J349*K349+J350*K350+J351*K351+J352*K352+J353*K353+J354*K354+J355*K355+J356*K356+J357*K357)*2)*(B340-1)+(пристройка!D2*(пристройка!C85+пристройка!C85*пристройка!C5+пристройка!C34+пристройка!C34*пристройка!C5)+дома!D1229*(дома!C1275+дома!C1275*дома!C1233)))/0.6)*D569</f>
        <v>0</v>
      </c>
      <c r="E622" s="263"/>
      <c r="F622" s="855"/>
      <c r="G622" s="855"/>
      <c r="H622" s="855"/>
      <c r="I622" s="855"/>
      <c r="J622" s="855"/>
      <c r="K622" s="855"/>
      <c r="L622" s="1148"/>
      <c r="M622" s="1148"/>
      <c r="N622" s="1148"/>
      <c r="O622" s="1148"/>
      <c r="P622" s="1148"/>
      <c r="Q622" s="1148"/>
      <c r="R622" s="1148"/>
    </row>
    <row r="623" customFormat="false" ht="23.5" hidden="false" customHeight="false" outlineLevel="0" collapsed="false">
      <c r="A623" s="87" t="s">
        <v>3687</v>
      </c>
      <c r="B623" s="232" t="s">
        <v>133</v>
      </c>
      <c r="C623" s="89" t="n">
        <f aca="false">C622</f>
        <v>-1.2</v>
      </c>
      <c r="D623" s="855"/>
      <c r="E623" s="855"/>
      <c r="F623" s="855"/>
      <c r="G623" s="855"/>
      <c r="H623" s="855"/>
      <c r="I623" s="855"/>
      <c r="J623" s="855"/>
      <c r="K623" s="855"/>
      <c r="L623" s="1148"/>
      <c r="M623" s="1148"/>
      <c r="N623" s="1148"/>
      <c r="O623" s="1148"/>
      <c r="P623" s="1148"/>
      <c r="Q623" s="1148"/>
      <c r="R623" s="1148"/>
    </row>
    <row r="624" customFormat="false" ht="23.5" hidden="false" customHeight="false" outlineLevel="0" collapsed="false">
      <c r="A624" s="87" t="s">
        <v>3976</v>
      </c>
      <c r="B624" s="232"/>
      <c r="C624" s="89" t="n">
        <f aca="false">C622</f>
        <v>-1.2</v>
      </c>
      <c r="D624" s="855"/>
      <c r="E624" s="855"/>
      <c r="F624" s="855"/>
      <c r="G624" s="855"/>
      <c r="H624" s="855"/>
      <c r="I624" s="855"/>
      <c r="J624" s="855"/>
      <c r="K624" s="855"/>
      <c r="L624" s="1148"/>
      <c r="M624" s="1148"/>
      <c r="N624" s="1148"/>
      <c r="O624" s="1148"/>
      <c r="P624" s="1148"/>
      <c r="Q624" s="1148"/>
      <c r="R624" s="1148"/>
    </row>
    <row r="625" customFormat="false" ht="15.5" hidden="false" customHeight="false" outlineLevel="0" collapsed="false">
      <c r="A625" s="87" t="s">
        <v>3802</v>
      </c>
      <c r="B625" s="232" t="s">
        <v>133</v>
      </c>
      <c r="C625" s="89" t="n">
        <f aca="false">дома!D1093+дома!E1093</f>
        <v>71.4</v>
      </c>
      <c r="D625" s="2149"/>
      <c r="E625" s="1148"/>
      <c r="F625" s="2149"/>
      <c r="G625" s="2149"/>
      <c r="H625" s="1148"/>
      <c r="I625" s="1148"/>
      <c r="J625" s="1148"/>
      <c r="K625" s="1148"/>
      <c r="L625" s="1148"/>
      <c r="M625" s="1148"/>
      <c r="N625" s="1148"/>
      <c r="O625" s="1148"/>
      <c r="P625" s="1148"/>
      <c r="Q625" s="1148"/>
      <c r="R625" s="1148"/>
    </row>
    <row r="626" customFormat="false" ht="15.5" hidden="false" customHeight="false" outlineLevel="0" collapsed="false">
      <c r="A626" s="87" t="s">
        <v>3638</v>
      </c>
      <c r="B626" s="232" t="s">
        <v>133</v>
      </c>
      <c r="C626" s="89" t="n">
        <f aca="false">C625</f>
        <v>71.4</v>
      </c>
      <c r="D626" s="2149"/>
      <c r="E626" s="1148"/>
      <c r="F626" s="2149"/>
      <c r="G626" s="2149"/>
      <c r="H626" s="1148"/>
      <c r="I626" s="1148"/>
      <c r="J626" s="1148"/>
      <c r="K626" s="1148"/>
      <c r="L626" s="1148"/>
      <c r="M626" s="1148"/>
      <c r="N626" s="1148"/>
      <c r="O626" s="1148"/>
      <c r="P626" s="1148"/>
      <c r="Q626" s="1148"/>
      <c r="R626" s="1148"/>
    </row>
    <row r="627" customFormat="false" ht="15.5" hidden="false" customHeight="false" outlineLevel="0" collapsed="false">
      <c r="A627" s="2142" t="s">
        <v>3645</v>
      </c>
      <c r="B627" s="232" t="s">
        <v>133</v>
      </c>
      <c r="C627" s="89" t="n">
        <f aca="false">дома!C1382</f>
        <v>0</v>
      </c>
      <c r="D627" s="2149"/>
      <c r="E627" s="1148"/>
      <c r="F627" s="2149"/>
      <c r="G627" s="2149"/>
      <c r="H627" s="1148"/>
      <c r="I627" s="1148"/>
      <c r="J627" s="1148"/>
      <c r="K627" s="1148"/>
      <c r="L627" s="1148"/>
      <c r="M627" s="1148"/>
      <c r="N627" s="1148"/>
      <c r="O627" s="1148"/>
      <c r="P627" s="1148"/>
      <c r="Q627" s="1148"/>
      <c r="R627" s="1148"/>
    </row>
    <row r="628" customFormat="false" ht="15.5" hidden="false" customHeight="false" outlineLevel="0" collapsed="false">
      <c r="A628" s="2163" t="s">
        <v>2720</v>
      </c>
      <c r="B628" s="2163" t="s">
        <v>1094</v>
      </c>
      <c r="C628" s="2163" t="s">
        <v>1802</v>
      </c>
      <c r="D628" s="2163" t="s">
        <v>1601</v>
      </c>
      <c r="E628" s="2163" t="s">
        <v>2722</v>
      </c>
      <c r="F628" s="1148"/>
      <c r="G628" s="2189" t="s">
        <v>1409</v>
      </c>
      <c r="H628" s="2189"/>
      <c r="I628" s="2163" t="s">
        <v>1991</v>
      </c>
      <c r="J628" s="2163" t="s">
        <v>1802</v>
      </c>
      <c r="K628" s="2163" t="s">
        <v>2721</v>
      </c>
      <c r="L628" s="2163" t="s">
        <v>3696</v>
      </c>
      <c r="M628" s="1148"/>
      <c r="N628" s="1148"/>
      <c r="O628" s="1148"/>
      <c r="P628" s="1148"/>
      <c r="Q628" s="1148"/>
      <c r="R628" s="1148"/>
    </row>
    <row r="629" customFormat="false" ht="15.5" hidden="false" customHeight="false" outlineLevel="0" collapsed="false">
      <c r="A629" s="88" t="s">
        <v>1267</v>
      </c>
      <c r="B629" s="232"/>
      <c r="C629" s="232"/>
      <c r="D629" s="232"/>
      <c r="E629" s="232" t="n">
        <f aca="false">C629*D629</f>
        <v>0</v>
      </c>
      <c r="F629" s="1148"/>
      <c r="G629" s="88" t="s">
        <v>1552</v>
      </c>
      <c r="H629" s="88"/>
      <c r="I629" s="232"/>
      <c r="J629" s="232"/>
      <c r="K629" s="232"/>
      <c r="L629" s="232" t="n">
        <f aca="false">J629*K629</f>
        <v>0</v>
      </c>
      <c r="M629" s="1148"/>
      <c r="N629" s="1148"/>
      <c r="O629" s="1148"/>
      <c r="P629" s="1148"/>
      <c r="Q629" s="1148"/>
      <c r="R629" s="1148"/>
    </row>
    <row r="630" customFormat="false" ht="15.5" hidden="false" customHeight="false" outlineLevel="0" collapsed="false">
      <c r="A630" s="232" t="s">
        <v>1268</v>
      </c>
      <c r="B630" s="232" t="s">
        <v>133</v>
      </c>
      <c r="C630" s="232" t="n">
        <f aca="false">C569*G566*D569*1.1*D568</f>
        <v>0</v>
      </c>
      <c r="D630" s="232" t="n">
        <f aca="false">'Прайс лист'!G1397</f>
        <v>90</v>
      </c>
      <c r="E630" s="232" t="n">
        <f aca="false">C630*D630</f>
        <v>0</v>
      </c>
      <c r="F630" s="1148"/>
      <c r="G630" s="87" t="s">
        <v>1577</v>
      </c>
      <c r="H630" s="87"/>
      <c r="I630" s="232" t="s">
        <v>133</v>
      </c>
      <c r="J630" s="232" t="n">
        <f aca="false">C630*0.95*H566*D569</f>
        <v>0</v>
      </c>
      <c r="K630" s="232" t="n">
        <f aca="false">'Прайс лист'!G1792</f>
        <v>100</v>
      </c>
      <c r="L630" s="232" t="n">
        <f aca="false">J630*K630</f>
        <v>0</v>
      </c>
      <c r="M630" s="1148"/>
      <c r="N630" s="1148"/>
      <c r="O630" s="1148"/>
      <c r="P630" s="1148"/>
      <c r="Q630" s="1148"/>
      <c r="R630" s="1148"/>
    </row>
    <row r="631" customFormat="false" ht="15.5" hidden="false" customHeight="false" outlineLevel="0" collapsed="false">
      <c r="A631" s="232" t="s">
        <v>1269</v>
      </c>
      <c r="B631" s="232" t="s">
        <v>159</v>
      </c>
      <c r="C631" s="232" t="n">
        <f aca="false">1/0.6*C569/3*D570*1.1*G566*D568</f>
        <v>0</v>
      </c>
      <c r="D631" s="232" t="n">
        <f aca="false">'Прайс лист'!G1398</f>
        <v>100</v>
      </c>
      <c r="E631" s="232" t="n">
        <f aca="false">C631*D631</f>
        <v>0</v>
      </c>
      <c r="F631" s="1148"/>
      <c r="G631" s="87" t="s">
        <v>1554</v>
      </c>
      <c r="H631" s="87"/>
      <c r="I631" s="232" t="s">
        <v>133</v>
      </c>
      <c r="J631" s="232" t="n">
        <f aca="false">C570*D570*H566*D569</f>
        <v>0</v>
      </c>
      <c r="K631" s="232" t="n">
        <f aca="false">'Прайс лист'!G1793</f>
        <v>90</v>
      </c>
      <c r="L631" s="232" t="n">
        <f aca="false">J631*K631</f>
        <v>0</v>
      </c>
      <c r="M631" s="1148"/>
      <c r="N631" s="1148"/>
      <c r="O631" s="1148"/>
      <c r="P631" s="1148"/>
      <c r="Q631" s="1148"/>
      <c r="R631" s="1148"/>
    </row>
    <row r="632" customFormat="false" ht="15.5" hidden="false" customHeight="false" outlineLevel="0" collapsed="false">
      <c r="A632" s="232" t="s">
        <v>1270</v>
      </c>
      <c r="B632" s="232" t="s">
        <v>159</v>
      </c>
      <c r="C632" s="232" t="n">
        <f aca="false">C595*2/3*1.1*G566*D568*D570</f>
        <v>0</v>
      </c>
      <c r="D632" s="232" t="n">
        <f aca="false">'Прайс лист'!G1399</f>
        <v>100</v>
      </c>
      <c r="E632" s="232" t="n">
        <f aca="false">C632*D632</f>
        <v>0</v>
      </c>
      <c r="F632" s="1148"/>
      <c r="G632" s="87" t="s">
        <v>1578</v>
      </c>
      <c r="H632" s="87"/>
      <c r="I632" s="232" t="s">
        <v>133</v>
      </c>
      <c r="J632" s="232" t="n">
        <f aca="false">C571*D571*H566*D569</f>
        <v>0</v>
      </c>
      <c r="K632" s="232" t="n">
        <f aca="false">'Прайс лист'!G1794</f>
        <v>50</v>
      </c>
      <c r="L632" s="232" t="n">
        <f aca="false">J632*K632</f>
        <v>0</v>
      </c>
      <c r="M632" s="1148"/>
      <c r="N632" s="1148"/>
      <c r="O632" s="1148"/>
      <c r="P632" s="1148"/>
      <c r="Q632" s="1148"/>
      <c r="R632" s="1148"/>
    </row>
    <row r="633" customFormat="false" ht="15.5" hidden="false" customHeight="false" outlineLevel="0" collapsed="false">
      <c r="A633" s="232" t="s">
        <v>1271</v>
      </c>
      <c r="B633" s="232" t="s">
        <v>159</v>
      </c>
      <c r="C633" s="232" t="n">
        <f aca="false">C630*G566*D570*0.8*D568</f>
        <v>0</v>
      </c>
      <c r="D633" s="232" t="n">
        <f aca="false">'Прайс лист'!G1400</f>
        <v>9</v>
      </c>
      <c r="E633" s="232" t="n">
        <f aca="false">C633*D633</f>
        <v>0</v>
      </c>
      <c r="F633" s="1148"/>
      <c r="G633" s="87" t="s">
        <v>1579</v>
      </c>
      <c r="H633" s="87"/>
      <c r="I633" s="232" t="s">
        <v>133</v>
      </c>
      <c r="J633" s="232" t="n">
        <f aca="false">J632*H566*D569</f>
        <v>0</v>
      </c>
      <c r="K633" s="232" t="n">
        <f aca="false">'Прайс лист'!G1795</f>
        <v>100</v>
      </c>
      <c r="L633" s="232" t="n">
        <f aca="false">J633*K633</f>
        <v>0</v>
      </c>
      <c r="M633" s="1148"/>
      <c r="N633" s="1148"/>
      <c r="O633" s="1148"/>
      <c r="P633" s="1148"/>
      <c r="Q633" s="1148"/>
      <c r="R633" s="1148"/>
    </row>
    <row r="634" customFormat="false" ht="15.5" hidden="false" customHeight="false" outlineLevel="0" collapsed="false">
      <c r="A634" s="232" t="s">
        <v>1272</v>
      </c>
      <c r="B634" s="232" t="s">
        <v>159</v>
      </c>
      <c r="C634" s="232" t="n">
        <f aca="false">C633*4*D570*G566*D568</f>
        <v>0</v>
      </c>
      <c r="D634" s="232" t="n">
        <f aca="false">'Прайс лист'!G1401</f>
        <v>0.025</v>
      </c>
      <c r="E634" s="232" t="n">
        <f aca="false">C634*D634</f>
        <v>0</v>
      </c>
      <c r="F634" s="1148"/>
      <c r="G634" s="87" t="s">
        <v>1580</v>
      </c>
      <c r="H634" s="87"/>
      <c r="I634" s="232" t="s">
        <v>133</v>
      </c>
      <c r="J634" s="232" t="n">
        <f aca="false">C572*D572*H566*D569</f>
        <v>0</v>
      </c>
      <c r="K634" s="232" t="n">
        <f aca="false">'Прайс лист'!G1796</f>
        <v>120</v>
      </c>
      <c r="L634" s="232" t="n">
        <f aca="false">J634*K634</f>
        <v>0</v>
      </c>
      <c r="M634" s="1148"/>
      <c r="N634" s="1148"/>
      <c r="O634" s="1148"/>
      <c r="P634" s="1148"/>
      <c r="Q634" s="1148"/>
      <c r="R634" s="1148"/>
    </row>
    <row r="635" customFormat="false" ht="15.5" hidden="false" customHeight="false" outlineLevel="0" collapsed="false">
      <c r="A635" s="232" t="s">
        <v>1273</v>
      </c>
      <c r="B635" s="232" t="s">
        <v>159</v>
      </c>
      <c r="C635" s="232" t="n">
        <f aca="false">C569*10*D569*G566*D568</f>
        <v>0</v>
      </c>
      <c r="D635" s="232" t="n">
        <f aca="false">'Прайс лист'!G1402</f>
        <v>0.025</v>
      </c>
      <c r="E635" s="232" t="n">
        <f aca="false">C635*D635</f>
        <v>0</v>
      </c>
      <c r="F635" s="1148"/>
      <c r="G635" s="87" t="s">
        <v>1581</v>
      </c>
      <c r="H635" s="87"/>
      <c r="I635" s="232" t="s">
        <v>133</v>
      </c>
      <c r="J635" s="232" t="n">
        <f aca="false">C573*D573*H566*D569</f>
        <v>0</v>
      </c>
      <c r="K635" s="232" t="n">
        <f aca="false">'Прайс лист'!G1797</f>
        <v>100</v>
      </c>
      <c r="L635" s="232" t="n">
        <f aca="false">J635*K635</f>
        <v>0</v>
      </c>
      <c r="M635" s="1148"/>
      <c r="N635" s="1148"/>
      <c r="O635" s="1148"/>
      <c r="P635" s="1148"/>
      <c r="Q635" s="1148"/>
      <c r="R635" s="1148"/>
    </row>
    <row r="636" customFormat="false" ht="15.5" hidden="false" customHeight="false" outlineLevel="0" collapsed="false">
      <c r="A636" s="232" t="s">
        <v>1274</v>
      </c>
      <c r="B636" s="232" t="s">
        <v>159</v>
      </c>
      <c r="C636" s="232" t="n">
        <f aca="false">(C571*D571)/50*G566*D568</f>
        <v>0</v>
      </c>
      <c r="D636" s="232" t="n">
        <f aca="false">'Прайс лист'!G1403</f>
        <v>500</v>
      </c>
      <c r="E636" s="232" t="n">
        <f aca="false">C636*D636</f>
        <v>0</v>
      </c>
      <c r="F636" s="1148"/>
      <c r="G636" s="485" t="s">
        <v>1255</v>
      </c>
      <c r="H636" s="2191"/>
      <c r="I636" s="232" t="s">
        <v>133</v>
      </c>
      <c r="J636" s="232" t="n">
        <f aca="false">C574*D574*H566*D569</f>
        <v>0</v>
      </c>
      <c r="K636" s="232" t="n">
        <f aca="false">'Прайс лист'!G1798</f>
        <v>400</v>
      </c>
      <c r="L636" s="232" t="n">
        <f aca="false">J636*K636</f>
        <v>0</v>
      </c>
      <c r="M636" s="1148"/>
      <c r="N636" s="1148"/>
      <c r="O636" s="1148"/>
      <c r="P636" s="1148"/>
      <c r="Q636" s="1148"/>
      <c r="R636" s="1148"/>
    </row>
    <row r="637" customFormat="false" ht="15.5" hidden="false" customHeight="false" outlineLevel="0" collapsed="false">
      <c r="A637" s="232" t="s">
        <v>1275</v>
      </c>
      <c r="B637" s="232" t="s">
        <v>159</v>
      </c>
      <c r="C637" s="232" t="n">
        <f aca="false">(C571*D571)/100*G566*D568</f>
        <v>0</v>
      </c>
      <c r="D637" s="232" t="n">
        <f aca="false">'Прайс лист'!G1404</f>
        <v>500</v>
      </c>
      <c r="E637" s="232" t="n">
        <f aca="false">C637*D637</f>
        <v>0</v>
      </c>
      <c r="F637" s="1148"/>
      <c r="G637" s="485" t="s">
        <v>1281</v>
      </c>
      <c r="H637" s="2191"/>
      <c r="I637" s="232" t="s">
        <v>133</v>
      </c>
      <c r="J637" s="232" t="n">
        <f aca="false">C575*D575*H566*D569</f>
        <v>0</v>
      </c>
      <c r="K637" s="232" t="n">
        <f aca="false">'Прайс лист'!G1799</f>
        <v>400</v>
      </c>
      <c r="L637" s="232" t="n">
        <f aca="false">J637*K637</f>
        <v>0</v>
      </c>
      <c r="M637" s="1148"/>
      <c r="N637" s="1148"/>
      <c r="O637" s="1148"/>
      <c r="P637" s="1148"/>
      <c r="Q637" s="1148"/>
      <c r="R637" s="1148"/>
    </row>
    <row r="638" customFormat="false" ht="15.5" hidden="false" customHeight="false" outlineLevel="0" collapsed="false">
      <c r="A638" s="232" t="s">
        <v>1276</v>
      </c>
      <c r="B638" s="232" t="s">
        <v>159</v>
      </c>
      <c r="C638" s="232" t="n">
        <f aca="false">(C571*D571)/50*G566*D568</f>
        <v>0</v>
      </c>
      <c r="D638" s="232" t="n">
        <f aca="false">'Прайс лист'!G1405</f>
        <v>400</v>
      </c>
      <c r="E638" s="232" t="n">
        <f aca="false">C638*D638</f>
        <v>0</v>
      </c>
      <c r="F638" s="1148"/>
      <c r="G638" s="485" t="s">
        <v>1282</v>
      </c>
      <c r="H638" s="2191"/>
      <c r="I638" s="232" t="s">
        <v>133</v>
      </c>
      <c r="J638" s="232" t="n">
        <f aca="false">C576*D576*H566</f>
        <v>0</v>
      </c>
      <c r="K638" s="232" t="n">
        <f aca="false">'Прайс лист'!G1800</f>
        <v>400</v>
      </c>
      <c r="L638" s="232" t="n">
        <f aca="false">J638*K638</f>
        <v>0</v>
      </c>
      <c r="M638" s="1148"/>
      <c r="N638" s="1148"/>
      <c r="O638" s="1148"/>
      <c r="P638" s="1148"/>
      <c r="Q638" s="1148"/>
      <c r="R638" s="1148"/>
    </row>
    <row r="639" customFormat="false" ht="15.5" hidden="false" customHeight="false" outlineLevel="0" collapsed="false">
      <c r="A639" s="232" t="s">
        <v>1277</v>
      </c>
      <c r="B639" s="232" t="s">
        <v>159</v>
      </c>
      <c r="C639" s="232" t="n">
        <f aca="false">C571*2/50*G566*D571*D568</f>
        <v>0</v>
      </c>
      <c r="D639" s="232" t="n">
        <f aca="false">'Прайс лист'!G1406</f>
        <v>100</v>
      </c>
      <c r="E639" s="232" t="n">
        <f aca="false">C639*D639</f>
        <v>0</v>
      </c>
      <c r="F639" s="1148"/>
      <c r="G639" s="261" t="s">
        <v>1283</v>
      </c>
      <c r="H639" s="261"/>
      <c r="I639" s="232" t="s">
        <v>133</v>
      </c>
      <c r="J639" s="232" t="n">
        <f aca="false">C577*D577*H566*D569</f>
        <v>0</v>
      </c>
      <c r="K639" s="232" t="n">
        <f aca="false">'Прайс лист'!G1801</f>
        <v>100</v>
      </c>
      <c r="L639" s="232" t="n">
        <f aca="false">J639*K639</f>
        <v>0</v>
      </c>
      <c r="M639" s="1148"/>
      <c r="N639" s="1148"/>
      <c r="O639" s="1148"/>
      <c r="P639" s="1148"/>
      <c r="Q639" s="1148"/>
      <c r="R639" s="1148"/>
    </row>
    <row r="640" customFormat="false" ht="15.5" hidden="false" customHeight="false" outlineLevel="0" collapsed="false">
      <c r="A640" s="232" t="s">
        <v>1278</v>
      </c>
      <c r="B640" s="286" t="s">
        <v>133</v>
      </c>
      <c r="C640" s="232" t="n">
        <f aca="false">C572*D572*G566*D568</f>
        <v>0</v>
      </c>
      <c r="D640" s="232" t="n">
        <f aca="false">'Прайс лист'!G1407</f>
        <v>30</v>
      </c>
      <c r="E640" s="232" t="n">
        <f aca="false">C640*D640</f>
        <v>0</v>
      </c>
      <c r="F640" s="1148"/>
      <c r="G640" s="88" t="s">
        <v>1582</v>
      </c>
      <c r="H640" s="88"/>
      <c r="I640" s="232"/>
      <c r="J640" s="232"/>
      <c r="K640" s="232" t="n">
        <f aca="false">'Прайс лист'!G1802</f>
        <v>0</v>
      </c>
      <c r="L640" s="232" t="n">
        <f aca="false">J640*K640</f>
        <v>0</v>
      </c>
      <c r="M640" s="1148"/>
      <c r="N640" s="1148"/>
      <c r="O640" s="1148"/>
      <c r="P640" s="1148"/>
      <c r="Q640" s="1148"/>
      <c r="R640" s="1148"/>
    </row>
    <row r="641" customFormat="false" ht="15.5" hidden="false" customHeight="false" outlineLevel="0" collapsed="false">
      <c r="A641" s="232" t="s">
        <v>1279</v>
      </c>
      <c r="B641" s="286" t="s">
        <v>159</v>
      </c>
      <c r="C641" s="232" t="n">
        <f aca="false">C640/40*G566*D568</f>
        <v>0</v>
      </c>
      <c r="D641" s="232" t="n">
        <f aca="false">'Прайс лист'!G1408</f>
        <v>120</v>
      </c>
      <c r="E641" s="232" t="n">
        <f aca="false">C641*D641</f>
        <v>0</v>
      </c>
      <c r="F641" s="1148"/>
      <c r="G641" s="2155" t="s">
        <v>1583</v>
      </c>
      <c r="H641" s="2156"/>
      <c r="I641" s="232" t="s">
        <v>133</v>
      </c>
      <c r="J641" s="232" t="n">
        <f aca="false">C580*D580*H566*D579</f>
        <v>0</v>
      </c>
      <c r="K641" s="232" t="n">
        <f aca="false">'Прайс лист'!G1803</f>
        <v>150</v>
      </c>
      <c r="L641" s="232" t="n">
        <f aca="false">J641*K641</f>
        <v>0</v>
      </c>
      <c r="M641" s="1148"/>
      <c r="N641" s="1148"/>
      <c r="O641" s="1148"/>
      <c r="P641" s="1148"/>
      <c r="Q641" s="1148"/>
      <c r="R641" s="1148"/>
    </row>
    <row r="642" customFormat="false" ht="15.5" hidden="false" customHeight="false" outlineLevel="0" collapsed="false">
      <c r="A642" s="232" t="s">
        <v>1280</v>
      </c>
      <c r="B642" s="286" t="s">
        <v>159</v>
      </c>
      <c r="C642" s="232" t="n">
        <f aca="false">C573*D573/50*G566*D568</f>
        <v>0</v>
      </c>
      <c r="D642" s="232" t="n">
        <f aca="false">'Прайс лист'!G1409</f>
        <v>900</v>
      </c>
      <c r="E642" s="232" t="n">
        <f aca="false">C642*D642</f>
        <v>0</v>
      </c>
      <c r="F642" s="1148"/>
      <c r="G642" s="2155" t="s">
        <v>1554</v>
      </c>
      <c r="H642" s="2156"/>
      <c r="I642" s="232" t="s">
        <v>133</v>
      </c>
      <c r="J642" s="232" t="n">
        <f aca="false">C581*D581*H566*D579</f>
        <v>0</v>
      </c>
      <c r="K642" s="232" t="n">
        <f aca="false">'Прайс лист'!G1804</f>
        <v>120</v>
      </c>
      <c r="L642" s="232" t="n">
        <f aca="false">J642*K642</f>
        <v>0</v>
      </c>
      <c r="M642" s="1148"/>
      <c r="N642" s="1148"/>
      <c r="O642" s="1148"/>
      <c r="P642" s="1148"/>
      <c r="Q642" s="1148"/>
      <c r="R642" s="1148"/>
    </row>
    <row r="643" customFormat="false" ht="15.5" hidden="false" customHeight="false" outlineLevel="0" collapsed="false">
      <c r="A643" s="261" t="s">
        <v>1255</v>
      </c>
      <c r="B643" s="286" t="s">
        <v>133</v>
      </c>
      <c r="C643" s="232" t="n">
        <f aca="false">C574*D574*G566*D568</f>
        <v>0</v>
      </c>
      <c r="D643" s="232" t="n">
        <f aca="false">'Прайс лист'!G1410</f>
        <v>350</v>
      </c>
      <c r="E643" s="232" t="n">
        <f aca="false">C643*D643</f>
        <v>0</v>
      </c>
      <c r="F643" s="1148"/>
      <c r="G643" s="2155" t="s">
        <v>1584</v>
      </c>
      <c r="H643" s="2156"/>
      <c r="I643" s="232" t="s">
        <v>133</v>
      </c>
      <c r="J643" s="232" t="n">
        <f aca="false">C582*D582*H566*D579</f>
        <v>0</v>
      </c>
      <c r="K643" s="232" t="n">
        <f aca="false">'Прайс лист'!G1805</f>
        <v>80</v>
      </c>
      <c r="L643" s="232" t="n">
        <f aca="false">J643*K643</f>
        <v>0</v>
      </c>
      <c r="M643" s="1148"/>
      <c r="N643" s="1148"/>
      <c r="O643" s="1148"/>
      <c r="P643" s="1148"/>
      <c r="Q643" s="1148"/>
      <c r="R643" s="1148"/>
    </row>
    <row r="644" customFormat="false" ht="15.5" hidden="false" customHeight="false" outlineLevel="0" collapsed="false">
      <c r="A644" s="261" t="s">
        <v>1281</v>
      </c>
      <c r="B644" s="286" t="s">
        <v>133</v>
      </c>
      <c r="C644" s="232" t="n">
        <f aca="false">C575*D575*G566*D568</f>
        <v>0</v>
      </c>
      <c r="D644" s="232" t="n">
        <f aca="false">'Прайс лист'!G1411</f>
        <v>500</v>
      </c>
      <c r="E644" s="232" t="n">
        <f aca="false">C644*D644</f>
        <v>0</v>
      </c>
      <c r="F644" s="1148"/>
      <c r="G644" s="2155" t="s">
        <v>1585</v>
      </c>
      <c r="H644" s="2156"/>
      <c r="I644" s="232" t="s">
        <v>133</v>
      </c>
      <c r="J644" s="232" t="n">
        <f aca="false">J643*H566*D579</f>
        <v>0</v>
      </c>
      <c r="K644" s="232" t="n">
        <f aca="false">'Прайс лист'!G1806</f>
        <v>100</v>
      </c>
      <c r="L644" s="232" t="n">
        <f aca="false">J644*K644</f>
        <v>0</v>
      </c>
      <c r="M644" s="1148"/>
      <c r="N644" s="1148"/>
      <c r="O644" s="1148"/>
      <c r="P644" s="1148"/>
      <c r="Q644" s="1148"/>
      <c r="R644" s="1148"/>
    </row>
    <row r="645" customFormat="false" ht="15.5" hidden="false" customHeight="false" outlineLevel="0" collapsed="false">
      <c r="A645" s="261" t="s">
        <v>1282</v>
      </c>
      <c r="B645" s="286" t="s">
        <v>133</v>
      </c>
      <c r="C645" s="232" t="n">
        <f aca="false">C576*D576*G566*D568</f>
        <v>0</v>
      </c>
      <c r="D645" s="232" t="n">
        <f aca="false">'Прайс лист'!G1412</f>
        <v>250</v>
      </c>
      <c r="E645" s="232" t="n">
        <f aca="false">C645*D645</f>
        <v>0</v>
      </c>
      <c r="F645" s="1148"/>
      <c r="G645" s="2155" t="s">
        <v>1586</v>
      </c>
      <c r="H645" s="2156"/>
      <c r="I645" s="232" t="s">
        <v>133</v>
      </c>
      <c r="J645" s="232" t="n">
        <f aca="false">C583*D583*H566*D579</f>
        <v>0</v>
      </c>
      <c r="K645" s="232" t="n">
        <f aca="false">'Прайс лист'!G1807</f>
        <v>150</v>
      </c>
      <c r="L645" s="232" t="n">
        <f aca="false">J645*K645</f>
        <v>0</v>
      </c>
      <c r="M645" s="1148"/>
      <c r="N645" s="1148"/>
      <c r="O645" s="1148"/>
      <c r="P645" s="1148"/>
      <c r="Q645" s="1148"/>
      <c r="R645" s="1148"/>
    </row>
    <row r="646" customFormat="false" ht="15.5" hidden="false" customHeight="false" outlineLevel="0" collapsed="false">
      <c r="A646" s="261" t="s">
        <v>1283</v>
      </c>
      <c r="B646" s="286" t="s">
        <v>156</v>
      </c>
      <c r="C646" s="232" t="n">
        <f aca="false">C577*G566*D577*D568</f>
        <v>0</v>
      </c>
      <c r="D646" s="232" t="n">
        <f aca="false">'Прайс лист'!G1413</f>
        <v>6</v>
      </c>
      <c r="E646" s="232" t="n">
        <f aca="false">C646*D646</f>
        <v>0</v>
      </c>
      <c r="F646" s="1148"/>
      <c r="G646" s="2155" t="s">
        <v>1294</v>
      </c>
      <c r="H646" s="2156"/>
      <c r="I646" s="232" t="s">
        <v>133</v>
      </c>
      <c r="J646" s="232" t="n">
        <f aca="false">C585*D585*H566*D579</f>
        <v>0</v>
      </c>
      <c r="K646" s="232" t="n">
        <f aca="false">'Прайс лист'!G1808</f>
        <v>300</v>
      </c>
      <c r="L646" s="232" t="n">
        <f aca="false">J646*K646</f>
        <v>0</v>
      </c>
      <c r="M646" s="1148"/>
      <c r="N646" s="1148"/>
      <c r="O646" s="1148"/>
      <c r="P646" s="1148"/>
      <c r="Q646" s="1148"/>
      <c r="R646" s="1148"/>
    </row>
    <row r="647" customFormat="false" ht="15.5" hidden="false" customHeight="false" outlineLevel="0" collapsed="false">
      <c r="A647" s="261" t="s">
        <v>1284</v>
      </c>
      <c r="B647" s="286" t="s">
        <v>159</v>
      </c>
      <c r="C647" s="232" t="n">
        <f aca="false">C578*D578*G566*D568</f>
        <v>0</v>
      </c>
      <c r="D647" s="232" t="n">
        <f aca="false">'Прайс лист'!G1414</f>
        <v>8</v>
      </c>
      <c r="E647" s="232" t="n">
        <f aca="false">C647*D647</f>
        <v>0</v>
      </c>
      <c r="F647" s="1148"/>
      <c r="G647" s="87" t="s">
        <v>1587</v>
      </c>
      <c r="H647" s="87"/>
      <c r="I647" s="232" t="s">
        <v>156</v>
      </c>
      <c r="J647" s="232" t="n">
        <f aca="false">C584*D584*H566*D579</f>
        <v>0</v>
      </c>
      <c r="K647" s="232" t="n">
        <f aca="false">'Прайс лист'!G1809</f>
        <v>50</v>
      </c>
      <c r="L647" s="232" t="n">
        <f aca="false">J647*K647</f>
        <v>0</v>
      </c>
      <c r="M647" s="1148"/>
      <c r="N647" s="1148"/>
      <c r="O647" s="1148"/>
      <c r="P647" s="1148"/>
      <c r="Q647" s="1148"/>
      <c r="R647" s="1148"/>
    </row>
    <row r="648" customFormat="false" ht="15.5" hidden="false" customHeight="false" outlineLevel="0" collapsed="false">
      <c r="A648" s="261" t="s">
        <v>1285</v>
      </c>
      <c r="B648" s="286" t="s">
        <v>159</v>
      </c>
      <c r="C648" s="232" t="n">
        <f aca="false">C646*2*G566*D568</f>
        <v>0</v>
      </c>
      <c r="D648" s="232" t="n">
        <f aca="false">'Прайс лист'!G1415</f>
        <v>0.02</v>
      </c>
      <c r="E648" s="232" t="n">
        <f aca="false">C648*D648</f>
        <v>0</v>
      </c>
      <c r="F648" s="1148"/>
      <c r="G648" s="87" t="s">
        <v>1588</v>
      </c>
      <c r="H648" s="87"/>
      <c r="I648" s="232" t="s">
        <v>156</v>
      </c>
      <c r="J648" s="232" t="n">
        <f aca="false">J647*H566*D579</f>
        <v>0</v>
      </c>
      <c r="K648" s="232" t="n">
        <f aca="false">'Прайс лист'!G1810</f>
        <v>50</v>
      </c>
      <c r="L648" s="232" t="n">
        <f aca="false">J648*K648</f>
        <v>0</v>
      </c>
      <c r="M648" s="1148"/>
      <c r="N648" s="1148"/>
      <c r="O648" s="1148"/>
      <c r="P648" s="1148"/>
      <c r="Q648" s="1148"/>
      <c r="R648" s="1148"/>
    </row>
    <row r="649" customFormat="false" ht="15.5" hidden="false" customHeight="false" outlineLevel="0" collapsed="false">
      <c r="A649" s="232" t="s">
        <v>1286</v>
      </c>
      <c r="B649" s="286" t="s">
        <v>159</v>
      </c>
      <c r="C649" s="232" t="n">
        <f aca="false">(C643+C644+C645)*20*G566*D568</f>
        <v>0</v>
      </c>
      <c r="D649" s="232" t="n">
        <f aca="false">'Прайс лист'!G1416</f>
        <v>0.02</v>
      </c>
      <c r="E649" s="232" t="n">
        <f aca="false">C649*D649</f>
        <v>0</v>
      </c>
      <c r="F649" s="1148"/>
      <c r="G649" s="87" t="s">
        <v>1589</v>
      </c>
      <c r="H649" s="87"/>
      <c r="I649" s="232" t="s">
        <v>156</v>
      </c>
      <c r="J649" s="232" t="n">
        <f aca="false">J647*H566*D579</f>
        <v>0</v>
      </c>
      <c r="K649" s="232" t="n">
        <f aca="false">'Прайс лист'!G1811</f>
        <v>50</v>
      </c>
      <c r="L649" s="232" t="n">
        <f aca="false">J649*K649</f>
        <v>0</v>
      </c>
      <c r="M649" s="1148"/>
      <c r="N649" s="1148"/>
      <c r="O649" s="1148"/>
      <c r="P649" s="1148"/>
      <c r="Q649" s="1148"/>
      <c r="R649" s="1148"/>
    </row>
    <row r="650" customFormat="false" ht="15.5" hidden="false" customHeight="false" outlineLevel="0" collapsed="false">
      <c r="A650" s="88" t="s">
        <v>1287</v>
      </c>
      <c r="B650" s="286"/>
      <c r="C650" s="232"/>
      <c r="D650" s="232" t="n">
        <f aca="false">'Прайс лист'!G1417</f>
        <v>0</v>
      </c>
      <c r="E650" s="232" t="n">
        <f aca="false">C650*D650</f>
        <v>0</v>
      </c>
      <c r="F650" s="1148"/>
      <c r="G650" s="485" t="s">
        <v>1255</v>
      </c>
      <c r="H650" s="2191"/>
      <c r="I650" s="232" t="s">
        <v>133</v>
      </c>
      <c r="J650" s="232" t="n">
        <f aca="false">C586*D586*H566*D579</f>
        <v>0</v>
      </c>
      <c r="K650" s="232" t="n">
        <f aca="false">'Прайс лист'!G1812</f>
        <v>400</v>
      </c>
      <c r="L650" s="232" t="n">
        <f aca="false">J650*K650</f>
        <v>0</v>
      </c>
      <c r="M650" s="1148"/>
      <c r="N650" s="1148"/>
      <c r="O650" s="1148"/>
      <c r="P650" s="1148"/>
      <c r="Q650" s="1148"/>
      <c r="R650" s="1148"/>
    </row>
    <row r="651" customFormat="false" ht="15.5" hidden="false" customHeight="false" outlineLevel="0" collapsed="false">
      <c r="A651" s="232" t="s">
        <v>1288</v>
      </c>
      <c r="B651" s="232" t="s">
        <v>133</v>
      </c>
      <c r="C651" s="232" t="n">
        <f aca="false">C580*D580*G566*1.1*D579</f>
        <v>0</v>
      </c>
      <c r="D651" s="232" t="n">
        <f aca="false">'Прайс лист'!G1418</f>
        <v>80</v>
      </c>
      <c r="E651" s="232" t="n">
        <f aca="false">C651*D651</f>
        <v>0</v>
      </c>
      <c r="F651" s="1148"/>
      <c r="G651" s="485" t="s">
        <v>1281</v>
      </c>
      <c r="H651" s="2191"/>
      <c r="I651" s="232" t="s">
        <v>133</v>
      </c>
      <c r="J651" s="232" t="n">
        <f aca="false">C587*D587*H566*D579</f>
        <v>0</v>
      </c>
      <c r="K651" s="232" t="n">
        <f aca="false">'Прайс лист'!G1813</f>
        <v>400</v>
      </c>
      <c r="L651" s="232" t="n">
        <f aca="false">J651*K651</f>
        <v>0</v>
      </c>
      <c r="M651" s="1148"/>
      <c r="N651" s="1148"/>
      <c r="O651" s="1148"/>
      <c r="P651" s="1148"/>
      <c r="Q651" s="1148"/>
      <c r="R651" s="1148"/>
    </row>
    <row r="652" customFormat="false" ht="15.5" hidden="false" customHeight="false" outlineLevel="0" collapsed="false">
      <c r="A652" s="232" t="s">
        <v>1269</v>
      </c>
      <c r="B652" s="232" t="s">
        <v>159</v>
      </c>
      <c r="C652" s="232" t="n">
        <f aca="false">1/0.6*C581*G566*D581/3*1.1*D579</f>
        <v>0</v>
      </c>
      <c r="D652" s="232" t="n">
        <f aca="false">'Прайс лист'!G1419</f>
        <v>100</v>
      </c>
      <c r="E652" s="232" t="n">
        <f aca="false">C652*D652</f>
        <v>0</v>
      </c>
      <c r="F652" s="1148"/>
      <c r="G652" s="485" t="s">
        <v>1282</v>
      </c>
      <c r="H652" s="2191"/>
      <c r="I652" s="232" t="s">
        <v>133</v>
      </c>
      <c r="J652" s="232" t="n">
        <f aca="false">C588*D588*H566*D579</f>
        <v>0</v>
      </c>
      <c r="K652" s="232" t="n">
        <f aca="false">'Прайс лист'!G1814</f>
        <v>400</v>
      </c>
      <c r="L652" s="232" t="n">
        <f aca="false">J652*K652</f>
        <v>0</v>
      </c>
      <c r="M652" s="1148"/>
      <c r="N652" s="1148"/>
      <c r="O652" s="1148"/>
      <c r="P652" s="1148"/>
      <c r="Q652" s="1148"/>
      <c r="R652" s="1148"/>
    </row>
    <row r="653" customFormat="false" ht="15.5" hidden="false" customHeight="false" outlineLevel="0" collapsed="false">
      <c r="A653" s="232" t="s">
        <v>1270</v>
      </c>
      <c r="B653" s="232" t="s">
        <v>159</v>
      </c>
      <c r="C653" s="232" t="n">
        <f aca="false">C584/3*D581*1.1*G566*D579</f>
        <v>0</v>
      </c>
      <c r="D653" s="232" t="n">
        <f aca="false">'Прайс лист'!G1420</f>
        <v>100</v>
      </c>
      <c r="E653" s="232" t="n">
        <f aca="false">C653*D653</f>
        <v>0</v>
      </c>
      <c r="F653" s="1148"/>
      <c r="G653" s="261" t="s">
        <v>1283</v>
      </c>
      <c r="H653" s="261"/>
      <c r="I653" s="232" t="s">
        <v>133</v>
      </c>
      <c r="J653" s="232" t="n">
        <f aca="false">C589*D589*H566*D579</f>
        <v>0</v>
      </c>
      <c r="K653" s="232" t="n">
        <f aca="false">'Прайс лист'!G1815</f>
        <v>100</v>
      </c>
      <c r="L653" s="232" t="n">
        <f aca="false">J653*K653</f>
        <v>0</v>
      </c>
      <c r="M653" s="1148"/>
      <c r="N653" s="1148"/>
      <c r="O653" s="1148"/>
      <c r="P653" s="1148"/>
      <c r="Q653" s="1148"/>
      <c r="R653" s="1148"/>
    </row>
    <row r="654" customFormat="false" ht="15.5" hidden="false" customHeight="false" outlineLevel="0" collapsed="false">
      <c r="A654" s="232" t="s">
        <v>1271</v>
      </c>
      <c r="B654" s="232" t="s">
        <v>159</v>
      </c>
      <c r="C654" s="232" t="n">
        <f aca="false">C652*3*G566*D579</f>
        <v>0</v>
      </c>
      <c r="D654" s="232" t="n">
        <f aca="false">'Прайс лист'!G1421</f>
        <v>9</v>
      </c>
      <c r="E654" s="232" t="n">
        <f aca="false">C654*D654</f>
        <v>0</v>
      </c>
      <c r="F654" s="1148"/>
      <c r="G654" s="88" t="s">
        <v>1590</v>
      </c>
      <c r="H654" s="88"/>
      <c r="I654" s="232"/>
      <c r="J654" s="232"/>
      <c r="K654" s="232" t="n">
        <f aca="false">'Прайс лист'!G1816</f>
        <v>0</v>
      </c>
      <c r="L654" s="232" t="n">
        <f aca="false">J654*K654</f>
        <v>0</v>
      </c>
      <c r="M654" s="1148"/>
      <c r="N654" s="1148"/>
      <c r="O654" s="1148"/>
      <c r="P654" s="1148"/>
      <c r="Q654" s="1148"/>
      <c r="R654" s="1148"/>
    </row>
    <row r="655" customFormat="false" ht="15.5" hidden="false" customHeight="false" outlineLevel="0" collapsed="false">
      <c r="A655" s="232" t="s">
        <v>1272</v>
      </c>
      <c r="B655" s="232" t="s">
        <v>159</v>
      </c>
      <c r="C655" s="232" t="n">
        <f aca="false">C651*5*G566*D579</f>
        <v>0</v>
      </c>
      <c r="D655" s="232" t="n">
        <f aca="false">'Прайс лист'!G1422</f>
        <v>0.025</v>
      </c>
      <c r="E655" s="232" t="n">
        <f aca="false">C655*D655</f>
        <v>0</v>
      </c>
      <c r="F655" s="1148"/>
      <c r="G655" s="87" t="s">
        <v>1591</v>
      </c>
      <c r="H655" s="87"/>
      <c r="I655" s="232" t="s">
        <v>133</v>
      </c>
      <c r="J655" s="232" t="n">
        <f aca="false">C592*(D592+D593)*H566*D591</f>
        <v>94</v>
      </c>
      <c r="K655" s="232" t="n">
        <f aca="false">'Прайс лист'!G1817</f>
        <v>30</v>
      </c>
      <c r="L655" s="232" t="n">
        <f aca="false">J655*K655</f>
        <v>2820</v>
      </c>
      <c r="M655" s="1148"/>
      <c r="N655" s="1148"/>
      <c r="O655" s="1148"/>
      <c r="P655" s="1148"/>
      <c r="Q655" s="1148"/>
      <c r="R655" s="1148"/>
    </row>
    <row r="656" customFormat="false" ht="15.5" hidden="false" customHeight="false" outlineLevel="0" collapsed="false">
      <c r="A656" s="232" t="s">
        <v>1273</v>
      </c>
      <c r="B656" s="232" t="s">
        <v>159</v>
      </c>
      <c r="C656" s="232" t="n">
        <f aca="false">C651*20*G566*D579</f>
        <v>0</v>
      </c>
      <c r="D656" s="232" t="n">
        <f aca="false">'Прайс лист'!G1423</f>
        <v>0.025</v>
      </c>
      <c r="E656" s="232" t="n">
        <f aca="false">C656*D656</f>
        <v>0</v>
      </c>
      <c r="F656" s="1148"/>
      <c r="G656" s="87" t="s">
        <v>1297</v>
      </c>
      <c r="H656" s="87"/>
      <c r="I656" s="232" t="s">
        <v>133</v>
      </c>
      <c r="J656" s="232" t="n">
        <f aca="false">C592*D592*H566*D591</f>
        <v>0</v>
      </c>
      <c r="K656" s="232" t="n">
        <f aca="false">'Прайс лист'!G1818</f>
        <v>150</v>
      </c>
      <c r="L656" s="232" t="n">
        <f aca="false">J656*K656</f>
        <v>0</v>
      </c>
      <c r="M656" s="1148"/>
      <c r="N656" s="1148"/>
      <c r="O656" s="1148"/>
      <c r="P656" s="1148"/>
      <c r="Q656" s="1148"/>
      <c r="R656" s="1148"/>
    </row>
    <row r="657" customFormat="false" ht="15.5" hidden="false" customHeight="false" outlineLevel="0" collapsed="false">
      <c r="A657" s="232" t="s">
        <v>1274</v>
      </c>
      <c r="B657" s="232" t="s">
        <v>159</v>
      </c>
      <c r="C657" s="232" t="n">
        <f aca="false">C582*D582/10*G566*D579</f>
        <v>0</v>
      </c>
      <c r="D657" s="232" t="n">
        <f aca="false">'Прайс лист'!G1424</f>
        <v>500</v>
      </c>
      <c r="E657" s="232" t="n">
        <f aca="false">C657*D657</f>
        <v>0</v>
      </c>
      <c r="F657" s="1148"/>
      <c r="G657" s="87" t="s">
        <v>1298</v>
      </c>
      <c r="H657" s="87"/>
      <c r="I657" s="232" t="s">
        <v>133</v>
      </c>
      <c r="J657" s="232" t="n">
        <f aca="false">C593*D593*H566*D591</f>
        <v>94</v>
      </c>
      <c r="K657" s="232" t="n">
        <f aca="false">'Прайс лист'!G1819</f>
        <v>150</v>
      </c>
      <c r="L657" s="232" t="n">
        <f aca="false">J657*K657</f>
        <v>14100</v>
      </c>
      <c r="M657" s="1148"/>
      <c r="N657" s="1148"/>
      <c r="O657" s="1148"/>
      <c r="P657" s="1148"/>
      <c r="Q657" s="1148"/>
      <c r="R657" s="1148"/>
    </row>
    <row r="658" customFormat="false" ht="15.5" hidden="false" customHeight="false" outlineLevel="0" collapsed="false">
      <c r="A658" s="232" t="s">
        <v>1275</v>
      </c>
      <c r="B658" s="232" t="s">
        <v>159</v>
      </c>
      <c r="C658" s="232" t="n">
        <f aca="false">C582*D582/100*G566*D579</f>
        <v>0</v>
      </c>
      <c r="D658" s="232" t="n">
        <f aca="false">'Прайс лист'!G1425</f>
        <v>500</v>
      </c>
      <c r="E658" s="232" t="n">
        <f aca="false">C658*D658</f>
        <v>0</v>
      </c>
      <c r="F658" s="1148"/>
      <c r="G658" s="87" t="s">
        <v>1300</v>
      </c>
      <c r="H658" s="87"/>
      <c r="I658" s="232" t="s">
        <v>156</v>
      </c>
      <c r="J658" s="232" t="n">
        <f aca="false">C595*D595*H566*D591</f>
        <v>0</v>
      </c>
      <c r="K658" s="232" t="n">
        <f aca="false">'Прайс лист'!G1820</f>
        <v>150</v>
      </c>
      <c r="L658" s="232" t="n">
        <f aca="false">J658*K658</f>
        <v>0</v>
      </c>
      <c r="M658" s="1148"/>
      <c r="N658" s="1148"/>
      <c r="O658" s="1148"/>
      <c r="P658" s="1148"/>
      <c r="Q658" s="1148"/>
      <c r="R658" s="1148"/>
    </row>
    <row r="659" customFormat="false" ht="15.5" hidden="false" customHeight="false" outlineLevel="0" collapsed="false">
      <c r="A659" s="232" t="s">
        <v>1276</v>
      </c>
      <c r="B659" s="232" t="s">
        <v>159</v>
      </c>
      <c r="C659" s="232" t="n">
        <f aca="false">C582*D582/50*G566*D579</f>
        <v>0</v>
      </c>
      <c r="D659" s="232" t="n">
        <f aca="false">'Прайс лист'!G1426</f>
        <v>400</v>
      </c>
      <c r="E659" s="232" t="n">
        <f aca="false">C659*D659</f>
        <v>0</v>
      </c>
      <c r="F659" s="1148"/>
      <c r="G659" s="87" t="s">
        <v>1301</v>
      </c>
      <c r="H659" s="87"/>
      <c r="I659" s="232" t="s">
        <v>133</v>
      </c>
      <c r="J659" s="232" t="n">
        <f aca="false">C594*D594*H566*D591</f>
        <v>0</v>
      </c>
      <c r="K659" s="232" t="n">
        <f aca="false">'Прайс лист'!G1821</f>
        <v>600</v>
      </c>
      <c r="L659" s="232" t="n">
        <f aca="false">J659*K659</f>
        <v>0</v>
      </c>
      <c r="M659" s="1148"/>
      <c r="N659" s="1148"/>
      <c r="O659" s="1148"/>
      <c r="P659" s="1148"/>
      <c r="Q659" s="1148"/>
      <c r="R659" s="1148"/>
    </row>
    <row r="660" customFormat="false" ht="15.5" hidden="false" customHeight="false" outlineLevel="0" collapsed="false">
      <c r="A660" s="232" t="s">
        <v>1277</v>
      </c>
      <c r="B660" s="232" t="s">
        <v>159</v>
      </c>
      <c r="C660" s="232" t="n">
        <f aca="false">C582*D582*2/50*G566*D579</f>
        <v>0</v>
      </c>
      <c r="D660" s="232" t="n">
        <f aca="false">'Прайс лист'!G1427</f>
        <v>100</v>
      </c>
      <c r="E660" s="232" t="n">
        <f aca="false">C660*D660</f>
        <v>0</v>
      </c>
      <c r="F660" s="1148"/>
      <c r="G660" s="88" t="s">
        <v>1305</v>
      </c>
      <c r="H660" s="88"/>
      <c r="I660" s="1148"/>
      <c r="J660" s="232"/>
      <c r="K660" s="232" t="n">
        <f aca="false">'Прайс лист'!G1822</f>
        <v>0</v>
      </c>
      <c r="L660" s="232" t="n">
        <f aca="false">J660*K660</f>
        <v>0</v>
      </c>
      <c r="M660" s="1148"/>
      <c r="N660" s="1148"/>
      <c r="O660" s="1148"/>
      <c r="P660" s="1148"/>
      <c r="Q660" s="1148"/>
      <c r="R660" s="1148"/>
    </row>
    <row r="661" customFormat="false" ht="15.5" hidden="false" customHeight="false" outlineLevel="0" collapsed="false">
      <c r="A661" s="232" t="s">
        <v>1289</v>
      </c>
      <c r="B661" s="286" t="s">
        <v>159</v>
      </c>
      <c r="C661" s="232" t="n">
        <f aca="false">C583*D583/40*G566*D579</f>
        <v>0</v>
      </c>
      <c r="D661" s="232" t="n">
        <f aca="false">'Прайс лист'!G1428</f>
        <v>1200</v>
      </c>
      <c r="E661" s="232" t="n">
        <f aca="false">C661*D661</f>
        <v>0</v>
      </c>
      <c r="F661" s="1148"/>
      <c r="G661" s="2155" t="s">
        <v>1306</v>
      </c>
      <c r="H661" s="2156"/>
      <c r="I661" s="232" t="s">
        <v>133</v>
      </c>
      <c r="J661" s="232" t="n">
        <f aca="false">C600*D600*H566*D596</f>
        <v>0</v>
      </c>
      <c r="K661" s="232" t="n">
        <f aca="false">'Прайс лист'!G1823</f>
        <v>600</v>
      </c>
      <c r="L661" s="232" t="n">
        <f aca="false">J661*K661</f>
        <v>0</v>
      </c>
      <c r="M661" s="1148"/>
      <c r="N661" s="1148"/>
      <c r="O661" s="1148"/>
      <c r="P661" s="1148"/>
      <c r="Q661" s="1148"/>
      <c r="R661" s="1148"/>
    </row>
    <row r="662" customFormat="false" ht="15.5" hidden="false" customHeight="false" outlineLevel="0" collapsed="false">
      <c r="A662" s="232" t="s">
        <v>1290</v>
      </c>
      <c r="B662" s="286" t="s">
        <v>156</v>
      </c>
      <c r="C662" s="232" t="n">
        <f aca="false">C584*D584*G566*D579</f>
        <v>0</v>
      </c>
      <c r="D662" s="232" t="n">
        <f aca="false">'Прайс лист'!G1429</f>
        <v>10</v>
      </c>
      <c r="E662" s="232" t="n">
        <f aca="false">C662*D662</f>
        <v>0</v>
      </c>
      <c r="F662" s="1148"/>
      <c r="G662" s="2155" t="s">
        <v>1307</v>
      </c>
      <c r="H662" s="2156"/>
      <c r="I662" s="232" t="s">
        <v>133</v>
      </c>
      <c r="J662" s="232" t="n">
        <f aca="false">C601*D601*H566*D596</f>
        <v>0</v>
      </c>
      <c r="K662" s="232" t="n">
        <f aca="false">'Прайс лист'!G1824</f>
        <v>600</v>
      </c>
      <c r="L662" s="232" t="n">
        <f aca="false">J662*K662</f>
        <v>0</v>
      </c>
      <c r="M662" s="1148"/>
      <c r="N662" s="1148"/>
      <c r="O662" s="1148"/>
      <c r="P662" s="1148"/>
      <c r="Q662" s="1148"/>
      <c r="R662" s="1148"/>
    </row>
    <row r="663" customFormat="false" ht="15.5" hidden="false" customHeight="false" outlineLevel="0" collapsed="false">
      <c r="A663" s="232" t="s">
        <v>1291</v>
      </c>
      <c r="B663" s="286" t="s">
        <v>159</v>
      </c>
      <c r="C663" s="232" t="n">
        <f aca="false">C662/100*G566*D579</f>
        <v>0</v>
      </c>
      <c r="D663" s="232" t="n">
        <f aca="false">'Прайс лист'!G1430</f>
        <v>100</v>
      </c>
      <c r="E663" s="232" t="n">
        <f aca="false">C663*D663</f>
        <v>0</v>
      </c>
      <c r="F663" s="1148"/>
      <c r="G663" s="2155" t="s">
        <v>1308</v>
      </c>
      <c r="H663" s="2156"/>
      <c r="I663" s="232" t="s">
        <v>133</v>
      </c>
      <c r="J663" s="232" t="n">
        <f aca="false">C602*D602*H566*D596</f>
        <v>0</v>
      </c>
      <c r="K663" s="232" t="n">
        <f aca="false">'Прайс лист'!G1825</f>
        <v>600</v>
      </c>
      <c r="L663" s="232" t="n">
        <f aca="false">J663*K663</f>
        <v>0</v>
      </c>
      <c r="M663" s="1148"/>
      <c r="N663" s="1148"/>
      <c r="O663" s="1148"/>
      <c r="P663" s="1148"/>
      <c r="Q663" s="1148"/>
      <c r="R663" s="1148"/>
    </row>
    <row r="664" customFormat="false" ht="15.5" hidden="false" customHeight="false" outlineLevel="0" collapsed="false">
      <c r="A664" s="232" t="s">
        <v>1292</v>
      </c>
      <c r="B664" s="286" t="s">
        <v>159</v>
      </c>
      <c r="C664" s="232" t="n">
        <f aca="false">C662/100*G566*D579</f>
        <v>0</v>
      </c>
      <c r="D664" s="232" t="n">
        <f aca="false">'Прайс лист'!G1431</f>
        <v>190</v>
      </c>
      <c r="E664" s="232" t="n">
        <f aca="false">C664*D664</f>
        <v>0</v>
      </c>
      <c r="F664" s="1148"/>
      <c r="G664" s="2155" t="s">
        <v>1592</v>
      </c>
      <c r="H664" s="2156"/>
      <c r="I664" s="232" t="s">
        <v>133</v>
      </c>
      <c r="J664" s="232" t="n">
        <f aca="false">C603*D603*H566*D596</f>
        <v>0</v>
      </c>
      <c r="K664" s="232" t="n">
        <f aca="false">'Прайс лист'!G1826</f>
        <v>150</v>
      </c>
      <c r="L664" s="232" t="n">
        <f aca="false">J664*K664</f>
        <v>0</v>
      </c>
      <c r="M664" s="1148"/>
      <c r="N664" s="1148"/>
      <c r="O664" s="1148"/>
      <c r="P664" s="1148"/>
      <c r="Q664" s="1148"/>
      <c r="R664" s="1148"/>
    </row>
    <row r="665" customFormat="false" ht="15.5" hidden="false" customHeight="false" outlineLevel="0" collapsed="false">
      <c r="A665" s="232" t="s">
        <v>1293</v>
      </c>
      <c r="B665" s="286" t="s">
        <v>133</v>
      </c>
      <c r="C665" s="232" t="n">
        <f aca="false">(C571*D571+C582*D582)/30*G566*D579</f>
        <v>0</v>
      </c>
      <c r="D665" s="232" t="n">
        <f aca="false">'Прайс лист'!G1432</f>
        <v>120</v>
      </c>
      <c r="E665" s="232" t="n">
        <f aca="false">C665*D665</f>
        <v>0</v>
      </c>
      <c r="F665" s="1148"/>
      <c r="G665" s="2155" t="s">
        <v>1593</v>
      </c>
      <c r="H665" s="2156"/>
      <c r="I665" s="232" t="s">
        <v>133</v>
      </c>
      <c r="J665" s="232" t="n">
        <f aca="false">C604*D604*H566*D596</f>
        <v>0</v>
      </c>
      <c r="K665" s="232" t="n">
        <f aca="false">'Прайс лист'!G1827</f>
        <v>150</v>
      </c>
      <c r="L665" s="232" t="n">
        <f aca="false">J665*K665</f>
        <v>0</v>
      </c>
      <c r="M665" s="1148"/>
      <c r="N665" s="1148"/>
      <c r="O665" s="1148"/>
      <c r="P665" s="1148"/>
      <c r="Q665" s="1148"/>
      <c r="R665" s="1148"/>
    </row>
    <row r="666" customFormat="false" ht="15.5" hidden="false" customHeight="false" outlineLevel="0" collapsed="false">
      <c r="A666" s="232" t="s">
        <v>1294</v>
      </c>
      <c r="B666" s="286" t="s">
        <v>133</v>
      </c>
      <c r="C666" s="232" t="n">
        <f aca="false">C585*D585*G566*D579</f>
        <v>0</v>
      </c>
      <c r="D666" s="232" t="n">
        <f aca="false">'Прайс лист'!G1433</f>
        <v>400</v>
      </c>
      <c r="E666" s="232" t="n">
        <f aca="false">C666*D666</f>
        <v>0</v>
      </c>
      <c r="F666" s="1148"/>
      <c r="G666" s="2155" t="s">
        <v>1294</v>
      </c>
      <c r="H666" s="2156"/>
      <c r="I666" s="232" t="s">
        <v>133</v>
      </c>
      <c r="J666" s="232" t="n">
        <f aca="false">C605*D605*H566*D596</f>
        <v>0</v>
      </c>
      <c r="K666" s="232" t="n">
        <f aca="false">'Прайс лист'!G1828</f>
        <v>300</v>
      </c>
      <c r="L666" s="232" t="n">
        <f aca="false">J666*K666</f>
        <v>0</v>
      </c>
      <c r="M666" s="1148"/>
      <c r="N666" s="1148"/>
      <c r="O666" s="1148"/>
      <c r="P666" s="1148"/>
      <c r="Q666" s="1148"/>
      <c r="R666" s="1148"/>
    </row>
    <row r="667" customFormat="false" ht="15.5" hidden="false" customHeight="false" outlineLevel="0" collapsed="false">
      <c r="A667" s="261" t="s">
        <v>1255</v>
      </c>
      <c r="B667" s="286" t="s">
        <v>133</v>
      </c>
      <c r="C667" s="232" t="n">
        <f aca="false">C586*D586*G566*D579</f>
        <v>0</v>
      </c>
      <c r="D667" s="232" t="n">
        <f aca="false">'Прайс лист'!G1434</f>
        <v>350</v>
      </c>
      <c r="E667" s="232" t="n">
        <f aca="false">C667*D667</f>
        <v>0</v>
      </c>
      <c r="F667" s="1148"/>
      <c r="G667" s="88" t="s">
        <v>1594</v>
      </c>
      <c r="H667" s="88"/>
      <c r="I667" s="232"/>
      <c r="J667" s="232"/>
      <c r="K667" s="232" t="n">
        <f aca="false">'Прайс лист'!G1829</f>
        <v>0</v>
      </c>
      <c r="L667" s="232" t="n">
        <f aca="false">J667*K667</f>
        <v>0</v>
      </c>
      <c r="M667" s="1148"/>
      <c r="N667" s="1148"/>
      <c r="O667" s="1148"/>
      <c r="P667" s="1148"/>
      <c r="Q667" s="1148"/>
      <c r="R667" s="1148"/>
    </row>
    <row r="668" customFormat="false" ht="15.5" hidden="false" customHeight="false" outlineLevel="0" collapsed="false">
      <c r="A668" s="261" t="s">
        <v>1281</v>
      </c>
      <c r="B668" s="286" t="s">
        <v>133</v>
      </c>
      <c r="C668" s="232" t="n">
        <f aca="false">C587*D587*G566*D579</f>
        <v>0</v>
      </c>
      <c r="D668" s="232" t="n">
        <f aca="false">'Прайс лист'!G1435</f>
        <v>500</v>
      </c>
      <c r="E668" s="232" t="n">
        <f aca="false">C668*D668</f>
        <v>0</v>
      </c>
      <c r="F668" s="1148"/>
      <c r="G668" s="2155" t="s">
        <v>3977</v>
      </c>
      <c r="H668" s="2156"/>
      <c r="I668" s="232" t="s">
        <v>159</v>
      </c>
      <c r="J668" s="232" t="n">
        <f aca="false">C607*D608*H566*D606</f>
        <v>0</v>
      </c>
      <c r="K668" s="232" t="n">
        <f aca="false">'Прайс лист'!G1830</f>
        <v>1200</v>
      </c>
      <c r="L668" s="232" t="n">
        <f aca="false">J668*K668</f>
        <v>0</v>
      </c>
      <c r="M668" s="1148"/>
      <c r="N668" s="1148"/>
      <c r="O668" s="1148"/>
      <c r="P668" s="1148"/>
      <c r="Q668" s="1148"/>
      <c r="R668" s="1148"/>
    </row>
    <row r="669" customFormat="false" ht="15.5" hidden="false" customHeight="false" outlineLevel="0" collapsed="false">
      <c r="A669" s="261" t="s">
        <v>1282</v>
      </c>
      <c r="B669" s="286" t="s">
        <v>133</v>
      </c>
      <c r="C669" s="232" t="n">
        <f aca="false">C588*D588*G566*D579</f>
        <v>0</v>
      </c>
      <c r="D669" s="232" t="n">
        <f aca="false">'Прайс лист'!G1436</f>
        <v>250</v>
      </c>
      <c r="E669" s="232" t="n">
        <f aca="false">C669*D669</f>
        <v>0</v>
      </c>
      <c r="F669" s="1148"/>
      <c r="G669" s="2155" t="s">
        <v>1596</v>
      </c>
      <c r="H669" s="2158"/>
      <c r="I669" s="232" t="s">
        <v>159</v>
      </c>
      <c r="J669" s="232" t="n">
        <f aca="false">C609*D609*H566*D606</f>
        <v>0</v>
      </c>
      <c r="K669" s="232" t="n">
        <f aca="false">'Прайс лист'!G1831</f>
        <v>250</v>
      </c>
      <c r="L669" s="232" t="n">
        <f aca="false">J669*K669</f>
        <v>0</v>
      </c>
      <c r="M669" s="1148"/>
      <c r="N669" s="1148"/>
      <c r="O669" s="1148"/>
      <c r="P669" s="1148"/>
      <c r="Q669" s="1148"/>
      <c r="R669" s="1148"/>
    </row>
    <row r="670" customFormat="false" ht="15.5" hidden="false" customHeight="false" outlineLevel="0" collapsed="false">
      <c r="A670" s="261" t="s">
        <v>1283</v>
      </c>
      <c r="B670" s="286" t="s">
        <v>156</v>
      </c>
      <c r="C670" s="232" t="n">
        <f aca="false">C589*D589*G566*D579</f>
        <v>0</v>
      </c>
      <c r="D670" s="232" t="n">
        <f aca="false">'Прайс лист'!G1437</f>
        <v>6</v>
      </c>
      <c r="E670" s="232" t="n">
        <f aca="false">C670*D670</f>
        <v>0</v>
      </c>
      <c r="F670" s="1148"/>
      <c r="G670" s="2155" t="s">
        <v>1597</v>
      </c>
      <c r="H670" s="2156"/>
      <c r="I670" s="232" t="s">
        <v>159</v>
      </c>
      <c r="J670" s="232" t="n">
        <f aca="false">C608*D608*H566*D606</f>
        <v>0</v>
      </c>
      <c r="K670" s="232" t="n">
        <f aca="false">'Прайс лист'!G1832</f>
        <v>250</v>
      </c>
      <c r="L670" s="232" t="n">
        <f aca="false">J670*K670</f>
        <v>0</v>
      </c>
      <c r="M670" s="1148"/>
      <c r="N670" s="1148"/>
      <c r="O670" s="1148"/>
      <c r="P670" s="1148"/>
      <c r="Q670" s="1148"/>
      <c r="R670" s="1148"/>
    </row>
    <row r="671" customFormat="false" ht="15.5" hidden="false" customHeight="false" outlineLevel="0" collapsed="false">
      <c r="A671" s="261" t="s">
        <v>1284</v>
      </c>
      <c r="B671" s="286" t="s">
        <v>159</v>
      </c>
      <c r="C671" s="232" t="n">
        <f aca="false">C590*D590*G566*D579</f>
        <v>0</v>
      </c>
      <c r="D671" s="232" t="n">
        <f aca="false">'Прайс лист'!G1438</f>
        <v>8</v>
      </c>
      <c r="E671" s="232" t="n">
        <f aca="false">C671*D671</f>
        <v>0</v>
      </c>
      <c r="F671" s="1148"/>
      <c r="G671" s="2155" t="s">
        <v>1598</v>
      </c>
      <c r="H671" s="2156"/>
      <c r="I671" s="232" t="s">
        <v>159</v>
      </c>
      <c r="J671" s="232" t="n">
        <f aca="false">C610*D610*H566*D606</f>
        <v>0</v>
      </c>
      <c r="K671" s="232" t="n">
        <f aca="false">'Прайс лист'!G1833</f>
        <v>100</v>
      </c>
      <c r="L671" s="232" t="n">
        <f aca="false">J671*K671</f>
        <v>0</v>
      </c>
      <c r="M671" s="1148"/>
      <c r="N671" s="1148"/>
      <c r="O671" s="1148"/>
      <c r="P671" s="1148"/>
      <c r="Q671" s="1148"/>
      <c r="R671" s="1148"/>
    </row>
    <row r="672" customFormat="false" ht="15.5" hidden="false" customHeight="false" outlineLevel="0" collapsed="false">
      <c r="A672" s="261" t="s">
        <v>1285</v>
      </c>
      <c r="B672" s="286" t="s">
        <v>159</v>
      </c>
      <c r="C672" s="232" t="n">
        <f aca="false">C670*2*G566*D579</f>
        <v>0</v>
      </c>
      <c r="D672" s="232" t="n">
        <f aca="false">'Прайс лист'!G1439</f>
        <v>0.02</v>
      </c>
      <c r="E672" s="232" t="n">
        <f aca="false">C672*D672</f>
        <v>0</v>
      </c>
      <c r="F672" s="1148"/>
      <c r="G672" s="2155" t="s">
        <v>1599</v>
      </c>
      <c r="H672" s="2156"/>
      <c r="I672" s="232" t="s">
        <v>159</v>
      </c>
      <c r="J672" s="232" t="n">
        <f aca="false">C611*D611*H566*D606</f>
        <v>0</v>
      </c>
      <c r="K672" s="232" t="n">
        <f aca="false">'Прайс лист'!G1834</f>
        <v>80</v>
      </c>
      <c r="L672" s="232" t="n">
        <f aca="false">J672*K672</f>
        <v>0</v>
      </c>
      <c r="M672" s="1148"/>
      <c r="N672" s="1148"/>
      <c r="O672" s="1148"/>
      <c r="P672" s="1148"/>
      <c r="Q672" s="1148"/>
      <c r="R672" s="1148"/>
    </row>
    <row r="673" customFormat="false" ht="15.5" hidden="false" customHeight="false" outlineLevel="0" collapsed="false">
      <c r="A673" s="232" t="s">
        <v>1286</v>
      </c>
      <c r="B673" s="286" t="s">
        <v>159</v>
      </c>
      <c r="C673" s="232" t="n">
        <f aca="false">(C667+C668+C669)*20*G566*D579</f>
        <v>0</v>
      </c>
      <c r="D673" s="232" t="n">
        <f aca="false">'Прайс лист'!G1440</f>
        <v>0.02</v>
      </c>
      <c r="E673" s="232" t="n">
        <f aca="false">C673*D673</f>
        <v>0</v>
      </c>
      <c r="F673" s="1148"/>
      <c r="G673" s="88"/>
      <c r="H673" s="88"/>
      <c r="I673" s="232"/>
      <c r="J673" s="232"/>
      <c r="K673" s="232"/>
      <c r="L673" s="232" t="n">
        <f aca="false">J667*K673</f>
        <v>0</v>
      </c>
      <c r="M673" s="1148"/>
      <c r="N673" s="1148"/>
      <c r="O673" s="1148"/>
      <c r="P673" s="1148"/>
      <c r="Q673" s="1148"/>
      <c r="R673" s="1148"/>
    </row>
    <row r="674" customFormat="false" ht="15.5" hidden="false" customHeight="false" outlineLevel="0" collapsed="false">
      <c r="A674" s="88" t="s">
        <v>1295</v>
      </c>
      <c r="B674" s="286"/>
      <c r="C674" s="232"/>
      <c r="D674" s="232" t="n">
        <f aca="false">'Прайс лист'!G1441</f>
        <v>0</v>
      </c>
      <c r="E674" s="232" t="n">
        <f aca="false">C674*D674</f>
        <v>0</v>
      </c>
      <c r="F674" s="1148"/>
      <c r="G674" s="88"/>
      <c r="H674" s="88"/>
      <c r="I674" s="232"/>
      <c r="J674" s="232"/>
      <c r="K674" s="232"/>
      <c r="L674" s="232" t="n">
        <f aca="false">J668*K674</f>
        <v>0</v>
      </c>
      <c r="M674" s="1148"/>
      <c r="N674" s="1148"/>
      <c r="O674" s="1148"/>
      <c r="P674" s="1148"/>
      <c r="Q674" s="1148"/>
      <c r="R674" s="1148"/>
    </row>
    <row r="675" customFormat="false" ht="15.5" hidden="false" customHeight="false" outlineLevel="0" collapsed="false">
      <c r="A675" s="232" t="s">
        <v>1296</v>
      </c>
      <c r="B675" s="286" t="s">
        <v>133</v>
      </c>
      <c r="C675" s="232" t="n">
        <f aca="false">C592*D592*G566*D591</f>
        <v>0</v>
      </c>
      <c r="D675" s="232" t="n">
        <f aca="false">'Прайс лист'!G1442</f>
        <v>50</v>
      </c>
      <c r="E675" s="232" t="n">
        <f aca="false">C675*D675</f>
        <v>0</v>
      </c>
      <c r="F675" s="1148"/>
      <c r="G675" s="88"/>
      <c r="H675" s="88"/>
      <c r="I675" s="232"/>
      <c r="J675" s="232"/>
      <c r="K675" s="232"/>
      <c r="L675" s="232" t="n">
        <f aca="false">J669*K675</f>
        <v>0</v>
      </c>
      <c r="M675" s="1148"/>
      <c r="N675" s="1148"/>
      <c r="O675" s="1148"/>
      <c r="P675" s="1148"/>
      <c r="Q675" s="1148"/>
      <c r="R675" s="1148"/>
    </row>
    <row r="676" customFormat="false" ht="15.5" hidden="false" customHeight="false" outlineLevel="0" collapsed="false">
      <c r="A676" s="232" t="s">
        <v>1297</v>
      </c>
      <c r="B676" s="286" t="s">
        <v>133</v>
      </c>
      <c r="C676" s="232" t="n">
        <f aca="false">C592*D592*G566*D591</f>
        <v>0</v>
      </c>
      <c r="D676" s="232" t="n">
        <f aca="false">'Прайс лист'!G1443</f>
        <v>350</v>
      </c>
      <c r="E676" s="232" t="n">
        <f aca="false">C676*D676</f>
        <v>0</v>
      </c>
      <c r="F676" s="1148"/>
      <c r="G676" s="88"/>
      <c r="H676" s="88"/>
      <c r="I676" s="232"/>
      <c r="J676" s="232"/>
      <c r="K676" s="232"/>
      <c r="L676" s="232" t="n">
        <f aca="false">J670*K676</f>
        <v>0</v>
      </c>
      <c r="M676" s="1148"/>
      <c r="N676" s="1148"/>
      <c r="O676" s="1148"/>
      <c r="P676" s="1148"/>
      <c r="Q676" s="1148"/>
      <c r="R676" s="1148"/>
    </row>
    <row r="677" customFormat="false" ht="15.5" hidden="false" customHeight="false" outlineLevel="0" collapsed="false">
      <c r="A677" s="232" t="s">
        <v>1298</v>
      </c>
      <c r="B677" s="286" t="s">
        <v>133</v>
      </c>
      <c r="C677" s="232" t="n">
        <f aca="false">C593*D593*G566*D591</f>
        <v>94</v>
      </c>
      <c r="D677" s="232" t="n">
        <f aca="false">'Прайс лист'!G1444</f>
        <v>450</v>
      </c>
      <c r="E677" s="232" t="n">
        <f aca="false">C677*D677</f>
        <v>42300</v>
      </c>
      <c r="F677" s="1148"/>
      <c r="G677" s="88"/>
      <c r="H677" s="88"/>
      <c r="I677" s="232"/>
      <c r="J677" s="232"/>
      <c r="K677" s="232"/>
      <c r="L677" s="232" t="n">
        <f aca="false">J671*K677</f>
        <v>0</v>
      </c>
      <c r="M677" s="1148"/>
      <c r="N677" s="1148"/>
      <c r="O677" s="1148"/>
      <c r="P677" s="1148"/>
      <c r="Q677" s="1148"/>
      <c r="R677" s="1148"/>
    </row>
    <row r="678" customFormat="false" ht="15.5" hidden="false" customHeight="false" outlineLevel="0" collapsed="false">
      <c r="A678" s="286" t="s">
        <v>1299</v>
      </c>
      <c r="B678" s="286" t="s">
        <v>159</v>
      </c>
      <c r="C678" s="232" t="n">
        <f aca="false">C595*D595/3*G566*D591</f>
        <v>0</v>
      </c>
      <c r="D678" s="232" t="n">
        <f aca="false">'Прайс лист'!G1445</f>
        <v>35</v>
      </c>
      <c r="E678" s="232" t="n">
        <f aca="false">C678*D678</f>
        <v>0</v>
      </c>
      <c r="F678" s="1148"/>
      <c r="G678" s="88"/>
      <c r="H678" s="88"/>
      <c r="I678" s="232"/>
      <c r="J678" s="232"/>
      <c r="K678" s="232"/>
      <c r="L678" s="232" t="n">
        <f aca="false">J672*K678</f>
        <v>0</v>
      </c>
      <c r="M678" s="1148"/>
      <c r="N678" s="1148"/>
      <c r="O678" s="1148"/>
      <c r="P678" s="1148"/>
      <c r="Q678" s="1148"/>
      <c r="R678" s="1148"/>
    </row>
    <row r="679" customFormat="false" ht="15.5" hidden="false" customHeight="false" outlineLevel="0" collapsed="false">
      <c r="A679" s="232" t="s">
        <v>1300</v>
      </c>
      <c r="B679" s="286" t="s">
        <v>156</v>
      </c>
      <c r="C679" s="232" t="n">
        <f aca="false">C595*D595*G566*D591</f>
        <v>0</v>
      </c>
      <c r="D679" s="232" t="n">
        <f aca="false">'Прайс лист'!G1446</f>
        <v>35</v>
      </c>
      <c r="E679" s="232" t="n">
        <f aca="false">C679*D679</f>
        <v>0</v>
      </c>
      <c r="F679" s="1148"/>
      <c r="G679" s="88"/>
      <c r="H679" s="88"/>
      <c r="I679" s="232"/>
      <c r="J679" s="232"/>
      <c r="K679" s="232"/>
      <c r="L679" s="232" t="n">
        <f aca="false">J679*K679</f>
        <v>0</v>
      </c>
      <c r="M679" s="1148"/>
      <c r="N679" s="1148"/>
      <c r="O679" s="1148"/>
      <c r="P679" s="1148"/>
      <c r="Q679" s="1148"/>
      <c r="R679" s="1148"/>
    </row>
    <row r="680" customFormat="false" ht="15.5" hidden="false" customHeight="false" outlineLevel="0" collapsed="false">
      <c r="A680" s="232" t="s">
        <v>1301</v>
      </c>
      <c r="B680" s="286" t="s">
        <v>133</v>
      </c>
      <c r="C680" s="232" t="n">
        <f aca="false">C594*D594*G566*D591</f>
        <v>0</v>
      </c>
      <c r="D680" s="232" t="n">
        <f aca="false">'Прайс лист'!G1447</f>
        <v>500</v>
      </c>
      <c r="E680" s="232" t="n">
        <f aca="false">C680*D680</f>
        <v>0</v>
      </c>
      <c r="F680" s="1148"/>
      <c r="G680" s="88"/>
      <c r="H680" s="88"/>
      <c r="I680" s="232"/>
      <c r="J680" s="232"/>
      <c r="K680" s="232"/>
      <c r="L680" s="232" t="n">
        <f aca="false">J680*K680</f>
        <v>0</v>
      </c>
      <c r="M680" s="1148"/>
      <c r="N680" s="1148"/>
      <c r="O680" s="1148"/>
      <c r="P680" s="1148"/>
      <c r="Q680" s="1148"/>
      <c r="R680" s="1148"/>
    </row>
    <row r="681" customFormat="false" ht="15.5" hidden="false" customHeight="false" outlineLevel="0" collapsed="false">
      <c r="A681" s="232" t="s">
        <v>1302</v>
      </c>
      <c r="B681" s="286" t="s">
        <v>159</v>
      </c>
      <c r="C681" s="232" t="n">
        <f aca="false">C680/4*G566*D591</f>
        <v>0</v>
      </c>
      <c r="D681" s="232" t="n">
        <f aca="false">'Прайс лист'!G1448</f>
        <v>250</v>
      </c>
      <c r="E681" s="232" t="n">
        <f aca="false">C681*D681</f>
        <v>0</v>
      </c>
      <c r="F681" s="1148"/>
      <c r="G681" s="88"/>
      <c r="H681" s="88"/>
      <c r="I681" s="232"/>
      <c r="J681" s="232"/>
      <c r="K681" s="232"/>
      <c r="L681" s="232" t="n">
        <f aca="false">J681*K681</f>
        <v>0</v>
      </c>
      <c r="M681" s="1148"/>
      <c r="N681" s="1148"/>
      <c r="O681" s="1148"/>
      <c r="P681" s="1148"/>
      <c r="Q681" s="1148"/>
      <c r="R681" s="1148"/>
    </row>
    <row r="682" customFormat="false" ht="15.5" hidden="false" customHeight="false" outlineLevel="0" collapsed="false">
      <c r="A682" s="232" t="s">
        <v>1274</v>
      </c>
      <c r="B682" s="286" t="s">
        <v>159</v>
      </c>
      <c r="C682" s="232" t="n">
        <f aca="false">C680/20*G566*D591</f>
        <v>0</v>
      </c>
      <c r="D682" s="232" t="n">
        <f aca="false">'Прайс лист'!G1449</f>
        <v>500</v>
      </c>
      <c r="E682" s="232" t="n">
        <f aca="false">C682*D682</f>
        <v>0</v>
      </c>
      <c r="F682" s="1148"/>
      <c r="G682" s="88"/>
      <c r="H682" s="88"/>
      <c r="I682" s="232"/>
      <c r="J682" s="232"/>
      <c r="K682" s="232"/>
      <c r="L682" s="232" t="n">
        <f aca="false">J682*K682</f>
        <v>0</v>
      </c>
      <c r="M682" s="1148"/>
      <c r="N682" s="1148"/>
      <c r="O682" s="1148"/>
      <c r="P682" s="1148"/>
      <c r="Q682" s="1148"/>
      <c r="R682" s="1148"/>
    </row>
    <row r="683" customFormat="false" ht="15.5" hidden="false" customHeight="false" outlineLevel="0" collapsed="false">
      <c r="A683" s="232" t="s">
        <v>1303</v>
      </c>
      <c r="B683" s="286" t="s">
        <v>159</v>
      </c>
      <c r="C683" s="232" t="n">
        <f aca="false">C680*20/100*G566*D591</f>
        <v>0</v>
      </c>
      <c r="D683" s="232" t="n">
        <f aca="false">'Прайс лист'!G1450</f>
        <v>200</v>
      </c>
      <c r="E683" s="232" t="n">
        <f aca="false">C683*D683</f>
        <v>0</v>
      </c>
      <c r="F683" s="1148"/>
      <c r="G683" s="88"/>
      <c r="H683" s="88"/>
      <c r="I683" s="232"/>
      <c r="J683" s="232"/>
      <c r="K683" s="232"/>
      <c r="L683" s="232" t="n">
        <f aca="false">J683*K683</f>
        <v>0</v>
      </c>
      <c r="M683" s="1148"/>
      <c r="N683" s="1148"/>
      <c r="O683" s="1148"/>
      <c r="P683" s="1148"/>
      <c r="Q683" s="1148"/>
      <c r="R683" s="1148"/>
    </row>
    <row r="684" customFormat="false" ht="15.5" hidden="false" customHeight="false" outlineLevel="0" collapsed="false">
      <c r="A684" s="232" t="s">
        <v>1304</v>
      </c>
      <c r="B684" s="286" t="s">
        <v>159</v>
      </c>
      <c r="C684" s="232" t="n">
        <f aca="false">C680/10*G566*D591</f>
        <v>0</v>
      </c>
      <c r="D684" s="232" t="n">
        <f aca="false">'Прайс лист'!G1451</f>
        <v>400</v>
      </c>
      <c r="E684" s="232" t="n">
        <f aca="false">C684*D684</f>
        <v>0</v>
      </c>
      <c r="F684" s="1148"/>
      <c r="G684" s="88"/>
      <c r="H684" s="88"/>
      <c r="I684" s="232"/>
      <c r="J684" s="232"/>
      <c r="K684" s="232"/>
      <c r="L684" s="232" t="n">
        <f aca="false">J684*K684</f>
        <v>0</v>
      </c>
      <c r="M684" s="1148"/>
      <c r="N684" s="1148"/>
      <c r="O684" s="1148"/>
      <c r="P684" s="1148"/>
      <c r="Q684" s="1148"/>
      <c r="R684" s="1148"/>
    </row>
    <row r="685" customFormat="false" ht="15.5" hidden="false" customHeight="false" outlineLevel="0" collapsed="false">
      <c r="A685" s="88" t="s">
        <v>1305</v>
      </c>
      <c r="B685" s="286"/>
      <c r="C685" s="232"/>
      <c r="D685" s="232" t="n">
        <f aca="false">'Прайс лист'!G1452</f>
        <v>0</v>
      </c>
      <c r="E685" s="232" t="n">
        <f aca="false">C685*D685</f>
        <v>0</v>
      </c>
      <c r="F685" s="1148"/>
      <c r="G685" s="88"/>
      <c r="H685" s="88"/>
      <c r="I685" s="232"/>
      <c r="J685" s="232"/>
      <c r="K685" s="232"/>
      <c r="L685" s="232" t="n">
        <f aca="false">J685*K685</f>
        <v>0</v>
      </c>
      <c r="M685" s="1148"/>
      <c r="N685" s="1148"/>
      <c r="O685" s="1148"/>
      <c r="P685" s="1148"/>
      <c r="Q685" s="1148"/>
      <c r="R685" s="1148"/>
    </row>
    <row r="686" customFormat="false" ht="15.5" hidden="false" customHeight="false" outlineLevel="0" collapsed="false">
      <c r="A686" s="232" t="s">
        <v>1306</v>
      </c>
      <c r="B686" s="286" t="s">
        <v>133</v>
      </c>
      <c r="C686" s="232" t="n">
        <f aca="false">C600*D600*G566*D596</f>
        <v>0</v>
      </c>
      <c r="D686" s="232" t="n">
        <f aca="false">'Прайс лист'!G1453</f>
        <v>500</v>
      </c>
      <c r="E686" s="232" t="n">
        <f aca="false">C686*D686</f>
        <v>0</v>
      </c>
      <c r="F686" s="1148"/>
      <c r="G686" s="88"/>
      <c r="H686" s="88"/>
      <c r="I686" s="232"/>
      <c r="J686" s="232"/>
      <c r="K686" s="232"/>
      <c r="L686" s="232" t="n">
        <f aca="false">J686*K686</f>
        <v>0</v>
      </c>
      <c r="M686" s="1148"/>
      <c r="N686" s="1148"/>
      <c r="O686" s="1148"/>
      <c r="P686" s="1148"/>
      <c r="Q686" s="1148"/>
      <c r="R686" s="1148"/>
    </row>
    <row r="687" customFormat="false" ht="15.5" hidden="false" customHeight="false" outlineLevel="0" collapsed="false">
      <c r="A687" s="232" t="s">
        <v>1307</v>
      </c>
      <c r="B687" s="286" t="s">
        <v>133</v>
      </c>
      <c r="C687" s="232" t="n">
        <f aca="false">C601*D601*G566*D596</f>
        <v>0</v>
      </c>
      <c r="D687" s="232" t="n">
        <f aca="false">'Прайс лист'!G1454</f>
        <v>500</v>
      </c>
      <c r="E687" s="232" t="n">
        <f aca="false">C687*D687</f>
        <v>0</v>
      </c>
      <c r="F687" s="1148"/>
      <c r="G687" s="88"/>
      <c r="H687" s="88"/>
      <c r="I687" s="232"/>
      <c r="J687" s="232"/>
      <c r="K687" s="232"/>
      <c r="L687" s="232" t="n">
        <f aca="false">J687*K687</f>
        <v>0</v>
      </c>
      <c r="M687" s="1148"/>
      <c r="N687" s="1148"/>
      <c r="O687" s="1148"/>
      <c r="P687" s="1148"/>
      <c r="Q687" s="1148"/>
      <c r="R687" s="1148"/>
    </row>
    <row r="688" customFormat="false" ht="15.5" hidden="false" customHeight="false" outlineLevel="0" collapsed="false">
      <c r="A688" s="232" t="s">
        <v>1308</v>
      </c>
      <c r="B688" s="286" t="s">
        <v>133</v>
      </c>
      <c r="C688" s="232" t="n">
        <f aca="false">C602*D602*G566*D596</f>
        <v>0</v>
      </c>
      <c r="D688" s="232" t="n">
        <f aca="false">'Прайс лист'!G1455</f>
        <v>500</v>
      </c>
      <c r="E688" s="232" t="n">
        <f aca="false">C688*D688</f>
        <v>0</v>
      </c>
      <c r="F688" s="1148"/>
      <c r="G688" s="88"/>
      <c r="H688" s="88"/>
      <c r="I688" s="232"/>
      <c r="J688" s="232"/>
      <c r="K688" s="232"/>
      <c r="L688" s="232" t="n">
        <f aca="false">J688*K688</f>
        <v>0</v>
      </c>
      <c r="M688" s="1148"/>
      <c r="N688" s="1148"/>
      <c r="O688" s="1148"/>
      <c r="P688" s="1148"/>
      <c r="Q688" s="1148"/>
      <c r="R688" s="1148"/>
    </row>
    <row r="689" customFormat="false" ht="15.5" hidden="false" customHeight="false" outlineLevel="0" collapsed="false">
      <c r="A689" s="232" t="s">
        <v>1302</v>
      </c>
      <c r="B689" s="286" t="s">
        <v>159</v>
      </c>
      <c r="C689" s="232" t="n">
        <f aca="false">(C686+C687+C688)/4*G566*D596</f>
        <v>0</v>
      </c>
      <c r="D689" s="232" t="n">
        <f aca="false">'Прайс лист'!G1456</f>
        <v>250</v>
      </c>
      <c r="E689" s="232" t="n">
        <f aca="false">C689*D689</f>
        <v>0</v>
      </c>
      <c r="F689" s="1148"/>
      <c r="G689" s="88"/>
      <c r="H689" s="88"/>
      <c r="I689" s="232"/>
      <c r="J689" s="232"/>
      <c r="K689" s="232"/>
      <c r="L689" s="232" t="n">
        <f aca="false">J689*K689</f>
        <v>0</v>
      </c>
      <c r="M689" s="1148"/>
      <c r="N689" s="1148"/>
      <c r="O689" s="1148"/>
      <c r="P689" s="1148"/>
      <c r="Q689" s="1148"/>
      <c r="R689" s="1148"/>
    </row>
    <row r="690" customFormat="false" ht="15.5" hidden="false" customHeight="false" outlineLevel="0" collapsed="false">
      <c r="A690" s="232" t="s">
        <v>1274</v>
      </c>
      <c r="B690" s="286" t="s">
        <v>159</v>
      </c>
      <c r="C690" s="232" t="n">
        <f aca="false">(C686+C687+C688)/30*G566*D596</f>
        <v>0</v>
      </c>
      <c r="D690" s="232" t="n">
        <f aca="false">'Прайс лист'!G1457</f>
        <v>500</v>
      </c>
      <c r="E690" s="232" t="n">
        <f aca="false">C690*D690</f>
        <v>0</v>
      </c>
      <c r="F690" s="1148"/>
      <c r="G690" s="88"/>
      <c r="H690" s="88"/>
      <c r="I690" s="232"/>
      <c r="J690" s="232"/>
      <c r="K690" s="232"/>
      <c r="L690" s="232" t="n">
        <f aca="false">J690*K690</f>
        <v>0</v>
      </c>
      <c r="M690" s="1148"/>
      <c r="N690" s="1148"/>
      <c r="O690" s="1148"/>
      <c r="P690" s="1148"/>
      <c r="Q690" s="1148"/>
      <c r="R690" s="1148"/>
    </row>
    <row r="691" customFormat="false" ht="15.5" hidden="false" customHeight="false" outlineLevel="0" collapsed="false">
      <c r="A691" s="232" t="s">
        <v>1309</v>
      </c>
      <c r="B691" s="286" t="s">
        <v>159</v>
      </c>
      <c r="C691" s="232" t="n">
        <f aca="false">(C686+C687+C688)*20/100*G566*D596</f>
        <v>0</v>
      </c>
      <c r="D691" s="232" t="n">
        <f aca="false">'Прайс лист'!G1458</f>
        <v>200</v>
      </c>
      <c r="E691" s="232" t="n">
        <f aca="false">C691*D691</f>
        <v>0</v>
      </c>
      <c r="F691" s="1148"/>
      <c r="G691" s="88"/>
      <c r="H691" s="88"/>
      <c r="I691" s="232"/>
      <c r="J691" s="232"/>
      <c r="K691" s="232"/>
      <c r="L691" s="232" t="n">
        <f aca="false">J691*K691</f>
        <v>0</v>
      </c>
      <c r="M691" s="1148"/>
      <c r="N691" s="1148"/>
      <c r="O691" s="1148"/>
      <c r="P691" s="1148"/>
      <c r="Q691" s="1148"/>
      <c r="R691" s="1148"/>
    </row>
    <row r="692" customFormat="false" ht="15.5" hidden="false" customHeight="false" outlineLevel="0" collapsed="false">
      <c r="A692" s="232" t="s">
        <v>1304</v>
      </c>
      <c r="B692" s="286" t="s">
        <v>159</v>
      </c>
      <c r="C692" s="232" t="n">
        <f aca="false">(C686+C687+C688)/10*G566*D596</f>
        <v>0</v>
      </c>
      <c r="D692" s="232" t="n">
        <f aca="false">'Прайс лист'!G1459</f>
        <v>400</v>
      </c>
      <c r="E692" s="232" t="n">
        <f aca="false">C692*D692</f>
        <v>0</v>
      </c>
      <c r="F692" s="1148"/>
      <c r="G692" s="88"/>
      <c r="H692" s="88"/>
      <c r="I692" s="232"/>
      <c r="J692" s="232"/>
      <c r="K692" s="232"/>
      <c r="L692" s="232" t="n">
        <f aca="false">J692*K692</f>
        <v>0</v>
      </c>
      <c r="M692" s="1148"/>
      <c r="N692" s="1148"/>
      <c r="O692" s="1148"/>
      <c r="P692" s="1148"/>
      <c r="Q692" s="1148"/>
      <c r="R692" s="1148"/>
    </row>
    <row r="693" customFormat="false" ht="15.5" hidden="false" customHeight="false" outlineLevel="0" collapsed="false">
      <c r="A693" s="232" t="s">
        <v>1310</v>
      </c>
      <c r="B693" s="286" t="s">
        <v>133</v>
      </c>
      <c r="C693" s="232" t="n">
        <f aca="false">C603*D603*G566*D596</f>
        <v>0</v>
      </c>
      <c r="D693" s="232" t="n">
        <f aca="false">'Прайс лист'!G1460</f>
        <v>250</v>
      </c>
      <c r="E693" s="232" t="n">
        <f aca="false">C693*D693</f>
        <v>0</v>
      </c>
      <c r="F693" s="1148"/>
      <c r="G693" s="88"/>
      <c r="H693" s="88"/>
      <c r="I693" s="232"/>
      <c r="J693" s="232"/>
      <c r="K693" s="232"/>
      <c r="L693" s="232" t="n">
        <f aca="false">J693*K693</f>
        <v>0</v>
      </c>
      <c r="M693" s="1148"/>
      <c r="N693" s="1148"/>
      <c r="O693" s="1148"/>
      <c r="P693" s="1148"/>
      <c r="Q693" s="1148"/>
      <c r="R693" s="1148"/>
    </row>
    <row r="694" customFormat="false" ht="15.5" hidden="false" customHeight="false" outlineLevel="0" collapsed="false">
      <c r="A694" s="232" t="s">
        <v>1311</v>
      </c>
      <c r="B694" s="286" t="s">
        <v>133</v>
      </c>
      <c r="C694" s="232" t="n">
        <f aca="false">C604*D604*G566*D596</f>
        <v>0</v>
      </c>
      <c r="D694" s="232" t="n">
        <f aca="false">'Прайс лист'!G1461</f>
        <v>250</v>
      </c>
      <c r="E694" s="232" t="n">
        <f aca="false">C694*D694</f>
        <v>0</v>
      </c>
      <c r="F694" s="1148"/>
      <c r="G694" s="88"/>
      <c r="H694" s="88"/>
      <c r="I694" s="232"/>
      <c r="J694" s="232"/>
      <c r="K694" s="232"/>
      <c r="L694" s="232" t="n">
        <f aca="false">J694*K694</f>
        <v>0</v>
      </c>
      <c r="M694" s="1148"/>
      <c r="N694" s="1148"/>
      <c r="O694" s="1148"/>
      <c r="P694" s="1148"/>
      <c r="Q694" s="1148"/>
      <c r="R694" s="1148"/>
    </row>
    <row r="695" customFormat="false" ht="15.5" hidden="false" customHeight="false" outlineLevel="0" collapsed="false">
      <c r="A695" s="232" t="s">
        <v>1312</v>
      </c>
      <c r="B695" s="286" t="s">
        <v>159</v>
      </c>
      <c r="C695" s="232" t="n">
        <f aca="false">(C693+C694)/30*G566*D596</f>
        <v>0</v>
      </c>
      <c r="D695" s="232" t="n">
        <f aca="false">'Прайс лист'!G1462</f>
        <v>120</v>
      </c>
      <c r="E695" s="232" t="n">
        <f aca="false">C695*D695</f>
        <v>0</v>
      </c>
      <c r="F695" s="1148"/>
      <c r="G695" s="88"/>
      <c r="H695" s="88"/>
      <c r="I695" s="232"/>
      <c r="J695" s="232"/>
      <c r="K695" s="232"/>
      <c r="L695" s="232" t="n">
        <f aca="false">J695*K695</f>
        <v>0</v>
      </c>
      <c r="M695" s="1148"/>
      <c r="N695" s="1148"/>
      <c r="O695" s="1148"/>
      <c r="P695" s="1148"/>
      <c r="Q695" s="1148"/>
      <c r="R695" s="1148"/>
    </row>
    <row r="696" customFormat="false" ht="15.5" hidden="false" customHeight="false" outlineLevel="0" collapsed="false">
      <c r="A696" s="232" t="s">
        <v>1294</v>
      </c>
      <c r="B696" s="286" t="s">
        <v>133</v>
      </c>
      <c r="C696" s="232" t="n">
        <f aca="false">C605*D605*G566*D596</f>
        <v>0</v>
      </c>
      <c r="D696" s="232" t="n">
        <f aca="false">'Прайс лист'!G1463</f>
        <v>400</v>
      </c>
      <c r="E696" s="232" t="n">
        <f aca="false">C696*D696</f>
        <v>0</v>
      </c>
      <c r="F696" s="1148"/>
      <c r="G696" s="88"/>
      <c r="H696" s="88"/>
      <c r="I696" s="232"/>
      <c r="J696" s="232"/>
      <c r="K696" s="232"/>
      <c r="L696" s="232" t="n">
        <f aca="false">J696*K696</f>
        <v>0</v>
      </c>
      <c r="M696" s="1148"/>
      <c r="N696" s="1148"/>
      <c r="O696" s="1148"/>
      <c r="P696" s="1148"/>
      <c r="Q696" s="1148"/>
      <c r="R696" s="1148"/>
    </row>
    <row r="697" customFormat="false" ht="15.5" hidden="false" customHeight="false" outlineLevel="0" collapsed="false">
      <c r="A697" s="88" t="s">
        <v>1313</v>
      </c>
      <c r="B697" s="232" t="s">
        <v>156</v>
      </c>
      <c r="C697" s="232"/>
      <c r="D697" s="232" t="n">
        <f aca="false">'Прайс лист'!G1464</f>
        <v>0</v>
      </c>
      <c r="E697" s="232" t="n">
        <f aca="false">C697*D697</f>
        <v>0</v>
      </c>
      <c r="F697" s="1148"/>
      <c r="G697" s="88"/>
      <c r="H697" s="88"/>
      <c r="I697" s="232"/>
      <c r="J697" s="232"/>
      <c r="K697" s="232"/>
      <c r="L697" s="232" t="n">
        <f aca="false">J697*K697</f>
        <v>0</v>
      </c>
      <c r="M697" s="1148"/>
      <c r="N697" s="1148"/>
      <c r="O697" s="1148"/>
      <c r="P697" s="1148"/>
      <c r="Q697" s="1148"/>
      <c r="R697" s="1148"/>
    </row>
    <row r="698" customFormat="false" ht="15.5" hidden="false" customHeight="false" outlineLevel="0" collapsed="false">
      <c r="A698" s="87" t="s">
        <v>1314</v>
      </c>
      <c r="B698" s="232" t="s">
        <v>159</v>
      </c>
      <c r="C698" s="232" t="n">
        <f aca="false">C607*D608*G566*D606</f>
        <v>0</v>
      </c>
      <c r="D698" s="232" t="n">
        <f aca="false">'Прайс лист'!G1465</f>
        <v>1900</v>
      </c>
      <c r="E698" s="232" t="n">
        <f aca="false">C698*D698</f>
        <v>0</v>
      </c>
      <c r="F698" s="1148"/>
      <c r="G698" s="88"/>
      <c r="H698" s="88"/>
      <c r="I698" s="232"/>
      <c r="J698" s="232"/>
      <c r="K698" s="232"/>
      <c r="L698" s="232" t="n">
        <f aca="false">J698*K698</f>
        <v>0</v>
      </c>
      <c r="M698" s="1148"/>
      <c r="N698" s="1148"/>
      <c r="O698" s="1148"/>
      <c r="P698" s="1148"/>
      <c r="Q698" s="1148"/>
      <c r="R698" s="1148"/>
    </row>
    <row r="699" customFormat="false" ht="15.5" hidden="false" customHeight="false" outlineLevel="0" collapsed="false">
      <c r="A699" s="232" t="s">
        <v>1315</v>
      </c>
      <c r="B699" s="232" t="s">
        <v>159</v>
      </c>
      <c r="C699" s="232" t="n">
        <f aca="false">C698*G566*D606</f>
        <v>0</v>
      </c>
      <c r="D699" s="232" t="n">
        <f aca="false">'Прайс лист'!G1466</f>
        <v>250</v>
      </c>
      <c r="E699" s="232" t="n">
        <f aca="false">C699*D699</f>
        <v>0</v>
      </c>
      <c r="F699" s="1148"/>
      <c r="G699" s="88"/>
      <c r="H699" s="88"/>
      <c r="I699" s="232"/>
      <c r="J699" s="232"/>
      <c r="K699" s="232"/>
      <c r="L699" s="232" t="n">
        <f aca="false">J699*K699</f>
        <v>0</v>
      </c>
      <c r="M699" s="1148"/>
      <c r="N699" s="1148"/>
      <c r="O699" s="1148"/>
      <c r="P699" s="1148"/>
      <c r="Q699" s="1148"/>
      <c r="R699" s="1148"/>
    </row>
    <row r="700" customFormat="false" ht="15.5" hidden="false" customHeight="false" outlineLevel="0" collapsed="false">
      <c r="A700" s="232" t="s">
        <v>1316</v>
      </c>
      <c r="B700" s="232" t="s">
        <v>159</v>
      </c>
      <c r="C700" s="232" t="n">
        <f aca="false">C610*D610*G566*D606</f>
        <v>0</v>
      </c>
      <c r="D700" s="232" t="n">
        <f aca="false">'Прайс лист'!G1467</f>
        <v>100</v>
      </c>
      <c r="E700" s="232" t="n">
        <f aca="false">C700*D700</f>
        <v>0</v>
      </c>
      <c r="F700" s="1148"/>
      <c r="G700" s="88"/>
      <c r="H700" s="88"/>
      <c r="I700" s="232"/>
      <c r="J700" s="232"/>
      <c r="K700" s="232"/>
      <c r="L700" s="232" t="n">
        <f aca="false">J700*K700</f>
        <v>0</v>
      </c>
      <c r="M700" s="1148"/>
      <c r="N700" s="1148"/>
      <c r="O700" s="1148"/>
      <c r="P700" s="1148"/>
      <c r="Q700" s="1148"/>
      <c r="R700" s="1148"/>
    </row>
    <row r="701" customFormat="false" ht="15.5" hidden="false" customHeight="false" outlineLevel="0" collapsed="false">
      <c r="A701" s="232" t="s">
        <v>1317</v>
      </c>
      <c r="B701" s="232" t="s">
        <v>159</v>
      </c>
      <c r="C701" s="232" t="n">
        <f aca="false">C611*D611*G566*D606</f>
        <v>0</v>
      </c>
      <c r="D701" s="232" t="n">
        <f aca="false">'Прайс лист'!G1468</f>
        <v>100</v>
      </c>
      <c r="E701" s="232" t="n">
        <f aca="false">C701*D701</f>
        <v>0</v>
      </c>
      <c r="F701" s="1148"/>
      <c r="G701" s="88"/>
      <c r="H701" s="88"/>
      <c r="I701" s="232"/>
      <c r="J701" s="232"/>
      <c r="K701" s="232"/>
      <c r="L701" s="232" t="n">
        <f aca="false">J701*K701</f>
        <v>0</v>
      </c>
      <c r="M701" s="1148"/>
      <c r="N701" s="1148"/>
      <c r="O701" s="1148"/>
      <c r="P701" s="1148"/>
      <c r="Q701" s="1148"/>
      <c r="R701" s="1148"/>
    </row>
    <row r="702" customFormat="false" ht="15.5" hidden="false" customHeight="false" outlineLevel="0" collapsed="false">
      <c r="A702" s="232" t="s">
        <v>1318</v>
      </c>
      <c r="B702" s="232" t="s">
        <v>159</v>
      </c>
      <c r="C702" s="232" t="n">
        <f aca="false">C609*D609*G566*D606</f>
        <v>0</v>
      </c>
      <c r="D702" s="232" t="n">
        <f aca="false">'Прайс лист'!G1469</f>
        <v>250</v>
      </c>
      <c r="E702" s="232" t="n">
        <f aca="false">C702*D702</f>
        <v>0</v>
      </c>
      <c r="F702" s="1148"/>
      <c r="G702" s="88"/>
      <c r="H702" s="88"/>
      <c r="I702" s="232"/>
      <c r="J702" s="232"/>
      <c r="K702" s="232"/>
      <c r="L702" s="232" t="n">
        <f aca="false">J702*K702</f>
        <v>0</v>
      </c>
      <c r="M702" s="1148"/>
      <c r="N702" s="1148"/>
      <c r="O702" s="1148"/>
      <c r="P702" s="1148"/>
      <c r="Q702" s="1148"/>
      <c r="R702" s="1148"/>
    </row>
    <row r="703" customFormat="false" ht="15.5" hidden="false" customHeight="false" outlineLevel="0" collapsed="false">
      <c r="A703" s="232" t="s">
        <v>1319</v>
      </c>
      <c r="B703" s="232" t="s">
        <v>159</v>
      </c>
      <c r="C703" s="232" t="n">
        <f aca="false">C608*D608*G566*D606</f>
        <v>0</v>
      </c>
      <c r="D703" s="232" t="n">
        <f aca="false">'Прайс лист'!G1470</f>
        <v>500</v>
      </c>
      <c r="E703" s="232" t="n">
        <f aca="false">C703*D703</f>
        <v>0</v>
      </c>
      <c r="F703" s="1148"/>
      <c r="G703" s="88"/>
      <c r="H703" s="88"/>
      <c r="I703" s="232"/>
      <c r="J703" s="232"/>
      <c r="K703" s="232"/>
      <c r="L703" s="232" t="n">
        <f aca="false">J703*K703</f>
        <v>0</v>
      </c>
      <c r="M703" s="1148"/>
      <c r="N703" s="1148"/>
      <c r="O703" s="1148"/>
      <c r="P703" s="1148"/>
      <c r="Q703" s="1148"/>
      <c r="R703" s="1148"/>
    </row>
    <row r="704" customFormat="false" ht="15.5" hidden="false" customHeight="false" outlineLevel="0" collapsed="false">
      <c r="A704" s="232" t="str">
        <f aca="false">'Ввод данных'!A1257</f>
        <v>Нет техники</v>
      </c>
      <c r="B704" s="232" t="str">
        <f aca="false">'Ввод данных'!B1257</f>
        <v>час</v>
      </c>
      <c r="C704" s="232" t="n">
        <f aca="false">'Ввод данных'!C1257</f>
        <v>0</v>
      </c>
      <c r="D704" s="232" t="n">
        <f aca="false">VLOOKUP(A704,'Прайс лист'!B180:G194,6,0)</f>
        <v>0</v>
      </c>
      <c r="E704" s="232" t="n">
        <f aca="false">C704*D704</f>
        <v>0</v>
      </c>
      <c r="F704" s="1148"/>
      <c r="G704" s="88"/>
      <c r="H704" s="88"/>
      <c r="I704" s="232"/>
      <c r="J704" s="232"/>
      <c r="K704" s="232"/>
      <c r="L704" s="232" t="n">
        <f aca="false">J704*K704</f>
        <v>0</v>
      </c>
      <c r="M704" s="1148"/>
      <c r="N704" s="1148"/>
      <c r="O704" s="1148"/>
      <c r="P704" s="1148"/>
      <c r="Q704" s="1148"/>
      <c r="R704" s="1148"/>
    </row>
    <row r="705" customFormat="false" ht="15.5" hidden="false" customHeight="false" outlineLevel="0" collapsed="false">
      <c r="A705" s="232" t="str">
        <f aca="false">'Ввод данных'!A1258</f>
        <v>Нет техники</v>
      </c>
      <c r="B705" s="232" t="str">
        <f aca="false">'Ввод данных'!B1258</f>
        <v>шт</v>
      </c>
      <c r="C705" s="232" t="n">
        <f aca="false">'Ввод данных'!C1258</f>
        <v>0</v>
      </c>
      <c r="D705" s="232" t="n">
        <f aca="false">VLOOKUP(A705,'Прайс лист'!B180:G194,6,0)</f>
        <v>0</v>
      </c>
      <c r="E705" s="232" t="n">
        <f aca="false">C705*D705</f>
        <v>0</v>
      </c>
      <c r="F705" s="1148"/>
      <c r="G705" s="88"/>
      <c r="H705" s="88"/>
      <c r="I705" s="232"/>
      <c r="J705" s="232"/>
      <c r="K705" s="232"/>
      <c r="L705" s="232" t="n">
        <f aca="false">J705*K705</f>
        <v>0</v>
      </c>
      <c r="M705" s="1148"/>
      <c r="N705" s="1148"/>
      <c r="O705" s="1148"/>
      <c r="P705" s="1148"/>
      <c r="Q705" s="1148"/>
      <c r="R705" s="1148"/>
    </row>
    <row r="706" customFormat="false" ht="15.5" hidden="false" customHeight="false" outlineLevel="0" collapsed="false">
      <c r="A706" s="232" t="str">
        <f aca="false">'Ввод данных'!A1260</f>
        <v>расходные материалы чистовая отделка</v>
      </c>
      <c r="B706" s="232" t="str">
        <f aca="false">'Ввод данных'!B1260</f>
        <v>рублей</v>
      </c>
      <c r="C706" s="232" t="n">
        <f aca="false">1</f>
        <v>1</v>
      </c>
      <c r="D706" s="232" t="n">
        <f aca="false">'Ввод данных'!C1260</f>
        <v>5000</v>
      </c>
      <c r="E706" s="232" t="n">
        <f aca="false">C706*D706</f>
        <v>5000</v>
      </c>
      <c r="F706" s="1148"/>
      <c r="G706" s="2184"/>
      <c r="H706" s="2184"/>
      <c r="I706" s="2116"/>
      <c r="J706" s="2116"/>
      <c r="K706" s="2116"/>
      <c r="L706" s="232"/>
      <c r="M706" s="1148"/>
      <c r="N706" s="1148"/>
      <c r="O706" s="1148"/>
      <c r="P706" s="1148"/>
      <c r="Q706" s="1148"/>
      <c r="R706" s="1148"/>
    </row>
    <row r="707" customFormat="false" ht="15.5" hidden="false" customHeight="false" outlineLevel="0" collapsed="false">
      <c r="A707" s="1148"/>
      <c r="B707" s="1148"/>
      <c r="C707" s="1148"/>
      <c r="D707" s="1148"/>
      <c r="E707" s="232" t="n">
        <f aca="false">SUM(E629:E705)</f>
        <v>42300</v>
      </c>
      <c r="F707" s="1148"/>
      <c r="G707" s="1148"/>
      <c r="H707" s="1148"/>
      <c r="I707" s="1148"/>
      <c r="J707" s="1148"/>
      <c r="K707" s="1148"/>
      <c r="L707" s="232" t="n">
        <f aca="false">SUM(L629:L705)</f>
        <v>16920</v>
      </c>
      <c r="M707" s="1148"/>
      <c r="N707" s="1148"/>
      <c r="O707" s="1148"/>
      <c r="P707" s="1148"/>
      <c r="Q707" s="1148"/>
      <c r="R707" s="1148"/>
    </row>
    <row r="708" customFormat="false" ht="15.5" hidden="false" customHeight="false" outlineLevel="0" collapsed="false">
      <c r="A708" s="232" t="s">
        <v>3978</v>
      </c>
      <c r="B708" s="2159" t="n">
        <f aca="false">E707</f>
        <v>42300</v>
      </c>
      <c r="C708" s="1148"/>
      <c r="D708" s="1148"/>
      <c r="E708" s="1148"/>
      <c r="F708" s="1148"/>
      <c r="G708" s="1148"/>
      <c r="H708" s="1148"/>
      <c r="I708" s="1148"/>
      <c r="J708" s="1148"/>
      <c r="K708" s="1148"/>
      <c r="L708" s="1148"/>
      <c r="M708" s="1148"/>
      <c r="N708" s="1148"/>
      <c r="O708" s="1148"/>
      <c r="P708" s="1148"/>
      <c r="Q708" s="1148"/>
      <c r="R708" s="1148"/>
    </row>
    <row r="709" customFormat="false" ht="15.5" hidden="false" customHeight="false" outlineLevel="0" collapsed="false">
      <c r="A709" s="232" t="s">
        <v>3979</v>
      </c>
      <c r="B709" s="2159" t="n">
        <f aca="false">L707</f>
        <v>16920</v>
      </c>
      <c r="C709" s="1148"/>
      <c r="D709" s="1148"/>
      <c r="E709" s="1148"/>
      <c r="F709" s="1148"/>
      <c r="G709" s="1148"/>
      <c r="H709" s="1148"/>
      <c r="I709" s="1148"/>
      <c r="J709" s="1148"/>
      <c r="K709" s="1148"/>
      <c r="L709" s="1148"/>
      <c r="M709" s="1148"/>
      <c r="N709" s="1148"/>
      <c r="O709" s="1148"/>
      <c r="P709" s="1148"/>
      <c r="Q709" s="1148"/>
      <c r="R709" s="1148"/>
    </row>
    <row r="710" customFormat="false" ht="15.5" hidden="false" customHeight="false" outlineLevel="0" collapsed="false">
      <c r="A710" s="232" t="s">
        <v>2728</v>
      </c>
      <c r="B710" s="232" t="n">
        <f aca="false">SUM(B708:B709)*B711</f>
        <v>0</v>
      </c>
      <c r="C710" s="1148"/>
      <c r="D710" s="1148"/>
      <c r="E710" s="1148"/>
      <c r="F710" s="1148"/>
      <c r="G710" s="1148"/>
      <c r="H710" s="1148"/>
      <c r="I710" s="1148"/>
      <c r="J710" s="1148"/>
      <c r="K710" s="1148"/>
      <c r="L710" s="1148"/>
      <c r="M710" s="1148"/>
      <c r="N710" s="1148"/>
      <c r="O710" s="1148"/>
      <c r="P710" s="1148"/>
      <c r="Q710" s="1148"/>
      <c r="R710" s="1148"/>
    </row>
    <row r="711" customFormat="false" ht="15.5" hidden="false" customHeight="false" outlineLevel="0" collapsed="false">
      <c r="A711" s="2167" t="s">
        <v>3980</v>
      </c>
      <c r="B711" s="2147"/>
      <c r="C711" s="2148" t="s">
        <v>3663</v>
      </c>
      <c r="D711" s="2148"/>
      <c r="E711" s="2148"/>
      <c r="F711" s="2148"/>
      <c r="G711" s="2149"/>
      <c r="H711" s="1148"/>
      <c r="I711" s="1148"/>
      <c r="J711" s="1148"/>
      <c r="K711" s="1148" t="s">
        <v>3697</v>
      </c>
      <c r="L711" s="1148"/>
      <c r="M711" s="1148"/>
      <c r="N711" s="1148"/>
      <c r="O711" s="1148"/>
      <c r="P711" s="1148"/>
      <c r="Q711" s="1148"/>
      <c r="R711" s="1148"/>
    </row>
    <row r="712" customFormat="false" ht="15.5" hidden="false" customHeight="false" outlineLevel="0" collapsed="false">
      <c r="A712" s="2160"/>
      <c r="B712" s="1148"/>
      <c r="C712" s="2149"/>
      <c r="D712" s="2149"/>
      <c r="E712" s="1148"/>
      <c r="F712" s="2149"/>
      <c r="G712" s="2149"/>
      <c r="H712" s="1148"/>
      <c r="I712" s="1148"/>
      <c r="J712" s="1148"/>
      <c r="K712" s="1148"/>
      <c r="L712" s="1148"/>
      <c r="M712" s="1148"/>
      <c r="N712" s="1148"/>
      <c r="O712" s="1148"/>
      <c r="P712" s="1148"/>
      <c r="Q712" s="1148"/>
      <c r="R712" s="1148"/>
    </row>
    <row r="713" customFormat="false" ht="15.5" hidden="false" customHeight="false" outlineLevel="0" collapsed="false">
      <c r="A713" s="2160" t="s">
        <v>3981</v>
      </c>
      <c r="B713" s="1148"/>
      <c r="C713" s="2149" t="s">
        <v>2210</v>
      </c>
      <c r="D713" s="2149" t="s">
        <v>1222</v>
      </c>
      <c r="E713" s="1148" t="s">
        <v>3697</v>
      </c>
      <c r="F713" s="2149" t="s">
        <v>1802</v>
      </c>
      <c r="G713" s="232" t="s">
        <v>120</v>
      </c>
      <c r="H713" s="2119" t="s">
        <v>922</v>
      </c>
      <c r="I713" s="232" t="s">
        <v>3696</v>
      </c>
      <c r="J713" s="1148"/>
      <c r="K713" s="2119" t="s">
        <v>1802</v>
      </c>
      <c r="L713" s="2119" t="s">
        <v>922</v>
      </c>
      <c r="M713" s="232" t="s">
        <v>3696</v>
      </c>
      <c r="N713" s="1148"/>
      <c r="O713" s="1148"/>
      <c r="P713" s="1148"/>
      <c r="Q713" s="1148"/>
      <c r="R713" s="1148"/>
    </row>
    <row r="714" customFormat="false" ht="15.5" hidden="false" customHeight="false" outlineLevel="0" collapsed="false">
      <c r="A714" s="2160" t="str">
        <f aca="false">'Ввод данных'!H71</f>
        <v>MR10 78X160</v>
      </c>
      <c r="B714" s="1148"/>
      <c r="C714" s="2149" t="n">
        <f aca="false">VLOOKUP(A714,'Прайс лист'!B1337:G1348,6,0)</f>
        <v>7353</v>
      </c>
      <c r="D714" s="2149" t="n">
        <f aca="false">VLOOKUP(A714,'Прайс лист'!B1337:G1348,5,0)</f>
        <v>15000</v>
      </c>
      <c r="E714" s="1148" t="n">
        <f aca="false">VLOOKUP(A714,'Прайс лист'!B1722:G1733,6,0)</f>
        <v>4200</v>
      </c>
      <c r="F714" s="2149" t="n">
        <f aca="false">'Ввод данных'!Z71</f>
        <v>1</v>
      </c>
      <c r="G714" s="232" t="s">
        <v>159</v>
      </c>
      <c r="H714" s="2119" t="n">
        <f aca="false">C714+D714</f>
        <v>22353</v>
      </c>
      <c r="I714" s="232" t="n">
        <f aca="false">F714*H714</f>
        <v>22353</v>
      </c>
      <c r="J714" s="1148"/>
      <c r="K714" s="232" t="n">
        <f aca="false">F714</f>
        <v>1</v>
      </c>
      <c r="L714" s="232" t="n">
        <f aca="false">E714</f>
        <v>4200</v>
      </c>
      <c r="M714" s="232" t="n">
        <f aca="false">K714*L714</f>
        <v>4200</v>
      </c>
      <c r="N714" s="1148"/>
      <c r="O714" s="1148"/>
      <c r="P714" s="1148"/>
      <c r="Q714" s="1148"/>
      <c r="R714" s="1148"/>
    </row>
    <row r="715" customFormat="false" ht="15.5" hidden="false" customHeight="false" outlineLevel="0" collapsed="false">
      <c r="A715" s="2160" t="str">
        <f aca="false">'Ввод данных'!H72</f>
        <v>MR08 78X140</v>
      </c>
      <c r="B715" s="1148"/>
      <c r="C715" s="2149" t="n">
        <f aca="false">VLOOKUP(A715,'Прайс лист'!B1337:G1348,6,0)</f>
        <v>6673</v>
      </c>
      <c r="D715" s="2149" t="n">
        <f aca="false">VLOOKUP(A715,'Прайс лист'!B1337:G1348,5,0)</f>
        <v>14833</v>
      </c>
      <c r="E715" s="1148" t="n">
        <f aca="false">VLOOKUP(A715,'Прайс лист'!B1722:G1733,6,0)</f>
        <v>4000</v>
      </c>
      <c r="F715" s="2149" t="n">
        <f aca="false">'Ввод данных'!Z72</f>
        <v>2</v>
      </c>
      <c r="G715" s="232" t="s">
        <v>159</v>
      </c>
      <c r="H715" s="2119" t="n">
        <f aca="false">C715+D715</f>
        <v>21506</v>
      </c>
      <c r="I715" s="232" t="n">
        <f aca="false">F715*H715</f>
        <v>43012</v>
      </c>
      <c r="J715" s="1148"/>
      <c r="K715" s="232" t="n">
        <f aca="false">F715</f>
        <v>2</v>
      </c>
      <c r="L715" s="232" t="n">
        <f aca="false">E715</f>
        <v>4000</v>
      </c>
      <c r="M715" s="232" t="n">
        <f aca="false">K715*L715</f>
        <v>8000</v>
      </c>
      <c r="N715" s="1148"/>
      <c r="O715" s="1148"/>
      <c r="P715" s="1148"/>
      <c r="Q715" s="1148"/>
      <c r="R715" s="1148"/>
    </row>
    <row r="716" customFormat="false" ht="15.5" hidden="false" customHeight="false" outlineLevel="0" collapsed="false">
      <c r="A716" s="2160" t="str">
        <f aca="false">'Ввод данных'!H73</f>
        <v>MR10 78X160</v>
      </c>
      <c r="B716" s="1148"/>
      <c r="C716" s="2149" t="n">
        <f aca="false">VLOOKUP(A716,'Прайс лист'!B1337:G1348,6,0)</f>
        <v>7353</v>
      </c>
      <c r="D716" s="2149" t="n">
        <f aca="false">VLOOKUP(A716,'Прайс лист'!B1337:G1348,5,0)</f>
        <v>15000</v>
      </c>
      <c r="E716" s="1148" t="n">
        <f aca="false">VLOOKUP(A716,'Прайс лист'!B1722:G1733,6,0)</f>
        <v>4200</v>
      </c>
      <c r="F716" s="2149" t="n">
        <f aca="false">'Ввод данных'!Z73</f>
        <v>5</v>
      </c>
      <c r="G716" s="232" t="s">
        <v>159</v>
      </c>
      <c r="H716" s="2119" t="n">
        <f aca="false">C716+D716</f>
        <v>22353</v>
      </c>
      <c r="I716" s="232" t="n">
        <f aca="false">F716*H716</f>
        <v>111765</v>
      </c>
      <c r="J716" s="1148"/>
      <c r="K716" s="232" t="n">
        <f aca="false">F716</f>
        <v>5</v>
      </c>
      <c r="L716" s="232" t="n">
        <f aca="false">E716</f>
        <v>4200</v>
      </c>
      <c r="M716" s="232" t="n">
        <f aca="false">K716*L716</f>
        <v>21000</v>
      </c>
      <c r="N716" s="1148"/>
      <c r="O716" s="1148"/>
      <c r="P716" s="1148"/>
      <c r="Q716" s="1148"/>
      <c r="R716" s="1148"/>
    </row>
    <row r="717" customFormat="false" ht="15.5" hidden="false" customHeight="false" outlineLevel="0" collapsed="false">
      <c r="A717" s="2160" t="str">
        <f aca="false">'Ввод данных'!H74</f>
        <v>MR04 78X98</v>
      </c>
      <c r="B717" s="1148"/>
      <c r="C717" s="2149" t="n">
        <f aca="false">VLOOKUP(A717,'Прайс лист'!B1337:G1348,6,0)</f>
        <v>5993</v>
      </c>
      <c r="D717" s="2149" t="n">
        <f aca="false">VLOOKUP(A717,'Прайс лист'!B1337:G1348,5,0)</f>
        <v>12665</v>
      </c>
      <c r="E717" s="1148" t="n">
        <f aca="false">VLOOKUP(A717,'Прайс лист'!B1722:G1733,6,0)</f>
        <v>3700</v>
      </c>
      <c r="F717" s="2149" t="n">
        <f aca="false">'Ввод данных'!Z74</f>
        <v>0</v>
      </c>
      <c r="G717" s="232" t="s">
        <v>159</v>
      </c>
      <c r="H717" s="2119" t="n">
        <f aca="false">C717+D717</f>
        <v>18658</v>
      </c>
      <c r="I717" s="232" t="n">
        <f aca="false">F717*H717</f>
        <v>0</v>
      </c>
      <c r="J717" s="1148"/>
      <c r="K717" s="232" t="n">
        <f aca="false">F717</f>
        <v>0</v>
      </c>
      <c r="L717" s="232" t="n">
        <f aca="false">E717</f>
        <v>3700</v>
      </c>
      <c r="M717" s="232" t="n">
        <f aca="false">K717*L717</f>
        <v>0</v>
      </c>
      <c r="N717" s="1148"/>
      <c r="O717" s="1148"/>
      <c r="P717" s="1148"/>
      <c r="Q717" s="1148"/>
      <c r="R717" s="1148"/>
    </row>
    <row r="718" customFormat="false" ht="15.5" hidden="false" customHeight="false" outlineLevel="0" collapsed="false">
      <c r="A718" s="2160"/>
      <c r="B718" s="1148"/>
      <c r="C718" s="2149"/>
      <c r="D718" s="2149"/>
      <c r="E718" s="1148"/>
      <c r="F718" s="2149"/>
      <c r="G718" s="2149"/>
      <c r="H718" s="1148"/>
      <c r="I718" s="1148"/>
      <c r="J718" s="1148"/>
      <c r="K718" s="1148"/>
      <c r="L718" s="1148"/>
      <c r="M718" s="1148"/>
      <c r="N718" s="1148"/>
      <c r="O718" s="1148"/>
      <c r="P718" s="1148"/>
      <c r="Q718" s="1148"/>
      <c r="R718" s="1148"/>
    </row>
    <row r="719" customFormat="false" ht="15.5" hidden="false" customHeight="false" outlineLevel="0" collapsed="false">
      <c r="A719" s="2160"/>
      <c r="B719" s="1148"/>
      <c r="C719" s="2149"/>
      <c r="D719" s="2149"/>
      <c r="E719" s="1148"/>
      <c r="F719" s="2149"/>
      <c r="G719" s="2149"/>
      <c r="H719" s="1148"/>
      <c r="I719" s="1148"/>
      <c r="J719" s="1148"/>
      <c r="K719" s="1148"/>
      <c r="L719" s="1148"/>
      <c r="M719" s="1148"/>
      <c r="N719" s="1148"/>
      <c r="O719" s="1148"/>
      <c r="P719" s="1148"/>
      <c r="Q719" s="1148"/>
      <c r="R719" s="1148"/>
    </row>
    <row r="720" customFormat="false" ht="15.5" hidden="false" customHeight="false" outlineLevel="0" collapsed="false">
      <c r="A720" s="905"/>
      <c r="B720" s="2116"/>
      <c r="C720" s="2173"/>
      <c r="D720" s="1116"/>
      <c r="E720" s="2116"/>
      <c r="F720" s="2173"/>
      <c r="G720" s="2173"/>
      <c r="H720" s="2116"/>
      <c r="L720" s="1148"/>
      <c r="M720" s="1148"/>
      <c r="N720" s="1148"/>
      <c r="O720" s="1148"/>
      <c r="P720" s="1148"/>
      <c r="Q720" s="1148"/>
      <c r="R720" s="1148"/>
    </row>
    <row r="721" customFormat="false" ht="15.5" hidden="false" customHeight="false" outlineLevel="0" collapsed="false">
      <c r="A721" s="905"/>
      <c r="B721" s="2116"/>
      <c r="C721" s="2173"/>
      <c r="D721" s="1116"/>
      <c r="E721" s="2116"/>
      <c r="F721" s="2173"/>
      <c r="G721" s="2173"/>
      <c r="H721" s="2116"/>
      <c r="L721" s="1148"/>
      <c r="M721" s="1148"/>
      <c r="N721" s="1148"/>
      <c r="O721" s="1148"/>
      <c r="P721" s="1148"/>
      <c r="Q721" s="1148"/>
      <c r="R721" s="1148"/>
    </row>
    <row r="722" customFormat="false" ht="15.5" hidden="false" customHeight="false" outlineLevel="0" collapsed="false">
      <c r="A722" s="905"/>
      <c r="B722" s="2116"/>
      <c r="C722" s="2173"/>
      <c r="D722" s="1116"/>
      <c r="E722" s="2116"/>
      <c r="F722" s="2173"/>
      <c r="G722" s="2173"/>
      <c r="H722" s="2116"/>
      <c r="L722" s="1148"/>
      <c r="M722" s="1148"/>
      <c r="N722" s="1148"/>
      <c r="O722" s="1148"/>
      <c r="P722" s="1148"/>
      <c r="Q722" s="1148"/>
      <c r="R722" s="1148"/>
    </row>
    <row r="723" customFormat="false" ht="15.5" hidden="false" customHeight="false" outlineLevel="0" collapsed="false">
      <c r="A723" s="905"/>
      <c r="B723" s="2116"/>
      <c r="C723" s="2173"/>
      <c r="D723" s="1116"/>
      <c r="E723" s="2116"/>
      <c r="F723" s="2173"/>
      <c r="G723" s="2173"/>
      <c r="H723" s="2116"/>
      <c r="L723" s="1148"/>
      <c r="M723" s="1148"/>
      <c r="N723" s="1148"/>
      <c r="O723" s="1148"/>
      <c r="P723" s="1148"/>
      <c r="Q723" s="1148"/>
      <c r="R723" s="1148"/>
    </row>
    <row r="724" customFormat="false" ht="15.5" hidden="false" customHeight="false" outlineLevel="0" collapsed="false">
      <c r="A724" s="905"/>
      <c r="B724" s="2116"/>
      <c r="C724" s="2173"/>
      <c r="D724" s="1116"/>
      <c r="E724" s="2116"/>
      <c r="F724" s="2173"/>
      <c r="G724" s="2173"/>
      <c r="H724" s="2116"/>
      <c r="L724" s="1148"/>
      <c r="M724" s="1148"/>
      <c r="N724" s="1148"/>
      <c r="O724" s="1148"/>
      <c r="P724" s="1148"/>
      <c r="Q724" s="1148"/>
      <c r="R724" s="1148"/>
    </row>
    <row r="725" customFormat="false" ht="15.5" hidden="false" customHeight="false" outlineLevel="0" collapsed="false">
      <c r="A725" s="2160"/>
      <c r="B725" s="1148"/>
      <c r="C725" s="2149"/>
      <c r="D725" s="2149"/>
      <c r="E725" s="1148"/>
      <c r="F725" s="2149"/>
      <c r="G725" s="2149"/>
      <c r="H725" s="1148"/>
      <c r="I725" s="1148"/>
      <c r="J725" s="1148"/>
      <c r="K725" s="1148"/>
      <c r="L725" s="1148"/>
      <c r="M725" s="1148"/>
      <c r="N725" s="1148"/>
      <c r="O725" s="1148"/>
      <c r="P725" s="1148"/>
      <c r="Q725" s="1148"/>
      <c r="R725" s="1148"/>
    </row>
    <row r="726" customFormat="false" ht="15.5" hidden="false" customHeight="false" outlineLevel="0" collapsed="false">
      <c r="A726" s="2160"/>
      <c r="B726" s="1148"/>
      <c r="C726" s="2149"/>
      <c r="D726" s="2149"/>
      <c r="E726" s="1148"/>
      <c r="F726" s="2149"/>
      <c r="G726" s="2149"/>
      <c r="H726" s="1148"/>
      <c r="I726" s="1148"/>
      <c r="J726" s="1148"/>
      <c r="K726" s="1148"/>
      <c r="L726" s="1148"/>
      <c r="M726" s="1148"/>
      <c r="N726" s="1148"/>
      <c r="O726" s="1148"/>
      <c r="P726" s="1148"/>
      <c r="Q726" s="1148"/>
      <c r="R726" s="1148"/>
    </row>
    <row r="727" customFormat="false" ht="15.5" hidden="false" customHeight="false" outlineLevel="0" collapsed="false">
      <c r="A727" s="2160"/>
      <c r="B727" s="1148"/>
      <c r="C727" s="2149"/>
      <c r="D727" s="2149"/>
      <c r="E727" s="1148"/>
      <c r="F727" s="2149"/>
      <c r="G727" s="2149"/>
      <c r="H727" s="1148"/>
      <c r="I727" s="1148"/>
      <c r="J727" s="1148"/>
      <c r="K727" s="1148"/>
      <c r="L727" s="1148"/>
      <c r="M727" s="1148"/>
      <c r="N727" s="1148"/>
      <c r="O727" s="1148"/>
      <c r="P727" s="1148"/>
      <c r="Q727" s="1148"/>
      <c r="R727" s="1148"/>
    </row>
    <row r="728" customFormat="false" ht="15.5" hidden="false" customHeight="false" outlineLevel="0" collapsed="false">
      <c r="A728" s="2160"/>
      <c r="B728" s="1148"/>
      <c r="C728" s="2149"/>
      <c r="D728" s="2149"/>
      <c r="E728" s="1148"/>
      <c r="F728" s="2149"/>
      <c r="G728" s="2149"/>
      <c r="H728" s="1148"/>
      <c r="I728" s="1148"/>
      <c r="J728" s="1148"/>
      <c r="K728" s="1148"/>
      <c r="L728" s="1148"/>
      <c r="M728" s="1148"/>
      <c r="N728" s="1148"/>
      <c r="O728" s="1148"/>
      <c r="P728" s="1148"/>
      <c r="Q728" s="1148"/>
      <c r="R728" s="1148"/>
    </row>
    <row r="729" customFormat="false" ht="15.5" hidden="false" customHeight="false" outlineLevel="0" collapsed="false">
      <c r="A729" s="2160"/>
      <c r="B729" s="1148"/>
      <c r="C729" s="2149"/>
      <c r="D729" s="2149"/>
      <c r="E729" s="1148"/>
      <c r="F729" s="2149"/>
      <c r="G729" s="2149"/>
      <c r="H729" s="1148"/>
      <c r="I729" s="1148"/>
      <c r="J729" s="1148"/>
      <c r="K729" s="1148"/>
      <c r="L729" s="1148"/>
      <c r="M729" s="1148"/>
      <c r="N729" s="1148"/>
      <c r="O729" s="1148"/>
      <c r="P729" s="1148"/>
      <c r="Q729" s="1148"/>
      <c r="R729" s="1148"/>
    </row>
    <row r="730" customFormat="false" ht="15.5" hidden="false" customHeight="false" outlineLevel="0" collapsed="false">
      <c r="A730" s="2160"/>
      <c r="B730" s="1148"/>
      <c r="C730" s="2149"/>
      <c r="D730" s="2149"/>
      <c r="E730" s="1148"/>
      <c r="F730" s="2149"/>
      <c r="G730" s="2149"/>
      <c r="H730" s="1148"/>
      <c r="I730" s="1148"/>
      <c r="J730" s="1148"/>
      <c r="K730" s="1148"/>
      <c r="L730" s="1148"/>
      <c r="M730" s="1148"/>
      <c r="N730" s="1148"/>
      <c r="O730" s="1148"/>
      <c r="P730" s="1148"/>
      <c r="Q730" s="1148"/>
      <c r="R730" s="1148"/>
    </row>
    <row r="731" customFormat="false" ht="15.5" hidden="false" customHeight="false" outlineLevel="0" collapsed="false">
      <c r="A731" s="2160"/>
      <c r="B731" s="1148"/>
      <c r="C731" s="2149"/>
      <c r="D731" s="2149"/>
      <c r="E731" s="1148"/>
      <c r="F731" s="2149"/>
      <c r="G731" s="2149"/>
      <c r="H731" s="1148"/>
      <c r="I731" s="1148"/>
      <c r="J731" s="1148"/>
      <c r="K731" s="1148"/>
      <c r="L731" s="1148"/>
      <c r="M731" s="1148"/>
      <c r="N731" s="1148"/>
      <c r="O731" s="1148"/>
      <c r="P731" s="1148"/>
      <c r="Q731" s="1148"/>
      <c r="R731" s="1148"/>
    </row>
    <row r="732" customFormat="false" ht="15.5" hidden="false" customHeight="false" outlineLevel="0" collapsed="false">
      <c r="A732" s="2160"/>
      <c r="B732" s="1148"/>
      <c r="C732" s="2149"/>
      <c r="D732" s="2149"/>
      <c r="E732" s="1148"/>
      <c r="F732" s="2149"/>
      <c r="G732" s="2149"/>
      <c r="H732" s="1148"/>
      <c r="I732" s="1148"/>
      <c r="J732" s="1148"/>
      <c r="K732" s="1148"/>
      <c r="L732" s="1148"/>
      <c r="M732" s="1148"/>
      <c r="N732" s="1148"/>
      <c r="O732" s="1148"/>
      <c r="P732" s="1148"/>
      <c r="Q732" s="1148"/>
      <c r="R732" s="1148"/>
    </row>
    <row r="733" customFormat="false" ht="15.5" hidden="false" customHeight="false" outlineLevel="0" collapsed="false">
      <c r="A733" s="2160"/>
      <c r="B733" s="1148"/>
      <c r="C733" s="2149"/>
      <c r="D733" s="2149"/>
      <c r="E733" s="1148"/>
      <c r="F733" s="2149"/>
      <c r="G733" s="2149"/>
      <c r="H733" s="1148"/>
      <c r="I733" s="1148"/>
      <c r="J733" s="1148"/>
      <c r="K733" s="1148"/>
      <c r="L733" s="1148"/>
      <c r="M733" s="1148"/>
      <c r="N733" s="1148"/>
      <c r="O733" s="1148"/>
      <c r="P733" s="1148"/>
      <c r="Q733" s="1148"/>
      <c r="R733" s="1148"/>
    </row>
    <row r="734" customFormat="false" ht="15.5" hidden="false" customHeight="false" outlineLevel="0" collapsed="false">
      <c r="A734" s="2160"/>
      <c r="B734" s="1148"/>
      <c r="C734" s="2149"/>
      <c r="D734" s="2149"/>
      <c r="E734" s="1148"/>
      <c r="F734" s="2149"/>
      <c r="G734" s="2149"/>
      <c r="H734" s="1148"/>
      <c r="I734" s="1148"/>
      <c r="J734" s="1148"/>
      <c r="K734" s="1148"/>
      <c r="L734" s="1148"/>
      <c r="M734" s="1148"/>
      <c r="N734" s="1148"/>
      <c r="O734" s="1148"/>
      <c r="P734" s="1148"/>
      <c r="Q734" s="1148"/>
      <c r="R734" s="1148"/>
    </row>
    <row r="735" customFormat="false" ht="15.5" hidden="false" customHeight="false" outlineLevel="0" collapsed="false">
      <c r="A735" s="2160"/>
      <c r="B735" s="1148"/>
      <c r="C735" s="2149"/>
      <c r="D735" s="2149"/>
      <c r="E735" s="1148"/>
      <c r="F735" s="2149"/>
      <c r="G735" s="2149"/>
      <c r="H735" s="1148"/>
      <c r="I735" s="1148"/>
      <c r="J735" s="1148"/>
      <c r="K735" s="1148"/>
      <c r="L735" s="1148"/>
      <c r="M735" s="1148"/>
      <c r="N735" s="1148"/>
      <c r="O735" s="1148"/>
      <c r="P735" s="1148"/>
      <c r="Q735" s="1148"/>
      <c r="R735" s="1148"/>
    </row>
    <row r="736" customFormat="false" ht="15.5" hidden="false" customHeight="false" outlineLevel="0" collapsed="false">
      <c r="A736" s="2160"/>
      <c r="B736" s="1148"/>
      <c r="C736" s="2149"/>
      <c r="D736" s="2149"/>
      <c r="E736" s="1148"/>
      <c r="F736" s="2149"/>
      <c r="G736" s="2149"/>
      <c r="H736" s="1148"/>
      <c r="I736" s="1148"/>
      <c r="J736" s="1148"/>
      <c r="K736" s="1148"/>
      <c r="L736" s="1148"/>
      <c r="M736" s="1148"/>
      <c r="N736" s="1148"/>
      <c r="O736" s="1148"/>
      <c r="P736" s="1148"/>
      <c r="Q736" s="1148"/>
      <c r="R736" s="1148"/>
    </row>
    <row r="737" customFormat="false" ht="15.5" hidden="false" customHeight="false" outlineLevel="0" collapsed="false">
      <c r="A737" s="2160"/>
      <c r="B737" s="1148"/>
      <c r="C737" s="2149"/>
      <c r="D737" s="2149"/>
      <c r="E737" s="1148"/>
      <c r="F737" s="2149"/>
      <c r="G737" s="2149"/>
      <c r="H737" s="1148"/>
      <c r="I737" s="1148"/>
      <c r="J737" s="1148"/>
      <c r="K737" s="1148"/>
      <c r="L737" s="1148"/>
      <c r="M737" s="1148"/>
      <c r="N737" s="1148"/>
      <c r="O737" s="1148"/>
      <c r="P737" s="1148"/>
      <c r="Q737" s="1148"/>
      <c r="R737" s="1148"/>
    </row>
    <row r="738" customFormat="false" ht="15.5" hidden="false" customHeight="false" outlineLevel="0" collapsed="false">
      <c r="A738" s="2160"/>
      <c r="B738" s="1148"/>
      <c r="C738" s="2149"/>
      <c r="D738" s="2149"/>
      <c r="E738" s="1148"/>
      <c r="F738" s="2149"/>
      <c r="G738" s="2149"/>
      <c r="H738" s="1148"/>
      <c r="I738" s="1148"/>
      <c r="J738" s="1148"/>
      <c r="K738" s="1148"/>
      <c r="L738" s="1148"/>
      <c r="M738" s="1148"/>
      <c r="N738" s="1148"/>
      <c r="O738" s="1148"/>
      <c r="P738" s="1148"/>
      <c r="Q738" s="1148"/>
      <c r="R738" s="1148"/>
    </row>
    <row r="739" customFormat="false" ht="15.5" hidden="false" customHeight="false" outlineLevel="0" collapsed="false">
      <c r="A739" s="2160"/>
      <c r="B739" s="1148"/>
      <c r="C739" s="2149"/>
      <c r="D739" s="2149"/>
      <c r="E739" s="1148"/>
      <c r="F739" s="2149"/>
      <c r="G739" s="2149"/>
      <c r="H739" s="1148"/>
      <c r="I739" s="1148"/>
      <c r="J739" s="1148"/>
      <c r="K739" s="1148"/>
      <c r="L739" s="1148"/>
      <c r="M739" s="1148"/>
      <c r="N739" s="1148"/>
      <c r="O739" s="1148"/>
      <c r="P739" s="1148"/>
      <c r="Q739" s="1148"/>
      <c r="R739" s="1148"/>
    </row>
    <row r="740" customFormat="false" ht="15.5" hidden="false" customHeight="false" outlineLevel="0" collapsed="false">
      <c r="A740" s="2192" t="s">
        <v>3982</v>
      </c>
      <c r="B740" s="232" t="str">
        <f aca="false">'Ввод данных'!F1126</f>
        <v>Не считать</v>
      </c>
      <c r="C740" s="2119" t="s">
        <v>854</v>
      </c>
      <c r="D740" s="2119" t="s">
        <v>3983</v>
      </c>
      <c r="E740" s="1148"/>
      <c r="F740" s="2149"/>
      <c r="G740" s="2149"/>
      <c r="H740" s="1148"/>
      <c r="I740" s="1148"/>
      <c r="J740" s="1148"/>
      <c r="K740" s="1148"/>
      <c r="L740" s="1148"/>
      <c r="M740" s="1148"/>
      <c r="N740" s="1148"/>
      <c r="O740" s="1148"/>
      <c r="P740" s="1148"/>
      <c r="Q740" s="1148"/>
      <c r="R740" s="1148"/>
    </row>
    <row r="741" customFormat="false" ht="15.5" hidden="false" customHeight="false" outlineLevel="0" collapsed="false">
      <c r="A741" s="370" t="s">
        <v>2130</v>
      </c>
      <c r="B741" s="232" t="n">
        <f aca="false">'Ввод данных'!B1128</f>
        <v>10</v>
      </c>
      <c r="C741" s="2119"/>
      <c r="D741" s="2119" t="n">
        <f aca="false">B743*B744*D742/1000000000/2</f>
        <v>0.24</v>
      </c>
      <c r="E741" s="1148"/>
      <c r="F741" s="2149"/>
      <c r="G741" s="2149"/>
      <c r="H741" s="1148"/>
      <c r="I741" s="1148"/>
      <c r="J741" s="1148"/>
      <c r="K741" s="1148"/>
      <c r="L741" s="1148"/>
      <c r="M741" s="1148"/>
      <c r="N741" s="1148"/>
      <c r="O741" s="1148"/>
      <c r="P741" s="1148"/>
      <c r="Q741" s="1148"/>
      <c r="R741" s="1148"/>
    </row>
    <row r="742" customFormat="false" ht="15.5" hidden="false" customHeight="false" outlineLevel="0" collapsed="false">
      <c r="A742" s="370" t="s">
        <v>2424</v>
      </c>
      <c r="B742" s="232" t="n">
        <f aca="false">'Ввод данных'!B1129</f>
        <v>2000</v>
      </c>
      <c r="C742" s="2119"/>
      <c r="D742" s="2119" t="n">
        <f aca="false">B742/B741</f>
        <v>200</v>
      </c>
      <c r="E742" s="1148" t="s">
        <v>3984</v>
      </c>
      <c r="F742" s="2149"/>
      <c r="G742" s="2149"/>
      <c r="H742" s="1148"/>
      <c r="I742" s="1148"/>
      <c r="J742" s="1148"/>
      <c r="K742" s="1148"/>
      <c r="L742" s="1148"/>
      <c r="M742" s="1148"/>
      <c r="N742" s="1148"/>
      <c r="O742" s="1148"/>
      <c r="P742" s="1148"/>
      <c r="Q742" s="1148"/>
      <c r="R742" s="1148"/>
    </row>
    <row r="743" customFormat="false" ht="15.5" hidden="false" customHeight="false" outlineLevel="0" collapsed="false">
      <c r="A743" s="370" t="s">
        <v>2426</v>
      </c>
      <c r="B743" s="232" t="n">
        <f aca="false">'Ввод данных'!B1130</f>
        <v>3000</v>
      </c>
      <c r="C743" s="2119"/>
      <c r="D743" s="2119"/>
      <c r="E743" s="1148"/>
      <c r="F743" s="2149"/>
      <c r="G743" s="2149"/>
      <c r="H743" s="1148"/>
      <c r="I743" s="1148"/>
      <c r="J743" s="1148"/>
      <c r="K743" s="1148"/>
      <c r="L743" s="1148"/>
      <c r="M743" s="1148"/>
      <c r="N743" s="1148"/>
      <c r="O743" s="1148"/>
      <c r="P743" s="1148"/>
      <c r="Q743" s="1148"/>
      <c r="R743" s="1148"/>
    </row>
    <row r="744" customFormat="false" ht="15.5" hidden="false" customHeight="false" outlineLevel="0" collapsed="false">
      <c r="A744" s="370" t="s">
        <v>2427</v>
      </c>
      <c r="B744" s="232" t="n">
        <f aca="false">'Ввод данных'!B1131</f>
        <v>800</v>
      </c>
      <c r="C744" s="2119"/>
      <c r="D744" s="2119"/>
      <c r="E744" s="1148"/>
      <c r="F744" s="2149"/>
      <c r="G744" s="2149"/>
      <c r="H744" s="1148"/>
      <c r="I744" s="1148"/>
      <c r="J744" s="1148"/>
      <c r="K744" s="1148"/>
      <c r="L744" s="1148"/>
      <c r="M744" s="1148"/>
      <c r="N744" s="1148"/>
      <c r="O744" s="1148"/>
      <c r="P744" s="1148"/>
      <c r="Q744" s="1148"/>
      <c r="R744" s="1148"/>
    </row>
    <row r="745" customFormat="false" ht="15.5" hidden="false" customHeight="false" outlineLevel="0" collapsed="false">
      <c r="A745" s="370" t="s">
        <v>2428</v>
      </c>
      <c r="B745" s="232" t="n">
        <f aca="false">'Ввод данных'!B1132</f>
        <v>500</v>
      </c>
      <c r="C745" s="2119"/>
      <c r="D745" s="2119" t="n">
        <f aca="false">B745*B744*B746/1000000000</f>
        <v>0.04</v>
      </c>
      <c r="E745" s="1148"/>
      <c r="F745" s="2149"/>
      <c r="G745" s="2149"/>
      <c r="H745" s="1148"/>
      <c r="I745" s="1148"/>
      <c r="J745" s="1148"/>
      <c r="K745" s="1148"/>
      <c r="L745" s="1148"/>
      <c r="M745" s="1148"/>
      <c r="N745" s="1148"/>
      <c r="O745" s="1148"/>
      <c r="P745" s="1148"/>
      <c r="Q745" s="1148"/>
      <c r="R745" s="1148"/>
    </row>
    <row r="746" customFormat="false" ht="15.5" hidden="false" customHeight="false" outlineLevel="0" collapsed="false">
      <c r="A746" s="370" t="s">
        <v>2429</v>
      </c>
      <c r="B746" s="232" t="n">
        <f aca="false">'Ввод данных'!B1133</f>
        <v>100</v>
      </c>
      <c r="C746" s="2119"/>
      <c r="D746" s="2119"/>
      <c r="E746" s="1148"/>
      <c r="F746" s="2149"/>
      <c r="G746" s="2149"/>
      <c r="H746" s="1148"/>
      <c r="I746" s="1148"/>
      <c r="J746" s="1148"/>
      <c r="K746" s="1148"/>
      <c r="L746" s="1148"/>
      <c r="M746" s="1148"/>
      <c r="N746" s="1148"/>
      <c r="O746" s="1148"/>
      <c r="P746" s="1148"/>
      <c r="Q746" s="1148"/>
      <c r="R746" s="1148"/>
    </row>
    <row r="747" customFormat="false" ht="15.5" hidden="false" customHeight="false" outlineLevel="0" collapsed="false">
      <c r="A747" s="370" t="s">
        <v>2430</v>
      </c>
      <c r="B747" s="232" t="n">
        <f aca="false">'Ввод данных'!B1134</f>
        <v>50</v>
      </c>
      <c r="C747" s="2119"/>
      <c r="D747" s="2119" t="n">
        <f aca="false">B743*B744*B747/1000000000</f>
        <v>0.12</v>
      </c>
      <c r="E747" s="1148" t="n">
        <f aca="false">D747*20/100</f>
        <v>0.024</v>
      </c>
      <c r="F747" s="2149"/>
      <c r="G747" s="2149"/>
      <c r="H747" s="1148"/>
      <c r="I747" s="1148"/>
      <c r="J747" s="1148"/>
      <c r="K747" s="1148"/>
      <c r="L747" s="1148"/>
      <c r="M747" s="1148"/>
      <c r="N747" s="1148"/>
      <c r="O747" s="1148"/>
      <c r="P747" s="1148"/>
      <c r="Q747" s="1148"/>
      <c r="R747" s="1148"/>
    </row>
    <row r="748" customFormat="false" ht="15.5" hidden="false" customHeight="false" outlineLevel="0" collapsed="false">
      <c r="A748" s="122" t="str">
        <f aca="false">'Ввод данных'!A1137</f>
        <v>Арматура А1 8 мм</v>
      </c>
      <c r="B748" s="232"/>
      <c r="C748" s="2119" t="n">
        <f aca="false">VLOOKUP(A748,'Прайс лист'!B199:G210,6,0)</f>
        <v>17.538</v>
      </c>
      <c r="D748" s="923" t="n">
        <f aca="false">((B743+B745)/1000*8)+D749</f>
        <v>52</v>
      </c>
      <c r="E748" s="1148" t="s">
        <v>3985</v>
      </c>
      <c r="F748" s="2149"/>
      <c r="G748" s="2149"/>
      <c r="H748" s="1148"/>
      <c r="I748" s="1148"/>
      <c r="J748" s="1148"/>
      <c r="K748" s="1148"/>
      <c r="L748" s="1148"/>
      <c r="M748" s="1148"/>
      <c r="N748" s="1148"/>
      <c r="O748" s="1148"/>
      <c r="P748" s="1148"/>
      <c r="Q748" s="1148"/>
      <c r="R748" s="1148"/>
    </row>
    <row r="749" customFormat="false" ht="15.5" hidden="false" customHeight="false" outlineLevel="0" collapsed="false">
      <c r="A749" s="122" t="s">
        <v>2434</v>
      </c>
      <c r="B749" s="232" t="n">
        <f aca="false">'Ввод данных'!B1138</f>
        <v>3</v>
      </c>
      <c r="C749" s="2119" t="n">
        <f aca="false">C748</f>
        <v>17.538</v>
      </c>
      <c r="D749" s="1004" t="n">
        <f aca="false">(B749*B741)/1.25</f>
        <v>24</v>
      </c>
      <c r="E749" s="1148" t="s">
        <v>3985</v>
      </c>
      <c r="F749" s="2149"/>
      <c r="G749" s="2149"/>
      <c r="H749" s="1148"/>
      <c r="I749" s="1148"/>
      <c r="J749" s="1148"/>
      <c r="K749" s="1148"/>
      <c r="L749" s="1148"/>
      <c r="M749" s="1148"/>
      <c r="N749" s="1148"/>
      <c r="O749" s="1148"/>
      <c r="P749" s="1148"/>
      <c r="Q749" s="1148"/>
      <c r="R749" s="1148"/>
    </row>
    <row r="750" customFormat="false" ht="15.5" hidden="false" customHeight="false" outlineLevel="0" collapsed="false">
      <c r="A750" s="122" t="s">
        <v>2433</v>
      </c>
      <c r="B750" s="232" t="n">
        <f aca="false">'Ввод данных'!B1136</f>
        <v>10</v>
      </c>
      <c r="C750" s="2119" t="n">
        <f aca="false">'Прайс лист'!F318</f>
        <v>67.5</v>
      </c>
      <c r="D750" s="921" t="n">
        <f aca="false">B750</f>
        <v>10</v>
      </c>
      <c r="E750" s="1148" t="s">
        <v>3985</v>
      </c>
      <c r="F750" s="2149"/>
      <c r="G750" s="2149"/>
      <c r="H750" s="1148"/>
      <c r="I750" s="1148"/>
      <c r="J750" s="1148"/>
      <c r="K750" s="1148"/>
      <c r="L750" s="1148"/>
      <c r="M750" s="1148"/>
      <c r="N750" s="1148"/>
      <c r="O750" s="1148"/>
      <c r="P750" s="1148"/>
      <c r="Q750" s="1148"/>
      <c r="R750" s="1148"/>
    </row>
    <row r="751" customFormat="false" ht="15.5" hidden="false" customHeight="false" outlineLevel="0" collapsed="false">
      <c r="A751" s="122" t="str">
        <f aca="false">'Ввод данных'!A1139</f>
        <v>OSB-3 КНР (для наружных работ), 12мм</v>
      </c>
      <c r="B751" s="232"/>
      <c r="C751" s="2119" t="n">
        <f aca="false">VLOOKUP(A751,'Прайс лист'!B1027:G1081,6,0)</f>
        <v>245</v>
      </c>
      <c r="D751" s="923" t="n">
        <f aca="false">(B743+B745)/1000*2</f>
        <v>7</v>
      </c>
      <c r="E751" s="1148" t="s">
        <v>133</v>
      </c>
      <c r="F751" s="2149"/>
      <c r="G751" s="2149"/>
      <c r="H751" s="1148"/>
      <c r="I751" s="1148"/>
      <c r="J751" s="1148"/>
      <c r="K751" s="1148"/>
      <c r="L751" s="1148"/>
      <c r="M751" s="1148"/>
      <c r="N751" s="1148"/>
      <c r="O751" s="1148"/>
      <c r="P751" s="1148"/>
      <c r="Q751" s="1148"/>
      <c r="R751" s="1148"/>
    </row>
    <row r="752" customFormat="false" ht="15.5" hidden="false" customHeight="false" outlineLevel="0" collapsed="false">
      <c r="A752" s="122" t="str">
        <f aca="false">'Ввод данных'!A1140</f>
        <v>Бетон, м350</v>
      </c>
      <c r="B752" s="232"/>
      <c r="C752" s="2119" t="n">
        <f aca="false">VLOOKUP(A752,'Прайс лист'!B225:G232,6,0)</f>
        <v>3500</v>
      </c>
      <c r="D752" s="921" t="n">
        <f aca="false">D741+D745+D747+E747</f>
        <v>0.424</v>
      </c>
      <c r="E752" s="1148" t="s">
        <v>135</v>
      </c>
      <c r="F752" s="2149"/>
      <c r="G752" s="2149"/>
      <c r="H752" s="1148"/>
      <c r="I752" s="1148"/>
      <c r="J752" s="1148"/>
      <c r="K752" s="1148"/>
      <c r="L752" s="1148"/>
      <c r="M752" s="1148"/>
      <c r="N752" s="1148"/>
      <c r="O752" s="1148"/>
      <c r="P752" s="1148"/>
      <c r="Q752" s="1148"/>
      <c r="R752" s="1148"/>
    </row>
    <row r="753" customFormat="false" ht="15.5" hidden="false" customHeight="false" outlineLevel="0" collapsed="false">
      <c r="A753" s="122" t="str">
        <f aca="false">'Ввод данных'!A1141</f>
        <v>Саморезы 3,5 x 55</v>
      </c>
      <c r="B753" s="232"/>
      <c r="C753" s="2119" t="n">
        <f aca="false">VLOOKUP(A753,'Прайс лист'!B875:G883,6,0)</f>
        <v>105.62</v>
      </c>
      <c r="D753" s="923" t="n">
        <v>1</v>
      </c>
      <c r="E753" s="1148" t="s">
        <v>188</v>
      </c>
      <c r="F753" s="2149"/>
      <c r="G753" s="2149"/>
      <c r="H753" s="1148"/>
      <c r="I753" s="1148"/>
      <c r="J753" s="1148"/>
      <c r="K753" s="1148"/>
      <c r="L753" s="1148"/>
      <c r="M753" s="1148"/>
      <c r="N753" s="1148"/>
      <c r="O753" s="1148"/>
      <c r="P753" s="1148"/>
      <c r="Q753" s="1148"/>
      <c r="R753" s="1148"/>
    </row>
    <row r="754" customFormat="false" ht="15.5" hidden="false" customHeight="false" outlineLevel="0" collapsed="false">
      <c r="A754" s="122" t="str">
        <f aca="false">'Ввод данных'!A1142</f>
        <v>Нет техники</v>
      </c>
      <c r="B754" s="232" t="n">
        <f aca="false">'Ввод данных'!C1142</f>
        <v>0</v>
      </c>
      <c r="C754" s="2119" t="n">
        <f aca="false">VLOOKUP(A754,'Прайс лист'!B180:G194,6,0)</f>
        <v>0</v>
      </c>
      <c r="D754" s="921" t="n">
        <f aca="false">B754</f>
        <v>0</v>
      </c>
      <c r="E754" s="1148" t="s">
        <v>154</v>
      </c>
      <c r="F754" s="2149"/>
      <c r="G754" s="2149"/>
      <c r="H754" s="1148"/>
      <c r="I754" s="1148"/>
      <c r="J754" s="1148"/>
      <c r="K754" s="1148"/>
      <c r="L754" s="1148"/>
      <c r="M754" s="1148"/>
      <c r="N754" s="1148"/>
      <c r="O754" s="1148"/>
      <c r="P754" s="1148"/>
      <c r="Q754" s="1148"/>
      <c r="R754" s="1148"/>
    </row>
    <row r="755" customFormat="false" ht="15.5" hidden="false" customHeight="false" outlineLevel="0" collapsed="false">
      <c r="A755" s="122" t="str">
        <f aca="false">'Ввод данных'!A1143</f>
        <v>Нет техники</v>
      </c>
      <c r="B755" s="232" t="n">
        <f aca="false">'Ввод данных'!C1143</f>
        <v>3</v>
      </c>
      <c r="C755" s="2119" t="n">
        <f aca="false">VLOOKUP(A755,'Прайс лист'!B180:G194,6,0)</f>
        <v>0</v>
      </c>
      <c r="D755" s="921" t="n">
        <f aca="false">B755</f>
        <v>3</v>
      </c>
      <c r="E755" s="1148" t="s">
        <v>159</v>
      </c>
      <c r="F755" s="2149"/>
      <c r="G755" s="2149"/>
      <c r="H755" s="1148"/>
      <c r="I755" s="1148"/>
      <c r="J755" s="1148"/>
      <c r="K755" s="1148"/>
      <c r="L755" s="1148"/>
      <c r="M755" s="1148"/>
      <c r="N755" s="1148"/>
      <c r="O755" s="1148"/>
      <c r="P755" s="1148"/>
      <c r="Q755" s="1148"/>
      <c r="R755" s="1148"/>
    </row>
    <row r="756" customFormat="false" ht="15.5" hidden="false" customHeight="false" outlineLevel="0" collapsed="false">
      <c r="A756" s="122" t="s">
        <v>2431</v>
      </c>
      <c r="B756" s="232"/>
      <c r="C756" s="2119" t="n">
        <f aca="false">'Ввод данных'!B1135</f>
        <v>2000</v>
      </c>
      <c r="D756" s="923" t="n">
        <v>1</v>
      </c>
      <c r="E756" s="1148" t="s">
        <v>3986</v>
      </c>
      <c r="F756" s="2149"/>
      <c r="G756" s="2149"/>
      <c r="H756" s="1148"/>
      <c r="I756" s="1148"/>
      <c r="J756" s="1148"/>
      <c r="K756" s="1148"/>
      <c r="L756" s="1148"/>
      <c r="M756" s="1148"/>
      <c r="N756" s="1148"/>
      <c r="O756" s="1148"/>
      <c r="P756" s="1148"/>
      <c r="Q756" s="1148"/>
      <c r="R756" s="1148"/>
    </row>
    <row r="757" customFormat="false" ht="15.5" hidden="false" customHeight="false" outlineLevel="0" collapsed="false">
      <c r="A757" s="122" t="s">
        <v>3987</v>
      </c>
      <c r="B757" s="232"/>
      <c r="C757" s="2119" t="n">
        <f aca="false">'Прайс лист'!G1890</f>
        <v>50000</v>
      </c>
      <c r="D757" s="923" t="n">
        <v>1</v>
      </c>
      <c r="E757" s="1148"/>
      <c r="F757" s="2149"/>
      <c r="G757" s="2149"/>
      <c r="H757" s="1148"/>
      <c r="I757" s="1148"/>
      <c r="J757" s="1148"/>
      <c r="K757" s="1148"/>
      <c r="L757" s="1148"/>
      <c r="M757" s="1148"/>
      <c r="N757" s="1148"/>
      <c r="O757" s="1148"/>
      <c r="P757" s="1148"/>
      <c r="Q757" s="1148"/>
      <c r="R757" s="1148"/>
    </row>
    <row r="758" customFormat="false" ht="15.5" hidden="false" customHeight="false" outlineLevel="0" collapsed="false">
      <c r="A758" s="2160"/>
      <c r="B758" s="1148"/>
      <c r="C758" s="2149"/>
      <c r="D758" s="2149"/>
      <c r="E758" s="1148"/>
      <c r="F758" s="2149"/>
      <c r="G758" s="2149"/>
      <c r="H758" s="1148"/>
      <c r="I758" s="1148"/>
      <c r="J758" s="1148"/>
      <c r="K758" s="1148"/>
      <c r="L758" s="1148"/>
      <c r="M758" s="1148"/>
      <c r="N758" s="1148"/>
      <c r="O758" s="1148"/>
      <c r="P758" s="1148"/>
      <c r="Q758" s="1148"/>
      <c r="R758" s="1148"/>
    </row>
    <row r="759" customFormat="false" ht="15.5" hidden="false" customHeight="false" outlineLevel="0" collapsed="false">
      <c r="A759" s="2160"/>
      <c r="B759" s="1148"/>
      <c r="C759" s="2149"/>
      <c r="D759" s="2149"/>
      <c r="E759" s="1148"/>
      <c r="F759" s="2149"/>
      <c r="G759" s="2149"/>
      <c r="H759" s="1148"/>
      <c r="I759" s="1148"/>
      <c r="J759" s="1148"/>
      <c r="K759" s="1148"/>
      <c r="L759" s="1148"/>
      <c r="M759" s="1148"/>
      <c r="N759" s="1148"/>
      <c r="O759" s="1148"/>
      <c r="P759" s="1148"/>
      <c r="Q759" s="1148"/>
      <c r="R759" s="1148"/>
    </row>
    <row r="760" customFormat="false" ht="15.5" hidden="false" customHeight="false" outlineLevel="0" collapsed="false">
      <c r="A760" s="2160"/>
      <c r="B760" s="1148"/>
      <c r="C760" s="2149"/>
      <c r="D760" s="2149"/>
      <c r="E760" s="1148"/>
      <c r="F760" s="2149"/>
      <c r="G760" s="2149"/>
      <c r="H760" s="1148"/>
      <c r="I760" s="1148"/>
      <c r="J760" s="1148"/>
      <c r="K760" s="1148"/>
      <c r="L760" s="1148"/>
      <c r="M760" s="1148"/>
      <c r="N760" s="1148"/>
      <c r="O760" s="1148"/>
      <c r="P760" s="1148"/>
      <c r="Q760" s="1148"/>
      <c r="R760" s="1148"/>
    </row>
    <row r="761" customFormat="false" ht="15.5" hidden="false" customHeight="false" outlineLevel="0" collapsed="false">
      <c r="A761" s="2160"/>
      <c r="B761" s="1148"/>
      <c r="C761" s="2149"/>
      <c r="D761" s="2149"/>
      <c r="E761" s="1148"/>
      <c r="F761" s="2149"/>
      <c r="G761" s="2149"/>
      <c r="H761" s="1148"/>
      <c r="I761" s="1148"/>
      <c r="J761" s="1148"/>
      <c r="K761" s="1148"/>
      <c r="L761" s="1148"/>
      <c r="M761" s="1148"/>
      <c r="N761" s="1148"/>
      <c r="O761" s="1148"/>
      <c r="P761" s="1148"/>
      <c r="Q761" s="1148"/>
      <c r="R761" s="1148"/>
    </row>
    <row r="762" customFormat="false" ht="15.5" hidden="false" customHeight="false" outlineLevel="0" collapsed="false">
      <c r="A762" s="2160"/>
      <c r="B762" s="1148"/>
      <c r="C762" s="2149"/>
      <c r="D762" s="2149"/>
      <c r="E762" s="1148"/>
      <c r="F762" s="2149"/>
      <c r="G762" s="2149"/>
      <c r="H762" s="1148"/>
      <c r="I762" s="1148"/>
      <c r="J762" s="1148"/>
      <c r="K762" s="1148"/>
      <c r="L762" s="1148"/>
      <c r="M762" s="1148"/>
      <c r="N762" s="1148"/>
      <c r="O762" s="1148"/>
      <c r="P762" s="1148"/>
      <c r="Q762" s="1148"/>
      <c r="R762" s="1148"/>
    </row>
    <row r="763" customFormat="false" ht="15.5" hidden="false" customHeight="false" outlineLevel="0" collapsed="false">
      <c r="A763" s="2160"/>
      <c r="B763" s="1148"/>
      <c r="C763" s="2149"/>
      <c r="D763" s="2149"/>
      <c r="E763" s="1148"/>
      <c r="F763" s="2149"/>
      <c r="G763" s="2149"/>
      <c r="H763" s="1148"/>
      <c r="I763" s="1148"/>
      <c r="J763" s="1148"/>
      <c r="K763" s="1148"/>
      <c r="L763" s="1148"/>
      <c r="M763" s="1148"/>
      <c r="N763" s="1148"/>
      <c r="O763" s="1148"/>
      <c r="P763" s="1148"/>
      <c r="Q763" s="1148"/>
      <c r="R763" s="1148"/>
    </row>
    <row r="764" customFormat="false" ht="15.5" hidden="false" customHeight="false" outlineLevel="0" collapsed="false">
      <c r="A764" s="2160"/>
      <c r="B764" s="1148"/>
      <c r="C764" s="2149"/>
      <c r="D764" s="2149"/>
      <c r="E764" s="1148"/>
      <c r="F764" s="2149"/>
      <c r="G764" s="2149"/>
      <c r="H764" s="1148"/>
      <c r="I764" s="1148"/>
      <c r="J764" s="1148"/>
      <c r="K764" s="1148"/>
      <c r="L764" s="1148"/>
      <c r="M764" s="1148"/>
      <c r="N764" s="1148"/>
      <c r="O764" s="1148"/>
      <c r="P764" s="1148"/>
      <c r="Q764" s="1148"/>
      <c r="R764" s="1148"/>
    </row>
    <row r="765" customFormat="false" ht="15.5" hidden="false" customHeight="false" outlineLevel="0" collapsed="false">
      <c r="A765" s="2160"/>
      <c r="B765" s="1148"/>
      <c r="C765" s="2149"/>
      <c r="D765" s="2149"/>
      <c r="E765" s="1148"/>
      <c r="F765" s="2149"/>
      <c r="G765" s="2149"/>
      <c r="H765" s="1148"/>
      <c r="I765" s="1148"/>
      <c r="J765" s="1148"/>
      <c r="K765" s="1148"/>
      <c r="L765" s="1148"/>
      <c r="M765" s="1148"/>
      <c r="N765" s="1148"/>
      <c r="O765" s="1148"/>
      <c r="P765" s="1148"/>
      <c r="Q765" s="1148"/>
      <c r="R765" s="1148"/>
    </row>
    <row r="766" customFormat="false" ht="15.5" hidden="false" customHeight="false" outlineLevel="0" collapsed="false">
      <c r="A766" s="2160"/>
      <c r="B766" s="1148"/>
      <c r="C766" s="2149"/>
      <c r="D766" s="2149"/>
      <c r="E766" s="1148"/>
      <c r="F766" s="2149"/>
      <c r="G766" s="2149"/>
      <c r="H766" s="1148"/>
      <c r="I766" s="1148"/>
      <c r="J766" s="1148"/>
      <c r="K766" s="1148"/>
      <c r="L766" s="1148"/>
      <c r="M766" s="1148"/>
      <c r="N766" s="1148"/>
      <c r="O766" s="1148"/>
      <c r="P766" s="1148"/>
      <c r="Q766" s="1148"/>
      <c r="R766" s="1148"/>
    </row>
    <row r="767" customFormat="false" ht="15.5" hidden="false" customHeight="false" outlineLevel="0" collapsed="false">
      <c r="A767" s="2160"/>
      <c r="B767" s="1148"/>
      <c r="C767" s="2149"/>
      <c r="D767" s="2149"/>
      <c r="E767" s="1148"/>
      <c r="F767" s="2149"/>
      <c r="G767" s="2149"/>
      <c r="H767" s="1148"/>
      <c r="I767" s="1148"/>
      <c r="J767" s="1148"/>
      <c r="K767" s="1148"/>
      <c r="L767" s="1148"/>
      <c r="M767" s="1148"/>
      <c r="N767" s="1148"/>
      <c r="O767" s="1148"/>
      <c r="P767" s="1148"/>
      <c r="Q767" s="1148"/>
      <c r="R767" s="1148"/>
    </row>
    <row r="768" customFormat="false" ht="15.5" hidden="false" customHeight="false" outlineLevel="0" collapsed="false">
      <c r="A768" s="2160"/>
      <c r="B768" s="1148"/>
      <c r="C768" s="2149"/>
      <c r="D768" s="2149"/>
      <c r="E768" s="1148"/>
      <c r="F768" s="2149"/>
      <c r="G768" s="2149"/>
      <c r="H768" s="1148"/>
      <c r="I768" s="1148"/>
      <c r="J768" s="1148"/>
      <c r="K768" s="1148"/>
      <c r="L768" s="1148"/>
      <c r="M768" s="1148"/>
      <c r="N768" s="1148"/>
      <c r="O768" s="1148"/>
      <c r="P768" s="1148"/>
      <c r="Q768" s="1148"/>
      <c r="R768" s="1148"/>
    </row>
    <row r="769" customFormat="false" ht="15.5" hidden="false" customHeight="false" outlineLevel="0" collapsed="false">
      <c r="A769" s="2160"/>
      <c r="B769" s="1148"/>
      <c r="C769" s="2149"/>
      <c r="D769" s="2149"/>
      <c r="E769" s="1148"/>
      <c r="F769" s="2149"/>
      <c r="G769" s="2149"/>
      <c r="H769" s="1148"/>
      <c r="I769" s="1148"/>
      <c r="J769" s="1148"/>
      <c r="K769" s="1148"/>
      <c r="L769" s="1148"/>
      <c r="M769" s="1148"/>
      <c r="N769" s="1148"/>
      <c r="O769" s="1148"/>
      <c r="P769" s="1148"/>
      <c r="Q769" s="1148"/>
      <c r="R769" s="1148"/>
    </row>
    <row r="770" customFormat="false" ht="15.5" hidden="false" customHeight="false" outlineLevel="0" collapsed="false">
      <c r="A770" s="2160"/>
      <c r="B770" s="1148"/>
      <c r="C770" s="2149"/>
      <c r="D770" s="2149"/>
      <c r="E770" s="1148"/>
      <c r="F770" s="2149"/>
      <c r="G770" s="2149"/>
      <c r="H770" s="1148"/>
      <c r="I770" s="1148"/>
      <c r="J770" s="1148"/>
      <c r="K770" s="1148"/>
      <c r="L770" s="1148"/>
      <c r="M770" s="1148"/>
      <c r="N770" s="1148"/>
      <c r="O770" s="1148"/>
      <c r="P770" s="1148"/>
      <c r="Q770" s="1148"/>
      <c r="R770" s="1148"/>
    </row>
    <row r="771" customFormat="false" ht="15.5" hidden="false" customHeight="false" outlineLevel="0" collapsed="false">
      <c r="A771" s="2160"/>
      <c r="B771" s="1148"/>
      <c r="C771" s="2149"/>
      <c r="D771" s="2149"/>
      <c r="E771" s="1148"/>
      <c r="F771" s="2149"/>
      <c r="G771" s="2149"/>
      <c r="H771" s="1148"/>
      <c r="I771" s="1148"/>
      <c r="J771" s="1148"/>
      <c r="K771" s="1148"/>
      <c r="L771" s="1148"/>
      <c r="M771" s="1148"/>
      <c r="N771" s="1148"/>
      <c r="O771" s="1148"/>
      <c r="P771" s="1148"/>
      <c r="Q771" s="1148"/>
      <c r="R771" s="1148"/>
    </row>
    <row r="772" customFormat="false" ht="15.5" hidden="false" customHeight="false" outlineLevel="0" collapsed="false">
      <c r="A772" s="2160"/>
      <c r="B772" s="1148"/>
      <c r="C772" s="2149"/>
      <c r="D772" s="2149"/>
      <c r="E772" s="1148"/>
      <c r="F772" s="2149"/>
      <c r="G772" s="2149"/>
      <c r="H772" s="1148"/>
      <c r="I772" s="1148"/>
      <c r="J772" s="1148"/>
      <c r="K772" s="1148"/>
      <c r="L772" s="1148"/>
      <c r="M772" s="1148"/>
      <c r="N772" s="1148"/>
      <c r="O772" s="1148"/>
      <c r="P772" s="1148"/>
      <c r="Q772" s="1148"/>
      <c r="R772" s="1148"/>
    </row>
    <row r="773" customFormat="false" ht="15.5" hidden="false" customHeight="false" outlineLevel="0" collapsed="false">
      <c r="A773" s="2160"/>
      <c r="B773" s="1148"/>
      <c r="C773" s="2149"/>
      <c r="D773" s="2149"/>
      <c r="E773" s="1148"/>
      <c r="F773" s="2149"/>
      <c r="G773" s="2149"/>
      <c r="H773" s="1148"/>
      <c r="I773" s="1148"/>
      <c r="J773" s="1148"/>
      <c r="K773" s="1148"/>
      <c r="L773" s="1148"/>
      <c r="M773" s="1148"/>
      <c r="N773" s="1148"/>
      <c r="O773" s="1148"/>
      <c r="P773" s="1148"/>
      <c r="Q773" s="1148"/>
      <c r="R773" s="1148"/>
    </row>
    <row r="774" customFormat="false" ht="15.5" hidden="false" customHeight="false" outlineLevel="0" collapsed="false">
      <c r="A774" s="2160"/>
      <c r="B774" s="1148"/>
      <c r="C774" s="2149"/>
      <c r="D774" s="2149"/>
      <c r="E774" s="1148"/>
      <c r="F774" s="2149"/>
      <c r="G774" s="2149"/>
      <c r="H774" s="1148"/>
      <c r="I774" s="1148"/>
      <c r="J774" s="1148"/>
      <c r="K774" s="1148"/>
      <c r="L774" s="1148"/>
      <c r="M774" s="1148"/>
      <c r="N774" s="1148"/>
      <c r="O774" s="1148"/>
      <c r="P774" s="1148"/>
      <c r="Q774" s="1148"/>
      <c r="R774" s="1148"/>
    </row>
    <row r="775" customFormat="false" ht="15.5" hidden="false" customHeight="false" outlineLevel="0" collapsed="false">
      <c r="A775" s="2160"/>
      <c r="B775" s="1148"/>
      <c r="C775" s="2149"/>
      <c r="D775" s="2149"/>
      <c r="E775" s="1148"/>
      <c r="F775" s="2149"/>
      <c r="G775" s="2149"/>
      <c r="H775" s="1148"/>
      <c r="I775" s="1148"/>
      <c r="J775" s="1148"/>
      <c r="K775" s="1148"/>
      <c r="L775" s="1148"/>
      <c r="M775" s="1148"/>
      <c r="N775" s="1148"/>
      <c r="O775" s="1148"/>
      <c r="P775" s="1148"/>
      <c r="Q775" s="1148"/>
      <c r="R775" s="1148"/>
    </row>
    <row r="776" customFormat="false" ht="15.5" hidden="false" customHeight="false" outlineLevel="0" collapsed="false">
      <c r="A776" s="2160"/>
      <c r="B776" s="1148"/>
      <c r="C776" s="2149"/>
      <c r="D776" s="2149"/>
      <c r="E776" s="1148"/>
      <c r="F776" s="2149"/>
      <c r="G776" s="2149"/>
      <c r="H776" s="1148"/>
      <c r="I776" s="1148"/>
      <c r="J776" s="1148"/>
      <c r="K776" s="1148"/>
      <c r="L776" s="1148"/>
      <c r="M776" s="1148"/>
      <c r="N776" s="1148"/>
      <c r="O776" s="1148"/>
      <c r="P776" s="1148"/>
      <c r="Q776" s="1148"/>
      <c r="R776" s="1148"/>
    </row>
    <row r="777" customFormat="false" ht="15.5" hidden="false" customHeight="false" outlineLevel="0" collapsed="false">
      <c r="A777" s="2160"/>
      <c r="B777" s="1148"/>
      <c r="C777" s="2149"/>
      <c r="D777" s="2149"/>
      <c r="E777" s="1148"/>
      <c r="F777" s="2149"/>
      <c r="G777" s="2149"/>
      <c r="H777" s="1148"/>
      <c r="I777" s="1148"/>
      <c r="J777" s="1148"/>
      <c r="K777" s="1148"/>
      <c r="L777" s="1148"/>
      <c r="M777" s="1148"/>
      <c r="N777" s="1148"/>
      <c r="O777" s="1148"/>
      <c r="P777" s="1148"/>
      <c r="Q777" s="1148"/>
      <c r="R777" s="1148"/>
    </row>
    <row r="778" customFormat="false" ht="15.5" hidden="false" customHeight="false" outlineLevel="0" collapsed="false">
      <c r="A778" s="2160"/>
      <c r="B778" s="1148"/>
      <c r="C778" s="2149"/>
      <c r="D778" s="2149"/>
      <c r="E778" s="1148"/>
      <c r="F778" s="2149"/>
      <c r="G778" s="2149"/>
      <c r="H778" s="1148"/>
      <c r="I778" s="1148"/>
      <c r="J778" s="1148"/>
      <c r="K778" s="1148"/>
      <c r="L778" s="1148"/>
      <c r="M778" s="1148"/>
      <c r="N778" s="1148"/>
      <c r="O778" s="1148"/>
      <c r="P778" s="1148"/>
      <c r="Q778" s="1148"/>
      <c r="R778" s="1148"/>
    </row>
    <row r="779" customFormat="false" ht="15.5" hidden="false" customHeight="false" outlineLevel="0" collapsed="false">
      <c r="A779" s="2160"/>
      <c r="B779" s="1148"/>
      <c r="C779" s="2149"/>
      <c r="D779" s="2149"/>
      <c r="E779" s="1148"/>
      <c r="F779" s="2149"/>
      <c r="G779" s="2149"/>
      <c r="H779" s="1148"/>
      <c r="I779" s="1148"/>
      <c r="J779" s="1148"/>
      <c r="K779" s="1148"/>
      <c r="L779" s="1148"/>
      <c r="M779" s="1148"/>
      <c r="N779" s="1148"/>
      <c r="O779" s="1148"/>
      <c r="P779" s="1148"/>
      <c r="Q779" s="1148"/>
      <c r="R779" s="1148"/>
    </row>
    <row r="780" customFormat="false" ht="15.5" hidden="false" customHeight="false" outlineLevel="0" collapsed="false">
      <c r="A780" s="2160"/>
      <c r="B780" s="1148"/>
      <c r="C780" s="2149"/>
      <c r="D780" s="2149"/>
      <c r="E780" s="1148"/>
      <c r="F780" s="2149"/>
      <c r="G780" s="2149"/>
      <c r="H780" s="1148"/>
      <c r="I780" s="1148"/>
      <c r="J780" s="1148"/>
      <c r="K780" s="1148"/>
      <c r="L780" s="1148"/>
      <c r="M780" s="1148"/>
      <c r="N780" s="1148"/>
      <c r="O780" s="1148"/>
      <c r="P780" s="1148"/>
      <c r="Q780" s="1148"/>
      <c r="R780" s="1148"/>
    </row>
    <row r="781" customFormat="false" ht="15.5" hidden="false" customHeight="false" outlineLevel="0" collapsed="false">
      <c r="A781" s="2160"/>
      <c r="B781" s="1148"/>
      <c r="C781" s="2149"/>
      <c r="D781" s="2149"/>
      <c r="E781" s="1148"/>
      <c r="F781" s="2149"/>
      <c r="G781" s="2149"/>
      <c r="H781" s="1148"/>
      <c r="I781" s="1148"/>
      <c r="J781" s="1148"/>
      <c r="K781" s="1148"/>
      <c r="L781" s="1148"/>
      <c r="M781" s="1148"/>
      <c r="N781" s="1148"/>
      <c r="O781" s="1148"/>
      <c r="P781" s="1148"/>
      <c r="Q781" s="1148"/>
      <c r="R781" s="1148"/>
    </row>
    <row r="782" customFormat="false" ht="15.5" hidden="false" customHeight="false" outlineLevel="0" collapsed="false">
      <c r="A782" s="2160"/>
      <c r="B782" s="1148"/>
      <c r="C782" s="2149"/>
      <c r="D782" s="2149"/>
      <c r="E782" s="1148"/>
      <c r="F782" s="2149"/>
      <c r="G782" s="2149"/>
      <c r="H782" s="1148"/>
      <c r="I782" s="1148"/>
      <c r="J782" s="1148"/>
      <c r="K782" s="1148"/>
      <c r="L782" s="1148"/>
      <c r="M782" s="1148"/>
      <c r="N782" s="1148"/>
      <c r="O782" s="1148"/>
      <c r="P782" s="1148"/>
      <c r="Q782" s="1148"/>
      <c r="R782" s="1148"/>
    </row>
    <row r="783" customFormat="false" ht="15.5" hidden="false" customHeight="false" outlineLevel="0" collapsed="false">
      <c r="A783" s="2160"/>
      <c r="B783" s="1148"/>
      <c r="C783" s="2149"/>
      <c r="D783" s="2149"/>
      <c r="E783" s="1148"/>
      <c r="F783" s="2149"/>
      <c r="G783" s="2149"/>
      <c r="H783" s="1148"/>
      <c r="I783" s="1148"/>
      <c r="J783" s="1148"/>
      <c r="K783" s="1148"/>
      <c r="L783" s="1148"/>
      <c r="M783" s="1148"/>
      <c r="N783" s="1148"/>
      <c r="O783" s="1148"/>
      <c r="P783" s="1148"/>
      <c r="Q783" s="1148"/>
      <c r="R783" s="1148"/>
    </row>
    <row r="784" customFormat="false" ht="15.5" hidden="false" customHeight="false" outlineLevel="0" collapsed="false">
      <c r="A784" s="2160"/>
      <c r="B784" s="1148"/>
      <c r="C784" s="2149"/>
      <c r="D784" s="2149"/>
      <c r="E784" s="1148"/>
      <c r="F784" s="2149"/>
      <c r="G784" s="2149"/>
      <c r="H784" s="1148"/>
      <c r="I784" s="1148"/>
      <c r="J784" s="1148"/>
      <c r="K784" s="1148"/>
      <c r="L784" s="1148"/>
      <c r="M784" s="1148"/>
      <c r="N784" s="1148"/>
      <c r="O784" s="1148"/>
      <c r="P784" s="1148"/>
      <c r="Q784" s="1148"/>
      <c r="R784" s="1148"/>
    </row>
    <row r="785" customFormat="false" ht="15.5" hidden="false" customHeight="false" outlineLevel="0" collapsed="false">
      <c r="A785" s="2160"/>
      <c r="B785" s="1148"/>
      <c r="C785" s="2149"/>
      <c r="D785" s="2149"/>
      <c r="E785" s="1148"/>
      <c r="F785" s="2149"/>
      <c r="G785" s="2149"/>
      <c r="H785" s="1148"/>
      <c r="I785" s="1148"/>
      <c r="J785" s="1148"/>
      <c r="K785" s="1148"/>
      <c r="L785" s="1148"/>
      <c r="M785" s="1148"/>
      <c r="N785" s="1148"/>
      <c r="O785" s="1148"/>
      <c r="P785" s="1148"/>
      <c r="Q785" s="1148"/>
      <c r="R785" s="1148"/>
    </row>
    <row r="786" customFormat="false" ht="15.5" hidden="false" customHeight="false" outlineLevel="0" collapsed="false">
      <c r="A786" s="2160"/>
      <c r="B786" s="1148"/>
      <c r="C786" s="2149"/>
      <c r="D786" s="2149"/>
      <c r="E786" s="1148"/>
      <c r="F786" s="2149"/>
      <c r="G786" s="2149"/>
      <c r="H786" s="1148"/>
      <c r="I786" s="1148"/>
      <c r="J786" s="1148"/>
      <c r="K786" s="1148"/>
      <c r="L786" s="1148"/>
      <c r="M786" s="1148"/>
      <c r="N786" s="1148"/>
      <c r="O786" s="1148"/>
      <c r="P786" s="1148"/>
      <c r="Q786" s="1148"/>
      <c r="R786" s="1148"/>
    </row>
    <row r="787" customFormat="false" ht="15.5" hidden="false" customHeight="false" outlineLevel="0" collapsed="false">
      <c r="A787" s="2160"/>
      <c r="B787" s="1148"/>
      <c r="C787" s="2149"/>
      <c r="D787" s="2149"/>
      <c r="E787" s="1148"/>
      <c r="F787" s="2149"/>
      <c r="G787" s="2149"/>
      <c r="H787" s="1148"/>
      <c r="I787" s="1148"/>
      <c r="J787" s="1148"/>
      <c r="K787" s="1148"/>
      <c r="L787" s="1148"/>
      <c r="M787" s="1148"/>
      <c r="N787" s="1148"/>
      <c r="O787" s="1148"/>
      <c r="P787" s="1148"/>
      <c r="Q787" s="1148"/>
      <c r="R787" s="1148"/>
    </row>
    <row r="788" customFormat="false" ht="15.5" hidden="false" customHeight="false" outlineLevel="0" collapsed="false">
      <c r="A788" s="2160"/>
      <c r="B788" s="1148"/>
      <c r="C788" s="2149"/>
      <c r="D788" s="2149"/>
      <c r="E788" s="1148"/>
      <c r="F788" s="2149"/>
      <c r="G788" s="2149"/>
      <c r="H788" s="1148"/>
      <c r="I788" s="1148"/>
      <c r="J788" s="1148"/>
      <c r="K788" s="1148"/>
      <c r="L788" s="1148"/>
      <c r="M788" s="1148"/>
      <c r="N788" s="1148"/>
      <c r="O788" s="1148"/>
      <c r="P788" s="1148"/>
      <c r="Q788" s="1148"/>
      <c r="R788" s="1148"/>
    </row>
    <row r="789" customFormat="false" ht="15.5" hidden="false" customHeight="false" outlineLevel="0" collapsed="false">
      <c r="A789" s="2160"/>
      <c r="B789" s="1148"/>
      <c r="C789" s="2149"/>
      <c r="D789" s="2149"/>
      <c r="E789" s="1148"/>
      <c r="F789" s="2149"/>
      <c r="G789" s="2149"/>
      <c r="H789" s="1148"/>
      <c r="I789" s="1148"/>
      <c r="J789" s="1148"/>
      <c r="K789" s="1148"/>
      <c r="L789" s="1148"/>
      <c r="M789" s="1148"/>
      <c r="N789" s="1148"/>
      <c r="O789" s="1148"/>
      <c r="P789" s="1148"/>
      <c r="Q789" s="1148"/>
      <c r="R789" s="1148"/>
    </row>
    <row r="790" customFormat="false" ht="15.5" hidden="false" customHeight="false" outlineLevel="0" collapsed="false">
      <c r="A790" s="2160"/>
      <c r="B790" s="1148"/>
      <c r="C790" s="2149"/>
      <c r="D790" s="2149"/>
      <c r="E790" s="1148"/>
      <c r="F790" s="2149"/>
      <c r="G790" s="2149"/>
      <c r="H790" s="1148"/>
      <c r="I790" s="1148"/>
      <c r="J790" s="1148"/>
      <c r="K790" s="1148"/>
      <c r="L790" s="1148"/>
      <c r="M790" s="1148"/>
      <c r="N790" s="1148"/>
      <c r="O790" s="1148"/>
      <c r="P790" s="1148"/>
      <c r="Q790" s="1148"/>
      <c r="R790" s="1148"/>
    </row>
    <row r="791" customFormat="false" ht="15.5" hidden="false" customHeight="false" outlineLevel="0" collapsed="false">
      <c r="A791" s="2160"/>
      <c r="B791" s="1148"/>
      <c r="C791" s="2149"/>
      <c r="D791" s="2149"/>
      <c r="E791" s="1148"/>
      <c r="F791" s="2149"/>
      <c r="G791" s="2149"/>
      <c r="H791" s="1148"/>
      <c r="I791" s="1148"/>
      <c r="J791" s="1148"/>
      <c r="K791" s="1148"/>
      <c r="L791" s="1148"/>
      <c r="M791" s="1148"/>
      <c r="N791" s="1148"/>
      <c r="O791" s="1148"/>
      <c r="P791" s="1148"/>
      <c r="Q791" s="1148"/>
      <c r="R791" s="1148"/>
    </row>
    <row r="792" customFormat="false" ht="15.5" hidden="false" customHeight="false" outlineLevel="0" collapsed="false">
      <c r="A792" s="2160"/>
      <c r="B792" s="1148"/>
      <c r="C792" s="2149"/>
      <c r="D792" s="2149"/>
      <c r="E792" s="1148"/>
      <c r="F792" s="2149"/>
      <c r="G792" s="2149"/>
      <c r="H792" s="1148"/>
      <c r="I792" s="1148"/>
      <c r="J792" s="1148"/>
      <c r="K792" s="1148"/>
      <c r="L792" s="1148"/>
      <c r="M792" s="1148"/>
      <c r="N792" s="1148"/>
      <c r="O792" s="1148"/>
      <c r="P792" s="1148"/>
      <c r="Q792" s="1148"/>
      <c r="R792" s="1148"/>
    </row>
    <row r="793" customFormat="false" ht="15.5" hidden="false" customHeight="false" outlineLevel="0" collapsed="false">
      <c r="A793" s="2160"/>
      <c r="B793" s="1148"/>
      <c r="C793" s="2149"/>
      <c r="D793" s="2149"/>
      <c r="E793" s="1148"/>
      <c r="F793" s="2149"/>
      <c r="G793" s="2149"/>
      <c r="H793" s="1148"/>
      <c r="I793" s="1148"/>
      <c r="J793" s="1148"/>
      <c r="K793" s="1148"/>
      <c r="L793" s="1148"/>
      <c r="M793" s="1148"/>
      <c r="N793" s="1148"/>
      <c r="O793" s="1148"/>
      <c r="P793" s="1148"/>
      <c r="Q793" s="1148"/>
      <c r="R793" s="1148"/>
    </row>
    <row r="794" customFormat="false" ht="15.5" hidden="false" customHeight="false" outlineLevel="0" collapsed="false">
      <c r="A794" s="2160"/>
      <c r="B794" s="1148"/>
      <c r="C794" s="2149"/>
      <c r="D794" s="2149"/>
      <c r="E794" s="1148"/>
      <c r="F794" s="2149"/>
      <c r="G794" s="2149"/>
      <c r="H794" s="1148"/>
      <c r="I794" s="1148"/>
      <c r="J794" s="1148"/>
      <c r="K794" s="1148"/>
      <c r="L794" s="1148"/>
      <c r="M794" s="1148"/>
      <c r="N794" s="1148"/>
      <c r="O794" s="1148"/>
      <c r="P794" s="1148"/>
      <c r="Q794" s="1148"/>
      <c r="R794" s="1148"/>
    </row>
    <row r="795" customFormat="false" ht="15.5" hidden="false" customHeight="false" outlineLevel="0" collapsed="false">
      <c r="A795" s="2160"/>
      <c r="B795" s="1148"/>
      <c r="C795" s="2149"/>
      <c r="D795" s="2149"/>
      <c r="E795" s="1148"/>
      <c r="F795" s="2149"/>
      <c r="G795" s="2149"/>
      <c r="H795" s="1148"/>
      <c r="I795" s="1148"/>
      <c r="J795" s="1148"/>
      <c r="K795" s="1148"/>
      <c r="L795" s="1148"/>
      <c r="M795" s="1148"/>
      <c r="N795" s="1148"/>
      <c r="O795" s="1148"/>
      <c r="P795" s="1148"/>
      <c r="Q795" s="1148"/>
      <c r="R795" s="1148"/>
    </row>
    <row r="796" customFormat="false" ht="15.5" hidden="false" customHeight="false" outlineLevel="0" collapsed="false">
      <c r="A796" s="2160"/>
      <c r="B796" s="1148"/>
      <c r="C796" s="2149"/>
      <c r="D796" s="2149"/>
      <c r="E796" s="1148"/>
      <c r="F796" s="2149"/>
      <c r="G796" s="2149"/>
      <c r="H796" s="1148"/>
      <c r="I796" s="1148"/>
      <c r="J796" s="1148"/>
      <c r="K796" s="1148"/>
      <c r="L796" s="1148"/>
      <c r="M796" s="1148"/>
      <c r="N796" s="1148"/>
      <c r="O796" s="1148"/>
      <c r="P796" s="1148"/>
      <c r="Q796" s="1148"/>
      <c r="R796" s="1148"/>
    </row>
    <row r="797" customFormat="false" ht="15.5" hidden="false" customHeight="false" outlineLevel="0" collapsed="false">
      <c r="A797" s="2160"/>
      <c r="B797" s="1148"/>
      <c r="C797" s="2149"/>
      <c r="D797" s="2149"/>
      <c r="E797" s="1148"/>
      <c r="F797" s="2149"/>
      <c r="G797" s="2149"/>
      <c r="H797" s="1148"/>
      <c r="I797" s="1148"/>
      <c r="J797" s="1148"/>
      <c r="K797" s="1148"/>
      <c r="L797" s="1148"/>
      <c r="M797" s="1148"/>
      <c r="N797" s="1148"/>
      <c r="O797" s="1148"/>
      <c r="P797" s="1148"/>
      <c r="Q797" s="1148"/>
      <c r="R797" s="1148"/>
    </row>
    <row r="798" customFormat="false" ht="15.5" hidden="false" customHeight="false" outlineLevel="0" collapsed="false">
      <c r="A798" s="2160"/>
      <c r="B798" s="1148"/>
      <c r="C798" s="2149"/>
      <c r="D798" s="2149"/>
      <c r="E798" s="1148"/>
      <c r="F798" s="2149"/>
      <c r="G798" s="2149"/>
      <c r="H798" s="1148"/>
      <c r="I798" s="1148"/>
      <c r="J798" s="1148"/>
      <c r="K798" s="1148"/>
      <c r="L798" s="1148"/>
      <c r="M798" s="1148"/>
      <c r="N798" s="1148"/>
      <c r="O798" s="1148"/>
      <c r="P798" s="1148"/>
      <c r="Q798" s="1148"/>
      <c r="R798" s="1148"/>
    </row>
    <row r="799" customFormat="false" ht="15.5" hidden="false" customHeight="false" outlineLevel="0" collapsed="false">
      <c r="A799" s="2160"/>
      <c r="B799" s="1148"/>
      <c r="C799" s="2149"/>
      <c r="D799" s="2149"/>
      <c r="E799" s="1148"/>
      <c r="F799" s="2149"/>
      <c r="G799" s="2149"/>
      <c r="H799" s="1148"/>
      <c r="I799" s="1148"/>
      <c r="J799" s="1148"/>
      <c r="K799" s="1148"/>
      <c r="L799" s="1148"/>
      <c r="M799" s="1148"/>
      <c r="N799" s="1148"/>
      <c r="O799" s="1148"/>
      <c r="P799" s="1148"/>
      <c r="Q799" s="1148"/>
      <c r="R799" s="1148"/>
    </row>
    <row r="800" customFormat="false" ht="15.5" hidden="false" customHeight="false" outlineLevel="0" collapsed="false">
      <c r="A800" s="2160"/>
      <c r="B800" s="1148"/>
      <c r="C800" s="2149"/>
      <c r="D800" s="2149"/>
      <c r="E800" s="1148"/>
      <c r="F800" s="2149"/>
      <c r="G800" s="2149"/>
      <c r="H800" s="1148"/>
      <c r="I800" s="1148"/>
      <c r="J800" s="1148"/>
      <c r="K800" s="1148"/>
      <c r="L800" s="1148"/>
      <c r="M800" s="1148"/>
      <c r="N800" s="1148"/>
      <c r="O800" s="1148"/>
      <c r="P800" s="1148"/>
      <c r="Q800" s="1148"/>
      <c r="R800" s="1148"/>
    </row>
    <row r="801" customFormat="false" ht="15.5" hidden="false" customHeight="false" outlineLevel="0" collapsed="false">
      <c r="A801" s="2160"/>
      <c r="B801" s="1148"/>
      <c r="C801" s="2149"/>
      <c r="D801" s="2149"/>
      <c r="E801" s="1148"/>
      <c r="F801" s="2149"/>
      <c r="G801" s="2149"/>
      <c r="H801" s="1148"/>
      <c r="I801" s="1148"/>
      <c r="J801" s="1148"/>
      <c r="K801" s="1148"/>
      <c r="L801" s="1148"/>
      <c r="M801" s="1148"/>
      <c r="N801" s="1148"/>
      <c r="O801" s="1148"/>
      <c r="P801" s="1148"/>
      <c r="Q801" s="1148"/>
      <c r="R801" s="1148"/>
    </row>
    <row r="802" customFormat="false" ht="15.5" hidden="false" customHeight="false" outlineLevel="0" collapsed="false">
      <c r="A802" s="2160"/>
      <c r="B802" s="1148"/>
      <c r="C802" s="2149"/>
      <c r="D802" s="2149"/>
      <c r="E802" s="1148"/>
      <c r="F802" s="2149"/>
      <c r="G802" s="2149"/>
      <c r="H802" s="1148"/>
      <c r="I802" s="1148"/>
      <c r="J802" s="1148"/>
      <c r="K802" s="1148"/>
      <c r="L802" s="1148"/>
      <c r="M802" s="1148"/>
      <c r="N802" s="1148"/>
      <c r="O802" s="1148"/>
      <c r="P802" s="1148"/>
      <c r="Q802" s="1148"/>
      <c r="R802" s="1148"/>
    </row>
    <row r="803" customFormat="false" ht="15.5" hidden="false" customHeight="false" outlineLevel="0" collapsed="false">
      <c r="A803" s="2160"/>
      <c r="B803" s="1148"/>
      <c r="C803" s="2149"/>
      <c r="D803" s="2149"/>
      <c r="E803" s="1148"/>
      <c r="F803" s="2149"/>
      <c r="G803" s="2149"/>
      <c r="H803" s="1148"/>
      <c r="I803" s="1148"/>
      <c r="J803" s="1148"/>
      <c r="K803" s="1148"/>
      <c r="L803" s="1148"/>
      <c r="M803" s="1148"/>
      <c r="N803" s="1148"/>
      <c r="O803" s="1148"/>
      <c r="P803" s="1148"/>
      <c r="Q803" s="1148"/>
      <c r="R803" s="1148"/>
    </row>
    <row r="804" customFormat="false" ht="15.5" hidden="false" customHeight="false" outlineLevel="0" collapsed="false">
      <c r="A804" s="2160"/>
      <c r="B804" s="1148"/>
      <c r="C804" s="2149"/>
      <c r="D804" s="2149"/>
      <c r="E804" s="1148"/>
      <c r="F804" s="2149"/>
      <c r="G804" s="2149"/>
      <c r="H804" s="1148"/>
      <c r="I804" s="1148"/>
      <c r="J804" s="1148"/>
      <c r="K804" s="1148"/>
      <c r="L804" s="1148"/>
      <c r="M804" s="1148"/>
      <c r="N804" s="1148"/>
      <c r="O804" s="1148"/>
      <c r="P804" s="1148"/>
      <c r="Q804" s="1148"/>
      <c r="R804" s="1148"/>
    </row>
    <row r="805" customFormat="false" ht="15.5" hidden="false" customHeight="false" outlineLevel="0" collapsed="false">
      <c r="A805" s="2160"/>
      <c r="B805" s="1148"/>
      <c r="C805" s="2149"/>
      <c r="D805" s="2149"/>
      <c r="E805" s="1148"/>
      <c r="F805" s="2149"/>
      <c r="G805" s="2149"/>
      <c r="H805" s="1148"/>
      <c r="I805" s="1148"/>
      <c r="J805" s="1148"/>
      <c r="K805" s="1148"/>
      <c r="L805" s="1148"/>
      <c r="M805" s="1148"/>
      <c r="N805" s="1148"/>
      <c r="O805" s="1148"/>
      <c r="P805" s="1148"/>
      <c r="Q805" s="1148"/>
      <c r="R805" s="1148"/>
    </row>
    <row r="806" customFormat="false" ht="15.5" hidden="false" customHeight="false" outlineLevel="0" collapsed="false">
      <c r="A806" s="2160"/>
      <c r="B806" s="1148"/>
      <c r="C806" s="2149"/>
      <c r="D806" s="2149"/>
      <c r="E806" s="1148"/>
      <c r="F806" s="2149"/>
      <c r="G806" s="2149"/>
      <c r="H806" s="1148"/>
      <c r="I806" s="1148"/>
      <c r="J806" s="1148"/>
      <c r="K806" s="1148"/>
      <c r="L806" s="1148"/>
      <c r="M806" s="1148"/>
      <c r="N806" s="1148"/>
      <c r="O806" s="1148"/>
      <c r="P806" s="1148"/>
      <c r="Q806" s="1148"/>
      <c r="R806" s="1148"/>
    </row>
    <row r="807" customFormat="false" ht="15.5" hidden="false" customHeight="false" outlineLevel="0" collapsed="false">
      <c r="A807" s="2160"/>
      <c r="B807" s="1148"/>
      <c r="C807" s="2149"/>
      <c r="D807" s="2149"/>
      <c r="E807" s="1148"/>
      <c r="F807" s="2149"/>
      <c r="G807" s="2149"/>
      <c r="H807" s="1148"/>
      <c r="I807" s="1148"/>
      <c r="J807" s="1148"/>
      <c r="K807" s="1148"/>
      <c r="L807" s="1148"/>
      <c r="M807" s="1148"/>
      <c r="N807" s="1148"/>
      <c r="O807" s="1148"/>
      <c r="P807" s="1148"/>
      <c r="Q807" s="1148"/>
      <c r="R807" s="1148"/>
    </row>
    <row r="808" customFormat="false" ht="15.5" hidden="false" customHeight="false" outlineLevel="0" collapsed="false">
      <c r="A808" s="2160"/>
      <c r="B808" s="1148"/>
      <c r="C808" s="2149"/>
      <c r="D808" s="2149"/>
      <c r="E808" s="1148"/>
      <c r="F808" s="2149"/>
      <c r="G808" s="2149"/>
      <c r="H808" s="1148"/>
      <c r="I808" s="1148"/>
      <c r="J808" s="1148"/>
      <c r="K808" s="1148"/>
      <c r="L808" s="1148"/>
      <c r="M808" s="1148"/>
      <c r="N808" s="1148"/>
      <c r="O808" s="1148"/>
      <c r="P808" s="1148"/>
      <c r="Q808" s="1148"/>
      <c r="R808" s="1148"/>
    </row>
    <row r="809" customFormat="false" ht="15.5" hidden="false" customHeight="false" outlineLevel="0" collapsed="false">
      <c r="A809" s="2160"/>
      <c r="B809" s="1148"/>
      <c r="C809" s="2149"/>
      <c r="D809" s="2149"/>
      <c r="E809" s="1148"/>
      <c r="F809" s="2149"/>
      <c r="G809" s="2149"/>
      <c r="H809" s="1148"/>
      <c r="I809" s="1148"/>
      <c r="J809" s="1148"/>
      <c r="K809" s="1148"/>
      <c r="L809" s="1148"/>
      <c r="M809" s="1148"/>
      <c r="N809" s="1148"/>
      <c r="O809" s="1148"/>
      <c r="P809" s="1148"/>
      <c r="Q809" s="1148"/>
      <c r="R809" s="1148"/>
    </row>
    <row r="810" customFormat="false" ht="15.5" hidden="false" customHeight="false" outlineLevel="0" collapsed="false">
      <c r="A810" s="2160"/>
      <c r="B810" s="1148"/>
      <c r="C810" s="2149"/>
      <c r="D810" s="2149"/>
      <c r="E810" s="1148"/>
      <c r="F810" s="2149"/>
      <c r="G810" s="2149"/>
      <c r="H810" s="1148"/>
      <c r="I810" s="1148"/>
      <c r="J810" s="1148"/>
      <c r="K810" s="1148"/>
      <c r="L810" s="1148"/>
      <c r="M810" s="1148"/>
      <c r="N810" s="1148"/>
      <c r="O810" s="1148"/>
      <c r="P810" s="1148"/>
      <c r="Q810" s="1148"/>
      <c r="R810" s="1148"/>
    </row>
    <row r="811" customFormat="false" ht="15.5" hidden="false" customHeight="false" outlineLevel="0" collapsed="false">
      <c r="A811" s="2160"/>
      <c r="B811" s="1148"/>
      <c r="C811" s="2149"/>
      <c r="D811" s="2149"/>
      <c r="E811" s="1148"/>
      <c r="F811" s="2149"/>
      <c r="G811" s="2149"/>
      <c r="H811" s="1148"/>
      <c r="I811" s="1148"/>
      <c r="J811" s="1148"/>
      <c r="K811" s="1148"/>
      <c r="L811" s="1148"/>
      <c r="M811" s="1148"/>
      <c r="N811" s="1148"/>
      <c r="O811" s="1148"/>
      <c r="P811" s="1148"/>
      <c r="Q811" s="1148"/>
      <c r="R811" s="1148"/>
    </row>
    <row r="812" customFormat="false" ht="15.5" hidden="false" customHeight="false" outlineLevel="0" collapsed="false">
      <c r="A812" s="2160"/>
      <c r="B812" s="1148"/>
      <c r="C812" s="2149"/>
      <c r="D812" s="2149"/>
      <c r="E812" s="1148"/>
      <c r="F812" s="2149"/>
      <c r="G812" s="2149"/>
      <c r="H812" s="1148"/>
      <c r="I812" s="1148"/>
      <c r="J812" s="1148"/>
      <c r="K812" s="1148"/>
      <c r="L812" s="1148"/>
      <c r="M812" s="1148"/>
      <c r="N812" s="1148"/>
      <c r="O812" s="1148"/>
      <c r="P812" s="1148"/>
      <c r="Q812" s="1148"/>
      <c r="R812" s="1148"/>
    </row>
    <row r="813" customFormat="false" ht="15.5" hidden="false" customHeight="false" outlineLevel="0" collapsed="false">
      <c r="A813" s="2160"/>
      <c r="B813" s="1148"/>
      <c r="C813" s="2149"/>
      <c r="D813" s="2149"/>
      <c r="E813" s="1148"/>
      <c r="F813" s="2149"/>
      <c r="G813" s="2149"/>
      <c r="H813" s="1148"/>
      <c r="I813" s="1148"/>
      <c r="J813" s="1148"/>
      <c r="K813" s="1148"/>
      <c r="L813" s="1148"/>
      <c r="M813" s="1148"/>
      <c r="N813" s="1148"/>
      <c r="O813" s="1148"/>
      <c r="P813" s="1148"/>
      <c r="Q813" s="1148"/>
      <c r="R813" s="1148"/>
    </row>
    <row r="814" customFormat="false" ht="15.5" hidden="false" customHeight="false" outlineLevel="0" collapsed="false">
      <c r="A814" s="2160"/>
      <c r="B814" s="1148"/>
      <c r="C814" s="2149"/>
      <c r="D814" s="2149"/>
      <c r="E814" s="1148"/>
      <c r="F814" s="2149"/>
      <c r="G814" s="2149"/>
      <c r="H814" s="1148"/>
      <c r="I814" s="1148"/>
      <c r="J814" s="1148"/>
      <c r="K814" s="1148"/>
      <c r="L814" s="1148"/>
      <c r="M814" s="1148"/>
      <c r="N814" s="1148"/>
      <c r="O814" s="1148"/>
      <c r="P814" s="1148"/>
      <c r="Q814" s="1148"/>
      <c r="R814" s="1148"/>
    </row>
    <row r="815" customFormat="false" ht="15.5" hidden="false" customHeight="false" outlineLevel="0" collapsed="false">
      <c r="A815" s="2160"/>
      <c r="B815" s="1148"/>
      <c r="C815" s="2149"/>
      <c r="D815" s="2149"/>
      <c r="E815" s="1148"/>
      <c r="F815" s="2149"/>
      <c r="G815" s="2149"/>
      <c r="H815" s="1148"/>
      <c r="I815" s="1148"/>
      <c r="J815" s="1148"/>
      <c r="K815" s="1148"/>
      <c r="L815" s="1148"/>
      <c r="M815" s="1148"/>
      <c r="N815" s="1148"/>
      <c r="O815" s="1148"/>
      <c r="P815" s="1148"/>
      <c r="Q815" s="1148"/>
      <c r="R815" s="1148"/>
    </row>
  </sheetData>
  <mergeCells count="308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A277:D277"/>
    <mergeCell ref="A289:E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2"/>
    <mergeCell ref="A303:B304"/>
    <mergeCell ref="A305:E305"/>
    <mergeCell ref="A306:B306"/>
    <mergeCell ref="A307:B309"/>
    <mergeCell ref="A310:B311"/>
    <mergeCell ref="A312:B312"/>
    <mergeCell ref="A313:B313"/>
    <mergeCell ref="A314:B314"/>
    <mergeCell ref="A316:D316"/>
    <mergeCell ref="A317:B317"/>
    <mergeCell ref="A318:B318"/>
    <mergeCell ref="A319:B319"/>
    <mergeCell ref="A320:B320"/>
    <mergeCell ref="A321:K322"/>
    <mergeCell ref="L321:L322"/>
    <mergeCell ref="A323:F323"/>
    <mergeCell ref="G323:L323"/>
    <mergeCell ref="A331:E331"/>
    <mergeCell ref="G331:K331"/>
    <mergeCell ref="A336:E336"/>
    <mergeCell ref="G336:K336"/>
    <mergeCell ref="A338:I338"/>
    <mergeCell ref="H339:I339"/>
    <mergeCell ref="C341:D341"/>
    <mergeCell ref="G341:H341"/>
    <mergeCell ref="A342:A345"/>
    <mergeCell ref="C342:D342"/>
    <mergeCell ref="G342:H345"/>
    <mergeCell ref="C343:D343"/>
    <mergeCell ref="C344:D344"/>
    <mergeCell ref="C345:D345"/>
    <mergeCell ref="A346:A349"/>
    <mergeCell ref="C346:D346"/>
    <mergeCell ref="G346:H349"/>
    <mergeCell ref="C347:D347"/>
    <mergeCell ref="C348:D348"/>
    <mergeCell ref="C349:D349"/>
    <mergeCell ref="A350:A353"/>
    <mergeCell ref="C350:D350"/>
    <mergeCell ref="G350:H353"/>
    <mergeCell ref="C351:D351"/>
    <mergeCell ref="C352:D352"/>
    <mergeCell ref="C353:D353"/>
    <mergeCell ref="A354:A357"/>
    <mergeCell ref="C354:D354"/>
    <mergeCell ref="G354:H357"/>
    <mergeCell ref="C355:D355"/>
    <mergeCell ref="C356:D356"/>
    <mergeCell ref="C357:D357"/>
    <mergeCell ref="A359:C359"/>
    <mergeCell ref="A373:C373"/>
    <mergeCell ref="C379:F379"/>
    <mergeCell ref="A380:I381"/>
    <mergeCell ref="A382:F383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10:H410"/>
    <mergeCell ref="G411:H411"/>
    <mergeCell ref="G412:H412"/>
    <mergeCell ref="C420:F420"/>
    <mergeCell ref="A422:I423"/>
    <mergeCell ref="C443:F443"/>
    <mergeCell ref="A445:I446"/>
    <mergeCell ref="A447:F448"/>
    <mergeCell ref="A489:C489"/>
    <mergeCell ref="A501:C501"/>
    <mergeCell ref="G507:H507"/>
    <mergeCell ref="G508:H508"/>
    <mergeCell ref="G509:H509"/>
    <mergeCell ref="G510:H510"/>
    <mergeCell ref="G512:H512"/>
    <mergeCell ref="G513:H513"/>
    <mergeCell ref="G514:H514"/>
    <mergeCell ref="G515:H515"/>
    <mergeCell ref="G516:H516"/>
    <mergeCell ref="G517:H517"/>
    <mergeCell ref="G518:H518"/>
    <mergeCell ref="G541:H541"/>
    <mergeCell ref="G542:H542"/>
    <mergeCell ref="G543:H543"/>
    <mergeCell ref="G544:H544"/>
    <mergeCell ref="G546:H546"/>
    <mergeCell ref="G547:H547"/>
    <mergeCell ref="G548:H548"/>
    <mergeCell ref="G549:H549"/>
    <mergeCell ref="G550:H550"/>
    <mergeCell ref="G551:H551"/>
    <mergeCell ref="G552:H552"/>
    <mergeCell ref="G553:H553"/>
    <mergeCell ref="G554:H554"/>
    <mergeCell ref="G555:H555"/>
    <mergeCell ref="G556:H556"/>
    <mergeCell ref="C562:F562"/>
    <mergeCell ref="A564:I565"/>
    <mergeCell ref="A566:F567"/>
    <mergeCell ref="A612:C612"/>
    <mergeCell ref="G628:H628"/>
    <mergeCell ref="G629:H629"/>
    <mergeCell ref="G630:H630"/>
    <mergeCell ref="G631:H631"/>
    <mergeCell ref="G632:H632"/>
    <mergeCell ref="G633:H633"/>
    <mergeCell ref="G634:H634"/>
    <mergeCell ref="G635:H635"/>
    <mergeCell ref="G639:H639"/>
    <mergeCell ref="G640:H640"/>
    <mergeCell ref="G647:H647"/>
    <mergeCell ref="G648:H648"/>
    <mergeCell ref="G649:H649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7:H667"/>
    <mergeCell ref="G673:H673"/>
    <mergeCell ref="G674:H674"/>
    <mergeCell ref="G675:H675"/>
    <mergeCell ref="G676:H676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C711:F71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M367"/>
  <sheetViews>
    <sheetView showFormulas="false" showGridLines="true" showRowColHeaders="true" showZeros="true" rightToLeft="false" tabSelected="false" showOutlineSymbols="true" defaultGridColor="true" view="normal" topLeftCell="A320" colorId="64" zoomScale="60" zoomScaleNormal="60" zoomScalePageLayoutView="100" workbookViewId="0">
      <selection pane="topLeft" activeCell="G365" activeCellId="0" sqref="G365"/>
    </sheetView>
  </sheetViews>
  <sheetFormatPr defaultColWidth="9.19140625" defaultRowHeight="15.5" zeroHeight="false" outlineLevelRow="0" outlineLevelCol="0"/>
  <cols>
    <col collapsed="false" customWidth="true" hidden="false" outlineLevel="0" max="1" min="1" style="2193" width="49.81"/>
    <col collapsed="false" customWidth="true" hidden="false" outlineLevel="0" max="2" min="2" style="2194" width="9"/>
    <col collapsed="false" customWidth="false" hidden="false" outlineLevel="0" max="3" min="3" style="2193" width="9.18"/>
    <col collapsed="false" customWidth="true" hidden="false" outlineLevel="0" max="5" min="4" style="2193" width="11.54"/>
    <col collapsed="false" customWidth="true" hidden="false" outlineLevel="0" max="6" min="6" style="2193" width="11.83"/>
    <col collapsed="false" customWidth="true" hidden="false" outlineLevel="0" max="7" min="7" style="2193" width="8"/>
    <col collapsed="false" customWidth="true" hidden="false" outlineLevel="0" max="8" min="8" style="2193" width="19.46"/>
    <col collapsed="false" customWidth="true" hidden="false" outlineLevel="0" max="9" min="9" style="2193" width="14.28"/>
    <col collapsed="false" customWidth="true" hidden="false" outlineLevel="0" max="10" min="10" style="2193" width="14.81"/>
    <col collapsed="false" customWidth="true" hidden="false" outlineLevel="0" max="11" min="11" style="2193" width="9.27"/>
    <col collapsed="false" customWidth="true" hidden="false" outlineLevel="0" max="12" min="12" style="2193" width="13.82"/>
    <col collapsed="false" customWidth="true" hidden="false" outlineLevel="0" max="13" min="13" style="2193" width="10.73"/>
    <col collapsed="false" customWidth="false" hidden="false" outlineLevel="0" max="16" min="14" style="2193" width="9.18"/>
    <col collapsed="false" customWidth="true" hidden="false" outlineLevel="0" max="18" min="17" style="2193" width="9.27"/>
    <col collapsed="false" customWidth="true" hidden="false" outlineLevel="0" max="19" min="19" style="2193" width="9.46"/>
    <col collapsed="false" customWidth="false" hidden="false" outlineLevel="0" max="1024" min="20" style="2193" width="9.18"/>
  </cols>
  <sheetData>
    <row r="2" customFormat="false" ht="15.5" hidden="false" customHeight="false" outlineLevel="0" collapsed="false">
      <c r="A2" s="2195" t="s">
        <v>3988</v>
      </c>
      <c r="B2" s="2196"/>
      <c r="C2" s="2197" t="s">
        <v>208</v>
      </c>
      <c r="D2" s="2197" t="s">
        <v>3989</v>
      </c>
      <c r="E2" s="2197" t="s">
        <v>1820</v>
      </c>
      <c r="G2" s="2193" t="n">
        <f aca="false">IF('Ввод данных'!A33=связи1!A200,0,1)+IF('Ввод данных'!A43=связи1!A200,0,1)+IF('Ввод данных'!A51=связи1!A200,0,1)</f>
        <v>0</v>
      </c>
    </row>
    <row r="3" customFormat="false" ht="15.5" hidden="false" customHeight="false" outlineLevel="0" collapsed="false">
      <c r="A3" s="289" t="s">
        <v>3990</v>
      </c>
      <c r="B3" s="1129"/>
      <c r="C3" s="122" t="s">
        <v>133</v>
      </c>
      <c r="D3" s="2183" t="n">
        <f aca="false">дома!F1086*E3</f>
        <v>0</v>
      </c>
      <c r="E3" s="2198" t="n">
        <f aca="false">IF('Ввод данных'!A33=связи1!A222,1,0)</f>
        <v>0</v>
      </c>
      <c r="F3" s="2199"/>
      <c r="G3" s="2200" t="n">
        <f aca="false">IF(G2&gt;0,1,0)</f>
        <v>0</v>
      </c>
      <c r="H3" s="2201"/>
      <c r="I3" s="2202"/>
      <c r="J3" s="2160"/>
    </row>
    <row r="4" customFormat="false" ht="15.5" hidden="false" customHeight="false" outlineLevel="0" collapsed="false">
      <c r="A4" s="289" t="s">
        <v>3991</v>
      </c>
      <c r="B4" s="1129"/>
      <c r="C4" s="122" t="s">
        <v>133</v>
      </c>
      <c r="D4" s="2183" t="n">
        <f aca="false">дома!F1087*E4</f>
        <v>0</v>
      </c>
      <c r="E4" s="2198" t="n">
        <f aca="false">IF('Ввод данных'!A43=связи1!A222,1,0)</f>
        <v>0</v>
      </c>
      <c r="F4" s="2199"/>
      <c r="G4" s="2200"/>
      <c r="H4" s="2201"/>
      <c r="I4" s="2202"/>
      <c r="J4" s="2160"/>
    </row>
    <row r="5" customFormat="false" ht="15.5" hidden="false" customHeight="false" outlineLevel="0" collapsed="false">
      <c r="A5" s="289" t="s">
        <v>3992</v>
      </c>
      <c r="B5" s="1129"/>
      <c r="C5" s="122" t="s">
        <v>133</v>
      </c>
      <c r="D5" s="2183" t="n">
        <f aca="false">дома!F1090*E5</f>
        <v>0</v>
      </c>
      <c r="E5" s="2198" t="n">
        <f aca="false">IF('Ввод данных'!A51=связи1!A222,1,0)</f>
        <v>0</v>
      </c>
      <c r="F5" s="2199"/>
      <c r="G5" s="2200"/>
      <c r="H5" s="2201"/>
      <c r="I5" s="2202"/>
      <c r="J5" s="2160"/>
    </row>
    <row r="6" customFormat="false" ht="15.5" hidden="false" customHeight="false" outlineLevel="0" collapsed="false">
      <c r="A6" s="289" t="s">
        <v>3993</v>
      </c>
      <c r="B6" s="1129"/>
      <c r="C6" s="122" t="s">
        <v>154</v>
      </c>
      <c r="D6" s="2203" t="n">
        <f aca="false">'Ввод данных'!G33</f>
        <v>0</v>
      </c>
      <c r="E6" s="2198" t="n">
        <f aca="false">IF((E3+E4+E5)&gt;0,1,0)</f>
        <v>0</v>
      </c>
      <c r="F6" s="2199"/>
      <c r="G6" s="2200"/>
      <c r="H6" s="2201"/>
      <c r="I6" s="2202"/>
      <c r="J6" s="2160"/>
    </row>
    <row r="7" customFormat="false" ht="15.5" hidden="false" customHeight="false" outlineLevel="0" collapsed="false">
      <c r="A7" s="2204" t="s">
        <v>3994</v>
      </c>
      <c r="B7" s="2205"/>
      <c r="C7" s="2197" t="s">
        <v>208</v>
      </c>
      <c r="D7" s="2197" t="s">
        <v>3989</v>
      </c>
      <c r="E7" s="2197" t="s">
        <v>1820</v>
      </c>
      <c r="F7" s="2206" t="s">
        <v>293</v>
      </c>
      <c r="G7" s="2207" t="s">
        <v>2156</v>
      </c>
      <c r="H7" s="2207" t="s">
        <v>2452</v>
      </c>
      <c r="I7" s="2208" t="s">
        <v>2198</v>
      </c>
      <c r="J7" s="2207"/>
    </row>
    <row r="8" customFormat="false" ht="15.5" hidden="false" customHeight="false" outlineLevel="0" collapsed="false">
      <c r="A8" s="289" t="s">
        <v>3995</v>
      </c>
      <c r="B8" s="1129"/>
      <c r="C8" s="2192" t="s">
        <v>133</v>
      </c>
      <c r="D8" s="2183" t="n">
        <f aca="false">дома!F1086*E8</f>
        <v>0</v>
      </c>
      <c r="E8" s="2198" t="n">
        <f aca="false">IF('Ввод данных'!A33=связи1!A214,1,0)+IF('Ввод данных'!A33=связи1!A215,1,0)+IF('Ввод данных'!A33=связи1!A216,1,0)+IF('Ввод данных'!A33=связи1!A217,1,0)+IF('Ввод данных'!A33=связи1!A218,1,0)+IF('Ввод данных'!A33=связи1!A219,1,0)+IF('Ввод данных'!A33=связи1!A220,1,0)+IF('Ввод данных'!A33=связи1!A221,1,0)</f>
        <v>0</v>
      </c>
      <c r="F8" s="2209" t="n">
        <f aca="false">IF('Ввод данных'!A33=связи1!A214,0.3,0)+IF('Ввод данных'!A33=связи1!A215,0.3,0)+IF('Ввод данных'!A33=связи1!A216,0.25,0)+IF('Ввод данных'!A33=связи1!A217,0.25,0)+IF('Ввод данных'!A33=связи1!A218,0.2,0)+IF('Ввод данных'!A33=связи1!A219,0.2,0)+IF('Ввод данных'!A33=связи1!A220,0.15,0)+IF('Ввод данных'!A33=связи1!A221,0.15,0)</f>
        <v>0</v>
      </c>
      <c r="G8" s="2210" t="n">
        <f aca="false">'Ввод данных'!E33</f>
        <v>0.15</v>
      </c>
      <c r="H8" s="2210" t="n">
        <f aca="false">IF('Ввод данных'!A33=связи1!A214,2,0)+IF('Ввод данных'!A33=связи1!A215,1,0)+IF('Ввод данных'!A33=связи1!A216,2,0)+IF('Ввод данных'!A33=связи1!A217,1,0)+IF('Ввод данных'!A33=связи1!A218,2,0)+IF('Ввод данных'!A33=связи1!A219,1,0)+IF('Ввод данных'!A33=связи1!A220,2,0)+IF('Ввод данных'!A33=связи1!A221,1,0)</f>
        <v>0</v>
      </c>
      <c r="I8" s="8" t="n">
        <f aca="false">VLOOKUP('Ввод данных'!A39,'Прайс лист'!B744:G782,3,0)</f>
        <v>0</v>
      </c>
      <c r="J8" s="2210" t="n">
        <f aca="false">IF(G8=0,1,G8)</f>
        <v>0.15</v>
      </c>
    </row>
    <row r="9" customFormat="false" ht="15.5" hidden="false" customHeight="false" outlineLevel="0" collapsed="false">
      <c r="A9" s="289" t="s">
        <v>3996</v>
      </c>
      <c r="B9" s="1129"/>
      <c r="C9" s="2192" t="s">
        <v>133</v>
      </c>
      <c r="D9" s="2183" t="n">
        <f aca="false">дома!F1087*E9</f>
        <v>0</v>
      </c>
      <c r="E9" s="2198" t="n">
        <f aca="false">IF('Ввод данных'!A43=связи1!A214,1,0)+IF('Ввод данных'!A43=связи1!A215,1,0)+IF('Ввод данных'!A43=связи1!A216,1,0)+IF('Ввод данных'!A43=связи1!A217,1,0)+IF('Ввод данных'!A43=связи1!A218,1,0)+IF('Ввод данных'!A43=связи1!A219,1,0)+IF('Ввод данных'!A43=связи1!A220,1,0)+IF('Ввод данных'!A43=связи1!A221,1,0)</f>
        <v>0</v>
      </c>
      <c r="F9" s="2209" t="n">
        <f aca="false">IF('Ввод данных'!A43=связи1!A214,0.3,0)+IF('Ввод данных'!A43=связи1!A215,0.3,0)+IF('Ввод данных'!A43=связи1!A216,0.25,0)+IF('Ввод данных'!A43=связи1!A217,0.25,0)+IF('Ввод данных'!A43=связи1!A218,0.2,0)+IF('Ввод данных'!A43=связи1!A219,0.2,0)+IF('Ввод данных'!A43=связи1!A220,0.15,0)+IF('Ввод данных'!A43=связи1!A221,0.15,0)</f>
        <v>0</v>
      </c>
      <c r="G9" s="2210" t="n">
        <f aca="false">'Ввод данных'!E43</f>
        <v>0.2</v>
      </c>
      <c r="H9" s="2210" t="n">
        <f aca="false">IF('Ввод данных'!A43=связи1!A214,2,0)+IF('Ввод данных'!A43=связи1!A215,1,0)+IF('Ввод данных'!A43=связи1!A216,2,0)+IF('Ввод данных'!A43=связи1!A217,1,0)+IF('Ввод данных'!A43=связи1!A218,2,0)+IF('Ввод данных'!A43=связи1!A219,1,0)+IF('Ввод данных'!A43=связи1!A220,2,0)+IF('Ввод данных'!A43=связи1!A221,1,0)</f>
        <v>0</v>
      </c>
      <c r="I9" s="8" t="n">
        <f aca="false">VLOOKUP('Ввод данных'!A44,'Прайс лист'!B744:G782,3,0)</f>
        <v>0.1</v>
      </c>
      <c r="J9" s="2210" t="n">
        <f aca="false">IF(G9=0,1,G9)</f>
        <v>0.2</v>
      </c>
    </row>
    <row r="10" customFormat="false" ht="15.5" hidden="false" customHeight="false" outlineLevel="0" collapsed="false">
      <c r="A10" s="289" t="s">
        <v>3997</v>
      </c>
      <c r="B10" s="1129"/>
      <c r="C10" s="2192" t="s">
        <v>133</v>
      </c>
      <c r="D10" s="2183" t="n">
        <f aca="false">дома!F1090*E10</f>
        <v>0</v>
      </c>
      <c r="E10" s="2198" t="n">
        <f aca="false">IF('Ввод данных'!A51=связи1!A214,1,0)+IF('Ввод данных'!A51=связи1!A215,1,0)+IF('Ввод данных'!A51=связи1!A216,1,0)+IF('Ввод данных'!A51=связи1!A217,1,0)+IF('Ввод данных'!A51=связи1!A218,1,0)+IF('Ввод данных'!A51=связи1!A219,1,0)+IF('Ввод данных'!A51=связи1!A220,1,0)+IF('Ввод данных'!A51=связи1!A221,1,0)</f>
        <v>0</v>
      </c>
      <c r="F10" s="2209" t="n">
        <f aca="false">IF('Ввод данных'!A51=связи1!A214,0.3,0)+IF('Ввод данных'!A51=связи1!A215,0.3,0)+IF('Ввод данных'!A51=связи1!A216,0.25,0)+IF('Ввод данных'!A51=связи1!A217,0.25,0)+IF('Ввод данных'!A51=связи1!A218,0.2,0)+IF('Ввод данных'!A51=связи1!A219,0.2,0)+IF('Ввод данных'!A51=связи1!A220,0.15,0)+IF('Ввод данных'!A51=связи1!A221,0.15,0)</f>
        <v>0</v>
      </c>
      <c r="G10" s="2210" t="n">
        <f aca="false">'Ввод данных'!E51</f>
        <v>0.25</v>
      </c>
      <c r="H10" s="2210" t="n">
        <f aca="false">IF('Ввод данных'!A51=связи1!A214,2,0)+IF('Ввод данных'!A51=связи1!A215,1,0)+IF('Ввод данных'!A51=связи1!A216,2,0)+IF('Ввод данных'!A51=связи1!A217,1,0)+IF('Ввод данных'!A51=связи1!A218,2,0)+IF('Ввод данных'!A51=связи1!A219,1,0)+IF('Ввод данных'!A51=связи1!A220,2,0)+IF('Ввод данных'!A51=связи1!A221,1,0)</f>
        <v>0</v>
      </c>
      <c r="I10" s="8" t="n">
        <f aca="false">VLOOKUP('Ввод данных'!A55,'Прайс лист'!B744:G782,3,0)</f>
        <v>0.2</v>
      </c>
      <c r="J10" s="2210" t="n">
        <f aca="false">IF(G10=0,1,G10)</f>
        <v>0.25</v>
      </c>
    </row>
    <row r="11" customFormat="false" ht="15.5" hidden="false" customHeight="false" outlineLevel="0" collapsed="false">
      <c r="A11" s="289" t="s">
        <v>3998</v>
      </c>
      <c r="B11" s="1129"/>
      <c r="C11" s="2192" t="s">
        <v>159</v>
      </c>
      <c r="D11" s="2183"/>
      <c r="E11" s="2198" t="n">
        <v>1</v>
      </c>
      <c r="F11" s="2199"/>
      <c r="G11" s="2200"/>
      <c r="H11" s="2201"/>
      <c r="I11" s="2211"/>
      <c r="J11" s="2201"/>
    </row>
    <row r="12" customFormat="false" ht="15.5" hidden="false" customHeight="false" outlineLevel="0" collapsed="false">
      <c r="A12" s="87" t="s">
        <v>3999</v>
      </c>
      <c r="B12" s="88"/>
      <c r="C12" s="2192" t="s">
        <v>154</v>
      </c>
      <c r="D12" s="2203" t="n">
        <f aca="false">'Ввод данных'!G39</f>
        <v>0</v>
      </c>
      <c r="E12" s="2198" t="n">
        <f aca="false">IF(SUM(E8:E10)&gt;0,1,0)</f>
        <v>0</v>
      </c>
    </row>
    <row r="13" customFormat="false" ht="15.5" hidden="false" customHeight="false" outlineLevel="0" collapsed="false">
      <c r="A13" s="2212" t="s">
        <v>4000</v>
      </c>
      <c r="B13" s="2205"/>
      <c r="C13" s="2197" t="s">
        <v>208</v>
      </c>
      <c r="D13" s="2197" t="s">
        <v>3989</v>
      </c>
      <c r="E13" s="2197" t="s">
        <v>1820</v>
      </c>
      <c r="F13" s="2206" t="s">
        <v>293</v>
      </c>
      <c r="G13" s="2207" t="s">
        <v>1800</v>
      </c>
      <c r="H13" s="2207" t="s">
        <v>2156</v>
      </c>
      <c r="I13" s="2208" t="s">
        <v>2198</v>
      </c>
      <c r="J13" s="2207" t="s">
        <v>4001</v>
      </c>
    </row>
    <row r="14" customFormat="false" ht="15.5" hidden="false" customHeight="false" outlineLevel="0" collapsed="false">
      <c r="A14" s="289" t="s">
        <v>4002</v>
      </c>
      <c r="B14" s="1129"/>
      <c r="C14" s="2192" t="s">
        <v>133</v>
      </c>
      <c r="D14" s="2183" t="n">
        <f aca="false">дома!F1086*E14</f>
        <v>0</v>
      </c>
      <c r="E14" s="2198" t="n">
        <f aca="false">IF('Ввод данных'!A33=связи1!A204,1,0)+IF('Ввод данных'!A33=связи1!A205,1,0)+IF('Ввод данных'!A33=связи1!A206,1,0)+IF('Ввод данных'!A33=связи1!A207,1,0)+IF('Ввод данных'!A33=связи1!A208,1,0)+IF('Ввод данных'!A33=связи1!A209,1,0)</f>
        <v>0</v>
      </c>
      <c r="F14" s="2209" t="n">
        <f aca="false">IF('Ввод данных'!A33=связи1!A204,0.2,0)+IF('Ввод данных'!A33=связи1!A205,0.15,0)+IF('Ввод данных'!A33=связи1!A206,0.1,0)+IF('Ввод данных'!A33=связи1!A207,0.15,0)+IF('Ввод данных'!A33=связи1!A208,0.2,0)+IF('Ввод данных'!A33=связи1!A209,0.15,0)</f>
        <v>0</v>
      </c>
      <c r="G14" s="2210" t="n">
        <f aca="false">IF('Ввод данных'!A33=связи1!A204,0.1,0)+IF('Ввод данных'!A33=связи1!A205,0.1,0)+IF('Ввод данных'!A33=связи1!A206,0.1,0)+IF('Ввод данных'!A33=связи1!A207,0.15,0)+IF('Ввод данных'!A33=связи1!A208,0.05,0)+IF('Ввод данных'!A33=связи1!A209,0.05,0)</f>
        <v>0</v>
      </c>
      <c r="H14" s="2210" t="n">
        <f aca="false">'Ввод данных'!C33</f>
        <v>0.6</v>
      </c>
      <c r="I14" s="8" t="n">
        <f aca="false">VLOOKUP('Ввод данных'!A39,'Прайс лист'!B744:G782,3,0)</f>
        <v>0</v>
      </c>
      <c r="J14" s="2210" t="n">
        <f aca="false">IF(H14=0,1,H14)</f>
        <v>0.6</v>
      </c>
    </row>
    <row r="15" customFormat="false" ht="15.5" hidden="false" customHeight="false" outlineLevel="0" collapsed="false">
      <c r="A15" s="289" t="s">
        <v>4003</v>
      </c>
      <c r="B15" s="1129"/>
      <c r="C15" s="2192" t="s">
        <v>133</v>
      </c>
      <c r="D15" s="2183" t="n">
        <f aca="false">дома!F1087*E15</f>
        <v>0</v>
      </c>
      <c r="E15" s="2198" t="n">
        <f aca="false">IF('Ввод данных'!A43=связи1!A204,1,0)+IF('Ввод данных'!A43=связи1!A205,1,0)+IF('Ввод данных'!A43=связи1!A206,1,0)+IF('Ввод данных'!A43=связи1!A207,1,0)+IF('Ввод данных'!A43=связи1!A208,1,0)+IF('Ввод данных'!A43=связи1!A209,1,0)</f>
        <v>0</v>
      </c>
      <c r="F15" s="2209" t="n">
        <f aca="false">IF('Ввод данных'!A43=связи1!A204,0.2,0)+IF('Ввод данных'!A43=связи1!A205,0.15,0)+IF('Ввод данных'!A43=связи1!A206,0.1,0)+IF('Ввод данных'!A43=связи1!A207,0.15,0)+IF('Ввод данных'!A43=связи1!A208,0.2,0)+IF('Ввод данных'!A43=связи1!A209,0.15,0)</f>
        <v>0</v>
      </c>
      <c r="G15" s="2210" t="n">
        <f aca="false">IF('Ввод данных'!A43=связи1!A204,0.1,0)+IF('Ввод данных'!A43=связи1!A205,0.1,0)+IF('Ввод данных'!A43=связи1!A206,0.1,0)+IF('Ввод данных'!A43=связи1!A207,0.15,0)+IF('Ввод данных'!A43=связи1!A208,0.05,0)+IF('Ввод данных'!A43=связи1!A209,0.05,0)</f>
        <v>0</v>
      </c>
      <c r="H15" s="2210" t="n">
        <f aca="false">'Ввод данных'!C43</f>
        <v>0.6</v>
      </c>
      <c r="I15" s="8" t="n">
        <f aca="false">VLOOKUP('Ввод данных'!A44,'Прайс лист'!B744:G782,3,0)</f>
        <v>0.1</v>
      </c>
      <c r="J15" s="2210" t="n">
        <f aca="false">IF(H15=0,1,H15)</f>
        <v>0.6</v>
      </c>
    </row>
    <row r="16" customFormat="false" ht="15.5" hidden="false" customHeight="false" outlineLevel="0" collapsed="false">
      <c r="A16" s="289" t="s">
        <v>4004</v>
      </c>
      <c r="B16" s="1129"/>
      <c r="C16" s="2192" t="s">
        <v>133</v>
      </c>
      <c r="D16" s="2183" t="n">
        <f aca="false">дома!F1090*E16</f>
        <v>0</v>
      </c>
      <c r="E16" s="2198" t="n">
        <f aca="false">IF('Ввод данных'!A51=связи1!A204,1,0)+IF('Ввод данных'!A51=связи1!A205,1,0)+IF('Ввод данных'!A51=связи1!A206,1,0)+IF('Ввод данных'!A51=связи1!A207,1,0)+IF('Ввод данных'!A51=связи1!A208,1,0)+IF('Ввод данных'!A51=связи1!A209,1,0)</f>
        <v>0</v>
      </c>
      <c r="F16" s="2209" t="n">
        <f aca="false">IF('Ввод данных'!A51=связи1!A204,0.2,0)+IF('Ввод данных'!A51=связи1!A205,0.15,0)+IF('Ввод данных'!A51=связи1!A206,0.1,0)+IF('Ввод данных'!A51=связи1!A207,0.15,0)+IF('Ввод данных'!A51=связи1!A208,0.2,0)+IF('Ввод данных'!A51=связи1!A209,0.15,0)</f>
        <v>0</v>
      </c>
      <c r="G16" s="2210" t="n">
        <f aca="false">IF('Ввод данных'!A51=связи1!A204,0.1,0)+IF('Ввод данных'!A51=связи1!A205,0.1,0)+IF('Ввод данных'!A51=связи1!A206,0.1,0)+IF('Ввод данных'!A51=связи1!A207,0.15,0)+IF('Ввод данных'!A51=связи1!A208,0.05,0)+IF('Ввод данных'!A51=связи1!A209,0.05,0)</f>
        <v>0</v>
      </c>
      <c r="H16" s="2210" t="n">
        <f aca="false">'Ввод данных'!C51</f>
        <v>0.6</v>
      </c>
      <c r="I16" s="8" t="n">
        <f aca="false">VLOOKUP('Ввод данных'!A55,'Прайс лист'!B744:G782,3,0)</f>
        <v>0.2</v>
      </c>
      <c r="J16" s="2210" t="n">
        <f aca="false">IF(H16=0,1,H16)</f>
        <v>0.6</v>
      </c>
    </row>
    <row r="17" customFormat="false" ht="15.5" hidden="false" customHeight="false" outlineLevel="0" collapsed="false">
      <c r="A17" s="289"/>
      <c r="B17" s="1129"/>
      <c r="C17" s="289"/>
      <c r="D17" s="289"/>
      <c r="F17" s="2201"/>
      <c r="G17" s="2200"/>
      <c r="H17" s="2201"/>
      <c r="I17" s="2202"/>
      <c r="J17" s="2160"/>
    </row>
    <row r="18" customFormat="false" ht="15.5" hidden="false" customHeight="false" outlineLevel="0" collapsed="false">
      <c r="A18" s="2213" t="s">
        <v>4005</v>
      </c>
      <c r="B18" s="2214"/>
      <c r="C18" s="2197" t="s">
        <v>208</v>
      </c>
      <c r="D18" s="2197" t="s">
        <v>3989</v>
      </c>
      <c r="E18" s="2197" t="s">
        <v>1820</v>
      </c>
      <c r="F18" s="2206" t="s">
        <v>293</v>
      </c>
      <c r="G18" s="2207" t="s">
        <v>1800</v>
      </c>
      <c r="H18" s="2207" t="s">
        <v>2156</v>
      </c>
      <c r="I18" s="2208" t="s">
        <v>2198</v>
      </c>
      <c r="J18" s="2192"/>
    </row>
    <row r="19" customFormat="false" ht="15.5" hidden="false" customHeight="false" outlineLevel="0" collapsed="false">
      <c r="A19" s="265" t="s">
        <v>4006</v>
      </c>
      <c r="B19" s="263"/>
      <c r="C19" s="2192" t="s">
        <v>156</v>
      </c>
      <c r="D19" s="7" t="n">
        <f aca="false">дома!F1086*E19</f>
        <v>0</v>
      </c>
      <c r="E19" s="2198" t="n">
        <f aca="false">IF('Ввод данных'!A35=связи1!J238,1,0)+IF('Ввод данных'!A35=связи1!J239,1,0)+IF('Ввод данных'!A35=связи1!J240,1,0)</f>
        <v>0</v>
      </c>
      <c r="F19" s="2203" t="n">
        <f aca="false">IF('Ввод данных'!A35=связи1!J238,0.1,0)+IF('Ввод данных'!A35=связи1!J239,0.1,0)+IF('Ввод данных'!A35=связи1!J240,0.1,0)</f>
        <v>0</v>
      </c>
      <c r="G19" s="2203" t="n">
        <f aca="false">IF('Ввод данных'!A35=связи1!J238,0.05,0)+IF('Ввод данных'!A35=связи1!J239,0.05,0)+IF('Ввод данных'!A35=связи1!J240,0.045,0)</f>
        <v>0</v>
      </c>
      <c r="H19" s="122" t="n">
        <f aca="false">'Ввод данных'!C35</f>
        <v>0.4</v>
      </c>
      <c r="I19" s="85"/>
      <c r="J19" s="122"/>
    </row>
    <row r="21" customFormat="false" ht="15.5" hidden="false" customHeight="false" outlineLevel="0" collapsed="false">
      <c r="A21" s="2212" t="s">
        <v>4007</v>
      </c>
      <c r="B21" s="2205"/>
      <c r="C21" s="2197" t="s">
        <v>208</v>
      </c>
      <c r="D21" s="2197" t="s">
        <v>3989</v>
      </c>
      <c r="E21" s="2197" t="s">
        <v>1820</v>
      </c>
      <c r="F21" s="2206" t="s">
        <v>293</v>
      </c>
      <c r="G21" s="2207" t="s">
        <v>1800</v>
      </c>
      <c r="H21" s="2207" t="s">
        <v>2156</v>
      </c>
      <c r="I21" s="2208" t="s">
        <v>2198</v>
      </c>
      <c r="J21" s="2207" t="s">
        <v>4001</v>
      </c>
    </row>
    <row r="22" customFormat="false" ht="15.5" hidden="false" customHeight="false" outlineLevel="0" collapsed="false">
      <c r="A22" s="289" t="s">
        <v>4008</v>
      </c>
      <c r="B22" s="1129"/>
      <c r="C22" s="2192" t="s">
        <v>133</v>
      </c>
      <c r="D22" s="2183" t="n">
        <f aca="false">дома!F1086*E22</f>
        <v>0</v>
      </c>
      <c r="E22" s="2198" t="n">
        <f aca="false">IF('Ввод данных'!A33=связи1!A210,1,0)+IF('Ввод данных'!A33=связи1!A211,1,0)+IF('Ввод данных'!A33=связи1!A212,1,0)+IF('Ввод данных'!A33=связи1!A213,1,0)</f>
        <v>0</v>
      </c>
      <c r="F22" s="2209" t="n">
        <f aca="false">IF('Ввод данных'!A33=связи1!A210,0.2,0)+IF('Ввод данных'!A33=связи1!A211,0.15,0)+IF('Ввод данных'!A33=связи1!A212,0.2,0)+IF('Ввод данных'!A33=связи1!A213,0.15,0)</f>
        <v>0</v>
      </c>
      <c r="G22" s="2210" t="n">
        <f aca="false">IF('Ввод данных'!A33=связи1!A210,0.05,0)+IF('Ввод данных'!A33=связи1!A211,0.05,0)+IF('Ввод данных'!A33=связи1!A212,0.045,0)+IF('Ввод данных'!A33=связи1!A213,0.045,0)</f>
        <v>0</v>
      </c>
      <c r="H22" s="2210" t="n">
        <f aca="false">'Ввод данных'!C33</f>
        <v>0.6</v>
      </c>
      <c r="I22" s="8" t="n">
        <f aca="false">VLOOKUP('Ввод данных'!A39,'Прайс лист'!B744:G782,3,0)</f>
        <v>0</v>
      </c>
      <c r="J22" s="2210" t="n">
        <f aca="false">IF(H22=0,1,H22)</f>
        <v>0.6</v>
      </c>
    </row>
    <row r="23" customFormat="false" ht="15.5" hidden="false" customHeight="false" outlineLevel="0" collapsed="false">
      <c r="A23" s="289" t="s">
        <v>4003</v>
      </c>
      <c r="B23" s="1129"/>
      <c r="C23" s="2192" t="s">
        <v>133</v>
      </c>
      <c r="D23" s="2183" t="n">
        <f aca="false">дома!F1087*E23</f>
        <v>0</v>
      </c>
      <c r="E23" s="2198" t="n">
        <f aca="false">IF('Ввод данных'!A43=связи1!A210,1,0)+IF('Ввод данных'!A43=связи1!A211,1,0)+IF('Ввод данных'!A43=связи1!A212,1,0)+IF('Ввод данных'!A43=связи1!A213,1,0)</f>
        <v>0</v>
      </c>
      <c r="F23" s="2209" t="n">
        <f aca="false">IF('Ввод данных'!A43=связи1!A210,0.2,0)+IF('Ввод данных'!A43=связи1!A211,0.15,0)+IF('Ввод данных'!A43=связи1!A212,0.2,0)+IF('Ввод данных'!A43=связи1!A213,0.15,0)</f>
        <v>0</v>
      </c>
      <c r="G23" s="2210" t="n">
        <f aca="false">IF('Ввод данных'!A43=связи1!A210,0.05,0)+IF('Ввод данных'!A43=связи1!A211,0.05,0)+IF('Ввод данных'!A43=связи1!A212,0.045,0)+IF('Ввод данных'!A43=связи1!A213,0.045,0)</f>
        <v>0</v>
      </c>
      <c r="H23" s="2210" t="n">
        <f aca="false">'Ввод данных'!C43</f>
        <v>0.6</v>
      </c>
      <c r="I23" s="8" t="n">
        <f aca="false">VLOOKUP('Ввод данных'!A44,'Прайс лист'!B744:G782,3,0)</f>
        <v>0.1</v>
      </c>
      <c r="J23" s="2210" t="n">
        <f aca="false">IF(H23=0,1,H23)</f>
        <v>0.6</v>
      </c>
    </row>
    <row r="24" customFormat="false" ht="15.5" hidden="false" customHeight="false" outlineLevel="0" collapsed="false">
      <c r="A24" s="122" t="s">
        <v>4004</v>
      </c>
      <c r="B24" s="88"/>
      <c r="C24" s="2192" t="s">
        <v>133</v>
      </c>
      <c r="D24" s="2183" t="n">
        <f aca="false">дома!F1090*E24</f>
        <v>0</v>
      </c>
      <c r="E24" s="2198" t="n">
        <f aca="false">IF('Ввод данных'!A51=связи1!A210,1,0)+IF('Ввод данных'!A51=связи1!A211,1,0)+IF('Ввод данных'!A51=связи1!A212,1,0)+IF('Ввод данных'!A51=связи1!A213,1,0)</f>
        <v>0</v>
      </c>
      <c r="F24" s="2209" t="n">
        <f aca="false">IF('Ввод данных'!A51=связи1!A210,0.2,0)+IF('Ввод данных'!A51=связи1!A211,0.15,0)+IF('Ввод данных'!A51=связи1!A212,0.2,0)+IF('Ввод данных'!A51=связи1!A213,0.15,0)</f>
        <v>0</v>
      </c>
      <c r="G24" s="2210" t="n">
        <f aca="false">IF('Ввод данных'!A51=связи1!A210,0.05,0)+IF('Ввод данных'!A51=связи1!A211,0.05,0)+IF('Ввод данных'!A51=связи1!A212,0.045,0)+IF('Ввод данных'!A51=связи1!A213,0.045,0)</f>
        <v>0</v>
      </c>
      <c r="H24" s="2210" t="n">
        <f aca="false">'Ввод данных'!C51</f>
        <v>0.6</v>
      </c>
      <c r="I24" s="8" t="n">
        <f aca="false">VLOOKUP('Ввод данных'!A55,'Прайс лист'!B744:G782,3,0)</f>
        <v>0.2</v>
      </c>
      <c r="J24" s="2210" t="n">
        <f aca="false">IF(H24=0,1,H24)</f>
        <v>0.6</v>
      </c>
    </row>
    <row r="26" customFormat="false" ht="15.5" hidden="false" customHeight="false" outlineLevel="0" collapsed="false">
      <c r="A26" s="2212" t="s">
        <v>4007</v>
      </c>
      <c r="B26" s="2205"/>
      <c r="C26" s="2197" t="s">
        <v>208</v>
      </c>
      <c r="D26" s="2197" t="s">
        <v>3989</v>
      </c>
      <c r="E26" s="2197" t="s">
        <v>1820</v>
      </c>
      <c r="F26" s="2206" t="s">
        <v>293</v>
      </c>
      <c r="G26" s="2207" t="s">
        <v>1800</v>
      </c>
      <c r="H26" s="2207" t="s">
        <v>2156</v>
      </c>
      <c r="I26" s="2208" t="s">
        <v>2198</v>
      </c>
      <c r="J26" s="2207" t="s">
        <v>4001</v>
      </c>
    </row>
    <row r="27" customFormat="false" ht="15.5" hidden="false" customHeight="false" outlineLevel="0" collapsed="false">
      <c r="A27" s="289" t="s">
        <v>4009</v>
      </c>
      <c r="B27" s="1129"/>
      <c r="C27" s="2192" t="s">
        <v>133</v>
      </c>
      <c r="D27" s="2183" t="n">
        <f aca="false">дома!F1086*E27</f>
        <v>0</v>
      </c>
      <c r="E27" s="2198" t="n">
        <f aca="false">IF('Ввод данных'!A33=связи1!A212,1,0)+IF('Ввод данных'!A33=связи1!A213,1,0)</f>
        <v>0</v>
      </c>
      <c r="F27" s="2209" t="n">
        <f aca="false">IF('Ввод данных'!A33=связи1!A212,0.19,0)+IF('Ввод данных'!A33=связи1!A213,0.14,0)</f>
        <v>0</v>
      </c>
      <c r="G27" s="2210" t="n">
        <f aca="false">IF('Ввод данных'!A33=связи1!A212,0.045,0)+IF('Ввод данных'!A33=связи1!A213,0.045,0)</f>
        <v>0</v>
      </c>
      <c r="H27" s="2210" t="n">
        <f aca="false">H22</f>
        <v>0.6</v>
      </c>
      <c r="I27" s="8" t="n">
        <f aca="false">VLOOKUP('Ввод данных'!A39,'Прайс лист'!B744:G782,3,0)</f>
        <v>0</v>
      </c>
      <c r="J27" s="2210" t="n">
        <f aca="false">IF(H27=0,1,H27)</f>
        <v>0.6</v>
      </c>
    </row>
    <row r="28" customFormat="false" ht="15.5" hidden="false" customHeight="false" outlineLevel="0" collapsed="false">
      <c r="A28" s="289" t="s">
        <v>4003</v>
      </c>
      <c r="B28" s="1129"/>
      <c r="C28" s="2192" t="s">
        <v>133</v>
      </c>
      <c r="D28" s="2183" t="n">
        <f aca="false">дома!F1087*E28</f>
        <v>0</v>
      </c>
      <c r="E28" s="2198" t="n">
        <f aca="false">IF('Ввод данных'!A43=связи1!A212,1,0)+IF('Ввод данных'!A43=связи1!A213,1,0)</f>
        <v>0</v>
      </c>
      <c r="F28" s="2209" t="n">
        <f aca="false">IF('Ввод данных'!A43=связи1!A212,0.19,0)+IF('Ввод данных'!A43=связи1!A213,0.14,0)</f>
        <v>0</v>
      </c>
      <c r="G28" s="2210" t="n">
        <f aca="false">IF('Ввод данных'!A43=связи1!A212,0.045,0)+IF('Ввод данных'!A43=связи1!A213,0.045,0)</f>
        <v>0</v>
      </c>
      <c r="H28" s="2210" t="n">
        <f aca="false">H23</f>
        <v>0.6</v>
      </c>
      <c r="I28" s="8" t="n">
        <f aca="false">VLOOKUP('Ввод данных'!A44,'Прайс лист'!B744:G782,3,0)</f>
        <v>0.1</v>
      </c>
      <c r="J28" s="2210" t="n">
        <f aca="false">IF(H28=0,1,H28)</f>
        <v>0.6</v>
      </c>
    </row>
    <row r="29" customFormat="false" ht="15.5" hidden="false" customHeight="false" outlineLevel="0" collapsed="false">
      <c r="A29" s="122" t="s">
        <v>4004</v>
      </c>
      <c r="B29" s="88"/>
      <c r="C29" s="2192" t="s">
        <v>133</v>
      </c>
      <c r="D29" s="2183" t="n">
        <f aca="false">дома!F1090*E29</f>
        <v>0</v>
      </c>
      <c r="E29" s="2198" t="n">
        <f aca="false">IF('Ввод данных'!A51=связи1!A212,1,0)+IF('Ввод данных'!A51=связи1!A213,1,0)</f>
        <v>0</v>
      </c>
      <c r="F29" s="2209" t="n">
        <f aca="false">IF('Ввод данных'!A51=связи1!A212,0.19,0)+IF('Ввод данных'!A51=связи1!A213,0.14,0)</f>
        <v>0</v>
      </c>
      <c r="G29" s="2210" t="n">
        <f aca="false">IF('Ввод данных'!A51=связи1!A212,0.045,0)+IF('Ввод данных'!A51=связи1!A213,0.045,0)</f>
        <v>0</v>
      </c>
      <c r="H29" s="2210" t="n">
        <f aca="false">H24</f>
        <v>0.6</v>
      </c>
      <c r="I29" s="8" t="n">
        <f aca="false">VLOOKUP('Ввод данных'!A55,'Прайс лист'!B744:G782,3,0)</f>
        <v>0.2</v>
      </c>
      <c r="J29" s="2210" t="n">
        <f aca="false">IF(H29=0,1,H29)</f>
        <v>0.6</v>
      </c>
    </row>
    <row r="31" customFormat="false" ht="15.5" hidden="false" customHeight="false" outlineLevel="0" collapsed="false">
      <c r="A31" s="2212" t="s">
        <v>4010</v>
      </c>
      <c r="B31" s="2205"/>
      <c r="C31" s="2197" t="s">
        <v>208</v>
      </c>
      <c r="D31" s="2197" t="s">
        <v>3989</v>
      </c>
      <c r="E31" s="2197" t="s">
        <v>1820</v>
      </c>
      <c r="F31" s="2206" t="s">
        <v>293</v>
      </c>
      <c r="G31" s="2207" t="s">
        <v>2156</v>
      </c>
      <c r="I31" s="2208" t="s">
        <v>2198</v>
      </c>
      <c r="J31" s="2207" t="s">
        <v>4001</v>
      </c>
    </row>
    <row r="32" customFormat="false" ht="15.5" hidden="false" customHeight="false" outlineLevel="0" collapsed="false">
      <c r="A32" s="289" t="s">
        <v>4008</v>
      </c>
      <c r="B32" s="1129"/>
      <c r="C32" s="2192" t="s">
        <v>133</v>
      </c>
      <c r="D32" s="2183" t="n">
        <f aca="false">дома!F1086*E32</f>
        <v>0</v>
      </c>
      <c r="E32" s="2198" t="n">
        <f aca="false">IF('Ввод данных'!A33=связи1!A223,1,0)+IF('Ввод данных'!A33=связи1!A224,1,0)+IF('Ввод данных'!A33=связи1!A225,1,0)+IF('Ввод данных'!A33=связи1!A226,1,0)+IF('Ввод данных'!A33=связи1!A227,1,0)+IF('Ввод данных'!A33=связи1!A228,1,0)+IF('Ввод данных'!A33=связи1!A229,1,0)+IF('Ввод данных'!A33=связи1!A230,1,0)+IF('Ввод данных'!A33=связи1!A231,1,0)+IF('Ввод данных'!A33=связи1!A232,1,0)+IF('Ввод данных'!A33=связи1!A233,1,0)+IF('Ввод данных'!A33=связи1!A234,1,0)</f>
        <v>0</v>
      </c>
      <c r="F32" s="2209" t="n">
        <f aca="false">IF('Ввод данных'!A33=связи1!A223,0.4,0)+IF('Ввод данных'!A33=связи1!A224,0.4,0)+IF('Ввод данных'!A33=связи1!A225,0.35,0)+IF('Ввод данных'!A33=связи1!A226,0.35,0)+IF('Ввод данных'!A33=связи1!A227,0.3,0)+IF('Ввод данных'!A33=связи1!A228,0.3,0)+IF('Ввод данных'!A33=связи1!A229,0.24,0)+IF('Ввод данных'!A33=связи1!A230,0.24,0)+IF('Ввод данных'!A33=связи1!A231,0.2,0)+IF('Ввод данных'!A33=связи1!A232,0.2,0)+IF('Ввод данных'!A33=связи1!A233,0.15,0)+IF('Ввод данных'!A33=связи1!A234,0.15,0)</f>
        <v>0</v>
      </c>
      <c r="G32" s="2210" t="n">
        <f aca="false">'Ввод данных'!C33</f>
        <v>0.6</v>
      </c>
      <c r="I32" s="8" t="n">
        <f aca="false">VLOOKUP('Ввод данных'!A39,'Прайс лист'!B744:G782,3,0)</f>
        <v>0</v>
      </c>
      <c r="J32" s="2210" t="n">
        <f aca="false">IF(G32=0,1,G32)</f>
        <v>0.6</v>
      </c>
    </row>
    <row r="33" customFormat="false" ht="15.5" hidden="false" customHeight="false" outlineLevel="0" collapsed="false">
      <c r="A33" s="289" t="s">
        <v>4003</v>
      </c>
      <c r="B33" s="1129"/>
      <c r="C33" s="2192" t="s">
        <v>133</v>
      </c>
      <c r="D33" s="2183" t="n">
        <f aca="false">дома!F1087*E33</f>
        <v>0</v>
      </c>
      <c r="E33" s="2198" t="n">
        <f aca="false">IF('Ввод данных'!A43=связи1!A223,1,0)+IF('Ввод данных'!A43=связи1!A224,1,0)+IF('Ввод данных'!A43=связи1!A225,1,0)+IF('Ввод данных'!A43=связи1!A226,1,0)+IF('Ввод данных'!A43=связи1!A227,1,0)+IF('Ввод данных'!A43=связи1!A228,1,0)+IF('Ввод данных'!A43=связи1!A229,1,0)+IF('Ввод данных'!A43=связи1!A230,1,0)+IF('Ввод данных'!A43=связи1!A231,1,0)+IF('Ввод данных'!A43=связи1!A232,1,0)+IF('Ввод данных'!A43=связи1!A233,1,0)+IF('Ввод данных'!A43=связи1!A234,1,0)</f>
        <v>0</v>
      </c>
      <c r="F33" s="2209" t="n">
        <f aca="false">IF('Ввод данных'!A43=связи1!A223,0.4,0)+IF('Ввод данных'!A43=связи1!A224,0.4,0)+IF('Ввод данных'!A43=связи1!A225,0.35,0)+IF('Ввод данных'!A43=связи1!A226,0.35,0)+IF('Ввод данных'!A43=связи1!A227,0.3,0)+IF('Ввод данных'!A43=связи1!A228,0.3,0)+IF('Ввод данных'!A43=связи1!A229,0.24,0)+IF('Ввод данных'!A43=связи1!A230,0.24,0)+IF('Ввод данных'!A43=связи1!A231,0.2,0)+IF('Ввод данных'!A43=связи1!A232,0.2,0)+IF('Ввод данных'!A43=связи1!A233,0.15,0)+IF('Ввод данных'!A43=связи1!A234,0.15,0)</f>
        <v>0</v>
      </c>
      <c r="G33" s="2210" t="n">
        <f aca="false">'Ввод данных'!C43</f>
        <v>0.6</v>
      </c>
      <c r="I33" s="8" t="n">
        <f aca="false">VLOOKUP('Ввод данных'!A44,'Прайс лист'!B744:G782,3,0)</f>
        <v>0.1</v>
      </c>
      <c r="J33" s="2210" t="n">
        <f aca="false">IF(G33=0,1,G33)</f>
        <v>0.6</v>
      </c>
    </row>
    <row r="34" customFormat="false" ht="15.5" hidden="false" customHeight="false" outlineLevel="0" collapsed="false">
      <c r="A34" s="122" t="s">
        <v>4004</v>
      </c>
      <c r="B34" s="88"/>
      <c r="C34" s="2192" t="s">
        <v>133</v>
      </c>
      <c r="D34" s="2183" t="n">
        <f aca="false">дома!F1090*E34</f>
        <v>0</v>
      </c>
      <c r="E34" s="2198" t="n">
        <f aca="false">IF('Ввод данных'!A51=связи1!A223,1,0)+IF('Ввод данных'!A51=связи1!A224,1,0)+IF('Ввод данных'!A51=связи1!A225,1,0)+IF('Ввод данных'!A51=связи1!A226,1,0)+IF('Ввод данных'!A51=связи1!A227,1,0)+IF('Ввод данных'!A51=связи1!A228,1,0)+IF('Ввод данных'!A51=связи1!A229,1,0)+IF('Ввод данных'!A51=связи1!A230,1,0)+IF('Ввод данных'!A51=связи1!A231,1,0)+IF('Ввод данных'!A51=связи1!A232,1,0)+IF('Ввод данных'!A51=связи1!A233,1,0)+IF('Ввод данных'!A51=связи1!A234,1,0)</f>
        <v>0</v>
      </c>
      <c r="F34" s="2209" t="n">
        <f aca="false">IF('Ввод данных'!A51=связи1!A223,0.4,0)+IF('Ввод данных'!A51=связи1!A224,0.4,0)+IF('Ввод данных'!A51=связи1!A225,0.35,0)+IF('Ввод данных'!A51=связи1!A226,0.35,0)+IF('Ввод данных'!A51=связи1!A227,0.3,0)+IF('Ввод данных'!A51=связи1!A228,0.3,0)+IF('Ввод данных'!A51=связи1!A229,0.24,0)+IF('Ввод данных'!A51=связи1!A230,0.24,0)+IF('Ввод данных'!A51=связи1!A231,0.2,0)+IF('Ввод данных'!A51=связи1!A232,0.2,0)+IF('Ввод данных'!A51=связи1!A233,0.15,0)+IF('Ввод данных'!A51=связи1!A234,0.15,0)</f>
        <v>0</v>
      </c>
      <c r="G34" s="2210" t="n">
        <f aca="false">'Ввод данных'!C51</f>
        <v>0.6</v>
      </c>
      <c r="I34" s="8" t="n">
        <f aca="false">VLOOKUP('Ввод данных'!A55,'Прайс лист'!B744:G782,3,0)</f>
        <v>0.2</v>
      </c>
      <c r="J34" s="2210" t="n">
        <f aca="false">IF(G34=0,1,G34)</f>
        <v>0.6</v>
      </c>
    </row>
    <row r="36" customFormat="false" ht="15.5" hidden="false" customHeight="false" outlineLevel="0" collapsed="false">
      <c r="A36" s="2195" t="s">
        <v>4011</v>
      </c>
      <c r="B36" s="2196"/>
      <c r="C36" s="2197" t="s">
        <v>208</v>
      </c>
      <c r="D36" s="2197" t="s">
        <v>3989</v>
      </c>
      <c r="E36" s="2197" t="s">
        <v>1820</v>
      </c>
      <c r="F36" s="2197" t="s">
        <v>2975</v>
      </c>
      <c r="G36" s="2197" t="s">
        <v>4012</v>
      </c>
      <c r="J36" s="2193" t="s">
        <v>4013</v>
      </c>
    </row>
    <row r="37" customFormat="false" ht="15.5" hidden="false" customHeight="false" outlineLevel="0" collapsed="false">
      <c r="A37" s="265" t="s">
        <v>4014</v>
      </c>
      <c r="B37" s="263"/>
      <c r="C37" s="2192" t="s">
        <v>156</v>
      </c>
      <c r="D37" s="122" t="n">
        <f aca="false">дома!F1086*E37</f>
        <v>0</v>
      </c>
      <c r="E37" s="2203" t="n">
        <f aca="false">IF('Ввод данных'!A33=связи1!A201,1,0)+IF('Ввод данных'!A33=связи1!A202,1,0)+IF('Ввод данных'!A33=связи1!A203,1,0)</f>
        <v>0</v>
      </c>
      <c r="F37" s="122" t="n">
        <f aca="false">IF('Ввод данных'!A33=связи1!A201,0.124,0)+IF('Ввод данных'!A33=связи1!A202,0.174,0)+IF('Ввод данных'!A33=связи1!A203,0.224,0)</f>
        <v>0</v>
      </c>
      <c r="G37" s="7" t="n">
        <f aca="false">IF('Ввод данных'!A33=связи1!A201,0.1,0)+IF('Ввод данных'!A33=связи1!A202,0.15,0)+IF('Ввод данных'!A33=связи1!A203,0.2,0)</f>
        <v>0</v>
      </c>
      <c r="H37" s="2193" t="n">
        <v>0.625</v>
      </c>
      <c r="I37" s="2193" t="n">
        <v>2.5</v>
      </c>
      <c r="J37" s="2193" t="n">
        <f aca="false">H37+H37+I37+I37</f>
        <v>6.25</v>
      </c>
    </row>
    <row r="38" customFormat="false" ht="15.5" hidden="false" customHeight="false" outlineLevel="0" collapsed="false">
      <c r="A38" s="265" t="s">
        <v>4014</v>
      </c>
      <c r="B38" s="263"/>
      <c r="C38" s="2192" t="s">
        <v>156</v>
      </c>
      <c r="D38" s="122" t="n">
        <f aca="false">дома!F1087*E38</f>
        <v>0</v>
      </c>
      <c r="E38" s="2203" t="n">
        <f aca="false">IF('Ввод данных'!A43=связи1!A201,1,0)+IF('Ввод данных'!A43=связи1!A202,1,0)+IF('Ввод данных'!A43=связи1!A203,1,0)</f>
        <v>0</v>
      </c>
      <c r="F38" s="122" t="n">
        <f aca="false">IF('Ввод данных'!A43=связи1!A201,0.124,0)+IF('Ввод данных'!A43=связи1!A202,0.174,0)+IF('Ввод данных'!A43=связи1!A203,0.224,0)</f>
        <v>0</v>
      </c>
      <c r="G38" s="7" t="n">
        <f aca="false">IF('Ввод данных'!A43=связи1!A201,0.1,0)+IF('Ввод данных'!A43=связи1!A202,0.15,0)+IF('Ввод данных'!A43=связи1!A203,0.2,0)</f>
        <v>0</v>
      </c>
      <c r="H38" s="2193" t="s">
        <v>4015</v>
      </c>
      <c r="I38" s="2193" t="n">
        <f aca="false">H37*I37</f>
        <v>1.5625</v>
      </c>
      <c r="J38" s="2193" t="n">
        <f aca="false">J37/I38</f>
        <v>4</v>
      </c>
      <c r="K38" s="2193" t="s">
        <v>156</v>
      </c>
    </row>
    <row r="39" customFormat="false" ht="15.5" hidden="false" customHeight="false" outlineLevel="0" collapsed="false">
      <c r="A39" s="265" t="s">
        <v>4014</v>
      </c>
      <c r="B39" s="263"/>
      <c r="C39" s="2192" t="s">
        <v>156</v>
      </c>
      <c r="D39" s="122" t="n">
        <f aca="false">дома!F1090*E39</f>
        <v>0</v>
      </c>
      <c r="E39" s="2215" t="n">
        <f aca="false">IF('Ввод данных'!A51=связи1!A201,1,0)+IF('Ввод данных'!A51=связи1!A202,1,0)+IF('Ввод данных'!A51=связи1!A203,1,0)</f>
        <v>0</v>
      </c>
      <c r="F39" s="7" t="n">
        <f aca="false">IF('Ввод данных'!A51=связи1!A201,0.124,0)+IF('Ввод данных'!A51=связи1!A202,0.174,0)+IF('Ввод данных'!A51=связи1!A203,0.224,0)</f>
        <v>0</v>
      </c>
      <c r="G39" s="7" t="n">
        <f aca="false">IF('Ввод данных'!A51=связи1!A201,0.1,0)+IF('Ввод данных'!A51=связи1!A202,0.15,0)+IF('Ввод данных'!A51=связи1!A203,0.2,0)</f>
        <v>0</v>
      </c>
      <c r="J39" s="2193" t="s">
        <v>4016</v>
      </c>
    </row>
    <row r="42" customFormat="false" ht="15.5" hidden="false" customHeight="false" outlineLevel="0" collapsed="false">
      <c r="A42" s="87" t="s">
        <v>4017</v>
      </c>
      <c r="B42" s="88" t="s">
        <v>133</v>
      </c>
      <c r="C42" s="7"/>
      <c r="D42" s="89" t="n">
        <f aca="false">(перекрытие!D3*перекрытие!E3)</f>
        <v>0</v>
      </c>
      <c r="E42" s="89" t="n">
        <f aca="false">'Прайс лист'!G161</f>
        <v>1400</v>
      </c>
      <c r="F42" s="89" t="n">
        <f aca="false">D42*E42</f>
        <v>0</v>
      </c>
      <c r="G42" s="2160"/>
      <c r="H42" s="122" t="str">
        <f aca="false">'Прайс лист'!B1597</f>
        <v>Монтаж плит ЖБИ</v>
      </c>
      <c r="I42" s="7"/>
      <c r="J42" s="89" t="n">
        <f aca="false">D42</f>
        <v>0</v>
      </c>
      <c r="K42" s="122" t="n">
        <f aca="false">'Прайс лист'!G1597</f>
        <v>200</v>
      </c>
      <c r="L42" s="122"/>
    </row>
    <row r="43" customFormat="false" ht="15.5" hidden="false" customHeight="false" outlineLevel="0" collapsed="false">
      <c r="A43" s="87" t="str">
        <f aca="false">'Прайс лист'!B230</f>
        <v>Раствор, м250</v>
      </c>
      <c r="B43" s="88" t="s">
        <v>135</v>
      </c>
      <c r="C43" s="7"/>
      <c r="D43" s="89" t="n">
        <f aca="false">(('Ввод данных'!C11+'Ввод данных'!C11)*0.2*0.15+'Ввод данных'!C11+'Ввод данных'!C11+'Ввод данных'!C12+'Ввод данных'!C12+'Ввод данных'!C112*'Ввод данных'!D112+'Ввод данных'!C113*'Ввод данных'!D113+'Ввод данных'!C114*'Ввод данных'!D114+'Ввод данных'!C115*'Ввод данных'!D115+'Ввод данных'!C120*'Ввод данных'!D120+'Ввод данных'!C121*'Ввод данных'!D121+'Ввод данных'!C122*'Ввод данных'!D122+'Ввод данных'!C123*'Ввод данных'!D123)*0.2*0.02*E3</f>
        <v>0</v>
      </c>
      <c r="E43" s="89" t="n">
        <f aca="false">'Прайс лист'!G230</f>
        <v>2500</v>
      </c>
      <c r="F43" s="89" t="n">
        <f aca="false">D43*E43</f>
        <v>0</v>
      </c>
      <c r="G43" s="2160"/>
      <c r="H43" s="122" t="str">
        <f aca="false">'Прайс лист'!B1598</f>
        <v>Монтаж опалубки</v>
      </c>
      <c r="J43" s="89" t="n">
        <f aca="false">SUM(C44:C51)*SUM(D44:D51)</f>
        <v>0</v>
      </c>
      <c r="K43" s="122" t="n">
        <f aca="false">'Прайс лист'!G1598</f>
        <v>200</v>
      </c>
      <c r="L43" s="122"/>
    </row>
    <row r="44" customFormat="false" ht="15.5" hidden="false" customHeight="false" outlineLevel="0" collapsed="false">
      <c r="A44" s="1239" t="s">
        <v>4018</v>
      </c>
      <c r="B44" s="2216" t="s">
        <v>133</v>
      </c>
      <c r="C44" s="2216" t="n">
        <f aca="false">IF('Ввод данных'!A33=связи1!A214,1,0)</f>
        <v>0</v>
      </c>
      <c r="D44" s="2217" t="n">
        <f aca="false">(перекрытие!D8*перекрытие!E8)*C44</f>
        <v>0</v>
      </c>
      <c r="E44" s="2217" t="n">
        <v>1</v>
      </c>
      <c r="F44" s="2217" t="n">
        <f aca="false">D44*E44</f>
        <v>0</v>
      </c>
      <c r="G44" s="2160"/>
      <c r="H44" s="122" t="str">
        <f aca="false">'Прайс лист'!B1599</f>
        <v>Укладка пленки гидроизоляционной</v>
      </c>
      <c r="I44" s="89"/>
      <c r="J44" s="122" t="n">
        <f aca="false">SUM(C44:C51)*SUM(D44:D51)</f>
        <v>0</v>
      </c>
      <c r="K44" s="122" t="n">
        <f aca="false">'Прайс лист'!G1599</f>
        <v>40</v>
      </c>
      <c r="L44" s="122"/>
    </row>
    <row r="45" customFormat="false" ht="15.5" hidden="false" customHeight="false" outlineLevel="0" collapsed="false">
      <c r="A45" s="1239" t="s">
        <v>4019</v>
      </c>
      <c r="B45" s="2216" t="s">
        <v>133</v>
      </c>
      <c r="C45" s="2216" t="n">
        <f aca="false">IF('Ввод данных'!A33=связи1!A215,1,0)</f>
        <v>0</v>
      </c>
      <c r="D45" s="2217" t="n">
        <f aca="false">(перекрытие!D8*перекрытие!E8)*C45</f>
        <v>0</v>
      </c>
      <c r="E45" s="2217" t="n">
        <v>1</v>
      </c>
      <c r="F45" s="2217" t="n">
        <f aca="false">D45*E45</f>
        <v>0</v>
      </c>
      <c r="G45" s="2160"/>
      <c r="H45" s="122" t="str">
        <f aca="false">'Прайс лист'!B1600</f>
        <v>Армирование перекрытия/плиты</v>
      </c>
      <c r="I45" s="89"/>
      <c r="J45" s="122" t="n">
        <f aca="false">D8*E8</f>
        <v>0</v>
      </c>
      <c r="K45" s="122" t="n">
        <f aca="false">'Прайс лист'!G1600</f>
        <v>300</v>
      </c>
      <c r="L45" s="122"/>
    </row>
    <row r="46" customFormat="false" ht="15.5" hidden="false" customHeight="false" outlineLevel="0" collapsed="false">
      <c r="A46" s="1239" t="s">
        <v>4020</v>
      </c>
      <c r="B46" s="2216" t="s">
        <v>133</v>
      </c>
      <c r="C46" s="2216" t="n">
        <f aca="false">IF('Ввод данных'!A33=связи1!A216,1,0)</f>
        <v>0</v>
      </c>
      <c r="D46" s="2217" t="n">
        <f aca="false">(перекрытие!D8*перекрытие!E8)*C46</f>
        <v>0</v>
      </c>
      <c r="E46" s="2217" t="n">
        <v>1</v>
      </c>
      <c r="F46" s="2217" t="n">
        <f aca="false">D46*E46</f>
        <v>0</v>
      </c>
      <c r="G46" s="2160"/>
      <c r="H46" s="122" t="str">
        <f aca="false">'Прайс лист'!B1605</f>
        <v>Заливка бетоном перекрытия/плиты</v>
      </c>
      <c r="I46" s="89"/>
      <c r="J46" s="122" t="n">
        <f aca="false">J45</f>
        <v>0</v>
      </c>
      <c r="K46" s="122" t="n">
        <f aca="false">'Прайс лист'!G1605</f>
        <v>350</v>
      </c>
      <c r="L46" s="122"/>
    </row>
    <row r="47" customFormat="false" ht="15.5" hidden="false" customHeight="false" outlineLevel="0" collapsed="false">
      <c r="A47" s="1239" t="s">
        <v>4021</v>
      </c>
      <c r="B47" s="2216" t="s">
        <v>133</v>
      </c>
      <c r="C47" s="2216" t="n">
        <f aca="false">IF('Ввод данных'!A33=связи1!A217,1,0)</f>
        <v>0</v>
      </c>
      <c r="D47" s="2217" t="n">
        <f aca="false">(перекрытие!D8*перекрытие!E8)*C47</f>
        <v>0</v>
      </c>
      <c r="E47" s="2217" t="n">
        <v>1</v>
      </c>
      <c r="F47" s="2217" t="n">
        <f aca="false">D47*E47</f>
        <v>0</v>
      </c>
      <c r="G47" s="2160"/>
      <c r="H47" s="122" t="str">
        <f aca="false">'Прайс лист'!B1606</f>
        <v>Монтаж перекрытий из бруса</v>
      </c>
      <c r="I47" s="89"/>
      <c r="J47" s="89" t="n">
        <f aca="false">D14*E14</f>
        <v>0</v>
      </c>
      <c r="K47" s="122" t="n">
        <f aca="false">'Прайс лист'!G1606</f>
        <v>300</v>
      </c>
      <c r="L47" s="122"/>
    </row>
    <row r="48" customFormat="false" ht="15.5" hidden="false" customHeight="false" outlineLevel="0" collapsed="false">
      <c r="A48" s="1239" t="s">
        <v>4022</v>
      </c>
      <c r="B48" s="2216" t="s">
        <v>133</v>
      </c>
      <c r="C48" s="2216" t="n">
        <f aca="false">IF('Ввод данных'!A33=связи1!A218,1,0)</f>
        <v>0</v>
      </c>
      <c r="D48" s="2217" t="n">
        <f aca="false">(перекрытие!D8*перекрытие!E8)*C48</f>
        <v>0</v>
      </c>
      <c r="E48" s="2217" t="n">
        <v>1</v>
      </c>
      <c r="F48" s="2217" t="n">
        <f aca="false">D48*E48</f>
        <v>0</v>
      </c>
      <c r="G48" s="2160"/>
      <c r="H48" s="122" t="str">
        <f aca="false">'Прайс лист'!B1607</f>
        <v>Монтаж перекрытий Сип-панели</v>
      </c>
      <c r="I48" s="89"/>
      <c r="J48" s="122" t="n">
        <f aca="false">D37*E37</f>
        <v>0</v>
      </c>
      <c r="K48" s="122" t="n">
        <f aca="false">'Прайс лист'!G1607</f>
        <v>400</v>
      </c>
      <c r="L48" s="122"/>
    </row>
    <row r="49" customFormat="false" ht="15.5" hidden="false" customHeight="false" outlineLevel="0" collapsed="false">
      <c r="A49" s="1239" t="s">
        <v>4023</v>
      </c>
      <c r="B49" s="2216" t="s">
        <v>133</v>
      </c>
      <c r="C49" s="2216" t="n">
        <f aca="false">IF('Ввод данных'!A33=связи1!A219,1,0)</f>
        <v>0</v>
      </c>
      <c r="D49" s="2217" t="n">
        <f aca="false">(перекрытие!D8*перекрытие!E8)*C49</f>
        <v>0</v>
      </c>
      <c r="E49" s="2217" t="n">
        <v>1</v>
      </c>
      <c r="F49" s="2217" t="n">
        <f aca="false">D49*E49</f>
        <v>0</v>
      </c>
      <c r="G49" s="2160"/>
      <c r="H49" s="122" t="str">
        <f aca="false">'Прайс лист'!B1608</f>
        <v>Монтаж перекрытий из сухой доски</v>
      </c>
      <c r="I49" s="89"/>
      <c r="J49" s="122" t="n">
        <f aca="false">D22*E22</f>
        <v>0</v>
      </c>
      <c r="K49" s="122" t="n">
        <f aca="false">'Прайс лист'!G1608</f>
        <v>250</v>
      </c>
      <c r="L49" s="122"/>
    </row>
    <row r="50" customFormat="false" ht="15.5" hidden="false" customHeight="false" outlineLevel="0" collapsed="false">
      <c r="A50" s="1239" t="s">
        <v>4024</v>
      </c>
      <c r="B50" s="2216" t="s">
        <v>133</v>
      </c>
      <c r="C50" s="2216" t="n">
        <f aca="false">IF('Ввод данных'!A33=связи1!A220,1,0)</f>
        <v>0</v>
      </c>
      <c r="D50" s="2217" t="n">
        <f aca="false">(перекрытие!D8*перекрытие!E8)*C50</f>
        <v>0</v>
      </c>
      <c r="E50" s="2217" t="n">
        <v>1</v>
      </c>
      <c r="F50" s="2217" t="n">
        <f aca="false">D50*E50</f>
        <v>0</v>
      </c>
      <c r="G50" s="2160"/>
      <c r="H50" s="122" t="str">
        <f aca="false">'Прайс лист'!B1609</f>
        <v>Монтаж перекрытий из двутавровой балки</v>
      </c>
      <c r="I50" s="89"/>
      <c r="J50" s="122" t="n">
        <f aca="false">D32*E32</f>
        <v>0</v>
      </c>
      <c r="K50" s="122" t="n">
        <f aca="false">'Прайс лист'!G1609</f>
        <v>300</v>
      </c>
      <c r="L50" s="122"/>
    </row>
    <row r="51" customFormat="false" ht="15.5" hidden="false" customHeight="false" outlineLevel="0" collapsed="false">
      <c r="A51" s="1239" t="s">
        <v>4025</v>
      </c>
      <c r="B51" s="2216" t="s">
        <v>133</v>
      </c>
      <c r="C51" s="2216" t="n">
        <f aca="false">IF('Ввод данных'!A33=связи1!A221,1,0)</f>
        <v>0</v>
      </c>
      <c r="D51" s="2217" t="n">
        <f aca="false">(перекрытие!D8*перекрытие!E8)*C51</f>
        <v>0</v>
      </c>
      <c r="E51" s="2217" t="n">
        <v>1</v>
      </c>
      <c r="F51" s="2217" t="n">
        <f aca="false">D51*E51</f>
        <v>0</v>
      </c>
      <c r="G51" s="2160"/>
      <c r="H51" s="122" t="str">
        <f aca="false">'Прайс лист'!B1610</f>
        <v>Монтаж перекрестного пола</v>
      </c>
      <c r="I51" s="89"/>
      <c r="J51" s="122" t="n">
        <f aca="false">D19*E19</f>
        <v>0</v>
      </c>
      <c r="K51" s="122" t="n">
        <f aca="false">'Прайс лист'!G1610</f>
        <v>200</v>
      </c>
      <c r="L51" s="122"/>
    </row>
    <row r="52" customFormat="false" ht="15.5" hidden="false" customHeight="false" outlineLevel="0" collapsed="false">
      <c r="A52" s="87" t="s">
        <v>4026</v>
      </c>
      <c r="B52" s="88" t="s">
        <v>135</v>
      </c>
      <c r="C52" s="7"/>
      <c r="D52" s="89" t="n">
        <f aca="false">((D8/5+5*2)*перекрытие!E8*перекрытие!F8*2+D8*1.1*E8)*0.05*1.1</f>
        <v>0</v>
      </c>
      <c r="E52" s="89" t="n">
        <f aca="false">'Прайс лист'!G291</f>
        <v>6500</v>
      </c>
      <c r="F52" s="2217" t="n">
        <f aca="false">D52*E52</f>
        <v>0</v>
      </c>
      <c r="G52" s="2160"/>
      <c r="H52" s="122" t="str">
        <f aca="false">'Прайс лист'!B1612</f>
        <v>Монтаж утеплителя перекрытия</v>
      </c>
      <c r="I52" s="7"/>
      <c r="J52" s="7" t="n">
        <f aca="false">C96*дома!F1086</f>
        <v>100</v>
      </c>
      <c r="K52" s="122" t="n">
        <f aca="false">'Прайс лист'!G1612</f>
        <v>200</v>
      </c>
      <c r="L52" s="122"/>
    </row>
    <row r="53" customFormat="false" ht="15.5" hidden="false" customHeight="false" outlineLevel="0" collapsed="false">
      <c r="A53" s="87" t="s">
        <v>3998</v>
      </c>
      <c r="B53" s="88" t="s">
        <v>159</v>
      </c>
      <c r="C53" s="7"/>
      <c r="D53" s="89" t="n">
        <f aca="false">SUM(D44:D51)</f>
        <v>0</v>
      </c>
      <c r="E53" s="89" t="n">
        <v>0</v>
      </c>
      <c r="F53" s="2217" t="n">
        <f aca="false">D53*E53</f>
        <v>0</v>
      </c>
      <c r="G53" s="2160"/>
      <c r="H53" s="122" t="str">
        <f aca="false">'Прайс лист'!B1614</f>
        <v>Монтаж ветроизоляции перекрытий</v>
      </c>
      <c r="I53" s="7"/>
      <c r="J53" s="7" t="n">
        <f aca="false">дома!F1086*C97</f>
        <v>0</v>
      </c>
      <c r="K53" s="122" t="n">
        <f aca="false">'Прайс лист'!G1614</f>
        <v>100</v>
      </c>
      <c r="L53" s="122"/>
    </row>
    <row r="54" customFormat="false" ht="15.5" hidden="false" customHeight="false" outlineLevel="0" collapsed="false">
      <c r="A54" s="87" t="str">
        <f aca="false">'Прайс лист'!B215</f>
        <v>Пленка гидроизоляционная</v>
      </c>
      <c r="B54" s="88" t="s">
        <v>133</v>
      </c>
      <c r="C54" s="7"/>
      <c r="D54" s="89" t="n">
        <f aca="false">(перекрытие!D8*перекрытие!E8*1.3)</f>
        <v>0</v>
      </c>
      <c r="E54" s="89" t="n">
        <f aca="false">'Прайс лист'!G215</f>
        <v>15</v>
      </c>
      <c r="F54" s="2217" t="n">
        <f aca="false">D54*E54</f>
        <v>0</v>
      </c>
      <c r="G54" s="2160"/>
      <c r="H54" s="122" t="str">
        <f aca="false">'Прайс лист'!B1615</f>
        <v>Монтаж пароизоляции перекрытий</v>
      </c>
      <c r="I54" s="7"/>
      <c r="J54" s="7" t="n">
        <f aca="false">дома!F1086*C98</f>
        <v>0</v>
      </c>
      <c r="K54" s="122" t="n">
        <f aca="false">'Прайс лист'!G1615</f>
        <v>100</v>
      </c>
      <c r="L54" s="122"/>
    </row>
    <row r="55" customFormat="false" ht="15.5" hidden="false" customHeight="false" outlineLevel="0" collapsed="false">
      <c r="A55" s="87" t="str">
        <f aca="false">'Ввод данных'!D33</f>
        <v>Арматура М10</v>
      </c>
      <c r="B55" s="88" t="s">
        <v>156</v>
      </c>
      <c r="C55" s="7"/>
      <c r="D55" s="89" t="n">
        <f aca="false">(1/перекрытие!J8*2*перекрытие!H8*перекрытие!E8*перекрытие!D8)</f>
        <v>0</v>
      </c>
      <c r="E55" s="89" t="n">
        <f aca="false">VLOOKUP(A55,связи1!A399:B405,2,0)</f>
        <v>21.0397</v>
      </c>
      <c r="F55" s="2217" t="n">
        <f aca="false">D55*E55</f>
        <v>0</v>
      </c>
      <c r="G55" s="2160"/>
      <c r="H55" s="122" t="str">
        <f aca="false">'Прайс лист'!B1597</f>
        <v>Монтаж плит ЖБИ</v>
      </c>
      <c r="I55" s="7"/>
      <c r="J55" s="89" t="n">
        <f aca="false">D101</f>
        <v>0</v>
      </c>
      <c r="K55" s="122" t="n">
        <f aca="false">K42</f>
        <v>200</v>
      </c>
      <c r="L55" s="122"/>
    </row>
    <row r="56" customFormat="false" ht="15.5" hidden="false" customHeight="false" outlineLevel="0" collapsed="false">
      <c r="A56" s="87" t="str">
        <f aca="false">'Прайс лист'!B212</f>
        <v>Вязальная проволока</v>
      </c>
      <c r="B56" s="88" t="s">
        <v>188</v>
      </c>
      <c r="C56" s="7"/>
      <c r="D56" s="89" t="n">
        <f aca="false">D55/40</f>
        <v>0</v>
      </c>
      <c r="E56" s="89" t="n">
        <f aca="false">'Прайс лист'!G212</f>
        <v>80</v>
      </c>
      <c r="F56" s="2217" t="n">
        <f aca="false">D56*E56</f>
        <v>0</v>
      </c>
      <c r="G56" s="2160"/>
      <c r="H56" s="122" t="str">
        <f aca="false">'Прайс лист'!B1598</f>
        <v>Монтаж опалубки</v>
      </c>
      <c r="I56" s="7"/>
      <c r="J56" s="89" t="n">
        <f aca="false">SUM(C103:C110)*SUM(D103:D110)</f>
        <v>0</v>
      </c>
      <c r="K56" s="122" t="n">
        <f aca="false">K43</f>
        <v>200</v>
      </c>
      <c r="L56" s="122"/>
    </row>
    <row r="57" customFormat="false" ht="15.5" hidden="false" customHeight="false" outlineLevel="0" collapsed="false">
      <c r="A57" s="87" t="str">
        <f aca="false">'Прайс лист'!B214</f>
        <v>Подставка под арматурный каркас</v>
      </c>
      <c r="B57" s="88" t="s">
        <v>159</v>
      </c>
      <c r="C57" s="7"/>
      <c r="D57" s="89" t="n">
        <f aca="false">(перекрытие!D8*перекрытие!E8)*4</f>
        <v>0</v>
      </c>
      <c r="E57" s="89" t="n">
        <f aca="false">'Прайс лист'!G214</f>
        <v>5</v>
      </c>
      <c r="F57" s="2217" t="n">
        <f aca="false">D57*E57</f>
        <v>0</v>
      </c>
      <c r="G57" s="2160"/>
      <c r="H57" s="122" t="str">
        <f aca="false">'Прайс лист'!B1599</f>
        <v>Укладка пленки гидроизоляционной</v>
      </c>
      <c r="I57" s="89"/>
      <c r="J57" s="122" t="n">
        <f aca="false">SUM(C103:C110)*SUM(D103:D110)</f>
        <v>0</v>
      </c>
      <c r="K57" s="122" t="n">
        <f aca="false">K44</f>
        <v>40</v>
      </c>
      <c r="L57" s="122"/>
    </row>
    <row r="58" customFormat="false" ht="15.5" hidden="false" customHeight="false" outlineLevel="0" collapsed="false">
      <c r="A58" s="87" t="s">
        <v>4027</v>
      </c>
      <c r="B58" s="88" t="s">
        <v>135</v>
      </c>
      <c r="C58" s="7"/>
      <c r="D58" s="89" t="n">
        <f aca="false">(перекрытие!D8*перекрытие!E8*перекрытие!F8)</f>
        <v>0</v>
      </c>
      <c r="E58" s="89" t="n">
        <f aca="false">'Прайс лист'!G228</f>
        <v>3500</v>
      </c>
      <c r="F58" s="2217" t="n">
        <f aca="false">D58*E58</f>
        <v>0</v>
      </c>
      <c r="G58" s="2160"/>
      <c r="H58" s="122" t="str">
        <f aca="false">'Прайс лист'!B1600</f>
        <v>Армирование перекрытия/плиты</v>
      </c>
      <c r="I58" s="89"/>
      <c r="J58" s="122" t="n">
        <f aca="false">D9*E9</f>
        <v>0</v>
      </c>
      <c r="K58" s="122" t="n">
        <f aca="false">K45</f>
        <v>300</v>
      </c>
      <c r="L58" s="122"/>
    </row>
    <row r="59" customFormat="false" ht="15.5" hidden="false" customHeight="false" outlineLevel="0" collapsed="false">
      <c r="A59" s="957" t="s">
        <v>4028</v>
      </c>
      <c r="B59" s="1121" t="s">
        <v>135</v>
      </c>
      <c r="C59" s="1121" t="n">
        <f aca="false">IF('Ввод данных'!A33=связи1!A204,1,0)</f>
        <v>0</v>
      </c>
      <c r="D59" s="2218" t="n">
        <f aca="false">((дома!D1319/перекрытие!J14)*(дома!C1319)*перекрытие!F14*перекрытие!G14*перекрытие!E14)*C59</f>
        <v>0</v>
      </c>
      <c r="E59" s="2218" t="n">
        <f aca="false">связи1!D204</f>
        <v>6500</v>
      </c>
      <c r="F59" s="2218" t="n">
        <f aca="false">D59*E59</f>
        <v>0</v>
      </c>
      <c r="G59" s="2160"/>
      <c r="H59" s="122" t="str">
        <f aca="false">'Прайс лист'!B1605</f>
        <v>Заливка бетоном перекрытия/плиты</v>
      </c>
      <c r="I59" s="89"/>
      <c r="J59" s="122" t="n">
        <f aca="false">J58</f>
        <v>0</v>
      </c>
      <c r="K59" s="122" t="n">
        <f aca="false">K46</f>
        <v>350</v>
      </c>
      <c r="L59" s="122"/>
    </row>
    <row r="60" customFormat="false" ht="15.5" hidden="false" customHeight="false" outlineLevel="0" collapsed="false">
      <c r="A60" s="957" t="s">
        <v>4029</v>
      </c>
      <c r="B60" s="1121" t="s">
        <v>135</v>
      </c>
      <c r="C60" s="1121" t="n">
        <f aca="false">IF('Ввод данных'!A33=связи1!A205,1,0)</f>
        <v>0</v>
      </c>
      <c r="D60" s="2218" t="n">
        <f aca="false">((дома!D1319/перекрытие!J14)*(дома!C1319)*перекрытие!F14*перекрытие!G14*перекрытие!E14)*C60</f>
        <v>0</v>
      </c>
      <c r="E60" s="2218" t="n">
        <f aca="false">связи1!D205</f>
        <v>6500</v>
      </c>
      <c r="F60" s="2218" t="n">
        <f aca="false">D60*E60</f>
        <v>0</v>
      </c>
      <c r="G60" s="2160"/>
      <c r="H60" s="122" t="str">
        <f aca="false">'Прайс лист'!B1606</f>
        <v>Монтаж перекрытий из бруса</v>
      </c>
      <c r="I60" s="89"/>
      <c r="J60" s="89" t="n">
        <f aca="false">D15*E15</f>
        <v>0</v>
      </c>
      <c r="K60" s="122" t="n">
        <f aca="false">K47</f>
        <v>300</v>
      </c>
      <c r="L60" s="122"/>
    </row>
    <row r="61" customFormat="false" ht="15.5" hidden="false" customHeight="false" outlineLevel="0" collapsed="false">
      <c r="A61" s="957" t="s">
        <v>1967</v>
      </c>
      <c r="B61" s="1121" t="s">
        <v>135</v>
      </c>
      <c r="C61" s="1121" t="n">
        <f aca="false">IF('Ввод данных'!A33=связи1!A206,1,0)</f>
        <v>0</v>
      </c>
      <c r="D61" s="2218" t="n">
        <f aca="false">((дома!D1319/перекрытие!J14)*(дома!C1319)*перекрытие!F14*перекрытие!G14*перекрытие!E14)*C61</f>
        <v>0</v>
      </c>
      <c r="E61" s="2218" t="n">
        <f aca="false">связи1!D206</f>
        <v>6500</v>
      </c>
      <c r="F61" s="2218" t="n">
        <f aca="false">D61*E61</f>
        <v>0</v>
      </c>
      <c r="G61" s="2160"/>
      <c r="H61" s="122" t="str">
        <f aca="false">'Прайс лист'!B1607</f>
        <v>Монтаж перекрытий Сип-панели</v>
      </c>
      <c r="I61" s="89"/>
      <c r="J61" s="122" t="n">
        <f aca="false">D38*E38</f>
        <v>0</v>
      </c>
      <c r="K61" s="122" t="n">
        <f aca="false">K48</f>
        <v>400</v>
      </c>
      <c r="L61" s="122"/>
    </row>
    <row r="62" customFormat="false" ht="15.5" hidden="false" customHeight="false" outlineLevel="0" collapsed="false">
      <c r="A62" s="957" t="s">
        <v>2366</v>
      </c>
      <c r="B62" s="1121" t="s">
        <v>135</v>
      </c>
      <c r="C62" s="1121" t="n">
        <f aca="false">IF('Ввод данных'!A33=связи1!A207,1,0)</f>
        <v>0</v>
      </c>
      <c r="D62" s="2218" t="n">
        <f aca="false">((дома!D1319/перекрытие!J14)*(дома!C1319)*перекрытие!F14*перекрытие!G14*перекрытие!E14)*C62</f>
        <v>0</v>
      </c>
      <c r="E62" s="2218" t="n">
        <f aca="false">связи1!D207</f>
        <v>6500</v>
      </c>
      <c r="F62" s="2218" t="n">
        <f aca="false">D62*E62</f>
        <v>0</v>
      </c>
      <c r="G62" s="2160"/>
      <c r="H62" s="122" t="str">
        <f aca="false">'Прайс лист'!B1608</f>
        <v>Монтаж перекрытий из сухой доски</v>
      </c>
      <c r="I62" s="89"/>
      <c r="J62" s="122" t="n">
        <f aca="false">D28*E28</f>
        <v>0</v>
      </c>
      <c r="K62" s="122" t="n">
        <f aca="false">K49</f>
        <v>250</v>
      </c>
      <c r="L62" s="122"/>
    </row>
    <row r="63" customFormat="false" ht="15.5" hidden="false" customHeight="false" outlineLevel="0" collapsed="false">
      <c r="A63" s="957" t="s">
        <v>2068</v>
      </c>
      <c r="B63" s="1121" t="s">
        <v>135</v>
      </c>
      <c r="C63" s="1121" t="n">
        <f aca="false">IF('Ввод данных'!A33=связи1!A208,1,0)</f>
        <v>0</v>
      </c>
      <c r="D63" s="2218" t="n">
        <f aca="false">((дома!D1319/перекрытие!J14)*(дома!C1319)*перекрытие!F14*перекрытие!G14*перекрытие!E14)*C63</f>
        <v>0</v>
      </c>
      <c r="E63" s="2218" t="n">
        <f aca="false">связи1!D208</f>
        <v>6500</v>
      </c>
      <c r="F63" s="2218" t="n">
        <f aca="false">D63*E63</f>
        <v>0</v>
      </c>
      <c r="G63" s="2160"/>
      <c r="H63" s="122" t="str">
        <f aca="false">'Прайс лист'!B1609</f>
        <v>Монтаж перекрытий из двутавровой балки</v>
      </c>
      <c r="I63" s="89"/>
      <c r="J63" s="122" t="n">
        <f aca="false">D33*E33</f>
        <v>0</v>
      </c>
      <c r="K63" s="122" t="n">
        <f aca="false">K50</f>
        <v>300</v>
      </c>
      <c r="L63" s="122"/>
    </row>
    <row r="64" customFormat="false" ht="15.5" hidden="false" customHeight="false" outlineLevel="0" collapsed="false">
      <c r="A64" s="957" t="s">
        <v>4030</v>
      </c>
      <c r="B64" s="1121" t="s">
        <v>135</v>
      </c>
      <c r="C64" s="1121" t="n">
        <f aca="false">IF('Ввод данных'!A33=связи1!A209,1,0)</f>
        <v>0</v>
      </c>
      <c r="D64" s="2218" t="n">
        <f aca="false">((дома!D1319/перекрытие!J14)*(дома!C1319)*перекрытие!F14*перекрытие!G14*перекрытие!E14)*C64</f>
        <v>0</v>
      </c>
      <c r="E64" s="2218" t="n">
        <f aca="false">связи1!D209</f>
        <v>6500</v>
      </c>
      <c r="F64" s="2218" t="n">
        <f aca="false">D64*E64</f>
        <v>0</v>
      </c>
      <c r="G64" s="2160"/>
      <c r="H64" s="122"/>
      <c r="I64" s="89"/>
      <c r="J64" s="122"/>
      <c r="K64" s="122"/>
      <c r="L64" s="122"/>
    </row>
    <row r="65" customFormat="false" ht="15.5" hidden="false" customHeight="false" outlineLevel="0" collapsed="false">
      <c r="A65" s="87" t="str">
        <f aca="false">'Прайс лист'!B853</f>
        <v>Опора бруса</v>
      </c>
      <c r="B65" s="88" t="s">
        <v>159</v>
      </c>
      <c r="C65" s="88"/>
      <c r="D65" s="89" t="n">
        <f aca="false">CEILING((D14*E14)*1.1,1)</f>
        <v>0</v>
      </c>
      <c r="E65" s="89" t="n">
        <f aca="false">'Прайс лист'!G853</f>
        <v>50</v>
      </c>
      <c r="F65" s="2218" t="n">
        <f aca="false">D65*E65</f>
        <v>0</v>
      </c>
      <c r="G65" s="2160"/>
      <c r="H65" s="122" t="str">
        <f aca="false">'Прайс лист'!B1612</f>
        <v>Монтаж утеплителя перекрытия</v>
      </c>
      <c r="I65" s="7"/>
      <c r="J65" s="7" t="n">
        <f aca="false">C96*дома!F1087</f>
        <v>100</v>
      </c>
      <c r="K65" s="122" t="n">
        <f aca="false">K52</f>
        <v>200</v>
      </c>
      <c r="L65" s="122"/>
    </row>
    <row r="66" customFormat="false" ht="15.5" hidden="false" customHeight="false" outlineLevel="0" collapsed="false">
      <c r="A66" s="87" t="str">
        <f aca="false">'Прайс лист'!B859</f>
        <v>Болты анкерные с гайкой 8,0 x 60</v>
      </c>
      <c r="B66" s="88" t="s">
        <v>159</v>
      </c>
      <c r="C66" s="88"/>
      <c r="D66" s="89" t="n">
        <f aca="false">D65*4</f>
        <v>0</v>
      </c>
      <c r="E66" s="89" t="n">
        <f aca="false">'Прайс лист'!G859</f>
        <v>4</v>
      </c>
      <c r="F66" s="2218" t="n">
        <f aca="false">D66*E66</f>
        <v>0</v>
      </c>
      <c r="G66" s="2160"/>
      <c r="H66" s="122" t="str">
        <f aca="false">'Прайс лист'!B1614</f>
        <v>Монтаж ветроизоляции перекрытий</v>
      </c>
      <c r="I66" s="7"/>
      <c r="J66" s="7" t="n">
        <f aca="false">дома!F1087*C156</f>
        <v>0</v>
      </c>
      <c r="K66" s="122" t="n">
        <f aca="false">K53</f>
        <v>100</v>
      </c>
      <c r="L66" s="122"/>
    </row>
    <row r="67" customFormat="false" ht="15.5" hidden="false" customHeight="false" outlineLevel="0" collapsed="false">
      <c r="A67" s="957" t="str">
        <f aca="false">связи1!A201</f>
        <v>Sip панель 2500*625*124мм</v>
      </c>
      <c r="B67" s="1213" t="s">
        <v>133</v>
      </c>
      <c r="C67" s="1121" t="n">
        <f aca="false">IF('Ввод данных'!A33=связи1!A201,1,0)</f>
        <v>0</v>
      </c>
      <c r="D67" s="2218" t="n">
        <f aca="false">D37*E37*C67</f>
        <v>0</v>
      </c>
      <c r="E67" s="2218" t="n">
        <f aca="false">'Прайс лист'!G259</f>
        <v>800</v>
      </c>
      <c r="F67" s="2218" t="n">
        <f aca="false">D67*E67</f>
        <v>0</v>
      </c>
      <c r="G67" s="2160"/>
      <c r="H67" s="122" t="str">
        <f aca="false">'Прайс лист'!B1615</f>
        <v>Монтаж пароизоляции перекрытий</v>
      </c>
      <c r="I67" s="7"/>
      <c r="J67" s="7" t="n">
        <f aca="false">дома!F1087*C157</f>
        <v>0</v>
      </c>
      <c r="K67" s="122" t="n">
        <f aca="false">K54</f>
        <v>100</v>
      </c>
      <c r="L67" s="122"/>
    </row>
    <row r="68" customFormat="false" ht="15.5" hidden="false" customHeight="false" outlineLevel="0" collapsed="false">
      <c r="A68" s="957" t="str">
        <f aca="false">связи1!A202</f>
        <v>Sip панель 2500*625*174мм</v>
      </c>
      <c r="B68" s="1213" t="s">
        <v>133</v>
      </c>
      <c r="C68" s="1121" t="n">
        <f aca="false">IF('Ввод данных'!A33=связи1!A202,1,0)</f>
        <v>0</v>
      </c>
      <c r="D68" s="2218" t="n">
        <f aca="false">D37*E37*C68</f>
        <v>0</v>
      </c>
      <c r="E68" s="2218" t="n">
        <f aca="false">'Прайс лист'!G260</f>
        <v>1200</v>
      </c>
      <c r="F68" s="2218" t="n">
        <f aca="false">D68*E68</f>
        <v>0</v>
      </c>
      <c r="G68" s="2160"/>
      <c r="H68" s="122" t="str">
        <f aca="false">'Прайс лист'!B1597</f>
        <v>Монтаж плит ЖБИ</v>
      </c>
      <c r="I68" s="7"/>
      <c r="J68" s="89" t="n">
        <f aca="false">D160</f>
        <v>0</v>
      </c>
      <c r="K68" s="122" t="n">
        <f aca="false">K42</f>
        <v>200</v>
      </c>
      <c r="L68" s="122"/>
    </row>
    <row r="69" customFormat="false" ht="15.5" hidden="false" customHeight="false" outlineLevel="0" collapsed="false">
      <c r="A69" s="957" t="str">
        <f aca="false">связи1!A203</f>
        <v>Sip панель 2500*625*224мм</v>
      </c>
      <c r="B69" s="1213" t="s">
        <v>133</v>
      </c>
      <c r="C69" s="1121" t="n">
        <f aca="false">IF('Ввод данных'!A33=связи1!A203,1,0)</f>
        <v>0</v>
      </c>
      <c r="D69" s="2218" t="n">
        <f aca="false">D37*E37*C69</f>
        <v>0</v>
      </c>
      <c r="E69" s="2218" t="n">
        <f aca="false">'Прайс лист'!G270</f>
        <v>1400</v>
      </c>
      <c r="F69" s="2218" t="n">
        <f aca="false">D69*E69</f>
        <v>0</v>
      </c>
      <c r="G69" s="2160"/>
      <c r="H69" s="122" t="str">
        <f aca="false">'Прайс лист'!B1598</f>
        <v>Монтаж опалубки</v>
      </c>
      <c r="I69" s="89"/>
      <c r="J69" s="89" t="n">
        <f aca="false">SUM(C162:C169)*SUM(D162:D169)</f>
        <v>0</v>
      </c>
      <c r="K69" s="122" t="n">
        <f aca="false">K43</f>
        <v>200</v>
      </c>
      <c r="L69" s="122"/>
    </row>
    <row r="70" customFormat="false" ht="15.5" hidden="false" customHeight="false" outlineLevel="0" collapsed="false">
      <c r="A70" s="933" t="s">
        <v>2312</v>
      </c>
      <c r="B70" s="887" t="s">
        <v>156</v>
      </c>
      <c r="C70" s="88"/>
      <c r="D70" s="89" t="n">
        <f aca="false">D67*C67*1.05*4</f>
        <v>0</v>
      </c>
      <c r="E70" s="89" t="n">
        <f aca="false">'Прайс лист'!F319</f>
        <v>45</v>
      </c>
      <c r="F70" s="2218" t="n">
        <f aca="false">D70*E70</f>
        <v>0</v>
      </c>
      <c r="G70" s="2160"/>
      <c r="H70" s="122" t="str">
        <f aca="false">'Прайс лист'!B1599</f>
        <v>Укладка пленки гидроизоляционной</v>
      </c>
      <c r="I70" s="89"/>
      <c r="J70" s="122" t="n">
        <f aca="false">SUM(C162:C169)*SUM(D162:D169)</f>
        <v>0</v>
      </c>
      <c r="K70" s="122" t="n">
        <f aca="false">K44</f>
        <v>40</v>
      </c>
      <c r="L70" s="122"/>
    </row>
    <row r="71" customFormat="false" ht="15.5" hidden="false" customHeight="false" outlineLevel="0" collapsed="false">
      <c r="A71" s="933" t="s">
        <v>2134</v>
      </c>
      <c r="B71" s="887" t="s">
        <v>156</v>
      </c>
      <c r="C71" s="88"/>
      <c r="D71" s="89" t="n">
        <f aca="false">D68*C68*1.05*4</f>
        <v>0</v>
      </c>
      <c r="E71" s="89" t="n">
        <f aca="false">'Прайс лист'!F318</f>
        <v>67.5</v>
      </c>
      <c r="F71" s="2218" t="n">
        <f aca="false">D71*E71</f>
        <v>0</v>
      </c>
      <c r="G71" s="2160"/>
      <c r="H71" s="122" t="str">
        <f aca="false">'Прайс лист'!B1600</f>
        <v>Армирование перекрытия/плиты</v>
      </c>
      <c r="I71" s="89"/>
      <c r="J71" s="122" t="n">
        <f aca="false">D10*E10</f>
        <v>0</v>
      </c>
      <c r="K71" s="122" t="n">
        <f aca="false">K45</f>
        <v>300</v>
      </c>
      <c r="L71" s="122"/>
    </row>
    <row r="72" customFormat="false" ht="15.5" hidden="false" customHeight="false" outlineLevel="0" collapsed="false">
      <c r="A72" s="933" t="s">
        <v>1908</v>
      </c>
      <c r="B72" s="887" t="s">
        <v>156</v>
      </c>
      <c r="C72" s="88"/>
      <c r="D72" s="89" t="n">
        <f aca="false">D69*C69*1.05*4</f>
        <v>0</v>
      </c>
      <c r="E72" s="89" t="n">
        <f aca="false">'Прайс лист'!F316</f>
        <v>90</v>
      </c>
      <c r="F72" s="2218" t="n">
        <f aca="false">D72*E72</f>
        <v>0</v>
      </c>
      <c r="G72" s="2160"/>
      <c r="H72" s="122" t="str">
        <f aca="false">'Прайс лист'!B1605</f>
        <v>Заливка бетоном перекрытия/плиты</v>
      </c>
      <c r="I72" s="89"/>
      <c r="J72" s="122" t="n">
        <f aca="false">J71</f>
        <v>0</v>
      </c>
      <c r="K72" s="122" t="n">
        <f aca="false">K46</f>
        <v>350</v>
      </c>
      <c r="L72" s="122"/>
    </row>
    <row r="73" customFormat="false" ht="15.5" hidden="false" customHeight="false" outlineLevel="0" collapsed="false">
      <c r="A73" s="7" t="str">
        <f aca="false">'Прайс лист'!B903</f>
        <v>Пена монтажная, всесезонняя 800мл</v>
      </c>
      <c r="B73" s="230" t="s">
        <v>159</v>
      </c>
      <c r="C73" s="88"/>
      <c r="D73" s="89" t="n">
        <f aca="false">CEILING(SUM(D70:D72)/12,1)</f>
        <v>0</v>
      </c>
      <c r="E73" s="89" t="n">
        <f aca="false">'Прайс лист'!G903</f>
        <v>300</v>
      </c>
      <c r="F73" s="2218" t="n">
        <f aca="false">D73*E73</f>
        <v>0</v>
      </c>
      <c r="G73" s="2160"/>
      <c r="H73" s="122" t="str">
        <f aca="false">'Прайс лист'!B1606</f>
        <v>Монтаж перекрытий из бруса</v>
      </c>
      <c r="I73" s="89"/>
      <c r="J73" s="89" t="n">
        <f aca="false">D16*E16</f>
        <v>0</v>
      </c>
      <c r="K73" s="122" t="n">
        <f aca="false">K47</f>
        <v>300</v>
      </c>
      <c r="L73" s="122"/>
    </row>
    <row r="74" customFormat="false" ht="15.5" hidden="false" customHeight="false" outlineLevel="0" collapsed="false">
      <c r="A74" s="7" t="str">
        <f aca="false">A194</f>
        <v>Гвозди строительные 3,5 x 90</v>
      </c>
      <c r="B74" s="230" t="s">
        <v>159</v>
      </c>
      <c r="C74" s="88"/>
      <c r="D74" s="89" t="n">
        <f aca="false">SUM(D70:D72)</f>
        <v>0</v>
      </c>
      <c r="E74" s="89" t="n">
        <f aca="false">'Прайс лист'!F890</f>
        <v>45</v>
      </c>
      <c r="F74" s="2218" t="n">
        <f aca="false">D74*E74</f>
        <v>0</v>
      </c>
      <c r="G74" s="2160"/>
      <c r="H74" s="122" t="str">
        <f aca="false">'Прайс лист'!B1607</f>
        <v>Монтаж перекрытий Сип-панели</v>
      </c>
      <c r="I74" s="89"/>
      <c r="J74" s="122" t="n">
        <f aca="false">D39*E39</f>
        <v>0</v>
      </c>
      <c r="K74" s="122" t="n">
        <f aca="false">K48</f>
        <v>400</v>
      </c>
      <c r="L74" s="122"/>
    </row>
    <row r="75" customFormat="false" ht="15.5" hidden="false" customHeight="false" outlineLevel="0" collapsed="false">
      <c r="A75" s="7" t="str">
        <f aca="false">A195</f>
        <v>Саморезы 3,5 x 45</v>
      </c>
      <c r="B75" s="230" t="s">
        <v>159</v>
      </c>
      <c r="C75" s="88"/>
      <c r="D75" s="89" t="n">
        <f aca="false">SUM(D70:D72)*20</f>
        <v>0</v>
      </c>
      <c r="E75" s="89" t="n">
        <f aca="false">E195</f>
        <v>0.25</v>
      </c>
      <c r="F75" s="2218" t="n">
        <f aca="false">D75*E75</f>
        <v>0</v>
      </c>
      <c r="G75" s="2160"/>
      <c r="H75" s="122" t="str">
        <f aca="false">'Прайс лист'!B1608</f>
        <v>Монтаж перекрытий из сухой доски</v>
      </c>
      <c r="I75" s="89"/>
      <c r="J75" s="122" t="n">
        <f aca="false">D29*E29</f>
        <v>0</v>
      </c>
      <c r="K75" s="122" t="n">
        <f aca="false">K49</f>
        <v>250</v>
      </c>
      <c r="L75" s="122"/>
    </row>
    <row r="76" customFormat="false" ht="15.5" hidden="false" customHeight="false" outlineLevel="0" collapsed="false">
      <c r="A76" s="1022" t="s">
        <v>1908</v>
      </c>
      <c r="B76" s="2219" t="s">
        <v>135</v>
      </c>
      <c r="C76" s="2220" t="n">
        <f aca="false">IF('Ввод данных'!A33=связи1!A210,1,0)</f>
        <v>0</v>
      </c>
      <c r="D76" s="2220" t="n">
        <f aca="false">((дома!D1319/перекрытие!J22)*(дома!C1319)+(CEILING(дома!C1319/2.5-1,1))*дома!D1319)*перекрытие!E22*перекрытие!F22*перекрытие!G22*C76*1.05</f>
        <v>0</v>
      </c>
      <c r="E76" s="2220" t="n">
        <f aca="false">'Прайс лист'!G316</f>
        <v>9000</v>
      </c>
      <c r="F76" s="2221" t="n">
        <f aca="false">D76*E76</f>
        <v>0</v>
      </c>
      <c r="G76" s="2160"/>
      <c r="H76" s="122" t="str">
        <f aca="false">'Прайс лист'!B1609</f>
        <v>Монтаж перекрытий из двутавровой балки</v>
      </c>
      <c r="I76" s="89"/>
      <c r="J76" s="122" t="n">
        <f aca="false">D34*E34</f>
        <v>0</v>
      </c>
      <c r="K76" s="122" t="n">
        <f aca="false">K50</f>
        <v>300</v>
      </c>
      <c r="L76" s="122"/>
    </row>
    <row r="77" customFormat="false" ht="15.5" hidden="false" customHeight="false" outlineLevel="0" collapsed="false">
      <c r="A77" s="1022" t="s">
        <v>2134</v>
      </c>
      <c r="B77" s="2219" t="s">
        <v>135</v>
      </c>
      <c r="C77" s="2220" t="n">
        <f aca="false">IF('Ввод данных'!A33=связи1!A211,1,0)</f>
        <v>0</v>
      </c>
      <c r="D77" s="2220" t="n">
        <f aca="false">((дома!D1319/перекрытие!J22)*(дома!C1319)+(CEILING(дома!C1319/2.5-1,1))*дома!D1319)*перекрытие!E22*перекрытие!F22*перекрытие!G22*C77*1.05</f>
        <v>0</v>
      </c>
      <c r="E77" s="2220" t="n">
        <f aca="false">'Прайс лист'!G318</f>
        <v>9000</v>
      </c>
      <c r="F77" s="2221" t="n">
        <f aca="false">D77*E77</f>
        <v>0</v>
      </c>
      <c r="G77" s="2160"/>
      <c r="H77" s="122"/>
      <c r="I77" s="89"/>
      <c r="J77" s="122"/>
      <c r="K77" s="122"/>
      <c r="L77" s="122"/>
    </row>
    <row r="78" customFormat="false" ht="15.5" hidden="false" customHeight="false" outlineLevel="0" collapsed="false">
      <c r="A78" s="933" t="str">
        <f aca="false">'Прайс лист'!B898</f>
        <v>Гвозди ершоные 2,8 х 90</v>
      </c>
      <c r="B78" s="230" t="s">
        <v>188</v>
      </c>
      <c r="C78" s="8"/>
      <c r="D78" s="8" t="n">
        <f aca="false">SUM(D76:D77)*6</f>
        <v>0</v>
      </c>
      <c r="E78" s="8" t="n">
        <f aca="false">'Прайс лист'!G898</f>
        <v>76.49</v>
      </c>
      <c r="F78" s="2221" t="n">
        <f aca="false">(D78*E78)*(C76+C77)</f>
        <v>0</v>
      </c>
      <c r="G78" s="2160"/>
      <c r="H78" s="122" t="str">
        <f aca="false">'Прайс лист'!B1612</f>
        <v>Монтаж утеплителя перекрытия</v>
      </c>
      <c r="I78" s="89"/>
      <c r="J78" s="122" t="n">
        <f aca="false">дома!F1090*перекрытие!C216</f>
        <v>0</v>
      </c>
      <c r="K78" s="122" t="n">
        <f aca="false">K52</f>
        <v>200</v>
      </c>
      <c r="L78" s="122"/>
    </row>
    <row r="79" customFormat="false" ht="15.5" hidden="false" customHeight="false" outlineLevel="0" collapsed="false">
      <c r="A79" s="989" t="s">
        <v>2026</v>
      </c>
      <c r="B79" s="2222" t="s">
        <v>135</v>
      </c>
      <c r="C79" s="2223" t="n">
        <f aca="false">IF('Ввод данных'!A33=связи1!A212,1,0)</f>
        <v>0</v>
      </c>
      <c r="D79" s="2223" t="n">
        <f aca="false">((дома!D1319/перекрытие!J27)*(дома!C1319)+(CEILING(дома!C1319/2.5-1,1))*дома!D1319)*перекрытие!E27*перекрытие!F27*перекрытие!G27*C79</f>
        <v>0</v>
      </c>
      <c r="E79" s="2223" t="n">
        <f aca="false">'Прайс лист'!G308</f>
        <v>12500</v>
      </c>
      <c r="F79" s="2224" t="n">
        <f aca="false">D79*E79</f>
        <v>0</v>
      </c>
      <c r="G79" s="2160"/>
      <c r="H79" s="122" t="str">
        <f aca="false">'Прайс лист'!B1614</f>
        <v>Монтаж ветроизоляции перекрытий</v>
      </c>
      <c r="I79" s="89"/>
      <c r="J79" s="122" t="n">
        <f aca="false">дома!F1090*C217</f>
        <v>0</v>
      </c>
      <c r="K79" s="122" t="n">
        <f aca="false">K53</f>
        <v>100</v>
      </c>
      <c r="L79" s="122"/>
    </row>
    <row r="80" customFormat="false" ht="15.5" hidden="false" customHeight="false" outlineLevel="0" collapsed="false">
      <c r="A80" s="989" t="s">
        <v>4031</v>
      </c>
      <c r="B80" s="2222" t="s">
        <v>135</v>
      </c>
      <c r="C80" s="2223" t="n">
        <f aca="false">IF('Ввод данных'!A33=связи1!A212,1,0)</f>
        <v>0</v>
      </c>
      <c r="D80" s="2223" t="n">
        <f aca="false">((дома!D1319/перекрытие!J27)*(дома!C1319)+(CEILING(дома!C1319/2.5-1,1))*дома!D1319)*перекрытие!E27*перекрытие!F27*перекрытие!G27*C80</f>
        <v>0</v>
      </c>
      <c r="E80" s="2223" t="n">
        <f aca="false">'Прайс лист'!G309</f>
        <v>12500</v>
      </c>
      <c r="F80" s="2224" t="n">
        <f aca="false">D80*E80</f>
        <v>0</v>
      </c>
      <c r="G80" s="2160"/>
      <c r="H80" s="122" t="str">
        <f aca="false">'Прайс лист'!B1615</f>
        <v>Монтаж пароизоляции перекрытий</v>
      </c>
      <c r="I80" s="89"/>
      <c r="J80" s="122" t="n">
        <f aca="false">дома!F1090*C218</f>
        <v>0</v>
      </c>
      <c r="K80" s="122" t="n">
        <f aca="false">K54</f>
        <v>100</v>
      </c>
      <c r="L80" s="122"/>
    </row>
    <row r="81" customFormat="false" ht="15.5" hidden="false" customHeight="false" outlineLevel="0" collapsed="false">
      <c r="A81" s="933" t="str">
        <f aca="false">A78</f>
        <v>Гвозди ершоные 2,8 х 90</v>
      </c>
      <c r="B81" s="230" t="s">
        <v>188</v>
      </c>
      <c r="C81" s="8"/>
      <c r="D81" s="8" t="n">
        <f aca="false">SUM(D79:D80)*6</f>
        <v>0</v>
      </c>
      <c r="E81" s="8" t="n">
        <f aca="false">E78</f>
        <v>76.49</v>
      </c>
      <c r="F81" s="2224" t="n">
        <f aca="false">(D81*E81)*(C79+C80)</f>
        <v>0</v>
      </c>
      <c r="G81" s="2160"/>
      <c r="H81" s="2193" t="s">
        <v>1424</v>
      </c>
      <c r="J81" s="2193" t="n">
        <f aca="false">дома!F1086*IF(A99=связи1!J237,0,1)</f>
        <v>0</v>
      </c>
      <c r="K81" s="122" t="n">
        <f aca="false">'Прайс лист'!G1610</f>
        <v>200</v>
      </c>
      <c r="L81" s="122" t="n">
        <f aca="false">J81*K81</f>
        <v>0</v>
      </c>
    </row>
    <row r="82" customFormat="false" ht="15.5" hidden="false" customHeight="false" outlineLevel="0" collapsed="false">
      <c r="A82" s="2225" t="s">
        <v>243</v>
      </c>
      <c r="B82" s="2226" t="s">
        <v>156</v>
      </c>
      <c r="C82" s="2227" t="n">
        <f aca="false">IF('Ввод данных'!$A$33=перекрытие!A82,1,0)</f>
        <v>0</v>
      </c>
      <c r="D82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82</f>
        <v>0</v>
      </c>
      <c r="E82" s="2228" t="n">
        <f aca="false">'Прайс лист'!G274</f>
        <v>303</v>
      </c>
      <c r="F82" s="2228" t="n">
        <f aca="false">D82*E82</f>
        <v>0</v>
      </c>
      <c r="G82" s="2160"/>
    </row>
    <row r="83" customFormat="false" ht="15.5" hidden="false" customHeight="false" outlineLevel="0" collapsed="false">
      <c r="A83" s="2225" t="s">
        <v>244</v>
      </c>
      <c r="B83" s="2226" t="s">
        <v>156</v>
      </c>
      <c r="C83" s="2227" t="n">
        <f aca="false">IF('Ввод данных'!$A$33=перекрытие!A83,1,0)</f>
        <v>0</v>
      </c>
      <c r="D83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83</f>
        <v>0</v>
      </c>
      <c r="E83" s="2228" t="n">
        <f aca="false">'Прайс лист'!G275</f>
        <v>355</v>
      </c>
      <c r="F83" s="2228" t="n">
        <f aca="false">D83*E83</f>
        <v>0</v>
      </c>
      <c r="G83" s="2160"/>
      <c r="H83" s="122"/>
      <c r="I83" s="89"/>
      <c r="J83" s="122"/>
      <c r="K83" s="122"/>
      <c r="L83" s="122"/>
    </row>
    <row r="84" customFormat="false" ht="15.5" hidden="false" customHeight="false" outlineLevel="0" collapsed="false">
      <c r="A84" s="2225" t="s">
        <v>245</v>
      </c>
      <c r="B84" s="2226" t="s">
        <v>156</v>
      </c>
      <c r="C84" s="2227" t="n">
        <f aca="false">IF('Ввод данных'!$A$33=перекрытие!A84,1,0)</f>
        <v>0</v>
      </c>
      <c r="D84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84</f>
        <v>0</v>
      </c>
      <c r="E84" s="2228" t="n">
        <f aca="false">'Прайс лист'!G276</f>
        <v>287</v>
      </c>
      <c r="F84" s="2228" t="n">
        <f aca="false">D84*E84</f>
        <v>0</v>
      </c>
      <c r="G84" s="2160"/>
      <c r="H84" s="122"/>
      <c r="I84" s="89"/>
      <c r="J84" s="122"/>
      <c r="K84" s="122"/>
      <c r="L84" s="122"/>
    </row>
    <row r="85" customFormat="false" ht="15.5" hidden="false" customHeight="false" outlineLevel="0" collapsed="false">
      <c r="A85" s="2225" t="s">
        <v>246</v>
      </c>
      <c r="B85" s="2226" t="s">
        <v>156</v>
      </c>
      <c r="C85" s="2227" t="n">
        <f aca="false">IF('Ввод данных'!$A$33=перекрытие!A85,1,0)</f>
        <v>0</v>
      </c>
      <c r="D85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85</f>
        <v>0</v>
      </c>
      <c r="E85" s="2228" t="n">
        <f aca="false">'Прайс лист'!G277</f>
        <v>315</v>
      </c>
      <c r="F85" s="2228" t="n">
        <f aca="false">D85*E85</f>
        <v>0</v>
      </c>
      <c r="G85" s="2160"/>
      <c r="H85" s="122"/>
      <c r="I85" s="89"/>
      <c r="J85" s="122"/>
      <c r="K85" s="122"/>
      <c r="L85" s="122"/>
    </row>
    <row r="86" customFormat="false" ht="15.5" hidden="false" customHeight="false" outlineLevel="0" collapsed="false">
      <c r="A86" s="2225" t="s">
        <v>247</v>
      </c>
      <c r="B86" s="2226" t="s">
        <v>156</v>
      </c>
      <c r="C86" s="2227" t="n">
        <f aca="false">IF('Ввод данных'!$A$33=перекрытие!A86,1,0)</f>
        <v>0</v>
      </c>
      <c r="D86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86</f>
        <v>0</v>
      </c>
      <c r="E86" s="2228" t="n">
        <f aca="false">'Прайс лист'!G278</f>
        <v>273</v>
      </c>
      <c r="F86" s="2228" t="n">
        <f aca="false">D86*E86</f>
        <v>0</v>
      </c>
      <c r="G86" s="2160"/>
      <c r="H86" s="122"/>
      <c r="I86" s="89"/>
      <c r="J86" s="122"/>
      <c r="K86" s="122"/>
      <c r="L86" s="122"/>
    </row>
    <row r="87" customFormat="false" ht="15.5" hidden="false" customHeight="false" outlineLevel="0" collapsed="false">
      <c r="A87" s="2225" t="s">
        <v>248</v>
      </c>
      <c r="B87" s="2226" t="s">
        <v>156</v>
      </c>
      <c r="C87" s="2227" t="n">
        <f aca="false">IF('Ввод данных'!$A$33=перекрытие!A87,1,0)</f>
        <v>0</v>
      </c>
      <c r="D87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87</f>
        <v>0</v>
      </c>
      <c r="E87" s="2228" t="n">
        <f aca="false">'Прайс лист'!G279</f>
        <v>315</v>
      </c>
      <c r="F87" s="2228" t="n">
        <f aca="false">D87*E87</f>
        <v>0</v>
      </c>
      <c r="G87" s="2160"/>
      <c r="H87" s="122"/>
      <c r="I87" s="89"/>
      <c r="J87" s="122"/>
      <c r="K87" s="122"/>
      <c r="L87" s="122"/>
    </row>
    <row r="88" customFormat="false" ht="15.5" hidden="false" customHeight="false" outlineLevel="0" collapsed="false">
      <c r="A88" s="2225" t="s">
        <v>249</v>
      </c>
      <c r="B88" s="2226" t="s">
        <v>156</v>
      </c>
      <c r="C88" s="2227" t="n">
        <f aca="false">IF('Ввод данных'!$A$33=перекрытие!A88,1,0)</f>
        <v>0</v>
      </c>
      <c r="D88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88</f>
        <v>0</v>
      </c>
      <c r="E88" s="2228" t="n">
        <f aca="false">'Прайс лист'!G280</f>
        <v>263</v>
      </c>
      <c r="F88" s="2228" t="n">
        <f aca="false">D88*E88</f>
        <v>0</v>
      </c>
      <c r="G88" s="2160"/>
      <c r="H88" s="122"/>
      <c r="I88" s="89"/>
      <c r="J88" s="122"/>
      <c r="K88" s="122"/>
      <c r="L88" s="122"/>
    </row>
    <row r="89" customFormat="false" ht="15.5" hidden="false" customHeight="false" outlineLevel="0" collapsed="false">
      <c r="A89" s="2225" t="s">
        <v>250</v>
      </c>
      <c r="B89" s="2226" t="s">
        <v>156</v>
      </c>
      <c r="C89" s="2227" t="n">
        <f aca="false">IF('Ввод данных'!$A$33=перекрытие!A89,1,0)</f>
        <v>0</v>
      </c>
      <c r="D89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89</f>
        <v>0</v>
      </c>
      <c r="E89" s="2228" t="n">
        <f aca="false">'Прайс лист'!G281</f>
        <v>291</v>
      </c>
      <c r="F89" s="2228" t="n">
        <f aca="false">D89*E89</f>
        <v>0</v>
      </c>
      <c r="G89" s="2160"/>
      <c r="H89" s="122"/>
      <c r="I89" s="89"/>
      <c r="J89" s="122"/>
      <c r="K89" s="122"/>
      <c r="L89" s="122"/>
    </row>
    <row r="90" customFormat="false" ht="15.5" hidden="false" customHeight="false" outlineLevel="0" collapsed="false">
      <c r="A90" s="2225" t="s">
        <v>251</v>
      </c>
      <c r="B90" s="2226" t="s">
        <v>156</v>
      </c>
      <c r="C90" s="2227" t="n">
        <f aca="false">IF('Ввод данных'!$A$33=перекрытие!A90,1,0)</f>
        <v>0</v>
      </c>
      <c r="D90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90</f>
        <v>0</v>
      </c>
      <c r="E90" s="2228" t="n">
        <f aca="false">'Прайс лист'!G282</f>
        <v>250</v>
      </c>
      <c r="F90" s="2228" t="n">
        <f aca="false">D90*E90</f>
        <v>0</v>
      </c>
      <c r="G90" s="2160"/>
      <c r="H90" s="122"/>
      <c r="I90" s="89"/>
      <c r="J90" s="122"/>
      <c r="K90" s="122"/>
      <c r="L90" s="122"/>
    </row>
    <row r="91" customFormat="false" ht="15.5" hidden="false" customHeight="false" outlineLevel="0" collapsed="false">
      <c r="A91" s="2225" t="s">
        <v>252</v>
      </c>
      <c r="B91" s="2226" t="s">
        <v>156</v>
      </c>
      <c r="C91" s="2227" t="n">
        <f aca="false">IF('Ввод данных'!$A$33=перекрытие!A91,1,0)</f>
        <v>0</v>
      </c>
      <c r="D91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91</f>
        <v>0</v>
      </c>
      <c r="E91" s="2228" t="n">
        <f aca="false">'Прайс лист'!G283</f>
        <v>280</v>
      </c>
      <c r="F91" s="2228" t="n">
        <f aca="false">D91*E91</f>
        <v>0</v>
      </c>
      <c r="G91" s="2160"/>
      <c r="H91" s="122"/>
      <c r="I91" s="89"/>
      <c r="J91" s="122"/>
      <c r="K91" s="122"/>
      <c r="L91" s="122"/>
    </row>
    <row r="92" customFormat="false" ht="15.5" hidden="false" customHeight="false" outlineLevel="0" collapsed="false">
      <c r="A92" s="2225" t="s">
        <v>253</v>
      </c>
      <c r="B92" s="2226" t="s">
        <v>156</v>
      </c>
      <c r="C92" s="2227" t="n">
        <f aca="false">IF('Ввод данных'!$A$33=перекрытие!A92,1,0)</f>
        <v>0</v>
      </c>
      <c r="D92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92</f>
        <v>0</v>
      </c>
      <c r="E92" s="2228" t="n">
        <f aca="false">'Прайс лист'!G284</f>
        <v>220</v>
      </c>
      <c r="F92" s="2228" t="n">
        <f aca="false">D92*E92</f>
        <v>0</v>
      </c>
      <c r="G92" s="2160"/>
      <c r="H92" s="122"/>
      <c r="I92" s="89"/>
      <c r="J92" s="122"/>
      <c r="K92" s="122"/>
      <c r="L92" s="122"/>
    </row>
    <row r="93" customFormat="false" ht="15.5" hidden="false" customHeight="false" outlineLevel="0" collapsed="false">
      <c r="A93" s="2225" t="s">
        <v>254</v>
      </c>
      <c r="B93" s="2226" t="s">
        <v>156</v>
      </c>
      <c r="C93" s="2227" t="n">
        <f aca="false">IF('Ввод данных'!$A$33=перекрытие!A93,1,0)</f>
        <v>0</v>
      </c>
      <c r="D93" s="2228" t="n">
        <f aca="false">((дома!D1319/перекрытие!J32+1)*(дома!C1319)+(CEILING(дома!C1319/2.5-1,1))*дома!D1319+(пристройка!C34/перекрытие!J32)*пристройка!C33*пристройка!C32*пристройка!D2+пристройка!D2*пристройка!D32*пристройка!D33*(пристройка!D34/перекрытие!J32)+(пристройка!E34/перекрытие!J32)*пристройка!E33*пристройка!E32*пристройка!D2+пристройка!D2*пристройка!F32*пристройка!F33*(пристройка!F34/перекрытие!J32))*перекрытие!E32*C93</f>
        <v>0</v>
      </c>
      <c r="E93" s="2228" t="n">
        <f aca="false">'Прайс лист'!G285</f>
        <v>250</v>
      </c>
      <c r="F93" s="2228" t="n">
        <f aca="false">D93*E93</f>
        <v>0</v>
      </c>
      <c r="G93" s="2160"/>
      <c r="H93" s="122"/>
      <c r="I93" s="89"/>
      <c r="J93" s="122"/>
      <c r="K93" s="122"/>
      <c r="L93" s="122"/>
    </row>
    <row r="94" customFormat="false" ht="15.5" hidden="false" customHeight="false" outlineLevel="0" collapsed="false">
      <c r="A94" s="226" t="str">
        <f aca="false">'Прайс лист'!B838</f>
        <v>Уголок усиленный 90х70х55х2,5</v>
      </c>
      <c r="B94" s="230" t="s">
        <v>159</v>
      </c>
      <c r="C94" s="7"/>
      <c r="D94" s="8" t="n">
        <f aca="false">CEILING(((IF(G32=0.8,1.6,0)+IF(G32=0.7,2,0)+IF(G32=0.6,2.44,0)+IF(G32=0.5,3.25,0)+IF(G32=0.4,3.67,0)+IF(G32=0.3,4.1,0))*D32*E32),1)</f>
        <v>0</v>
      </c>
      <c r="E94" s="8" t="n">
        <f aca="false">'Прайс лист'!G838</f>
        <v>30</v>
      </c>
      <c r="F94" s="2228" t="n">
        <f aca="false">D94*E94*SUM(C82:C93)</f>
        <v>0</v>
      </c>
      <c r="G94" s="2160"/>
      <c r="H94" s="122"/>
      <c r="I94" s="89"/>
      <c r="J94" s="122"/>
      <c r="K94" s="122"/>
      <c r="L94" s="122"/>
    </row>
    <row r="95" customFormat="false" ht="15.5" hidden="false" customHeight="false" outlineLevel="0" collapsed="false">
      <c r="A95" s="226" t="str">
        <f aca="false">'Прайс лист'!B878</f>
        <v>Саморезы 3,5 x 55</v>
      </c>
      <c r="B95" s="230" t="s">
        <v>159</v>
      </c>
      <c r="C95" s="7"/>
      <c r="D95" s="8" t="n">
        <f aca="false">D94*4</f>
        <v>0</v>
      </c>
      <c r="E95" s="8" t="n">
        <f aca="false">'Прайс лист'!F878</f>
        <v>0.3</v>
      </c>
      <c r="F95" s="2228" t="n">
        <f aca="false">D95*E95*SUM(C82:C93)</f>
        <v>0</v>
      </c>
      <c r="G95" s="2160"/>
      <c r="H95" s="122"/>
      <c r="I95" s="89"/>
      <c r="J95" s="122"/>
      <c r="K95" s="122"/>
      <c r="L95" s="122"/>
    </row>
    <row r="96" customFormat="false" ht="15.5" hidden="false" customHeight="false" outlineLevel="0" collapsed="false">
      <c r="A96" s="87" t="str">
        <f aca="false">'Ввод данных'!A39</f>
        <v>Нет</v>
      </c>
      <c r="B96" s="88" t="s">
        <v>135</v>
      </c>
      <c r="C96" s="2193" t="n">
        <f aca="false">IF('Ввод данных'!A44='Прайс лист'!B744,0,1)</f>
        <v>1</v>
      </c>
      <c r="D96" s="7" t="n">
        <f aca="false">дома!F1086*VLOOKUP(A96,'Прайс лист'!B744:G782,3,0)</f>
        <v>0</v>
      </c>
      <c r="E96" s="89" t="n">
        <f aca="false">VLOOKUP(A96,'Прайс лист'!B744:G782,6,0)</f>
        <v>0</v>
      </c>
      <c r="F96" s="89" t="n">
        <f aca="false">D96*E96</f>
        <v>0</v>
      </c>
      <c r="G96" s="2160"/>
      <c r="H96" s="122"/>
      <c r="I96" s="89"/>
      <c r="J96" s="122"/>
      <c r="K96" s="122"/>
      <c r="L96" s="122"/>
    </row>
    <row r="97" customFormat="false" ht="15.5" hidden="false" customHeight="false" outlineLevel="0" collapsed="false">
      <c r="A97" s="87" t="str">
        <f aca="false">'Ввод данных'!A40</f>
        <v>нет ветроизоляции</v>
      </c>
      <c r="B97" s="88" t="s">
        <v>133</v>
      </c>
      <c r="C97" s="7" t="n">
        <f aca="false">IF(A97='Прайс лист'!B793,0,1)</f>
        <v>0</v>
      </c>
      <c r="D97" s="89" t="n">
        <f aca="false">дома!F1086</f>
        <v>100</v>
      </c>
      <c r="E97" s="89" t="n">
        <f aca="false">VLOOKUP(A97,'Прайс лист'!B793:G819,6,0)</f>
        <v>0</v>
      </c>
      <c r="F97" s="89" t="n">
        <f aca="false">D97*E97</f>
        <v>0</v>
      </c>
      <c r="G97" s="2160"/>
      <c r="H97" s="122"/>
      <c r="I97" s="89"/>
      <c r="J97" s="122"/>
      <c r="K97" s="122"/>
      <c r="L97" s="122"/>
    </row>
    <row r="98" customFormat="false" ht="15.5" hidden="false" customHeight="false" outlineLevel="0" collapsed="false">
      <c r="A98" s="87" t="str">
        <f aca="false">'Ввод данных'!A41</f>
        <v>нет пароизоляции</v>
      </c>
      <c r="B98" s="88" t="s">
        <v>133</v>
      </c>
      <c r="C98" s="7" t="n">
        <f aca="false">IF(A98='Прайс лист'!B820,0,1)</f>
        <v>0</v>
      </c>
      <c r="D98" s="89" t="n">
        <f aca="false">дома!F1086</f>
        <v>100</v>
      </c>
      <c r="E98" s="89" t="n">
        <f aca="false">VLOOKUP(A98,'Прайс лист'!B820:G831,6,0)</f>
        <v>0</v>
      </c>
      <c r="F98" s="89" t="n">
        <f aca="false">D98*E98</f>
        <v>0</v>
      </c>
      <c r="G98" s="2160"/>
      <c r="H98" s="122"/>
      <c r="I98" s="89"/>
      <c r="J98" s="122"/>
      <c r="K98" s="122"/>
      <c r="L98" s="122"/>
    </row>
    <row r="99" customFormat="false" ht="15.5" hidden="false" customHeight="false" outlineLevel="0" collapsed="false">
      <c r="A99" s="2229" t="str">
        <f aca="false">'Ввод данных'!A35</f>
        <v>Нет перекрестного пола</v>
      </c>
      <c r="B99" s="2230" t="s">
        <v>135</v>
      </c>
      <c r="C99" s="2231"/>
      <c r="D99" s="2232" t="n">
        <f aca="false">(дома!D1319/перекрытие!H19*дома!C1319+дома!D1229*(дома!C1245/перекрытие!H19*дома!C1244)+1/перекрытие!H19*дома!J96)*перекрытие!E19*перекрытие!G19*перекрытие!F19</f>
        <v>0</v>
      </c>
      <c r="E99" s="2232" t="n">
        <f aca="false">VLOOKUP('Ввод данных'!A35,связи1!J237:K240,2,0)</f>
        <v>0</v>
      </c>
      <c r="F99" s="2232" t="n">
        <f aca="false">D99*E99</f>
        <v>0</v>
      </c>
      <c r="G99" s="2160"/>
    </row>
    <row r="100" customFormat="false" ht="15.5" hidden="false" customHeight="false" outlineLevel="0" collapsed="false">
      <c r="A100" s="2229" t="str">
        <f aca="false">'Прайс лист'!B890</f>
        <v>Гвозди строительные 3,5 x 90</v>
      </c>
      <c r="B100" s="2230" t="s">
        <v>188</v>
      </c>
      <c r="C100" s="2231"/>
      <c r="D100" s="2232" t="n">
        <f aca="false">D99*5</f>
        <v>0</v>
      </c>
      <c r="E100" s="2233" t="n">
        <f aca="false">'Прайс лист'!G890</f>
        <v>70</v>
      </c>
      <c r="F100" s="2232" t="n">
        <f aca="false">D100*E100</f>
        <v>0</v>
      </c>
      <c r="G100" s="2160"/>
    </row>
    <row r="101" customFormat="false" ht="15.5" hidden="false" customHeight="false" outlineLevel="0" collapsed="false">
      <c r="A101" s="87" t="s">
        <v>131</v>
      </c>
      <c r="B101" s="88" t="s">
        <v>133</v>
      </c>
      <c r="C101" s="7"/>
      <c r="D101" s="89" t="n">
        <f aca="false">(перекрытие!D4*перекрытие!E4)</f>
        <v>0</v>
      </c>
      <c r="E101" s="89" t="n">
        <f aca="false">'Прайс лист'!G161</f>
        <v>1400</v>
      </c>
      <c r="F101" s="89" t="n">
        <f aca="false">D101*E101</f>
        <v>0</v>
      </c>
      <c r="G101" s="2160"/>
      <c r="K101" s="122"/>
      <c r="L101" s="122"/>
    </row>
    <row r="102" customFormat="false" ht="15.5" hidden="false" customHeight="false" outlineLevel="0" collapsed="false">
      <c r="A102" s="87" t="str">
        <f aca="false">A43</f>
        <v>Раствор, м250</v>
      </c>
      <c r="B102" s="88" t="s">
        <v>135</v>
      </c>
      <c r="C102" s="7"/>
      <c r="D102" s="89" t="n">
        <f aca="false">(('Ввод данных'!C11+'Ввод данных'!C11)*0.2*0.15+'Ввод данных'!C11+'Ввод данных'!C11+'Ввод данных'!C12+'Ввод данных'!C12+'Ввод данных'!C112*'Ввод данных'!D112+'Ввод данных'!C113*'Ввод данных'!D113+'Ввод данных'!C114*'Ввод данных'!D114+'Ввод данных'!C115*'Ввод данных'!D115+'Ввод данных'!C120*'Ввод данных'!D120+'Ввод данных'!C121*'Ввод данных'!D121+'Ввод данных'!C122*'Ввод данных'!D122+'Ввод данных'!C123*'Ввод данных'!D123)*0.2*0.02*E4</f>
        <v>0</v>
      </c>
      <c r="E102" s="89" t="n">
        <f aca="false">'Прайс лист'!G230</f>
        <v>2500</v>
      </c>
      <c r="F102" s="89" t="n">
        <f aca="false">D102*E102</f>
        <v>0</v>
      </c>
      <c r="G102" s="2160"/>
      <c r="K102" s="122"/>
      <c r="L102" s="122"/>
    </row>
    <row r="103" customFormat="false" ht="15.5" hidden="false" customHeight="false" outlineLevel="0" collapsed="false">
      <c r="A103" s="1312" t="s">
        <v>4018</v>
      </c>
      <c r="B103" s="1119" t="s">
        <v>133</v>
      </c>
      <c r="C103" s="1119" t="n">
        <f aca="false">IF('Ввод данных'!A43=связи1!A214,1,0)</f>
        <v>0</v>
      </c>
      <c r="D103" s="2234" t="n">
        <f aca="false">(перекрытие!D9*перекрытие!E9)*C103</f>
        <v>0</v>
      </c>
      <c r="E103" s="2234" t="n">
        <v>1</v>
      </c>
      <c r="F103" s="2234" t="n">
        <f aca="false">D103*E103</f>
        <v>0</v>
      </c>
      <c r="G103" s="2160"/>
      <c r="K103" s="122"/>
      <c r="L103" s="122"/>
    </row>
    <row r="104" customFormat="false" ht="15.5" hidden="false" customHeight="false" outlineLevel="0" collapsed="false">
      <c r="A104" s="1312" t="s">
        <v>4019</v>
      </c>
      <c r="B104" s="1119" t="s">
        <v>133</v>
      </c>
      <c r="C104" s="1119" t="n">
        <f aca="false">IF('Ввод данных'!A43=связи1!A215,1,0)</f>
        <v>0</v>
      </c>
      <c r="D104" s="2234" t="n">
        <f aca="false">(перекрытие!D9*перекрытие!E9)*C104</f>
        <v>0</v>
      </c>
      <c r="E104" s="2234" t="n">
        <v>1</v>
      </c>
      <c r="F104" s="2234" t="n">
        <f aca="false">D104*E104</f>
        <v>0</v>
      </c>
      <c r="G104" s="2160"/>
      <c r="K104" s="122"/>
      <c r="L104" s="122"/>
    </row>
    <row r="105" customFormat="false" ht="15.5" hidden="false" customHeight="false" outlineLevel="0" collapsed="false">
      <c r="A105" s="1312" t="s">
        <v>4020</v>
      </c>
      <c r="B105" s="1119" t="s">
        <v>133</v>
      </c>
      <c r="C105" s="1119" t="n">
        <f aca="false">IF('Ввод данных'!A43=связи1!A216,1,0)</f>
        <v>0</v>
      </c>
      <c r="D105" s="2234" t="n">
        <f aca="false">(перекрытие!D9*перекрытие!E9)*C105</f>
        <v>0</v>
      </c>
      <c r="E105" s="2234" t="n">
        <v>1</v>
      </c>
      <c r="F105" s="2234" t="n">
        <f aca="false">D105*E105</f>
        <v>0</v>
      </c>
      <c r="G105" s="2160"/>
      <c r="K105" s="122"/>
      <c r="L105" s="122"/>
    </row>
    <row r="106" customFormat="false" ht="15.5" hidden="false" customHeight="false" outlineLevel="0" collapsed="false">
      <c r="A106" s="1312" t="s">
        <v>4021</v>
      </c>
      <c r="B106" s="1119" t="s">
        <v>133</v>
      </c>
      <c r="C106" s="1119" t="n">
        <f aca="false">IF('Ввод данных'!A43=связи1!A217,1,0)</f>
        <v>0</v>
      </c>
      <c r="D106" s="2234" t="n">
        <f aca="false">(перекрытие!D9*перекрытие!E9)*C106</f>
        <v>0</v>
      </c>
      <c r="E106" s="2234" t="n">
        <v>1</v>
      </c>
      <c r="F106" s="2234" t="n">
        <f aca="false">D106*E106</f>
        <v>0</v>
      </c>
      <c r="G106" s="2160"/>
      <c r="K106" s="122"/>
      <c r="L106" s="122"/>
    </row>
    <row r="107" customFormat="false" ht="15.5" hidden="false" customHeight="false" outlineLevel="0" collapsed="false">
      <c r="A107" s="1312" t="s">
        <v>4022</v>
      </c>
      <c r="B107" s="1119" t="s">
        <v>133</v>
      </c>
      <c r="C107" s="1119" t="n">
        <f aca="false">IF('Ввод данных'!A43=связи1!A218,1,0)</f>
        <v>0</v>
      </c>
      <c r="D107" s="2234" t="n">
        <f aca="false">(перекрытие!D9*перекрытие!E9)*C107</f>
        <v>0</v>
      </c>
      <c r="E107" s="2234" t="n">
        <v>1</v>
      </c>
      <c r="F107" s="2234" t="n">
        <f aca="false">D107*E107</f>
        <v>0</v>
      </c>
      <c r="G107" s="2160"/>
      <c r="H107" s="122"/>
      <c r="I107" s="89"/>
      <c r="J107" s="122"/>
      <c r="K107" s="122"/>
      <c r="L107" s="122"/>
    </row>
    <row r="108" customFormat="false" ht="15.5" hidden="false" customHeight="false" outlineLevel="0" collapsed="false">
      <c r="A108" s="1312" t="s">
        <v>4023</v>
      </c>
      <c r="B108" s="1119" t="s">
        <v>133</v>
      </c>
      <c r="C108" s="1119" t="n">
        <f aca="false">IF('Ввод данных'!A43=связи1!A219,1,0)</f>
        <v>0</v>
      </c>
      <c r="D108" s="2234" t="n">
        <f aca="false">(перекрытие!D9*перекрытие!E9)*C108</f>
        <v>0</v>
      </c>
      <c r="E108" s="2234" t="n">
        <v>1</v>
      </c>
      <c r="F108" s="2234" t="n">
        <f aca="false">D108*E108</f>
        <v>0</v>
      </c>
      <c r="G108" s="2160"/>
      <c r="H108" s="122"/>
      <c r="I108" s="89"/>
      <c r="J108" s="122"/>
      <c r="K108" s="122"/>
      <c r="L108" s="122"/>
    </row>
    <row r="109" customFormat="false" ht="15.5" hidden="false" customHeight="false" outlineLevel="0" collapsed="false">
      <c r="A109" s="1312" t="s">
        <v>4024</v>
      </c>
      <c r="B109" s="1119" t="s">
        <v>133</v>
      </c>
      <c r="C109" s="1119" t="n">
        <f aca="false">IF('Ввод данных'!A43=связи1!A220,1,0)</f>
        <v>0</v>
      </c>
      <c r="D109" s="2234" t="n">
        <f aca="false">(перекрытие!D9*перекрытие!E9)*C109</f>
        <v>0</v>
      </c>
      <c r="E109" s="2234" t="n">
        <v>1</v>
      </c>
      <c r="F109" s="2234" t="n">
        <f aca="false">D109*E109</f>
        <v>0</v>
      </c>
      <c r="G109" s="2160"/>
      <c r="H109" s="122"/>
      <c r="I109" s="89"/>
      <c r="J109" s="122"/>
      <c r="K109" s="122"/>
      <c r="L109" s="122"/>
    </row>
    <row r="110" customFormat="false" ht="15.5" hidden="false" customHeight="false" outlineLevel="0" collapsed="false">
      <c r="A110" s="1312" t="s">
        <v>4025</v>
      </c>
      <c r="B110" s="1119" t="s">
        <v>133</v>
      </c>
      <c r="C110" s="1119" t="n">
        <f aca="false">IF('Ввод данных'!A43=связи1!A221,1,0)</f>
        <v>0</v>
      </c>
      <c r="D110" s="2234" t="n">
        <f aca="false">(перекрытие!D9*перекрытие!E9)*C110</f>
        <v>0</v>
      </c>
      <c r="E110" s="2234" t="n">
        <v>1</v>
      </c>
      <c r="F110" s="2234" t="n">
        <f aca="false">D110*E110</f>
        <v>0</v>
      </c>
      <c r="G110" s="2160"/>
      <c r="H110" s="122"/>
      <c r="I110" s="89"/>
      <c r="J110" s="122"/>
      <c r="K110" s="122"/>
      <c r="L110" s="122"/>
    </row>
    <row r="111" customFormat="false" ht="15.5" hidden="false" customHeight="false" outlineLevel="0" collapsed="false">
      <c r="A111" s="87" t="s">
        <v>4026</v>
      </c>
      <c r="B111" s="2235" t="s">
        <v>135</v>
      </c>
      <c r="C111" s="88"/>
      <c r="D111" s="2236" t="n">
        <f aca="false">((D9/5+5*2)*перекрытие!E9+D9*1.1*E9)*0.05*1.1</f>
        <v>0</v>
      </c>
      <c r="E111" s="2236" t="n">
        <f aca="false">'Прайс лист'!G291</f>
        <v>6500</v>
      </c>
      <c r="F111" s="2234" t="n">
        <f aca="false">D111*E111</f>
        <v>0</v>
      </c>
      <c r="G111" s="2160"/>
      <c r="H111" s="122"/>
      <c r="I111" s="89"/>
      <c r="J111" s="122"/>
      <c r="K111" s="122"/>
      <c r="L111" s="122"/>
    </row>
    <row r="112" customFormat="false" ht="15.5" hidden="false" customHeight="false" outlineLevel="0" collapsed="false">
      <c r="A112" s="87" t="s">
        <v>3998</v>
      </c>
      <c r="B112" s="88" t="s">
        <v>159</v>
      </c>
      <c r="C112" s="88"/>
      <c r="D112" s="89" t="n">
        <f aca="false">SUM(D103:D110)</f>
        <v>0</v>
      </c>
      <c r="E112" s="89" t="n">
        <v>0</v>
      </c>
      <c r="F112" s="2234" t="n">
        <f aca="false">D112*E112</f>
        <v>0</v>
      </c>
      <c r="G112" s="2160"/>
      <c r="H112" s="122"/>
      <c r="I112" s="89"/>
      <c r="J112" s="122"/>
      <c r="K112" s="122"/>
      <c r="L112" s="122"/>
    </row>
    <row r="113" customFormat="false" ht="15.5" hidden="false" customHeight="false" outlineLevel="0" collapsed="false">
      <c r="A113" s="87" t="str">
        <f aca="false">A54</f>
        <v>Пленка гидроизоляционная</v>
      </c>
      <c r="B113" s="88" t="s">
        <v>133</v>
      </c>
      <c r="C113" s="88"/>
      <c r="D113" s="89" t="n">
        <f aca="false">(перекрытие!D9*перекрытие!E9*1.3)</f>
        <v>0</v>
      </c>
      <c r="E113" s="89" t="n">
        <f aca="false">E54</f>
        <v>15</v>
      </c>
      <c r="F113" s="2234" t="n">
        <f aca="false">D113*E113</f>
        <v>0</v>
      </c>
      <c r="G113" s="2160"/>
      <c r="H113" s="122"/>
      <c r="I113" s="89"/>
      <c r="J113" s="122"/>
      <c r="K113" s="122"/>
      <c r="L113" s="122"/>
    </row>
    <row r="114" customFormat="false" ht="15.5" hidden="false" customHeight="false" outlineLevel="0" collapsed="false">
      <c r="A114" s="87" t="str">
        <f aca="false">'Ввод данных'!D43</f>
        <v>Арматура М10</v>
      </c>
      <c r="B114" s="88" t="s">
        <v>156</v>
      </c>
      <c r="C114" s="88"/>
      <c r="D114" s="89" t="n">
        <f aca="false">(1/перекрытие!J9*перекрытие!E9*перекрытие!H9*перекрытие!D9)</f>
        <v>0</v>
      </c>
      <c r="E114" s="89" t="n">
        <f aca="false">VLOOKUP(A114,связи1!A399:B405,2,0)</f>
        <v>21.0397</v>
      </c>
      <c r="F114" s="2234" t="n">
        <f aca="false">D114*E114</f>
        <v>0</v>
      </c>
      <c r="G114" s="2160"/>
      <c r="H114" s="122"/>
      <c r="I114" s="89"/>
      <c r="J114" s="122"/>
      <c r="K114" s="122"/>
      <c r="L114" s="122"/>
    </row>
    <row r="115" customFormat="false" ht="15.5" hidden="false" customHeight="false" outlineLevel="0" collapsed="false">
      <c r="A115" s="87" t="str">
        <f aca="false">A56</f>
        <v>Вязальная проволока</v>
      </c>
      <c r="B115" s="88" t="s">
        <v>188</v>
      </c>
      <c r="C115" s="88"/>
      <c r="D115" s="89" t="n">
        <f aca="false">D114/40</f>
        <v>0</v>
      </c>
      <c r="E115" s="89" t="n">
        <f aca="false">E56</f>
        <v>80</v>
      </c>
      <c r="F115" s="2234" t="n">
        <f aca="false">D115*E115</f>
        <v>0</v>
      </c>
      <c r="G115" s="2160"/>
      <c r="H115" s="122"/>
      <c r="I115" s="89"/>
      <c r="J115" s="122"/>
      <c r="K115" s="122"/>
      <c r="L115" s="122"/>
    </row>
    <row r="116" customFormat="false" ht="15.5" hidden="false" customHeight="false" outlineLevel="0" collapsed="false">
      <c r="A116" s="87" t="str">
        <f aca="false">A57</f>
        <v>Подставка под арматурный каркас</v>
      </c>
      <c r="B116" s="88" t="s">
        <v>159</v>
      </c>
      <c r="C116" s="88"/>
      <c r="D116" s="89" t="n">
        <f aca="false">(перекрытие!D9*перекрытие!E9)*4</f>
        <v>0</v>
      </c>
      <c r="E116" s="89" t="n">
        <f aca="false">E57</f>
        <v>5</v>
      </c>
      <c r="F116" s="2234" t="n">
        <f aca="false">D116*E116</f>
        <v>0</v>
      </c>
      <c r="G116" s="2160"/>
      <c r="H116" s="122"/>
      <c r="I116" s="89"/>
      <c r="J116" s="122"/>
      <c r="K116" s="122"/>
      <c r="L116" s="122"/>
    </row>
    <row r="117" customFormat="false" ht="15.5" hidden="false" customHeight="false" outlineLevel="0" collapsed="false">
      <c r="A117" s="87" t="s">
        <v>4027</v>
      </c>
      <c r="B117" s="88" t="s">
        <v>135</v>
      </c>
      <c r="C117" s="88"/>
      <c r="D117" s="89" t="n">
        <f aca="false">(перекрытие!D9*перекрытие!E9*перекрытие!F9)</f>
        <v>0</v>
      </c>
      <c r="E117" s="89" t="n">
        <f aca="false">'Прайс лист'!G228</f>
        <v>3500</v>
      </c>
      <c r="F117" s="2234" t="n">
        <f aca="false">D117*E117</f>
        <v>0</v>
      </c>
      <c r="G117" s="2160"/>
      <c r="H117" s="122"/>
      <c r="I117" s="89"/>
      <c r="J117" s="122"/>
      <c r="K117" s="122"/>
      <c r="L117" s="122"/>
    </row>
    <row r="118" customFormat="false" ht="15.5" hidden="false" customHeight="false" outlineLevel="0" collapsed="false">
      <c r="A118" s="994" t="s">
        <v>4028</v>
      </c>
      <c r="B118" s="2237" t="s">
        <v>135</v>
      </c>
      <c r="C118" s="2237" t="n">
        <f aca="false">IF('Ввод данных'!A43=связи1!A204,1,0)</f>
        <v>0</v>
      </c>
      <c r="D118" s="2238" t="n">
        <f aca="false">((дома!D1319/перекрытие!J15)*(дома!C1319)*перекрытие!F15*перекрытие!G15*перекрытие!E15)*C118</f>
        <v>0</v>
      </c>
      <c r="E118" s="2238" t="n">
        <f aca="false">связи1!D204</f>
        <v>6500</v>
      </c>
      <c r="F118" s="2238" t="n">
        <f aca="false">D118*E118</f>
        <v>0</v>
      </c>
      <c r="G118" s="2160"/>
      <c r="K118" s="122"/>
      <c r="L118" s="122"/>
    </row>
    <row r="119" customFormat="false" ht="15.5" hidden="false" customHeight="false" outlineLevel="0" collapsed="false">
      <c r="A119" s="994" t="s">
        <v>4029</v>
      </c>
      <c r="B119" s="2237" t="s">
        <v>135</v>
      </c>
      <c r="C119" s="2237" t="n">
        <f aca="false">IF('Ввод данных'!A43=связи1!A205,1,0)</f>
        <v>0</v>
      </c>
      <c r="D119" s="2238" t="n">
        <f aca="false">((дома!D1319/перекрытие!J15)*(дома!C1319)*перекрытие!F15*перекрытие!G15*перекрытие!E15)*C119</f>
        <v>0</v>
      </c>
      <c r="E119" s="2238" t="n">
        <f aca="false">связи1!D205</f>
        <v>6500</v>
      </c>
      <c r="F119" s="2238" t="n">
        <f aca="false">D119*E119</f>
        <v>0</v>
      </c>
      <c r="G119" s="2160"/>
      <c r="H119" s="122"/>
      <c r="I119" s="89"/>
      <c r="J119" s="122"/>
      <c r="K119" s="122"/>
      <c r="L119" s="122"/>
    </row>
    <row r="120" customFormat="false" ht="15.5" hidden="false" customHeight="false" outlineLevel="0" collapsed="false">
      <c r="A120" s="994" t="s">
        <v>1967</v>
      </c>
      <c r="B120" s="2237" t="s">
        <v>135</v>
      </c>
      <c r="C120" s="2237" t="n">
        <f aca="false">IF('Ввод данных'!A43=связи1!A206,1,0)</f>
        <v>0</v>
      </c>
      <c r="D120" s="2238" t="n">
        <f aca="false">((дома!D1319/перекрытие!J15)*(дома!C1319)*перекрытие!F15*перекрытие!G15*перекрытие!E15)*C120</f>
        <v>0</v>
      </c>
      <c r="E120" s="2238" t="n">
        <f aca="false">связи1!D206</f>
        <v>6500</v>
      </c>
      <c r="F120" s="2238" t="n">
        <f aca="false">D120*E120</f>
        <v>0</v>
      </c>
      <c r="G120" s="2160"/>
      <c r="H120" s="122"/>
      <c r="I120" s="89"/>
      <c r="J120" s="122"/>
      <c r="K120" s="122"/>
      <c r="L120" s="122"/>
    </row>
    <row r="121" customFormat="false" ht="15.5" hidden="false" customHeight="false" outlineLevel="0" collapsed="false">
      <c r="A121" s="994" t="s">
        <v>2366</v>
      </c>
      <c r="B121" s="2237" t="s">
        <v>135</v>
      </c>
      <c r="C121" s="2237" t="n">
        <f aca="false">IF('Ввод данных'!A43=связи1!A207,1,0)</f>
        <v>0</v>
      </c>
      <c r="D121" s="2238" t="n">
        <f aca="false">((дома!D1319/перекрытие!J15)*(дома!C1319)*перекрытие!F15*перекрытие!G15*перекрытие!E15)*C121</f>
        <v>0</v>
      </c>
      <c r="E121" s="2238" t="n">
        <f aca="false">связи1!D207</f>
        <v>6500</v>
      </c>
      <c r="F121" s="2238" t="n">
        <f aca="false">D121*E121</f>
        <v>0</v>
      </c>
      <c r="G121" s="2160"/>
      <c r="H121" s="122"/>
      <c r="I121" s="89"/>
      <c r="J121" s="122"/>
      <c r="K121" s="122"/>
      <c r="L121" s="122"/>
    </row>
    <row r="122" customFormat="false" ht="15.5" hidden="false" customHeight="false" outlineLevel="0" collapsed="false">
      <c r="A122" s="994" t="s">
        <v>2068</v>
      </c>
      <c r="B122" s="2237" t="s">
        <v>135</v>
      </c>
      <c r="C122" s="2237" t="n">
        <f aca="false">IF('Ввод данных'!A43=связи1!A208,1,0)</f>
        <v>0</v>
      </c>
      <c r="D122" s="2238" t="n">
        <f aca="false">((дома!D1319/перекрытие!J15)*(дома!C1319)*перекрытие!F15*перекрытие!G15*перекрытие!E15)*C122</f>
        <v>0</v>
      </c>
      <c r="E122" s="2238" t="n">
        <f aca="false">связи1!D208</f>
        <v>6500</v>
      </c>
      <c r="F122" s="2238" t="n">
        <f aca="false">D122*E122</f>
        <v>0</v>
      </c>
      <c r="G122" s="2160"/>
      <c r="H122" s="122"/>
      <c r="I122" s="89"/>
      <c r="J122" s="122"/>
      <c r="K122" s="122"/>
      <c r="L122" s="122"/>
    </row>
    <row r="123" customFormat="false" ht="15.5" hidden="false" customHeight="false" outlineLevel="0" collapsed="false">
      <c r="A123" s="994" t="s">
        <v>4030</v>
      </c>
      <c r="B123" s="2237" t="s">
        <v>135</v>
      </c>
      <c r="C123" s="2237" t="n">
        <f aca="false">IF('Ввод данных'!A43=связи1!A209,1,0)</f>
        <v>0</v>
      </c>
      <c r="D123" s="2238" t="n">
        <f aca="false">((дома!D1319/перекрытие!J15)*(дома!C1319)*перекрытие!F15*перекрытие!G15*перекрытие!E15)*C123</f>
        <v>0</v>
      </c>
      <c r="E123" s="2238" t="n">
        <f aca="false">связи1!D209</f>
        <v>6500</v>
      </c>
      <c r="F123" s="2238" t="n">
        <f aca="false">D123*E123</f>
        <v>0</v>
      </c>
      <c r="G123" s="2160"/>
      <c r="H123" s="122"/>
      <c r="I123" s="89"/>
      <c r="J123" s="122"/>
      <c r="K123" s="122"/>
      <c r="L123" s="122"/>
    </row>
    <row r="124" customFormat="false" ht="15.5" hidden="false" customHeight="false" outlineLevel="0" collapsed="false">
      <c r="A124" s="87" t="str">
        <f aca="false">A65</f>
        <v>Опора бруса</v>
      </c>
      <c r="B124" s="88" t="s">
        <v>159</v>
      </c>
      <c r="C124" s="88"/>
      <c r="D124" s="89" t="n">
        <f aca="false">CEILING((D15*E15)*1.1,1)</f>
        <v>0</v>
      </c>
      <c r="E124" s="89" t="n">
        <f aca="false">E65</f>
        <v>50</v>
      </c>
      <c r="F124" s="2238" t="n">
        <f aca="false">D124*E124</f>
        <v>0</v>
      </c>
      <c r="G124" s="2160"/>
      <c r="H124" s="122"/>
      <c r="I124" s="89"/>
      <c r="J124" s="122"/>
      <c r="K124" s="122"/>
      <c r="L124" s="122"/>
    </row>
    <row r="125" customFormat="false" ht="15.5" hidden="false" customHeight="false" outlineLevel="0" collapsed="false">
      <c r="A125" s="87" t="str">
        <f aca="false">A66</f>
        <v>Болты анкерные с гайкой 8,0 x 60</v>
      </c>
      <c r="B125" s="88" t="s">
        <v>159</v>
      </c>
      <c r="C125" s="88"/>
      <c r="D125" s="89" t="n">
        <f aca="false">D124*4</f>
        <v>0</v>
      </c>
      <c r="E125" s="89" t="n">
        <f aca="false">E66</f>
        <v>4</v>
      </c>
      <c r="F125" s="2238" t="n">
        <f aca="false">D125*E125</f>
        <v>0</v>
      </c>
      <c r="G125" s="2160"/>
      <c r="H125" s="122"/>
      <c r="I125" s="89"/>
      <c r="J125" s="122"/>
      <c r="K125" s="122"/>
      <c r="L125" s="122"/>
    </row>
    <row r="126" customFormat="false" ht="15.5" hidden="false" customHeight="false" outlineLevel="0" collapsed="false">
      <c r="A126" s="1022" t="str">
        <f aca="false">связи1!A201</f>
        <v>Sip панель 2500*625*124мм</v>
      </c>
      <c r="B126" s="2219" t="s">
        <v>133</v>
      </c>
      <c r="C126" s="2239" t="n">
        <f aca="false">IF('Ввод данных'!A43=связи1!A201,1,0)</f>
        <v>0</v>
      </c>
      <c r="D126" s="2221" t="n">
        <f aca="false">D38*E38*C126</f>
        <v>0</v>
      </c>
      <c r="E126" s="2221" t="n">
        <f aca="false">'Прайс лист'!G259</f>
        <v>800</v>
      </c>
      <c r="F126" s="2221" t="n">
        <f aca="false">D126*E126</f>
        <v>0</v>
      </c>
      <c r="G126" s="2160"/>
      <c r="K126" s="122"/>
      <c r="L126" s="122"/>
    </row>
    <row r="127" customFormat="false" ht="15.5" hidden="false" customHeight="false" outlineLevel="0" collapsed="false">
      <c r="A127" s="1022" t="str">
        <f aca="false">связи1!A202</f>
        <v>Sip панель 2500*625*174мм</v>
      </c>
      <c r="B127" s="2219" t="s">
        <v>133</v>
      </c>
      <c r="C127" s="2239" t="n">
        <f aca="false">IF('Ввод данных'!A43=связи1!A202,1,0)</f>
        <v>0</v>
      </c>
      <c r="D127" s="2221" t="n">
        <f aca="false">D38*E38*C127</f>
        <v>0</v>
      </c>
      <c r="E127" s="2221" t="n">
        <f aca="false">'Прайс лист'!G260</f>
        <v>1200</v>
      </c>
      <c r="F127" s="2221" t="n">
        <f aca="false">D127*E127</f>
        <v>0</v>
      </c>
      <c r="G127" s="2160"/>
      <c r="K127" s="122"/>
      <c r="L127" s="122"/>
    </row>
    <row r="128" customFormat="false" ht="15.5" hidden="false" customHeight="false" outlineLevel="0" collapsed="false">
      <c r="A128" s="1022" t="str">
        <f aca="false">связи1!A203</f>
        <v>Sip панель 2500*625*224мм</v>
      </c>
      <c r="B128" s="2219" t="s">
        <v>133</v>
      </c>
      <c r="C128" s="2239" t="n">
        <f aca="false">IF('Ввод данных'!A43=связи1!A203,1,0)</f>
        <v>0</v>
      </c>
      <c r="D128" s="2221" t="n">
        <f aca="false">D38*E38*C128</f>
        <v>0</v>
      </c>
      <c r="E128" s="2221" t="n">
        <f aca="false">'Прайс лист'!G270</f>
        <v>1400</v>
      </c>
      <c r="F128" s="2221" t="n">
        <f aca="false">D128*E128</f>
        <v>0</v>
      </c>
      <c r="G128" s="2160"/>
      <c r="K128" s="122"/>
      <c r="L128" s="122"/>
    </row>
    <row r="129" customFormat="false" ht="15.5" hidden="false" customHeight="false" outlineLevel="0" collapsed="false">
      <c r="A129" s="933" t="s">
        <v>2312</v>
      </c>
      <c r="B129" s="887" t="s">
        <v>156</v>
      </c>
      <c r="C129" s="88"/>
      <c r="D129" s="89" t="n">
        <f aca="false">D126*C126*4*1.05</f>
        <v>0</v>
      </c>
      <c r="E129" s="89" t="n">
        <f aca="false">E70</f>
        <v>45</v>
      </c>
      <c r="F129" s="2221" t="n">
        <f aca="false">D129*E129</f>
        <v>0</v>
      </c>
      <c r="G129" s="2160"/>
      <c r="K129" s="122"/>
      <c r="L129" s="122"/>
    </row>
    <row r="130" customFormat="false" ht="15.5" hidden="false" customHeight="false" outlineLevel="0" collapsed="false">
      <c r="A130" s="933" t="s">
        <v>2134</v>
      </c>
      <c r="B130" s="887" t="s">
        <v>156</v>
      </c>
      <c r="C130" s="88"/>
      <c r="D130" s="89" t="n">
        <f aca="false">D127*C127*4*1.05</f>
        <v>0</v>
      </c>
      <c r="E130" s="89" t="n">
        <f aca="false">E71</f>
        <v>67.5</v>
      </c>
      <c r="F130" s="2221" t="n">
        <f aca="false">D130*E130</f>
        <v>0</v>
      </c>
      <c r="G130" s="2160"/>
      <c r="K130" s="122"/>
      <c r="L130" s="122"/>
    </row>
    <row r="131" customFormat="false" ht="15.5" hidden="false" customHeight="false" outlineLevel="0" collapsed="false">
      <c r="A131" s="933" t="s">
        <v>1908</v>
      </c>
      <c r="B131" s="887" t="s">
        <v>156</v>
      </c>
      <c r="C131" s="88"/>
      <c r="D131" s="89" t="n">
        <f aca="false">D128*C128*4*1.05</f>
        <v>0</v>
      </c>
      <c r="E131" s="89" t="n">
        <f aca="false">E72</f>
        <v>90</v>
      </c>
      <c r="F131" s="2221" t="n">
        <f aca="false">D131*E131</f>
        <v>0</v>
      </c>
      <c r="G131" s="2160"/>
      <c r="K131" s="122"/>
      <c r="L131" s="122"/>
    </row>
    <row r="132" customFormat="false" ht="15.5" hidden="false" customHeight="false" outlineLevel="0" collapsed="false">
      <c r="A132" s="7" t="str">
        <f aca="false">A73</f>
        <v>Пена монтажная, всесезонняя 800мл</v>
      </c>
      <c r="B132" s="230" t="s">
        <v>159</v>
      </c>
      <c r="C132" s="88"/>
      <c r="D132" s="89" t="n">
        <f aca="false">CEILING(SUM(D126:D128)/12,1)</f>
        <v>0</v>
      </c>
      <c r="E132" s="89" t="n">
        <f aca="false">E73</f>
        <v>300</v>
      </c>
      <c r="F132" s="2221" t="n">
        <f aca="false">D132*E132</f>
        <v>0</v>
      </c>
      <c r="G132" s="2160"/>
      <c r="K132" s="122"/>
      <c r="L132" s="122"/>
    </row>
    <row r="133" customFormat="false" ht="15.5" hidden="false" customHeight="false" outlineLevel="0" collapsed="false">
      <c r="A133" s="7" t="str">
        <f aca="false">A74</f>
        <v>Гвозди строительные 3,5 x 90</v>
      </c>
      <c r="B133" s="230" t="s">
        <v>159</v>
      </c>
      <c r="C133" s="88"/>
      <c r="D133" s="89" t="n">
        <f aca="false">SUM(D129:D131)</f>
        <v>0</v>
      </c>
      <c r="E133" s="89" t="n">
        <f aca="false">E74</f>
        <v>45</v>
      </c>
      <c r="F133" s="2221" t="n">
        <f aca="false">D133*E133</f>
        <v>0</v>
      </c>
      <c r="G133" s="2160"/>
      <c r="K133" s="122"/>
      <c r="L133" s="122"/>
    </row>
    <row r="134" customFormat="false" ht="15.5" hidden="false" customHeight="false" outlineLevel="0" collapsed="false">
      <c r="A134" s="7" t="str">
        <f aca="false">A195</f>
        <v>Саморезы 3,5 x 45</v>
      </c>
      <c r="B134" s="230" t="s">
        <v>159</v>
      </c>
      <c r="C134" s="88"/>
      <c r="D134" s="89" t="n">
        <f aca="false">SUM(D129:D131)*20</f>
        <v>0</v>
      </c>
      <c r="E134" s="89" t="n">
        <f aca="false">E195</f>
        <v>0.25</v>
      </c>
      <c r="F134" s="2221" t="n">
        <f aca="false">D134*E134</f>
        <v>0</v>
      </c>
      <c r="G134" s="2160"/>
      <c r="K134" s="122"/>
      <c r="L134" s="122"/>
    </row>
    <row r="135" customFormat="false" ht="15.5" hidden="false" customHeight="false" outlineLevel="0" collapsed="false">
      <c r="A135" s="1251" t="s">
        <v>1908</v>
      </c>
      <c r="B135" s="2240" t="s">
        <v>135</v>
      </c>
      <c r="C135" s="2241" t="n">
        <f aca="false">IF('Ввод данных'!A43=связи1!A210,1,0)</f>
        <v>0</v>
      </c>
      <c r="D135" s="2241" t="n">
        <f aca="false">((дома!D1319/перекрытие!J23)*(дома!C1319)+(CEILING(дома!C1319/2.5-1,1))*дома!D1319)*перекрытие!F23*перекрытие!G23*перекрытие!E23*C135*1.05</f>
        <v>0</v>
      </c>
      <c r="E135" s="2241" t="n">
        <f aca="false">'Прайс лист'!G316</f>
        <v>9000</v>
      </c>
      <c r="F135" s="2242" t="n">
        <f aca="false">D135*E135</f>
        <v>0</v>
      </c>
      <c r="G135" s="2160"/>
      <c r="K135" s="122"/>
      <c r="L135" s="122"/>
    </row>
    <row r="136" customFormat="false" ht="15.5" hidden="false" customHeight="false" outlineLevel="0" collapsed="false">
      <c r="A136" s="1251" t="s">
        <v>2134</v>
      </c>
      <c r="B136" s="2240" t="s">
        <v>135</v>
      </c>
      <c r="C136" s="2241" t="n">
        <f aca="false">IF('Ввод данных'!A43=связи1!A211,1,0)</f>
        <v>0</v>
      </c>
      <c r="D136" s="2241" t="n">
        <f aca="false">((дома!D1319/перекрытие!J23)*(дома!C1319)+(CEILING(дома!C1319/2.5-1,1))*дома!D1319)*перекрытие!F23*перекрытие!G23*перекрытие!E23*C136*1.05</f>
        <v>0</v>
      </c>
      <c r="E136" s="2241" t="n">
        <f aca="false">'Прайс лист'!G318</f>
        <v>9000</v>
      </c>
      <c r="F136" s="2242" t="n">
        <f aca="false">D136*E136</f>
        <v>0</v>
      </c>
      <c r="G136" s="2160"/>
      <c r="K136" s="122"/>
      <c r="L136" s="122"/>
    </row>
    <row r="137" customFormat="false" ht="15.5" hidden="false" customHeight="false" outlineLevel="0" collapsed="false">
      <c r="A137" s="933" t="str">
        <f aca="false">A78</f>
        <v>Гвозди ершоные 2,8 х 90</v>
      </c>
      <c r="B137" s="230" t="s">
        <v>188</v>
      </c>
      <c r="C137" s="8"/>
      <c r="D137" s="8" t="n">
        <f aca="false">SUM(D135:D136)*6</f>
        <v>0</v>
      </c>
      <c r="E137" s="8" t="n">
        <f aca="false">E78</f>
        <v>76.49</v>
      </c>
      <c r="F137" s="2242" t="n">
        <f aca="false">(D137*E137)*(C135+C136)</f>
        <v>0</v>
      </c>
      <c r="G137" s="2160"/>
      <c r="K137" s="122"/>
      <c r="L137" s="122"/>
    </row>
    <row r="138" customFormat="false" ht="15.5" hidden="false" customHeight="false" outlineLevel="0" collapsed="false">
      <c r="A138" s="2243" t="s">
        <v>2026</v>
      </c>
      <c r="B138" s="2244" t="s">
        <v>135</v>
      </c>
      <c r="C138" s="2245" t="n">
        <f aca="false">IF('Ввод данных'!A43=связи1!A212,1,0)</f>
        <v>0</v>
      </c>
      <c r="D138" s="2245" t="n">
        <f aca="false">((дома!D1319/перекрытие!J28)*(дома!C1319)+(CEILING(дома!C1319/2.5-1,1))*дома!D1319)*перекрытие!F28*перекрытие!G28*перекрытие!E28*C138</f>
        <v>0</v>
      </c>
      <c r="E138" s="2245" t="n">
        <f aca="false">'Прайс лист'!G308</f>
        <v>12500</v>
      </c>
      <c r="F138" s="2232" t="n">
        <f aca="false">D138*E138*C138</f>
        <v>0</v>
      </c>
      <c r="G138" s="2160"/>
      <c r="K138" s="122"/>
      <c r="L138" s="122"/>
    </row>
    <row r="139" customFormat="false" ht="15.5" hidden="false" customHeight="false" outlineLevel="0" collapsed="false">
      <c r="A139" s="2243" t="s">
        <v>4031</v>
      </c>
      <c r="B139" s="2244" t="s">
        <v>135</v>
      </c>
      <c r="C139" s="2245" t="n">
        <f aca="false">IF('Ввод данных'!A43=связи1!A212,1,0)</f>
        <v>0</v>
      </c>
      <c r="D139" s="2245" t="n">
        <f aca="false">((дома!D1319/перекрытие!J28)*(дома!C1319)+(CEILING(дома!C1319/2.5-1,1))*дома!D1319)*перекрытие!F28*перекрытие!G28*перекрытие!E28*C139</f>
        <v>0</v>
      </c>
      <c r="E139" s="2245" t="n">
        <f aca="false">'Прайс лист'!G309</f>
        <v>12500</v>
      </c>
      <c r="F139" s="2232" t="n">
        <f aca="false">D139*E139*C139</f>
        <v>0</v>
      </c>
      <c r="G139" s="2160"/>
      <c r="K139" s="122"/>
      <c r="L139" s="122"/>
    </row>
    <row r="140" customFormat="false" ht="15.5" hidden="false" customHeight="false" outlineLevel="0" collapsed="false">
      <c r="A140" s="933" t="str">
        <f aca="false">A78</f>
        <v>Гвозди ершоные 2,8 х 90</v>
      </c>
      <c r="B140" s="230" t="s">
        <v>188</v>
      </c>
      <c r="C140" s="8"/>
      <c r="D140" s="8" t="n">
        <f aca="false">SUM(D138:D139)*6</f>
        <v>0</v>
      </c>
      <c r="E140" s="8" t="n">
        <f aca="false">E78</f>
        <v>76.49</v>
      </c>
      <c r="F140" s="2232" t="n">
        <f aca="false">D140*E140*(C138+C139)</f>
        <v>0</v>
      </c>
      <c r="G140" s="2160"/>
      <c r="H140" s="122"/>
      <c r="I140" s="89"/>
      <c r="J140" s="122"/>
      <c r="K140" s="122"/>
      <c r="L140" s="122"/>
    </row>
    <row r="141" customFormat="false" ht="15.5" hidden="false" customHeight="false" outlineLevel="0" collapsed="false">
      <c r="A141" s="2246" t="s">
        <v>243</v>
      </c>
      <c r="B141" s="2247" t="s">
        <v>156</v>
      </c>
      <c r="C141" s="2248" t="n">
        <f aca="false">IF('Ввод данных'!$A$43=перекрытие!A141,1,0)</f>
        <v>0</v>
      </c>
      <c r="D141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141</f>
        <v>0</v>
      </c>
      <c r="E141" s="2249" t="n">
        <f aca="false">'Прайс лист'!G274</f>
        <v>303</v>
      </c>
      <c r="F141" s="2249" t="n">
        <f aca="false">E141*D141</f>
        <v>0</v>
      </c>
      <c r="G141" s="2160"/>
      <c r="K141" s="122"/>
      <c r="L141" s="122"/>
    </row>
    <row r="142" customFormat="false" ht="15.5" hidden="false" customHeight="false" outlineLevel="0" collapsed="false">
      <c r="A142" s="2246" t="s">
        <v>244</v>
      </c>
      <c r="B142" s="2247" t="s">
        <v>156</v>
      </c>
      <c r="C142" s="2248" t="n">
        <f aca="false">IF('Ввод данных'!$A$43=перекрытие!A142,1,0)</f>
        <v>0</v>
      </c>
      <c r="D142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142</f>
        <v>0</v>
      </c>
      <c r="E142" s="2249" t="n">
        <f aca="false">'Прайс лист'!G275</f>
        <v>355</v>
      </c>
      <c r="F142" s="2249" t="n">
        <f aca="false">E142*D142</f>
        <v>0</v>
      </c>
      <c r="G142" s="2160"/>
      <c r="H142" s="122"/>
      <c r="I142" s="89"/>
      <c r="J142" s="122"/>
      <c r="K142" s="122"/>
      <c r="L142" s="122"/>
    </row>
    <row r="143" customFormat="false" ht="15.5" hidden="false" customHeight="false" outlineLevel="0" collapsed="false">
      <c r="A143" s="2246" t="s">
        <v>245</v>
      </c>
      <c r="B143" s="2247" t="s">
        <v>156</v>
      </c>
      <c r="C143" s="2248" t="n">
        <f aca="false">IF('Ввод данных'!$A$43=перекрытие!A143,1,0)</f>
        <v>0</v>
      </c>
      <c r="D143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143</f>
        <v>0</v>
      </c>
      <c r="E143" s="2249" t="n">
        <f aca="false">'Прайс лист'!G276</f>
        <v>287</v>
      </c>
      <c r="F143" s="2249" t="n">
        <f aca="false">E143*D143</f>
        <v>0</v>
      </c>
      <c r="G143" s="2160"/>
      <c r="H143" s="122"/>
      <c r="I143" s="89"/>
      <c r="J143" s="122"/>
      <c r="K143" s="122"/>
      <c r="L143" s="122"/>
    </row>
    <row r="144" customFormat="false" ht="15.5" hidden="false" customHeight="false" outlineLevel="0" collapsed="false">
      <c r="A144" s="2246" t="s">
        <v>246</v>
      </c>
      <c r="B144" s="2247" t="s">
        <v>156</v>
      </c>
      <c r="C144" s="2248" t="n">
        <f aca="false">IF('Ввод данных'!$A$43=перекрытие!A144,1,0)</f>
        <v>0</v>
      </c>
      <c r="D144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144</f>
        <v>0</v>
      </c>
      <c r="E144" s="2249" t="n">
        <f aca="false">'Прайс лист'!G277</f>
        <v>315</v>
      </c>
      <c r="F144" s="2249" t="n">
        <f aca="false">E144*D144</f>
        <v>0</v>
      </c>
      <c r="G144" s="2160"/>
      <c r="H144" s="122"/>
      <c r="I144" s="89"/>
      <c r="J144" s="122"/>
      <c r="K144" s="122"/>
      <c r="L144" s="122"/>
    </row>
    <row r="145" customFormat="false" ht="15.5" hidden="false" customHeight="false" outlineLevel="0" collapsed="false">
      <c r="A145" s="2246" t="s">
        <v>247</v>
      </c>
      <c r="B145" s="2247" t="s">
        <v>156</v>
      </c>
      <c r="C145" s="2248" t="n">
        <f aca="false">IF('Ввод данных'!$A$43=перекрытие!A145,1,0)</f>
        <v>0</v>
      </c>
      <c r="D145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145</f>
        <v>0</v>
      </c>
      <c r="E145" s="2249" t="n">
        <f aca="false">'Прайс лист'!G278</f>
        <v>273</v>
      </c>
      <c r="F145" s="2249" t="n">
        <f aca="false">E145*D145</f>
        <v>0</v>
      </c>
      <c r="G145" s="2160"/>
      <c r="H145" s="122"/>
      <c r="I145" s="89"/>
      <c r="J145" s="122"/>
      <c r="K145" s="122"/>
      <c r="L145" s="122"/>
    </row>
    <row r="146" customFormat="false" ht="15.5" hidden="false" customHeight="false" outlineLevel="0" collapsed="false">
      <c r="A146" s="2246" t="s">
        <v>248</v>
      </c>
      <c r="B146" s="2247" t="s">
        <v>156</v>
      </c>
      <c r="C146" s="2248" t="n">
        <f aca="false">IF('Ввод данных'!$A$43=перекрытие!A146,1,0)</f>
        <v>0</v>
      </c>
      <c r="D146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146</f>
        <v>0</v>
      </c>
      <c r="E146" s="2249" t="n">
        <f aca="false">'Прайс лист'!G279</f>
        <v>315</v>
      </c>
      <c r="F146" s="2249" t="n">
        <f aca="false">E146*D146</f>
        <v>0</v>
      </c>
      <c r="G146" s="2160"/>
      <c r="H146" s="122"/>
      <c r="I146" s="89"/>
      <c r="J146" s="122"/>
      <c r="K146" s="122"/>
      <c r="L146" s="122"/>
    </row>
    <row r="147" customFormat="false" ht="15.5" hidden="false" customHeight="false" outlineLevel="0" collapsed="false">
      <c r="A147" s="2246" t="s">
        <v>249</v>
      </c>
      <c r="B147" s="2247" t="s">
        <v>156</v>
      </c>
      <c r="C147" s="2248" t="n">
        <f aca="false">IF('Ввод данных'!$A$43=перекрытие!A147,1,0)</f>
        <v>0</v>
      </c>
      <c r="D147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147</f>
        <v>0</v>
      </c>
      <c r="E147" s="2249" t="n">
        <f aca="false">'Прайс лист'!G280</f>
        <v>263</v>
      </c>
      <c r="F147" s="2249" t="n">
        <f aca="false">E147*D147</f>
        <v>0</v>
      </c>
      <c r="G147" s="2160"/>
      <c r="H147" s="122"/>
      <c r="I147" s="89"/>
      <c r="J147" s="122"/>
      <c r="K147" s="122"/>
      <c r="L147" s="122"/>
    </row>
    <row r="148" customFormat="false" ht="15.5" hidden="false" customHeight="false" outlineLevel="0" collapsed="false">
      <c r="A148" s="2246" t="s">
        <v>250</v>
      </c>
      <c r="B148" s="2247" t="s">
        <v>156</v>
      </c>
      <c r="C148" s="2248" t="n">
        <f aca="false">IF('Ввод данных'!$A$43=перекрытие!A148,1,0)</f>
        <v>0</v>
      </c>
      <c r="D148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148</f>
        <v>0</v>
      </c>
      <c r="E148" s="2249" t="n">
        <f aca="false">'Прайс лист'!G281</f>
        <v>291</v>
      </c>
      <c r="F148" s="2249" t="n">
        <f aca="false">E148*D148</f>
        <v>0</v>
      </c>
      <c r="G148" s="2160"/>
      <c r="H148" s="122"/>
      <c r="I148" s="89"/>
      <c r="J148" s="122"/>
      <c r="K148" s="122"/>
      <c r="L148" s="122"/>
    </row>
    <row r="149" customFormat="false" ht="15.5" hidden="false" customHeight="false" outlineLevel="0" collapsed="false">
      <c r="A149" s="2246" t="s">
        <v>251</v>
      </c>
      <c r="B149" s="2247" t="s">
        <v>156</v>
      </c>
      <c r="C149" s="2248" t="n">
        <f aca="false">IF('Ввод данных'!$A$43=перекрытие!A149,1,0)</f>
        <v>0</v>
      </c>
      <c r="D149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149</f>
        <v>0</v>
      </c>
      <c r="E149" s="2249" t="n">
        <f aca="false">'Прайс лист'!G282</f>
        <v>250</v>
      </c>
      <c r="F149" s="2249" t="n">
        <f aca="false">E149*D149</f>
        <v>0</v>
      </c>
      <c r="G149" s="2160"/>
      <c r="H149" s="122"/>
      <c r="I149" s="89"/>
      <c r="J149" s="122"/>
      <c r="K149" s="122"/>
      <c r="L149" s="122"/>
    </row>
    <row r="150" customFormat="false" ht="15.5" hidden="false" customHeight="false" outlineLevel="0" collapsed="false">
      <c r="A150" s="2246" t="s">
        <v>252</v>
      </c>
      <c r="B150" s="2247" t="s">
        <v>156</v>
      </c>
      <c r="C150" s="2248" t="n">
        <f aca="false">IF('Ввод данных'!$A$43=перекрытие!A150,1,0)</f>
        <v>0</v>
      </c>
      <c r="D150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150</f>
        <v>0</v>
      </c>
      <c r="E150" s="2249" t="n">
        <f aca="false">'Прайс лист'!G283</f>
        <v>280</v>
      </c>
      <c r="F150" s="2249" t="n">
        <f aca="false">E150*D150</f>
        <v>0</v>
      </c>
      <c r="G150" s="2160"/>
      <c r="H150" s="122"/>
      <c r="I150" s="89"/>
      <c r="J150" s="122"/>
      <c r="K150" s="122"/>
      <c r="L150" s="122"/>
    </row>
    <row r="151" customFormat="false" ht="15.5" hidden="false" customHeight="false" outlineLevel="0" collapsed="false">
      <c r="A151" s="2246" t="s">
        <v>253</v>
      </c>
      <c r="B151" s="2247" t="s">
        <v>156</v>
      </c>
      <c r="C151" s="2248" t="n">
        <f aca="false">IF('Ввод данных'!$A$43=перекрытие!A151,1,0)</f>
        <v>0</v>
      </c>
      <c r="D151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151</f>
        <v>0</v>
      </c>
      <c r="E151" s="2249" t="n">
        <f aca="false">'Прайс лист'!G284</f>
        <v>220</v>
      </c>
      <c r="F151" s="2249" t="n">
        <f aca="false">E151*D151</f>
        <v>0</v>
      </c>
      <c r="G151" s="2160"/>
      <c r="H151" s="122"/>
      <c r="I151" s="89"/>
      <c r="J151" s="122"/>
      <c r="K151" s="122"/>
      <c r="L151" s="122"/>
    </row>
    <row r="152" customFormat="false" ht="15.5" hidden="false" customHeight="false" outlineLevel="0" collapsed="false">
      <c r="A152" s="2246" t="s">
        <v>254</v>
      </c>
      <c r="B152" s="2247" t="s">
        <v>156</v>
      </c>
      <c r="C152" s="2248" t="n">
        <f aca="false">IF('Ввод данных'!$A$43=перекрытие!A152,1,0)</f>
        <v>0</v>
      </c>
      <c r="D152" s="2249" t="n">
        <f aca="false">((дома!D1319/перекрытие!J33+1)*(дома!C1319)+(CEILING(дома!C1319/2.5-1,1))*дома!D1319+(пристройка!C34/перекрытие!J32)*пристройка!C33*пристройка!C32*пристройка!D2*пристройка!C26+пристройка!D26*пристройка!D2*пристройка!D32*пристройка!D33*(пристройка!D34/перекрытие!J32)+(пристройка!E34/перекрытие!J32)*пристройка!E33*пристройка!E32*пристройка!D2*пристройка!E26+пристройка!F26*пристройка!D2*пристройка!F32*пристройка!F33*(пристройка!F34/перекрытие!J32))*перекрытие!E33*C152</f>
        <v>0</v>
      </c>
      <c r="E152" s="2249" t="n">
        <f aca="false">'Прайс лист'!G285</f>
        <v>250</v>
      </c>
      <c r="F152" s="2249" t="n">
        <f aca="false">E152*D152</f>
        <v>0</v>
      </c>
      <c r="G152" s="2160"/>
      <c r="H152" s="122"/>
      <c r="I152" s="89"/>
      <c r="J152" s="122"/>
      <c r="K152" s="122"/>
      <c r="L152" s="122"/>
    </row>
    <row r="153" customFormat="false" ht="15.5" hidden="false" customHeight="false" outlineLevel="0" collapsed="false">
      <c r="A153" s="226" t="str">
        <f aca="false">'Прайс лист'!B838</f>
        <v>Уголок усиленный 90х70х55х2,5</v>
      </c>
      <c r="B153" s="230" t="s">
        <v>159</v>
      </c>
      <c r="C153" s="7"/>
      <c r="D153" s="8" t="n">
        <f aca="false">CEILING(((IF(G33=0.8,1.6,0)+IF(G33=0.7,2,0)+IF(G33=0.6,2.44,0)+IF(G33=0.5,3.25,0)+IF(G33=0.4,3.67,0)+IF(G33=0.3,4.1,0))*D33*E33),1)</f>
        <v>0</v>
      </c>
      <c r="E153" s="8" t="n">
        <f aca="false">'Прайс лист'!G838</f>
        <v>30</v>
      </c>
      <c r="F153" s="2249" t="n">
        <f aca="false">E153*D153*SUM(C141:C152)</f>
        <v>0</v>
      </c>
      <c r="G153" s="2160"/>
      <c r="H153" s="122"/>
      <c r="I153" s="89"/>
      <c r="J153" s="122"/>
      <c r="K153" s="122"/>
      <c r="L153" s="122"/>
    </row>
    <row r="154" customFormat="false" ht="15.5" hidden="false" customHeight="false" outlineLevel="0" collapsed="false">
      <c r="A154" s="226" t="str">
        <f aca="false">'Прайс лист'!B878</f>
        <v>Саморезы 3,5 x 55</v>
      </c>
      <c r="B154" s="230" t="s">
        <v>159</v>
      </c>
      <c r="C154" s="7"/>
      <c r="D154" s="8" t="n">
        <f aca="false">D153*4</f>
        <v>0</v>
      </c>
      <c r="E154" s="8" t="n">
        <f aca="false">'Прайс лист'!F878</f>
        <v>0.3</v>
      </c>
      <c r="F154" s="2249" t="n">
        <f aca="false">E154*D154*SUM(C141:C152)</f>
        <v>0</v>
      </c>
      <c r="G154" s="2160"/>
      <c r="H154" s="122"/>
      <c r="I154" s="89"/>
      <c r="J154" s="122"/>
      <c r="K154" s="122"/>
      <c r="L154" s="122"/>
    </row>
    <row r="155" customFormat="false" ht="15.5" hidden="false" customHeight="false" outlineLevel="0" collapsed="false">
      <c r="A155" s="7" t="str">
        <f aca="false">'Ввод данных'!A44</f>
        <v>Пенопласт ПСБ-С-35, 100мм</v>
      </c>
      <c r="B155" s="230" t="s">
        <v>135</v>
      </c>
      <c r="C155" s="7" t="n">
        <f aca="false">IF(A155='Прайс лист'!B744,0,1)</f>
        <v>1</v>
      </c>
      <c r="D155" s="7" t="n">
        <f aca="false">дома!F1087*VLOOKUP(A155,'Прайс лист'!B744:G782,3,0)</f>
        <v>10</v>
      </c>
      <c r="E155" s="7" t="n">
        <f aca="false">VLOOKUP(A155,'Прайс лист'!B744:G782,6,0)</f>
        <v>3400</v>
      </c>
      <c r="F155" s="7" t="n">
        <f aca="false">D155*E155</f>
        <v>34000</v>
      </c>
      <c r="G155" s="2160"/>
      <c r="H155" s="122"/>
      <c r="I155" s="89"/>
      <c r="J155" s="122"/>
      <c r="K155" s="122"/>
      <c r="L155" s="122"/>
    </row>
    <row r="156" customFormat="false" ht="15.5" hidden="false" customHeight="false" outlineLevel="0" collapsed="false">
      <c r="A156" s="7" t="str">
        <f aca="false">'Ввод данных'!A48</f>
        <v>нет ветроизоляции</v>
      </c>
      <c r="B156" s="230" t="s">
        <v>133</v>
      </c>
      <c r="C156" s="7" t="n">
        <f aca="false">IF(A156='Прайс лист'!B793,0,1)</f>
        <v>0</v>
      </c>
      <c r="D156" s="7" t="n">
        <f aca="false">дома!F1087</f>
        <v>100</v>
      </c>
      <c r="E156" s="7" t="n">
        <f aca="false">VLOOKUP(A156,'Прайс лист'!B793:G819,6,0)</f>
        <v>0</v>
      </c>
      <c r="F156" s="7" t="n">
        <f aca="false">D156*E156</f>
        <v>0</v>
      </c>
      <c r="G156" s="2160"/>
      <c r="H156" s="122"/>
      <c r="I156" s="89"/>
      <c r="J156" s="122"/>
      <c r="K156" s="122"/>
      <c r="L156" s="122"/>
    </row>
    <row r="157" customFormat="false" ht="15.5" hidden="false" customHeight="false" outlineLevel="0" collapsed="false">
      <c r="A157" s="7" t="str">
        <f aca="false">'Ввод данных'!A49</f>
        <v>нет пароизоляции</v>
      </c>
      <c r="B157" s="230" t="s">
        <v>133</v>
      </c>
      <c r="C157" s="7" t="n">
        <f aca="false">IF(A157='Прайс лист'!B820,0,1)</f>
        <v>0</v>
      </c>
      <c r="D157" s="7" t="n">
        <f aca="false">дома!F1087</f>
        <v>100</v>
      </c>
      <c r="E157" s="7" t="n">
        <f aca="false">VLOOKUP(A157,'Прайс лист'!B820:G831,6,0)</f>
        <v>0</v>
      </c>
      <c r="F157" s="7" t="n">
        <f aca="false">D157*E157</f>
        <v>0</v>
      </c>
      <c r="G157" s="2160"/>
      <c r="H157" s="122"/>
      <c r="I157" s="89"/>
      <c r="J157" s="122"/>
      <c r="K157" s="122"/>
      <c r="L157" s="122"/>
    </row>
    <row r="158" s="2193" customFormat="true" ht="15.5" hidden="false" customHeight="false" outlineLevel="0" collapsed="false">
      <c r="G158" s="2160"/>
      <c r="H158" s="122"/>
      <c r="I158" s="89"/>
      <c r="J158" s="122"/>
      <c r="K158" s="122"/>
      <c r="L158" s="122"/>
    </row>
    <row r="159" s="2193" customFormat="true" ht="15.5" hidden="false" customHeight="false" outlineLevel="0" collapsed="false">
      <c r="G159" s="2160"/>
      <c r="H159" s="122"/>
      <c r="I159" s="89"/>
      <c r="J159" s="122"/>
      <c r="K159" s="122"/>
      <c r="L159" s="122"/>
    </row>
    <row r="160" customFormat="false" ht="15.5" hidden="false" customHeight="false" outlineLevel="0" collapsed="false">
      <c r="A160" s="87" t="s">
        <v>4032</v>
      </c>
      <c r="B160" s="88" t="s">
        <v>133</v>
      </c>
      <c r="C160" s="7"/>
      <c r="D160" s="89" t="n">
        <f aca="false">(IF(AND('Ввод данных'!A6=связи1!A98,'Ввод данных'!F237=связи1!A2),дома!C1191*перекрытие!E5,0)+IF(AND('Ввод данных'!A6=связи1!A98,'Ввод данных'!F312=связи1!A2),дома!J1191*перекрытие!E5,0)+IF('Ввод данных'!A6=связи1!A95,дома!F1090*перекрытие!E5,0))</f>
        <v>0</v>
      </c>
      <c r="E160" s="89" t="n">
        <f aca="false">'Прайс лист'!G161</f>
        <v>1400</v>
      </c>
      <c r="F160" s="89" t="n">
        <f aca="false">D160*E160</f>
        <v>0</v>
      </c>
      <c r="G160" s="2160"/>
      <c r="K160" s="122"/>
      <c r="L160" s="122"/>
    </row>
    <row r="161" customFormat="false" ht="15.5" hidden="false" customHeight="false" outlineLevel="0" collapsed="false">
      <c r="A161" s="87" t="str">
        <f aca="false">A43</f>
        <v>Раствор, м250</v>
      </c>
      <c r="B161" s="88" t="s">
        <v>135</v>
      </c>
      <c r="C161" s="7"/>
      <c r="D161" s="89" t="n">
        <f aca="false">(('Ввод данных'!C11+'Ввод данных'!C11)*0.2*0.15+'Ввод данных'!C11+'Ввод данных'!C11+'Ввод данных'!C12+'Ввод данных'!C12+'Ввод данных'!C112*'Ввод данных'!D112+'Ввод данных'!C113*'Ввод данных'!D113+'Ввод данных'!C114*'Ввод данных'!D114+'Ввод данных'!C115*'Ввод данных'!D115+'Ввод данных'!C120*'Ввод данных'!D120+'Ввод данных'!C121*'Ввод данных'!D121+'Ввод данных'!C122*'Ввод данных'!D122+'Ввод данных'!C123*'Ввод данных'!D123)*0.2*0.02*E5</f>
        <v>0</v>
      </c>
      <c r="E161" s="89" t="n">
        <f aca="false">'Прайс лист'!G230</f>
        <v>2500</v>
      </c>
      <c r="F161" s="89" t="n">
        <f aca="false">D161*E161</f>
        <v>0</v>
      </c>
      <c r="G161" s="2160"/>
      <c r="K161" s="122"/>
      <c r="L161" s="122"/>
    </row>
    <row r="162" customFormat="false" ht="15.5" hidden="false" customHeight="false" outlineLevel="0" collapsed="false">
      <c r="A162" s="2250" t="s">
        <v>4018</v>
      </c>
      <c r="B162" s="2251" t="s">
        <v>133</v>
      </c>
      <c r="C162" s="2251" t="n">
        <f aca="false">IF('Ввод данных'!A51=связи1!A214,1,0)</f>
        <v>0</v>
      </c>
      <c r="D162" s="2252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данных'!A6=связи1!A95,(дома!C1189*дома!C1115+дома!L1115*дома!L1189+дома!J98)*перекрытие!E10,0))*C162</f>
        <v>0</v>
      </c>
      <c r="E162" s="2252" t="n">
        <v>1</v>
      </c>
      <c r="F162" s="2252" t="n">
        <f aca="false">D162*E162</f>
        <v>0</v>
      </c>
      <c r="G162" s="2160"/>
      <c r="K162" s="122"/>
      <c r="L162" s="122"/>
    </row>
    <row r="163" customFormat="false" ht="15.5" hidden="false" customHeight="false" outlineLevel="0" collapsed="false">
      <c r="A163" s="2250" t="s">
        <v>4019</v>
      </c>
      <c r="B163" s="2251" t="s">
        <v>133</v>
      </c>
      <c r="C163" s="2251" t="n">
        <f aca="false">IF('Ввод данных'!A51=связи1!A215,1,0)</f>
        <v>0</v>
      </c>
      <c r="D163" s="2252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данных'!A6=связи1!A95,(дома!C1189*дома!C1115+дома!L1115*дома!L1189+дома!J98)*перекрытие!E10,0))*C163</f>
        <v>0</v>
      </c>
      <c r="E163" s="2252" t="n">
        <v>1</v>
      </c>
      <c r="F163" s="2252" t="n">
        <f aca="false">D163*E163</f>
        <v>0</v>
      </c>
      <c r="G163" s="2160"/>
      <c r="K163" s="122"/>
      <c r="L163" s="122"/>
    </row>
    <row r="164" customFormat="false" ht="15.5" hidden="false" customHeight="false" outlineLevel="0" collapsed="false">
      <c r="A164" s="2250" t="s">
        <v>4020</v>
      </c>
      <c r="B164" s="2251" t="s">
        <v>133</v>
      </c>
      <c r="C164" s="2251" t="n">
        <f aca="false">IF('Ввод данных'!A51=связи1!A216,1,0)</f>
        <v>0</v>
      </c>
      <c r="D164" s="2252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данных'!A6=связи1!A95,(дома!C1189*дома!C1115+дома!L1115*дома!L1189+дома!J98)*перекрытие!E10,0))*C164</f>
        <v>0</v>
      </c>
      <c r="E164" s="2252" t="n">
        <v>1</v>
      </c>
      <c r="F164" s="2252" t="n">
        <f aca="false">D164*E164</f>
        <v>0</v>
      </c>
      <c r="G164" s="2160"/>
      <c r="K164" s="122"/>
      <c r="L164" s="122"/>
    </row>
    <row r="165" customFormat="false" ht="15.5" hidden="false" customHeight="false" outlineLevel="0" collapsed="false">
      <c r="A165" s="2250" t="s">
        <v>4021</v>
      </c>
      <c r="B165" s="2251" t="s">
        <v>133</v>
      </c>
      <c r="C165" s="2251" t="n">
        <f aca="false">IF('Ввод данных'!A51=связи1!A217,1,0)</f>
        <v>0</v>
      </c>
      <c r="D165" s="2252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данных'!A6=связи1!A95,(дома!C1189*дома!C1115+дома!L1115*дома!L1189+дома!J98)*перекрытие!E10,0))*C165</f>
        <v>0</v>
      </c>
      <c r="E165" s="2252" t="n">
        <v>1</v>
      </c>
      <c r="F165" s="2252" t="n">
        <f aca="false">D165*E165</f>
        <v>0</v>
      </c>
      <c r="G165" s="2160"/>
      <c r="K165" s="122"/>
      <c r="L165" s="122"/>
    </row>
    <row r="166" customFormat="false" ht="15.5" hidden="false" customHeight="false" outlineLevel="0" collapsed="false">
      <c r="A166" s="2250" t="s">
        <v>4022</v>
      </c>
      <c r="B166" s="2251" t="s">
        <v>133</v>
      </c>
      <c r="C166" s="2251" t="n">
        <f aca="false">IF('Ввод данных'!A51=связи1!A218,1,0)</f>
        <v>0</v>
      </c>
      <c r="D166" s="2252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данных'!A6=связи1!A95,(дома!C1189*дома!C1115+дома!L1115*дома!L1189+дома!J98)*перекрытие!E10,0))*C166</f>
        <v>0</v>
      </c>
      <c r="E166" s="2252" t="n">
        <v>1</v>
      </c>
      <c r="F166" s="2252" t="n">
        <f aca="false">D166*E166</f>
        <v>0</v>
      </c>
      <c r="G166" s="2160"/>
      <c r="H166" s="122"/>
      <c r="I166" s="89"/>
      <c r="J166" s="122"/>
      <c r="K166" s="122"/>
      <c r="L166" s="122"/>
    </row>
    <row r="167" customFormat="false" ht="15.5" hidden="false" customHeight="false" outlineLevel="0" collapsed="false">
      <c r="A167" s="2250" t="s">
        <v>4023</v>
      </c>
      <c r="B167" s="2251" t="s">
        <v>133</v>
      </c>
      <c r="C167" s="2251" t="n">
        <f aca="false">IF('Ввод данных'!A51=связи1!A219,1,0)</f>
        <v>0</v>
      </c>
      <c r="D167" s="2252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данных'!A6=связи1!A95,(дома!C1189*дома!C1115+дома!L1115*дома!L1189+дома!J98)*перекрытие!E10,0))*C167</f>
        <v>0</v>
      </c>
      <c r="E167" s="2252" t="n">
        <v>1</v>
      </c>
      <c r="F167" s="2252" t="n">
        <f aca="false">D167*E167</f>
        <v>0</v>
      </c>
      <c r="G167" s="2160"/>
      <c r="H167" s="122"/>
      <c r="I167" s="89"/>
      <c r="J167" s="122"/>
      <c r="K167" s="122"/>
      <c r="L167" s="122"/>
    </row>
    <row r="168" customFormat="false" ht="15.5" hidden="false" customHeight="false" outlineLevel="0" collapsed="false">
      <c r="A168" s="2250" t="s">
        <v>4024</v>
      </c>
      <c r="B168" s="2251" t="s">
        <v>133</v>
      </c>
      <c r="C168" s="2251" t="n">
        <f aca="false">IF('Ввод данных'!A51=связи1!A220,1,0)</f>
        <v>0</v>
      </c>
      <c r="D168" s="2252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данных'!A6=связи1!A95,(дома!C1189*дома!C1115+дома!L1115*дома!L1189+дома!J98)*перекрытие!E10,0))*C168</f>
        <v>0</v>
      </c>
      <c r="E168" s="2252" t="n">
        <v>1</v>
      </c>
      <c r="F168" s="2252" t="n">
        <f aca="false">D168*E168</f>
        <v>0</v>
      </c>
      <c r="G168" s="2160"/>
      <c r="H168" s="122"/>
      <c r="I168" s="89"/>
      <c r="J168" s="122"/>
      <c r="K168" s="122"/>
      <c r="L168" s="122"/>
    </row>
    <row r="169" customFormat="false" ht="15.5" hidden="false" customHeight="false" outlineLevel="0" collapsed="false">
      <c r="A169" s="2250" t="s">
        <v>4025</v>
      </c>
      <c r="B169" s="2251" t="s">
        <v>133</v>
      </c>
      <c r="C169" s="2251" t="n">
        <f aca="false">IF('Ввод данных'!A51=связи1!A221,1,0)</f>
        <v>0</v>
      </c>
      <c r="D169" s="2252" t="n">
        <f aca="false">(IF(AND('Ввод данных'!A6=связи1!A98,'Ввод данных'!F237=связи1!A2),(дома!C1189*дома!C1115+дома!L1115*дома!L1189+дома!J98)*перекрытие!E10,0)+IF(AND('Ввод данных'!A6=связи1!A98,'Ввод данных'!F312=связи1!A2),(дома!C1189*дома!C1115+дома!L1115*дома!L1189+дома!J98)*перекрытие!E10,0)+IF('Ввод данных'!A6=связи1!A95,(дома!C1189*дома!C1115+дома!L1115*дома!L1189+дома!J98)*перекрытие!E10,0))*C169</f>
        <v>0</v>
      </c>
      <c r="E169" s="2252" t="n">
        <v>1</v>
      </c>
      <c r="F169" s="2252" t="n">
        <f aca="false">D169*E169</f>
        <v>0</v>
      </c>
      <c r="G169" s="2160"/>
      <c r="H169" s="122"/>
      <c r="I169" s="89"/>
      <c r="J169" s="122"/>
      <c r="K169" s="122"/>
      <c r="L169" s="122"/>
    </row>
    <row r="170" customFormat="false" ht="15.5" hidden="false" customHeight="false" outlineLevel="0" collapsed="false">
      <c r="A170" s="2253" t="s">
        <v>4026</v>
      </c>
      <c r="B170" s="2235" t="s">
        <v>135</v>
      </c>
      <c r="C170" s="7"/>
      <c r="D170" s="8" t="n">
        <f aca="false">((D10/5+5*2)*перекрытие!E10*перекрытие!F10*2+D10*E10*1.1)*0.05*1.1</f>
        <v>0</v>
      </c>
      <c r="E170" s="8" t="n">
        <f aca="false">'Прайс лист'!G291</f>
        <v>6500</v>
      </c>
      <c r="F170" s="2252" t="n">
        <f aca="false">D170*E170</f>
        <v>0</v>
      </c>
      <c r="G170" s="2160"/>
      <c r="H170" s="122"/>
      <c r="I170" s="89"/>
      <c r="J170" s="122"/>
      <c r="K170" s="122"/>
      <c r="L170" s="122"/>
    </row>
    <row r="171" customFormat="false" ht="15.5" hidden="false" customHeight="false" outlineLevel="0" collapsed="false">
      <c r="A171" s="87" t="s">
        <v>3998</v>
      </c>
      <c r="B171" s="88" t="s">
        <v>159</v>
      </c>
      <c r="C171" s="7"/>
      <c r="D171" s="8" t="n">
        <f aca="false">SUM(D162:D169)</f>
        <v>0</v>
      </c>
      <c r="E171" s="8" t="n">
        <v>0</v>
      </c>
      <c r="F171" s="2252" t="n">
        <f aca="false">D171*E171</f>
        <v>0</v>
      </c>
      <c r="G171" s="2160"/>
      <c r="H171" s="122"/>
      <c r="I171" s="89"/>
      <c r="J171" s="122"/>
      <c r="K171" s="122"/>
      <c r="L171" s="122"/>
    </row>
    <row r="172" customFormat="false" ht="15.5" hidden="false" customHeight="false" outlineLevel="0" collapsed="false">
      <c r="A172" s="87" t="str">
        <f aca="false">A54</f>
        <v>Пленка гидроизоляционная</v>
      </c>
      <c r="B172" s="88" t="s">
        <v>133</v>
      </c>
      <c r="C172" s="7"/>
      <c r="D172" s="8" t="n">
        <f aca="false">(перекрытие!D10*перекрытие!E10*1.3)</f>
        <v>0</v>
      </c>
      <c r="E172" s="8" t="n">
        <f aca="false">E54</f>
        <v>15</v>
      </c>
      <c r="F172" s="2252" t="n">
        <f aca="false">D172*E172</f>
        <v>0</v>
      </c>
      <c r="G172" s="2160"/>
      <c r="H172" s="122"/>
      <c r="I172" s="89"/>
      <c r="J172" s="122"/>
      <c r="K172" s="122"/>
      <c r="L172" s="122"/>
    </row>
    <row r="173" customFormat="false" ht="15.5" hidden="false" customHeight="false" outlineLevel="0" collapsed="false">
      <c r="A173" s="87" t="str">
        <f aca="false">'Ввод данных'!D51</f>
        <v>Арматура М12</v>
      </c>
      <c r="B173" s="88" t="s">
        <v>156</v>
      </c>
      <c r="C173" s="7"/>
      <c r="D173" s="8" t="n">
        <f aca="false">(1/перекрытие!J10*перекрытие!E10*перекрытие!H10*перекрытие!D10)</f>
        <v>0</v>
      </c>
      <c r="E173" s="8" t="n">
        <f aca="false">VLOOKUP(A173,связи1!A399:B405,2,0)</f>
        <v>29.2152</v>
      </c>
      <c r="F173" s="2252" t="n">
        <f aca="false">D173*E173</f>
        <v>0</v>
      </c>
      <c r="G173" s="2160"/>
      <c r="H173" s="122"/>
      <c r="I173" s="89"/>
      <c r="J173" s="122"/>
      <c r="K173" s="122"/>
      <c r="L173" s="122"/>
    </row>
    <row r="174" customFormat="false" ht="15.5" hidden="false" customHeight="false" outlineLevel="0" collapsed="false">
      <c r="A174" s="87" t="str">
        <f aca="false">'Прайс лист'!B212</f>
        <v>Вязальная проволока</v>
      </c>
      <c r="B174" s="88" t="s">
        <v>188</v>
      </c>
      <c r="C174" s="7"/>
      <c r="D174" s="8" t="n">
        <f aca="false">D173/40</f>
        <v>0</v>
      </c>
      <c r="E174" s="8" t="n">
        <f aca="false">'Прайс лист'!G212</f>
        <v>80</v>
      </c>
      <c r="F174" s="2252" t="n">
        <f aca="false">D174*E174</f>
        <v>0</v>
      </c>
      <c r="G174" s="2160"/>
      <c r="H174" s="122"/>
      <c r="I174" s="89"/>
      <c r="J174" s="122"/>
      <c r="K174" s="122"/>
      <c r="L174" s="122"/>
    </row>
    <row r="175" customFormat="false" ht="15.5" hidden="false" customHeight="false" outlineLevel="0" collapsed="false">
      <c r="A175" s="87" t="str">
        <f aca="false">A57</f>
        <v>Подставка под арматурный каркас</v>
      </c>
      <c r="B175" s="88" t="s">
        <v>159</v>
      </c>
      <c r="C175" s="7"/>
      <c r="D175" s="8" t="n">
        <f aca="false">(перекрытие!D10*перекрытие!E10)*4</f>
        <v>0</v>
      </c>
      <c r="E175" s="8" t="n">
        <f aca="false">E57</f>
        <v>5</v>
      </c>
      <c r="F175" s="2252" t="n">
        <f aca="false">D175*E175</f>
        <v>0</v>
      </c>
      <c r="G175" s="2160"/>
      <c r="H175" s="122"/>
      <c r="I175" s="89"/>
      <c r="J175" s="122"/>
      <c r="K175" s="122"/>
      <c r="L175" s="122"/>
    </row>
    <row r="176" customFormat="false" ht="15.5" hidden="false" customHeight="false" outlineLevel="0" collapsed="false">
      <c r="A176" s="87" t="s">
        <v>4027</v>
      </c>
      <c r="B176" s="88" t="s">
        <v>135</v>
      </c>
      <c r="C176" s="7"/>
      <c r="D176" s="8" t="n">
        <f aca="false">(перекрытие!D10*перекрытие!E10*перекрытие!F10)</f>
        <v>0</v>
      </c>
      <c r="E176" s="8" t="n">
        <f aca="false">'Прайс лист'!G228</f>
        <v>3500</v>
      </c>
      <c r="F176" s="2252" t="n">
        <f aca="false">D176*E176</f>
        <v>0</v>
      </c>
      <c r="G176" s="2160"/>
      <c r="H176" s="122"/>
      <c r="I176" s="89"/>
      <c r="J176" s="122"/>
      <c r="K176" s="122"/>
      <c r="L176" s="122"/>
    </row>
    <row r="177" customFormat="false" ht="15.5" hidden="false" customHeight="false" outlineLevel="0" collapsed="false">
      <c r="A177" s="2254" t="s">
        <v>4028</v>
      </c>
      <c r="B177" s="2189" t="s">
        <v>135</v>
      </c>
      <c r="C177" s="2189" t="n">
        <f aca="false">IF('Ввод данных'!A51=связи1!A204,1,0)</f>
        <v>0</v>
      </c>
      <c r="D177" s="2255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данных'!A6=связи1!A95,((дома!J1191/перекрытие!J16+1)*(дома!C1319)*перекрытие!E16*перекрытие!F16*перекрытие!G16),0)+1/перекрытие!J16*F16*G16*E16*дома!J98)*C177</f>
        <v>0</v>
      </c>
      <c r="E177" s="2255" t="n">
        <f aca="false">связи1!D204</f>
        <v>6500</v>
      </c>
      <c r="F177" s="2255" t="n">
        <f aca="false">D177*E177</f>
        <v>0</v>
      </c>
      <c r="G177" s="2160"/>
      <c r="K177" s="122"/>
      <c r="L177" s="122"/>
    </row>
    <row r="178" customFormat="false" ht="15.5" hidden="false" customHeight="false" outlineLevel="0" collapsed="false">
      <c r="A178" s="2254" t="s">
        <v>4029</v>
      </c>
      <c r="B178" s="2189" t="s">
        <v>135</v>
      </c>
      <c r="C178" s="2189" t="n">
        <f aca="false">IF('Ввод данных'!A51=связи1!A205,1,0)</f>
        <v>0</v>
      </c>
      <c r="D178" s="2255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данных'!A6=связи1!A95,((дома!J1191/перекрытие!J16+1)*(дома!C1319)*перекрытие!E16*перекрытие!F16*перекрытие!G16),0)+1/перекрытие!J16*F16*G16*E16*дома!J98)*C178</f>
        <v>0</v>
      </c>
      <c r="E178" s="2255" t="n">
        <f aca="false">связи1!D205</f>
        <v>6500</v>
      </c>
      <c r="F178" s="2255" t="n">
        <f aca="false">D178*E178</f>
        <v>0</v>
      </c>
      <c r="G178" s="2160"/>
      <c r="K178" s="122"/>
      <c r="L178" s="122"/>
    </row>
    <row r="179" customFormat="false" ht="15.5" hidden="false" customHeight="false" outlineLevel="0" collapsed="false">
      <c r="A179" s="2254" t="s">
        <v>1967</v>
      </c>
      <c r="B179" s="2189" t="s">
        <v>135</v>
      </c>
      <c r="C179" s="2189" t="n">
        <f aca="false">IF('Ввод данных'!A51=связи1!A206,1,0)</f>
        <v>0</v>
      </c>
      <c r="D179" s="2255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данных'!A6=связи1!A95,((дома!J1191/перекрытие!J16+1)*(дома!C1319)*перекрытие!E16*перекрытие!F16*перекрытие!G16),0)+1/перекрытие!J16*F16*G16*E16*дома!J98)*C179</f>
        <v>0</v>
      </c>
      <c r="E179" s="2255" t="n">
        <f aca="false">связи1!D206</f>
        <v>6500</v>
      </c>
      <c r="F179" s="2255" t="n">
        <f aca="false">D179*E179</f>
        <v>0</v>
      </c>
      <c r="G179" s="2160"/>
      <c r="K179" s="122"/>
      <c r="L179" s="122"/>
    </row>
    <row r="180" customFormat="false" ht="15.5" hidden="false" customHeight="false" outlineLevel="0" collapsed="false">
      <c r="A180" s="2254" t="s">
        <v>2366</v>
      </c>
      <c r="B180" s="2189" t="s">
        <v>135</v>
      </c>
      <c r="C180" s="2189" t="n">
        <f aca="false">IF('Ввод данных'!A51=связи1!A207,1,0)</f>
        <v>0</v>
      </c>
      <c r="D180" s="2255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данных'!A6=связи1!A95,((дома!J1191/перекрытие!J16+1)*(дома!C1319)*перекрытие!E16*перекрытие!F16*перекрытие!G16),0)+1/перекрытие!J16*F16*G16*E16*дома!J98)*C180</f>
        <v>0</v>
      </c>
      <c r="E180" s="2255" t="n">
        <f aca="false">связи1!D207</f>
        <v>6500</v>
      </c>
      <c r="F180" s="2255" t="n">
        <f aca="false">D180*E180</f>
        <v>0</v>
      </c>
      <c r="G180" s="2160"/>
      <c r="K180" s="122"/>
      <c r="L180" s="122"/>
    </row>
    <row r="181" customFormat="false" ht="15.5" hidden="false" customHeight="false" outlineLevel="0" collapsed="false">
      <c r="A181" s="2254" t="s">
        <v>2068</v>
      </c>
      <c r="B181" s="2189" t="s">
        <v>135</v>
      </c>
      <c r="C181" s="2189" t="n">
        <f aca="false">IF('Ввод данных'!A51=связи1!A208,1,0)</f>
        <v>0</v>
      </c>
      <c r="D181" s="2255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данных'!A6=связи1!A95,((дома!J1191/перекрытие!J16+1)*(дома!C1319)*перекрытие!E16*перекрытие!F16*перекрытие!G16),0)+1/перекрытие!J16*F16*G16*E16*дома!J98)*C181</f>
        <v>0</v>
      </c>
      <c r="E181" s="2255" t="n">
        <f aca="false">связи1!D208</f>
        <v>6500</v>
      </c>
      <c r="F181" s="2255" t="n">
        <f aca="false">D181*E181</f>
        <v>0</v>
      </c>
      <c r="G181" s="2160"/>
      <c r="K181" s="122"/>
      <c r="L181" s="122"/>
    </row>
    <row r="182" customFormat="false" ht="15.5" hidden="false" customHeight="false" outlineLevel="0" collapsed="false">
      <c r="A182" s="2254" t="s">
        <v>4030</v>
      </c>
      <c r="B182" s="2189" t="s">
        <v>135</v>
      </c>
      <c r="C182" s="2189" t="n">
        <f aca="false">IF('Ввод данных'!A51=связи1!A209,1,0)</f>
        <v>0</v>
      </c>
      <c r="D182" s="2255" t="n">
        <f aca="false">(IF(AND('Ввод данных'!A6=связи1!A98,'Ввод данных'!F237=связи1!A2),((дома!C1191/перекрытие!J16+1)*(дома!C1319)*перекрытие!E16*перекрытие!F16*перекрытие!G16),0)+IF(AND('Ввод данных'!A6=связи1!A98,'Ввод данных'!F312=связи1!A2),((дома!J1191/перекрытие!J16+1)*(дома!C1319)*перекрытие!E16*перекрытие!F16*перекрытие!G16),0)+IF('Ввод данных'!A6=связи1!A95,((дома!J1191/перекрытие!J16+1)*(дома!C1319)*перекрытие!E16*перекрытие!F16*перекрытие!G16),0)+1/перекрытие!J16*F16*G16*E16*дома!J98)*C182</f>
        <v>0</v>
      </c>
      <c r="E182" s="2255" t="n">
        <f aca="false">связи1!D209</f>
        <v>6500</v>
      </c>
      <c r="F182" s="2255" t="n">
        <f aca="false">D182*E182</f>
        <v>0</v>
      </c>
      <c r="G182" s="2160"/>
      <c r="H182" s="122"/>
      <c r="I182" s="89"/>
      <c r="J182" s="122"/>
      <c r="K182" s="122"/>
      <c r="L182" s="122"/>
    </row>
    <row r="183" customFormat="false" ht="15.5" hidden="false" customHeight="false" outlineLevel="0" collapsed="false">
      <c r="A183" s="87" t="str">
        <f aca="false">A65</f>
        <v>Опора бруса</v>
      </c>
      <c r="B183" s="88" t="s">
        <v>159</v>
      </c>
      <c r="C183" s="7"/>
      <c r="D183" s="89" t="n">
        <f aca="false">CEILING((D16*E16)*1.1,1)</f>
        <v>0</v>
      </c>
      <c r="E183" s="89" t="n">
        <f aca="false">E65</f>
        <v>50</v>
      </c>
      <c r="F183" s="2255" t="n">
        <f aca="false">D183*E183*SUM(C177:C182)</f>
        <v>0</v>
      </c>
      <c r="G183" s="2160"/>
      <c r="H183" s="122"/>
      <c r="I183" s="89"/>
      <c r="J183" s="122"/>
      <c r="K183" s="122"/>
      <c r="L183" s="122"/>
    </row>
    <row r="184" customFormat="false" ht="15.5" hidden="false" customHeight="false" outlineLevel="0" collapsed="false">
      <c r="A184" s="87" t="str">
        <f aca="false">A66</f>
        <v>Болты анкерные с гайкой 8,0 x 60</v>
      </c>
      <c r="B184" s="88" t="s">
        <v>159</v>
      </c>
      <c r="C184" s="7"/>
      <c r="D184" s="89" t="n">
        <f aca="false">D183*4</f>
        <v>0</v>
      </c>
      <c r="E184" s="89" t="n">
        <f aca="false">E66</f>
        <v>4</v>
      </c>
      <c r="F184" s="2255" t="n">
        <f aca="false">D184*E184*SUM(C177:C182)</f>
        <v>0</v>
      </c>
      <c r="G184" s="2160"/>
      <c r="H184" s="122"/>
      <c r="I184" s="89"/>
      <c r="J184" s="122"/>
      <c r="K184" s="122"/>
      <c r="L184" s="122"/>
    </row>
    <row r="185" customFormat="false" ht="15.5" hidden="false" customHeight="false" outlineLevel="0" collapsed="false">
      <c r="G185" s="2160"/>
      <c r="H185" s="122"/>
      <c r="I185" s="89"/>
      <c r="J185" s="122"/>
      <c r="K185" s="122"/>
      <c r="L185" s="122"/>
    </row>
    <row r="186" customFormat="false" ht="15.5" hidden="false" customHeight="false" outlineLevel="0" collapsed="false">
      <c r="G186" s="2160"/>
      <c r="H186" s="122"/>
      <c r="I186" s="89"/>
      <c r="J186" s="122"/>
      <c r="K186" s="122"/>
      <c r="L186" s="122"/>
    </row>
    <row r="187" customFormat="false" ht="15.5" hidden="false" customHeight="false" outlineLevel="0" collapsed="false">
      <c r="A187" s="1251" t="str">
        <f aca="false">связи1!A201</f>
        <v>Sip панель 2500*625*124мм</v>
      </c>
      <c r="B187" s="2240" t="s">
        <v>133</v>
      </c>
      <c r="C187" s="2256" t="n">
        <f aca="false">IF('Ввод данных'!A51=связи1!A201,1,0)</f>
        <v>0</v>
      </c>
      <c r="D187" s="2242" t="n">
        <f aca="false">(IF(AND('Ввод данных'!A6=связи1!A98,'Ввод данных'!F237=связи1!A2),дома!C1189*дома!C1115+дома!L1115*дома!L1189+дома!J98,0)+IF(AND('Ввод данных'!A6=связи1!A98,'Ввод данных'!F312=связи1!A2),дома!C1189*дома!C1115+дома!L1115*дома!L1189+дома!J98,0)+IF('Ввод данных'!A6=связи1!A95,дома!C16*дома!C17+дома!J98,0))*C187</f>
        <v>0</v>
      </c>
      <c r="E187" s="2242" t="n">
        <f aca="false">'Прайс лист'!G259</f>
        <v>800</v>
      </c>
      <c r="F187" s="2242" t="n">
        <f aca="false">D187*E187</f>
        <v>0</v>
      </c>
      <c r="G187" s="2160"/>
      <c r="K187" s="122"/>
      <c r="L187" s="122"/>
    </row>
    <row r="188" customFormat="false" ht="15.5" hidden="false" customHeight="false" outlineLevel="0" collapsed="false">
      <c r="A188" s="1251" t="str">
        <f aca="false">связи1!A202</f>
        <v>Sip панель 2500*625*174мм</v>
      </c>
      <c r="B188" s="2240" t="s">
        <v>133</v>
      </c>
      <c r="C188" s="2256" t="n">
        <f aca="false">IF('Ввод данных'!A51=связи1!A202,1,0)</f>
        <v>0</v>
      </c>
      <c r="D188" s="2242" t="n">
        <f aca="false">(IF(AND('Ввод данных'!A6=связи1!A98,'Ввод данных'!F237=связи1!A2),дома!C1189*дома!C1115+дома!L1115*дома!L1189+дома!J98,0)+IF(AND('Ввод данных'!A6=связи1!A98,'Ввод данных'!F312=связи1!A2),дома!C1189*дома!C1115+дома!L1115*дома!L1189+дома!J98,0)+IF('Ввод данных'!A6=связи1!A95,дома!C16*дома!C17+дома!J98,0))*C188</f>
        <v>0</v>
      </c>
      <c r="E188" s="2242" t="n">
        <f aca="false">'Прайс лист'!G260</f>
        <v>1200</v>
      </c>
      <c r="F188" s="2242" t="n">
        <f aca="false">D188*E188</f>
        <v>0</v>
      </c>
      <c r="G188" s="2160"/>
      <c r="K188" s="122"/>
      <c r="L188" s="122"/>
    </row>
    <row r="189" customFormat="false" ht="15.5" hidden="false" customHeight="false" outlineLevel="0" collapsed="false">
      <c r="A189" s="1251" t="str">
        <f aca="false">связи1!A203</f>
        <v>Sip панель 2500*625*224мм</v>
      </c>
      <c r="B189" s="2240" t="s">
        <v>133</v>
      </c>
      <c r="C189" s="2256" t="n">
        <f aca="false">IF('Ввод данных'!A51=связи1!A203,1,0)</f>
        <v>0</v>
      </c>
      <c r="D189" s="2242" t="n">
        <f aca="false">(IF(AND('Ввод данных'!A6=связи1!A98,'Ввод данных'!F237=связи1!A2),дома!C1189*дома!C1115+дома!L1115*дома!L1189+дома!J98,0)+IF(AND('Ввод данных'!A6=связи1!A98,'Ввод данных'!F312=связи1!A2),дома!C1189*дома!C1115+дома!L1115*дома!L1189+дома!J98,0)+IF('Ввод данных'!A6=связи1!A95,дома!C16*дома!C17+дома!J98,0))*C189</f>
        <v>0</v>
      </c>
      <c r="E189" s="2242" t="n">
        <f aca="false">'Прайс лист'!G270</f>
        <v>1400</v>
      </c>
      <c r="F189" s="2242" t="n">
        <f aca="false">D189*E189</f>
        <v>0</v>
      </c>
      <c r="G189" s="2160"/>
      <c r="K189" s="122"/>
      <c r="L189" s="122"/>
    </row>
    <row r="190" customFormat="false" ht="15.5" hidden="false" customHeight="false" outlineLevel="0" collapsed="false">
      <c r="A190" s="933" t="s">
        <v>2312</v>
      </c>
      <c r="B190" s="887" t="s">
        <v>156</v>
      </c>
      <c r="C190" s="88"/>
      <c r="D190" s="89" t="n">
        <f aca="false">D187*C187*4*1.05</f>
        <v>0</v>
      </c>
      <c r="E190" s="89" t="n">
        <f aca="false">E70</f>
        <v>45</v>
      </c>
      <c r="F190" s="2242" t="n">
        <f aca="false">D190*E190</f>
        <v>0</v>
      </c>
      <c r="G190" s="2160"/>
      <c r="K190" s="122"/>
      <c r="L190" s="122"/>
    </row>
    <row r="191" customFormat="false" ht="15.5" hidden="false" customHeight="false" outlineLevel="0" collapsed="false">
      <c r="A191" s="933" t="s">
        <v>2134</v>
      </c>
      <c r="B191" s="887" t="s">
        <v>156</v>
      </c>
      <c r="C191" s="88"/>
      <c r="D191" s="89" t="n">
        <f aca="false">D188*C188*4*1.05</f>
        <v>0</v>
      </c>
      <c r="E191" s="89" t="n">
        <f aca="false">E71</f>
        <v>67.5</v>
      </c>
      <c r="F191" s="2242" t="n">
        <f aca="false">D191*E191</f>
        <v>0</v>
      </c>
      <c r="G191" s="2160"/>
      <c r="H191" s="122"/>
      <c r="I191" s="89"/>
      <c r="J191" s="122"/>
      <c r="K191" s="122"/>
      <c r="L191" s="122"/>
    </row>
    <row r="192" customFormat="false" ht="15.5" hidden="false" customHeight="false" outlineLevel="0" collapsed="false">
      <c r="A192" s="933" t="s">
        <v>1908</v>
      </c>
      <c r="B192" s="887" t="s">
        <v>156</v>
      </c>
      <c r="C192" s="88"/>
      <c r="D192" s="89" t="n">
        <f aca="false">D189*C189*4*1.05</f>
        <v>0</v>
      </c>
      <c r="E192" s="89" t="n">
        <f aca="false">E72</f>
        <v>90</v>
      </c>
      <c r="F192" s="2242" t="n">
        <f aca="false">D192*E192</f>
        <v>0</v>
      </c>
      <c r="G192" s="2160"/>
      <c r="H192" s="122"/>
      <c r="I192" s="89"/>
      <c r="J192" s="122"/>
      <c r="K192" s="122"/>
      <c r="L192" s="122"/>
    </row>
    <row r="193" customFormat="false" ht="15.5" hidden="false" customHeight="false" outlineLevel="0" collapsed="false">
      <c r="A193" s="7" t="str">
        <f aca="false">A73</f>
        <v>Пена монтажная, всесезонняя 800мл</v>
      </c>
      <c r="B193" s="230" t="s">
        <v>159</v>
      </c>
      <c r="C193" s="7"/>
      <c r="D193" s="8" t="n">
        <f aca="false">CEILING(SUM(D187:D189)/12,1)</f>
        <v>0</v>
      </c>
      <c r="E193" s="8" t="n">
        <f aca="false">E73</f>
        <v>300</v>
      </c>
      <c r="F193" s="2242" t="n">
        <f aca="false">D193*E193</f>
        <v>0</v>
      </c>
      <c r="G193" s="2160"/>
      <c r="H193" s="122"/>
      <c r="I193" s="89"/>
      <c r="J193" s="122"/>
      <c r="K193" s="122"/>
      <c r="L193" s="122"/>
    </row>
    <row r="194" customFormat="false" ht="15.5" hidden="false" customHeight="false" outlineLevel="0" collapsed="false">
      <c r="A194" s="7" t="str">
        <f aca="false">'Прайс лист'!B890</f>
        <v>Гвозди строительные 3,5 x 90</v>
      </c>
      <c r="B194" s="230" t="s">
        <v>159</v>
      </c>
      <c r="C194" s="7"/>
      <c r="D194" s="8" t="n">
        <f aca="false">SUM(D190:D192)</f>
        <v>0</v>
      </c>
      <c r="E194" s="8" t="n">
        <f aca="false">E74</f>
        <v>45</v>
      </c>
      <c r="F194" s="2242" t="n">
        <f aca="false">D194*E194</f>
        <v>0</v>
      </c>
      <c r="G194" s="2160"/>
      <c r="H194" s="122"/>
      <c r="I194" s="89"/>
      <c r="J194" s="122"/>
      <c r="K194" s="122"/>
      <c r="L194" s="122"/>
    </row>
    <row r="195" customFormat="false" ht="15.5" hidden="false" customHeight="false" outlineLevel="0" collapsed="false">
      <c r="A195" s="7" t="str">
        <f aca="false">'Прайс лист'!B877</f>
        <v>Саморезы 3,5 x 45</v>
      </c>
      <c r="B195" s="230" t="s">
        <v>159</v>
      </c>
      <c r="C195" s="7"/>
      <c r="D195" s="8" t="n">
        <f aca="false">SUM(D190:D192)*20</f>
        <v>0</v>
      </c>
      <c r="E195" s="8" t="n">
        <f aca="false">'Прайс лист'!F877</f>
        <v>0.25</v>
      </c>
      <c r="F195" s="2242" t="n">
        <f aca="false">D195*E195</f>
        <v>0</v>
      </c>
      <c r="G195" s="2160"/>
      <c r="H195" s="122"/>
      <c r="I195" s="89"/>
      <c r="J195" s="122"/>
      <c r="K195" s="122"/>
      <c r="L195" s="122"/>
    </row>
    <row r="196" customFormat="false" ht="15.5" hidden="false" customHeight="false" outlineLevel="0" collapsed="false">
      <c r="A196" s="1331" t="s">
        <v>1908</v>
      </c>
      <c r="B196" s="1374" t="s">
        <v>135</v>
      </c>
      <c r="C196" s="2257" t="n">
        <f aca="false">IF('Ввод данных'!A51=связи1!A210,1,0)</f>
        <v>0</v>
      </c>
      <c r="D196" s="2257" t="n">
        <f aca="false">(IF(AND('Ввод данных'!A6=связи1!A98,'Ввод данных'!F237=связи1!A2),((дома!C1191/перекрытие!J24+1)*(дома!C1319)*перекрытие!E24*перекрытие!F24*перекрытие!G24),0)+IF(AND('Ввод данных'!A6=связи1!A98,'Ввод данных'!F312=связи1!A2),((дома!J1191/перекрытие!J24+1)*(дома!C1319)*перекрытие!E24*перекрытие!F24*перекрытие!G24),0)+IF('Ввод данных'!A6=связи1!A95,((дома!J1191/перекрытие!J24+1)*(дома!C1319)*перекрытие!E24*перекрытие!F24*перекрытие!G24),0)+1/J24*E24*F24*G24*(дома!J98))*C196*1.05</f>
        <v>0</v>
      </c>
      <c r="E196" s="2257" t="n">
        <f aca="false">'Прайс лист'!G316</f>
        <v>9000</v>
      </c>
      <c r="F196" s="2258" t="n">
        <f aca="false">D196*E196</f>
        <v>0</v>
      </c>
      <c r="G196" s="2160"/>
      <c r="K196" s="122"/>
      <c r="L196" s="122"/>
    </row>
    <row r="197" customFormat="false" ht="15.5" hidden="false" customHeight="false" outlineLevel="0" collapsed="false">
      <c r="A197" s="1331" t="s">
        <v>2134</v>
      </c>
      <c r="B197" s="1374" t="s">
        <v>135</v>
      </c>
      <c r="C197" s="2257" t="n">
        <f aca="false">IF('Ввод данных'!A51=связи1!A211,1,0)</f>
        <v>0</v>
      </c>
      <c r="D197" s="2257" t="n">
        <f aca="false">(IF(AND('Ввод данных'!A6=связи1!A98,'Ввод данных'!F237=связи1!A2),((дома!C1191/перекрытие!J24+1)*(дома!C1319)*перекрытие!E24*перекрытие!F24*перекрытие!G24),0)+IF(AND('Ввод данных'!A6=связи1!A98,'Ввод данных'!F312=связи1!A2),((дома!J1191/перекрытие!J24+1)*(дома!C1319)*перекрытие!E24*перекрытие!F24*перекрытие!G24),0)+IF('Ввод данных'!A6=связи1!A95,((дома!J1191/перекрытие!J24+1)*(дома!C1319)*перекрытие!E24*перекрытие!F24*перекрытие!G24),0)+1/J24*E24*F24*G24*(дома!J98))*C197*1.05</f>
        <v>0</v>
      </c>
      <c r="E197" s="2257" t="n">
        <f aca="false">'Прайс лист'!G318</f>
        <v>9000</v>
      </c>
      <c r="F197" s="2258" t="n">
        <f aca="false">D197*E197</f>
        <v>0</v>
      </c>
      <c r="G197" s="2160"/>
      <c r="H197" s="122"/>
      <c r="I197" s="89"/>
      <c r="J197" s="122"/>
      <c r="K197" s="122"/>
      <c r="L197" s="122"/>
    </row>
    <row r="198" customFormat="false" ht="15.5" hidden="false" customHeight="false" outlineLevel="0" collapsed="false">
      <c r="A198" s="933" t="str">
        <f aca="false">A78</f>
        <v>Гвозди ершоные 2,8 х 90</v>
      </c>
      <c r="B198" s="230" t="s">
        <v>188</v>
      </c>
      <c r="C198" s="8"/>
      <c r="D198" s="8" t="n">
        <f aca="false">SUM(D196:D197)*6</f>
        <v>0</v>
      </c>
      <c r="E198" s="8" t="n">
        <f aca="false">E78</f>
        <v>76.49</v>
      </c>
      <c r="F198" s="2258" t="n">
        <f aca="false">(D198*E198)*(C196+C197)</f>
        <v>0</v>
      </c>
      <c r="G198" s="2160"/>
      <c r="K198" s="122"/>
      <c r="L198" s="122"/>
    </row>
    <row r="199" customFormat="false" ht="15.5" hidden="false" customHeight="false" outlineLevel="0" collapsed="false">
      <c r="A199" s="2259" t="s">
        <v>2026</v>
      </c>
      <c r="B199" s="2260" t="s">
        <v>135</v>
      </c>
      <c r="C199" s="2261" t="n">
        <f aca="false">IF('Ввод данных'!A51=связи1!A212,1,0)</f>
        <v>0</v>
      </c>
      <c r="D199" s="2261" t="n">
        <f aca="false">(IF(AND('Ввод данных'!A6=связи1!A98,'Ввод данных'!F237=связи1!A2),((дома!C1191/перекрытие!J29+1)*(дома!C1319)*перекрытие!E29*перекрытие!F29*перекрытие!G29),0)+IF(AND('Ввод данных'!A6=связи1!A98,'Ввод данных'!F312=связи1!A2),((дома!J1191/перекрытие!J29+1)*(дома!C1319)*перекрытие!E29*перекрытие!F29*перекрытие!G29),0)+IF('Ввод данных'!A6=связи1!A95,((дома!J1191/перекрытие!J29+1)*(дома!C1319)*перекрытие!E29*перекрытие!F29*перекрытие!G29),0)+1/J29*E29*F29*G29*дома!J98)*C199</f>
        <v>0</v>
      </c>
      <c r="E199" s="2261" t="n">
        <f aca="false">'Прайс лист'!G308</f>
        <v>12500</v>
      </c>
      <c r="F199" s="2262" t="n">
        <f aca="false">D199*E199*C199</f>
        <v>0</v>
      </c>
      <c r="G199" s="2160"/>
      <c r="K199" s="122"/>
      <c r="L199" s="122"/>
    </row>
    <row r="200" customFormat="false" ht="15.5" hidden="false" customHeight="false" outlineLevel="0" collapsed="false">
      <c r="A200" s="2259" t="s">
        <v>4031</v>
      </c>
      <c r="B200" s="2260" t="s">
        <v>135</v>
      </c>
      <c r="C200" s="2261" t="n">
        <f aca="false">IF('Ввод данных'!A51=связи1!A213,1,0)</f>
        <v>0</v>
      </c>
      <c r="D200" s="2261" t="n">
        <f aca="false">(IF(AND('Ввод данных'!A6=связи1!A98,'Ввод данных'!F237=связи1!A2),((дома!C1191/перекрытие!J29+1)*(дома!C1319)*перекрытие!E29*перекрытие!F29*перекрытие!G29),0)+IF(AND('Ввод данных'!A6=связи1!A98,'Ввод данных'!F312=связи1!A2),((дома!J1191/перекрытие!J29+1)*(дома!C1319)*перекрытие!E29*перекрытие!F29*перекрытие!G29),0)+IF('Ввод данных'!A6=связи1!A95,((дома!J1191/перекрытие!J29+1)*(дома!C1319)*перекрытие!E29*перекрытие!F29*перекрытие!G29),0)+1/J29*E29*F29*G29*дома!J98)*C200</f>
        <v>0</v>
      </c>
      <c r="E200" s="2261" t="n">
        <f aca="false">'Прайс лист'!G309</f>
        <v>12500</v>
      </c>
      <c r="F200" s="2262" t="n">
        <f aca="false">D200*E200*C200</f>
        <v>0</v>
      </c>
      <c r="G200" s="2160"/>
      <c r="K200" s="122"/>
      <c r="L200" s="122"/>
    </row>
    <row r="201" customFormat="false" ht="15.5" hidden="false" customHeight="false" outlineLevel="0" collapsed="false">
      <c r="A201" s="933" t="str">
        <f aca="false">A78</f>
        <v>Гвозди ершоные 2,8 х 90</v>
      </c>
      <c r="B201" s="230" t="s">
        <v>188</v>
      </c>
      <c r="C201" s="8"/>
      <c r="D201" s="8" t="n">
        <f aca="false">SUM(D199:D200)*6</f>
        <v>0</v>
      </c>
      <c r="E201" s="8" t="n">
        <f aca="false">E78</f>
        <v>76.49</v>
      </c>
      <c r="F201" s="2262" t="n">
        <f aca="false">D201*E201*(C199+C200)</f>
        <v>0</v>
      </c>
      <c r="G201" s="2160"/>
      <c r="H201" s="122"/>
      <c r="I201" s="89"/>
      <c r="J201" s="122"/>
      <c r="K201" s="122"/>
      <c r="L201" s="122"/>
    </row>
    <row r="202" customFormat="false" ht="15.5" hidden="false" customHeight="false" outlineLevel="0" collapsed="false">
      <c r="A202" s="2263" t="s">
        <v>243</v>
      </c>
      <c r="B202" s="2264" t="s">
        <v>156</v>
      </c>
      <c r="C202" s="2265" t="n">
        <f aca="false">IF('Ввод данных'!$A$51=перекрытие!A202,1,0)</f>
        <v>0</v>
      </c>
      <c r="D202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202</f>
        <v>0</v>
      </c>
      <c r="E202" s="2241" t="n">
        <f aca="false">'Прайс лист'!G274</f>
        <v>303</v>
      </c>
      <c r="F202" s="2241" t="n">
        <f aca="false">D202*E202</f>
        <v>0</v>
      </c>
      <c r="G202" s="2160"/>
      <c r="K202" s="122"/>
      <c r="L202" s="122"/>
    </row>
    <row r="203" customFormat="false" ht="15.5" hidden="false" customHeight="false" outlineLevel="0" collapsed="false">
      <c r="A203" s="2263" t="s">
        <v>244</v>
      </c>
      <c r="B203" s="2264" t="s">
        <v>156</v>
      </c>
      <c r="C203" s="2265" t="n">
        <f aca="false">IF('Ввод данных'!$A$51=перекрытие!A203,1,0)</f>
        <v>0</v>
      </c>
      <c r="D203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203</f>
        <v>0</v>
      </c>
      <c r="E203" s="2241" t="n">
        <f aca="false">'Прайс лист'!G275</f>
        <v>355</v>
      </c>
      <c r="F203" s="2241" t="n">
        <f aca="false">D203*E203</f>
        <v>0</v>
      </c>
      <c r="G203" s="2160"/>
      <c r="H203" s="2160"/>
      <c r="I203" s="2160"/>
      <c r="J203" s="2160"/>
      <c r="K203" s="2160"/>
      <c r="L203" s="122"/>
    </row>
    <row r="204" customFormat="false" ht="15.5" hidden="false" customHeight="false" outlineLevel="0" collapsed="false">
      <c r="A204" s="2263" t="s">
        <v>245</v>
      </c>
      <c r="B204" s="2264" t="s">
        <v>156</v>
      </c>
      <c r="C204" s="2265" t="n">
        <f aca="false">IF('Ввод данных'!$A$51=перекрытие!A204,1,0)</f>
        <v>0</v>
      </c>
      <c r="D204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204</f>
        <v>0</v>
      </c>
      <c r="E204" s="2241" t="n">
        <f aca="false">'Прайс лист'!G276</f>
        <v>287</v>
      </c>
      <c r="F204" s="2241" t="n">
        <f aca="false">D204*E204</f>
        <v>0</v>
      </c>
      <c r="G204" s="2160"/>
      <c r="H204" s="2160"/>
      <c r="I204" s="2160"/>
      <c r="J204" s="2160"/>
      <c r="K204" s="2160"/>
      <c r="L204" s="2160"/>
    </row>
    <row r="205" customFormat="false" ht="15.5" hidden="false" customHeight="false" outlineLevel="0" collapsed="false">
      <c r="A205" s="2263" t="s">
        <v>246</v>
      </c>
      <c r="B205" s="2264" t="s">
        <v>156</v>
      </c>
      <c r="C205" s="2265" t="n">
        <f aca="false">IF('Ввод данных'!$A$51=перекрытие!A205,1,0)</f>
        <v>0</v>
      </c>
      <c r="D205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205</f>
        <v>0</v>
      </c>
      <c r="E205" s="2241" t="n">
        <f aca="false">'Прайс лист'!G277</f>
        <v>315</v>
      </c>
      <c r="F205" s="2241" t="n">
        <f aca="false">D205*E205</f>
        <v>0</v>
      </c>
      <c r="G205" s="2160"/>
      <c r="H205" s="2160"/>
      <c r="I205" s="2160"/>
      <c r="J205" s="2160"/>
      <c r="K205" s="2160"/>
      <c r="L205" s="2160"/>
    </row>
    <row r="206" customFormat="false" ht="15.5" hidden="false" customHeight="false" outlineLevel="0" collapsed="false">
      <c r="A206" s="2263" t="s">
        <v>247</v>
      </c>
      <c r="B206" s="2264" t="s">
        <v>156</v>
      </c>
      <c r="C206" s="2265" t="n">
        <f aca="false">IF('Ввод данных'!$A$51=перекрытие!A206,1,0)</f>
        <v>0</v>
      </c>
      <c r="D206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206</f>
        <v>0</v>
      </c>
      <c r="E206" s="2241" t="n">
        <f aca="false">'Прайс лист'!G278</f>
        <v>273</v>
      </c>
      <c r="F206" s="2241" t="n">
        <f aca="false">D206*E206</f>
        <v>0</v>
      </c>
      <c r="G206" s="2160"/>
      <c r="H206" s="2160"/>
      <c r="I206" s="2160"/>
      <c r="J206" s="2160"/>
      <c r="K206" s="2160"/>
      <c r="L206" s="2160"/>
    </row>
    <row r="207" customFormat="false" ht="15.5" hidden="false" customHeight="false" outlineLevel="0" collapsed="false">
      <c r="A207" s="2263" t="s">
        <v>248</v>
      </c>
      <c r="B207" s="2264" t="s">
        <v>156</v>
      </c>
      <c r="C207" s="2265" t="n">
        <f aca="false">IF('Ввод данных'!$A$51=перекрытие!A207,1,0)</f>
        <v>0</v>
      </c>
      <c r="D207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207</f>
        <v>0</v>
      </c>
      <c r="E207" s="2241" t="n">
        <f aca="false">'Прайс лист'!G279</f>
        <v>315</v>
      </c>
      <c r="F207" s="2241" t="n">
        <f aca="false">D207*E207</f>
        <v>0</v>
      </c>
      <c r="G207" s="2160"/>
      <c r="H207" s="2160"/>
      <c r="I207" s="2160"/>
      <c r="J207" s="2160"/>
      <c r="K207" s="2160"/>
      <c r="L207" s="2160"/>
    </row>
    <row r="208" customFormat="false" ht="15.5" hidden="false" customHeight="false" outlineLevel="0" collapsed="false">
      <c r="A208" s="2263" t="s">
        <v>249</v>
      </c>
      <c r="B208" s="2264" t="s">
        <v>156</v>
      </c>
      <c r="C208" s="2265" t="n">
        <f aca="false">IF('Ввод данных'!$A$51=перекрытие!A208,1,0)</f>
        <v>0</v>
      </c>
      <c r="D208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208</f>
        <v>0</v>
      </c>
      <c r="E208" s="2241" t="n">
        <f aca="false">'Прайс лист'!G280</f>
        <v>263</v>
      </c>
      <c r="F208" s="2241" t="n">
        <f aca="false">D208*E208</f>
        <v>0</v>
      </c>
      <c r="G208" s="2160"/>
      <c r="H208" s="2160"/>
      <c r="I208" s="2160"/>
      <c r="J208" s="2160"/>
      <c r="K208" s="2160"/>
      <c r="L208" s="2160"/>
    </row>
    <row r="209" customFormat="false" ht="15.5" hidden="false" customHeight="false" outlineLevel="0" collapsed="false">
      <c r="A209" s="2263" t="s">
        <v>250</v>
      </c>
      <c r="B209" s="2264" t="s">
        <v>156</v>
      </c>
      <c r="C209" s="2265" t="n">
        <f aca="false">IF('Ввод данных'!$A$51=перекрытие!A209,1,0)</f>
        <v>0</v>
      </c>
      <c r="D209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209</f>
        <v>0</v>
      </c>
      <c r="E209" s="2241" t="n">
        <f aca="false">'Прайс лист'!G281</f>
        <v>291</v>
      </c>
      <c r="F209" s="2241" t="n">
        <f aca="false">D209*E209</f>
        <v>0</v>
      </c>
      <c r="G209" s="2160"/>
      <c r="H209" s="2160"/>
      <c r="I209" s="2160"/>
      <c r="J209" s="2160"/>
      <c r="K209" s="2160"/>
      <c r="L209" s="2160"/>
    </row>
    <row r="210" customFormat="false" ht="15.5" hidden="false" customHeight="false" outlineLevel="0" collapsed="false">
      <c r="A210" s="2263" t="s">
        <v>251</v>
      </c>
      <c r="B210" s="2264" t="s">
        <v>156</v>
      </c>
      <c r="C210" s="2265" t="n">
        <f aca="false">IF('Ввод данных'!$A$51=перекрытие!A210,1,0)</f>
        <v>0</v>
      </c>
      <c r="D210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210</f>
        <v>0</v>
      </c>
      <c r="E210" s="2241" t="n">
        <f aca="false">'Прайс лист'!G282</f>
        <v>250</v>
      </c>
      <c r="F210" s="2241" t="n">
        <f aca="false">D210*E210</f>
        <v>0</v>
      </c>
      <c r="G210" s="2160"/>
      <c r="H210" s="2160"/>
      <c r="I210" s="2160"/>
      <c r="J210" s="2160"/>
      <c r="K210" s="2160"/>
      <c r="L210" s="2160"/>
    </row>
    <row r="211" customFormat="false" ht="15.5" hidden="false" customHeight="false" outlineLevel="0" collapsed="false">
      <c r="A211" s="2263" t="s">
        <v>252</v>
      </c>
      <c r="B211" s="2264" t="s">
        <v>156</v>
      </c>
      <c r="C211" s="2265" t="n">
        <f aca="false">IF('Ввод данных'!$A$51=перекрытие!A211,1,0)</f>
        <v>0</v>
      </c>
      <c r="D211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211</f>
        <v>0</v>
      </c>
      <c r="E211" s="2241" t="n">
        <f aca="false">'Прайс лист'!G283</f>
        <v>280</v>
      </c>
      <c r="F211" s="2241" t="n">
        <f aca="false">D211*E211</f>
        <v>0</v>
      </c>
      <c r="G211" s="2160"/>
      <c r="H211" s="2160"/>
      <c r="I211" s="2160"/>
      <c r="J211" s="2160"/>
      <c r="K211" s="2160"/>
      <c r="L211" s="2160"/>
    </row>
    <row r="212" customFormat="false" ht="15.5" hidden="false" customHeight="false" outlineLevel="0" collapsed="false">
      <c r="A212" s="2263" t="s">
        <v>253</v>
      </c>
      <c r="B212" s="2264" t="s">
        <v>156</v>
      </c>
      <c r="C212" s="2265" t="n">
        <f aca="false">IF('Ввод данных'!$A$51=перекрытие!A212,1,0)</f>
        <v>0</v>
      </c>
      <c r="D212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212</f>
        <v>0</v>
      </c>
      <c r="E212" s="2241" t="n">
        <f aca="false">'Прайс лист'!G284</f>
        <v>220</v>
      </c>
      <c r="F212" s="2241" t="n">
        <f aca="false">D212*E212</f>
        <v>0</v>
      </c>
      <c r="G212" s="2160"/>
      <c r="H212" s="2160"/>
      <c r="I212" s="2160"/>
      <c r="J212" s="2160"/>
      <c r="K212" s="2160"/>
      <c r="L212" s="2160"/>
    </row>
    <row r="213" customFormat="false" ht="15.5" hidden="false" customHeight="false" outlineLevel="0" collapsed="false">
      <c r="A213" s="2263" t="s">
        <v>254</v>
      </c>
      <c r="B213" s="2264" t="s">
        <v>156</v>
      </c>
      <c r="C213" s="2265" t="n">
        <f aca="false">IF('Ввод данных'!$A$51=перекрытие!A213,1,0)</f>
        <v>0</v>
      </c>
      <c r="D213" s="2241" t="n">
        <f aca="false">(IF(AND('Ввод данных'!A6=связи1!A98,'Ввод данных'!F237=связи1!A2),((дома!C1191/перекрытие!J34+1)*(дома!C1319)*перекрытие!E34),0)+IF(AND('Ввод данных'!A6=связи1!A98,'Ввод данных'!F312=связи1!A2),((дома!J1191/перекрытие!J34+1)*(дома!C1319)*перекрытие!E34),0)+IF('Ввод данных'!A6=связи1!A95,((дома!D1319/перекрытие!J34+1)*перекрытие!E34*дома!C1319),0)+(пристройка!C34/перекрытие!J32)*пристройка!C33*пристройка!C32*пристройка!D2*пристройка!C27+пристройка!D27*пристройка!D2*пристройка!D32*пристройка!D33*(пристройка!D34/перекрытие!J32)+(пристройка!E34/перекрытие!J32)*пристройка!E33*пристройка!E32*пристройка!D2*пристройка!E27+пристройка!F27*пристройка!D2*пристройка!F32*пристройка!F33*(пристройка!F34/перекрытие!J32)+дома!J98*2)*C213</f>
        <v>0</v>
      </c>
      <c r="E213" s="2241" t="n">
        <f aca="false">'Прайс лист'!G285</f>
        <v>250</v>
      </c>
      <c r="F213" s="2241" t="n">
        <f aca="false">D213*E213</f>
        <v>0</v>
      </c>
      <c r="G213" s="2160"/>
      <c r="H213" s="2160"/>
      <c r="I213" s="2160"/>
      <c r="J213" s="2160"/>
      <c r="K213" s="2160"/>
      <c r="L213" s="2160"/>
    </row>
    <row r="214" customFormat="false" ht="15.5" hidden="false" customHeight="false" outlineLevel="0" collapsed="false">
      <c r="A214" s="7" t="str">
        <f aca="false">'Прайс лист'!B838</f>
        <v>Уголок усиленный 90х70х55х2,5</v>
      </c>
      <c r="B214" s="230" t="s">
        <v>159</v>
      </c>
      <c r="C214" s="7"/>
      <c r="D214" s="7" t="n">
        <f aca="false">CEILING(((IF(G34=0.8,1.6,0)+IF(G34=0.7,2,0)+IF(G34=0.6,2.44,0)+IF(G34=0.5,3.25,0)+IF(G34=0.4,3.67,0)+IF(G34=0.3,4.1,0))*D34*E34),1)</f>
        <v>0</v>
      </c>
      <c r="E214" s="7" t="n">
        <f aca="false">'Прайс лист'!G838</f>
        <v>30</v>
      </c>
      <c r="F214" s="2241" t="n">
        <f aca="false">D214*E214*SUM(C202:C213)</f>
        <v>0</v>
      </c>
      <c r="G214" s="2160"/>
      <c r="H214" s="2160"/>
      <c r="I214" s="2160"/>
      <c r="J214" s="2160"/>
      <c r="K214" s="2160"/>
      <c r="L214" s="2160"/>
    </row>
    <row r="215" customFormat="false" ht="15.5" hidden="false" customHeight="false" outlineLevel="0" collapsed="false">
      <c r="A215" s="7" t="str">
        <f aca="false">'Прайс лист'!B878</f>
        <v>Саморезы 3,5 x 55</v>
      </c>
      <c r="B215" s="230" t="s">
        <v>159</v>
      </c>
      <c r="C215" s="7"/>
      <c r="D215" s="7" t="n">
        <f aca="false">D214*4</f>
        <v>0</v>
      </c>
      <c r="E215" s="7" t="n">
        <f aca="false">'Прайс лист'!F878</f>
        <v>0.3</v>
      </c>
      <c r="F215" s="2241" t="n">
        <f aca="false">D215*E215*SUM(C202:C213)</f>
        <v>0</v>
      </c>
      <c r="G215" s="2160"/>
      <c r="H215" s="2160"/>
      <c r="I215" s="2160"/>
      <c r="J215" s="2160"/>
      <c r="K215" s="2160"/>
      <c r="L215" s="2160"/>
    </row>
    <row r="216" customFormat="false" ht="15.5" hidden="false" customHeight="false" outlineLevel="0" collapsed="false">
      <c r="A216" s="7" t="str">
        <f aca="false">'Ввод данных'!A55</f>
        <v>Плитный,28кг/м3, технониколь, 200мм</v>
      </c>
      <c r="B216" s="230" t="s">
        <v>135</v>
      </c>
      <c r="C216" s="7" t="n">
        <f aca="false">IF(A216='Прайс лист'!B744,0,1)</f>
        <v>1</v>
      </c>
      <c r="D216" s="7" t="n">
        <f aca="false">дома!F1090*VLOOKUP(перекрытие!A216,'Прайс лист'!B744:G782,3,0)</f>
        <v>0</v>
      </c>
      <c r="E216" s="7" t="n">
        <f aca="false">VLOOKUP(перекрытие!A216,'Прайс лист'!B744:G782,6,0)</f>
        <v>1700</v>
      </c>
      <c r="F216" s="7" t="n">
        <f aca="false">D216*E216</f>
        <v>0</v>
      </c>
      <c r="G216" s="2160"/>
      <c r="H216" s="2160"/>
      <c r="I216" s="2160"/>
      <c r="J216" s="2160"/>
      <c r="K216" s="2160"/>
      <c r="L216" s="2160"/>
    </row>
    <row r="217" customFormat="false" ht="15.5" hidden="false" customHeight="false" outlineLevel="0" collapsed="false">
      <c r="A217" s="7" t="str">
        <f aca="false">'Ввод данных'!A56</f>
        <v>Мембрана Folder Classic</v>
      </c>
      <c r="B217" s="230" t="s">
        <v>133</v>
      </c>
      <c r="C217" s="7" t="n">
        <f aca="false">IF(A217='Прайс лист'!B793,0,1)</f>
        <v>1</v>
      </c>
      <c r="D217" s="7" t="n">
        <f aca="false">дома!F1090</f>
        <v>0</v>
      </c>
      <c r="E217" s="7" t="n">
        <f aca="false">VLOOKUP(A217,'Прайс лист'!B793:G819,6,0)</f>
        <v>71</v>
      </c>
      <c r="F217" s="7" t="n">
        <f aca="false">D217*E217</f>
        <v>0</v>
      </c>
      <c r="G217" s="2160"/>
      <c r="H217" s="2160"/>
      <c r="I217" s="2160"/>
      <c r="J217" s="2160"/>
      <c r="K217" s="2160"/>
      <c r="L217" s="2160"/>
    </row>
    <row r="218" customFormat="false" ht="15.5" hidden="false" customHeight="false" outlineLevel="0" collapsed="false">
      <c r="A218" s="7" t="str">
        <f aca="false">'Ввод данных'!A57</f>
        <v>Пленка Delta-Reflex</v>
      </c>
      <c r="B218" s="230" t="s">
        <v>133</v>
      </c>
      <c r="C218" s="7" t="n">
        <f aca="false">IF(A218='Прайс лист'!B820,0,1)</f>
        <v>1</v>
      </c>
      <c r="D218" s="7" t="n">
        <f aca="false">дома!F1090</f>
        <v>0</v>
      </c>
      <c r="E218" s="7" t="n">
        <f aca="false">VLOOKUP(A218,'Прайс лист'!B820:G831,6,0)</f>
        <v>156</v>
      </c>
      <c r="F218" s="7" t="n">
        <f aca="false">D218*E218</f>
        <v>0</v>
      </c>
      <c r="G218" s="2160"/>
      <c r="H218" s="2160"/>
      <c r="I218" s="2160"/>
      <c r="J218" s="2160"/>
      <c r="K218" s="2160"/>
      <c r="L218" s="2160"/>
    </row>
    <row r="219" customFormat="false" ht="15.5" hidden="false" customHeight="false" outlineLevel="0" collapsed="false">
      <c r="A219" s="7" t="str">
        <f aca="false">'Ввод данных'!A37</f>
        <v>нет</v>
      </c>
      <c r="B219" s="230" t="s">
        <v>135</v>
      </c>
      <c r="C219" s="7"/>
      <c r="D219" s="2266" t="n">
        <f aca="false">VLOOKUP(A219,связи1!A432:F440,4,0)*(дома!J91+дома!J96+дома!J101)</f>
        <v>0</v>
      </c>
      <c r="E219" s="7" t="n">
        <f aca="false">VLOOKUP(A219,связи1!A432:F440,6,0)</f>
        <v>0</v>
      </c>
      <c r="F219" s="7" t="n">
        <f aca="false">D219*E219</f>
        <v>0</v>
      </c>
      <c r="G219" s="2160"/>
      <c r="H219" s="2160" t="s">
        <v>4033</v>
      </c>
      <c r="I219" s="2160"/>
      <c r="J219" s="2160" t="n">
        <f aca="false">(дома!J91+дома!J96+дома!J101)*IF(перекрытие!A219=связи1!A432,0,1)</f>
        <v>0</v>
      </c>
      <c r="K219" s="2160" t="n">
        <f aca="false">'Прайс лист'!G1611</f>
        <v>150</v>
      </c>
      <c r="L219" s="2160" t="n">
        <f aca="false">J219*K219</f>
        <v>0</v>
      </c>
    </row>
    <row r="220" customFormat="false" ht="15.5" hidden="false" customHeight="false" outlineLevel="0" collapsed="false">
      <c r="A220" s="7" t="str">
        <f aca="false">'Ввод данных'!A38</f>
        <v>нет</v>
      </c>
      <c r="B220" s="230" t="s">
        <v>135</v>
      </c>
      <c r="C220" s="7"/>
      <c r="D220" s="2266" t="n">
        <f aca="false">VLOOKUP(A220,связи1!A418:E421,5,0)*(дома!J91+дома!J96+дома!J101)*4</f>
        <v>0</v>
      </c>
      <c r="E220" s="7" t="n">
        <f aca="false">VLOOKUP(A220,связи1!A418:D421,2,0)</f>
        <v>0</v>
      </c>
      <c r="F220" s="7" t="n">
        <f aca="false">D220*E220</f>
        <v>0</v>
      </c>
      <c r="G220" s="2160"/>
      <c r="H220" s="2160"/>
      <c r="I220" s="2160"/>
      <c r="J220" s="2160"/>
      <c r="K220" s="2160"/>
      <c r="L220" s="2160" t="n">
        <f aca="false">J220*K220</f>
        <v>0</v>
      </c>
    </row>
    <row r="221" customFormat="false" ht="15.5" hidden="false" customHeight="false" outlineLevel="0" collapsed="false">
      <c r="A221" s="7" t="str">
        <f aca="false">'Ввод данных'!A46</f>
        <v>нет</v>
      </c>
      <c r="B221" s="230" t="s">
        <v>135</v>
      </c>
      <c r="C221" s="7"/>
      <c r="D221" s="2266" t="n">
        <f aca="false">VLOOKUP(A221,связи1!A432:F440,4,0)*(дома!J92+дома!J97+дома!J102)</f>
        <v>0</v>
      </c>
      <c r="E221" s="7" t="n">
        <f aca="false">VLOOKUP(A221,связи1!A432:F440,6,0)</f>
        <v>0</v>
      </c>
      <c r="F221" s="7" t="n">
        <f aca="false">D221*E221</f>
        <v>0</v>
      </c>
      <c r="G221" s="2160"/>
      <c r="H221" s="2160" t="s">
        <v>4034</v>
      </c>
      <c r="I221" s="2160"/>
      <c r="J221" s="2160" t="n">
        <f aca="false">IF(перекрытие!A221=связи1!A432,0,1)*(дома!J92+дома!J97+дома!J102)</f>
        <v>0</v>
      </c>
      <c r="K221" s="2160" t="n">
        <f aca="false">K219</f>
        <v>150</v>
      </c>
      <c r="L221" s="2160" t="n">
        <f aca="false">J221*K221</f>
        <v>0</v>
      </c>
    </row>
    <row r="222" customFormat="false" ht="15.5" hidden="false" customHeight="false" outlineLevel="0" collapsed="false">
      <c r="A222" s="7" t="str">
        <f aca="false">'Ввод данных'!A47</f>
        <v>нет</v>
      </c>
      <c r="B222" s="230" t="s">
        <v>135</v>
      </c>
      <c r="C222" s="7"/>
      <c r="D222" s="2266" t="n">
        <f aca="false">VLOOKUP(A222,связи1!A418:E421,5,0)*(дома!J92+дома!J97+дома!J102)*4</f>
        <v>0</v>
      </c>
      <c r="E222" s="7" t="n">
        <f aca="false">VLOOKUP(A222,связи1!A418:D421,2,0)</f>
        <v>0</v>
      </c>
      <c r="F222" s="7" t="n">
        <f aca="false">D222*E222</f>
        <v>0</v>
      </c>
      <c r="G222" s="2160"/>
      <c r="H222" s="2160"/>
      <c r="I222" s="2160"/>
      <c r="J222" s="2160"/>
      <c r="K222" s="2160"/>
      <c r="L222" s="2160" t="n">
        <f aca="false">J222*K222</f>
        <v>0</v>
      </c>
    </row>
    <row r="223" customFormat="false" ht="15.5" hidden="false" customHeight="false" outlineLevel="0" collapsed="false">
      <c r="A223" s="7" t="str">
        <f aca="false">'Ввод данных'!A53</f>
        <v>нет</v>
      </c>
      <c r="B223" s="230" t="s">
        <v>135</v>
      </c>
      <c r="C223" s="7"/>
      <c r="D223" s="2266" t="n">
        <f aca="false">VLOOKUP(A223,связи1!A432:F440,4,0)*(дома!J93+дома!J98+дома!J103)</f>
        <v>0</v>
      </c>
      <c r="E223" s="7" t="n">
        <f aca="false">VLOOKUP(A223,связи1!A432:F440,6,0)</f>
        <v>0</v>
      </c>
      <c r="F223" s="7" t="n">
        <f aca="false">D223*E223</f>
        <v>0</v>
      </c>
      <c r="G223" s="2160"/>
      <c r="H223" s="2160" t="s">
        <v>4035</v>
      </c>
      <c r="I223" s="2160"/>
      <c r="J223" s="2160" t="n">
        <f aca="false">IF(перекрытие!A223=связи1!A432,0,1)*(дома!J93+дома!J98+дома!J103)</f>
        <v>0</v>
      </c>
      <c r="K223" s="2160" t="n">
        <f aca="false">K219</f>
        <v>150</v>
      </c>
      <c r="L223" s="2160" t="n">
        <f aca="false">J223*K223</f>
        <v>0</v>
      </c>
    </row>
    <row r="224" customFormat="false" ht="15.5" hidden="false" customHeight="false" outlineLevel="0" collapsed="false">
      <c r="A224" s="7" t="str">
        <f aca="false">'Ввод данных'!A54</f>
        <v>Сосна влаж, 50*50мм</v>
      </c>
      <c r="B224" s="230" t="s">
        <v>135</v>
      </c>
      <c r="C224" s="7"/>
      <c r="D224" s="2266" t="n">
        <f aca="false">VLOOKUP(A224,связи1!A418:E421,5,0)*(дома!J93+дома!J98+дома!J103)*4</f>
        <v>0</v>
      </c>
      <c r="E224" s="7" t="n">
        <f aca="false">VLOOKUP(A224,связи1!A418:D421,2,0)</f>
        <v>6500</v>
      </c>
      <c r="F224" s="7" t="n">
        <f aca="false">D224*E224</f>
        <v>0</v>
      </c>
      <c r="G224" s="2160"/>
      <c r="H224" s="2160"/>
      <c r="I224" s="2160"/>
      <c r="J224" s="2160"/>
      <c r="K224" s="2160"/>
      <c r="L224" s="2160"/>
    </row>
    <row r="225" customFormat="false" ht="15.5" hidden="false" customHeight="false" outlineLevel="0" collapsed="false">
      <c r="A225" s="7" t="str">
        <f aca="false">'Прайс лист'!B898</f>
        <v>Гвозди ершоные 2,8 х 90</v>
      </c>
      <c r="B225" s="230" t="s">
        <v>188</v>
      </c>
      <c r="C225" s="7"/>
      <c r="D225" s="7" t="n">
        <f aca="false">(D219+D220+D221+D222+D223+D224)*6</f>
        <v>0</v>
      </c>
      <c r="E225" s="7" t="n">
        <f aca="false">'Прайс лист'!G898</f>
        <v>76.49</v>
      </c>
      <c r="F225" s="7" t="n">
        <f aca="false">D225*E225</f>
        <v>0</v>
      </c>
      <c r="G225" s="2160"/>
      <c r="H225" s="2160"/>
      <c r="I225" s="2160"/>
      <c r="J225" s="2160"/>
      <c r="K225" s="2160"/>
      <c r="L225" s="2160"/>
    </row>
    <row r="226" customFormat="false" ht="15.5" hidden="false" customHeight="false" outlineLevel="0" collapsed="false">
      <c r="A226" s="7" t="str">
        <f aca="false">'Ввод данных'!A63</f>
        <v>расходные материалы перекрытие</v>
      </c>
      <c r="B226" s="7" t="str">
        <f aca="false">'Ввод данных'!B63</f>
        <v>рублей</v>
      </c>
      <c r="C226" s="7" t="n">
        <f aca="false">1</f>
        <v>1</v>
      </c>
      <c r="D226" s="7" t="n">
        <f aca="false">1</f>
        <v>1</v>
      </c>
      <c r="E226" s="7" t="n">
        <f aca="false">'Ввод данных'!C63</f>
        <v>5000</v>
      </c>
      <c r="F226" s="2267" t="n">
        <f aca="false">D226*E226</f>
        <v>5000</v>
      </c>
      <c r="G226" s="2160"/>
      <c r="H226" s="2160"/>
      <c r="I226" s="2160"/>
      <c r="J226" s="2160"/>
      <c r="K226" s="2160"/>
      <c r="L226" s="2160"/>
    </row>
    <row r="227" s="2193" customFormat="true" ht="15.5" hidden="false" customHeight="false" outlineLevel="0" collapsed="false">
      <c r="G227" s="2160"/>
      <c r="H227" s="2160"/>
      <c r="I227" s="2160"/>
      <c r="J227" s="2160"/>
      <c r="K227" s="2160"/>
      <c r="L227" s="2160"/>
    </row>
    <row r="228" s="2193" customFormat="true" ht="15.5" hidden="false" customHeight="false" outlineLevel="0" collapsed="false">
      <c r="G228" s="2160"/>
      <c r="H228" s="2160"/>
      <c r="I228" s="2160"/>
      <c r="J228" s="2160"/>
      <c r="K228" s="2160"/>
      <c r="L228" s="2160"/>
    </row>
    <row r="229" customFormat="false" ht="15.5" hidden="false" customHeight="false" outlineLevel="0" collapsed="false">
      <c r="A229" s="87" t="str">
        <f aca="false">'Ввод данных'!A60</f>
        <v>Газель</v>
      </c>
      <c r="B229" s="87" t="str">
        <f aca="false">'Ввод данных'!B60</f>
        <v>ед.</v>
      </c>
      <c r="C229" s="87" t="n">
        <f aca="false">'Ввод данных'!C60</f>
        <v>1</v>
      </c>
      <c r="D229" s="89" t="n">
        <f aca="false">C229</f>
        <v>1</v>
      </c>
      <c r="E229" s="89" t="n">
        <f aca="false">'Прайс лист'!G189</f>
        <v>1700</v>
      </c>
      <c r="F229" s="89" t="n">
        <f aca="false">D229*E229</f>
        <v>1700</v>
      </c>
      <c r="G229" s="2160"/>
      <c r="H229" s="2160"/>
      <c r="I229" s="2160"/>
      <c r="J229" s="2160"/>
      <c r="K229" s="2160"/>
      <c r="L229" s="2160"/>
    </row>
    <row r="230" customFormat="false" ht="15.5" hidden="false" customHeight="false" outlineLevel="0" collapsed="false">
      <c r="A230" s="87" t="str">
        <f aca="false">'Ввод данных'!A61</f>
        <v>Доставка материала Фура</v>
      </c>
      <c r="B230" s="87" t="str">
        <f aca="false">'Ввод данных'!B61</f>
        <v>ед.</v>
      </c>
      <c r="C230" s="87" t="n">
        <f aca="false">'Ввод данных'!C61</f>
        <v>0</v>
      </c>
      <c r="D230" s="89" t="n">
        <f aca="false">C230</f>
        <v>0</v>
      </c>
      <c r="E230" s="89" t="n">
        <f aca="false">'Прайс лист'!G190</f>
        <v>2500</v>
      </c>
      <c r="F230" s="89" t="n">
        <f aca="false">D230*E230</f>
        <v>0</v>
      </c>
      <c r="G230" s="2160"/>
      <c r="H230" s="2160"/>
      <c r="I230" s="2160"/>
      <c r="J230" s="2160"/>
      <c r="K230" s="2160"/>
      <c r="L230" s="2160"/>
    </row>
    <row r="231" customFormat="false" ht="15.5" hidden="false" customHeight="false" outlineLevel="0" collapsed="false">
      <c r="A231" s="87" t="str">
        <f aca="false">'Ввод данных'!A62</f>
        <v>Воровайка</v>
      </c>
      <c r="B231" s="87" t="str">
        <f aca="false">'Ввод данных'!B62</f>
        <v>ед.</v>
      </c>
      <c r="C231" s="87" t="n">
        <f aca="false">'Ввод данных'!C62</f>
        <v>0</v>
      </c>
      <c r="D231" s="89" t="n">
        <f aca="false">C231</f>
        <v>0</v>
      </c>
      <c r="E231" s="89" t="n">
        <f aca="false">'Прайс лист'!G188</f>
        <v>3500</v>
      </c>
      <c r="F231" s="89" t="n">
        <f aca="false">D231*E231</f>
        <v>0</v>
      </c>
      <c r="G231" s="2160"/>
      <c r="H231" s="2160"/>
      <c r="I231" s="2160"/>
      <c r="J231" s="2160"/>
      <c r="K231" s="2160"/>
      <c r="L231" s="2160"/>
    </row>
    <row r="232" s="2193" customFormat="true" ht="15.5" hidden="false" customHeight="false" outlineLevel="0" collapsed="false">
      <c r="G232" s="2160"/>
      <c r="H232" s="2160"/>
      <c r="I232" s="2160"/>
      <c r="J232" s="2160"/>
      <c r="K232" s="2160"/>
      <c r="L232" s="2160"/>
    </row>
    <row r="233" customFormat="false" ht="15.5" hidden="false" customHeight="false" outlineLevel="0" collapsed="false">
      <c r="A233" s="2268"/>
      <c r="B233" s="2269"/>
      <c r="C233" s="2269"/>
      <c r="D233" s="2269"/>
      <c r="E233" s="2270"/>
      <c r="G233" s="2160"/>
      <c r="H233" s="2160"/>
      <c r="I233" s="2160"/>
      <c r="J233" s="2160"/>
      <c r="K233" s="2160"/>
      <c r="L233" s="2160"/>
    </row>
    <row r="234" customFormat="false" ht="15.5" hidden="false" customHeight="false" outlineLevel="0" collapsed="false">
      <c r="A234" s="2268"/>
      <c r="B234" s="2269"/>
      <c r="C234" s="2269"/>
      <c r="D234" s="2269"/>
      <c r="E234" s="2270"/>
      <c r="G234" s="2160"/>
      <c r="H234" s="2160"/>
      <c r="I234" s="2160"/>
      <c r="J234" s="2160"/>
      <c r="K234" s="2160"/>
      <c r="L234" s="2160"/>
    </row>
    <row r="235" s="2193" customFormat="true" ht="15.5" hidden="false" customHeight="false" outlineLevel="0" collapsed="false">
      <c r="G235" s="2160"/>
      <c r="H235" s="2160"/>
      <c r="I235" s="2160"/>
      <c r="J235" s="2160"/>
      <c r="K235" s="2160"/>
      <c r="L235" s="2160"/>
    </row>
    <row r="236" s="2193" customFormat="true" ht="15.5" hidden="false" customHeight="false" outlineLevel="0" collapsed="false">
      <c r="G236" s="2160"/>
      <c r="H236" s="2160"/>
      <c r="I236" s="2160"/>
      <c r="J236" s="2160"/>
      <c r="K236" s="2160"/>
      <c r="L236" s="2160"/>
    </row>
    <row r="237" s="2193" customFormat="true" ht="15.5" hidden="false" customHeight="false" outlineLevel="0" collapsed="false">
      <c r="G237" s="2160"/>
      <c r="H237" s="2160"/>
      <c r="I237" s="2160"/>
      <c r="J237" s="2160"/>
      <c r="K237" s="2160"/>
      <c r="L237" s="2160"/>
    </row>
    <row r="238" customFormat="false" ht="15.5" hidden="false" customHeight="false" outlineLevel="0" collapsed="false">
      <c r="A238" s="2193" t="str">
        <f aca="false">связи1!A235</f>
        <v>ГПС 100х50-1,2</v>
      </c>
      <c r="B238" s="2193" t="s">
        <v>156</v>
      </c>
      <c r="C238" s="2193" t="n">
        <f aca="false">IF('Ввод данных'!$A$33=перекрытие!A238,1,0)</f>
        <v>0</v>
      </c>
      <c r="D238" s="2193" t="n">
        <f aca="false">1/'Ввод данных'!$C$33*дома!$F$1086*C238</f>
        <v>0</v>
      </c>
      <c r="E238" s="2193" t="n">
        <f aca="false">VLOOKUP(A238,связи1!$A$200:$D$253,4,0)</f>
        <v>163</v>
      </c>
      <c r="F238" s="2193" t="n">
        <f aca="false">D238*E238</f>
        <v>0</v>
      </c>
      <c r="G238" s="2160"/>
      <c r="H238" s="2160"/>
      <c r="I238" s="2160"/>
      <c r="J238" s="2160"/>
      <c r="K238" s="2160"/>
      <c r="L238" s="2160"/>
    </row>
    <row r="239" customFormat="false" ht="15.5" hidden="false" customHeight="false" outlineLevel="0" collapsed="false">
      <c r="A239" s="2193" t="str">
        <f aca="false">связи1!A236</f>
        <v>ГПС 100х50-1,5</v>
      </c>
      <c r="B239" s="2193" t="s">
        <v>156</v>
      </c>
      <c r="C239" s="2193" t="n">
        <f aca="false">IF('Ввод данных'!$A$33=перекрытие!A239,1,0)</f>
        <v>0</v>
      </c>
      <c r="D239" s="2193" t="n">
        <f aca="false">1/'Ввод данных'!$C$33*дома!$F$1086*C239</f>
        <v>0</v>
      </c>
      <c r="E239" s="2193" t="n">
        <f aca="false">VLOOKUP(A239,связи1!$A$200:$D$253,4,0)</f>
        <v>204</v>
      </c>
      <c r="F239" s="2193" t="n">
        <f aca="false">D239*E239</f>
        <v>0</v>
      </c>
      <c r="G239" s="2160"/>
      <c r="H239" s="2160"/>
      <c r="I239" s="2160"/>
      <c r="J239" s="2160"/>
      <c r="K239" s="2160"/>
      <c r="L239" s="2160"/>
    </row>
    <row r="240" customFormat="false" ht="15.5" hidden="false" customHeight="false" outlineLevel="0" collapsed="false">
      <c r="A240" s="2193" t="str">
        <f aca="false">связи1!A237</f>
        <v>ГПС 120х50-1,5</v>
      </c>
      <c r="B240" s="2193" t="s">
        <v>156</v>
      </c>
      <c r="C240" s="2193" t="n">
        <f aca="false">IF('Ввод данных'!$A$33=перекрытие!A240,1,0)</f>
        <v>0</v>
      </c>
      <c r="D240" s="2193" t="n">
        <f aca="false">1/'Ввод данных'!$C$33*дома!$F$1086*C240</f>
        <v>0</v>
      </c>
      <c r="E240" s="2193" t="n">
        <f aca="false">VLOOKUP(A240,связи1!$A$200:$D$253,4,0)</f>
        <v>272</v>
      </c>
      <c r="F240" s="2193" t="n">
        <f aca="false">D240*E240</f>
        <v>0</v>
      </c>
      <c r="G240" s="2160"/>
      <c r="H240" s="2160"/>
      <c r="I240" s="2160"/>
      <c r="J240" s="2160"/>
      <c r="K240" s="2160"/>
      <c r="L240" s="2160"/>
    </row>
    <row r="241" customFormat="false" ht="15.5" hidden="false" customHeight="false" outlineLevel="0" collapsed="false">
      <c r="A241" s="2193" t="str">
        <f aca="false">связи1!A238</f>
        <v>ГПС 120х50-2,0</v>
      </c>
      <c r="B241" s="2193" t="s">
        <v>156</v>
      </c>
      <c r="C241" s="2193" t="n">
        <f aca="false">IF('Ввод данных'!$A$33=перекрытие!A241,1,0)</f>
        <v>0</v>
      </c>
      <c r="D241" s="2193" t="n">
        <f aca="false">1/'Ввод данных'!$C$33*дома!$F$1086*C241</f>
        <v>0</v>
      </c>
      <c r="E241" s="2193" t="n">
        <f aca="false">VLOOKUP(A241,связи1!$A$200:$D$253,4,0)</f>
        <v>179</v>
      </c>
      <c r="F241" s="2193" t="n">
        <f aca="false">D241*E241</f>
        <v>0</v>
      </c>
      <c r="G241" s="2271"/>
      <c r="H241" s="2271"/>
      <c r="I241" s="2271"/>
      <c r="J241" s="2271"/>
      <c r="K241" s="905"/>
      <c r="L241" s="905"/>
      <c r="M241" s="905"/>
    </row>
    <row r="242" customFormat="false" ht="15.5" hidden="false" customHeight="false" outlineLevel="0" collapsed="false">
      <c r="A242" s="2193" t="str">
        <f aca="false">связи1!A239</f>
        <v>ГПС 150х50-1,2</v>
      </c>
      <c r="B242" s="2193" t="s">
        <v>156</v>
      </c>
      <c r="C242" s="2193" t="n">
        <f aca="false">IF('Ввод данных'!$A$33=перекрытие!A242,1,0)</f>
        <v>0</v>
      </c>
      <c r="D242" s="2193" t="n">
        <f aca="false">1/'Ввод данных'!$C$33*дома!$F$1086*C242</f>
        <v>0</v>
      </c>
      <c r="E242" s="2193" t="n">
        <f aca="false">VLOOKUP(A242,связи1!$A$200:$D$253,4,0)</f>
        <v>224</v>
      </c>
      <c r="F242" s="2193" t="n">
        <f aca="false">D242*E242</f>
        <v>0</v>
      </c>
      <c r="G242" s="2271"/>
      <c r="H242" s="2271"/>
      <c r="I242" s="2271"/>
      <c r="J242" s="2271"/>
      <c r="K242" s="905"/>
      <c r="L242" s="905"/>
      <c r="M242" s="905"/>
    </row>
    <row r="243" customFormat="false" ht="15.5" hidden="false" customHeight="false" outlineLevel="0" collapsed="false">
      <c r="A243" s="2193" t="str">
        <f aca="false">связи1!A240</f>
        <v>ГПС 150х50-1,5</v>
      </c>
      <c r="B243" s="2193" t="s">
        <v>156</v>
      </c>
      <c r="C243" s="2193" t="n">
        <f aca="false">IF('Ввод данных'!$A$33=перекрытие!A243,1,0)</f>
        <v>0</v>
      </c>
      <c r="D243" s="2193" t="n">
        <f aca="false">1/'Ввод данных'!$C$33*дома!$F$1086*C243</f>
        <v>0</v>
      </c>
      <c r="E243" s="2193" t="n">
        <f aca="false">VLOOKUP(A243,связи1!$A$200:$D$253,4,0)</f>
        <v>299</v>
      </c>
      <c r="F243" s="2193" t="n">
        <f aca="false">D243*E243</f>
        <v>0</v>
      </c>
      <c r="G243" s="2271"/>
      <c r="H243" s="2271"/>
      <c r="I243" s="2271"/>
      <c r="J243" s="2271"/>
      <c r="K243" s="905"/>
      <c r="L243" s="905"/>
      <c r="M243" s="905"/>
    </row>
    <row r="244" customFormat="false" ht="15.5" hidden="false" customHeight="false" outlineLevel="0" collapsed="false">
      <c r="A244" s="2193" t="str">
        <f aca="false">связи1!A241</f>
        <v>ГПС 150х50-2,0</v>
      </c>
      <c r="B244" s="2193" t="s">
        <v>156</v>
      </c>
      <c r="C244" s="2193" t="n">
        <f aca="false">IF('Ввод данных'!$A$33=перекрытие!A244,1,0)</f>
        <v>0</v>
      </c>
      <c r="D244" s="2193" t="n">
        <f aca="false">1/'Ввод данных'!$C$33*дома!$F$1086*C244</f>
        <v>0</v>
      </c>
      <c r="E244" s="2193" t="n">
        <f aca="false">VLOOKUP(A244,связи1!$A$200:$D$253,4,0)</f>
        <v>201</v>
      </c>
      <c r="F244" s="2193" t="n">
        <f aca="false">D244*E244</f>
        <v>0</v>
      </c>
      <c r="G244" s="2271"/>
      <c r="H244" s="2271"/>
      <c r="I244" s="998"/>
      <c r="J244" s="2271"/>
      <c r="K244" s="905"/>
      <c r="L244" s="905"/>
      <c r="M244" s="905"/>
    </row>
    <row r="245" customFormat="false" ht="15.5" hidden="false" customHeight="false" outlineLevel="0" collapsed="false">
      <c r="A245" s="2193" t="str">
        <f aca="false">связи1!A242</f>
        <v>ГПС 170х50-1,2</v>
      </c>
      <c r="B245" s="2193" t="s">
        <v>156</v>
      </c>
      <c r="C245" s="2193" t="n">
        <f aca="false">IF('Ввод данных'!$A$33=перекрытие!A245,1,0)</f>
        <v>0</v>
      </c>
      <c r="D245" s="2193" t="n">
        <f aca="false">1/'Ввод данных'!$C$33*дома!$F$1086*C245</f>
        <v>0</v>
      </c>
      <c r="E245" s="2193" t="n">
        <f aca="false">VLOOKUP(A245,связи1!$A$200:$D$253,4,0)</f>
        <v>252</v>
      </c>
      <c r="F245" s="2193" t="n">
        <f aca="false">D245*E245</f>
        <v>0</v>
      </c>
      <c r="G245" s="2271"/>
      <c r="H245" s="2271"/>
      <c r="I245" s="998"/>
      <c r="J245" s="2271"/>
      <c r="K245" s="905"/>
      <c r="L245" s="905"/>
      <c r="M245" s="905"/>
    </row>
    <row r="246" customFormat="false" ht="15.5" hidden="false" customHeight="false" outlineLevel="0" collapsed="false">
      <c r="A246" s="2193" t="str">
        <f aca="false">связи1!A243</f>
        <v>ГПС 170х50-1,5</v>
      </c>
      <c r="B246" s="2193" t="s">
        <v>156</v>
      </c>
      <c r="C246" s="2193" t="n">
        <f aca="false">IF('Ввод данных'!$A$33=перекрытие!A246,1,0)</f>
        <v>0</v>
      </c>
      <c r="D246" s="2193" t="n">
        <f aca="false">1/'Ввод данных'!$C$33*дома!$F$1086*C246</f>
        <v>0</v>
      </c>
      <c r="E246" s="2193" t="n">
        <f aca="false">VLOOKUP(A246,связи1!$A$200:$D$253,4,0)</f>
        <v>330</v>
      </c>
      <c r="F246" s="2193" t="n">
        <f aca="false">D246*E246</f>
        <v>0</v>
      </c>
      <c r="G246" s="2271"/>
      <c r="H246" s="2271"/>
      <c r="I246" s="998"/>
      <c r="J246" s="2271"/>
      <c r="K246" s="905"/>
      <c r="L246" s="905"/>
      <c r="M246" s="905"/>
    </row>
    <row r="247" customFormat="false" ht="15.5" hidden="false" customHeight="false" outlineLevel="0" collapsed="false">
      <c r="A247" s="2193" t="str">
        <f aca="false">связи1!A244</f>
        <v>ГПС 170х50-2,0</v>
      </c>
      <c r="B247" s="2193" t="s">
        <v>156</v>
      </c>
      <c r="C247" s="2193" t="n">
        <f aca="false">IF('Ввод данных'!$A$33=перекрытие!A247,1,0)</f>
        <v>0</v>
      </c>
      <c r="D247" s="2193" t="n">
        <f aca="false">1/'Ввод данных'!$C$33*дома!$F$1086*C247</f>
        <v>0</v>
      </c>
      <c r="E247" s="2193" t="n">
        <f aca="false">VLOOKUP(A247,связи1!$A$200:$D$253,4,0)</f>
        <v>215</v>
      </c>
      <c r="F247" s="2193" t="n">
        <f aca="false">D247*E247</f>
        <v>0</v>
      </c>
      <c r="G247" s="2271"/>
      <c r="H247" s="2271"/>
      <c r="I247" s="998"/>
      <c r="J247" s="2271"/>
      <c r="K247" s="905"/>
      <c r="L247" s="905"/>
      <c r="M247" s="905"/>
    </row>
    <row r="248" customFormat="false" ht="15.5" hidden="false" customHeight="false" outlineLevel="0" collapsed="false">
      <c r="A248" s="2193" t="str">
        <f aca="false">связи1!A245</f>
        <v>ГПС 200х50-1,2</v>
      </c>
      <c r="B248" s="2193" t="s">
        <v>156</v>
      </c>
      <c r="C248" s="2193" t="n">
        <f aca="false">IF('Ввод данных'!$A$33=перекрытие!A248,1,0)</f>
        <v>0</v>
      </c>
      <c r="D248" s="2193" t="n">
        <f aca="false">1/'Ввод данных'!$C$33*дома!$F$1086*C248</f>
        <v>0</v>
      </c>
      <c r="E248" s="2193" t="n">
        <f aca="false">VLOOKUP(A248,связи1!$A$200:$D$253,4,0)</f>
        <v>269</v>
      </c>
      <c r="F248" s="2193" t="n">
        <f aca="false">D248*E248</f>
        <v>0</v>
      </c>
      <c r="G248" s="2271"/>
      <c r="H248" s="2271"/>
      <c r="I248" s="998"/>
      <c r="J248" s="2271"/>
      <c r="K248" s="905"/>
      <c r="L248" s="905"/>
      <c r="M248" s="905"/>
    </row>
    <row r="249" customFormat="false" ht="15.5" hidden="false" customHeight="false" outlineLevel="0" collapsed="false">
      <c r="A249" s="2193" t="str">
        <f aca="false">связи1!A246</f>
        <v>ГПС 200х50-1,5</v>
      </c>
      <c r="B249" s="2193" t="s">
        <v>156</v>
      </c>
      <c r="C249" s="2193" t="n">
        <f aca="false">IF('Ввод данных'!$A$33=перекрытие!A249,1,0)</f>
        <v>0</v>
      </c>
      <c r="D249" s="2193" t="n">
        <f aca="false">1/'Ввод данных'!$C$33*дома!$F$1086*C249</f>
        <v>0</v>
      </c>
      <c r="E249" s="2193" t="n">
        <f aca="false">VLOOKUP(A249,связи1!$A$200:$D$253,4,0)</f>
        <v>358</v>
      </c>
      <c r="F249" s="2193" t="n">
        <f aca="false">D249*E249</f>
        <v>0</v>
      </c>
      <c r="G249" s="2271"/>
      <c r="H249" s="2271"/>
      <c r="I249" s="998"/>
      <c r="J249" s="2271"/>
      <c r="K249" s="905"/>
      <c r="L249" s="905"/>
      <c r="M249" s="905"/>
    </row>
    <row r="250" customFormat="false" ht="15.5" hidden="false" customHeight="false" outlineLevel="0" collapsed="false">
      <c r="A250" s="2193" t="str">
        <f aca="false">связи1!A247</f>
        <v>ГПС 200х50-2,0</v>
      </c>
      <c r="B250" s="2193" t="s">
        <v>156</v>
      </c>
      <c r="C250" s="2193" t="n">
        <f aca="false">IF('Ввод данных'!$A$33=перекрытие!A250,1,0)</f>
        <v>0</v>
      </c>
      <c r="D250" s="2193" t="n">
        <f aca="false">1/'Ввод данных'!$C$33*дома!$F$1086*C250</f>
        <v>0</v>
      </c>
      <c r="E250" s="2193" t="n">
        <f aca="false">VLOOKUP(A250,связи1!$A$200:$D$253,4,0)</f>
        <v>239</v>
      </c>
      <c r="F250" s="2193" t="n">
        <f aca="false">D250*E250</f>
        <v>0</v>
      </c>
      <c r="G250" s="2271"/>
      <c r="H250" s="2271"/>
      <c r="I250" s="2271"/>
      <c r="J250" s="2271"/>
      <c r="K250" s="905"/>
      <c r="L250" s="905"/>
      <c r="M250" s="905"/>
    </row>
    <row r="251" customFormat="false" ht="15.5" hidden="false" customHeight="false" outlineLevel="0" collapsed="false">
      <c r="A251" s="2193" t="str">
        <f aca="false">связи1!A248</f>
        <v>ГПС 250х50-1,2</v>
      </c>
      <c r="B251" s="2193" t="s">
        <v>156</v>
      </c>
      <c r="C251" s="2193" t="n">
        <f aca="false">IF('Ввод данных'!$A$33=перекрытие!A251,1,0)</f>
        <v>0</v>
      </c>
      <c r="D251" s="2193" t="n">
        <f aca="false">1/'Ввод данных'!$C$33*дома!$F$1086*C251</f>
        <v>0</v>
      </c>
      <c r="E251" s="2193" t="n">
        <f aca="false">VLOOKUP(A251,связи1!$A$200:$D$253,4,0)</f>
        <v>299</v>
      </c>
      <c r="F251" s="2193" t="n">
        <f aca="false">D251*E251</f>
        <v>0</v>
      </c>
      <c r="G251" s="2271"/>
      <c r="H251" s="2271"/>
      <c r="I251" s="2271"/>
      <c r="J251" s="2271"/>
      <c r="K251" s="905"/>
      <c r="L251" s="905"/>
      <c r="M251" s="905"/>
    </row>
    <row r="252" customFormat="false" ht="15.5" hidden="false" customHeight="false" outlineLevel="0" collapsed="false">
      <c r="A252" s="2193" t="str">
        <f aca="false">связи1!A249</f>
        <v>ГПС 250х50-1,5</v>
      </c>
      <c r="B252" s="2193" t="s">
        <v>156</v>
      </c>
      <c r="C252" s="2193" t="n">
        <f aca="false">IF('Ввод данных'!$A$33=перекрытие!A252,1,0)</f>
        <v>0</v>
      </c>
      <c r="D252" s="2193" t="n">
        <f aca="false">1/'Ввод данных'!$C$33*дома!$F$1086*C252</f>
        <v>0</v>
      </c>
      <c r="E252" s="2193" t="n">
        <f aca="false">VLOOKUP(A252,связи1!$A$200:$D$253,4,0)</f>
        <v>397</v>
      </c>
      <c r="F252" s="2193" t="n">
        <f aca="false">D252*E252</f>
        <v>0</v>
      </c>
      <c r="G252" s="2271"/>
      <c r="H252" s="2271"/>
      <c r="I252" s="2271"/>
      <c r="J252" s="2271"/>
      <c r="K252" s="905"/>
      <c r="L252" s="905"/>
      <c r="M252" s="905"/>
    </row>
    <row r="253" customFormat="false" ht="15.5" hidden="false" customHeight="false" outlineLevel="0" collapsed="false">
      <c r="A253" s="2193" t="str">
        <f aca="false">связи1!A250</f>
        <v>ГПС 250х50-2,0</v>
      </c>
      <c r="B253" s="2193" t="s">
        <v>156</v>
      </c>
      <c r="C253" s="2193" t="n">
        <f aca="false">IF('Ввод данных'!$A$33=перекрытие!A253,1,0)</f>
        <v>0</v>
      </c>
      <c r="D253" s="2193" t="n">
        <f aca="false">1/'Ввод данных'!$C$33*дома!$F$1086*C253</f>
        <v>0</v>
      </c>
      <c r="E253" s="2193" t="n">
        <f aca="false">VLOOKUP(A253,связи1!$A$200:$D$253,4,0)</f>
        <v>274</v>
      </c>
      <c r="F253" s="2193" t="n">
        <f aca="false">D253*E253</f>
        <v>0</v>
      </c>
      <c r="G253" s="2271"/>
      <c r="H253" s="2271"/>
      <c r="I253" s="2271"/>
      <c r="J253" s="2271"/>
      <c r="K253" s="905"/>
      <c r="L253" s="905"/>
      <c r="M253" s="905"/>
    </row>
    <row r="254" customFormat="false" ht="15.5" hidden="false" customHeight="false" outlineLevel="0" collapsed="false">
      <c r="A254" s="2193" t="str">
        <f aca="false">связи1!A251</f>
        <v>ГПС 280х50-1,2</v>
      </c>
      <c r="B254" s="2193" t="s">
        <v>156</v>
      </c>
      <c r="C254" s="2193" t="n">
        <f aca="false">IF('Ввод данных'!$A$33=перекрытие!A254,1,0)</f>
        <v>0</v>
      </c>
      <c r="D254" s="2193" t="n">
        <f aca="false">1/'Ввод данных'!$C$33*дома!$F$1086*C254</f>
        <v>0</v>
      </c>
      <c r="E254" s="2193" t="n">
        <f aca="false">VLOOKUP(A254,связи1!$A$200:$D$253,4,0)</f>
        <v>344</v>
      </c>
      <c r="F254" s="2193" t="n">
        <f aca="false">D254*E254</f>
        <v>0</v>
      </c>
      <c r="G254" s="2271"/>
      <c r="H254" s="2271"/>
      <c r="I254" s="2271"/>
      <c r="J254" s="2271"/>
      <c r="K254" s="905"/>
      <c r="L254" s="905"/>
      <c r="M254" s="905"/>
    </row>
    <row r="255" customFormat="false" ht="15.5" hidden="false" customHeight="false" outlineLevel="0" collapsed="false">
      <c r="A255" s="2193" t="str">
        <f aca="false">связи1!A252</f>
        <v>ГПС 280х50-1,5</v>
      </c>
      <c r="B255" s="2193" t="s">
        <v>156</v>
      </c>
      <c r="C255" s="2193" t="n">
        <f aca="false">IF('Ввод данных'!$A$33=перекрытие!A255,1,0)</f>
        <v>0</v>
      </c>
      <c r="D255" s="2193" t="n">
        <f aca="false">1/'Ввод данных'!$C$33*дома!$F$1086*C255</f>
        <v>0</v>
      </c>
      <c r="E255" s="2193" t="n">
        <f aca="false">VLOOKUP(A255,связи1!$A$200:$D$253,4,0)</f>
        <v>450</v>
      </c>
      <c r="F255" s="2193" t="n">
        <f aca="false">D255*E255</f>
        <v>0</v>
      </c>
      <c r="G255" s="2271"/>
      <c r="H255" s="2271"/>
      <c r="I255" s="2271"/>
      <c r="J255" s="2271"/>
      <c r="K255" s="905"/>
      <c r="L255" s="905"/>
      <c r="M255" s="905"/>
    </row>
    <row r="256" customFormat="false" ht="15.5" hidden="false" customHeight="false" outlineLevel="0" collapsed="false">
      <c r="A256" s="2193" t="str">
        <f aca="false">связи1!A253</f>
        <v>ГПС 280х50-2,0</v>
      </c>
      <c r="B256" s="2193" t="s">
        <v>156</v>
      </c>
      <c r="C256" s="2193" t="n">
        <f aca="false">IF('Ввод данных'!$A$33=перекрытие!A256,1,0)</f>
        <v>0</v>
      </c>
      <c r="D256" s="2193" t="n">
        <f aca="false">1/'Ввод данных'!$C$33*дома!$F$1086*C256</f>
        <v>0</v>
      </c>
      <c r="E256" s="2193" t="n">
        <f aca="false">VLOOKUP(A256,связи1!$A$200:$D$253,4,0)</f>
        <v>293</v>
      </c>
      <c r="F256" s="2193" t="n">
        <f aca="false">D256*E256</f>
        <v>0</v>
      </c>
      <c r="G256" s="2271"/>
      <c r="H256" s="2271"/>
      <c r="I256" s="2271"/>
      <c r="J256" s="2271"/>
      <c r="K256" s="905"/>
      <c r="L256" s="905"/>
      <c r="M256" s="905"/>
    </row>
    <row r="257" customFormat="false" ht="15.5" hidden="false" customHeight="false" outlineLevel="0" collapsed="false">
      <c r="A257" s="2193" t="str">
        <f aca="false">'Прайс лист'!B579</f>
        <v>ГПН 102х35-1,2</v>
      </c>
      <c r="B257" s="2193" t="s">
        <v>156</v>
      </c>
      <c r="C257" s="2193" t="n">
        <f aca="false">C238</f>
        <v>0</v>
      </c>
      <c r="D257" s="2193" t="n">
        <f aca="false">(дома!$D$16+дома!$D$16+дома!$D$17+дома!$D$17)*перекрытие!C257</f>
        <v>0</v>
      </c>
      <c r="E257" s="2193" t="n">
        <f aca="false">'Прайс лист'!G579</f>
        <v>127</v>
      </c>
      <c r="F257" s="2193" t="n">
        <f aca="false">D257*E257</f>
        <v>0</v>
      </c>
      <c r="G257" s="2271"/>
      <c r="H257" s="2271"/>
      <c r="I257" s="2271"/>
      <c r="J257" s="2271"/>
      <c r="K257" s="905"/>
      <c r="L257" s="905"/>
      <c r="M257" s="905"/>
    </row>
    <row r="258" customFormat="false" ht="15.5" hidden="false" customHeight="false" outlineLevel="0" collapsed="false">
      <c r="A258" s="2193" t="str">
        <f aca="false">'Прайс лист'!B580</f>
        <v>ГПН 102х35-1,5</v>
      </c>
      <c r="B258" s="2193" t="s">
        <v>156</v>
      </c>
      <c r="C258" s="2193" t="n">
        <f aca="false">C239</f>
        <v>0</v>
      </c>
      <c r="D258" s="2193" t="n">
        <f aca="false">(дома!$D$16+дома!$D$16+дома!$D$17+дома!$D$17)*перекрытие!C258</f>
        <v>0</v>
      </c>
      <c r="E258" s="2193" t="n">
        <f aca="false">'Прайс лист'!G580</f>
        <v>158</v>
      </c>
      <c r="F258" s="2193" t="n">
        <f aca="false">D258*E258</f>
        <v>0</v>
      </c>
      <c r="G258" s="2271"/>
      <c r="H258" s="2271"/>
      <c r="I258" s="2271"/>
      <c r="J258" s="2271"/>
      <c r="K258" s="905"/>
      <c r="L258" s="905"/>
      <c r="M258" s="905"/>
    </row>
    <row r="259" customFormat="false" ht="15.5" hidden="false" customHeight="false" outlineLevel="0" collapsed="false">
      <c r="A259" s="2193" t="str">
        <f aca="false">'Прайс лист'!B581</f>
        <v>ГПН 102х35-2,0</v>
      </c>
      <c r="B259" s="2193" t="s">
        <v>156</v>
      </c>
      <c r="C259" s="2193" t="n">
        <f aca="false">C240</f>
        <v>0</v>
      </c>
      <c r="D259" s="2193" t="n">
        <f aca="false">(дома!$D$16+дома!$D$16+дома!$D$17+дома!$D$17)*перекрытие!C259</f>
        <v>0</v>
      </c>
      <c r="E259" s="2193" t="n">
        <f aca="false">'Прайс лист'!G581</f>
        <v>199</v>
      </c>
      <c r="F259" s="2193" t="n">
        <f aca="false">D259*E259</f>
        <v>0</v>
      </c>
      <c r="G259" s="2271"/>
      <c r="H259" s="2271"/>
      <c r="I259" s="2271"/>
      <c r="J259" s="2271"/>
      <c r="K259" s="905"/>
      <c r="L259" s="905"/>
      <c r="M259" s="905"/>
    </row>
    <row r="260" customFormat="false" ht="15.5" hidden="false" customHeight="false" outlineLevel="0" collapsed="false">
      <c r="A260" s="2193" t="str">
        <f aca="false">'Прайс лист'!B582</f>
        <v>ГПН 122х35-1,2</v>
      </c>
      <c r="B260" s="2193" t="s">
        <v>156</v>
      </c>
      <c r="C260" s="2193" t="n">
        <f aca="false">C241</f>
        <v>0</v>
      </c>
      <c r="D260" s="2193" t="n">
        <f aca="false">(дома!$D$16+дома!$D$16+дома!$D$17+дома!$D$17)*перекрытие!C260</f>
        <v>0</v>
      </c>
      <c r="E260" s="2193" t="n">
        <f aca="false">'Прайс лист'!G582</f>
        <v>131</v>
      </c>
      <c r="F260" s="2193" t="n">
        <f aca="false">D260*E260</f>
        <v>0</v>
      </c>
      <c r="G260" s="2271"/>
      <c r="H260" s="2271"/>
      <c r="I260" s="2271"/>
      <c r="J260" s="2271"/>
      <c r="K260" s="905"/>
      <c r="L260" s="905"/>
      <c r="M260" s="905"/>
    </row>
    <row r="261" customFormat="false" ht="15.5" hidden="false" customHeight="false" outlineLevel="0" collapsed="false">
      <c r="A261" s="2193" t="str">
        <f aca="false">'Прайс лист'!B583</f>
        <v>ГПН 122х35-1,5</v>
      </c>
      <c r="B261" s="2193" t="s">
        <v>156</v>
      </c>
      <c r="C261" s="2193" t="n">
        <f aca="false">C242</f>
        <v>0</v>
      </c>
      <c r="D261" s="2193" t="n">
        <f aca="false">(дома!$D$16+дома!$D$16+дома!$D$17+дома!$D$17)*перекрытие!C261</f>
        <v>0</v>
      </c>
      <c r="E261" s="2193" t="n">
        <f aca="false">'Прайс лист'!G583</f>
        <v>163</v>
      </c>
      <c r="F261" s="2193" t="n">
        <f aca="false">D261*E261</f>
        <v>0</v>
      </c>
      <c r="G261" s="2271"/>
      <c r="H261" s="2271"/>
      <c r="I261" s="2271"/>
      <c r="J261" s="2271"/>
      <c r="K261" s="905"/>
      <c r="L261" s="905"/>
      <c r="M261" s="905"/>
    </row>
    <row r="262" customFormat="false" ht="15.5" hidden="false" customHeight="false" outlineLevel="0" collapsed="false">
      <c r="A262" s="2193" t="str">
        <f aca="false">'Прайс лист'!B584</f>
        <v>ГПН 122х35-2,0</v>
      </c>
      <c r="B262" s="2193" t="s">
        <v>156</v>
      </c>
      <c r="C262" s="2193" t="n">
        <f aca="false">C243</f>
        <v>0</v>
      </c>
      <c r="D262" s="2193" t="n">
        <f aca="false">(дома!$D$16+дома!$D$16+дома!$D$17+дома!$D$17)*перекрытие!C262</f>
        <v>0</v>
      </c>
      <c r="E262" s="2193" t="n">
        <f aca="false">'Прайс лист'!G584</f>
        <v>216</v>
      </c>
      <c r="F262" s="2193" t="n">
        <f aca="false">D262*E262</f>
        <v>0</v>
      </c>
      <c r="G262" s="2271"/>
      <c r="H262" s="2271"/>
      <c r="I262" s="2271"/>
      <c r="J262" s="2271"/>
      <c r="K262" s="905"/>
      <c r="L262" s="905"/>
      <c r="M262" s="905"/>
    </row>
    <row r="263" customFormat="false" ht="15.5" hidden="false" customHeight="false" outlineLevel="0" collapsed="false">
      <c r="A263" s="2193" t="str">
        <f aca="false">'Прайс лист'!B585</f>
        <v>ГПН 152х35-1,2</v>
      </c>
      <c r="B263" s="2193" t="s">
        <v>156</v>
      </c>
      <c r="C263" s="2193" t="n">
        <f aca="false">C244</f>
        <v>0</v>
      </c>
      <c r="D263" s="2193" t="n">
        <f aca="false">(дома!$D$16+дома!$D$16+дома!$D$17+дома!$D$17)*перекрытие!C263</f>
        <v>0</v>
      </c>
      <c r="E263" s="2193" t="n">
        <f aca="false">'Прайс лист'!G585</f>
        <v>163</v>
      </c>
      <c r="F263" s="2193" t="n">
        <f aca="false">D263*E263</f>
        <v>0</v>
      </c>
      <c r="G263" s="2271"/>
      <c r="H263" s="2271"/>
      <c r="I263" s="2271"/>
      <c r="J263" s="2271"/>
      <c r="K263" s="905"/>
      <c r="L263" s="905"/>
      <c r="M263" s="905"/>
    </row>
    <row r="264" customFormat="false" ht="15.5" hidden="false" customHeight="false" outlineLevel="0" collapsed="false">
      <c r="A264" s="2193" t="str">
        <f aca="false">'Прайс лист'!B586</f>
        <v>ГПН 152х35-1,5</v>
      </c>
      <c r="B264" s="2193" t="s">
        <v>156</v>
      </c>
      <c r="C264" s="2193" t="n">
        <f aca="false">C245</f>
        <v>0</v>
      </c>
      <c r="D264" s="2193" t="n">
        <f aca="false">(дома!$D$16+дома!$D$16+дома!$D$17+дома!$D$17)*перекрытие!C264</f>
        <v>0</v>
      </c>
      <c r="E264" s="2193" t="n">
        <f aca="false">'Прайс лист'!G586</f>
        <v>203</v>
      </c>
      <c r="F264" s="2193" t="n">
        <f aca="false">D264*E264</f>
        <v>0</v>
      </c>
      <c r="G264" s="2271"/>
      <c r="H264" s="2271"/>
      <c r="I264" s="2271"/>
      <c r="J264" s="2271"/>
      <c r="K264" s="905"/>
      <c r="L264" s="905"/>
      <c r="M264" s="905"/>
    </row>
    <row r="265" customFormat="false" ht="15.5" hidden="false" customHeight="false" outlineLevel="0" collapsed="false">
      <c r="A265" s="2193" t="str">
        <f aca="false">'Прайс лист'!B587</f>
        <v>ГПН 152х35-2,0</v>
      </c>
      <c r="B265" s="2193" t="s">
        <v>156</v>
      </c>
      <c r="C265" s="2193" t="n">
        <f aca="false">C246</f>
        <v>0</v>
      </c>
      <c r="D265" s="2193" t="n">
        <f aca="false">(дома!$D$16+дома!$D$16+дома!$D$17+дома!$D$17)*перекрытие!C265</f>
        <v>0</v>
      </c>
      <c r="E265" s="2193" t="n">
        <f aca="false">'Прайс лист'!G587</f>
        <v>259</v>
      </c>
      <c r="F265" s="2193" t="n">
        <f aca="false">D265*E265</f>
        <v>0</v>
      </c>
    </row>
    <row r="266" customFormat="false" ht="15.5" hidden="false" customHeight="false" outlineLevel="0" collapsed="false">
      <c r="A266" s="2193" t="str">
        <f aca="false">'Прайс лист'!B588</f>
        <v>ГПН 172х35-1,2</v>
      </c>
      <c r="B266" s="2193" t="s">
        <v>156</v>
      </c>
      <c r="C266" s="2193" t="n">
        <f aca="false">C247</f>
        <v>0</v>
      </c>
      <c r="D266" s="2193" t="n">
        <f aca="false">(дома!$D$16+дома!$D$16+дома!$D$17+дома!$D$17)*перекрытие!C266</f>
        <v>0</v>
      </c>
      <c r="E266" s="2193" t="n">
        <f aca="false">'Прайс лист'!G588</f>
        <v>166</v>
      </c>
      <c r="F266" s="2193" t="n">
        <f aca="false">D266*E266</f>
        <v>0</v>
      </c>
    </row>
    <row r="267" customFormat="false" ht="15.5" hidden="false" customHeight="false" outlineLevel="0" collapsed="false">
      <c r="A267" s="2193" t="str">
        <f aca="false">'Прайс лист'!B589</f>
        <v>ГПН 172х35-1,5</v>
      </c>
      <c r="B267" s="2193" t="s">
        <v>156</v>
      </c>
      <c r="C267" s="2193" t="n">
        <f aca="false">C248</f>
        <v>0</v>
      </c>
      <c r="D267" s="2193" t="n">
        <f aca="false">(дома!$D$16+дома!$D$16+дома!$D$17+дома!$D$17)*перекрытие!C267</f>
        <v>0</v>
      </c>
      <c r="E267" s="2193" t="n">
        <f aca="false">'Прайс лист'!G589</f>
        <v>207</v>
      </c>
      <c r="F267" s="2193" t="n">
        <f aca="false">D267*E267</f>
        <v>0</v>
      </c>
    </row>
    <row r="268" customFormat="false" ht="15.5" hidden="false" customHeight="false" outlineLevel="0" collapsed="false">
      <c r="A268" s="2193" t="str">
        <f aca="false">'Прайс лист'!B590</f>
        <v>ГПН 172х35-2,0</v>
      </c>
      <c r="B268" s="2193" t="s">
        <v>156</v>
      </c>
      <c r="C268" s="2193" t="n">
        <f aca="false">C249</f>
        <v>0</v>
      </c>
      <c r="D268" s="2193" t="n">
        <f aca="false">(дома!$D$16+дома!$D$16+дома!$D$17+дома!$D$17)*перекрытие!C268</f>
        <v>0</v>
      </c>
      <c r="E268" s="2193" t="n">
        <f aca="false">'Прайс лист'!G590</f>
        <v>274</v>
      </c>
      <c r="F268" s="2193" t="n">
        <f aca="false">D268*E268</f>
        <v>0</v>
      </c>
    </row>
    <row r="269" customFormat="false" ht="15.5" hidden="false" customHeight="false" outlineLevel="0" collapsed="false">
      <c r="A269" s="2193" t="str">
        <f aca="false">'Прайс лист'!B591</f>
        <v>ГПН 202х35-1,2</v>
      </c>
      <c r="B269" s="2193" t="s">
        <v>156</v>
      </c>
      <c r="C269" s="2193" t="n">
        <f aca="false">C250</f>
        <v>0</v>
      </c>
      <c r="D269" s="2193" t="n">
        <f aca="false">(дома!$D$16+дома!$D$16+дома!$D$17+дома!$D$17)*перекрытие!C269</f>
        <v>0</v>
      </c>
      <c r="E269" s="2193" t="n">
        <f aca="false">'Прайс лист'!G591</f>
        <v>201</v>
      </c>
      <c r="F269" s="2193" t="n">
        <f aca="false">D269*E269</f>
        <v>0</v>
      </c>
    </row>
    <row r="270" customFormat="false" ht="15.5" hidden="false" customHeight="false" outlineLevel="0" collapsed="false">
      <c r="A270" s="2193" t="str">
        <f aca="false">'Прайс лист'!B592</f>
        <v>ГПН 202х35-1,5</v>
      </c>
      <c r="B270" s="2193" t="s">
        <v>156</v>
      </c>
      <c r="C270" s="2193" t="n">
        <f aca="false">C251</f>
        <v>0</v>
      </c>
      <c r="D270" s="2193" t="n">
        <f aca="false">(дома!$D$16+дома!$D$16+дома!$D$17+дома!$D$17)*перекрытие!C270</f>
        <v>0</v>
      </c>
      <c r="E270" s="2193" t="n">
        <f aca="false">'Прайс лист'!G592</f>
        <v>252</v>
      </c>
      <c r="F270" s="2193" t="n">
        <f aca="false">D270*E270</f>
        <v>0</v>
      </c>
    </row>
    <row r="271" customFormat="false" ht="15.5" hidden="false" customHeight="false" outlineLevel="0" collapsed="false">
      <c r="A271" s="2193" t="str">
        <f aca="false">'Прайс лист'!B593</f>
        <v>ГПН 202х35-2,0</v>
      </c>
      <c r="B271" s="2193" t="s">
        <v>156</v>
      </c>
      <c r="C271" s="2193" t="n">
        <f aca="false">C252</f>
        <v>0</v>
      </c>
      <c r="D271" s="2193" t="n">
        <f aca="false">(дома!$D$16+дома!$D$16+дома!$D$17+дома!$D$17)*перекрытие!C271</f>
        <v>0</v>
      </c>
      <c r="E271" s="2193" t="n">
        <f aca="false">'Прайс лист'!G593</f>
        <v>318</v>
      </c>
      <c r="F271" s="2193" t="n">
        <f aca="false">D271*E271</f>
        <v>0</v>
      </c>
    </row>
    <row r="272" customFormat="false" ht="15.5" hidden="false" customHeight="false" outlineLevel="0" collapsed="false">
      <c r="A272" s="2193" t="str">
        <f aca="false">'Прайс лист'!B594</f>
        <v>ГПН 252х35-1,2</v>
      </c>
      <c r="B272" s="2193" t="s">
        <v>156</v>
      </c>
      <c r="C272" s="2193" t="n">
        <f aca="false">C253</f>
        <v>0</v>
      </c>
      <c r="D272" s="2193" t="n">
        <f aca="false">(дома!$D$16+дома!$D$16+дома!$D$17+дома!$D$17)*перекрытие!C272</f>
        <v>0</v>
      </c>
      <c r="E272" s="2193" t="n">
        <f aca="false">'Прайс лист'!G594</f>
        <v>226</v>
      </c>
      <c r="F272" s="2193" t="n">
        <f aca="false">D272*E272</f>
        <v>0</v>
      </c>
    </row>
    <row r="273" customFormat="false" ht="15.5" hidden="false" customHeight="false" outlineLevel="0" collapsed="false">
      <c r="A273" s="2193" t="str">
        <f aca="false">'Прайс лист'!B595</f>
        <v>ГПН 252х35-1,5</v>
      </c>
      <c r="B273" s="2193" t="s">
        <v>156</v>
      </c>
      <c r="C273" s="2193" t="n">
        <f aca="false">C254</f>
        <v>0</v>
      </c>
      <c r="D273" s="2193" t="n">
        <f aca="false">(дома!$D$16+дома!$D$16+дома!$D$17+дома!$D$17)*перекрытие!C273</f>
        <v>0</v>
      </c>
      <c r="E273" s="2193" t="n">
        <f aca="false">'Прайс лист'!G595</f>
        <v>283</v>
      </c>
      <c r="F273" s="2193" t="n">
        <f aca="false">D273*E273</f>
        <v>0</v>
      </c>
    </row>
    <row r="274" customFormat="false" ht="15.5" hidden="false" customHeight="false" outlineLevel="0" collapsed="false">
      <c r="A274" s="2193" t="str">
        <f aca="false">'Прайс лист'!B596</f>
        <v>ГПН 252х35-2,0</v>
      </c>
      <c r="B274" s="2193" t="s">
        <v>156</v>
      </c>
      <c r="C274" s="2193" t="n">
        <f aca="false">C255</f>
        <v>0</v>
      </c>
      <c r="D274" s="2193" t="n">
        <f aca="false">(дома!$D$16+дома!$D$16+дома!$D$17+дома!$D$17)*перекрытие!C274</f>
        <v>0</v>
      </c>
      <c r="E274" s="2193" t="n">
        <f aca="false">'Прайс лист'!G596</f>
        <v>378</v>
      </c>
      <c r="F274" s="2193" t="n">
        <f aca="false">D274*E274</f>
        <v>0</v>
      </c>
    </row>
    <row r="275" customFormat="false" ht="15.5" hidden="false" customHeight="false" outlineLevel="0" collapsed="false">
      <c r="A275" s="2193" t="str">
        <f aca="false">'Прайс лист'!B597</f>
        <v>ГПН 282х35-1,2</v>
      </c>
      <c r="B275" s="2193" t="s">
        <v>156</v>
      </c>
      <c r="C275" s="2193" t="n">
        <f aca="false">C256</f>
        <v>0</v>
      </c>
      <c r="D275" s="2193" t="n">
        <f aca="false">(дома!$D$16+дома!$D$16+дома!$D$17+дома!$D$17)*перекрытие!C275</f>
        <v>0</v>
      </c>
      <c r="E275" s="2193" t="n">
        <f aca="false">'Прайс лист'!G597</f>
        <v>275</v>
      </c>
      <c r="F275" s="2193" t="n">
        <f aca="false">D275*E275</f>
        <v>0</v>
      </c>
    </row>
    <row r="276" s="2193" customFormat="true" ht="15.5" hidden="false" customHeight="false" outlineLevel="0" collapsed="false">
      <c r="A276" s="2193" t="str">
        <f aca="false">'Прайс лист'!B882</f>
        <v>Саморез 5,5 х 25</v>
      </c>
      <c r="C276" s="2193" t="n">
        <f aca="false">SUM(C257:C275)</f>
        <v>0</v>
      </c>
      <c r="D276" s="2193" t="n">
        <f aca="false">CEILING(дома!$F$1086*C276*7,1)</f>
        <v>0</v>
      </c>
      <c r="E276" s="2193" t="n">
        <f aca="false">'Прайс лист'!F882</f>
        <v>2.5</v>
      </c>
      <c r="F276" s="2193" t="n">
        <f aca="false">D276*E276</f>
        <v>0</v>
      </c>
    </row>
    <row r="277" s="2193" customFormat="true" ht="15.5" hidden="false" customHeight="false" outlineLevel="0" collapsed="false"/>
    <row r="278" s="2193" customFormat="true" ht="15.5" hidden="false" customHeight="false" outlineLevel="0" collapsed="false"/>
    <row r="279" s="2193" customFormat="true" ht="15.5" hidden="false" customHeight="false" outlineLevel="0" collapsed="false"/>
    <row r="280" customFormat="false" ht="15.5" hidden="false" customHeight="false" outlineLevel="0" collapsed="false">
      <c r="A280" s="2193" t="str">
        <f aca="false">A238</f>
        <v>ГПС 100х50-1,2</v>
      </c>
      <c r="B280" s="2193" t="str">
        <f aca="false">B238</f>
        <v>м.п.</v>
      </c>
      <c r="C280" s="2193" t="n">
        <f aca="false">IF('Ввод данных'!$A$43=перекрытие!A280,1,0)</f>
        <v>0</v>
      </c>
      <c r="D280" s="2193" t="n">
        <f aca="false">1/'Ввод данных'!$C$43*дома!$F$1087*перекрытие!C280</f>
        <v>0</v>
      </c>
      <c r="E280" s="2193" t="n">
        <f aca="false">E238</f>
        <v>163</v>
      </c>
      <c r="F280" s="2193" t="n">
        <f aca="false">D280*E280</f>
        <v>0</v>
      </c>
    </row>
    <row r="281" customFormat="false" ht="15.5" hidden="false" customHeight="false" outlineLevel="0" collapsed="false">
      <c r="A281" s="2193" t="str">
        <f aca="false">A239</f>
        <v>ГПС 100х50-1,5</v>
      </c>
      <c r="B281" s="2193" t="str">
        <f aca="false">B239</f>
        <v>м.п.</v>
      </c>
      <c r="C281" s="2193" t="n">
        <f aca="false">IF('Ввод данных'!$A$43=перекрытие!A281,1,0)</f>
        <v>0</v>
      </c>
      <c r="D281" s="2193" t="n">
        <f aca="false">1/'Ввод данных'!$C$43*дома!$F$1087*перекрытие!C281</f>
        <v>0</v>
      </c>
      <c r="E281" s="2193" t="n">
        <f aca="false">E239</f>
        <v>204</v>
      </c>
      <c r="F281" s="2193" t="n">
        <f aca="false">D281*E281</f>
        <v>0</v>
      </c>
    </row>
    <row r="282" customFormat="false" ht="15.5" hidden="false" customHeight="false" outlineLevel="0" collapsed="false">
      <c r="A282" s="2193" t="str">
        <f aca="false">A240</f>
        <v>ГПС 120х50-1,5</v>
      </c>
      <c r="B282" s="2193" t="str">
        <f aca="false">B240</f>
        <v>м.п.</v>
      </c>
      <c r="C282" s="2193" t="n">
        <f aca="false">IF('Ввод данных'!$A$43=перекрытие!A282,1,0)</f>
        <v>0</v>
      </c>
      <c r="D282" s="2193" t="n">
        <f aca="false">1/'Ввод данных'!$C$43*дома!$F$1087*перекрытие!C282</f>
        <v>0</v>
      </c>
      <c r="E282" s="2193" t="n">
        <f aca="false">E240</f>
        <v>272</v>
      </c>
      <c r="F282" s="2193" t="n">
        <f aca="false">D282*E282</f>
        <v>0</v>
      </c>
    </row>
    <row r="283" customFormat="false" ht="15.5" hidden="false" customHeight="false" outlineLevel="0" collapsed="false">
      <c r="A283" s="2193" t="str">
        <f aca="false">A241</f>
        <v>ГПС 120х50-2,0</v>
      </c>
      <c r="B283" s="2193" t="str">
        <f aca="false">B241</f>
        <v>м.п.</v>
      </c>
      <c r="C283" s="2193" t="n">
        <f aca="false">IF('Ввод данных'!$A$43=перекрытие!A283,1,0)</f>
        <v>0</v>
      </c>
      <c r="D283" s="2193" t="n">
        <f aca="false">1/'Ввод данных'!$C$43*дома!$F$1087*перекрытие!C283</f>
        <v>0</v>
      </c>
      <c r="E283" s="2193" t="n">
        <f aca="false">E241</f>
        <v>179</v>
      </c>
      <c r="F283" s="2193" t="n">
        <f aca="false">D283*E283</f>
        <v>0</v>
      </c>
    </row>
    <row r="284" customFormat="false" ht="15.5" hidden="false" customHeight="false" outlineLevel="0" collapsed="false">
      <c r="A284" s="2193" t="str">
        <f aca="false">A242</f>
        <v>ГПС 150х50-1,2</v>
      </c>
      <c r="B284" s="2193" t="str">
        <f aca="false">B242</f>
        <v>м.п.</v>
      </c>
      <c r="C284" s="2193" t="n">
        <f aca="false">IF('Ввод данных'!$A$43=перекрытие!A284,1,0)</f>
        <v>0</v>
      </c>
      <c r="D284" s="2193" t="n">
        <f aca="false">1/'Ввод данных'!$C$43*дома!$F$1087*перекрытие!C284</f>
        <v>0</v>
      </c>
      <c r="E284" s="2193" t="n">
        <f aca="false">E242</f>
        <v>224</v>
      </c>
      <c r="F284" s="2193" t="n">
        <f aca="false">D284*E284</f>
        <v>0</v>
      </c>
    </row>
    <row r="285" customFormat="false" ht="15.5" hidden="false" customHeight="false" outlineLevel="0" collapsed="false">
      <c r="A285" s="2193" t="str">
        <f aca="false">A243</f>
        <v>ГПС 150х50-1,5</v>
      </c>
      <c r="B285" s="2193" t="str">
        <f aca="false">B243</f>
        <v>м.п.</v>
      </c>
      <c r="C285" s="2193" t="n">
        <f aca="false">IF('Ввод данных'!$A$43=перекрытие!A285,1,0)</f>
        <v>0</v>
      </c>
      <c r="D285" s="2193" t="n">
        <f aca="false">1/'Ввод данных'!$C$43*дома!$F$1087*перекрытие!C285</f>
        <v>0</v>
      </c>
      <c r="E285" s="2193" t="n">
        <f aca="false">E243</f>
        <v>299</v>
      </c>
      <c r="F285" s="2193" t="n">
        <f aca="false">D285*E285</f>
        <v>0</v>
      </c>
    </row>
    <row r="286" customFormat="false" ht="15.5" hidden="false" customHeight="false" outlineLevel="0" collapsed="false">
      <c r="A286" s="2193" t="str">
        <f aca="false">A244</f>
        <v>ГПС 150х50-2,0</v>
      </c>
      <c r="B286" s="2193" t="str">
        <f aca="false">B244</f>
        <v>м.п.</v>
      </c>
      <c r="C286" s="2193" t="n">
        <f aca="false">IF('Ввод данных'!$A$43=перекрытие!A286,1,0)</f>
        <v>0</v>
      </c>
      <c r="D286" s="2193" t="n">
        <f aca="false">1/'Ввод данных'!$C$43*дома!$F$1087*перекрытие!C286</f>
        <v>0</v>
      </c>
      <c r="E286" s="2193" t="n">
        <f aca="false">E244</f>
        <v>201</v>
      </c>
      <c r="F286" s="2193" t="n">
        <f aca="false">D286*E286</f>
        <v>0</v>
      </c>
      <c r="H286" s="2193" t="n">
        <v>7.5</v>
      </c>
      <c r="I286" s="2193" t="n">
        <v>7.2</v>
      </c>
      <c r="J286" s="2193" t="n">
        <f aca="false">H286*I286</f>
        <v>54</v>
      </c>
      <c r="K286" s="2193" t="n">
        <v>60</v>
      </c>
    </row>
    <row r="287" customFormat="false" ht="15.5" hidden="false" customHeight="false" outlineLevel="0" collapsed="false">
      <c r="A287" s="2193" t="str">
        <f aca="false">A245</f>
        <v>ГПС 170х50-1,2</v>
      </c>
      <c r="B287" s="2193" t="str">
        <f aca="false">B245</f>
        <v>м.п.</v>
      </c>
      <c r="C287" s="2193" t="n">
        <f aca="false">IF('Ввод данных'!$A$43=перекрытие!A287,1,0)</f>
        <v>0</v>
      </c>
      <c r="D287" s="2193" t="n">
        <f aca="false">1/'Ввод данных'!$C$43*дома!$F$1087*перекрытие!C287</f>
        <v>0</v>
      </c>
      <c r="E287" s="2193" t="n">
        <f aca="false">E245</f>
        <v>252</v>
      </c>
      <c r="F287" s="2193" t="n">
        <f aca="false">D287*E287</f>
        <v>0</v>
      </c>
      <c r="I287" s="2193" t="n">
        <v>132</v>
      </c>
      <c r="J287" s="2193" t="n">
        <f aca="false">I287/J286</f>
        <v>2.44444444444444</v>
      </c>
    </row>
    <row r="288" customFormat="false" ht="15.5" hidden="false" customHeight="false" outlineLevel="0" collapsed="false">
      <c r="A288" s="2193" t="str">
        <f aca="false">A246</f>
        <v>ГПС 170х50-1,5</v>
      </c>
      <c r="B288" s="2193" t="str">
        <f aca="false">B246</f>
        <v>м.п.</v>
      </c>
      <c r="C288" s="2193" t="n">
        <f aca="false">IF('Ввод данных'!$A$43=перекрытие!A288,1,0)</f>
        <v>0</v>
      </c>
      <c r="D288" s="2193" t="n">
        <f aca="false">1/'Ввод данных'!$C$43*дома!$F$1087*перекрытие!C288</f>
        <v>0</v>
      </c>
      <c r="E288" s="2193" t="n">
        <f aca="false">E246</f>
        <v>330</v>
      </c>
      <c r="F288" s="2193" t="n">
        <f aca="false">D288*E288</f>
        <v>0</v>
      </c>
    </row>
    <row r="289" customFormat="false" ht="15.5" hidden="false" customHeight="false" outlineLevel="0" collapsed="false">
      <c r="A289" s="2193" t="str">
        <f aca="false">A247</f>
        <v>ГПС 170х50-2,0</v>
      </c>
      <c r="B289" s="2193" t="str">
        <f aca="false">B247</f>
        <v>м.п.</v>
      </c>
      <c r="C289" s="2193" t="n">
        <f aca="false">IF('Ввод данных'!$A$43=перекрытие!A289,1,0)</f>
        <v>0</v>
      </c>
      <c r="D289" s="2193" t="n">
        <f aca="false">1/'Ввод данных'!$C$43*дома!$F$1087*перекрытие!C289</f>
        <v>0</v>
      </c>
      <c r="E289" s="2193" t="n">
        <f aca="false">E247</f>
        <v>215</v>
      </c>
      <c r="F289" s="2193" t="n">
        <f aca="false">D289*E289</f>
        <v>0</v>
      </c>
      <c r="H289" s="2193" t="n">
        <v>7.5</v>
      </c>
      <c r="I289" s="2193" t="n">
        <v>4.8</v>
      </c>
      <c r="J289" s="2193" t="n">
        <f aca="false">H289*I289</f>
        <v>36</v>
      </c>
      <c r="K289" s="2193" t="n">
        <v>40</v>
      </c>
    </row>
    <row r="290" customFormat="false" ht="15.5" hidden="false" customHeight="false" outlineLevel="0" collapsed="false">
      <c r="A290" s="2193" t="str">
        <f aca="false">A248</f>
        <v>ГПС 200х50-1,2</v>
      </c>
      <c r="B290" s="2193" t="str">
        <f aca="false">B248</f>
        <v>м.п.</v>
      </c>
      <c r="C290" s="2193" t="n">
        <f aca="false">IF('Ввод данных'!$A$43=перекрытие!A290,1,0)</f>
        <v>0</v>
      </c>
      <c r="D290" s="2193" t="n">
        <f aca="false">1/'Ввод данных'!$C$43*дома!$F$1087*перекрытие!C290</f>
        <v>0</v>
      </c>
      <c r="E290" s="2193" t="n">
        <f aca="false">E248</f>
        <v>269</v>
      </c>
      <c r="F290" s="2193" t="n">
        <f aca="false">D290*E290</f>
        <v>0</v>
      </c>
      <c r="I290" s="2193" t="n">
        <v>132</v>
      </c>
      <c r="J290" s="2193" t="n">
        <f aca="false">I290/J289</f>
        <v>3.66666666666667</v>
      </c>
    </row>
    <row r="291" customFormat="false" ht="15.5" hidden="false" customHeight="false" outlineLevel="0" collapsed="false">
      <c r="A291" s="2193" t="str">
        <f aca="false">A249</f>
        <v>ГПС 200х50-1,5</v>
      </c>
      <c r="B291" s="2193" t="str">
        <f aca="false">B249</f>
        <v>м.п.</v>
      </c>
      <c r="C291" s="2193" t="n">
        <f aca="false">IF('Ввод данных'!$A$43=перекрытие!A291,1,0)</f>
        <v>0</v>
      </c>
      <c r="D291" s="2193" t="n">
        <f aca="false">1/'Ввод данных'!$C$43*дома!$F$1087*перекрытие!C291</f>
        <v>0</v>
      </c>
      <c r="E291" s="2193" t="n">
        <f aca="false">E249</f>
        <v>358</v>
      </c>
      <c r="F291" s="2193" t="n">
        <f aca="false">D291*E291</f>
        <v>0</v>
      </c>
    </row>
    <row r="292" customFormat="false" ht="15.5" hidden="false" customHeight="false" outlineLevel="0" collapsed="false">
      <c r="A292" s="2193" t="str">
        <f aca="false">A250</f>
        <v>ГПС 200х50-2,0</v>
      </c>
      <c r="B292" s="2193" t="str">
        <f aca="false">B250</f>
        <v>м.п.</v>
      </c>
      <c r="C292" s="2193" t="n">
        <f aca="false">IF('Ввод данных'!$A$43=перекрытие!A292,1,0)</f>
        <v>0</v>
      </c>
      <c r="D292" s="2193" t="n">
        <f aca="false">1/'Ввод данных'!$C$43*дома!$F$1087*перекрытие!C292</f>
        <v>0</v>
      </c>
      <c r="E292" s="2193" t="n">
        <f aca="false">E250</f>
        <v>239</v>
      </c>
      <c r="F292" s="2193" t="n">
        <f aca="false">D292*E292</f>
        <v>0</v>
      </c>
    </row>
    <row r="293" customFormat="false" ht="15.5" hidden="false" customHeight="false" outlineLevel="0" collapsed="false">
      <c r="A293" s="2193" t="str">
        <f aca="false">A251</f>
        <v>ГПС 250х50-1,2</v>
      </c>
      <c r="B293" s="2193" t="str">
        <f aca="false">B251</f>
        <v>м.п.</v>
      </c>
      <c r="C293" s="2193" t="n">
        <f aca="false">IF('Ввод данных'!$A$43=перекрытие!A293,1,0)</f>
        <v>0</v>
      </c>
      <c r="D293" s="2193" t="n">
        <f aca="false">1/'Ввод данных'!$C$43*дома!$F$1087*перекрытие!C293</f>
        <v>0</v>
      </c>
      <c r="E293" s="2193" t="n">
        <f aca="false">E251</f>
        <v>299</v>
      </c>
      <c r="F293" s="2193" t="n">
        <f aca="false">D293*E293</f>
        <v>0</v>
      </c>
      <c r="H293" s="2193" t="n">
        <v>30</v>
      </c>
      <c r="I293" s="2193" t="n">
        <v>2.9</v>
      </c>
    </row>
    <row r="294" customFormat="false" ht="15.5" hidden="false" customHeight="false" outlineLevel="0" collapsed="false">
      <c r="A294" s="2193" t="str">
        <f aca="false">A252</f>
        <v>ГПС 250х50-1,5</v>
      </c>
      <c r="B294" s="2193" t="str">
        <f aca="false">B252</f>
        <v>м.п.</v>
      </c>
      <c r="C294" s="2193" t="n">
        <f aca="false">IF('Ввод данных'!$A$43=перекрытие!A294,1,0)</f>
        <v>0</v>
      </c>
      <c r="D294" s="2193" t="n">
        <f aca="false">1/'Ввод данных'!$C$43*дома!$F$1087*перекрытие!C294</f>
        <v>0</v>
      </c>
      <c r="E294" s="2193" t="n">
        <f aca="false">E252</f>
        <v>397</v>
      </c>
      <c r="F294" s="2193" t="n">
        <f aca="false">D294*E294</f>
        <v>0</v>
      </c>
      <c r="H294" s="2193" t="n">
        <v>40</v>
      </c>
      <c r="I294" s="2193" t="n">
        <v>3.67</v>
      </c>
      <c r="J294" s="2193" t="n">
        <f aca="false">I294+I296</f>
        <v>6.11</v>
      </c>
      <c r="K294" s="2193" t="n">
        <f aca="false">J294/2</f>
        <v>3.055</v>
      </c>
    </row>
    <row r="295" customFormat="false" ht="15.5" hidden="false" customHeight="false" outlineLevel="0" collapsed="false">
      <c r="A295" s="2193" t="str">
        <f aca="false">A253</f>
        <v>ГПС 250х50-2,0</v>
      </c>
      <c r="B295" s="2193" t="str">
        <f aca="false">B253</f>
        <v>м.п.</v>
      </c>
      <c r="C295" s="2193" t="n">
        <f aca="false">IF('Ввод данных'!$A$43=перекрытие!A295,1,0)</f>
        <v>0</v>
      </c>
      <c r="D295" s="2193" t="n">
        <f aca="false">1/'Ввод данных'!$C$43*дома!$F$1087*перекрытие!C295</f>
        <v>0</v>
      </c>
      <c r="E295" s="2193" t="n">
        <f aca="false">E253</f>
        <v>274</v>
      </c>
      <c r="F295" s="2193" t="n">
        <f aca="false">D295*E295</f>
        <v>0</v>
      </c>
      <c r="H295" s="2193" t="n">
        <v>50</v>
      </c>
      <c r="I295" s="2193" t="n">
        <v>3.25</v>
      </c>
    </row>
    <row r="296" customFormat="false" ht="15.5" hidden="false" customHeight="false" outlineLevel="0" collapsed="false">
      <c r="A296" s="2193" t="str">
        <f aca="false">A254</f>
        <v>ГПС 280х50-1,2</v>
      </c>
      <c r="B296" s="2193" t="str">
        <f aca="false">B254</f>
        <v>м.п.</v>
      </c>
      <c r="C296" s="2193" t="n">
        <f aca="false">IF('Ввод данных'!$A$43=перекрытие!A296,1,0)</f>
        <v>0</v>
      </c>
      <c r="D296" s="2193" t="n">
        <f aca="false">1/'Ввод данных'!$C$43*дома!$F$1087*перекрытие!C296</f>
        <v>0</v>
      </c>
      <c r="E296" s="2193" t="n">
        <f aca="false">E254</f>
        <v>344</v>
      </c>
      <c r="F296" s="2193" t="n">
        <f aca="false">D296*E296</f>
        <v>0</v>
      </c>
      <c r="H296" s="2193" t="n">
        <v>60</v>
      </c>
      <c r="I296" s="2193" t="n">
        <v>2.44</v>
      </c>
    </row>
    <row r="297" customFormat="false" ht="15.5" hidden="false" customHeight="false" outlineLevel="0" collapsed="false">
      <c r="A297" s="2193" t="str">
        <f aca="false">A255</f>
        <v>ГПС 280х50-1,5</v>
      </c>
      <c r="B297" s="2193" t="str">
        <f aca="false">B255</f>
        <v>м.п.</v>
      </c>
      <c r="C297" s="2193" t="n">
        <f aca="false">IF('Ввод данных'!$A$43=перекрытие!A297,1,0)</f>
        <v>0</v>
      </c>
      <c r="D297" s="2193" t="n">
        <f aca="false">1/'Ввод данных'!$C$43*дома!$F$1087*перекрытие!C297</f>
        <v>0</v>
      </c>
      <c r="E297" s="2193" t="n">
        <f aca="false">E255</f>
        <v>450</v>
      </c>
      <c r="F297" s="2193" t="n">
        <f aca="false">D297*E297</f>
        <v>0</v>
      </c>
      <c r="H297" s="2193" t="n">
        <v>70</v>
      </c>
      <c r="I297" s="2193" t="n">
        <v>2</v>
      </c>
    </row>
    <row r="298" customFormat="false" ht="15.5" hidden="false" customHeight="false" outlineLevel="0" collapsed="false">
      <c r="A298" s="2193" t="str">
        <f aca="false">A256</f>
        <v>ГПС 280х50-2,0</v>
      </c>
      <c r="B298" s="2193" t="str">
        <f aca="false">B256</f>
        <v>м.п.</v>
      </c>
      <c r="C298" s="2193" t="n">
        <f aca="false">IF('Ввод данных'!$A$43=перекрытие!A298,1,0)</f>
        <v>0</v>
      </c>
      <c r="D298" s="2193" t="n">
        <f aca="false">1/'Ввод данных'!$C$43*дома!$F$1087*перекрытие!C298</f>
        <v>0</v>
      </c>
      <c r="E298" s="2193" t="n">
        <f aca="false">E256</f>
        <v>293</v>
      </c>
      <c r="F298" s="2193" t="n">
        <f aca="false">D298*E298</f>
        <v>0</v>
      </c>
      <c r="H298" s="2193" t="n">
        <v>80</v>
      </c>
      <c r="I298" s="2193" t="n">
        <v>1.6</v>
      </c>
    </row>
    <row r="299" customFormat="false" ht="15.5" hidden="false" customHeight="false" outlineLevel="0" collapsed="false">
      <c r="A299" s="2193" t="str">
        <f aca="false">A257</f>
        <v>ГПН 102х35-1,2</v>
      </c>
      <c r="B299" s="2193" t="str">
        <f aca="false">B257</f>
        <v>м.п.</v>
      </c>
      <c r="C299" s="2193" t="n">
        <f aca="false">C280</f>
        <v>0</v>
      </c>
      <c r="D299" s="2193" t="n">
        <f aca="false">(дома!$D$16+дома!$D$16+дома!$D$17+дома!$D$17)*перекрытие!C299</f>
        <v>0</v>
      </c>
      <c r="E299" s="2193" t="n">
        <f aca="false">E257</f>
        <v>127</v>
      </c>
      <c r="F299" s="2193" t="n">
        <f aca="false">D299*E299</f>
        <v>0</v>
      </c>
    </row>
    <row r="300" customFormat="false" ht="15.5" hidden="false" customHeight="false" outlineLevel="0" collapsed="false">
      <c r="A300" s="2193" t="str">
        <f aca="false">A258</f>
        <v>ГПН 102х35-1,5</v>
      </c>
      <c r="B300" s="2193" t="str">
        <f aca="false">B258</f>
        <v>м.п.</v>
      </c>
      <c r="C300" s="2193" t="n">
        <f aca="false">C281</f>
        <v>0</v>
      </c>
      <c r="D300" s="2193" t="n">
        <f aca="false">(дома!$D$16+дома!$D$16+дома!$D$17+дома!$D$17)*перекрытие!C300</f>
        <v>0</v>
      </c>
      <c r="E300" s="2193" t="n">
        <f aca="false">E258</f>
        <v>158</v>
      </c>
      <c r="F300" s="2193" t="n">
        <f aca="false">D300*E300</f>
        <v>0</v>
      </c>
    </row>
    <row r="301" customFormat="false" ht="15.5" hidden="false" customHeight="false" outlineLevel="0" collapsed="false">
      <c r="A301" s="2193" t="str">
        <f aca="false">A259</f>
        <v>ГПН 102х35-2,0</v>
      </c>
      <c r="B301" s="2193" t="str">
        <f aca="false">B259</f>
        <v>м.п.</v>
      </c>
      <c r="C301" s="2193" t="n">
        <f aca="false">C282</f>
        <v>0</v>
      </c>
      <c r="D301" s="2193" t="n">
        <f aca="false">(дома!$D$16+дома!$D$16+дома!$D$17+дома!$D$17)*перекрытие!C301</f>
        <v>0</v>
      </c>
      <c r="E301" s="2193" t="n">
        <f aca="false">E259</f>
        <v>199</v>
      </c>
      <c r="F301" s="2193" t="n">
        <f aca="false">D301*E301</f>
        <v>0</v>
      </c>
    </row>
    <row r="302" customFormat="false" ht="15.5" hidden="false" customHeight="false" outlineLevel="0" collapsed="false">
      <c r="A302" s="2193" t="str">
        <f aca="false">A260</f>
        <v>ГПН 122х35-1,2</v>
      </c>
      <c r="B302" s="2193" t="str">
        <f aca="false">B260</f>
        <v>м.п.</v>
      </c>
      <c r="C302" s="2193" t="n">
        <f aca="false">C283</f>
        <v>0</v>
      </c>
      <c r="D302" s="2193" t="n">
        <f aca="false">(дома!$D$16+дома!$D$16+дома!$D$17+дома!$D$17)*перекрытие!C302</f>
        <v>0</v>
      </c>
      <c r="E302" s="2193" t="n">
        <f aca="false">E260</f>
        <v>131</v>
      </c>
      <c r="F302" s="2193" t="n">
        <f aca="false">D302*E302</f>
        <v>0</v>
      </c>
    </row>
    <row r="303" customFormat="false" ht="15.5" hidden="false" customHeight="false" outlineLevel="0" collapsed="false">
      <c r="A303" s="2193" t="str">
        <f aca="false">A261</f>
        <v>ГПН 122х35-1,5</v>
      </c>
      <c r="B303" s="2193" t="str">
        <f aca="false">B261</f>
        <v>м.п.</v>
      </c>
      <c r="C303" s="2193" t="n">
        <f aca="false">C284</f>
        <v>0</v>
      </c>
      <c r="D303" s="2193" t="n">
        <f aca="false">(дома!$D$16+дома!$D$16+дома!$D$17+дома!$D$17)*перекрытие!C303</f>
        <v>0</v>
      </c>
      <c r="E303" s="2193" t="n">
        <f aca="false">E261</f>
        <v>163</v>
      </c>
      <c r="F303" s="2193" t="n">
        <f aca="false">D303*E303</f>
        <v>0</v>
      </c>
    </row>
    <row r="304" customFormat="false" ht="15.5" hidden="false" customHeight="false" outlineLevel="0" collapsed="false">
      <c r="A304" s="2193" t="str">
        <f aca="false">A262</f>
        <v>ГПН 122х35-2,0</v>
      </c>
      <c r="B304" s="2193" t="str">
        <f aca="false">B262</f>
        <v>м.п.</v>
      </c>
      <c r="C304" s="2193" t="n">
        <f aca="false">C285</f>
        <v>0</v>
      </c>
      <c r="D304" s="2193" t="n">
        <f aca="false">(дома!$D$16+дома!$D$16+дома!$D$17+дома!$D$17)*перекрытие!C304</f>
        <v>0</v>
      </c>
      <c r="E304" s="2193" t="n">
        <f aca="false">E262</f>
        <v>216</v>
      </c>
      <c r="F304" s="2193" t="n">
        <f aca="false">D304*E304</f>
        <v>0</v>
      </c>
    </row>
    <row r="305" customFormat="false" ht="15.5" hidden="false" customHeight="false" outlineLevel="0" collapsed="false">
      <c r="A305" s="2193" t="str">
        <f aca="false">A263</f>
        <v>ГПН 152х35-1,2</v>
      </c>
      <c r="B305" s="2193" t="str">
        <f aca="false">B263</f>
        <v>м.п.</v>
      </c>
      <c r="C305" s="2193" t="n">
        <f aca="false">C286</f>
        <v>0</v>
      </c>
      <c r="D305" s="2193" t="n">
        <f aca="false">(дома!$D$16+дома!$D$16+дома!$D$17+дома!$D$17)*перекрытие!C305</f>
        <v>0</v>
      </c>
      <c r="E305" s="2193" t="n">
        <f aca="false">E263</f>
        <v>163</v>
      </c>
      <c r="F305" s="2193" t="n">
        <f aca="false">D305*E305</f>
        <v>0</v>
      </c>
    </row>
    <row r="306" customFormat="false" ht="15.5" hidden="false" customHeight="false" outlineLevel="0" collapsed="false">
      <c r="A306" s="2193" t="str">
        <f aca="false">A264</f>
        <v>ГПН 152х35-1,5</v>
      </c>
      <c r="B306" s="2193" t="str">
        <f aca="false">B264</f>
        <v>м.п.</v>
      </c>
      <c r="C306" s="2193" t="n">
        <f aca="false">C287</f>
        <v>0</v>
      </c>
      <c r="D306" s="2193" t="n">
        <f aca="false">(дома!$D$16+дома!$D$16+дома!$D$17+дома!$D$17)*перекрытие!C306</f>
        <v>0</v>
      </c>
      <c r="E306" s="2193" t="n">
        <f aca="false">E264</f>
        <v>203</v>
      </c>
      <c r="F306" s="2193" t="n">
        <f aca="false">D306*E306</f>
        <v>0</v>
      </c>
    </row>
    <row r="307" customFormat="false" ht="15.5" hidden="false" customHeight="false" outlineLevel="0" collapsed="false">
      <c r="A307" s="2193" t="str">
        <f aca="false">A265</f>
        <v>ГПН 152х35-2,0</v>
      </c>
      <c r="B307" s="2193" t="str">
        <f aca="false">B265</f>
        <v>м.п.</v>
      </c>
      <c r="C307" s="2193" t="n">
        <f aca="false">C288</f>
        <v>0</v>
      </c>
      <c r="D307" s="2193" t="n">
        <f aca="false">(дома!$D$16+дома!$D$16+дома!$D$17+дома!$D$17)*перекрытие!C307</f>
        <v>0</v>
      </c>
      <c r="E307" s="2193" t="n">
        <f aca="false">E265</f>
        <v>259</v>
      </c>
      <c r="F307" s="2193" t="n">
        <f aca="false">D307*E307</f>
        <v>0</v>
      </c>
    </row>
    <row r="308" customFormat="false" ht="15.5" hidden="false" customHeight="false" outlineLevel="0" collapsed="false">
      <c r="A308" s="2193" t="str">
        <f aca="false">A266</f>
        <v>ГПН 172х35-1,2</v>
      </c>
      <c r="B308" s="2193" t="str">
        <f aca="false">B266</f>
        <v>м.п.</v>
      </c>
      <c r="C308" s="2193" t="n">
        <f aca="false">C289</f>
        <v>0</v>
      </c>
      <c r="D308" s="2193" t="n">
        <f aca="false">(дома!$D$16+дома!$D$16+дома!$D$17+дома!$D$17)*перекрытие!C308</f>
        <v>0</v>
      </c>
      <c r="E308" s="2193" t="n">
        <f aca="false">E266</f>
        <v>166</v>
      </c>
      <c r="F308" s="2193" t="n">
        <f aca="false">D308*E308</f>
        <v>0</v>
      </c>
    </row>
    <row r="309" customFormat="false" ht="15.5" hidden="false" customHeight="false" outlineLevel="0" collapsed="false">
      <c r="A309" s="2193" t="str">
        <f aca="false">A267</f>
        <v>ГПН 172х35-1,5</v>
      </c>
      <c r="B309" s="2193" t="str">
        <f aca="false">B267</f>
        <v>м.п.</v>
      </c>
      <c r="C309" s="2193" t="n">
        <f aca="false">C290</f>
        <v>0</v>
      </c>
      <c r="D309" s="2193" t="n">
        <f aca="false">(дома!$D$16+дома!$D$16+дома!$D$17+дома!$D$17)*перекрытие!C309</f>
        <v>0</v>
      </c>
      <c r="E309" s="2193" t="n">
        <f aca="false">E267</f>
        <v>207</v>
      </c>
      <c r="F309" s="2193" t="n">
        <f aca="false">D309*E309</f>
        <v>0</v>
      </c>
    </row>
    <row r="310" customFormat="false" ht="15.5" hidden="false" customHeight="false" outlineLevel="0" collapsed="false">
      <c r="A310" s="2193" t="str">
        <f aca="false">A268</f>
        <v>ГПН 172х35-2,0</v>
      </c>
      <c r="B310" s="2193" t="str">
        <f aca="false">B268</f>
        <v>м.п.</v>
      </c>
      <c r="C310" s="2193" t="n">
        <f aca="false">C291</f>
        <v>0</v>
      </c>
      <c r="D310" s="2193" t="n">
        <f aca="false">(дома!$D$16+дома!$D$16+дома!$D$17+дома!$D$17)*перекрытие!C310</f>
        <v>0</v>
      </c>
      <c r="E310" s="2193" t="n">
        <f aca="false">E268</f>
        <v>274</v>
      </c>
      <c r="F310" s="2193" t="n">
        <f aca="false">D310*E310</f>
        <v>0</v>
      </c>
    </row>
    <row r="311" customFormat="false" ht="15.5" hidden="false" customHeight="false" outlineLevel="0" collapsed="false">
      <c r="A311" s="2193" t="str">
        <f aca="false">A269</f>
        <v>ГПН 202х35-1,2</v>
      </c>
      <c r="B311" s="2193" t="str">
        <f aca="false">B269</f>
        <v>м.п.</v>
      </c>
      <c r="C311" s="2193" t="n">
        <f aca="false">C292</f>
        <v>0</v>
      </c>
      <c r="D311" s="2193" t="n">
        <f aca="false">(дома!$D$16+дома!$D$16+дома!$D$17+дома!$D$17)*перекрытие!C311</f>
        <v>0</v>
      </c>
      <c r="E311" s="2193" t="n">
        <f aca="false">E269</f>
        <v>201</v>
      </c>
      <c r="F311" s="2193" t="n">
        <f aca="false">D311*E311</f>
        <v>0</v>
      </c>
    </row>
    <row r="312" customFormat="false" ht="15.5" hidden="false" customHeight="false" outlineLevel="0" collapsed="false">
      <c r="A312" s="2193" t="str">
        <f aca="false">A270</f>
        <v>ГПН 202х35-1,5</v>
      </c>
      <c r="B312" s="2193" t="str">
        <f aca="false">B270</f>
        <v>м.п.</v>
      </c>
      <c r="C312" s="2193" t="n">
        <f aca="false">C293</f>
        <v>0</v>
      </c>
      <c r="D312" s="2193" t="n">
        <f aca="false">(дома!$D$16+дома!$D$16+дома!$D$17+дома!$D$17)*перекрытие!C312</f>
        <v>0</v>
      </c>
      <c r="E312" s="2193" t="n">
        <f aca="false">E270</f>
        <v>252</v>
      </c>
      <c r="F312" s="2193" t="n">
        <f aca="false">D312*E312</f>
        <v>0</v>
      </c>
    </row>
    <row r="313" customFormat="false" ht="15.5" hidden="false" customHeight="false" outlineLevel="0" collapsed="false">
      <c r="A313" s="2193" t="str">
        <f aca="false">A271</f>
        <v>ГПН 202х35-2,0</v>
      </c>
      <c r="B313" s="2193" t="str">
        <f aca="false">B271</f>
        <v>м.п.</v>
      </c>
      <c r="C313" s="2193" t="n">
        <f aca="false">C294</f>
        <v>0</v>
      </c>
      <c r="D313" s="2193" t="n">
        <f aca="false">(дома!$D$16+дома!$D$16+дома!$D$17+дома!$D$17)*перекрытие!C313</f>
        <v>0</v>
      </c>
      <c r="E313" s="2193" t="n">
        <f aca="false">E271</f>
        <v>318</v>
      </c>
      <c r="F313" s="2193" t="n">
        <f aca="false">D313*E313</f>
        <v>0</v>
      </c>
    </row>
    <row r="314" customFormat="false" ht="15.5" hidden="false" customHeight="false" outlineLevel="0" collapsed="false">
      <c r="A314" s="2193" t="str">
        <f aca="false">A272</f>
        <v>ГПН 252х35-1,2</v>
      </c>
      <c r="B314" s="2193" t="str">
        <f aca="false">B272</f>
        <v>м.п.</v>
      </c>
      <c r="C314" s="2193" t="n">
        <f aca="false">C295</f>
        <v>0</v>
      </c>
      <c r="D314" s="2193" t="n">
        <f aca="false">(дома!$D$16+дома!$D$16+дома!$D$17+дома!$D$17)*перекрытие!C314</f>
        <v>0</v>
      </c>
      <c r="E314" s="2193" t="n">
        <f aca="false">E272</f>
        <v>226</v>
      </c>
      <c r="F314" s="2193" t="n">
        <f aca="false">D314*E314</f>
        <v>0</v>
      </c>
    </row>
    <row r="315" customFormat="false" ht="15.5" hidden="false" customHeight="false" outlineLevel="0" collapsed="false">
      <c r="A315" s="2193" t="str">
        <f aca="false">A273</f>
        <v>ГПН 252х35-1,5</v>
      </c>
      <c r="B315" s="2193" t="str">
        <f aca="false">B273</f>
        <v>м.п.</v>
      </c>
      <c r="C315" s="2193" t="n">
        <f aca="false">C296</f>
        <v>0</v>
      </c>
      <c r="D315" s="2193" t="n">
        <f aca="false">(дома!$D$16+дома!$D$16+дома!$D$17+дома!$D$17)*перекрытие!C315</f>
        <v>0</v>
      </c>
      <c r="E315" s="2193" t="n">
        <f aca="false">E273</f>
        <v>283</v>
      </c>
      <c r="F315" s="2193" t="n">
        <f aca="false">D315*E315</f>
        <v>0</v>
      </c>
    </row>
    <row r="316" customFormat="false" ht="15.5" hidden="false" customHeight="false" outlineLevel="0" collapsed="false">
      <c r="A316" s="2193" t="str">
        <f aca="false">A274</f>
        <v>ГПН 252х35-2,0</v>
      </c>
      <c r="B316" s="2193" t="str">
        <f aca="false">B274</f>
        <v>м.п.</v>
      </c>
      <c r="C316" s="2193" t="n">
        <f aca="false">C297</f>
        <v>0</v>
      </c>
      <c r="D316" s="2193" t="n">
        <f aca="false">(дома!$D$16+дома!$D$16+дома!$D$17+дома!$D$17)*перекрытие!C316</f>
        <v>0</v>
      </c>
      <c r="E316" s="2193" t="n">
        <f aca="false">E274</f>
        <v>378</v>
      </c>
      <c r="F316" s="2193" t="n">
        <f aca="false">D316*E316</f>
        <v>0</v>
      </c>
    </row>
    <row r="317" customFormat="false" ht="15.5" hidden="false" customHeight="false" outlineLevel="0" collapsed="false">
      <c r="A317" s="2193" t="str">
        <f aca="false">A275</f>
        <v>ГПН 282х35-1,2</v>
      </c>
      <c r="B317" s="2193" t="str">
        <f aca="false">B275</f>
        <v>м.п.</v>
      </c>
      <c r="C317" s="2193" t="n">
        <f aca="false">C298</f>
        <v>0</v>
      </c>
      <c r="D317" s="2193" t="n">
        <f aca="false">(дома!$D$16+дома!$D$16+дома!$D$17+дома!$D$17)*перекрытие!C317</f>
        <v>0</v>
      </c>
      <c r="E317" s="2193" t="n">
        <f aca="false">E275</f>
        <v>275</v>
      </c>
      <c r="F317" s="2193" t="n">
        <f aca="false">D317*E317</f>
        <v>0</v>
      </c>
    </row>
    <row r="318" s="2193" customFormat="true" ht="15.5" hidden="false" customHeight="false" outlineLevel="0" collapsed="false">
      <c r="A318" s="2193" t="str">
        <f aca="false">A276</f>
        <v>Саморез 5,5 х 25</v>
      </c>
      <c r="C318" s="2193" t="n">
        <f aca="false">SUM(C299:C317)</f>
        <v>0</v>
      </c>
      <c r="D318" s="2193" t="n">
        <f aca="false">дома!$F$1087*C318*9</f>
        <v>0</v>
      </c>
      <c r="E318" s="2193" t="n">
        <f aca="false">E276</f>
        <v>2.5</v>
      </c>
      <c r="F318" s="2193" t="n">
        <f aca="false">D318*E318</f>
        <v>0</v>
      </c>
    </row>
    <row r="319" s="2193" customFormat="true" ht="15.5" hidden="false" customHeight="false" outlineLevel="0" collapsed="false"/>
    <row r="320" s="2193" customFormat="true" ht="15.5" hidden="false" customHeight="false" outlineLevel="0" collapsed="false"/>
    <row r="321" s="2193" customFormat="true" ht="15.5" hidden="false" customHeight="false" outlineLevel="0" collapsed="false"/>
    <row r="322" customFormat="false" ht="15.5" hidden="false" customHeight="false" outlineLevel="0" collapsed="false">
      <c r="A322" s="2193" t="str">
        <f aca="false">A280</f>
        <v>ГПС 100х50-1,2</v>
      </c>
      <c r="B322" s="2193" t="str">
        <f aca="false">B280</f>
        <v>м.п.</v>
      </c>
      <c r="C322" s="2193" t="n">
        <f aca="false">IF('Ввод данных'!$A$51=перекрытие!A322,1,0)</f>
        <v>0</v>
      </c>
      <c r="D322" s="2193" t="n">
        <f aca="false">1/'Ввод данных'!$C$51*дома!$F$1090*перекрытие!C322</f>
        <v>0</v>
      </c>
      <c r="E322" s="2193" t="n">
        <f aca="false">E280</f>
        <v>163</v>
      </c>
      <c r="F322" s="2193" t="n">
        <f aca="false">D322*E322</f>
        <v>0</v>
      </c>
    </row>
    <row r="323" customFormat="false" ht="15.5" hidden="false" customHeight="false" outlineLevel="0" collapsed="false">
      <c r="A323" s="2193" t="str">
        <f aca="false">A281</f>
        <v>ГПС 100х50-1,5</v>
      </c>
      <c r="B323" s="2193" t="str">
        <f aca="false">B281</f>
        <v>м.п.</v>
      </c>
      <c r="C323" s="2193" t="n">
        <f aca="false">IF('Ввод данных'!$A$51=перекрытие!A323,1,0)</f>
        <v>0</v>
      </c>
      <c r="D323" s="2193" t="n">
        <f aca="false">1/'Ввод данных'!$C$51*дома!$F$1090*перекрытие!C323</f>
        <v>0</v>
      </c>
      <c r="E323" s="2193" t="n">
        <f aca="false">E281</f>
        <v>204</v>
      </c>
      <c r="F323" s="2193" t="n">
        <f aca="false">D323*E323</f>
        <v>0</v>
      </c>
    </row>
    <row r="324" customFormat="false" ht="15.5" hidden="false" customHeight="false" outlineLevel="0" collapsed="false">
      <c r="A324" s="2193" t="str">
        <f aca="false">A282</f>
        <v>ГПС 120х50-1,5</v>
      </c>
      <c r="B324" s="2193" t="str">
        <f aca="false">B282</f>
        <v>м.п.</v>
      </c>
      <c r="C324" s="2193" t="n">
        <f aca="false">IF('Ввод данных'!$A$51=перекрытие!A324,1,0)</f>
        <v>0</v>
      </c>
      <c r="D324" s="2193" t="n">
        <f aca="false">1/'Ввод данных'!$C$51*дома!$F$1090*перекрытие!C324</f>
        <v>0</v>
      </c>
      <c r="E324" s="2193" t="n">
        <f aca="false">E282</f>
        <v>272</v>
      </c>
      <c r="F324" s="2193" t="n">
        <f aca="false">D324*E324</f>
        <v>0</v>
      </c>
    </row>
    <row r="325" customFormat="false" ht="15.5" hidden="false" customHeight="false" outlineLevel="0" collapsed="false">
      <c r="A325" s="2193" t="str">
        <f aca="false">A283</f>
        <v>ГПС 120х50-2,0</v>
      </c>
      <c r="B325" s="2193" t="str">
        <f aca="false">B283</f>
        <v>м.п.</v>
      </c>
      <c r="C325" s="2193" t="n">
        <f aca="false">IF('Ввод данных'!$A$51=перекрытие!A325,1,0)</f>
        <v>0</v>
      </c>
      <c r="D325" s="2193" t="n">
        <f aca="false">1/'Ввод данных'!$C$51*дома!$F$1090*перекрытие!C325</f>
        <v>0</v>
      </c>
      <c r="E325" s="2193" t="n">
        <f aca="false">E283</f>
        <v>179</v>
      </c>
      <c r="F325" s="2193" t="n">
        <f aca="false">D325*E325</f>
        <v>0</v>
      </c>
    </row>
    <row r="326" customFormat="false" ht="15.5" hidden="false" customHeight="false" outlineLevel="0" collapsed="false">
      <c r="A326" s="2193" t="str">
        <f aca="false">A284</f>
        <v>ГПС 150х50-1,2</v>
      </c>
      <c r="B326" s="2193" t="str">
        <f aca="false">B284</f>
        <v>м.п.</v>
      </c>
      <c r="C326" s="2193" t="n">
        <f aca="false">IF('Ввод данных'!$A$51=перекрытие!A326,1,0)</f>
        <v>0</v>
      </c>
      <c r="D326" s="2193" t="n">
        <f aca="false">1/'Ввод данных'!$C$51*дома!$F$1090*перекрытие!C326</f>
        <v>0</v>
      </c>
      <c r="E326" s="2193" t="n">
        <f aca="false">E284</f>
        <v>224</v>
      </c>
      <c r="F326" s="2193" t="n">
        <f aca="false">D326*E326</f>
        <v>0</v>
      </c>
    </row>
    <row r="327" customFormat="false" ht="15.5" hidden="false" customHeight="false" outlineLevel="0" collapsed="false">
      <c r="A327" s="2193" t="str">
        <f aca="false">A285</f>
        <v>ГПС 150х50-1,5</v>
      </c>
      <c r="B327" s="2193" t="str">
        <f aca="false">B285</f>
        <v>м.п.</v>
      </c>
      <c r="C327" s="2193" t="n">
        <f aca="false">IF('Ввод данных'!$A$51=перекрытие!A327,1,0)</f>
        <v>0</v>
      </c>
      <c r="D327" s="2193" t="n">
        <f aca="false">1/'Ввод данных'!$C$51*дома!$F$1090*перекрытие!C327</f>
        <v>0</v>
      </c>
      <c r="E327" s="2193" t="n">
        <f aca="false">E285</f>
        <v>299</v>
      </c>
      <c r="F327" s="2193" t="n">
        <f aca="false">D327*E327</f>
        <v>0</v>
      </c>
    </row>
    <row r="328" customFormat="false" ht="15.5" hidden="false" customHeight="false" outlineLevel="0" collapsed="false">
      <c r="A328" s="2193" t="str">
        <f aca="false">A286</f>
        <v>ГПС 150х50-2,0</v>
      </c>
      <c r="B328" s="2193" t="str">
        <f aca="false">B286</f>
        <v>м.п.</v>
      </c>
      <c r="C328" s="2193" t="n">
        <f aca="false">IF('Ввод данных'!$A$51=перекрытие!A328,1,0)</f>
        <v>0</v>
      </c>
      <c r="D328" s="2193" t="n">
        <f aca="false">1/'Ввод данных'!$C$51*дома!$F$1090*перекрытие!C328</f>
        <v>0</v>
      </c>
      <c r="E328" s="2193" t="n">
        <f aca="false">E286</f>
        <v>201</v>
      </c>
      <c r="F328" s="2193" t="n">
        <f aca="false">D328*E328</f>
        <v>0</v>
      </c>
    </row>
    <row r="329" customFormat="false" ht="15.5" hidden="false" customHeight="false" outlineLevel="0" collapsed="false">
      <c r="A329" s="2193" t="str">
        <f aca="false">A287</f>
        <v>ГПС 170х50-1,2</v>
      </c>
      <c r="B329" s="2193" t="str">
        <f aca="false">B287</f>
        <v>м.п.</v>
      </c>
      <c r="C329" s="2193" t="n">
        <f aca="false">IF('Ввод данных'!$A$51=перекрытие!A329,1,0)</f>
        <v>0</v>
      </c>
      <c r="D329" s="2193" t="n">
        <f aca="false">1/'Ввод данных'!$C$51*дома!$F$1090*перекрытие!C329</f>
        <v>0</v>
      </c>
      <c r="E329" s="2193" t="n">
        <f aca="false">E287</f>
        <v>252</v>
      </c>
      <c r="F329" s="2193" t="n">
        <f aca="false">D329*E329</f>
        <v>0</v>
      </c>
    </row>
    <row r="330" customFormat="false" ht="15.5" hidden="false" customHeight="false" outlineLevel="0" collapsed="false">
      <c r="A330" s="2193" t="str">
        <f aca="false">A288</f>
        <v>ГПС 170х50-1,5</v>
      </c>
      <c r="B330" s="2193" t="str">
        <f aca="false">B288</f>
        <v>м.п.</v>
      </c>
      <c r="C330" s="2193" t="n">
        <f aca="false">IF('Ввод данных'!$A$51=перекрытие!A330,1,0)</f>
        <v>0</v>
      </c>
      <c r="D330" s="2193" t="n">
        <f aca="false">1/'Ввод данных'!$C$51*дома!$F$1090*перекрытие!C330</f>
        <v>0</v>
      </c>
      <c r="E330" s="2193" t="n">
        <f aca="false">E288</f>
        <v>330</v>
      </c>
      <c r="F330" s="2193" t="n">
        <f aca="false">D330*E330</f>
        <v>0</v>
      </c>
    </row>
    <row r="331" customFormat="false" ht="15.5" hidden="false" customHeight="false" outlineLevel="0" collapsed="false">
      <c r="A331" s="2193" t="str">
        <f aca="false">A289</f>
        <v>ГПС 170х50-2,0</v>
      </c>
      <c r="B331" s="2193" t="str">
        <f aca="false">B289</f>
        <v>м.п.</v>
      </c>
      <c r="C331" s="2193" t="n">
        <f aca="false">IF('Ввод данных'!$A$51=перекрытие!A331,1,0)</f>
        <v>0</v>
      </c>
      <c r="D331" s="2193" t="n">
        <f aca="false">1/'Ввод данных'!$C$51*дома!$F$1090*перекрытие!C331</f>
        <v>0</v>
      </c>
      <c r="E331" s="2193" t="n">
        <f aca="false">E289</f>
        <v>215</v>
      </c>
      <c r="F331" s="2193" t="n">
        <f aca="false">D331*E331</f>
        <v>0</v>
      </c>
    </row>
    <row r="332" customFormat="false" ht="15.5" hidden="false" customHeight="false" outlineLevel="0" collapsed="false">
      <c r="A332" s="2193" t="str">
        <f aca="false">A290</f>
        <v>ГПС 200х50-1,2</v>
      </c>
      <c r="B332" s="2193" t="str">
        <f aca="false">B290</f>
        <v>м.п.</v>
      </c>
      <c r="C332" s="2193" t="n">
        <f aca="false">IF('Ввод данных'!$A$51=перекрытие!A332,1,0)</f>
        <v>0</v>
      </c>
      <c r="D332" s="2193" t="n">
        <f aca="false">1/'Ввод данных'!$C$51*дома!$F$1090*перекрытие!C332</f>
        <v>0</v>
      </c>
      <c r="E332" s="2193" t="n">
        <f aca="false">E290</f>
        <v>269</v>
      </c>
      <c r="F332" s="2193" t="n">
        <f aca="false">D332*E332</f>
        <v>0</v>
      </c>
    </row>
    <row r="333" customFormat="false" ht="15.5" hidden="false" customHeight="false" outlineLevel="0" collapsed="false">
      <c r="A333" s="2193" t="str">
        <f aca="false">A291</f>
        <v>ГПС 200х50-1,5</v>
      </c>
      <c r="B333" s="2193" t="str">
        <f aca="false">B291</f>
        <v>м.п.</v>
      </c>
      <c r="C333" s="2193" t="n">
        <f aca="false">IF('Ввод данных'!$A$51=перекрытие!A333,1,0)</f>
        <v>0</v>
      </c>
      <c r="D333" s="2193" t="n">
        <f aca="false">1/'Ввод данных'!$C$51*дома!$F$1090*перекрытие!C333</f>
        <v>0</v>
      </c>
      <c r="E333" s="2193" t="n">
        <f aca="false">E291</f>
        <v>358</v>
      </c>
      <c r="F333" s="2193" t="n">
        <f aca="false">D333*E333</f>
        <v>0</v>
      </c>
    </row>
    <row r="334" customFormat="false" ht="15.5" hidden="false" customHeight="false" outlineLevel="0" collapsed="false">
      <c r="A334" s="2193" t="str">
        <f aca="false">A292</f>
        <v>ГПС 200х50-2,0</v>
      </c>
      <c r="B334" s="2193" t="str">
        <f aca="false">B292</f>
        <v>м.п.</v>
      </c>
      <c r="C334" s="2193" t="n">
        <f aca="false">IF('Ввод данных'!$A$51=перекрытие!A334,1,0)</f>
        <v>0</v>
      </c>
      <c r="D334" s="2193" t="n">
        <f aca="false">1/'Ввод данных'!$C$51*дома!$F$1090*перекрытие!C334</f>
        <v>0</v>
      </c>
      <c r="E334" s="2193" t="n">
        <f aca="false">E292</f>
        <v>239</v>
      </c>
      <c r="F334" s="2193" t="n">
        <f aca="false">D334*E334</f>
        <v>0</v>
      </c>
    </row>
    <row r="335" customFormat="false" ht="15.5" hidden="false" customHeight="false" outlineLevel="0" collapsed="false">
      <c r="A335" s="2193" t="str">
        <f aca="false">A293</f>
        <v>ГПС 250х50-1,2</v>
      </c>
      <c r="B335" s="2193" t="str">
        <f aca="false">B293</f>
        <v>м.п.</v>
      </c>
      <c r="C335" s="2193" t="n">
        <f aca="false">IF('Ввод данных'!$A$51=перекрытие!A335,1,0)</f>
        <v>0</v>
      </c>
      <c r="D335" s="2193" t="n">
        <f aca="false">1/'Ввод данных'!$C$51*дома!$F$1090*перекрытие!C335</f>
        <v>0</v>
      </c>
      <c r="E335" s="2193" t="n">
        <f aca="false">E293</f>
        <v>299</v>
      </c>
      <c r="F335" s="2193" t="n">
        <f aca="false">D335*E335</f>
        <v>0</v>
      </c>
    </row>
    <row r="336" customFormat="false" ht="15.5" hidden="false" customHeight="false" outlineLevel="0" collapsed="false">
      <c r="A336" s="2193" t="str">
        <f aca="false">A294</f>
        <v>ГПС 250х50-1,5</v>
      </c>
      <c r="B336" s="2193" t="str">
        <f aca="false">B294</f>
        <v>м.п.</v>
      </c>
      <c r="C336" s="2193" t="n">
        <f aca="false">IF('Ввод данных'!$A$51=перекрытие!A336,1,0)</f>
        <v>0</v>
      </c>
      <c r="D336" s="2193" t="n">
        <f aca="false">1/'Ввод данных'!$C$51*дома!$F$1090*перекрытие!C336</f>
        <v>0</v>
      </c>
      <c r="E336" s="2193" t="n">
        <f aca="false">E294</f>
        <v>397</v>
      </c>
      <c r="F336" s="2193" t="n">
        <f aca="false">D336*E336</f>
        <v>0</v>
      </c>
    </row>
    <row r="337" customFormat="false" ht="15.5" hidden="false" customHeight="false" outlineLevel="0" collapsed="false">
      <c r="A337" s="2193" t="str">
        <f aca="false">A295</f>
        <v>ГПС 250х50-2,0</v>
      </c>
      <c r="B337" s="2193" t="str">
        <f aca="false">B295</f>
        <v>м.п.</v>
      </c>
      <c r="C337" s="2193" t="n">
        <f aca="false">IF('Ввод данных'!$A$51=перекрытие!A337,1,0)</f>
        <v>0</v>
      </c>
      <c r="D337" s="2193" t="n">
        <f aca="false">1/'Ввод данных'!$C$51*дома!$F$1090*перекрытие!C337</f>
        <v>0</v>
      </c>
      <c r="E337" s="2193" t="n">
        <f aca="false">E295</f>
        <v>274</v>
      </c>
      <c r="F337" s="2193" t="n">
        <f aca="false">D337*E337</f>
        <v>0</v>
      </c>
    </row>
    <row r="338" customFormat="false" ht="15.5" hidden="false" customHeight="false" outlineLevel="0" collapsed="false">
      <c r="A338" s="2193" t="str">
        <f aca="false">A296</f>
        <v>ГПС 280х50-1,2</v>
      </c>
      <c r="B338" s="2193" t="str">
        <f aca="false">B296</f>
        <v>м.п.</v>
      </c>
      <c r="C338" s="2193" t="n">
        <f aca="false">IF('Ввод данных'!$A$51=перекрытие!A338,1,0)</f>
        <v>0</v>
      </c>
      <c r="D338" s="2193" t="n">
        <f aca="false">1/'Ввод данных'!$C$51*дома!$F$1090*перекрытие!C338</f>
        <v>0</v>
      </c>
      <c r="E338" s="2193" t="n">
        <f aca="false">E296</f>
        <v>344</v>
      </c>
      <c r="F338" s="2193" t="n">
        <f aca="false">D338*E338</f>
        <v>0</v>
      </c>
    </row>
    <row r="339" customFormat="false" ht="15.5" hidden="false" customHeight="false" outlineLevel="0" collapsed="false">
      <c r="A339" s="2193" t="str">
        <f aca="false">A297</f>
        <v>ГПС 280х50-1,5</v>
      </c>
      <c r="B339" s="2193" t="str">
        <f aca="false">B297</f>
        <v>м.п.</v>
      </c>
      <c r="C339" s="2193" t="n">
        <f aca="false">IF('Ввод данных'!$A$51=перекрытие!A339,1,0)</f>
        <v>0</v>
      </c>
      <c r="D339" s="2193" t="n">
        <f aca="false">1/'Ввод данных'!$C$51*дома!$F$1090*перекрытие!C339</f>
        <v>0</v>
      </c>
      <c r="E339" s="2193" t="n">
        <f aca="false">E297</f>
        <v>450</v>
      </c>
      <c r="F339" s="2193" t="n">
        <f aca="false">D339*E339</f>
        <v>0</v>
      </c>
    </row>
    <row r="340" customFormat="false" ht="15.5" hidden="false" customHeight="false" outlineLevel="0" collapsed="false">
      <c r="A340" s="2193" t="str">
        <f aca="false">A298</f>
        <v>ГПС 280х50-2,0</v>
      </c>
      <c r="B340" s="2193" t="str">
        <f aca="false">B298</f>
        <v>м.п.</v>
      </c>
      <c r="C340" s="2193" t="n">
        <f aca="false">IF('Ввод данных'!$A$51=перекрытие!A340,1,0)</f>
        <v>0</v>
      </c>
      <c r="D340" s="2193" t="n">
        <f aca="false">1/'Ввод данных'!$C$51*дома!$F$1090*перекрытие!C340</f>
        <v>0</v>
      </c>
      <c r="E340" s="2193" t="n">
        <f aca="false">E298</f>
        <v>293</v>
      </c>
      <c r="F340" s="2193" t="n">
        <f aca="false">D340*E340</f>
        <v>0</v>
      </c>
    </row>
    <row r="341" customFormat="false" ht="15.5" hidden="false" customHeight="false" outlineLevel="0" collapsed="false">
      <c r="A341" s="2193" t="str">
        <f aca="false">A299</f>
        <v>ГПН 102х35-1,2</v>
      </c>
      <c r="B341" s="2193" t="str">
        <f aca="false">B299</f>
        <v>м.п.</v>
      </c>
      <c r="C341" s="2193" t="n">
        <f aca="false">C322</f>
        <v>0</v>
      </c>
      <c r="D341" s="2193" t="n">
        <f aca="false">(дома!$D$16+дома!$D$16+дома!$D$17+дома!$D$17)*C341</f>
        <v>0</v>
      </c>
      <c r="E341" s="2193" t="n">
        <f aca="false">E299</f>
        <v>127</v>
      </c>
      <c r="F341" s="2193" t="n">
        <f aca="false">D341*E341</f>
        <v>0</v>
      </c>
    </row>
    <row r="342" customFormat="false" ht="15.5" hidden="false" customHeight="false" outlineLevel="0" collapsed="false">
      <c r="A342" s="2193" t="str">
        <f aca="false">A300</f>
        <v>ГПН 102х35-1,5</v>
      </c>
      <c r="B342" s="2193" t="str">
        <f aca="false">B300</f>
        <v>м.п.</v>
      </c>
      <c r="C342" s="2193" t="n">
        <f aca="false">C323</f>
        <v>0</v>
      </c>
      <c r="D342" s="2193" t="n">
        <f aca="false">(дома!$D$16+дома!$D$16+дома!$D$17+дома!$D$17)*C342</f>
        <v>0</v>
      </c>
      <c r="E342" s="2193" t="n">
        <f aca="false">E300</f>
        <v>158</v>
      </c>
      <c r="F342" s="2193" t="n">
        <f aca="false">D342*E342</f>
        <v>0</v>
      </c>
    </row>
    <row r="343" customFormat="false" ht="15.5" hidden="false" customHeight="false" outlineLevel="0" collapsed="false">
      <c r="A343" s="2193" t="str">
        <f aca="false">A301</f>
        <v>ГПН 102х35-2,0</v>
      </c>
      <c r="B343" s="2193" t="str">
        <f aca="false">B301</f>
        <v>м.п.</v>
      </c>
      <c r="C343" s="2193" t="n">
        <f aca="false">C324</f>
        <v>0</v>
      </c>
      <c r="D343" s="2193" t="n">
        <f aca="false">(дома!$D$16+дома!$D$16+дома!$D$17+дома!$D$17)*C343</f>
        <v>0</v>
      </c>
      <c r="E343" s="2193" t="n">
        <f aca="false">E301</f>
        <v>199</v>
      </c>
      <c r="F343" s="2193" t="n">
        <f aca="false">D343*E343</f>
        <v>0</v>
      </c>
    </row>
    <row r="344" customFormat="false" ht="15.5" hidden="false" customHeight="false" outlineLevel="0" collapsed="false">
      <c r="A344" s="2193" t="str">
        <f aca="false">A302</f>
        <v>ГПН 122х35-1,2</v>
      </c>
      <c r="B344" s="2193" t="str">
        <f aca="false">B302</f>
        <v>м.п.</v>
      </c>
      <c r="C344" s="2193" t="n">
        <f aca="false">C325</f>
        <v>0</v>
      </c>
      <c r="D344" s="2193" t="n">
        <f aca="false">(дома!$D$16+дома!$D$16+дома!$D$17+дома!$D$17)*C344</f>
        <v>0</v>
      </c>
      <c r="E344" s="2193" t="n">
        <f aca="false">E302</f>
        <v>131</v>
      </c>
      <c r="F344" s="2193" t="n">
        <f aca="false">D344*E344</f>
        <v>0</v>
      </c>
    </row>
    <row r="345" customFormat="false" ht="15.5" hidden="false" customHeight="false" outlineLevel="0" collapsed="false">
      <c r="A345" s="2193" t="str">
        <f aca="false">A303</f>
        <v>ГПН 122х35-1,5</v>
      </c>
      <c r="B345" s="2193" t="str">
        <f aca="false">B303</f>
        <v>м.п.</v>
      </c>
      <c r="C345" s="2193" t="n">
        <f aca="false">C326</f>
        <v>0</v>
      </c>
      <c r="D345" s="2193" t="n">
        <f aca="false">(дома!$D$16+дома!$D$16+дома!$D$17+дома!$D$17)*C345</f>
        <v>0</v>
      </c>
      <c r="E345" s="2193" t="n">
        <f aca="false">E303</f>
        <v>163</v>
      </c>
      <c r="F345" s="2193" t="n">
        <f aca="false">D345*E345</f>
        <v>0</v>
      </c>
    </row>
    <row r="346" customFormat="false" ht="15.5" hidden="false" customHeight="false" outlineLevel="0" collapsed="false">
      <c r="A346" s="2193" t="str">
        <f aca="false">A304</f>
        <v>ГПН 122х35-2,0</v>
      </c>
      <c r="B346" s="2193" t="str">
        <f aca="false">B304</f>
        <v>м.п.</v>
      </c>
      <c r="C346" s="2193" t="n">
        <f aca="false">C327</f>
        <v>0</v>
      </c>
      <c r="D346" s="2193" t="n">
        <f aca="false">(дома!$D$16+дома!$D$16+дома!$D$17+дома!$D$17)*C346</f>
        <v>0</v>
      </c>
      <c r="E346" s="2193" t="n">
        <f aca="false">E304</f>
        <v>216</v>
      </c>
      <c r="F346" s="2193" t="n">
        <f aca="false">D346*E346</f>
        <v>0</v>
      </c>
    </row>
    <row r="347" customFormat="false" ht="15.5" hidden="false" customHeight="false" outlineLevel="0" collapsed="false">
      <c r="A347" s="2193" t="str">
        <f aca="false">A305</f>
        <v>ГПН 152х35-1,2</v>
      </c>
      <c r="B347" s="2193" t="str">
        <f aca="false">B305</f>
        <v>м.п.</v>
      </c>
      <c r="C347" s="2193" t="n">
        <f aca="false">C328</f>
        <v>0</v>
      </c>
      <c r="D347" s="2193" t="n">
        <f aca="false">(дома!$D$16+дома!$D$16+дома!$D$17+дома!$D$17)*C347</f>
        <v>0</v>
      </c>
      <c r="E347" s="2193" t="n">
        <f aca="false">E305</f>
        <v>163</v>
      </c>
      <c r="F347" s="2193" t="n">
        <f aca="false">D347*E347</f>
        <v>0</v>
      </c>
    </row>
    <row r="348" customFormat="false" ht="15.5" hidden="false" customHeight="false" outlineLevel="0" collapsed="false">
      <c r="A348" s="2193" t="str">
        <f aca="false">A306</f>
        <v>ГПН 152х35-1,5</v>
      </c>
      <c r="B348" s="2193" t="str">
        <f aca="false">B306</f>
        <v>м.п.</v>
      </c>
      <c r="C348" s="2193" t="n">
        <f aca="false">C329</f>
        <v>0</v>
      </c>
      <c r="D348" s="2193" t="n">
        <f aca="false">(дома!$D$16+дома!$D$16+дома!$D$17+дома!$D$17)*C348</f>
        <v>0</v>
      </c>
      <c r="E348" s="2193" t="n">
        <f aca="false">E306</f>
        <v>203</v>
      </c>
      <c r="F348" s="2193" t="n">
        <f aca="false">D348*E348</f>
        <v>0</v>
      </c>
    </row>
    <row r="349" customFormat="false" ht="15.5" hidden="false" customHeight="false" outlineLevel="0" collapsed="false">
      <c r="A349" s="2193" t="str">
        <f aca="false">A307</f>
        <v>ГПН 152х35-2,0</v>
      </c>
      <c r="B349" s="2193" t="str">
        <f aca="false">B307</f>
        <v>м.п.</v>
      </c>
      <c r="C349" s="2193" t="n">
        <f aca="false">C330</f>
        <v>0</v>
      </c>
      <c r="D349" s="2193" t="n">
        <f aca="false">(дома!$D$16+дома!$D$16+дома!$D$17+дома!$D$17)*C349</f>
        <v>0</v>
      </c>
      <c r="E349" s="2193" t="n">
        <f aca="false">E307</f>
        <v>259</v>
      </c>
      <c r="F349" s="2193" t="n">
        <f aca="false">D349*E349</f>
        <v>0</v>
      </c>
    </row>
    <row r="350" customFormat="false" ht="15.5" hidden="false" customHeight="false" outlineLevel="0" collapsed="false">
      <c r="A350" s="2193" t="str">
        <f aca="false">A308</f>
        <v>ГПН 172х35-1,2</v>
      </c>
      <c r="B350" s="2193" t="str">
        <f aca="false">B308</f>
        <v>м.п.</v>
      </c>
      <c r="C350" s="2193" t="n">
        <f aca="false">C331</f>
        <v>0</v>
      </c>
      <c r="D350" s="2193" t="n">
        <f aca="false">(дома!$D$16+дома!$D$16+дома!$D$17+дома!$D$17)*C350</f>
        <v>0</v>
      </c>
      <c r="E350" s="2193" t="n">
        <f aca="false">E308</f>
        <v>166</v>
      </c>
      <c r="F350" s="2193" t="n">
        <f aca="false">D350*E350</f>
        <v>0</v>
      </c>
    </row>
    <row r="351" customFormat="false" ht="15.5" hidden="false" customHeight="false" outlineLevel="0" collapsed="false">
      <c r="A351" s="2193" t="str">
        <f aca="false">A309</f>
        <v>ГПН 172х35-1,5</v>
      </c>
      <c r="B351" s="2193" t="str">
        <f aca="false">B309</f>
        <v>м.п.</v>
      </c>
      <c r="C351" s="2193" t="n">
        <f aca="false">C332</f>
        <v>0</v>
      </c>
      <c r="D351" s="2193" t="n">
        <f aca="false">(дома!$D$16+дома!$D$16+дома!$D$17+дома!$D$17)*C351</f>
        <v>0</v>
      </c>
      <c r="E351" s="2193" t="n">
        <f aca="false">E309</f>
        <v>207</v>
      </c>
      <c r="F351" s="2193" t="n">
        <f aca="false">D351*E351</f>
        <v>0</v>
      </c>
    </row>
    <row r="352" customFormat="false" ht="15.5" hidden="false" customHeight="false" outlineLevel="0" collapsed="false">
      <c r="A352" s="2193" t="str">
        <f aca="false">A310</f>
        <v>ГПН 172х35-2,0</v>
      </c>
      <c r="B352" s="2193" t="str">
        <f aca="false">B310</f>
        <v>м.п.</v>
      </c>
      <c r="C352" s="2193" t="n">
        <f aca="false">C333</f>
        <v>0</v>
      </c>
      <c r="D352" s="2193" t="n">
        <f aca="false">(дома!$D$16+дома!$D$16+дома!$D$17+дома!$D$17)*C352</f>
        <v>0</v>
      </c>
      <c r="E352" s="2193" t="n">
        <f aca="false">E310</f>
        <v>274</v>
      </c>
      <c r="F352" s="2193" t="n">
        <f aca="false">D352*E352</f>
        <v>0</v>
      </c>
    </row>
    <row r="353" customFormat="false" ht="15.5" hidden="false" customHeight="false" outlineLevel="0" collapsed="false">
      <c r="A353" s="2193" t="str">
        <f aca="false">A311</f>
        <v>ГПН 202х35-1,2</v>
      </c>
      <c r="B353" s="2193" t="str">
        <f aca="false">B311</f>
        <v>м.п.</v>
      </c>
      <c r="C353" s="2193" t="n">
        <f aca="false">C334</f>
        <v>0</v>
      </c>
      <c r="D353" s="2193" t="n">
        <f aca="false">(дома!$D$16+дома!$D$16+дома!$D$17+дома!$D$17)*C353</f>
        <v>0</v>
      </c>
      <c r="E353" s="2193" t="n">
        <f aca="false">E311</f>
        <v>201</v>
      </c>
      <c r="F353" s="2193" t="n">
        <f aca="false">D353*E353</f>
        <v>0</v>
      </c>
    </row>
    <row r="354" customFormat="false" ht="15.5" hidden="false" customHeight="false" outlineLevel="0" collapsed="false">
      <c r="A354" s="2193" t="str">
        <f aca="false">A312</f>
        <v>ГПН 202х35-1,5</v>
      </c>
      <c r="B354" s="2193" t="str">
        <f aca="false">B312</f>
        <v>м.п.</v>
      </c>
      <c r="C354" s="2193" t="n">
        <f aca="false">C335</f>
        <v>0</v>
      </c>
      <c r="D354" s="2193" t="n">
        <f aca="false">(дома!$D$16+дома!$D$16+дома!$D$17+дома!$D$17)*C354</f>
        <v>0</v>
      </c>
      <c r="E354" s="2193" t="n">
        <f aca="false">E312</f>
        <v>252</v>
      </c>
      <c r="F354" s="2193" t="n">
        <f aca="false">D354*E354</f>
        <v>0</v>
      </c>
    </row>
    <row r="355" customFormat="false" ht="15.5" hidden="false" customHeight="false" outlineLevel="0" collapsed="false">
      <c r="A355" s="2193" t="str">
        <f aca="false">A313</f>
        <v>ГПН 202х35-2,0</v>
      </c>
      <c r="B355" s="2193" t="str">
        <f aca="false">B313</f>
        <v>м.п.</v>
      </c>
      <c r="C355" s="2193" t="n">
        <f aca="false">C336</f>
        <v>0</v>
      </c>
      <c r="D355" s="2193" t="n">
        <f aca="false">(дома!$D$16+дома!$D$16+дома!$D$17+дома!$D$17)*C355</f>
        <v>0</v>
      </c>
      <c r="E355" s="2193" t="n">
        <f aca="false">E313</f>
        <v>318</v>
      </c>
      <c r="F355" s="2193" t="n">
        <f aca="false">D355*E355</f>
        <v>0</v>
      </c>
    </row>
    <row r="356" customFormat="false" ht="15.5" hidden="false" customHeight="false" outlineLevel="0" collapsed="false">
      <c r="A356" s="2193" t="str">
        <f aca="false">A314</f>
        <v>ГПН 252х35-1,2</v>
      </c>
      <c r="B356" s="2193" t="str">
        <f aca="false">B314</f>
        <v>м.п.</v>
      </c>
      <c r="C356" s="2193" t="n">
        <f aca="false">C337</f>
        <v>0</v>
      </c>
      <c r="D356" s="2193" t="n">
        <f aca="false">(дома!$D$16+дома!$D$16+дома!$D$17+дома!$D$17)*C356</f>
        <v>0</v>
      </c>
      <c r="E356" s="2193" t="n">
        <f aca="false">E314</f>
        <v>226</v>
      </c>
      <c r="F356" s="2193" t="n">
        <f aca="false">D356*E356</f>
        <v>0</v>
      </c>
    </row>
    <row r="357" customFormat="false" ht="15.5" hidden="false" customHeight="false" outlineLevel="0" collapsed="false">
      <c r="A357" s="2193" t="str">
        <f aca="false">A315</f>
        <v>ГПН 252х35-1,5</v>
      </c>
      <c r="B357" s="2193" t="str">
        <f aca="false">B315</f>
        <v>м.п.</v>
      </c>
      <c r="C357" s="2193" t="n">
        <f aca="false">C338</f>
        <v>0</v>
      </c>
      <c r="D357" s="2193" t="n">
        <f aca="false">(дома!$D$16+дома!$D$16+дома!$D$17+дома!$D$17)*C357</f>
        <v>0</v>
      </c>
      <c r="E357" s="2193" t="n">
        <f aca="false">E315</f>
        <v>283</v>
      </c>
      <c r="F357" s="2193" t="n">
        <f aca="false">D357*E357</f>
        <v>0</v>
      </c>
    </row>
    <row r="358" customFormat="false" ht="15.5" hidden="false" customHeight="false" outlineLevel="0" collapsed="false">
      <c r="A358" s="2193" t="str">
        <f aca="false">A316</f>
        <v>ГПН 252х35-2,0</v>
      </c>
      <c r="B358" s="2193" t="str">
        <f aca="false">B316</f>
        <v>м.п.</v>
      </c>
      <c r="C358" s="2193" t="n">
        <f aca="false">C339</f>
        <v>0</v>
      </c>
      <c r="D358" s="2193" t="n">
        <f aca="false">(дома!$D$16+дома!$D$16+дома!$D$17+дома!$D$17)*C358</f>
        <v>0</v>
      </c>
      <c r="E358" s="2193" t="n">
        <f aca="false">E316</f>
        <v>378</v>
      </c>
      <c r="F358" s="2193" t="n">
        <f aca="false">D358*E358</f>
        <v>0</v>
      </c>
    </row>
    <row r="359" customFormat="false" ht="15.5" hidden="false" customHeight="false" outlineLevel="0" collapsed="false">
      <c r="A359" s="2193" t="str">
        <f aca="false">A317</f>
        <v>ГПН 282х35-1,2</v>
      </c>
      <c r="B359" s="2193" t="str">
        <f aca="false">B317</f>
        <v>м.п.</v>
      </c>
      <c r="C359" s="2193" t="n">
        <f aca="false">C340</f>
        <v>0</v>
      </c>
      <c r="D359" s="2193" t="n">
        <f aca="false">(дома!$D$16+дома!$D$16+дома!$D$17+дома!$D$17)*C359</f>
        <v>0</v>
      </c>
      <c r="E359" s="2193" t="n">
        <f aca="false">E317</f>
        <v>275</v>
      </c>
      <c r="F359" s="2193" t="n">
        <f aca="false">D359*E359</f>
        <v>0</v>
      </c>
    </row>
    <row r="360" customFormat="false" ht="15.5" hidden="false" customHeight="false" outlineLevel="0" collapsed="false">
      <c r="A360" s="2193" t="str">
        <f aca="false">A318</f>
        <v>Саморез 5,5 х 25</v>
      </c>
      <c r="C360" s="2193" t="n">
        <f aca="false">SUM(C341:C359)</f>
        <v>0</v>
      </c>
      <c r="D360" s="2193" t="n">
        <f aca="false">CEILING(дома!$F$1090*C360*10,1)</f>
        <v>0</v>
      </c>
      <c r="E360" s="2193" t="n">
        <f aca="false">E318</f>
        <v>2.5</v>
      </c>
      <c r="F360" s="2193" t="n">
        <f aca="false">D360*E360</f>
        <v>0</v>
      </c>
    </row>
    <row r="365" customFormat="false" ht="15.5" hidden="false" customHeight="false" outlineLevel="0" collapsed="false">
      <c r="A365" s="2193" t="str">
        <f aca="false">'Прайс лист'!B1888</f>
        <v>Монтаж перекрытий ЛСТК</v>
      </c>
      <c r="D365" s="2193" t="n">
        <f aca="false">дома!$F$1086*SUM(C238:C256)</f>
        <v>0</v>
      </c>
      <c r="E365" s="2193" t="n">
        <f aca="false">'Прайс лист'!G1888</f>
        <v>500</v>
      </c>
      <c r="F365" s="2193" t="n">
        <f aca="false">D365*E365</f>
        <v>0</v>
      </c>
    </row>
    <row r="366" customFormat="false" ht="15.5" hidden="false" customHeight="false" outlineLevel="0" collapsed="false">
      <c r="A366" s="2193" t="str">
        <f aca="false">'Прайс лист'!B1888</f>
        <v>Монтаж перекрытий ЛСТК</v>
      </c>
      <c r="D366" s="2193" t="n">
        <f aca="false">дома!$F$1087*SUM(C280:C298)</f>
        <v>0</v>
      </c>
      <c r="E366" s="2193" t="n">
        <f aca="false">'Прайс лист'!G1888</f>
        <v>500</v>
      </c>
      <c r="F366" s="2193" t="n">
        <f aca="false">D366*E366</f>
        <v>0</v>
      </c>
    </row>
    <row r="367" customFormat="false" ht="15.5" hidden="false" customHeight="false" outlineLevel="0" collapsed="false">
      <c r="A367" s="2193" t="str">
        <f aca="false">'Прайс лист'!B1888</f>
        <v>Монтаж перекрытий ЛСТК</v>
      </c>
      <c r="D367" s="2193" t="n">
        <f aca="false">дома!$F$1090*SUM(C322:C340)</f>
        <v>0</v>
      </c>
      <c r="E367" s="2193" t="n">
        <f aca="false">'Прайс лист'!G1888</f>
        <v>500</v>
      </c>
      <c r="F367" s="2193" t="n">
        <f aca="false">D367*E367</f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85"/>
  <sheetViews>
    <sheetView showFormulas="false" showGridLines="true" showRowColHeaders="true" showZeros="true" rightToLeft="false" tabSelected="false" showOutlineSymbols="true" defaultGridColor="true" view="normal" topLeftCell="A418" colorId="64" zoomScale="60" zoomScaleNormal="60" zoomScalePageLayoutView="100" workbookViewId="0">
      <selection pane="topLeft" activeCell="I427" activeCellId="0" sqref="I427"/>
    </sheetView>
  </sheetViews>
  <sheetFormatPr defaultColWidth="9.19140625" defaultRowHeight="14.5" zeroHeight="false" outlineLevelRow="1" outlineLevelCol="0"/>
  <cols>
    <col collapsed="false" customWidth="true" hidden="false" outlineLevel="0" max="1" min="1" style="896" width="35.54"/>
    <col collapsed="false" customWidth="true" hidden="false" outlineLevel="0" max="2" min="2" style="896" width="13.44"/>
    <col collapsed="false" customWidth="true" hidden="false" outlineLevel="0" max="3" min="3" style="896" width="11.45"/>
    <col collapsed="false" customWidth="true" hidden="false" outlineLevel="0" max="4" min="4" style="896" width="11.18"/>
    <col collapsed="false" customWidth="true" hidden="false" outlineLevel="0" max="6" min="5" style="896" width="12.56"/>
    <col collapsed="false" customWidth="true" hidden="false" outlineLevel="0" max="7" min="7" style="896" width="14.28"/>
    <col collapsed="false" customWidth="true" hidden="false" outlineLevel="0" max="8" min="8" style="896" width="15.54"/>
    <col collapsed="false" customWidth="false" hidden="false" outlineLevel="0" max="9" min="9" style="896" width="9.18"/>
    <col collapsed="false" customWidth="true" hidden="false" outlineLevel="0" max="10" min="10" style="896" width="11.18"/>
    <col collapsed="false" customWidth="false" hidden="false" outlineLevel="0" max="11" min="11" style="896" width="9.18"/>
    <col collapsed="false" customWidth="true" hidden="false" outlineLevel="0" max="12" min="12" style="896" width="13.82"/>
    <col collapsed="false" customWidth="false" hidden="false" outlineLevel="0" max="1024" min="13" style="896" width="9.18"/>
  </cols>
  <sheetData>
    <row r="1" customFormat="false" ht="14.5" hidden="false" customHeight="false" outlineLevel="0" collapsed="false">
      <c r="A1" s="2019" t="s">
        <v>1093</v>
      </c>
      <c r="B1" s="2019"/>
      <c r="C1" s="2019"/>
      <c r="D1" s="2272" t="s">
        <v>120</v>
      </c>
      <c r="E1" s="2272" t="s">
        <v>1753</v>
      </c>
      <c r="F1" s="998"/>
      <c r="G1" s="461"/>
      <c r="H1" s="461"/>
      <c r="I1" s="461"/>
      <c r="J1" s="2273"/>
      <c r="K1" s="2273"/>
      <c r="L1" s="2273"/>
      <c r="M1" s="2273"/>
    </row>
    <row r="2" customFormat="false" ht="14.5" hidden="false" customHeight="false" outlineLevel="0" collapsed="false">
      <c r="A2" s="1201" t="s">
        <v>2779</v>
      </c>
      <c r="B2" s="1201"/>
      <c r="C2" s="1201"/>
      <c r="D2" s="1026"/>
      <c r="E2" s="910" t="e">
        <f aca="false">'ввод данных'!#ref!</f>
        <v>#VALUE!</v>
      </c>
      <c r="F2" s="894"/>
      <c r="G2" s="998"/>
      <c r="H2" s="895"/>
      <c r="I2" s="998"/>
      <c r="J2" s="2273"/>
      <c r="K2" s="2273"/>
      <c r="L2" s="2273"/>
      <c r="M2" s="2273"/>
    </row>
    <row r="3" customFormat="false" ht="14.5" hidden="false" customHeight="false" outlineLevel="0" collapsed="false">
      <c r="A3" s="902" t="s">
        <v>2746</v>
      </c>
      <c r="B3" s="902"/>
      <c r="C3" s="902"/>
      <c r="D3" s="1026" t="s">
        <v>156</v>
      </c>
      <c r="E3" s="910" t="n">
        <f aca="false">'Ввод данных'!C11</f>
        <v>10</v>
      </c>
      <c r="F3" s="895"/>
      <c r="G3" s="998"/>
      <c r="H3" s="895"/>
      <c r="I3" s="998"/>
      <c r="J3" s="2273"/>
      <c r="K3" s="2273"/>
      <c r="L3" s="2273"/>
      <c r="M3" s="2273"/>
    </row>
    <row r="4" customFormat="false" ht="14.5" hidden="false" customHeight="false" outlineLevel="0" collapsed="false">
      <c r="A4" s="902" t="s">
        <v>2782</v>
      </c>
      <c r="B4" s="902"/>
      <c r="C4" s="902"/>
      <c r="D4" s="1026" t="s">
        <v>156</v>
      </c>
      <c r="E4" s="910" t="n">
        <f aca="false">'Ввод данных'!C12</f>
        <v>10</v>
      </c>
      <c r="F4" s="895"/>
      <c r="G4" s="895"/>
      <c r="H4" s="895"/>
      <c r="I4" s="998"/>
      <c r="J4" s="2273"/>
      <c r="K4" s="2273"/>
      <c r="L4" s="2273"/>
      <c r="M4" s="2273"/>
    </row>
    <row r="5" customFormat="false" ht="14.5" hidden="false" customHeight="false" outlineLevel="0" collapsed="false">
      <c r="A5" s="902" t="s">
        <v>2783</v>
      </c>
      <c r="B5" s="902"/>
      <c r="C5" s="902"/>
      <c r="D5" s="1026" t="s">
        <v>156</v>
      </c>
      <c r="E5" s="910" t="n">
        <f aca="false">'Ввод данных'!C13</f>
        <v>3</v>
      </c>
      <c r="F5" s="895"/>
      <c r="G5" s="895"/>
      <c r="H5" s="895"/>
      <c r="I5" s="1217"/>
      <c r="J5" s="2273"/>
      <c r="K5" s="2273"/>
      <c r="L5" s="2273"/>
      <c r="M5" s="2273"/>
    </row>
    <row r="6" customFormat="false" ht="14.5" hidden="false" customHeight="false" outlineLevel="0" collapsed="false">
      <c r="A6" s="902" t="s">
        <v>2793</v>
      </c>
      <c r="B6" s="902"/>
      <c r="C6" s="902"/>
      <c r="D6" s="1026" t="s">
        <v>156</v>
      </c>
      <c r="E6" s="910" t="n">
        <f aca="false">связи1!K207</f>
        <v>1.2</v>
      </c>
      <c r="F6" s="895"/>
      <c r="G6" s="895"/>
      <c r="H6" s="895"/>
      <c r="I6" s="2274"/>
      <c r="J6" s="2273"/>
      <c r="K6" s="2273"/>
      <c r="L6" s="2273"/>
      <c r="M6" s="2273"/>
    </row>
    <row r="7" customFormat="false" ht="14.5" hidden="false" customHeight="false" outlineLevel="0" collapsed="false">
      <c r="A7" s="902" t="s">
        <v>3870</v>
      </c>
      <c r="B7" s="902"/>
      <c r="C7" s="902"/>
      <c r="D7" s="1026" t="s">
        <v>156</v>
      </c>
      <c r="E7" s="910" t="n">
        <f aca="false">'Ввод данных'!C16</f>
        <v>2.2</v>
      </c>
      <c r="F7" s="895"/>
      <c r="G7" s="895"/>
      <c r="H7" s="2274"/>
      <c r="I7" s="2274"/>
      <c r="J7" s="2273"/>
      <c r="K7" s="2273"/>
      <c r="L7" s="2273"/>
      <c r="M7" s="2273"/>
    </row>
    <row r="8" customFormat="false" ht="14.5" hidden="false" customHeight="false" outlineLevel="0" collapsed="false">
      <c r="A8" s="902" t="s">
        <v>3871</v>
      </c>
      <c r="B8" s="902"/>
      <c r="C8" s="902"/>
      <c r="D8" s="1026" t="s">
        <v>156</v>
      </c>
      <c r="E8" s="910" t="n">
        <f aca="false">связи1!K206</f>
        <v>4.8</v>
      </c>
      <c r="F8" s="895"/>
      <c r="G8" s="895"/>
      <c r="H8" s="998"/>
      <c r="I8" s="998"/>
      <c r="J8" s="2273"/>
      <c r="K8" s="2273"/>
      <c r="L8" s="2273"/>
      <c r="M8" s="2273"/>
    </row>
    <row r="9" customFormat="false" ht="14.5" hidden="false" customHeight="false" outlineLevel="0" collapsed="false">
      <c r="A9" s="907" t="s">
        <v>3872</v>
      </c>
      <c r="B9" s="907"/>
      <c r="C9" s="907"/>
      <c r="D9" s="2275" t="s">
        <v>1820</v>
      </c>
      <c r="E9" s="910"/>
      <c r="F9" s="895" t="s">
        <v>3873</v>
      </c>
      <c r="G9" s="998"/>
      <c r="H9" s="895"/>
      <c r="I9" s="888"/>
      <c r="J9" s="2273"/>
      <c r="K9" s="2273"/>
      <c r="L9" s="2273"/>
      <c r="M9" s="2273"/>
    </row>
    <row r="10" customFormat="false" ht="14.5" hidden="false" customHeight="false" outlineLevel="0" collapsed="false">
      <c r="A10" s="2276" t="s">
        <v>2854</v>
      </c>
      <c r="B10" s="2276"/>
      <c r="C10" s="2276"/>
      <c r="D10" s="2277" t="s">
        <v>120</v>
      </c>
      <c r="E10" s="900" t="s">
        <v>293</v>
      </c>
      <c r="F10" s="2278"/>
      <c r="G10" s="998"/>
      <c r="H10" s="895"/>
      <c r="I10" s="888"/>
      <c r="J10" s="2273"/>
      <c r="K10" s="2273"/>
      <c r="L10" s="2273"/>
      <c r="M10" s="2273"/>
    </row>
    <row r="11" customFormat="false" ht="14.5" hidden="false" customHeight="false" outlineLevel="0" collapsed="false">
      <c r="A11" s="902" t="s">
        <v>2001</v>
      </c>
      <c r="B11" s="902"/>
      <c r="C11" s="902"/>
      <c r="D11" s="924" t="s">
        <v>156</v>
      </c>
      <c r="E11" s="910"/>
      <c r="F11" s="898" t="n">
        <f aca="false">дома!AA38</f>
        <v>7.8</v>
      </c>
      <c r="G11" s="894" t="s">
        <v>3521</v>
      </c>
      <c r="H11" s="895"/>
      <c r="I11" s="888"/>
      <c r="J11" s="2273"/>
      <c r="K11" s="2273"/>
      <c r="L11" s="2273"/>
      <c r="M11" s="2273"/>
    </row>
    <row r="12" customFormat="false" ht="14.5" hidden="false" customHeight="false" outlineLevel="0" collapsed="false">
      <c r="A12" s="902" t="s">
        <v>2557</v>
      </c>
      <c r="B12" s="902"/>
      <c r="C12" s="902"/>
      <c r="D12" s="924" t="s">
        <v>156</v>
      </c>
      <c r="E12" s="910"/>
      <c r="F12" s="898" t="n">
        <f aca="false">дома!AA42</f>
        <v>7.8</v>
      </c>
      <c r="G12" s="894" t="s">
        <v>3522</v>
      </c>
      <c r="H12" s="895"/>
      <c r="I12" s="888"/>
      <c r="J12" s="2273"/>
      <c r="K12" s="2273"/>
      <c r="L12" s="2273"/>
      <c r="M12" s="2273"/>
    </row>
    <row r="13" customFormat="false" ht="14.5" hidden="false" customHeight="false" outlineLevel="0" collapsed="false">
      <c r="A13" s="902" t="s">
        <v>2558</v>
      </c>
      <c r="B13" s="902"/>
      <c r="C13" s="902"/>
      <c r="D13" s="924" t="s">
        <v>156</v>
      </c>
      <c r="E13" s="910"/>
      <c r="F13" s="898" t="n">
        <f aca="false">дома!AA51</f>
        <v>0</v>
      </c>
      <c r="G13" s="894" t="s">
        <v>3523</v>
      </c>
      <c r="H13" s="895"/>
      <c r="I13" s="888"/>
      <c r="J13" s="2273"/>
      <c r="K13" s="2273"/>
      <c r="L13" s="2273"/>
      <c r="M13" s="2273"/>
    </row>
    <row r="14" customFormat="false" ht="14.5" hidden="false" customHeight="false" outlineLevel="0" collapsed="false">
      <c r="A14" s="1200" t="s">
        <v>1515</v>
      </c>
      <c r="B14" s="1200"/>
      <c r="C14" s="1200"/>
      <c r="D14" s="925" t="s">
        <v>1800</v>
      </c>
      <c r="E14" s="925" t="s">
        <v>293</v>
      </c>
      <c r="F14" s="903" t="s">
        <v>1802</v>
      </c>
      <c r="G14" s="2279" t="s">
        <v>2866</v>
      </c>
      <c r="H14" s="894"/>
      <c r="I14" s="888"/>
      <c r="J14" s="2273"/>
      <c r="K14" s="2273"/>
      <c r="L14" s="2273"/>
      <c r="M14" s="2273"/>
    </row>
    <row r="15" customFormat="false" ht="14.5" hidden="false" customHeight="false" outlineLevel="0" collapsed="false">
      <c r="A15" s="1372" t="s">
        <v>2902</v>
      </c>
      <c r="B15" s="1372"/>
      <c r="C15" s="1372"/>
      <c r="D15" s="909" t="n">
        <f aca="false">'Ввод данных'!C68</f>
        <v>1</v>
      </c>
      <c r="E15" s="910" t="n">
        <f aca="false">'Ввод данных'!D68</f>
        <v>1.2</v>
      </c>
      <c r="F15" s="898" t="n">
        <f aca="false">'Ввод данных'!E68</f>
        <v>1</v>
      </c>
      <c r="G15" s="924" t="n">
        <f aca="false">D15*E15*F15</f>
        <v>1.2</v>
      </c>
      <c r="H15" s="894"/>
      <c r="I15" s="888"/>
      <c r="J15" s="2273"/>
      <c r="K15" s="2273"/>
      <c r="L15" s="2273"/>
      <c r="M15" s="2273"/>
    </row>
    <row r="16" customFormat="false" ht="14.5" hidden="false" customHeight="false" outlineLevel="0" collapsed="false">
      <c r="A16" s="1372" t="s">
        <v>2903</v>
      </c>
      <c r="B16" s="1372"/>
      <c r="C16" s="1372"/>
      <c r="D16" s="909" t="n">
        <f aca="false">'Ввод данных'!C69</f>
        <v>0.6</v>
      </c>
      <c r="E16" s="910" t="n">
        <f aca="false">'Ввод данных'!D69</f>
        <v>0.6</v>
      </c>
      <c r="F16" s="898" t="n">
        <f aca="false">'Ввод данных'!E69</f>
        <v>0</v>
      </c>
      <c r="G16" s="924" t="n">
        <f aca="false">D16*E16*F16</f>
        <v>0</v>
      </c>
      <c r="H16" s="894"/>
      <c r="I16" s="888"/>
      <c r="J16" s="2273"/>
      <c r="K16" s="2273"/>
      <c r="L16" s="2273"/>
      <c r="M16" s="2273"/>
    </row>
    <row r="17" customFormat="false" ht="14.5" hidden="false" customHeight="false" outlineLevel="0" collapsed="false">
      <c r="A17" s="1372" t="s">
        <v>2904</v>
      </c>
      <c r="B17" s="1372"/>
      <c r="C17" s="1372"/>
      <c r="D17" s="909" t="n">
        <f aca="false">'Ввод данных'!C70</f>
        <v>1</v>
      </c>
      <c r="E17" s="910" t="n">
        <f aca="false">'Ввод данных'!D70</f>
        <v>2</v>
      </c>
      <c r="F17" s="898" t="n">
        <f aca="false">'Ввод данных'!E70</f>
        <v>0</v>
      </c>
      <c r="G17" s="924" t="n">
        <f aca="false">D17*E17*F17</f>
        <v>0</v>
      </c>
      <c r="H17" s="894"/>
      <c r="I17" s="888"/>
      <c r="J17" s="2273"/>
      <c r="K17" s="2273"/>
      <c r="L17" s="2273"/>
      <c r="M17" s="2273"/>
    </row>
    <row r="18" customFormat="false" ht="14.5" hidden="false" customHeight="false" outlineLevel="0" collapsed="false">
      <c r="A18" s="1372" t="s">
        <v>2894</v>
      </c>
      <c r="B18" s="1372"/>
      <c r="C18" s="1372"/>
      <c r="D18" s="909" t="n">
        <f aca="false">'Ввод данных'!C73</f>
        <v>0.8</v>
      </c>
      <c r="E18" s="910" t="n">
        <f aca="false">'Ввод данных'!D73</f>
        <v>2.1</v>
      </c>
      <c r="F18" s="898" t="n">
        <f aca="false">'Ввод данных'!E73</f>
        <v>0</v>
      </c>
      <c r="G18" s="924" t="n">
        <f aca="false">D18*E18*F18</f>
        <v>0</v>
      </c>
      <c r="H18" s="894"/>
      <c r="I18" s="888"/>
      <c r="J18" s="2273"/>
      <c r="K18" s="2273"/>
      <c r="L18" s="2273"/>
      <c r="M18" s="2273"/>
    </row>
    <row r="19" customFormat="false" ht="14.5" hidden="false" customHeight="false" outlineLevel="0" collapsed="false">
      <c r="A19" s="2036" t="s">
        <v>2898</v>
      </c>
      <c r="B19" s="2036"/>
      <c r="C19" s="2036"/>
      <c r="D19" s="2036"/>
      <c r="E19" s="2036"/>
      <c r="F19" s="2036"/>
      <c r="G19" s="924" t="n">
        <f aca="false">SUM(G15:G18)</f>
        <v>1.2</v>
      </c>
      <c r="H19" s="894"/>
      <c r="I19" s="888"/>
      <c r="J19" s="2273"/>
      <c r="K19" s="2273"/>
      <c r="L19" s="2273"/>
      <c r="M19" s="2273"/>
    </row>
    <row r="20" customFormat="false" ht="14.5" hidden="false" customHeight="false" outlineLevel="0" collapsed="false">
      <c r="A20" s="1200" t="s">
        <v>2593</v>
      </c>
      <c r="B20" s="1200"/>
      <c r="C20" s="1200"/>
      <c r="D20" s="900" t="s">
        <v>1800</v>
      </c>
      <c r="E20" s="900" t="s">
        <v>293</v>
      </c>
      <c r="F20" s="900" t="s">
        <v>1802</v>
      </c>
      <c r="G20" s="900" t="s">
        <v>2900</v>
      </c>
      <c r="H20" s="894"/>
      <c r="I20" s="888"/>
      <c r="J20" s="2273"/>
      <c r="K20" s="2273"/>
      <c r="L20" s="2273"/>
      <c r="M20" s="2273"/>
    </row>
    <row r="21" customFormat="false" ht="14.5" hidden="false" customHeight="false" outlineLevel="0" collapsed="false">
      <c r="A21" s="1372" t="s">
        <v>2902</v>
      </c>
      <c r="B21" s="1372"/>
      <c r="C21" s="1372"/>
      <c r="D21" s="909" t="n">
        <f aca="false">'Ввод данных'!C91</f>
        <v>0.8</v>
      </c>
      <c r="E21" s="910" t="n">
        <f aca="false">'Ввод данных'!D91</f>
        <v>2.1</v>
      </c>
      <c r="F21" s="898" t="n">
        <f aca="false">'Ввод данных'!E91</f>
        <v>0</v>
      </c>
      <c r="G21" s="903" t="n">
        <f aca="false">D21*E21*F21</f>
        <v>0</v>
      </c>
      <c r="H21" s="894"/>
      <c r="I21" s="888"/>
      <c r="J21" s="2273"/>
      <c r="K21" s="2273"/>
      <c r="L21" s="2273"/>
      <c r="M21" s="2273"/>
    </row>
    <row r="22" customFormat="false" ht="14.5" hidden="false" customHeight="false" outlineLevel="0" collapsed="false">
      <c r="A22" s="1372" t="s">
        <v>2903</v>
      </c>
      <c r="B22" s="1372"/>
      <c r="C22" s="1372"/>
      <c r="D22" s="909" t="n">
        <f aca="false">'Ввод данных'!C92</f>
        <v>0.6</v>
      </c>
      <c r="E22" s="910" t="n">
        <f aca="false">'Ввод данных'!D92</f>
        <v>2</v>
      </c>
      <c r="F22" s="898" t="n">
        <f aca="false">'Ввод данных'!E92</f>
        <v>0</v>
      </c>
      <c r="G22" s="903" t="n">
        <f aca="false">D22*E22*F22</f>
        <v>0</v>
      </c>
      <c r="H22" s="894"/>
      <c r="I22" s="888"/>
      <c r="J22" s="2273"/>
      <c r="K22" s="2273"/>
      <c r="L22" s="2273"/>
      <c r="M22" s="2273"/>
    </row>
    <row r="23" customFormat="false" ht="14.5" hidden="false" customHeight="false" outlineLevel="0" collapsed="false">
      <c r="A23" s="1372" t="s">
        <v>2904</v>
      </c>
      <c r="B23" s="1372"/>
      <c r="C23" s="1372"/>
      <c r="D23" s="909" t="n">
        <f aca="false">'Ввод данных'!C95</f>
        <v>0.9</v>
      </c>
      <c r="E23" s="910" t="n">
        <f aca="false">'Ввод данных'!D95</f>
        <v>2.1</v>
      </c>
      <c r="F23" s="898" t="n">
        <f aca="false">'Ввод данных'!E95</f>
        <v>0</v>
      </c>
      <c r="G23" s="903" t="n">
        <f aca="false">D23*E23*F23</f>
        <v>0</v>
      </c>
      <c r="H23" s="894"/>
      <c r="I23" s="888"/>
      <c r="J23" s="2273"/>
      <c r="K23" s="2273"/>
      <c r="L23" s="2273"/>
      <c r="M23" s="2273"/>
    </row>
    <row r="24" customFormat="false" ht="14.5" hidden="false" customHeight="false" outlineLevel="0" collapsed="false">
      <c r="A24" s="1372" t="s">
        <v>2905</v>
      </c>
      <c r="B24" s="1372"/>
      <c r="C24" s="1372"/>
      <c r="D24" s="909" t="n">
        <f aca="false">'Ввод данных'!C99</f>
        <v>0.8</v>
      </c>
      <c r="E24" s="910" t="n">
        <f aca="false">'Ввод данных'!D99</f>
        <v>2.1</v>
      </c>
      <c r="F24" s="898" t="n">
        <f aca="false">'Ввод данных'!E99</f>
        <v>0</v>
      </c>
      <c r="G24" s="903" t="n">
        <f aca="false">D24*E24*F24</f>
        <v>0</v>
      </c>
      <c r="H24" s="894"/>
      <c r="I24" s="888"/>
      <c r="J24" s="2273"/>
      <c r="K24" s="2273"/>
      <c r="L24" s="2273"/>
      <c r="M24" s="2273"/>
    </row>
    <row r="25" customFormat="false" ht="14.5" hidden="false" customHeight="false" outlineLevel="0" collapsed="false">
      <c r="A25" s="2036" t="s">
        <v>3874</v>
      </c>
      <c r="B25" s="2036"/>
      <c r="C25" s="2036"/>
      <c r="D25" s="2036"/>
      <c r="E25" s="2036"/>
      <c r="F25" s="2036"/>
      <c r="G25" s="903" t="n">
        <f aca="false">SUM(G21:G24)</f>
        <v>0</v>
      </c>
      <c r="H25" s="894"/>
      <c r="I25" s="888"/>
      <c r="J25" s="2273"/>
      <c r="K25" s="2273"/>
      <c r="L25" s="2273"/>
      <c r="M25" s="2273"/>
    </row>
    <row r="26" customFormat="false" ht="14.5" hidden="false" customHeight="false" outlineLevel="0" collapsed="false">
      <c r="A26" s="1200" t="s">
        <v>1217</v>
      </c>
      <c r="B26" s="1200"/>
      <c r="C26" s="1200"/>
      <c r="D26" s="900" t="s">
        <v>1800</v>
      </c>
      <c r="E26" s="900" t="s">
        <v>293</v>
      </c>
      <c r="F26" s="900" t="s">
        <v>1802</v>
      </c>
      <c r="G26" s="900" t="s">
        <v>2900</v>
      </c>
      <c r="H26" s="894"/>
      <c r="I26" s="888"/>
      <c r="J26" s="2273"/>
      <c r="K26" s="2273"/>
      <c r="L26" s="2273"/>
      <c r="M26" s="2273"/>
    </row>
    <row r="27" customFormat="false" ht="14.5" hidden="false" customHeight="false" outlineLevel="0" collapsed="false">
      <c r="A27" s="1372" t="s">
        <v>2902</v>
      </c>
      <c r="B27" s="1372"/>
      <c r="C27" s="1372"/>
      <c r="D27" s="909" t="n">
        <f aca="false">'Ввод данных'!C85</f>
        <v>0.8</v>
      </c>
      <c r="E27" s="910" t="n">
        <f aca="false">'Ввод данных'!D85</f>
        <v>2</v>
      </c>
      <c r="F27" s="898" t="n">
        <f aca="false">'Ввод данных'!E85</f>
        <v>0</v>
      </c>
      <c r="G27" s="903" t="n">
        <f aca="false">D27*E27*F27</f>
        <v>0</v>
      </c>
      <c r="H27" s="894"/>
      <c r="I27" s="888"/>
      <c r="J27" s="2273"/>
      <c r="K27" s="2273"/>
      <c r="L27" s="2273"/>
      <c r="M27" s="2273"/>
    </row>
    <row r="28" customFormat="false" ht="14.5" hidden="false" customHeight="false" outlineLevel="0" collapsed="false">
      <c r="A28" s="1372" t="s">
        <v>2903</v>
      </c>
      <c r="B28" s="1372"/>
      <c r="C28" s="1372"/>
      <c r="D28" s="909" t="n">
        <f aca="false">'Ввод данных'!C86</f>
        <v>0.9</v>
      </c>
      <c r="E28" s="910" t="n">
        <f aca="false">'Ввод данных'!D86</f>
        <v>2.1</v>
      </c>
      <c r="F28" s="898" t="n">
        <f aca="false">'Ввод данных'!E86</f>
        <v>0</v>
      </c>
      <c r="G28" s="903" t="n">
        <f aca="false">D28*E28*F28</f>
        <v>0</v>
      </c>
      <c r="H28" s="894"/>
      <c r="I28" s="888"/>
      <c r="J28" s="2273"/>
      <c r="K28" s="2273"/>
      <c r="L28" s="2273"/>
      <c r="M28" s="2273"/>
    </row>
    <row r="29" customFormat="false" ht="14.5" hidden="false" customHeight="false" outlineLevel="0" collapsed="false">
      <c r="A29" s="1372" t="s">
        <v>2904</v>
      </c>
      <c r="B29" s="1372"/>
      <c r="C29" s="1372"/>
      <c r="D29" s="909" t="n">
        <f aca="false">'Ввод данных'!C87</f>
        <v>1</v>
      </c>
      <c r="E29" s="910" t="n">
        <f aca="false">'Ввод данных'!D87</f>
        <v>2</v>
      </c>
      <c r="F29" s="898" t="n">
        <f aca="false">'Ввод данных'!E87</f>
        <v>0</v>
      </c>
      <c r="G29" s="903" t="n">
        <f aca="false">D29*E29*F29</f>
        <v>0</v>
      </c>
      <c r="H29" s="894"/>
      <c r="I29" s="888"/>
      <c r="J29" s="2273"/>
      <c r="K29" s="2273"/>
      <c r="L29" s="2273"/>
      <c r="M29" s="2273"/>
    </row>
    <row r="30" customFormat="false" ht="14.5" hidden="false" customHeight="false" outlineLevel="0" collapsed="false">
      <c r="A30" s="2036" t="s">
        <v>2898</v>
      </c>
      <c r="B30" s="2036"/>
      <c r="C30" s="2036"/>
      <c r="D30" s="2036"/>
      <c r="E30" s="2036"/>
      <c r="F30" s="2036"/>
      <c r="G30" s="903" t="n">
        <f aca="false">SUM(G27:G29)</f>
        <v>0</v>
      </c>
      <c r="H30" s="894"/>
      <c r="I30" s="888"/>
      <c r="J30" s="2273"/>
      <c r="K30" s="2273"/>
      <c r="L30" s="2273"/>
      <c r="M30" s="2273"/>
    </row>
    <row r="31" customFormat="false" ht="14.5" hidden="false" customHeight="false" outlineLevel="0" collapsed="false">
      <c r="A31" s="2039"/>
      <c r="B31" s="2039"/>
      <c r="C31" s="2039"/>
      <c r="D31" s="2039"/>
      <c r="E31" s="895"/>
      <c r="F31" s="895"/>
      <c r="G31" s="895"/>
      <c r="H31" s="888"/>
      <c r="I31" s="888"/>
      <c r="J31" s="2273"/>
      <c r="K31" s="2273"/>
      <c r="L31" s="2273"/>
      <c r="M31" s="2273"/>
    </row>
    <row r="32" customFormat="false" ht="14.5" hidden="false" customHeight="false" outlineLevel="0" collapsed="false">
      <c r="A32" s="890" t="s">
        <v>1236</v>
      </c>
      <c r="B32" s="890"/>
      <c r="C32" s="900" t="s">
        <v>208</v>
      </c>
      <c r="D32" s="900" t="s">
        <v>853</v>
      </c>
      <c r="E32" s="2280" t="s">
        <v>1802</v>
      </c>
      <c r="F32" s="890" t="s">
        <v>853</v>
      </c>
      <c r="G32" s="895"/>
      <c r="H32" s="888"/>
      <c r="I32" s="888"/>
      <c r="J32" s="2273"/>
      <c r="K32" s="2273"/>
      <c r="L32" s="2273"/>
      <c r="M32" s="2273"/>
    </row>
    <row r="33" customFormat="false" ht="14.5" hidden="false" customHeight="false" outlineLevel="0" collapsed="false">
      <c r="A33" s="680" t="s">
        <v>1862</v>
      </c>
      <c r="B33" s="680"/>
      <c r="C33" s="903" t="s">
        <v>156</v>
      </c>
      <c r="D33" s="1082" t="n">
        <f aca="false">'Ввод данных'!C112</f>
        <v>6</v>
      </c>
      <c r="E33" s="2281" t="n">
        <f aca="false">'Ввод данных'!D112</f>
        <v>2</v>
      </c>
      <c r="F33" s="903" t="n">
        <f aca="false">D33*E33</f>
        <v>12</v>
      </c>
      <c r="G33" s="895"/>
      <c r="H33" s="888"/>
      <c r="I33" s="888"/>
      <c r="J33" s="2273"/>
      <c r="K33" s="2273"/>
      <c r="L33" s="2273"/>
      <c r="M33" s="2273"/>
    </row>
    <row r="34" customFormat="false" ht="14.5" hidden="false" customHeight="false" outlineLevel="0" collapsed="false">
      <c r="A34" s="680"/>
      <c r="B34" s="680"/>
      <c r="C34" s="903" t="s">
        <v>156</v>
      </c>
      <c r="D34" s="1082" t="n">
        <f aca="false">'Ввод данных'!C113</f>
        <v>4</v>
      </c>
      <c r="E34" s="2281" t="n">
        <f aca="false">'Ввод данных'!D113</f>
        <v>1</v>
      </c>
      <c r="F34" s="903" t="n">
        <f aca="false">D34*E34</f>
        <v>4</v>
      </c>
      <c r="G34" s="895"/>
      <c r="H34" s="888"/>
      <c r="I34" s="888"/>
      <c r="J34" s="2273"/>
      <c r="K34" s="2273"/>
      <c r="L34" s="2273"/>
      <c r="M34" s="2273"/>
    </row>
    <row r="35" customFormat="false" ht="14.5" hidden="false" customHeight="false" outlineLevel="0" collapsed="false">
      <c r="A35" s="680"/>
      <c r="B35" s="680"/>
      <c r="C35" s="903" t="s">
        <v>156</v>
      </c>
      <c r="D35" s="1082" t="n">
        <f aca="false">'Ввод данных'!C114</f>
        <v>0</v>
      </c>
      <c r="E35" s="2281" t="n">
        <f aca="false">'Ввод данных'!D114</f>
        <v>0</v>
      </c>
      <c r="F35" s="903" t="n">
        <f aca="false">D35*E35</f>
        <v>0</v>
      </c>
      <c r="G35" s="895"/>
      <c r="H35" s="888"/>
      <c r="I35" s="888"/>
      <c r="J35" s="2273"/>
      <c r="K35" s="2273"/>
      <c r="L35" s="2273"/>
      <c r="M35" s="2273"/>
    </row>
    <row r="36" customFormat="false" ht="14.5" hidden="false" customHeight="false" outlineLevel="0" collapsed="false">
      <c r="A36" s="680"/>
      <c r="B36" s="680"/>
      <c r="C36" s="903" t="s">
        <v>156</v>
      </c>
      <c r="D36" s="1082" t="n">
        <f aca="false">'Ввод данных'!C115</f>
        <v>0</v>
      </c>
      <c r="E36" s="2281" t="n">
        <f aca="false">'Ввод данных'!D115</f>
        <v>0</v>
      </c>
      <c r="F36" s="903" t="n">
        <f aca="false">D36*E36</f>
        <v>0</v>
      </c>
      <c r="G36" s="895"/>
      <c r="H36" s="888"/>
      <c r="I36" s="888"/>
      <c r="J36" s="2273"/>
      <c r="K36" s="2273"/>
      <c r="L36" s="2273"/>
      <c r="M36" s="2273"/>
    </row>
    <row r="37" customFormat="false" ht="14.5" hidden="false" customHeight="false" outlineLevel="0" collapsed="false">
      <c r="A37" s="680" t="s">
        <v>1866</v>
      </c>
      <c r="B37" s="680"/>
      <c r="C37" s="903" t="s">
        <v>156</v>
      </c>
      <c r="D37" s="1082" t="n">
        <f aca="false">'Ввод данных'!C116</f>
        <v>1.8</v>
      </c>
      <c r="E37" s="2281" t="n">
        <f aca="false">'Ввод данных'!D116</f>
        <v>1</v>
      </c>
      <c r="F37" s="903" t="n">
        <f aca="false">D37*E37</f>
        <v>1.8</v>
      </c>
      <c r="G37" s="895"/>
      <c r="H37" s="888"/>
      <c r="I37" s="888"/>
      <c r="J37" s="2273"/>
      <c r="K37" s="2273"/>
      <c r="L37" s="2273"/>
      <c r="M37" s="2273"/>
    </row>
    <row r="38" customFormat="false" ht="14.5" hidden="false" customHeight="false" outlineLevel="0" collapsed="false">
      <c r="A38" s="680"/>
      <c r="B38" s="680"/>
      <c r="C38" s="903" t="s">
        <v>156</v>
      </c>
      <c r="D38" s="1082" t="n">
        <f aca="false">'Ввод данных'!C117</f>
        <v>0</v>
      </c>
      <c r="E38" s="2281" t="n">
        <f aca="false">'Ввод данных'!D117</f>
        <v>0</v>
      </c>
      <c r="F38" s="903" t="n">
        <f aca="false">D38*E38</f>
        <v>0</v>
      </c>
      <c r="G38" s="895"/>
      <c r="H38" s="888"/>
      <c r="I38" s="895"/>
      <c r="J38" s="2273"/>
      <c r="K38" s="2273"/>
      <c r="L38" s="2273"/>
      <c r="M38" s="2273"/>
    </row>
    <row r="39" customFormat="false" ht="14.5" hidden="false" customHeight="false" outlineLevel="0" collapsed="false">
      <c r="A39" s="680"/>
      <c r="B39" s="680"/>
      <c r="C39" s="903" t="s">
        <v>156</v>
      </c>
      <c r="D39" s="1082" t="n">
        <f aca="false">'Ввод данных'!C118</f>
        <v>0</v>
      </c>
      <c r="E39" s="2281" t="n">
        <f aca="false">'Ввод данных'!D118</f>
        <v>0</v>
      </c>
      <c r="F39" s="903" t="n">
        <f aca="false">D39*E39</f>
        <v>0</v>
      </c>
      <c r="G39" s="895"/>
      <c r="H39" s="888"/>
      <c r="I39" s="895"/>
      <c r="J39" s="2273"/>
      <c r="K39" s="2273"/>
      <c r="L39" s="2273"/>
      <c r="M39" s="2273"/>
    </row>
    <row r="40" customFormat="false" ht="14.5" hidden="false" customHeight="false" outlineLevel="0" collapsed="false">
      <c r="A40" s="680"/>
      <c r="B40" s="680"/>
      <c r="C40" s="903" t="s">
        <v>156</v>
      </c>
      <c r="D40" s="1082" t="n">
        <f aca="false">'Ввод данных'!C119</f>
        <v>0</v>
      </c>
      <c r="E40" s="2281" t="n">
        <f aca="false">'Ввод данных'!D119</f>
        <v>0</v>
      </c>
      <c r="F40" s="903" t="n">
        <f aca="false">D40*E40</f>
        <v>0</v>
      </c>
      <c r="G40" s="895"/>
      <c r="H40" s="888"/>
      <c r="I40" s="895"/>
      <c r="J40" s="2273"/>
      <c r="K40" s="2273"/>
      <c r="L40" s="2273"/>
      <c r="M40" s="2273"/>
    </row>
    <row r="41" customFormat="false" ht="14.5" hidden="false" customHeight="false" outlineLevel="0" collapsed="false">
      <c r="A41" s="680" t="s">
        <v>1867</v>
      </c>
      <c r="B41" s="680"/>
      <c r="C41" s="903" t="s">
        <v>156</v>
      </c>
      <c r="D41" s="1082" t="n">
        <f aca="false">'Ввод данных'!C120</f>
        <v>0</v>
      </c>
      <c r="E41" s="2281" t="n">
        <f aca="false">'Ввод данных'!D120</f>
        <v>0</v>
      </c>
      <c r="F41" s="903" t="n">
        <f aca="false">D41*E41</f>
        <v>0</v>
      </c>
      <c r="G41" s="895"/>
      <c r="H41" s="888"/>
      <c r="I41" s="895"/>
      <c r="J41" s="2273"/>
      <c r="K41" s="2273"/>
      <c r="L41" s="2273"/>
      <c r="M41" s="2273"/>
    </row>
    <row r="42" customFormat="false" ht="14.5" hidden="false" customHeight="false" outlineLevel="0" collapsed="false">
      <c r="A42" s="680"/>
      <c r="B42" s="680"/>
      <c r="C42" s="903" t="s">
        <v>156</v>
      </c>
      <c r="D42" s="1082" t="n">
        <f aca="false">'Ввод данных'!C121</f>
        <v>0</v>
      </c>
      <c r="E42" s="2281" t="n">
        <f aca="false">'Ввод данных'!D121</f>
        <v>0</v>
      </c>
      <c r="F42" s="903" t="n">
        <f aca="false">D42*E42</f>
        <v>0</v>
      </c>
      <c r="G42" s="895"/>
      <c r="H42" s="888"/>
      <c r="I42" s="895"/>
      <c r="J42" s="2273"/>
      <c r="K42" s="2273"/>
      <c r="L42" s="2273"/>
      <c r="M42" s="2273"/>
    </row>
    <row r="43" customFormat="false" ht="14.5" hidden="false" customHeight="false" outlineLevel="0" collapsed="false">
      <c r="A43" s="680"/>
      <c r="B43" s="680"/>
      <c r="C43" s="903" t="s">
        <v>156</v>
      </c>
      <c r="D43" s="1082" t="n">
        <f aca="false">'Ввод данных'!C122</f>
        <v>0</v>
      </c>
      <c r="E43" s="2281" t="n">
        <f aca="false">'Ввод данных'!D122</f>
        <v>0</v>
      </c>
      <c r="F43" s="903" t="n">
        <f aca="false">D43*E43</f>
        <v>0</v>
      </c>
      <c r="G43" s="895"/>
      <c r="H43" s="888"/>
      <c r="I43" s="888"/>
      <c r="J43" s="2273"/>
      <c r="K43" s="2273"/>
      <c r="L43" s="2273"/>
      <c r="M43" s="2273"/>
    </row>
    <row r="44" customFormat="false" ht="14.5" hidden="false" customHeight="false" outlineLevel="0" collapsed="false">
      <c r="A44" s="680"/>
      <c r="B44" s="680"/>
      <c r="C44" s="903" t="s">
        <v>156</v>
      </c>
      <c r="D44" s="1082" t="n">
        <f aca="false">'Ввод данных'!C123</f>
        <v>0</v>
      </c>
      <c r="E44" s="2281" t="n">
        <f aca="false">'Ввод данных'!D123</f>
        <v>0</v>
      </c>
      <c r="F44" s="903" t="n">
        <f aca="false">D44*E44</f>
        <v>0</v>
      </c>
      <c r="G44" s="895"/>
      <c r="H44" s="888"/>
      <c r="I44" s="895"/>
      <c r="J44" s="2273"/>
      <c r="K44" s="2273"/>
      <c r="L44" s="2273"/>
      <c r="M44" s="2273"/>
    </row>
    <row r="45" customFormat="false" ht="14.5" hidden="false" customHeight="false" outlineLevel="0" collapsed="false">
      <c r="A45" s="680" t="s">
        <v>1869</v>
      </c>
      <c r="B45" s="680"/>
      <c r="C45" s="903" t="s">
        <v>156</v>
      </c>
      <c r="D45" s="1082" t="n">
        <f aca="false">'Ввод данных'!C124</f>
        <v>3</v>
      </c>
      <c r="E45" s="2281" t="n">
        <f aca="false">'Ввод данных'!D124</f>
        <v>2</v>
      </c>
      <c r="F45" s="903" t="n">
        <f aca="false">D45*E45</f>
        <v>6</v>
      </c>
      <c r="G45" s="895"/>
      <c r="H45" s="888"/>
      <c r="I45" s="895"/>
      <c r="J45" s="2273"/>
      <c r="K45" s="2273"/>
      <c r="L45" s="2273"/>
      <c r="M45" s="2273"/>
    </row>
    <row r="46" customFormat="false" ht="14.5" hidden="false" customHeight="false" outlineLevel="0" collapsed="false">
      <c r="A46" s="680"/>
      <c r="B46" s="680"/>
      <c r="C46" s="903" t="s">
        <v>156</v>
      </c>
      <c r="D46" s="1082" t="n">
        <f aca="false">'Ввод данных'!C125</f>
        <v>0</v>
      </c>
      <c r="E46" s="2281" t="n">
        <f aca="false">'Ввод данных'!D125</f>
        <v>0</v>
      </c>
      <c r="F46" s="903" t="n">
        <f aca="false">D46*E46</f>
        <v>0</v>
      </c>
      <c r="G46" s="895"/>
      <c r="H46" s="492"/>
      <c r="I46" s="895"/>
      <c r="J46" s="2273"/>
      <c r="K46" s="2273"/>
      <c r="L46" s="2273"/>
      <c r="M46" s="2273"/>
    </row>
    <row r="47" customFormat="false" ht="14.5" hidden="false" customHeight="false" outlineLevel="0" collapsed="false">
      <c r="A47" s="680"/>
      <c r="B47" s="680"/>
      <c r="C47" s="903" t="s">
        <v>156</v>
      </c>
      <c r="D47" s="1082" t="n">
        <f aca="false">'Ввод данных'!C126</f>
        <v>0</v>
      </c>
      <c r="E47" s="2281" t="n">
        <f aca="false">'Ввод данных'!D126</f>
        <v>0</v>
      </c>
      <c r="F47" s="903" t="n">
        <f aca="false">D47*E47</f>
        <v>0</v>
      </c>
      <c r="G47" s="895"/>
      <c r="H47" s="492"/>
      <c r="I47" s="894"/>
      <c r="J47" s="2273"/>
      <c r="K47" s="2273"/>
      <c r="L47" s="2273"/>
      <c r="M47" s="2273"/>
    </row>
    <row r="48" customFormat="false" ht="14.5" hidden="false" customHeight="false" outlineLevel="0" collapsed="false">
      <c r="A48" s="680"/>
      <c r="B48" s="680"/>
      <c r="C48" s="903" t="s">
        <v>156</v>
      </c>
      <c r="D48" s="1082" t="n">
        <f aca="false">'Ввод данных'!C127</f>
        <v>0</v>
      </c>
      <c r="E48" s="2281" t="n">
        <f aca="false">'Ввод данных'!D127</f>
        <v>0</v>
      </c>
      <c r="F48" s="903" t="n">
        <f aca="false">D48*E48</f>
        <v>0</v>
      </c>
      <c r="G48" s="895"/>
      <c r="H48" s="492"/>
      <c r="I48" s="895"/>
      <c r="J48" s="2273"/>
      <c r="K48" s="2273"/>
      <c r="L48" s="2273"/>
      <c r="M48" s="2273"/>
    </row>
    <row r="49" customFormat="false" ht="14.5" hidden="false" customHeight="false" outlineLevel="0" collapsed="false">
      <c r="A49" s="680" t="s">
        <v>1870</v>
      </c>
      <c r="B49" s="680"/>
      <c r="C49" s="903" t="s">
        <v>156</v>
      </c>
      <c r="D49" s="1082" t="n">
        <f aca="false">'Ввод данных'!C128</f>
        <v>3.5</v>
      </c>
      <c r="E49" s="2281" t="n">
        <f aca="false">'Ввод данных'!D128</f>
        <v>1</v>
      </c>
      <c r="F49" s="903" t="n">
        <f aca="false">D49*E49</f>
        <v>3.5</v>
      </c>
      <c r="G49" s="540"/>
      <c r="H49" s="347"/>
      <c r="I49" s="895"/>
      <c r="J49" s="2273"/>
      <c r="K49" s="2273"/>
      <c r="L49" s="2273"/>
      <c r="M49" s="2273"/>
    </row>
    <row r="50" customFormat="false" ht="14.5" hidden="false" customHeight="false" outlineLevel="0" collapsed="false">
      <c r="A50" s="680"/>
      <c r="B50" s="680"/>
      <c r="C50" s="903" t="s">
        <v>156</v>
      </c>
      <c r="D50" s="1082" t="n">
        <f aca="false">'Ввод данных'!C129</f>
        <v>0</v>
      </c>
      <c r="E50" s="2281" t="n">
        <f aca="false">'Ввод данных'!D129</f>
        <v>0</v>
      </c>
      <c r="F50" s="903" t="n">
        <f aca="false">D50*E50</f>
        <v>0</v>
      </c>
      <c r="G50" s="540"/>
      <c r="H50" s="347"/>
      <c r="I50" s="895"/>
      <c r="J50" s="2273"/>
      <c r="K50" s="2273"/>
      <c r="L50" s="2273"/>
      <c r="M50" s="2273"/>
    </row>
    <row r="51" customFormat="false" ht="14.5" hidden="false" customHeight="false" outlineLevel="0" collapsed="false">
      <c r="A51" s="680"/>
      <c r="B51" s="680"/>
      <c r="C51" s="903" t="s">
        <v>156</v>
      </c>
      <c r="D51" s="1082" t="n">
        <f aca="false">'Ввод данных'!C130</f>
        <v>0</v>
      </c>
      <c r="E51" s="2281" t="n">
        <f aca="false">'Ввод данных'!D130</f>
        <v>0</v>
      </c>
      <c r="F51" s="903" t="n">
        <f aca="false">D51*E51</f>
        <v>0</v>
      </c>
      <c r="G51" s="540"/>
      <c r="H51" s="347"/>
      <c r="I51" s="895"/>
      <c r="J51" s="2273"/>
      <c r="K51" s="2273"/>
      <c r="L51" s="2273"/>
      <c r="M51" s="2273"/>
    </row>
    <row r="52" customFormat="false" ht="14.5" hidden="false" customHeight="false" outlineLevel="0" collapsed="false">
      <c r="A52" s="680"/>
      <c r="B52" s="680"/>
      <c r="C52" s="903" t="s">
        <v>156</v>
      </c>
      <c r="D52" s="1082" t="n">
        <f aca="false">'Ввод данных'!C131</f>
        <v>0</v>
      </c>
      <c r="E52" s="2281" t="n">
        <f aca="false">'Ввод данных'!D131</f>
        <v>0</v>
      </c>
      <c r="F52" s="903" t="n">
        <f aca="false">D52*E52</f>
        <v>0</v>
      </c>
      <c r="G52" s="895"/>
      <c r="H52" s="895"/>
      <c r="I52" s="895"/>
      <c r="J52" s="2273"/>
      <c r="K52" s="2273"/>
      <c r="L52" s="2273"/>
      <c r="M52" s="2273"/>
    </row>
    <row r="53" customFormat="false" ht="14.5" hidden="false" customHeight="false" outlineLevel="0" collapsed="false">
      <c r="A53" s="680" t="s">
        <v>1872</v>
      </c>
      <c r="B53" s="680"/>
      <c r="C53" s="903" t="s">
        <v>156</v>
      </c>
      <c r="D53" s="1082" t="n">
        <f aca="false">'Ввод данных'!C132</f>
        <v>0</v>
      </c>
      <c r="E53" s="2281" t="n">
        <f aca="false">'Ввод данных'!D132</f>
        <v>0</v>
      </c>
      <c r="F53" s="903" t="n">
        <f aca="false">D53*E53</f>
        <v>0</v>
      </c>
      <c r="G53" s="895"/>
      <c r="H53" s="492"/>
      <c r="I53" s="2282" t="s">
        <v>1906</v>
      </c>
      <c r="J53" s="2273"/>
      <c r="K53" s="2273"/>
      <c r="L53" s="2273"/>
      <c r="M53" s="2273"/>
    </row>
    <row r="54" customFormat="false" ht="14.5" hidden="false" customHeight="false" outlineLevel="0" collapsed="false">
      <c r="A54" s="680"/>
      <c r="B54" s="680"/>
      <c r="C54" s="903" t="s">
        <v>156</v>
      </c>
      <c r="D54" s="1082" t="n">
        <f aca="false">'Ввод данных'!C133</f>
        <v>0</v>
      </c>
      <c r="E54" s="2281" t="n">
        <f aca="false">'Ввод данных'!D133</f>
        <v>0</v>
      </c>
      <c r="F54" s="903" t="n">
        <f aca="false">D54*E54</f>
        <v>0</v>
      </c>
      <c r="G54" s="895"/>
      <c r="H54" s="492"/>
      <c r="I54" s="2282"/>
      <c r="J54" s="2273"/>
      <c r="K54" s="2273"/>
      <c r="L54" s="2273"/>
      <c r="M54" s="2273"/>
    </row>
    <row r="55" customFormat="false" ht="14.5" hidden="false" customHeight="false" outlineLevel="0" collapsed="false">
      <c r="A55" s="680"/>
      <c r="B55" s="680"/>
      <c r="C55" s="903" t="s">
        <v>156</v>
      </c>
      <c r="D55" s="1082" t="n">
        <f aca="false">'Ввод данных'!C134</f>
        <v>0</v>
      </c>
      <c r="E55" s="2281" t="n">
        <f aca="false">'Ввод данных'!D134</f>
        <v>0</v>
      </c>
      <c r="F55" s="903" t="n">
        <f aca="false">D55*E55</f>
        <v>0</v>
      </c>
      <c r="G55" s="895"/>
      <c r="H55" s="492"/>
      <c r="I55" s="2282"/>
      <c r="J55" s="2273"/>
      <c r="K55" s="2273"/>
      <c r="L55" s="2273"/>
      <c r="M55" s="2273"/>
    </row>
    <row r="56" customFormat="false" ht="14.5" hidden="false" customHeight="false" outlineLevel="0" collapsed="false">
      <c r="A56" s="680"/>
      <c r="B56" s="680"/>
      <c r="C56" s="903" t="s">
        <v>156</v>
      </c>
      <c r="D56" s="1082" t="n">
        <f aca="false">'Ввод данных'!C135</f>
        <v>0</v>
      </c>
      <c r="E56" s="2281" t="n">
        <f aca="false">'Ввод данных'!D135</f>
        <v>0</v>
      </c>
      <c r="F56" s="903" t="n">
        <f aca="false">D56*E56</f>
        <v>0</v>
      </c>
      <c r="G56" s="895"/>
      <c r="H56" s="461"/>
      <c r="I56" s="2282"/>
      <c r="J56" s="2273"/>
      <c r="K56" s="2273"/>
      <c r="L56" s="2273"/>
      <c r="M56" s="2273"/>
    </row>
    <row r="57" customFormat="false" ht="14.5" hidden="false" customHeight="false" outlineLevel="0" collapsed="false">
      <c r="A57" s="680" t="s">
        <v>1875</v>
      </c>
      <c r="B57" s="680"/>
      <c r="C57" s="903" t="s">
        <v>156</v>
      </c>
      <c r="D57" s="1082" t="n">
        <f aca="false">'Ввод данных'!C136</f>
        <v>4</v>
      </c>
      <c r="E57" s="2281" t="n">
        <f aca="false">'Ввод данных'!D136</f>
        <v>1</v>
      </c>
      <c r="F57" s="903" t="n">
        <f aca="false">D57*E57</f>
        <v>4</v>
      </c>
      <c r="G57" s="895"/>
      <c r="H57" s="461"/>
      <c r="I57" s="2282"/>
      <c r="J57" s="2273"/>
      <c r="K57" s="2273"/>
      <c r="L57" s="2273"/>
      <c r="M57" s="2273"/>
    </row>
    <row r="58" customFormat="false" ht="14.5" hidden="false" customHeight="false" outlineLevel="0" collapsed="false">
      <c r="A58" s="680"/>
      <c r="B58" s="680"/>
      <c r="C58" s="903" t="s">
        <v>156</v>
      </c>
      <c r="D58" s="1082" t="n">
        <f aca="false">'Ввод данных'!C137</f>
        <v>2</v>
      </c>
      <c r="E58" s="2281" t="n">
        <f aca="false">'Ввод данных'!D137</f>
        <v>1</v>
      </c>
      <c r="F58" s="903" t="n">
        <f aca="false">D58*E58</f>
        <v>2</v>
      </c>
      <c r="G58" s="895"/>
      <c r="H58" s="461"/>
      <c r="I58" s="2282"/>
      <c r="J58" s="2273"/>
      <c r="K58" s="2273"/>
      <c r="L58" s="2273"/>
      <c r="M58" s="2273"/>
    </row>
    <row r="59" customFormat="false" ht="14.5" hidden="false" customHeight="false" outlineLevel="0" collapsed="false">
      <c r="A59" s="680"/>
      <c r="B59" s="680"/>
      <c r="C59" s="903" t="s">
        <v>156</v>
      </c>
      <c r="D59" s="1082" t="n">
        <f aca="false">'Ввод данных'!C138</f>
        <v>3</v>
      </c>
      <c r="E59" s="2281" t="n">
        <f aca="false">'Ввод данных'!D138</f>
        <v>1</v>
      </c>
      <c r="F59" s="903" t="n">
        <f aca="false">D59*E59</f>
        <v>3</v>
      </c>
      <c r="G59" s="895"/>
      <c r="H59" s="461"/>
      <c r="I59" s="2282"/>
      <c r="J59" s="2273"/>
      <c r="K59" s="2273"/>
      <c r="L59" s="2273"/>
      <c r="M59" s="2273"/>
    </row>
    <row r="60" customFormat="false" ht="14.5" hidden="false" customHeight="false" outlineLevel="0" collapsed="false">
      <c r="A60" s="680"/>
      <c r="B60" s="680"/>
      <c r="C60" s="903" t="s">
        <v>156</v>
      </c>
      <c r="D60" s="1082" t="n">
        <f aca="false">'Ввод данных'!C139</f>
        <v>0</v>
      </c>
      <c r="E60" s="2281" t="n">
        <f aca="false">'Ввод данных'!D139</f>
        <v>0</v>
      </c>
      <c r="F60" s="903" t="n">
        <f aca="false">D60*E60</f>
        <v>0</v>
      </c>
      <c r="G60" s="895"/>
      <c r="H60" s="461"/>
      <c r="I60" s="2282"/>
      <c r="J60" s="2273"/>
      <c r="K60" s="2273"/>
      <c r="L60" s="2273"/>
      <c r="M60" s="2273"/>
    </row>
    <row r="61" customFormat="false" ht="14.5" hidden="false" customHeight="false" outlineLevel="0" collapsed="false">
      <c r="A61" s="680" t="s">
        <v>1880</v>
      </c>
      <c r="B61" s="680"/>
      <c r="C61" s="903" t="s">
        <v>156</v>
      </c>
      <c r="D61" s="1082" t="n">
        <f aca="false">'Ввод данных'!C140</f>
        <v>0</v>
      </c>
      <c r="E61" s="2281" t="n">
        <f aca="false">'Ввод данных'!D140</f>
        <v>0</v>
      </c>
      <c r="F61" s="903" t="n">
        <f aca="false">D61*E61</f>
        <v>0</v>
      </c>
      <c r="G61" s="895"/>
      <c r="H61" s="461"/>
      <c r="I61" s="895"/>
      <c r="J61" s="2273"/>
      <c r="K61" s="2273"/>
      <c r="L61" s="2273"/>
      <c r="M61" s="2273"/>
    </row>
    <row r="62" customFormat="false" ht="14.5" hidden="false" customHeight="false" outlineLevel="0" collapsed="false">
      <c r="A62" s="680"/>
      <c r="B62" s="680"/>
      <c r="C62" s="903" t="s">
        <v>156</v>
      </c>
      <c r="D62" s="1082" t="n">
        <f aca="false">'Ввод данных'!C141</f>
        <v>0</v>
      </c>
      <c r="E62" s="2281" t="n">
        <f aca="false">'Ввод данных'!D141</f>
        <v>0</v>
      </c>
      <c r="F62" s="903" t="n">
        <f aca="false">D62*E62</f>
        <v>0</v>
      </c>
      <c r="G62" s="895"/>
      <c r="H62" s="461"/>
      <c r="I62" s="895"/>
      <c r="J62" s="2273"/>
      <c r="K62" s="2273"/>
      <c r="L62" s="2273"/>
      <c r="M62" s="2273"/>
    </row>
    <row r="63" customFormat="false" ht="14.5" hidden="false" customHeight="false" outlineLevel="0" collapsed="false">
      <c r="A63" s="680"/>
      <c r="B63" s="680"/>
      <c r="C63" s="903" t="s">
        <v>156</v>
      </c>
      <c r="D63" s="1082" t="n">
        <f aca="false">'Ввод данных'!C142</f>
        <v>0</v>
      </c>
      <c r="E63" s="2281" t="n">
        <f aca="false">'Ввод данных'!D142</f>
        <v>0</v>
      </c>
      <c r="F63" s="903" t="n">
        <f aca="false">D63*E63</f>
        <v>0</v>
      </c>
      <c r="G63" s="895"/>
      <c r="H63" s="461"/>
      <c r="I63" s="895"/>
      <c r="J63" s="2273"/>
      <c r="K63" s="2273"/>
      <c r="L63" s="2273"/>
      <c r="M63" s="2273"/>
    </row>
    <row r="64" customFormat="false" ht="14.5" hidden="false" customHeight="false" outlineLevel="0" collapsed="false">
      <c r="A64" s="680"/>
      <c r="B64" s="680"/>
      <c r="C64" s="903" t="s">
        <v>156</v>
      </c>
      <c r="D64" s="1082" t="n">
        <f aca="false">'Ввод данных'!C143</f>
        <v>0</v>
      </c>
      <c r="E64" s="2281" t="n">
        <f aca="false">'Ввод данных'!D143</f>
        <v>0</v>
      </c>
      <c r="F64" s="903" t="n">
        <f aca="false">D64*E64</f>
        <v>0</v>
      </c>
      <c r="G64" s="895"/>
      <c r="H64" s="461"/>
      <c r="I64" s="894"/>
      <c r="J64" s="2273"/>
      <c r="K64" s="2273"/>
      <c r="L64" s="2273"/>
      <c r="M64" s="2273"/>
    </row>
    <row r="65" customFormat="false" ht="14.5" hidden="false" customHeight="false" outlineLevel="0" collapsed="false">
      <c r="A65" s="903" t="s">
        <v>3875</v>
      </c>
      <c r="B65" s="903"/>
      <c r="C65" s="903" t="s">
        <v>133</v>
      </c>
      <c r="D65" s="903" t="e">
        <f aca="false">дома!#REF!</f>
        <v>#VALUE!</v>
      </c>
      <c r="E65" s="894"/>
      <c r="F65" s="894"/>
      <c r="G65" s="895"/>
      <c r="H65" s="461"/>
      <c r="I65" s="895"/>
      <c r="J65" s="2273"/>
      <c r="K65" s="2273"/>
      <c r="L65" s="2273"/>
      <c r="M65" s="2273"/>
    </row>
    <row r="66" customFormat="false" ht="14.5" hidden="false" customHeight="false" outlineLevel="0" collapsed="false">
      <c r="A66" s="903" t="s">
        <v>3876</v>
      </c>
      <c r="B66" s="903"/>
      <c r="C66" s="903" t="s">
        <v>133</v>
      </c>
      <c r="D66" s="903" t="e">
        <f aca="false">дома!#REF!</f>
        <v>#VALUE!</v>
      </c>
      <c r="E66" s="894"/>
      <c r="F66" s="894"/>
      <c r="G66" s="895"/>
      <c r="H66" s="461"/>
      <c r="I66" s="894"/>
      <c r="J66" s="2273"/>
      <c r="K66" s="2273"/>
      <c r="L66" s="2273"/>
      <c r="M66" s="2273"/>
    </row>
    <row r="67" customFormat="false" ht="14.5" hidden="false" customHeight="false" outlineLevel="0" collapsed="false">
      <c r="A67" s="903" t="s">
        <v>2908</v>
      </c>
      <c r="B67" s="903"/>
      <c r="C67" s="903" t="s">
        <v>133</v>
      </c>
      <c r="D67" s="903" t="e">
        <f aca="false">дома!O75</f>
        <v>#REF!</v>
      </c>
      <c r="E67" s="894"/>
      <c r="F67" s="894"/>
      <c r="G67" s="895"/>
      <c r="H67" s="461"/>
      <c r="I67" s="895"/>
      <c r="J67" s="2273"/>
      <c r="K67" s="2273"/>
      <c r="L67" s="2273"/>
      <c r="M67" s="2273"/>
    </row>
    <row r="68" customFormat="false" ht="14.5" hidden="false" customHeight="false" outlineLevel="0" collapsed="false">
      <c r="A68" s="903" t="s">
        <v>2909</v>
      </c>
      <c r="B68" s="903"/>
      <c r="C68" s="903" t="s">
        <v>133</v>
      </c>
      <c r="D68" s="903" t="e">
        <f aca="false">дома!O76</f>
        <v>#REF!</v>
      </c>
      <c r="E68" s="894"/>
      <c r="F68" s="894"/>
      <c r="G68" s="895"/>
      <c r="H68" s="461"/>
      <c r="I68" s="895"/>
      <c r="J68" s="2273"/>
      <c r="K68" s="2273"/>
      <c r="L68" s="2273"/>
      <c r="M68" s="2273"/>
    </row>
    <row r="69" customFormat="false" ht="14.5" hidden="false" customHeight="false" outlineLevel="0" collapsed="false">
      <c r="A69" s="903" t="s">
        <v>2910</v>
      </c>
      <c r="B69" s="903"/>
      <c r="C69" s="903" t="s">
        <v>133</v>
      </c>
      <c r="D69" s="903" t="e">
        <f aca="false">дома!O77</f>
        <v>#REF!</v>
      </c>
      <c r="E69" s="894"/>
      <c r="F69" s="894"/>
      <c r="G69" s="895"/>
      <c r="H69" s="461"/>
      <c r="I69" s="895"/>
      <c r="J69" s="2273"/>
      <c r="K69" s="2273"/>
      <c r="L69" s="2273"/>
      <c r="M69" s="2273"/>
    </row>
    <row r="70" customFormat="false" ht="14.5" hidden="false" customHeight="false" outlineLevel="0" collapsed="false">
      <c r="A70" s="903" t="s">
        <v>3877</v>
      </c>
      <c r="B70" s="903"/>
      <c r="C70" s="474" t="s">
        <v>133</v>
      </c>
      <c r="D70" s="903" t="e">
        <f aca="false">дома!#REF!</f>
        <v>#VALUE!</v>
      </c>
      <c r="E70" s="358"/>
      <c r="F70" s="358"/>
      <c r="G70" s="347"/>
      <c r="H70" s="461"/>
      <c r="I70" s="347"/>
      <c r="J70" s="2273"/>
      <c r="K70" s="2273"/>
      <c r="L70" s="2273"/>
      <c r="M70" s="2273"/>
    </row>
    <row r="71" customFormat="false" ht="14.5" hidden="false" customHeight="false" outlineLevel="0" collapsed="false">
      <c r="A71" s="2050" t="s">
        <v>2635</v>
      </c>
      <c r="B71" s="2050"/>
      <c r="C71" s="2050"/>
      <c r="D71" s="2050"/>
      <c r="E71" s="2050"/>
      <c r="F71" s="1082" t="n">
        <f aca="false">дома!J12</f>
        <v>1</v>
      </c>
      <c r="G71" s="894" t="s">
        <v>3568</v>
      </c>
      <c r="H71" s="461"/>
      <c r="I71" s="347"/>
      <c r="J71" s="2273"/>
      <c r="K71" s="2273"/>
      <c r="L71" s="2273"/>
      <c r="M71" s="2273"/>
    </row>
    <row r="72" customFormat="false" ht="14.5" hidden="false" customHeight="false" outlineLevel="0" collapsed="false">
      <c r="A72" s="902" t="s">
        <v>2572</v>
      </c>
      <c r="B72" s="902"/>
      <c r="C72" s="2051" t="s">
        <v>156</v>
      </c>
      <c r="D72" s="1276" t="n">
        <f aca="false">дома!C1113</f>
        <v>56</v>
      </c>
      <c r="E72" s="894"/>
      <c r="F72" s="894"/>
      <c r="G72" s="1217"/>
      <c r="H72" s="461"/>
      <c r="I72" s="347"/>
      <c r="J72" s="2273"/>
      <c r="K72" s="2273"/>
      <c r="L72" s="2273"/>
      <c r="M72" s="2273"/>
    </row>
    <row r="73" customFormat="false" ht="14.5" hidden="false" customHeight="false" outlineLevel="0" collapsed="false">
      <c r="A73" s="902" t="s">
        <v>3427</v>
      </c>
      <c r="B73" s="902"/>
      <c r="C73" s="925" t="s">
        <v>133</v>
      </c>
      <c r="D73" s="1276" t="n">
        <f aca="false">дома!C1114</f>
        <v>100</v>
      </c>
      <c r="E73" s="894"/>
      <c r="F73" s="894"/>
      <c r="G73" s="1217"/>
      <c r="H73" s="461"/>
      <c r="I73" s="347"/>
      <c r="J73" s="2273"/>
      <c r="K73" s="2273"/>
      <c r="L73" s="2273"/>
      <c r="M73" s="2273"/>
    </row>
    <row r="74" customFormat="false" ht="14.5" hidden="false" customHeight="false" outlineLevel="0" collapsed="false">
      <c r="A74" s="894"/>
      <c r="B74" s="894"/>
      <c r="C74" s="358"/>
      <c r="D74" s="358"/>
      <c r="E74" s="358"/>
      <c r="F74" s="358"/>
      <c r="G74" s="347"/>
      <c r="H74" s="461"/>
      <c r="I74" s="347"/>
      <c r="J74" s="2273"/>
      <c r="K74" s="2273"/>
      <c r="L74" s="2273"/>
      <c r="M74" s="2273"/>
    </row>
    <row r="75" customFormat="false" ht="14.5" hidden="false" customHeight="false" outlineLevel="0" collapsed="false">
      <c r="A75" s="1160" t="s">
        <v>1925</v>
      </c>
      <c r="B75" s="1160"/>
      <c r="C75" s="1160"/>
      <c r="D75" s="1160"/>
      <c r="E75" s="1160"/>
      <c r="F75" s="1160"/>
      <c r="G75" s="937" t="str">
        <f aca="false">'Ввод данных'!F237</f>
        <v>Не считать</v>
      </c>
      <c r="H75" s="347" t="s">
        <v>3823</v>
      </c>
      <c r="I75" s="347"/>
      <c r="J75" s="2273"/>
      <c r="K75" s="2273"/>
      <c r="L75" s="2273"/>
      <c r="M75" s="2273"/>
    </row>
    <row r="76" customFormat="false" ht="15.5" hidden="false" customHeight="false" outlineLevel="0" collapsed="false">
      <c r="A76" s="795" t="s">
        <v>2705</v>
      </c>
      <c r="B76" s="795"/>
      <c r="C76" s="795"/>
      <c r="D76" s="2057" t="s">
        <v>156</v>
      </c>
      <c r="E76" s="2057" t="n">
        <f aca="false">E79*4+E78*2</f>
        <v>47.7243575218615</v>
      </c>
      <c r="F76" s="2283"/>
      <c r="G76" s="347"/>
      <c r="H76" s="492"/>
      <c r="I76" s="347"/>
      <c r="J76" s="2273"/>
      <c r="K76" s="2273"/>
      <c r="L76" s="2273"/>
      <c r="M76" s="2273"/>
    </row>
    <row r="77" customFormat="false" ht="14.5" hidden="false" customHeight="false" outlineLevel="0" collapsed="false">
      <c r="A77" s="686" t="s">
        <v>3441</v>
      </c>
      <c r="B77" s="686"/>
      <c r="C77" s="686"/>
      <c r="D77" s="686"/>
      <c r="E77" s="537" t="n">
        <f aca="false">E8</f>
        <v>4.8</v>
      </c>
      <c r="F77" s="347"/>
      <c r="G77" s="347"/>
      <c r="H77" s="492"/>
      <c r="I77" s="347"/>
      <c r="J77" s="2273"/>
      <c r="K77" s="2273"/>
      <c r="L77" s="2273"/>
      <c r="M77" s="2273"/>
    </row>
    <row r="78" customFormat="false" ht="15.5" hidden="false" customHeight="false" outlineLevel="0" collapsed="false">
      <c r="A78" s="261" t="s">
        <v>2743</v>
      </c>
      <c r="B78" s="261"/>
      <c r="C78" s="261"/>
      <c r="D78" s="265" t="s">
        <v>156</v>
      </c>
      <c r="E78" s="265" t="n">
        <f aca="false">E4</f>
        <v>10</v>
      </c>
      <c r="F78" s="468"/>
      <c r="G78" s="347"/>
      <c r="H78" s="492"/>
      <c r="I78" s="347"/>
      <c r="J78" s="2273"/>
      <c r="K78" s="2273"/>
      <c r="L78" s="2273"/>
      <c r="M78" s="2273"/>
    </row>
    <row r="79" customFormat="false" ht="15.5" hidden="false" customHeight="false" outlineLevel="0" collapsed="false">
      <c r="A79" s="261" t="s">
        <v>2600</v>
      </c>
      <c r="B79" s="261"/>
      <c r="C79" s="261"/>
      <c r="D79" s="265" t="s">
        <v>156</v>
      </c>
      <c r="E79" s="265" t="n">
        <f aca="false">SQRT((E3/2)*(E3/2)+E8*E8)</f>
        <v>6.93108938046538</v>
      </c>
      <c r="F79" s="468"/>
      <c r="G79" s="347"/>
      <c r="H79" s="492"/>
      <c r="I79" s="347"/>
      <c r="J79" s="2273"/>
      <c r="K79" s="2273"/>
      <c r="L79" s="2273"/>
      <c r="M79" s="2273"/>
    </row>
    <row r="80" customFormat="false" ht="15.5" hidden="false" customHeight="false" outlineLevel="0" collapsed="false">
      <c r="A80" s="261" t="s">
        <v>1927</v>
      </c>
      <c r="B80" s="261"/>
      <c r="C80" s="261"/>
      <c r="D80" s="265" t="s">
        <v>156</v>
      </c>
      <c r="E80" s="2284" t="n">
        <f aca="false">'Ввод данных'!C206</f>
        <v>0.5</v>
      </c>
      <c r="F80" s="2058"/>
      <c r="G80" s="347"/>
      <c r="H80" s="492"/>
      <c r="I80" s="347"/>
      <c r="J80" s="2273"/>
      <c r="K80" s="2273"/>
      <c r="L80" s="2273"/>
      <c r="M80" s="2273"/>
    </row>
    <row r="81" customFormat="false" ht="15.5" hidden="false" customHeight="false" outlineLevel="0" collapsed="false">
      <c r="A81" s="261" t="s">
        <v>1896</v>
      </c>
      <c r="B81" s="261"/>
      <c r="C81" s="261"/>
      <c r="D81" s="265" t="s">
        <v>156</v>
      </c>
      <c r="E81" s="2284" t="n">
        <f aca="false">'Ввод данных'!C208</f>
        <v>0.8</v>
      </c>
      <c r="F81" s="2058"/>
      <c r="G81" s="347"/>
      <c r="H81" s="492"/>
      <c r="I81" s="347"/>
      <c r="J81" s="2273"/>
      <c r="K81" s="2273"/>
      <c r="L81" s="2273"/>
      <c r="M81" s="2273"/>
    </row>
    <row r="82" customFormat="false" ht="14.5" hidden="false" customHeight="false" outlineLevel="0" collapsed="false">
      <c r="A82" s="560" t="s">
        <v>2765</v>
      </c>
      <c r="B82" s="560"/>
      <c r="C82" s="560"/>
      <c r="D82" s="474" t="s">
        <v>156</v>
      </c>
      <c r="E82" s="537" t="n">
        <f aca="false">E79+E81</f>
        <v>7.73108938046538</v>
      </c>
      <c r="F82" s="347"/>
      <c r="G82" s="347"/>
      <c r="H82" s="492"/>
      <c r="I82" s="347"/>
      <c r="J82" s="2273"/>
      <c r="K82" s="2273"/>
      <c r="L82" s="2273"/>
      <c r="M82" s="2273"/>
    </row>
    <row r="83" customFormat="false" ht="14.5" hidden="false" customHeight="false" outlineLevel="0" collapsed="false">
      <c r="A83" s="560" t="s">
        <v>2768</v>
      </c>
      <c r="B83" s="560"/>
      <c r="C83" s="560"/>
      <c r="D83" s="474" t="s">
        <v>156</v>
      </c>
      <c r="E83" s="537" t="n">
        <f aca="false">E78+E80+E80</f>
        <v>11</v>
      </c>
      <c r="F83" s="347"/>
      <c r="G83" s="347"/>
      <c r="H83" s="492"/>
      <c r="I83" s="347"/>
      <c r="J83" s="2273"/>
      <c r="K83" s="2273"/>
      <c r="L83" s="2273"/>
      <c r="M83" s="2273"/>
    </row>
    <row r="84" customFormat="false" ht="15.5" hidden="false" customHeight="false" outlineLevel="0" collapsed="false">
      <c r="A84" s="261" t="s">
        <v>2773</v>
      </c>
      <c r="B84" s="261"/>
      <c r="C84" s="261"/>
      <c r="D84" s="265" t="s">
        <v>133</v>
      </c>
      <c r="E84" s="265" t="n">
        <f aca="false">E79*E78*2</f>
        <v>138.621787609308</v>
      </c>
      <c r="F84" s="2058"/>
      <c r="G84" s="347"/>
      <c r="H84" s="492"/>
      <c r="I84" s="347"/>
      <c r="J84" s="2273"/>
      <c r="K84" s="2273"/>
      <c r="L84" s="2273"/>
      <c r="M84" s="2273"/>
    </row>
    <row r="85" customFormat="false" ht="15.5" hidden="false" customHeight="false" outlineLevel="0" collapsed="false">
      <c r="A85" s="261" t="s">
        <v>2766</v>
      </c>
      <c r="B85" s="261"/>
      <c r="C85" s="261"/>
      <c r="D85" s="265" t="s">
        <v>133</v>
      </c>
      <c r="E85" s="265" t="n">
        <f aca="false">(E79*E80)*4+(E78+E80+E80)*E81*2</f>
        <v>31.4621787609308</v>
      </c>
      <c r="F85" s="601"/>
      <c r="G85" s="347"/>
      <c r="H85" s="492"/>
      <c r="I85" s="347"/>
      <c r="J85" s="2273"/>
      <c r="K85" s="2273"/>
      <c r="L85" s="2273"/>
      <c r="M85" s="2273"/>
    </row>
    <row r="86" customFormat="false" ht="15.5" hidden="false" customHeight="false" outlineLevel="0" collapsed="false">
      <c r="A86" s="261" t="s">
        <v>2781</v>
      </c>
      <c r="B86" s="261"/>
      <c r="C86" s="261"/>
      <c r="D86" s="265" t="s">
        <v>133</v>
      </c>
      <c r="E86" s="265" t="n">
        <f aca="false">E84+E85</f>
        <v>170.083966370238</v>
      </c>
      <c r="F86" s="601"/>
      <c r="G86" s="347"/>
      <c r="H86" s="492"/>
      <c r="I86" s="347"/>
      <c r="J86" s="2273"/>
      <c r="K86" s="2273"/>
      <c r="L86" s="2273"/>
      <c r="M86" s="2273"/>
    </row>
    <row r="87" customFormat="false" ht="14.5" hidden="false" customHeight="false" outlineLevel="0" collapsed="false">
      <c r="A87" s="560" t="s">
        <v>2628</v>
      </c>
      <c r="B87" s="560"/>
      <c r="C87" s="560"/>
      <c r="D87" s="474" t="s">
        <v>1820</v>
      </c>
      <c r="E87" s="474"/>
      <c r="F87" s="2285"/>
      <c r="G87" s="347"/>
      <c r="H87" s="492"/>
      <c r="I87" s="347"/>
      <c r="J87" s="2273"/>
      <c r="K87" s="2273"/>
      <c r="L87" s="2273"/>
      <c r="M87" s="2273"/>
    </row>
    <row r="88" customFormat="false" ht="15.5" hidden="false" customHeight="false" outlineLevel="0" collapsed="false">
      <c r="A88" s="263" t="s">
        <v>3518</v>
      </c>
      <c r="B88" s="263"/>
      <c r="C88" s="263"/>
      <c r="D88" s="265" t="s">
        <v>156</v>
      </c>
      <c r="E88" s="265" t="n">
        <v>0.15</v>
      </c>
      <c r="F88" s="2285"/>
      <c r="G88" s="347"/>
      <c r="H88" s="492"/>
      <c r="I88" s="347"/>
      <c r="J88" s="2273"/>
      <c r="K88" s="2273"/>
      <c r="L88" s="2273"/>
      <c r="M88" s="2273"/>
    </row>
    <row r="89" customFormat="false" ht="15.5" hidden="false" customHeight="false" outlineLevel="0" collapsed="false">
      <c r="A89" s="263"/>
      <c r="B89" s="263"/>
      <c r="C89" s="263"/>
      <c r="D89" s="265" t="s">
        <v>156</v>
      </c>
      <c r="E89" s="265" t="n">
        <v>0.2</v>
      </c>
      <c r="F89" s="2285"/>
      <c r="G89" s="347"/>
      <c r="H89" s="492"/>
      <c r="I89" s="347"/>
      <c r="J89" s="2273"/>
      <c r="K89" s="2273"/>
      <c r="L89" s="2273"/>
      <c r="M89" s="2273"/>
    </row>
    <row r="90" customFormat="false" ht="15.5" hidden="false" customHeight="false" outlineLevel="0" collapsed="false">
      <c r="A90" s="263" t="s">
        <v>2632</v>
      </c>
      <c r="B90" s="263"/>
      <c r="C90" s="263"/>
      <c r="D90" s="265" t="s">
        <v>156</v>
      </c>
      <c r="E90" s="265" t="n">
        <v>0.15</v>
      </c>
      <c r="F90" s="2285"/>
      <c r="G90" s="347"/>
      <c r="H90" s="492"/>
      <c r="I90" s="347"/>
      <c r="J90" s="2273"/>
      <c r="K90" s="2273"/>
      <c r="L90" s="2273"/>
      <c r="M90" s="2273"/>
    </row>
    <row r="91" customFormat="false" ht="15.5" hidden="false" customHeight="false" outlineLevel="0" collapsed="false">
      <c r="A91" s="263"/>
      <c r="B91" s="263"/>
      <c r="C91" s="263"/>
      <c r="D91" s="265" t="s">
        <v>156</v>
      </c>
      <c r="E91" s="265" t="n">
        <v>0.2</v>
      </c>
      <c r="F91" s="2285"/>
      <c r="G91" s="347"/>
      <c r="H91" s="492"/>
      <c r="I91" s="347"/>
      <c r="J91" s="2273"/>
      <c r="K91" s="2273"/>
      <c r="L91" s="2273"/>
      <c r="M91" s="2273"/>
    </row>
    <row r="92" customFormat="false" ht="14.5" hidden="false" customHeight="false" outlineLevel="0" collapsed="false">
      <c r="A92" s="347"/>
      <c r="B92" s="347"/>
      <c r="C92" s="347"/>
      <c r="D92" s="347"/>
      <c r="E92" s="347"/>
      <c r="F92" s="347"/>
      <c r="G92" s="347"/>
      <c r="H92" s="492"/>
      <c r="I92" s="347"/>
      <c r="J92" s="2273"/>
      <c r="K92" s="2273"/>
      <c r="L92" s="2273"/>
      <c r="M92" s="2273"/>
    </row>
    <row r="93" customFormat="false" ht="14.5" hidden="false" customHeight="false" outlineLevel="0" collapsed="false">
      <c r="A93" s="1160" t="s">
        <v>1942</v>
      </c>
      <c r="B93" s="1160"/>
      <c r="C93" s="1160"/>
      <c r="D93" s="1160"/>
      <c r="E93" s="1160"/>
      <c r="F93" s="1160"/>
      <c r="G93" s="937" t="str">
        <f aca="false">'Ввод данных'!F273</f>
        <v>Не считать</v>
      </c>
      <c r="H93" s="347" t="s">
        <v>3878</v>
      </c>
      <c r="I93" s="347"/>
      <c r="J93" s="2273"/>
      <c r="K93" s="2273"/>
      <c r="L93" s="2273"/>
      <c r="M93" s="2273"/>
    </row>
    <row r="94" customFormat="false" ht="23.5" hidden="false" customHeight="false" outlineLevel="0" collapsed="false">
      <c r="A94" s="795" t="s">
        <v>2705</v>
      </c>
      <c r="B94" s="795"/>
      <c r="C94" s="795"/>
      <c r="D94" s="1185" t="s">
        <v>156</v>
      </c>
      <c r="E94" s="2063" t="n">
        <f aca="false">E3+E4+E3+E4</f>
        <v>40</v>
      </c>
      <c r="F94" s="2064"/>
      <c r="G94" s="2065"/>
      <c r="H94" s="492"/>
      <c r="I94" s="347"/>
      <c r="J94" s="2273"/>
      <c r="K94" s="2273"/>
      <c r="L94" s="2273"/>
      <c r="M94" s="2273"/>
    </row>
    <row r="95" customFormat="false" ht="14.5" hidden="false" customHeight="false" outlineLevel="0" collapsed="false">
      <c r="A95" s="560" t="s">
        <v>2739</v>
      </c>
      <c r="B95" s="560"/>
      <c r="C95" s="560"/>
      <c r="D95" s="680" t="s">
        <v>156</v>
      </c>
      <c r="E95" s="2066" t="n">
        <f aca="false">E4</f>
        <v>10</v>
      </c>
      <c r="F95" s="347"/>
      <c r="G95" s="347"/>
      <c r="H95" s="446"/>
      <c r="I95" s="347"/>
      <c r="J95" s="2273"/>
      <c r="K95" s="2273"/>
      <c r="L95" s="2273"/>
      <c r="M95" s="2273"/>
    </row>
    <row r="96" customFormat="false" ht="14.5" hidden="false" customHeight="false" outlineLevel="0" collapsed="false">
      <c r="A96" s="560" t="s">
        <v>2744</v>
      </c>
      <c r="B96" s="560"/>
      <c r="C96" s="560"/>
      <c r="D96" s="680" t="s">
        <v>156</v>
      </c>
      <c r="E96" s="2066" t="n">
        <f aca="false">E3</f>
        <v>10</v>
      </c>
      <c r="F96" s="351"/>
      <c r="G96" s="351"/>
      <c r="H96" s="446"/>
      <c r="I96" s="347"/>
      <c r="J96" s="2273"/>
      <c r="K96" s="2273"/>
      <c r="L96" s="2273"/>
      <c r="M96" s="2273"/>
    </row>
    <row r="97" customFormat="false" ht="14.5" hidden="false" customHeight="false" outlineLevel="0" collapsed="false">
      <c r="A97" s="686" t="s">
        <v>3441</v>
      </c>
      <c r="B97" s="686"/>
      <c r="C97" s="686"/>
      <c r="D97" s="686"/>
      <c r="E97" s="2066" t="n">
        <f aca="false">E8</f>
        <v>4.8</v>
      </c>
      <c r="F97" s="351"/>
      <c r="G97" s="351"/>
      <c r="H97" s="446"/>
      <c r="I97" s="347"/>
      <c r="J97" s="2273"/>
      <c r="K97" s="2273"/>
      <c r="L97" s="2273"/>
      <c r="M97" s="2273"/>
    </row>
    <row r="98" customFormat="false" ht="15.5" hidden="false" customHeight="false" outlineLevel="0" collapsed="false">
      <c r="A98" s="261" t="s">
        <v>1943</v>
      </c>
      <c r="B98" s="261"/>
      <c r="C98" s="261"/>
      <c r="D98" s="263" t="s">
        <v>156</v>
      </c>
      <c r="E98" s="2286" t="n">
        <f aca="false">'Ввод данных'!C248</f>
        <v>5</v>
      </c>
      <c r="F98" s="1954"/>
      <c r="G98" s="1954"/>
      <c r="H98" s="446"/>
      <c r="I98" s="347"/>
      <c r="J98" s="2273"/>
      <c r="K98" s="2273"/>
      <c r="L98" s="2273"/>
      <c r="M98" s="2273"/>
    </row>
    <row r="99" customFormat="false" ht="15.5" hidden="false" customHeight="false" outlineLevel="0" collapsed="false">
      <c r="A99" s="261" t="s">
        <v>2752</v>
      </c>
      <c r="B99" s="261"/>
      <c r="C99" s="261"/>
      <c r="D99" s="263" t="s">
        <v>156</v>
      </c>
      <c r="E99" s="2068" t="n">
        <f aca="false">G99</f>
        <v>7.3</v>
      </c>
      <c r="F99" s="1954" t="s">
        <v>1946</v>
      </c>
      <c r="G99" s="1954" t="n">
        <f aca="false">SQRT(E97*E97+((E96/2)+E101)*((E96/2)+E101))</f>
        <v>7.3</v>
      </c>
      <c r="H99" s="446"/>
      <c r="I99" s="347"/>
      <c r="J99" s="2273"/>
      <c r="K99" s="2273"/>
      <c r="L99" s="2273"/>
      <c r="M99" s="2273"/>
    </row>
    <row r="100" customFormat="false" ht="15.5" hidden="false" customHeight="false" outlineLevel="0" collapsed="false">
      <c r="A100" s="261" t="s">
        <v>2755</v>
      </c>
      <c r="B100" s="261"/>
      <c r="C100" s="261"/>
      <c r="D100" s="263" t="s">
        <v>156</v>
      </c>
      <c r="E100" s="2068" t="n">
        <f aca="false">G100</f>
        <v>5.41202365109392</v>
      </c>
      <c r="F100" s="2069" t="s">
        <v>1947</v>
      </c>
      <c r="G100" s="2070" t="n">
        <f aca="false">SQRT(E97*E97+((E95-E98)/2)*((E95-E98)/2))</f>
        <v>5.41202365109392</v>
      </c>
      <c r="H100" s="446"/>
      <c r="I100" s="347"/>
      <c r="J100" s="2273"/>
      <c r="K100" s="2273"/>
      <c r="L100" s="2273"/>
      <c r="M100" s="2273"/>
    </row>
    <row r="101" customFormat="false" ht="15.5" hidden="false" customHeight="false" outlineLevel="0" collapsed="false">
      <c r="A101" s="261" t="s">
        <v>1927</v>
      </c>
      <c r="B101" s="261"/>
      <c r="C101" s="261"/>
      <c r="D101" s="263" t="s">
        <v>156</v>
      </c>
      <c r="E101" s="2286" t="n">
        <f aca="false">'Ввод данных'!C249</f>
        <v>0.5</v>
      </c>
      <c r="F101" s="2069"/>
      <c r="G101" s="2070"/>
      <c r="H101" s="446"/>
      <c r="I101" s="347"/>
      <c r="J101" s="2273"/>
      <c r="K101" s="2273"/>
      <c r="L101" s="2273"/>
      <c r="M101" s="2273"/>
    </row>
    <row r="102" customFormat="false" ht="15.5" hidden="false" customHeight="false" outlineLevel="0" collapsed="false">
      <c r="A102" s="261" t="s">
        <v>1896</v>
      </c>
      <c r="B102" s="261"/>
      <c r="C102" s="261"/>
      <c r="D102" s="263" t="s">
        <v>156</v>
      </c>
      <c r="E102" s="2286" t="n">
        <f aca="false">'Ввод данных'!C250</f>
        <v>0.5</v>
      </c>
      <c r="F102" s="2069"/>
      <c r="G102" s="2070"/>
      <c r="H102" s="446"/>
      <c r="I102" s="347"/>
      <c r="J102" s="2273"/>
      <c r="K102" s="2273"/>
      <c r="L102" s="2273"/>
      <c r="M102" s="2273"/>
    </row>
    <row r="103" customFormat="false" ht="14.5" hidden="false" customHeight="false" outlineLevel="0" collapsed="false">
      <c r="A103" s="560" t="s">
        <v>2757</v>
      </c>
      <c r="B103" s="560"/>
      <c r="C103" s="560"/>
      <c r="D103" s="680" t="s">
        <v>156</v>
      </c>
      <c r="E103" s="2066" t="n">
        <f aca="false">G103</f>
        <v>7.71621668954417</v>
      </c>
      <c r="F103" s="351" t="s">
        <v>1928</v>
      </c>
      <c r="G103" s="351" t="n">
        <f aca="false">SQRT(G100*G100+((E96/2)+E101)*((E96/2)+E101))</f>
        <v>7.71621668954417</v>
      </c>
      <c r="H103" s="446"/>
      <c r="I103" s="347"/>
      <c r="J103" s="2273"/>
      <c r="K103" s="2273"/>
      <c r="L103" s="2273"/>
      <c r="M103" s="2273"/>
    </row>
    <row r="104" customFormat="false" ht="15.5" hidden="false" customHeight="false" outlineLevel="0" collapsed="false">
      <c r="A104" s="261" t="s">
        <v>2766</v>
      </c>
      <c r="B104" s="261"/>
      <c r="C104" s="261"/>
      <c r="D104" s="263" t="s">
        <v>133</v>
      </c>
      <c r="E104" s="2068" t="n">
        <f aca="false">(E96+E101+E101)*E102*2+E95*2*E101</f>
        <v>21</v>
      </c>
      <c r="F104" s="2071"/>
      <c r="G104" s="2070"/>
      <c r="H104" s="446"/>
      <c r="I104" s="347"/>
      <c r="J104" s="2273"/>
      <c r="K104" s="2273"/>
      <c r="L104" s="2273"/>
      <c r="M104" s="2273"/>
    </row>
    <row r="105" customFormat="false" ht="15.5" hidden="false" customHeight="false" outlineLevel="0" collapsed="false">
      <c r="A105" s="261" t="s">
        <v>2769</v>
      </c>
      <c r="B105" s="261"/>
      <c r="C105" s="261"/>
      <c r="D105" s="680" t="s">
        <v>133</v>
      </c>
      <c r="E105" s="2066" t="n">
        <f aca="false">((E96/2)+E101)*E100*2+((E95+E102+E102-E98)/2)*((E95+E102+E102-E98)/2)*4+E98*E99*2</f>
        <v>168.532260162033</v>
      </c>
      <c r="F105" s="347"/>
      <c r="G105" s="347"/>
      <c r="H105" s="446"/>
      <c r="I105" s="347"/>
      <c r="J105" s="2273"/>
      <c r="K105" s="2273"/>
      <c r="L105" s="2273"/>
      <c r="M105" s="2273"/>
    </row>
    <row r="106" customFormat="false" ht="15.5" hidden="false" customHeight="false" outlineLevel="0" collapsed="false">
      <c r="A106" s="261" t="s">
        <v>4036</v>
      </c>
      <c r="B106" s="261"/>
      <c r="C106" s="261"/>
      <c r="D106" s="263" t="s">
        <v>133</v>
      </c>
      <c r="E106" s="2068" t="n">
        <f aca="false">E105*1.5</f>
        <v>252.79839024305</v>
      </c>
      <c r="F106" s="2287"/>
      <c r="G106" s="2070"/>
      <c r="H106" s="446"/>
      <c r="I106" s="347"/>
      <c r="J106" s="2273"/>
      <c r="K106" s="2273"/>
      <c r="L106" s="2273"/>
      <c r="M106" s="2273"/>
    </row>
    <row r="107" customFormat="false" ht="14.5" hidden="false" customHeight="false" outlineLevel="0" collapsed="false">
      <c r="A107" s="560" t="s">
        <v>2628</v>
      </c>
      <c r="B107" s="560"/>
      <c r="C107" s="560"/>
      <c r="D107" s="560" t="s">
        <v>1820</v>
      </c>
      <c r="E107" s="2066"/>
      <c r="F107" s="2287"/>
      <c r="G107" s="2070"/>
      <c r="H107" s="446"/>
      <c r="I107" s="347"/>
      <c r="J107" s="2273"/>
      <c r="K107" s="2273"/>
      <c r="L107" s="2273"/>
      <c r="M107" s="2273"/>
    </row>
    <row r="108" customFormat="false" ht="15.5" hidden="false" customHeight="false" outlineLevel="0" collapsed="false">
      <c r="A108" s="263" t="s">
        <v>3518</v>
      </c>
      <c r="B108" s="263"/>
      <c r="C108" s="263"/>
      <c r="D108" s="265" t="s">
        <v>156</v>
      </c>
      <c r="E108" s="1017" t="n">
        <v>0.15</v>
      </c>
      <c r="F108" s="2287"/>
      <c r="G108" s="2070"/>
      <c r="H108" s="446"/>
      <c r="I108" s="347"/>
      <c r="J108" s="2273"/>
      <c r="K108" s="2273"/>
      <c r="L108" s="2273"/>
      <c r="M108" s="2273"/>
    </row>
    <row r="109" customFormat="false" ht="15.5" hidden="false" customHeight="false" outlineLevel="0" collapsed="false">
      <c r="A109" s="263"/>
      <c r="B109" s="263"/>
      <c r="C109" s="263"/>
      <c r="D109" s="265" t="s">
        <v>156</v>
      </c>
      <c r="E109" s="1017" t="n">
        <v>0.2</v>
      </c>
      <c r="F109" s="2287"/>
      <c r="G109" s="2070"/>
      <c r="H109" s="446"/>
      <c r="I109" s="347"/>
      <c r="J109" s="2273"/>
      <c r="K109" s="2273"/>
      <c r="L109" s="2273"/>
      <c r="M109" s="2273"/>
    </row>
    <row r="110" customFormat="false" ht="15.5" hidden="false" customHeight="false" outlineLevel="0" collapsed="false">
      <c r="A110" s="263" t="s">
        <v>2632</v>
      </c>
      <c r="B110" s="263"/>
      <c r="C110" s="263"/>
      <c r="D110" s="265" t="s">
        <v>156</v>
      </c>
      <c r="E110" s="1017" t="n">
        <v>0.15</v>
      </c>
      <c r="F110" s="2287"/>
      <c r="G110" s="2070"/>
      <c r="H110" s="492"/>
      <c r="I110" s="347"/>
      <c r="J110" s="2273"/>
      <c r="K110" s="2273"/>
      <c r="L110" s="2273"/>
      <c r="M110" s="2273"/>
    </row>
    <row r="111" customFormat="false" ht="15.5" hidden="false" customHeight="false" outlineLevel="0" collapsed="false">
      <c r="A111" s="263"/>
      <c r="B111" s="263"/>
      <c r="C111" s="263"/>
      <c r="D111" s="265" t="s">
        <v>156</v>
      </c>
      <c r="E111" s="1017" t="n">
        <v>0.2</v>
      </c>
      <c r="F111" s="2287"/>
      <c r="G111" s="2070"/>
      <c r="H111" s="492"/>
      <c r="I111" s="347"/>
      <c r="J111" s="2273"/>
      <c r="K111" s="2273"/>
      <c r="L111" s="2273"/>
      <c r="M111" s="2273"/>
    </row>
    <row r="112" customFormat="false" ht="15.5" hidden="false" customHeight="false" outlineLevel="0" collapsed="false">
      <c r="A112" s="479"/>
      <c r="B112" s="479"/>
      <c r="C112" s="905"/>
      <c r="D112" s="2072"/>
      <c r="E112" s="2072"/>
      <c r="F112" s="358"/>
      <c r="G112" s="347"/>
      <c r="H112" s="446"/>
      <c r="I112" s="347"/>
      <c r="J112" s="2273"/>
      <c r="K112" s="2273"/>
      <c r="L112" s="2273"/>
      <c r="M112" s="2273"/>
    </row>
    <row r="113" customFormat="false" ht="14.5" hidden="false" customHeight="false" outlineLevel="0" collapsed="false">
      <c r="A113" s="1160" t="s">
        <v>1965</v>
      </c>
      <c r="B113" s="1160"/>
      <c r="C113" s="1160"/>
      <c r="D113" s="1160"/>
      <c r="E113" s="1160"/>
      <c r="F113" s="1160"/>
      <c r="G113" s="937" t="str">
        <f aca="false">'Ввод данных'!F353</f>
        <v>Не считать</v>
      </c>
      <c r="H113" s="347" t="s">
        <v>3879</v>
      </c>
      <c r="I113" s="347"/>
      <c r="J113" s="2273"/>
      <c r="K113" s="2273"/>
      <c r="L113" s="2273"/>
      <c r="M113" s="2273"/>
    </row>
    <row r="114" customFormat="false" ht="14.5" hidden="false" customHeight="false" outlineLevel="0" collapsed="false">
      <c r="A114" s="1160" t="s">
        <v>1236</v>
      </c>
      <c r="B114" s="1160"/>
      <c r="C114" s="1160"/>
      <c r="D114" s="1160" t="s">
        <v>120</v>
      </c>
      <c r="E114" s="1160" t="s">
        <v>1802</v>
      </c>
      <c r="F114" s="2288"/>
      <c r="G114" s="358"/>
      <c r="H114" s="347"/>
      <c r="I114" s="347"/>
      <c r="J114" s="2273"/>
      <c r="K114" s="2273"/>
      <c r="L114" s="2273"/>
      <c r="M114" s="2273"/>
    </row>
    <row r="115" customFormat="false" ht="14.5" hidden="false" customHeight="false" outlineLevel="0" collapsed="false">
      <c r="A115" s="560" t="s">
        <v>2902</v>
      </c>
      <c r="B115" s="560"/>
      <c r="C115" s="560"/>
      <c r="D115" s="680" t="s">
        <v>159</v>
      </c>
      <c r="E115" s="474" t="n">
        <v>1</v>
      </c>
      <c r="F115" s="937" t="e">
        <f aca="false">'ввод данных'!#ref!</f>
        <v>#VALUE!</v>
      </c>
      <c r="G115" s="347"/>
      <c r="H115" s="347"/>
      <c r="I115" s="347"/>
      <c r="J115" s="2273"/>
      <c r="K115" s="2273"/>
      <c r="L115" s="2273"/>
      <c r="M115" s="2273"/>
    </row>
    <row r="116" customFormat="false" ht="23.5" hidden="false" customHeight="false" outlineLevel="0" collapsed="false">
      <c r="A116" s="1973" t="s">
        <v>2903</v>
      </c>
      <c r="B116" s="1973"/>
      <c r="C116" s="1973"/>
      <c r="D116" s="1185" t="s">
        <v>159</v>
      </c>
      <c r="E116" s="2073" t="n">
        <v>1</v>
      </c>
      <c r="F116" s="937" t="e">
        <f aca="false">'ввод данных'!#ref!</f>
        <v>#VALUE!</v>
      </c>
      <c r="G116" s="2065"/>
      <c r="H116" s="492"/>
      <c r="I116" s="347"/>
      <c r="J116" s="2273"/>
      <c r="K116" s="2273"/>
      <c r="L116" s="2273"/>
      <c r="M116" s="2273"/>
    </row>
    <row r="117" customFormat="false" ht="14.5" hidden="false" customHeight="false" outlineLevel="0" collapsed="false">
      <c r="A117" s="560" t="s">
        <v>1978</v>
      </c>
      <c r="B117" s="560"/>
      <c r="C117" s="560"/>
      <c r="D117" s="680" t="s">
        <v>156</v>
      </c>
      <c r="E117" s="2289" t="n">
        <f aca="false">'Ввод данных'!C331</f>
        <v>1</v>
      </c>
      <c r="F117" s="347"/>
      <c r="G117" s="347"/>
      <c r="H117" s="446"/>
      <c r="I117" s="347"/>
      <c r="J117" s="2273"/>
      <c r="K117" s="2273"/>
      <c r="L117" s="2273"/>
      <c r="M117" s="2273"/>
    </row>
    <row r="118" customFormat="false" ht="14.5" hidden="false" customHeight="false" outlineLevel="0" collapsed="false">
      <c r="A118" s="560" t="s">
        <v>1979</v>
      </c>
      <c r="B118" s="560"/>
      <c r="C118" s="560"/>
      <c r="D118" s="680" t="s">
        <v>156</v>
      </c>
      <c r="E118" s="2289" t="n">
        <f aca="false">'Ввод данных'!C332</f>
        <v>2</v>
      </c>
      <c r="F118" s="351"/>
      <c r="G118" s="351"/>
      <c r="H118" s="446"/>
      <c r="I118" s="347"/>
      <c r="J118" s="2273"/>
      <c r="K118" s="2273"/>
      <c r="L118" s="2273"/>
      <c r="M118" s="2273"/>
    </row>
    <row r="119" customFormat="false" ht="14.5" hidden="false" customHeight="false" outlineLevel="0" collapsed="false">
      <c r="A119" s="2074" t="s">
        <v>3500</v>
      </c>
      <c r="B119" s="2074"/>
      <c r="C119" s="2074"/>
      <c r="D119" s="725" t="s">
        <v>156</v>
      </c>
      <c r="E119" s="2289" t="n">
        <f aca="false">'Ввод данных'!C329</f>
        <v>2</v>
      </c>
      <c r="F119" s="351"/>
      <c r="G119" s="351"/>
      <c r="H119" s="446"/>
      <c r="I119" s="347"/>
      <c r="J119" s="2273"/>
      <c r="K119" s="2273"/>
      <c r="L119" s="2273"/>
      <c r="M119" s="2273"/>
    </row>
    <row r="120" customFormat="false" ht="15.5" hidden="false" customHeight="false" outlineLevel="0" collapsed="false">
      <c r="A120" s="261" t="s">
        <v>1943</v>
      </c>
      <c r="B120" s="261"/>
      <c r="C120" s="261"/>
      <c r="D120" s="263" t="s">
        <v>156</v>
      </c>
      <c r="E120" s="2289" t="n">
        <f aca="false">'Ввод данных'!C333</f>
        <v>2</v>
      </c>
      <c r="F120" s="1954"/>
      <c r="G120" s="1954"/>
      <c r="H120" s="446"/>
      <c r="I120" s="347"/>
      <c r="J120" s="2273"/>
      <c r="K120" s="2273"/>
      <c r="L120" s="2273"/>
      <c r="M120" s="2273"/>
    </row>
    <row r="121" customFormat="false" ht="15.5" hidden="false" customHeight="false" outlineLevel="0" collapsed="false">
      <c r="A121" s="261" t="s">
        <v>3504</v>
      </c>
      <c r="B121" s="261"/>
      <c r="C121" s="261"/>
      <c r="D121" s="263" t="s">
        <v>156</v>
      </c>
      <c r="E121" s="2068" t="n">
        <f aca="false">SQRT((E118/2)*(E118/2)+E119*E119)</f>
        <v>2.23606797749979</v>
      </c>
      <c r="F121" s="1954"/>
      <c r="G121" s="1954"/>
      <c r="H121" s="446"/>
      <c r="I121" s="347"/>
      <c r="J121" s="2273"/>
      <c r="K121" s="2273"/>
      <c r="L121" s="2273"/>
      <c r="M121" s="2273"/>
    </row>
    <row r="122" customFormat="false" ht="14.5" hidden="false" customHeight="false" outlineLevel="0" collapsed="false">
      <c r="A122" s="534" t="s">
        <v>3505</v>
      </c>
      <c r="B122" s="723"/>
      <c r="C122" s="754"/>
      <c r="D122" s="680" t="s">
        <v>156</v>
      </c>
      <c r="E122" s="2066" t="n">
        <f aca="false">SQRT((E120-E117)*(E120-E117)+E121*E121)</f>
        <v>2.44948974278318</v>
      </c>
      <c r="F122" s="2069"/>
      <c r="G122" s="2070"/>
      <c r="H122" s="446"/>
      <c r="I122" s="347"/>
      <c r="J122" s="2273"/>
      <c r="K122" s="2273"/>
      <c r="L122" s="2273"/>
      <c r="M122" s="2273"/>
    </row>
    <row r="123" customFormat="false" ht="15.5" hidden="false" customHeight="false" outlineLevel="0" collapsed="false">
      <c r="A123" s="534" t="s">
        <v>3507</v>
      </c>
      <c r="B123" s="723"/>
      <c r="C123" s="754"/>
      <c r="D123" s="263" t="s">
        <v>156</v>
      </c>
      <c r="E123" s="2068" t="n">
        <f aca="false">SQRT(E120*E120+E121*E121)</f>
        <v>3</v>
      </c>
      <c r="F123" s="2069"/>
      <c r="G123" s="2070"/>
      <c r="H123" s="446"/>
      <c r="I123" s="347"/>
      <c r="J123" s="2273"/>
      <c r="K123" s="2273"/>
      <c r="L123" s="2273"/>
      <c r="M123" s="2273"/>
    </row>
    <row r="124" customFormat="false" ht="15.5" hidden="false" customHeight="false" outlineLevel="0" collapsed="false">
      <c r="A124" s="261" t="s">
        <v>3508</v>
      </c>
      <c r="B124" s="261"/>
      <c r="C124" s="261"/>
      <c r="D124" s="263" t="s">
        <v>133</v>
      </c>
      <c r="E124" s="2068" t="n">
        <f aca="false">E121*(E120-E117)+E121*E117*2</f>
        <v>6.70820393249937</v>
      </c>
      <c r="F124" s="2069"/>
      <c r="G124" s="2070"/>
      <c r="H124" s="446"/>
      <c r="I124" s="347"/>
      <c r="J124" s="2273"/>
      <c r="K124" s="2273"/>
      <c r="L124" s="2273"/>
      <c r="M124" s="2273"/>
    </row>
    <row r="125" customFormat="false" ht="14.5" hidden="false" customHeight="false" outlineLevel="0" collapsed="false">
      <c r="A125" s="560" t="s">
        <v>3880</v>
      </c>
      <c r="B125" s="560"/>
      <c r="C125" s="560"/>
      <c r="D125" s="680" t="s">
        <v>133</v>
      </c>
      <c r="E125" s="537" t="n">
        <f aca="false">E121*E120</f>
        <v>4.47213595499958</v>
      </c>
      <c r="F125" s="351"/>
      <c r="G125" s="351"/>
      <c r="H125" s="446"/>
      <c r="I125" s="347"/>
      <c r="J125" s="2273"/>
      <c r="K125" s="2273"/>
      <c r="L125" s="2273"/>
      <c r="M125" s="2273"/>
    </row>
    <row r="126" customFormat="false" ht="15.5" hidden="false" customHeight="false" outlineLevel="0" collapsed="false">
      <c r="A126" s="263" t="s">
        <v>3518</v>
      </c>
      <c r="B126" s="263"/>
      <c r="C126" s="263"/>
      <c r="D126" s="263" t="s">
        <v>156</v>
      </c>
      <c r="E126" s="1017" t="n">
        <v>0.15</v>
      </c>
      <c r="F126" s="2290" t="n">
        <f aca="false">'Ввод данных'!D336</f>
        <v>0</v>
      </c>
      <c r="G126" s="2070"/>
      <c r="H126" s="446"/>
      <c r="I126" s="347"/>
      <c r="J126" s="2273"/>
      <c r="K126" s="2273"/>
      <c r="L126" s="2273"/>
      <c r="M126" s="2273"/>
    </row>
    <row r="127" customFormat="false" ht="15.5" hidden="false" customHeight="false" outlineLevel="0" collapsed="false">
      <c r="A127" s="263"/>
      <c r="B127" s="263"/>
      <c r="C127" s="263"/>
      <c r="D127" s="263" t="s">
        <v>156</v>
      </c>
      <c r="E127" s="1017" t="n">
        <v>0.2</v>
      </c>
      <c r="F127" s="2290"/>
      <c r="G127" s="347"/>
      <c r="H127" s="446"/>
      <c r="I127" s="347"/>
      <c r="J127" s="2273"/>
      <c r="K127" s="2273"/>
      <c r="L127" s="2273"/>
      <c r="M127" s="2273"/>
    </row>
    <row r="128" customFormat="false" ht="15.5" hidden="false" customHeight="false" outlineLevel="0" collapsed="false">
      <c r="A128" s="263" t="s">
        <v>2632</v>
      </c>
      <c r="B128" s="263"/>
      <c r="C128" s="263"/>
      <c r="D128" s="263" t="s">
        <v>156</v>
      </c>
      <c r="E128" s="1017" t="n">
        <v>0.15</v>
      </c>
      <c r="F128" s="2290" t="n">
        <f aca="false">'Ввод данных'!D337</f>
        <v>0</v>
      </c>
      <c r="G128" s="2070"/>
      <c r="H128" s="446"/>
      <c r="I128" s="347"/>
      <c r="J128" s="2273"/>
      <c r="K128" s="2273"/>
      <c r="L128" s="2273"/>
      <c r="M128" s="2273"/>
    </row>
    <row r="129" customFormat="false" ht="15.5" hidden="false" customHeight="false" outlineLevel="0" collapsed="false">
      <c r="A129" s="263"/>
      <c r="B129" s="263"/>
      <c r="C129" s="263"/>
      <c r="D129" s="263" t="s">
        <v>156</v>
      </c>
      <c r="E129" s="1017" t="n">
        <v>0.2</v>
      </c>
      <c r="F129" s="2290" t="e">
        <f aca="false">'ввод данных'!#ref!</f>
        <v>#VALUE!</v>
      </c>
      <c r="G129" s="2070"/>
      <c r="H129" s="446"/>
      <c r="I129" s="347"/>
      <c r="J129" s="2273"/>
      <c r="K129" s="2273"/>
      <c r="L129" s="2273"/>
      <c r="M129" s="2273"/>
    </row>
    <row r="130" customFormat="false" ht="14.5" hidden="false" customHeight="false" outlineLevel="0" collapsed="false">
      <c r="A130" s="560" t="s">
        <v>4037</v>
      </c>
      <c r="B130" s="560"/>
      <c r="C130" s="560"/>
      <c r="D130" s="680" t="s">
        <v>133</v>
      </c>
      <c r="E130" s="474" t="n">
        <f aca="false">SQRT(E123*E123-(E118/2)*(E118/2))</f>
        <v>2.82842712474619</v>
      </c>
      <c r="F130" s="347"/>
      <c r="G130" s="2070"/>
      <c r="H130" s="446"/>
      <c r="I130" s="347"/>
      <c r="J130" s="2273"/>
      <c r="K130" s="2273"/>
      <c r="L130" s="2273"/>
      <c r="M130" s="2273"/>
    </row>
    <row r="131" customFormat="false" ht="14.5" hidden="false" customHeight="false" outlineLevel="0" collapsed="false">
      <c r="A131" s="895"/>
      <c r="B131" s="895"/>
      <c r="C131" s="895"/>
      <c r="D131" s="895"/>
      <c r="E131" s="895"/>
      <c r="F131" s="895"/>
      <c r="G131" s="895"/>
      <c r="H131" s="461"/>
      <c r="I131" s="461"/>
      <c r="J131" s="2273"/>
      <c r="K131" s="2273"/>
      <c r="L131" s="2273"/>
      <c r="M131" s="2273"/>
    </row>
    <row r="132" customFormat="false" ht="14.5" hidden="false" customHeight="false" outlineLevel="0" collapsed="false">
      <c r="A132" s="889" t="s">
        <v>2544</v>
      </c>
      <c r="B132" s="2076"/>
      <c r="C132" s="900" t="s">
        <v>120</v>
      </c>
      <c r="D132" s="900" t="s">
        <v>1753</v>
      </c>
      <c r="E132" s="939" t="n">
        <f aca="false">пристройка!D2</f>
        <v>0</v>
      </c>
      <c r="F132" s="893" t="s">
        <v>2545</v>
      </c>
      <c r="G132" s="895"/>
      <c r="H132" s="461"/>
      <c r="I132" s="461"/>
      <c r="J132" s="2273"/>
      <c r="K132" s="2273"/>
      <c r="L132" s="2273"/>
      <c r="M132" s="2273"/>
    </row>
    <row r="133" customFormat="false" ht="14.5" hidden="false" customHeight="false" outlineLevel="0" collapsed="false">
      <c r="A133" s="902" t="s">
        <v>2547</v>
      </c>
      <c r="B133" s="902"/>
      <c r="C133" s="1026" t="s">
        <v>159</v>
      </c>
      <c r="D133" s="1080"/>
      <c r="E133" s="895"/>
      <c r="F133" s="895"/>
      <c r="G133" s="895"/>
      <c r="H133" s="895"/>
      <c r="I133" s="895"/>
      <c r="J133" s="2273"/>
      <c r="K133" s="2273"/>
      <c r="L133" s="2273"/>
      <c r="M133" s="2273"/>
    </row>
    <row r="134" customFormat="false" ht="14.5" hidden="false" customHeight="false" outlineLevel="0" collapsed="false">
      <c r="A134" s="902" t="s">
        <v>2552</v>
      </c>
      <c r="B134" s="902"/>
      <c r="C134" s="1026" t="s">
        <v>159</v>
      </c>
      <c r="D134" s="1080" t="n">
        <f aca="false">'Ввод данных'!E358</f>
        <v>1</v>
      </c>
      <c r="E134" s="895"/>
      <c r="F134" s="895"/>
      <c r="G134" s="895"/>
      <c r="H134" s="895"/>
      <c r="I134" s="895"/>
      <c r="J134" s="2273"/>
      <c r="K134" s="2273"/>
      <c r="L134" s="2273"/>
      <c r="M134" s="2273"/>
    </row>
    <row r="135" customFormat="false" ht="14.5" hidden="false" customHeight="false" outlineLevel="0" collapsed="false">
      <c r="A135" s="902" t="s">
        <v>1236</v>
      </c>
      <c r="B135" s="902"/>
      <c r="C135" s="895" t="s">
        <v>120</v>
      </c>
      <c r="D135" s="903" t="s">
        <v>1753</v>
      </c>
      <c r="E135" s="903" t="s">
        <v>293</v>
      </c>
      <c r="F135" s="903" t="s">
        <v>1820</v>
      </c>
      <c r="G135" s="895"/>
      <c r="H135" s="895"/>
      <c r="I135" s="895"/>
      <c r="J135" s="2273"/>
      <c r="K135" s="2273"/>
      <c r="L135" s="2273"/>
      <c r="M135" s="2273"/>
    </row>
    <row r="136" customFormat="false" ht="14.5" hidden="false" customHeight="false" outlineLevel="0" collapsed="false">
      <c r="A136" s="902" t="s">
        <v>2001</v>
      </c>
      <c r="B136" s="902"/>
      <c r="C136" s="948" t="s">
        <v>156</v>
      </c>
      <c r="D136" s="925"/>
      <c r="E136" s="1082" t="str">
        <f aca="false">связи1!E549</f>
        <v>№3</v>
      </c>
      <c r="F136" s="1082" t="e">
        <f aca="false">'ввод данных'!#ref!</f>
        <v>#VALUE!</v>
      </c>
      <c r="G136" s="894" t="s">
        <v>3521</v>
      </c>
      <c r="H136" s="895"/>
      <c r="I136" s="895"/>
      <c r="J136" s="2273"/>
      <c r="K136" s="2273"/>
      <c r="L136" s="2273"/>
      <c r="M136" s="2273"/>
    </row>
    <row r="137" customFormat="false" ht="14.5" hidden="false" customHeight="false" outlineLevel="0" collapsed="false">
      <c r="A137" s="902" t="s">
        <v>2557</v>
      </c>
      <c r="B137" s="902"/>
      <c r="C137" s="948" t="s">
        <v>156</v>
      </c>
      <c r="D137" s="925"/>
      <c r="E137" s="1082" t="n">
        <f aca="false">связи1!E550</f>
        <v>1</v>
      </c>
      <c r="F137" s="1082" t="e">
        <f aca="false">'ввод данных'!#ref!</f>
        <v>#VALUE!</v>
      </c>
      <c r="G137" s="894" t="s">
        <v>3522</v>
      </c>
      <c r="H137" s="895"/>
      <c r="I137" s="895"/>
      <c r="J137" s="2273"/>
      <c r="K137" s="2273"/>
      <c r="L137" s="2273"/>
      <c r="M137" s="2273"/>
    </row>
    <row r="138" customFormat="false" ht="14.5" hidden="false" customHeight="false" outlineLevel="0" collapsed="false">
      <c r="A138" s="902" t="s">
        <v>2558</v>
      </c>
      <c r="B138" s="902"/>
      <c r="C138" s="948" t="s">
        <v>156</v>
      </c>
      <c r="D138" s="925"/>
      <c r="E138" s="1082" t="n">
        <f aca="false">'Ввод данных'!E362</f>
        <v>0</v>
      </c>
      <c r="F138" s="1082" t="n">
        <f aca="false">'Ввод данных'!G366</f>
        <v>0</v>
      </c>
      <c r="G138" s="894" t="s">
        <v>3523</v>
      </c>
      <c r="H138" s="461"/>
      <c r="I138" s="461"/>
      <c r="J138" s="2273"/>
      <c r="K138" s="2273"/>
      <c r="L138" s="2273"/>
      <c r="M138" s="2273"/>
    </row>
    <row r="139" customFormat="false" ht="14.5" hidden="false" customHeight="false" outlineLevel="0" collapsed="false">
      <c r="A139" s="902" t="s">
        <v>2071</v>
      </c>
      <c r="B139" s="902"/>
      <c r="C139" s="1026" t="s">
        <v>156</v>
      </c>
      <c r="D139" s="1924" t="n">
        <f aca="false">пристройка!C34</f>
        <v>6</v>
      </c>
      <c r="E139" s="895"/>
      <c r="F139" s="895"/>
      <c r="G139" s="895"/>
      <c r="H139" s="461"/>
      <c r="I139" s="461"/>
      <c r="J139" s="2273"/>
      <c r="K139" s="2273"/>
      <c r="L139" s="2273"/>
      <c r="M139" s="2273"/>
    </row>
    <row r="140" customFormat="false" ht="14.5" hidden="false" customHeight="false" outlineLevel="0" collapsed="false">
      <c r="A140" s="902" t="s">
        <v>2573</v>
      </c>
      <c r="B140" s="902"/>
      <c r="C140" s="903" t="s">
        <v>156</v>
      </c>
      <c r="D140" s="1924" t="n">
        <f aca="false">пристройка!C33</f>
        <v>3</v>
      </c>
      <c r="E140" s="895"/>
      <c r="F140" s="895"/>
      <c r="G140" s="895"/>
      <c r="H140" s="894"/>
      <c r="I140" s="461"/>
      <c r="J140" s="2273"/>
      <c r="K140" s="2273"/>
      <c r="L140" s="2273"/>
      <c r="M140" s="2273"/>
    </row>
    <row r="141" customFormat="false" ht="14.5" hidden="false" customHeight="false" outlineLevel="0" collapsed="false">
      <c r="A141" s="902" t="s">
        <v>3882</v>
      </c>
      <c r="B141" s="902"/>
      <c r="C141" s="903" t="s">
        <v>156</v>
      </c>
      <c r="D141" s="1924" t="n">
        <f aca="false">пристройка!C38</f>
        <v>0</v>
      </c>
      <c r="E141" s="895"/>
      <c r="F141" s="895"/>
      <c r="G141" s="895"/>
      <c r="H141" s="894"/>
      <c r="I141" s="461"/>
      <c r="J141" s="2273"/>
      <c r="K141" s="2273"/>
      <c r="L141" s="2273"/>
      <c r="M141" s="2273"/>
    </row>
    <row r="142" customFormat="false" ht="14.5" hidden="false" customHeight="false" outlineLevel="0" collapsed="false">
      <c r="A142" s="902" t="s">
        <v>3883</v>
      </c>
      <c r="B142" s="902"/>
      <c r="C142" s="903" t="s">
        <v>156</v>
      </c>
      <c r="D142" s="1924" t="n">
        <f aca="false">пристройка!C35</f>
        <v>2.9</v>
      </c>
      <c r="E142" s="895"/>
      <c r="F142" s="895"/>
      <c r="G142" s="895"/>
      <c r="H142" s="894"/>
      <c r="I142" s="461"/>
      <c r="J142" s="2273"/>
      <c r="K142" s="2273"/>
      <c r="L142" s="2273"/>
      <c r="M142" s="2273"/>
    </row>
    <row r="143" customFormat="false" ht="14.5" hidden="false" customHeight="false" outlineLevel="0" collapsed="false">
      <c r="A143" s="902" t="s">
        <v>3884</v>
      </c>
      <c r="B143" s="902"/>
      <c r="C143" s="903" t="s">
        <v>156</v>
      </c>
      <c r="D143" s="1924" t="n">
        <f aca="false">пристройка!AE185</f>
        <v>4.6</v>
      </c>
      <c r="E143" s="895"/>
      <c r="F143" s="895"/>
      <c r="G143" s="895"/>
      <c r="H143" s="895"/>
      <c r="I143" s="461"/>
      <c r="J143" s="2273"/>
      <c r="K143" s="2273"/>
      <c r="L143" s="2273"/>
      <c r="M143" s="2273"/>
    </row>
    <row r="144" customFormat="false" ht="14.5" hidden="false" customHeight="false" outlineLevel="0" collapsed="false">
      <c r="A144" s="907" t="s">
        <v>3885</v>
      </c>
      <c r="B144" s="907"/>
      <c r="C144" s="903" t="s">
        <v>156</v>
      </c>
      <c r="D144" s="1924" t="n">
        <f aca="false">пристройка!C39</f>
        <v>0</v>
      </c>
      <c r="E144" s="895"/>
      <c r="F144" s="895"/>
      <c r="G144" s="895"/>
      <c r="H144" s="895"/>
      <c r="I144" s="461"/>
      <c r="J144" s="2273"/>
      <c r="K144" s="2273"/>
      <c r="L144" s="2273"/>
      <c r="M144" s="2273"/>
    </row>
    <row r="145" customFormat="false" ht="14.5" hidden="false" customHeight="false" outlineLevel="0" collapsed="false">
      <c r="A145" s="902" t="s">
        <v>3886</v>
      </c>
      <c r="B145" s="902"/>
      <c r="C145" s="903" t="s">
        <v>156</v>
      </c>
      <c r="D145" s="1924" t="e">
        <f aca="false">пристройка!#REF!</f>
        <v>#VALUE!</v>
      </c>
      <c r="E145" s="895"/>
      <c r="F145" s="895"/>
      <c r="G145" s="895"/>
      <c r="H145" s="895"/>
      <c r="I145" s="461"/>
      <c r="J145" s="2273"/>
      <c r="K145" s="2273"/>
      <c r="L145" s="2273"/>
      <c r="M145" s="2273"/>
    </row>
    <row r="146" customFormat="false" ht="14.5" hidden="false" customHeight="false" outlineLevel="0" collapsed="false">
      <c r="A146" s="902" t="s">
        <v>1093</v>
      </c>
      <c r="B146" s="902"/>
      <c r="C146" s="895" t="s">
        <v>120</v>
      </c>
      <c r="D146" s="893" t="s">
        <v>853</v>
      </c>
      <c r="E146" s="903" t="s">
        <v>1802</v>
      </c>
      <c r="F146" s="903" t="s">
        <v>853</v>
      </c>
      <c r="G146" s="894"/>
      <c r="H146" s="894"/>
      <c r="I146" s="461"/>
      <c r="J146" s="2273"/>
      <c r="K146" s="2273"/>
      <c r="L146" s="2273"/>
      <c r="M146" s="2273"/>
    </row>
    <row r="147" customFormat="false" ht="14.5" hidden="false" customHeight="false" outlineLevel="0" collapsed="false">
      <c r="A147" s="680" t="s">
        <v>2206</v>
      </c>
      <c r="B147" s="680"/>
      <c r="C147" s="903" t="s">
        <v>156</v>
      </c>
      <c r="D147" s="1080" t="n">
        <f aca="false">связи1!D552</f>
        <v>3</v>
      </c>
      <c r="E147" s="1082" t="n">
        <f aca="false">связи1!E552</f>
        <v>3</v>
      </c>
      <c r="F147" s="903" t="n">
        <f aca="false">D147*E147</f>
        <v>9</v>
      </c>
      <c r="G147" s="894"/>
      <c r="H147" s="894"/>
      <c r="I147" s="461"/>
      <c r="J147" s="2273"/>
      <c r="K147" s="2273"/>
      <c r="L147" s="2273"/>
      <c r="M147" s="2273"/>
    </row>
    <row r="148" customFormat="false" ht="14.5" hidden="false" customHeight="false" outlineLevel="0" collapsed="false">
      <c r="A148" s="680"/>
      <c r="B148" s="680"/>
      <c r="C148" s="903"/>
      <c r="D148" s="1080" t="n">
        <f aca="false">связи1!D553</f>
        <v>2.9</v>
      </c>
      <c r="E148" s="1082" t="n">
        <f aca="false">связи1!E553</f>
        <v>2.9</v>
      </c>
      <c r="F148" s="903" t="n">
        <f aca="false">D148*E148</f>
        <v>8.41</v>
      </c>
      <c r="G148" s="894"/>
      <c r="H148" s="894"/>
      <c r="I148" s="461"/>
      <c r="J148" s="2273"/>
      <c r="K148" s="2273"/>
      <c r="L148" s="2273"/>
      <c r="M148" s="2273"/>
    </row>
    <row r="149" customFormat="false" ht="14.5" hidden="false" customHeight="false" outlineLevel="0" collapsed="false">
      <c r="A149" s="680"/>
      <c r="B149" s="680"/>
      <c r="C149" s="903" t="s">
        <v>156</v>
      </c>
      <c r="D149" s="1080" t="n">
        <f aca="false">связи1!D556</f>
        <v>2.2</v>
      </c>
      <c r="E149" s="1082" t="n">
        <f aca="false">связи1!E556</f>
        <v>2.2</v>
      </c>
      <c r="F149" s="903" t="n">
        <f aca="false">D149*E149</f>
        <v>4.84</v>
      </c>
      <c r="G149" s="894"/>
      <c r="H149" s="894"/>
      <c r="I149" s="461"/>
      <c r="J149" s="2273"/>
      <c r="K149" s="2273"/>
      <c r="L149" s="2273"/>
      <c r="M149" s="2273"/>
    </row>
    <row r="150" customFormat="false" ht="14.5" hidden="false" customHeight="false" outlineLevel="0" collapsed="false">
      <c r="A150" s="680" t="s">
        <v>2207</v>
      </c>
      <c r="B150" s="680"/>
      <c r="C150" s="903" t="s">
        <v>156</v>
      </c>
      <c r="D150" s="1080" t="n">
        <f aca="false">связи1!D557</f>
        <v>1</v>
      </c>
      <c r="E150" s="1082" t="n">
        <f aca="false">связи1!E557</f>
        <v>2.9</v>
      </c>
      <c r="F150" s="903" t="n">
        <f aca="false">D150*E150</f>
        <v>2.9</v>
      </c>
      <c r="G150" s="894"/>
      <c r="H150" s="894"/>
      <c r="I150" s="461"/>
      <c r="J150" s="2273"/>
      <c r="K150" s="2273"/>
      <c r="L150" s="2273"/>
      <c r="M150" s="2273"/>
    </row>
    <row r="151" customFormat="false" ht="14.5" hidden="false" customHeight="false" outlineLevel="0" collapsed="false">
      <c r="A151" s="680"/>
      <c r="B151" s="680"/>
      <c r="C151" s="903"/>
      <c r="D151" s="1080" t="n">
        <f aca="false">связи1!D558</f>
        <v>2.1</v>
      </c>
      <c r="E151" s="1082"/>
      <c r="F151" s="903" t="n">
        <f aca="false">D151*E151</f>
        <v>0</v>
      </c>
      <c r="G151" s="894"/>
      <c r="H151" s="461"/>
      <c r="I151" s="461"/>
      <c r="J151" s="2273"/>
      <c r="K151" s="2273"/>
      <c r="L151" s="2273"/>
      <c r="M151" s="2273"/>
    </row>
    <row r="152" customFormat="false" ht="14.5" hidden="false" customHeight="false" outlineLevel="0" collapsed="false">
      <c r="A152" s="680"/>
      <c r="B152" s="680"/>
      <c r="C152" s="903" t="s">
        <v>156</v>
      </c>
      <c r="D152" s="1080" t="e">
        <f aca="false">'ввод данных'!#ref!</f>
        <v>#VALUE!</v>
      </c>
      <c r="E152" s="1082" t="e">
        <f aca="false">'ввод данных'!#ref!</f>
        <v>#VALUE!</v>
      </c>
      <c r="F152" s="903" t="e">
        <f aca="false">D152*E152</f>
        <v>#VALUE!</v>
      </c>
      <c r="G152" s="894"/>
      <c r="H152" s="461"/>
      <c r="I152" s="461"/>
      <c r="J152" s="2072"/>
      <c r="K152" s="2072"/>
      <c r="L152" s="2072"/>
      <c r="M152" s="2072"/>
    </row>
    <row r="153" customFormat="false" ht="14.5" hidden="false" customHeight="false" outlineLevel="0" collapsed="false">
      <c r="A153" s="495" t="s">
        <v>4038</v>
      </c>
      <c r="B153" s="495"/>
      <c r="C153" s="495"/>
      <c r="D153" s="495"/>
      <c r="E153" s="495"/>
      <c r="F153" s="903" t="e">
        <f aca="false">SUM(F147:F152)*E132</f>
        <v>#VALUE!</v>
      </c>
      <c r="G153" s="894"/>
      <c r="H153" s="461"/>
      <c r="I153" s="461"/>
      <c r="J153" s="2072"/>
      <c r="K153" s="2072"/>
      <c r="L153" s="2072"/>
      <c r="M153" s="2072"/>
    </row>
    <row r="154" customFormat="false" ht="14.5" hidden="false" customHeight="false" outlineLevel="0" collapsed="false">
      <c r="A154" s="950" t="s">
        <v>2208</v>
      </c>
      <c r="B154" s="951"/>
      <c r="C154" s="757" t="s">
        <v>120</v>
      </c>
      <c r="D154" s="757" t="s">
        <v>2580</v>
      </c>
      <c r="E154" s="757" t="s">
        <v>2581</v>
      </c>
      <c r="F154" s="757" t="s">
        <v>1802</v>
      </c>
      <c r="G154" s="900" t="s">
        <v>2548</v>
      </c>
      <c r="H154" s="461"/>
      <c r="I154" s="1009"/>
      <c r="J154" s="2072"/>
      <c r="K154" s="2072"/>
      <c r="L154" s="2072"/>
      <c r="M154" s="2072"/>
    </row>
    <row r="155" customFormat="false" ht="14.5" hidden="false" customHeight="false" outlineLevel="0" collapsed="false">
      <c r="A155" s="680" t="s">
        <v>2210</v>
      </c>
      <c r="B155" s="680"/>
      <c r="C155" s="680" t="s">
        <v>156</v>
      </c>
      <c r="D155" s="1080" t="e">
        <f aca="false">'ввод данных'!#ref!</f>
        <v>#VALUE!</v>
      </c>
      <c r="E155" s="1082" t="e">
        <f aca="false">'ввод данных'!#ref!</f>
        <v>#VALUE!</v>
      </c>
      <c r="F155" s="2291" t="n">
        <f aca="false">'Ввод данных'!G377</f>
        <v>0</v>
      </c>
      <c r="G155" s="495" t="e">
        <f aca="false">D155*E155*F155</f>
        <v>#VALUE!</v>
      </c>
      <c r="H155" s="461"/>
      <c r="I155" s="888"/>
      <c r="J155" s="2072"/>
      <c r="K155" s="2072"/>
      <c r="L155" s="2072"/>
      <c r="M155" s="2072"/>
    </row>
    <row r="156" customFormat="false" ht="14.5" hidden="false" customHeight="false" outlineLevel="0" collapsed="false">
      <c r="A156" s="680"/>
      <c r="B156" s="680"/>
      <c r="C156" s="680" t="s">
        <v>156</v>
      </c>
      <c r="D156" s="1080" t="e">
        <f aca="false">'ввод данных'!#ref!</f>
        <v>#VALUE!</v>
      </c>
      <c r="E156" s="1082" t="e">
        <f aca="false">'ввод данных'!#ref!</f>
        <v>#VALUE!</v>
      </c>
      <c r="F156" s="2291" t="n">
        <f aca="false">'Ввод данных'!G378</f>
        <v>0</v>
      </c>
      <c r="G156" s="495" t="e">
        <f aca="false">D156*E156*F156</f>
        <v>#VALUE!</v>
      </c>
      <c r="H156" s="461"/>
      <c r="I156" s="1009"/>
      <c r="J156" s="2072"/>
      <c r="K156" s="2072"/>
      <c r="L156" s="2072"/>
      <c r="M156" s="2072"/>
    </row>
    <row r="157" customFormat="false" ht="14.5" hidden="false" customHeight="false" outlineLevel="0" collapsed="false">
      <c r="A157" s="680"/>
      <c r="B157" s="680"/>
      <c r="C157" s="680" t="s">
        <v>156</v>
      </c>
      <c r="D157" s="1080" t="e">
        <f aca="false">'ввод данных'!#ref!</f>
        <v>#VALUE!</v>
      </c>
      <c r="E157" s="1082" t="e">
        <f aca="false">'ввод данных'!#ref!</f>
        <v>#VALUE!</v>
      </c>
      <c r="F157" s="2291" t="n">
        <f aca="false">'Ввод данных'!G379</f>
        <v>0</v>
      </c>
      <c r="G157" s="495" t="e">
        <f aca="false">D157*E157*F157</f>
        <v>#VALUE!</v>
      </c>
      <c r="H157" s="964"/>
      <c r="I157" s="1009"/>
      <c r="J157" s="2072"/>
      <c r="K157" s="2072"/>
      <c r="L157" s="2072"/>
      <c r="M157" s="2072"/>
    </row>
    <row r="158" customFormat="false" ht="14.5" hidden="false" customHeight="false" outlineLevel="0" collapsed="false">
      <c r="A158" s="725" t="s">
        <v>2211</v>
      </c>
      <c r="B158" s="725"/>
      <c r="C158" s="680" t="s">
        <v>156</v>
      </c>
      <c r="D158" s="1080" t="e">
        <f aca="false">'ввод данных'!#ref!</f>
        <v>#VALUE!</v>
      </c>
      <c r="E158" s="1082"/>
      <c r="F158" s="2291" t="e">
        <f aca="false">'ввод данных'!#ref!</f>
        <v>#VALUE!</v>
      </c>
      <c r="G158" s="495" t="e">
        <f aca="false">D158*E158*F158</f>
        <v>#VALUE!</v>
      </c>
      <c r="H158" s="895"/>
      <c r="I158" s="1009"/>
      <c r="J158" s="2072"/>
      <c r="K158" s="2072"/>
      <c r="L158" s="2072"/>
      <c r="M158" s="2072"/>
    </row>
    <row r="159" customFormat="false" ht="14.5" hidden="false" customHeight="false" outlineLevel="0" collapsed="false">
      <c r="A159" s="725"/>
      <c r="B159" s="725"/>
      <c r="C159" s="680" t="s">
        <v>156</v>
      </c>
      <c r="D159" s="1080"/>
      <c r="E159" s="1082"/>
      <c r="F159" s="2291"/>
      <c r="G159" s="495" t="n">
        <f aca="false">D159*E159*F159</f>
        <v>0</v>
      </c>
      <c r="H159" s="964"/>
      <c r="I159" s="1009"/>
      <c r="J159" s="2072"/>
      <c r="K159" s="2072"/>
      <c r="L159" s="2072"/>
      <c r="M159" s="2072"/>
    </row>
    <row r="160" customFormat="false" ht="14.5" hidden="false" customHeight="false" outlineLevel="0" collapsed="false">
      <c r="A160" s="680" t="s">
        <v>2213</v>
      </c>
      <c r="B160" s="680"/>
      <c r="C160" s="925" t="s">
        <v>156</v>
      </c>
      <c r="D160" s="1080" t="n">
        <f aca="false">связи1!D561</f>
        <v>0.5</v>
      </c>
      <c r="E160" s="1082" t="n">
        <f aca="false">связи1!E561</f>
        <v>0.8</v>
      </c>
      <c r="F160" s="2291" t="n">
        <f aca="false">связи1!F548</f>
        <v>0</v>
      </c>
      <c r="G160" s="903" t="n">
        <f aca="false">D160*E160*F160</f>
        <v>0</v>
      </c>
      <c r="H160" s="1203"/>
      <c r="I160" s="998" t="s">
        <v>3887</v>
      </c>
      <c r="J160" s="2072"/>
      <c r="K160" s="2072"/>
      <c r="L160" s="2072"/>
      <c r="M160" s="2072"/>
    </row>
    <row r="161" customFormat="false" ht="14.5" hidden="false" customHeight="false" outlineLevel="0" collapsed="false">
      <c r="A161" s="1219" t="s">
        <v>2599</v>
      </c>
      <c r="B161" s="1219"/>
      <c r="C161" s="1219"/>
      <c r="D161" s="1219"/>
      <c r="E161" s="1219"/>
      <c r="F161" s="1219"/>
      <c r="G161" s="887" t="e">
        <f aca="false">SUM(G155:G160)*E132</f>
        <v>#VALUE!</v>
      </c>
      <c r="H161" s="964"/>
      <c r="I161" s="1009"/>
      <c r="J161" s="2072"/>
      <c r="K161" s="2072"/>
      <c r="L161" s="2072"/>
      <c r="M161" s="2072"/>
    </row>
    <row r="162" customFormat="false" ht="14.5" hidden="false" customHeight="false" outlineLevel="0" collapsed="false">
      <c r="A162" s="2081" t="s">
        <v>2592</v>
      </c>
      <c r="B162" s="2082"/>
      <c r="C162" s="2083" t="s">
        <v>120</v>
      </c>
      <c r="D162" s="2083" t="s">
        <v>853</v>
      </c>
      <c r="E162" s="1082" t="n">
        <f aca="false">связи1!E558</f>
        <v>1.5</v>
      </c>
      <c r="F162" s="2084" t="s">
        <v>3890</v>
      </c>
      <c r="G162" s="888"/>
      <c r="H162" s="964"/>
      <c r="I162" s="1009"/>
      <c r="J162" s="2072"/>
      <c r="K162" s="2072"/>
      <c r="L162" s="2072"/>
      <c r="M162" s="2072"/>
    </row>
    <row r="163" customFormat="false" ht="14.5" hidden="false" customHeight="false" outlineLevel="0" collapsed="false">
      <c r="A163" s="1372" t="s">
        <v>2820</v>
      </c>
      <c r="B163" s="1372"/>
      <c r="C163" s="1219" t="s">
        <v>156</v>
      </c>
      <c r="D163" s="1219" t="n">
        <f aca="false">SQRT(D140*D140+D144*D144)</f>
        <v>3</v>
      </c>
      <c r="E163" s="1217"/>
      <c r="F163" s="1217"/>
      <c r="G163" s="888"/>
      <c r="H163" s="964"/>
      <c r="I163" s="1009"/>
      <c r="J163" s="2072"/>
      <c r="K163" s="2072"/>
      <c r="L163" s="2072"/>
      <c r="M163" s="2072"/>
    </row>
    <row r="164" customFormat="false" ht="14.5" hidden="false" customHeight="false" outlineLevel="0" collapsed="false">
      <c r="A164" s="1372" t="s">
        <v>3545</v>
      </c>
      <c r="B164" s="1372"/>
      <c r="C164" s="1219" t="s">
        <v>156</v>
      </c>
      <c r="D164" s="1080" t="n">
        <f aca="false">связи1!C559</f>
        <v>0.5</v>
      </c>
      <c r="E164" s="1217"/>
      <c r="F164" s="1217"/>
      <c r="G164" s="888"/>
      <c r="H164" s="964"/>
      <c r="I164" s="1009"/>
      <c r="J164" s="2072"/>
      <c r="K164" s="2072"/>
      <c r="L164" s="2072"/>
      <c r="M164" s="2072"/>
    </row>
    <row r="165" customFormat="false" ht="14.5" hidden="false" customHeight="false" outlineLevel="0" collapsed="false">
      <c r="A165" s="1372" t="s">
        <v>3891</v>
      </c>
      <c r="B165" s="1372"/>
      <c r="C165" s="1219" t="s">
        <v>156</v>
      </c>
      <c r="D165" s="1080" t="n">
        <f aca="false">связи1!C561</f>
        <v>0.5</v>
      </c>
      <c r="E165" s="1217"/>
      <c r="F165" s="1217"/>
      <c r="G165" s="888"/>
      <c r="H165" s="964"/>
      <c r="I165" s="1009"/>
      <c r="J165" s="2072"/>
      <c r="K165" s="2072"/>
      <c r="L165" s="2072"/>
      <c r="M165" s="2072"/>
    </row>
    <row r="166" customFormat="false" ht="14.5" hidden="false" customHeight="false" outlineLevel="0" collapsed="false">
      <c r="A166" s="1372" t="s">
        <v>2609</v>
      </c>
      <c r="B166" s="1372"/>
      <c r="C166" s="1219" t="s">
        <v>133</v>
      </c>
      <c r="D166" s="1219" t="n">
        <f aca="false">D163*D139</f>
        <v>18</v>
      </c>
      <c r="E166" s="1217"/>
      <c r="F166" s="1217"/>
      <c r="G166" s="888"/>
      <c r="H166" s="964"/>
      <c r="I166" s="1009"/>
      <c r="J166" s="2072"/>
      <c r="K166" s="2072"/>
      <c r="L166" s="2072"/>
      <c r="M166" s="2072"/>
    </row>
    <row r="167" customFormat="false" ht="14.5" hidden="false" customHeight="false" outlineLevel="0" collapsed="false">
      <c r="A167" s="1372" t="s">
        <v>2610</v>
      </c>
      <c r="B167" s="1372"/>
      <c r="C167" s="1219" t="s">
        <v>133</v>
      </c>
      <c r="D167" s="1219" t="n">
        <f aca="false">(D163+D164)*(D139+D165+D165)</f>
        <v>24.5</v>
      </c>
      <c r="E167" s="1217"/>
      <c r="F167" s="1217"/>
      <c r="G167" s="888"/>
      <c r="H167" s="964"/>
      <c r="I167" s="1009"/>
      <c r="J167" s="2072"/>
      <c r="K167" s="2072"/>
      <c r="L167" s="2072"/>
      <c r="M167" s="2072"/>
    </row>
    <row r="168" customFormat="false" ht="14.5" hidden="false" customHeight="false" outlineLevel="0" collapsed="false">
      <c r="A168" s="2099" t="s">
        <v>2635</v>
      </c>
      <c r="B168" s="2099"/>
      <c r="C168" s="2099"/>
      <c r="D168" s="2099"/>
      <c r="E168" s="1082" t="e">
        <f aca="false">'ввод данных'!#ref!</f>
        <v>#VALUE!</v>
      </c>
      <c r="F168" s="894" t="s">
        <v>3568</v>
      </c>
      <c r="G168" s="888"/>
      <c r="H168" s="964"/>
      <c r="I168" s="1009"/>
      <c r="J168" s="2072"/>
      <c r="K168" s="2072"/>
      <c r="L168" s="2072"/>
      <c r="M168" s="2072"/>
    </row>
    <row r="169" customFormat="false" ht="14.5" hidden="false" customHeight="false" outlineLevel="0" collapsed="false">
      <c r="A169" s="2292" t="s">
        <v>2572</v>
      </c>
      <c r="B169" s="2051" t="s">
        <v>156</v>
      </c>
      <c r="C169" s="2292" t="n">
        <f aca="false">пристройка!C85</f>
        <v>0</v>
      </c>
      <c r="D169" s="894"/>
      <c r="E169" s="894"/>
      <c r="F169" s="1217"/>
      <c r="G169" s="888"/>
      <c r="H169" s="964"/>
      <c r="I169" s="1009"/>
      <c r="J169" s="2072"/>
      <c r="K169" s="2072"/>
      <c r="L169" s="2072"/>
      <c r="M169" s="2072"/>
    </row>
    <row r="170" customFormat="false" ht="14.5" hidden="false" customHeight="false" outlineLevel="0" collapsed="false">
      <c r="A170" s="903" t="s">
        <v>3427</v>
      </c>
      <c r="B170" s="925" t="s">
        <v>133</v>
      </c>
      <c r="C170" s="903" t="n">
        <f aca="false">пристройка!C33*пристройка!C34</f>
        <v>18</v>
      </c>
      <c r="D170" s="894"/>
      <c r="E170" s="894"/>
      <c r="F170" s="1217"/>
      <c r="G170" s="888"/>
      <c r="H170" s="964"/>
      <c r="I170" s="1009"/>
      <c r="J170" s="2072"/>
      <c r="K170" s="2072"/>
      <c r="L170" s="2072"/>
      <c r="M170" s="2072"/>
    </row>
    <row r="171" customFormat="false" ht="14.5" hidden="false" customHeight="false" outlineLevel="0" collapsed="false">
      <c r="A171" s="895"/>
      <c r="B171" s="895"/>
      <c r="C171" s="895"/>
      <c r="D171" s="895"/>
      <c r="E171" s="895"/>
      <c r="F171" s="895"/>
      <c r="G171" s="895"/>
      <c r="H171" s="895"/>
      <c r="I171" s="1009"/>
      <c r="J171" s="2072"/>
      <c r="K171" s="2072"/>
      <c r="L171" s="2072"/>
      <c r="M171" s="2072"/>
    </row>
    <row r="172" customFormat="false" ht="14.5" hidden="false" customHeight="false" outlineLevel="0" collapsed="false">
      <c r="A172" s="2087" t="s">
        <v>2030</v>
      </c>
      <c r="B172" s="757" t="s">
        <v>120</v>
      </c>
      <c r="C172" s="757" t="s">
        <v>1753</v>
      </c>
      <c r="D172" s="1526" t="n">
        <f aca="false">дома!D1229</f>
        <v>0</v>
      </c>
      <c r="E172" s="2088" t="s">
        <v>3520</v>
      </c>
      <c r="F172" s="450"/>
      <c r="G172" s="348"/>
      <c r="H172" s="347"/>
      <c r="I172" s="1009"/>
      <c r="J172" s="2072"/>
      <c r="K172" s="2072"/>
      <c r="L172" s="2072"/>
      <c r="M172" s="2072"/>
    </row>
    <row r="173" customFormat="false" ht="14.5" hidden="false" customHeight="false" outlineLevel="0" collapsed="false">
      <c r="A173" s="474" t="s">
        <v>2547</v>
      </c>
      <c r="B173" s="474" t="s">
        <v>159</v>
      </c>
      <c r="C173" s="2090" t="n">
        <f aca="false">'Ввод данных'!E422</f>
        <v>0</v>
      </c>
      <c r="D173" s="347"/>
      <c r="E173" s="347"/>
      <c r="F173" s="347"/>
      <c r="G173" s="347"/>
      <c r="H173" s="347"/>
      <c r="I173" s="1009"/>
      <c r="J173" s="2072"/>
      <c r="K173" s="2072"/>
      <c r="L173" s="2072"/>
      <c r="M173" s="2072"/>
    </row>
    <row r="174" customFormat="false" ht="14.5" hidden="false" customHeight="false" outlineLevel="0" collapsed="false">
      <c r="A174" s="474" t="s">
        <v>2552</v>
      </c>
      <c r="B174" s="474" t="s">
        <v>159</v>
      </c>
      <c r="C174" s="2090" t="n">
        <f aca="false">'Ввод данных'!E423</f>
        <v>0</v>
      </c>
      <c r="D174" s="474" t="s">
        <v>2975</v>
      </c>
      <c r="E174" s="347"/>
      <c r="F174" s="347"/>
      <c r="G174" s="347"/>
      <c r="H174" s="347"/>
      <c r="I174" s="1009"/>
      <c r="J174" s="2072"/>
      <c r="K174" s="2072"/>
      <c r="L174" s="2072"/>
      <c r="M174" s="2072"/>
    </row>
    <row r="175" customFormat="false" ht="14.5" hidden="false" customHeight="false" outlineLevel="0" collapsed="false">
      <c r="A175" s="474" t="s">
        <v>2001</v>
      </c>
      <c r="B175" s="474" t="s">
        <v>159</v>
      </c>
      <c r="C175" s="474"/>
      <c r="D175" s="2090" t="n">
        <f aca="false">'Ввод данных'!D425</f>
        <v>0</v>
      </c>
      <c r="E175" s="2090" t="e">
        <f aca="false">'ввод данных'!#ref!</f>
        <v>#VALUE!</v>
      </c>
      <c r="F175" s="358" t="s">
        <v>3521</v>
      </c>
      <c r="G175" s="347"/>
      <c r="H175" s="461"/>
      <c r="I175" s="1009"/>
      <c r="J175" s="2072"/>
      <c r="K175" s="2072"/>
      <c r="L175" s="2072"/>
      <c r="M175" s="2072"/>
    </row>
    <row r="176" customFormat="false" ht="14.5" hidden="false" customHeight="false" outlineLevel="0" collapsed="false">
      <c r="A176" s="474" t="s">
        <v>2557</v>
      </c>
      <c r="B176" s="474" t="s">
        <v>159</v>
      </c>
      <c r="C176" s="474"/>
      <c r="D176" s="2090" t="n">
        <f aca="false">'Ввод данных'!D426</f>
        <v>0</v>
      </c>
      <c r="E176" s="2090" t="e">
        <f aca="false">'ввод данных'!#ref!</f>
        <v>#VALUE!</v>
      </c>
      <c r="F176" s="358" t="s">
        <v>3522</v>
      </c>
      <c r="G176" s="347"/>
      <c r="H176" s="461"/>
      <c r="I176" s="1009"/>
      <c r="J176" s="2072"/>
      <c r="K176" s="2072"/>
      <c r="L176" s="2072"/>
      <c r="M176" s="2072"/>
    </row>
    <row r="177" customFormat="false" ht="14.5" hidden="false" customHeight="false" outlineLevel="0" collapsed="false">
      <c r="A177" s="474" t="s">
        <v>2558</v>
      </c>
      <c r="B177" s="474" t="s">
        <v>159</v>
      </c>
      <c r="C177" s="474"/>
      <c r="D177" s="2090" t="n">
        <f aca="false">'Ввод данных'!D427</f>
        <v>0</v>
      </c>
      <c r="E177" s="2090" t="e">
        <f aca="false">'ввод данных'!#ref!</f>
        <v>#VALUE!</v>
      </c>
      <c r="F177" s="358" t="s">
        <v>3523</v>
      </c>
      <c r="G177" s="348"/>
      <c r="H177" s="461"/>
      <c r="I177" s="1009"/>
      <c r="J177" s="2072"/>
      <c r="K177" s="2072"/>
      <c r="L177" s="2072"/>
      <c r="M177" s="2072"/>
    </row>
    <row r="178" customFormat="false" ht="14.5" hidden="false" customHeight="false" outlineLevel="0" collapsed="false">
      <c r="A178" s="560" t="s">
        <v>3524</v>
      </c>
      <c r="B178" s="680" t="s">
        <v>156</v>
      </c>
      <c r="C178" s="1526" t="n">
        <f aca="false">дома!C1238</f>
        <v>2</v>
      </c>
      <c r="D178" s="450"/>
      <c r="E178" s="2090"/>
      <c r="F178" s="450"/>
      <c r="G178" s="888"/>
      <c r="H178" s="964"/>
      <c r="I178" s="1009"/>
      <c r="J178" s="2072"/>
      <c r="K178" s="2072"/>
      <c r="L178" s="2072"/>
      <c r="M178" s="2072"/>
    </row>
    <row r="179" customFormat="false" ht="14.5" hidden="false" customHeight="false" outlineLevel="0" collapsed="false">
      <c r="A179" s="560" t="s">
        <v>3525</v>
      </c>
      <c r="B179" s="680" t="s">
        <v>156</v>
      </c>
      <c r="C179" s="1526" t="n">
        <f aca="false">дома!C1239</f>
        <v>2.91547594742265</v>
      </c>
      <c r="D179" s="450"/>
      <c r="E179" s="450"/>
      <c r="F179" s="450"/>
      <c r="G179" s="888"/>
      <c r="H179" s="964"/>
      <c r="I179" s="1009"/>
      <c r="J179" s="2072"/>
      <c r="K179" s="2072"/>
      <c r="L179" s="2072"/>
      <c r="M179" s="2072"/>
    </row>
    <row r="180" customFormat="false" ht="14.5" hidden="false" customHeight="false" outlineLevel="0" collapsed="false">
      <c r="A180" s="560" t="s">
        <v>3526</v>
      </c>
      <c r="B180" s="680" t="s">
        <v>156</v>
      </c>
      <c r="C180" s="1526" t="n">
        <f aca="false">дома!C1240</f>
        <v>1.5</v>
      </c>
      <c r="D180" s="2090" t="n">
        <v>1</v>
      </c>
      <c r="E180" s="450"/>
      <c r="F180" s="450"/>
      <c r="G180" s="888"/>
      <c r="H180" s="964"/>
      <c r="I180" s="1009"/>
      <c r="J180" s="2072"/>
      <c r="K180" s="2072"/>
      <c r="L180" s="2072"/>
      <c r="M180" s="2072"/>
    </row>
    <row r="181" customFormat="false" ht="14.5" hidden="false" customHeight="false" outlineLevel="0" collapsed="false">
      <c r="A181" s="560" t="s">
        <v>3892</v>
      </c>
      <c r="B181" s="680" t="s">
        <v>156</v>
      </c>
      <c r="C181" s="1526" t="n">
        <f aca="false">дома!C1241</f>
        <v>3.2</v>
      </c>
      <c r="D181" s="371"/>
      <c r="E181" s="450"/>
      <c r="F181" s="450"/>
      <c r="G181" s="888"/>
      <c r="H181" s="964"/>
      <c r="I181" s="1009"/>
      <c r="J181" s="2072"/>
      <c r="K181" s="2072"/>
      <c r="L181" s="2072"/>
      <c r="M181" s="2072"/>
    </row>
    <row r="182" customFormat="false" ht="14.5" hidden="false" customHeight="false" outlineLevel="0" collapsed="false">
      <c r="A182" s="560" t="s">
        <v>3529</v>
      </c>
      <c r="B182" s="680" t="s">
        <v>156</v>
      </c>
      <c r="C182" s="1526" t="n">
        <f aca="false">дома!C1243</f>
        <v>2.2</v>
      </c>
      <c r="D182" s="371"/>
      <c r="E182" s="450"/>
      <c r="F182" s="450"/>
      <c r="G182" s="888"/>
      <c r="H182" s="964"/>
      <c r="I182" s="1009"/>
      <c r="J182" s="2072"/>
      <c r="K182" s="2072"/>
      <c r="L182" s="2072"/>
      <c r="M182" s="2072"/>
    </row>
    <row r="183" customFormat="false" ht="14.5" hidden="false" customHeight="false" outlineLevel="0" collapsed="false">
      <c r="A183" s="560" t="s">
        <v>3530</v>
      </c>
      <c r="B183" s="680" t="s">
        <v>156</v>
      </c>
      <c r="C183" s="1526" t="n">
        <f aca="false">дома!C1244</f>
        <v>4</v>
      </c>
      <c r="D183" s="450"/>
      <c r="E183" s="450"/>
      <c r="F183" s="450"/>
      <c r="G183" s="888"/>
      <c r="H183" s="964"/>
      <c r="I183" s="1009"/>
      <c r="J183" s="2072"/>
      <c r="K183" s="2072"/>
      <c r="L183" s="2072"/>
      <c r="M183" s="2072"/>
    </row>
    <row r="184" customFormat="false" ht="14.5" hidden="false" customHeight="false" outlineLevel="0" collapsed="false">
      <c r="A184" s="560" t="s">
        <v>3531</v>
      </c>
      <c r="B184" s="680" t="s">
        <v>156</v>
      </c>
      <c r="C184" s="1526" t="n">
        <f aca="false">дома!C1245</f>
        <v>5</v>
      </c>
      <c r="D184" s="450"/>
      <c r="E184" s="450"/>
      <c r="F184" s="450"/>
      <c r="G184" s="888"/>
      <c r="H184" s="895"/>
      <c r="I184" s="1009"/>
      <c r="J184" s="2072"/>
      <c r="K184" s="2072"/>
      <c r="L184" s="2072"/>
      <c r="M184" s="2072"/>
    </row>
    <row r="185" customFormat="false" ht="14.5" hidden="false" customHeight="false" outlineLevel="0" collapsed="false">
      <c r="A185" s="2091" t="s">
        <v>3893</v>
      </c>
      <c r="B185" s="2092" t="s">
        <v>156</v>
      </c>
      <c r="C185" s="1526" t="n">
        <f aca="false">дома!C1246</f>
        <v>2.2</v>
      </c>
      <c r="D185" s="895"/>
      <c r="E185" s="895"/>
      <c r="F185" s="895"/>
      <c r="G185" s="888"/>
      <c r="H185" s="964"/>
      <c r="I185" s="1009"/>
      <c r="J185" s="2072"/>
      <c r="K185" s="2072"/>
      <c r="L185" s="2072"/>
      <c r="M185" s="2072"/>
    </row>
    <row r="186" customFormat="false" ht="14.5" hidden="false" customHeight="false" outlineLevel="0" collapsed="false">
      <c r="A186" s="2105" t="s">
        <v>1236</v>
      </c>
      <c r="B186" s="2105" t="s">
        <v>120</v>
      </c>
      <c r="C186" s="900" t="s">
        <v>2548</v>
      </c>
      <c r="D186" s="895"/>
      <c r="E186" s="895"/>
      <c r="F186" s="895"/>
      <c r="G186" s="895"/>
      <c r="H186" s="964"/>
      <c r="I186" s="1009"/>
      <c r="J186" s="2072"/>
      <c r="K186" s="2072"/>
      <c r="L186" s="2072"/>
      <c r="M186" s="2072"/>
    </row>
    <row r="187" customFormat="false" ht="14.5" hidden="false" customHeight="false" outlineLevel="0" collapsed="false">
      <c r="A187" s="903" t="s">
        <v>3902</v>
      </c>
      <c r="B187" s="924" t="s">
        <v>133</v>
      </c>
      <c r="C187" s="903" t="e">
        <f aca="false">(C180*C184+(C183-C180)*C178+(C183-C180)*((C184-C178)/2)*2)*E175</f>
        <v>#VALUE!</v>
      </c>
      <c r="D187" s="895"/>
      <c r="E187" s="895"/>
      <c r="F187" s="895"/>
      <c r="G187" s="888"/>
      <c r="H187" s="964"/>
      <c r="I187" s="1009"/>
      <c r="J187" s="2072"/>
      <c r="K187" s="2072"/>
      <c r="L187" s="2072"/>
      <c r="M187" s="2072"/>
    </row>
    <row r="188" customFormat="false" ht="14.5" hidden="false" customHeight="false" outlineLevel="0" collapsed="false">
      <c r="A188" s="903" t="s">
        <v>3903</v>
      </c>
      <c r="B188" s="924" t="s">
        <v>133</v>
      </c>
      <c r="C188" s="903" t="e">
        <f aca="false">(C180*C184+(C183-C180)*C178+(C183-C180)*((C184-C178)/2)*2)*E176</f>
        <v>#VALUE!</v>
      </c>
      <c r="D188" s="895"/>
      <c r="E188" s="895"/>
      <c r="F188" s="895"/>
      <c r="G188" s="888"/>
      <c r="H188" s="964"/>
      <c r="I188" s="1009"/>
      <c r="J188" s="2072"/>
      <c r="K188" s="2072"/>
      <c r="L188" s="2072"/>
      <c r="M188" s="2072"/>
    </row>
    <row r="189" customFormat="false" ht="14.5" hidden="false" customHeight="false" outlineLevel="0" collapsed="false">
      <c r="A189" s="903" t="s">
        <v>3904</v>
      </c>
      <c r="B189" s="924" t="s">
        <v>133</v>
      </c>
      <c r="C189" s="903" t="e">
        <f aca="false">(C180*C184+(C183-C180)*C178+(C183-C180)*((C184-C178)/2)*2)*E177</f>
        <v>#VALUE!</v>
      </c>
      <c r="D189" s="895"/>
      <c r="E189" s="895"/>
      <c r="F189" s="895"/>
      <c r="G189" s="888"/>
      <c r="H189" s="964"/>
      <c r="I189" s="1009"/>
      <c r="J189" s="2072"/>
      <c r="K189" s="2072"/>
      <c r="L189" s="2072"/>
      <c r="M189" s="2072"/>
    </row>
    <row r="190" customFormat="false" ht="14.5" hidden="false" customHeight="false" outlineLevel="0" collapsed="false">
      <c r="A190" s="2093" t="s">
        <v>1236</v>
      </c>
      <c r="B190" s="757" t="s">
        <v>120</v>
      </c>
      <c r="C190" s="757" t="s">
        <v>2580</v>
      </c>
      <c r="D190" s="757" t="s">
        <v>2581</v>
      </c>
      <c r="E190" s="757" t="s">
        <v>1802</v>
      </c>
      <c r="F190" s="890" t="s">
        <v>3894</v>
      </c>
      <c r="G190" s="888"/>
      <c r="H190" s="964"/>
      <c r="I190" s="1009"/>
      <c r="J190" s="2072"/>
      <c r="K190" s="2072"/>
      <c r="L190" s="2072"/>
      <c r="M190" s="2072"/>
    </row>
    <row r="191" customFormat="false" ht="14.5" hidden="false" customHeight="false" outlineLevel="0" collapsed="false">
      <c r="A191" s="680" t="s">
        <v>2210</v>
      </c>
      <c r="B191" s="680" t="s">
        <v>156</v>
      </c>
      <c r="C191" s="2090" t="n">
        <f aca="false">'Ввод данных'!C432</f>
        <v>2.7</v>
      </c>
      <c r="D191" s="2090" t="n">
        <f aca="false">'Ввод данных'!D429</f>
        <v>0</v>
      </c>
      <c r="E191" s="2090" t="e">
        <f aca="false">'ввод данных'!#ref!</f>
        <v>#VALUE!</v>
      </c>
      <c r="F191" s="2094" t="e">
        <f aca="false">C191*D191*E191</f>
        <v>#VALUE!</v>
      </c>
      <c r="G191" s="888"/>
      <c r="H191" s="964"/>
      <c r="I191" s="1009"/>
      <c r="J191" s="2072"/>
      <c r="K191" s="2072"/>
      <c r="L191" s="2072"/>
      <c r="M191" s="2072"/>
    </row>
    <row r="192" customFormat="false" ht="14.5" hidden="false" customHeight="false" outlineLevel="0" collapsed="false">
      <c r="A192" s="680"/>
      <c r="B192" s="680" t="s">
        <v>156</v>
      </c>
      <c r="C192" s="2090"/>
      <c r="D192" s="2090" t="n">
        <f aca="false">'Ввод данных'!D430</f>
        <v>0</v>
      </c>
      <c r="E192" s="2090" t="e">
        <f aca="false">'ввод данных'!#ref!</f>
        <v>#VALUE!</v>
      </c>
      <c r="F192" s="2094" t="e">
        <f aca="false">C192*D192*E192</f>
        <v>#VALUE!</v>
      </c>
      <c r="G192" s="888"/>
      <c r="H192" s="964"/>
      <c r="I192" s="1009"/>
      <c r="J192" s="2072"/>
      <c r="K192" s="2072"/>
      <c r="L192" s="2072"/>
      <c r="M192" s="2072"/>
    </row>
    <row r="193" customFormat="false" ht="14.5" hidden="false" customHeight="false" outlineLevel="0" collapsed="false">
      <c r="A193" s="680"/>
      <c r="B193" s="680" t="s">
        <v>156</v>
      </c>
      <c r="C193" s="2090"/>
      <c r="D193" s="2090" t="n">
        <f aca="false">'Ввод данных'!D431</f>
        <v>0</v>
      </c>
      <c r="E193" s="2090" t="e">
        <f aca="false">'ввод данных'!#ref!</f>
        <v>#VALUE!</v>
      </c>
      <c r="F193" s="2094" t="e">
        <f aca="false">C193*D193*E193</f>
        <v>#VALUE!</v>
      </c>
      <c r="G193" s="888"/>
      <c r="H193" s="964"/>
      <c r="I193" s="1009"/>
      <c r="J193" s="2072"/>
      <c r="K193" s="2072"/>
      <c r="L193" s="2072"/>
      <c r="M193" s="2072"/>
    </row>
    <row r="194" customFormat="false" ht="14.5" hidden="false" customHeight="false" outlineLevel="0" collapsed="false">
      <c r="A194" s="680" t="s">
        <v>3895</v>
      </c>
      <c r="B194" s="680" t="s">
        <v>156</v>
      </c>
      <c r="C194" s="2090" t="e">
        <f aca="false">'ввод данных'!#ref!</f>
        <v>#VALUE!</v>
      </c>
      <c r="D194" s="2090" t="n">
        <f aca="false">'Ввод данных'!D432</f>
        <v>0</v>
      </c>
      <c r="E194" s="2090" t="e">
        <f aca="false">'ввод данных'!#ref!</f>
        <v>#VALUE!</v>
      </c>
      <c r="F194" s="2094" t="e">
        <f aca="false">C194*D194*E194</f>
        <v>#VALUE!</v>
      </c>
      <c r="G194" s="888"/>
      <c r="H194" s="964"/>
      <c r="I194" s="1009"/>
      <c r="J194" s="2072"/>
      <c r="K194" s="2072"/>
      <c r="L194" s="2072"/>
      <c r="M194" s="2072"/>
    </row>
    <row r="195" customFormat="false" ht="14.5" hidden="false" customHeight="false" outlineLevel="0" collapsed="false">
      <c r="A195" s="680"/>
      <c r="B195" s="680" t="s">
        <v>156</v>
      </c>
      <c r="C195" s="2090" t="n">
        <f aca="false">'Ввод данных'!C434</f>
        <v>0</v>
      </c>
      <c r="D195" s="2090" t="n">
        <f aca="false">'Ввод данных'!D433</f>
        <v>0</v>
      </c>
      <c r="E195" s="2090" t="e">
        <f aca="false">'ввод данных'!#ref!</f>
        <v>#VALUE!</v>
      </c>
      <c r="F195" s="2094" t="e">
        <f aca="false">C195*D195*E195</f>
        <v>#VALUE!</v>
      </c>
      <c r="G195" s="888"/>
      <c r="H195" s="964"/>
      <c r="I195" s="1009"/>
      <c r="J195" s="2072"/>
      <c r="K195" s="2072"/>
      <c r="L195" s="2072"/>
      <c r="M195" s="2072"/>
    </row>
    <row r="196" customFormat="false" ht="14.5" hidden="false" customHeight="false" outlineLevel="0" collapsed="false">
      <c r="A196" s="903" t="s">
        <v>3896</v>
      </c>
      <c r="B196" s="903" t="s">
        <v>133</v>
      </c>
      <c r="C196" s="903" t="e">
        <f aca="false">F191+F192+F195+F194+F193</f>
        <v>#VALUE!</v>
      </c>
      <c r="D196" s="895"/>
      <c r="E196" s="895"/>
      <c r="F196" s="895"/>
      <c r="G196" s="888"/>
      <c r="H196" s="964"/>
      <c r="I196" s="1009"/>
      <c r="J196" s="2072"/>
      <c r="K196" s="2072"/>
      <c r="L196" s="2072"/>
      <c r="M196" s="2072"/>
    </row>
    <row r="197" customFormat="false" ht="14.5" hidden="false" customHeight="false" outlineLevel="0" collapsed="false">
      <c r="A197" s="903" t="s">
        <v>3541</v>
      </c>
      <c r="B197" s="903" t="s">
        <v>133</v>
      </c>
      <c r="C197" s="903" t="e">
        <f aca="false">(C180*2+C179*2+C178)*(C181+C185*C174+D175*E175+D176*E176+D177*E177)</f>
        <v>#VALUE!</v>
      </c>
      <c r="D197" s="895"/>
      <c r="E197" s="895"/>
      <c r="F197" s="895"/>
      <c r="G197" s="888"/>
      <c r="H197" s="964"/>
      <c r="I197" s="1009"/>
      <c r="J197" s="2072"/>
      <c r="K197" s="2072"/>
      <c r="L197" s="2072"/>
      <c r="M197" s="2072"/>
    </row>
    <row r="198" customFormat="false" ht="14.5" hidden="false" customHeight="false" outlineLevel="0" collapsed="false">
      <c r="A198" s="903" t="s">
        <v>3542</v>
      </c>
      <c r="B198" s="903" t="s">
        <v>133</v>
      </c>
      <c r="C198" s="903" t="e">
        <f aca="false">C197-C196</f>
        <v>#VALUE!</v>
      </c>
      <c r="D198" s="895"/>
      <c r="E198" s="895"/>
      <c r="F198" s="895"/>
      <c r="G198" s="888"/>
      <c r="H198" s="964"/>
      <c r="I198" s="1009"/>
      <c r="J198" s="2072"/>
      <c r="K198" s="2072"/>
      <c r="L198" s="2072"/>
      <c r="M198" s="2072"/>
    </row>
    <row r="199" customFormat="false" ht="14.5" hidden="false" customHeight="false" outlineLevel="0" collapsed="false">
      <c r="A199" s="2095" t="s">
        <v>3543</v>
      </c>
      <c r="B199" s="2095"/>
      <c r="C199" s="2083" t="s">
        <v>120</v>
      </c>
      <c r="D199" s="2083" t="s">
        <v>853</v>
      </c>
      <c r="E199" s="2090" t="e">
        <f aca="false">'ввод данных'!#ref!</f>
        <v>#VALUE!</v>
      </c>
      <c r="F199" s="2084" t="s">
        <v>3555</v>
      </c>
      <c r="G199" s="888"/>
      <c r="H199" s="964"/>
      <c r="I199" s="1009"/>
      <c r="J199" s="2072"/>
      <c r="K199" s="2072"/>
      <c r="L199" s="2072"/>
      <c r="M199" s="2072"/>
    </row>
    <row r="200" customFormat="false" ht="14.5" hidden="false" customHeight="false" outlineLevel="0" collapsed="false">
      <c r="A200" s="902" t="s">
        <v>3544</v>
      </c>
      <c r="B200" s="902"/>
      <c r="C200" s="925" t="s">
        <v>156</v>
      </c>
      <c r="D200" s="903" t="n">
        <f aca="false">SQRT((C184/2)*(C184/2)+C182*C182)</f>
        <v>3.33016516106934</v>
      </c>
      <c r="E200" s="1217"/>
      <c r="F200" s="1217"/>
      <c r="G200" s="888"/>
      <c r="H200" s="964"/>
      <c r="I200" s="1009"/>
      <c r="J200" s="2072"/>
      <c r="K200" s="2072"/>
      <c r="L200" s="2072"/>
      <c r="M200" s="2072"/>
    </row>
    <row r="201" customFormat="false" ht="14.5" hidden="false" customHeight="false" outlineLevel="0" collapsed="false">
      <c r="A201" s="902" t="s">
        <v>3548</v>
      </c>
      <c r="B201" s="902"/>
      <c r="C201" s="925" t="s">
        <v>156</v>
      </c>
      <c r="D201" s="903" t="n">
        <f aca="false">SQRT(D200*D200+C180*C180)</f>
        <v>3.65239647354993</v>
      </c>
      <c r="E201" s="1217"/>
      <c r="F201" s="1217"/>
      <c r="G201" s="888"/>
      <c r="H201" s="964"/>
      <c r="I201" s="1009"/>
      <c r="J201" s="2072"/>
      <c r="K201" s="2072"/>
      <c r="L201" s="2072"/>
      <c r="M201" s="2072"/>
    </row>
    <row r="202" customFormat="false" ht="14.5" hidden="false" customHeight="false" outlineLevel="0" collapsed="false">
      <c r="A202" s="902" t="s">
        <v>3549</v>
      </c>
      <c r="B202" s="902"/>
      <c r="C202" s="925" t="s">
        <v>156</v>
      </c>
      <c r="D202" s="903" t="n">
        <f aca="false">SQRT(D201*D201+C179*C179)</f>
        <v>4.67332857821917</v>
      </c>
      <c r="E202" s="1217"/>
      <c r="F202" s="1217"/>
      <c r="G202" s="888"/>
      <c r="H202" s="964"/>
      <c r="I202" s="1009"/>
      <c r="J202" s="2072"/>
      <c r="K202" s="2072"/>
      <c r="L202" s="2072"/>
      <c r="M202" s="2072"/>
    </row>
    <row r="203" customFormat="false" ht="14.5" hidden="false" customHeight="false" outlineLevel="0" collapsed="false">
      <c r="A203" s="1372" t="s">
        <v>2609</v>
      </c>
      <c r="B203" s="1372"/>
      <c r="C203" s="887" t="s">
        <v>133</v>
      </c>
      <c r="D203" s="1219" t="n">
        <f aca="false">D200*C180+D201*C179*1.1+(C178/2)*SQRT(C183*C183+C182*C182)*2</f>
        <v>25.8387389860094</v>
      </c>
      <c r="E203" s="1217"/>
      <c r="F203" s="1217"/>
      <c r="G203" s="888"/>
      <c r="H203" s="964"/>
      <c r="I203" s="1009"/>
      <c r="J203" s="2072"/>
      <c r="K203" s="2072"/>
      <c r="L203" s="2072"/>
      <c r="M203" s="2072"/>
    </row>
    <row r="204" customFormat="false" ht="14.5" hidden="false" customHeight="false" outlineLevel="0" collapsed="false">
      <c r="A204" s="1372" t="s">
        <v>3545</v>
      </c>
      <c r="B204" s="1372"/>
      <c r="C204" s="887" t="s">
        <v>156</v>
      </c>
      <c r="D204" s="2090" t="n">
        <f aca="false">'Ввод данных'!C433</f>
        <v>0.8</v>
      </c>
      <c r="E204" s="1217"/>
      <c r="F204" s="1217"/>
      <c r="G204" s="888"/>
      <c r="H204" s="964"/>
      <c r="I204" s="1009"/>
      <c r="J204" s="2072"/>
      <c r="K204" s="2072"/>
      <c r="L204" s="2072"/>
      <c r="M204" s="2072"/>
    </row>
    <row r="205" customFormat="false" ht="14.5" hidden="false" customHeight="false" outlineLevel="0" collapsed="false">
      <c r="A205" s="902" t="s">
        <v>3550</v>
      </c>
      <c r="B205" s="902"/>
      <c r="C205" s="903" t="s">
        <v>156</v>
      </c>
      <c r="D205" s="1023" t="n">
        <f aca="false">D200+D204</f>
        <v>4.13016516106934</v>
      </c>
      <c r="E205" s="1217"/>
      <c r="F205" s="1217"/>
      <c r="G205" s="888"/>
      <c r="H205" s="964"/>
      <c r="I205" s="1009"/>
      <c r="J205" s="2072"/>
      <c r="K205" s="2072"/>
      <c r="L205" s="2072"/>
      <c r="M205" s="2072"/>
    </row>
    <row r="206" customFormat="false" ht="14.5" hidden="false" customHeight="false" outlineLevel="0" collapsed="false">
      <c r="A206" s="902" t="s">
        <v>3552</v>
      </c>
      <c r="B206" s="902"/>
      <c r="C206" s="903" t="s">
        <v>156</v>
      </c>
      <c r="D206" s="1023" t="n">
        <f aca="false">D201+D204</f>
        <v>4.45239647354993</v>
      </c>
      <c r="E206" s="1217"/>
      <c r="F206" s="1217"/>
      <c r="G206" s="888"/>
      <c r="H206" s="964"/>
      <c r="I206" s="1009"/>
      <c r="J206" s="2072"/>
      <c r="K206" s="2072"/>
      <c r="L206" s="2072"/>
      <c r="M206" s="2072"/>
    </row>
    <row r="207" customFormat="false" ht="14.5" hidden="false" customHeight="false" outlineLevel="0" collapsed="false">
      <c r="A207" s="902" t="s">
        <v>3554</v>
      </c>
      <c r="B207" s="902"/>
      <c r="C207" s="903" t="s">
        <v>156</v>
      </c>
      <c r="D207" s="1023" t="n">
        <f aca="false">D202+D204</f>
        <v>5.47332857821917</v>
      </c>
      <c r="E207" s="1217"/>
      <c r="F207" s="1217"/>
      <c r="G207" s="888"/>
      <c r="H207" s="964"/>
      <c r="I207" s="1009"/>
      <c r="J207" s="2072"/>
      <c r="K207" s="2072"/>
      <c r="L207" s="2072"/>
      <c r="M207" s="2072"/>
    </row>
    <row r="208" customFormat="false" ht="14.5" hidden="false" customHeight="false" outlineLevel="0" collapsed="false">
      <c r="A208" s="1372" t="s">
        <v>2610</v>
      </c>
      <c r="B208" s="1372"/>
      <c r="C208" s="887" t="s">
        <v>133</v>
      </c>
      <c r="D208" s="1219" t="e">
        <f aca="false">((C180*D204*2+C179*D204*2+C178*D204)*1.1+D203)*E199</f>
        <v>#VALUE!</v>
      </c>
      <c r="E208" s="1217"/>
      <c r="F208" s="1217"/>
      <c r="G208" s="888"/>
      <c r="H208" s="964"/>
      <c r="I208" s="1009"/>
      <c r="J208" s="2072"/>
      <c r="K208" s="2072"/>
      <c r="L208" s="2072"/>
      <c r="M208" s="2072"/>
    </row>
    <row r="209" customFormat="false" ht="14.5" hidden="false" customHeight="false" outlineLevel="0" collapsed="false">
      <c r="A209" s="2099" t="s">
        <v>2635</v>
      </c>
      <c r="B209" s="2099"/>
      <c r="C209" s="2099"/>
      <c r="D209" s="2099"/>
      <c r="E209" s="2090" t="e">
        <f aca="false">'ввод данных'!#ref!</f>
        <v>#VALUE!</v>
      </c>
      <c r="F209" s="894" t="s">
        <v>3568</v>
      </c>
      <c r="G209" s="888"/>
      <c r="H209" s="964"/>
      <c r="I209" s="1009"/>
      <c r="J209" s="2072"/>
      <c r="K209" s="2072"/>
      <c r="L209" s="2072"/>
      <c r="M209" s="2072"/>
    </row>
    <row r="210" customFormat="false" ht="14.5" hidden="false" customHeight="false" outlineLevel="0" collapsed="false">
      <c r="A210" s="2292" t="s">
        <v>2572</v>
      </c>
      <c r="B210" s="2051" t="s">
        <v>156</v>
      </c>
      <c r="C210" s="2292" t="n">
        <f aca="false">дома!C1275</f>
        <v>10.8309518948453</v>
      </c>
      <c r="D210" s="894"/>
      <c r="E210" s="894"/>
      <c r="F210" s="1217"/>
      <c r="G210" s="888"/>
      <c r="H210" s="964"/>
      <c r="I210" s="1009"/>
      <c r="J210" s="2072"/>
      <c r="K210" s="2072"/>
      <c r="L210" s="2072"/>
      <c r="M210" s="2072"/>
    </row>
    <row r="211" customFormat="false" ht="14.5" hidden="false" customHeight="false" outlineLevel="0" collapsed="false">
      <c r="A211" s="903" t="s">
        <v>3427</v>
      </c>
      <c r="B211" s="925" t="s">
        <v>133</v>
      </c>
      <c r="C211" s="903" t="n">
        <f aca="false">дома!C1235</f>
        <v>16.25</v>
      </c>
      <c r="D211" s="894"/>
      <c r="E211" s="894"/>
      <c r="F211" s="1217"/>
      <c r="G211" s="888"/>
      <c r="H211" s="964"/>
      <c r="I211" s="1009"/>
      <c r="J211" s="2072"/>
      <c r="K211" s="2072"/>
      <c r="L211" s="2072"/>
      <c r="M211" s="2072"/>
    </row>
    <row r="212" customFormat="false" ht="14.5" hidden="false" customHeight="false" outlineLevel="0" collapsed="false">
      <c r="A212" s="895"/>
      <c r="B212" s="895"/>
      <c r="C212" s="895"/>
      <c r="D212" s="895"/>
      <c r="E212" s="894"/>
      <c r="F212" s="894"/>
      <c r="G212" s="895"/>
      <c r="H212" s="964"/>
      <c r="I212" s="1009"/>
      <c r="J212" s="2072"/>
      <c r="K212" s="2072"/>
      <c r="L212" s="2072"/>
      <c r="M212" s="2072"/>
    </row>
    <row r="213" customFormat="false" ht="14.5" hidden="false" customHeight="false" outlineLevel="0" collapsed="false">
      <c r="A213" s="2102" t="s">
        <v>2069</v>
      </c>
      <c r="B213" s="756" t="s">
        <v>120</v>
      </c>
      <c r="C213" s="758" t="s">
        <v>1753</v>
      </c>
      <c r="D213" s="2285" t="str">
        <f aca="false">'Ввод данных'!F512</f>
        <v>Не считать</v>
      </c>
      <c r="E213" s="894" t="s">
        <v>3897</v>
      </c>
      <c r="F213" s="894"/>
      <c r="G213" s="895"/>
      <c r="H213" s="964"/>
      <c r="I213" s="1009"/>
      <c r="J213" s="2072"/>
      <c r="K213" s="2072"/>
      <c r="L213" s="2072"/>
      <c r="M213" s="2072"/>
    </row>
    <row r="214" customFormat="false" ht="14.5" hidden="false" customHeight="false" outlineLevel="0" collapsed="false">
      <c r="A214" s="903" t="s">
        <v>2058</v>
      </c>
      <c r="B214" s="925" t="s">
        <v>156</v>
      </c>
      <c r="C214" s="474" t="n">
        <v>3</v>
      </c>
      <c r="D214" s="358"/>
      <c r="E214" s="894"/>
      <c r="F214" s="894"/>
      <c r="G214" s="895"/>
      <c r="H214" s="964"/>
      <c r="I214" s="1009"/>
      <c r="J214" s="2072"/>
      <c r="K214" s="2072"/>
      <c r="L214" s="2072"/>
      <c r="M214" s="2072"/>
    </row>
    <row r="215" customFormat="false" ht="14.5" hidden="false" customHeight="false" outlineLevel="0" collapsed="false">
      <c r="A215" s="903" t="s">
        <v>3898</v>
      </c>
      <c r="B215" s="925" t="s">
        <v>156</v>
      </c>
      <c r="C215" s="937" t="n">
        <f aca="false">'Ввод данных'!C467</f>
        <v>1</v>
      </c>
      <c r="D215" s="358"/>
      <c r="E215" s="894"/>
      <c r="F215" s="894"/>
      <c r="G215" s="895"/>
      <c r="H215" s="964"/>
      <c r="I215" s="1009"/>
      <c r="J215" s="2072"/>
      <c r="K215" s="2072"/>
      <c r="L215" s="2072"/>
      <c r="M215" s="2072"/>
    </row>
    <row r="216" customFormat="false" ht="14.5" hidden="false" customHeight="false" outlineLevel="0" collapsed="false">
      <c r="A216" s="903" t="s">
        <v>3838</v>
      </c>
      <c r="B216" s="925" t="s">
        <v>156</v>
      </c>
      <c r="C216" s="937" t="n">
        <f aca="false">'Ввод данных'!C468</f>
        <v>0.9</v>
      </c>
      <c r="D216" s="358"/>
      <c r="E216" s="894"/>
      <c r="F216" s="894"/>
      <c r="G216" s="894"/>
      <c r="H216" s="964"/>
      <c r="I216" s="1009"/>
      <c r="J216" s="2072"/>
      <c r="K216" s="2072"/>
      <c r="L216" s="2072"/>
      <c r="M216" s="2072"/>
    </row>
    <row r="217" customFormat="false" ht="14.5" hidden="false" customHeight="false" outlineLevel="0" collapsed="false">
      <c r="A217" s="903" t="s">
        <v>3899</v>
      </c>
      <c r="B217" s="925" t="s">
        <v>133</v>
      </c>
      <c r="C217" s="903" t="n">
        <f aca="false">C214*C215</f>
        <v>3</v>
      </c>
      <c r="D217" s="358"/>
      <c r="E217" s="894"/>
      <c r="F217" s="894"/>
      <c r="G217" s="894"/>
      <c r="H217" s="964"/>
      <c r="I217" s="1009"/>
      <c r="J217" s="2072"/>
      <c r="K217" s="2072"/>
      <c r="L217" s="2072"/>
      <c r="M217" s="2072"/>
    </row>
    <row r="218" customFormat="false" ht="14.5" hidden="false" customHeight="false" outlineLevel="0" collapsed="false">
      <c r="A218" s="903" t="s">
        <v>3900</v>
      </c>
      <c r="B218" s="903" t="s">
        <v>133</v>
      </c>
      <c r="C218" s="903" t="n">
        <f aca="false">(C214+C215+C215)*C216</f>
        <v>4.5</v>
      </c>
      <c r="D218" s="358"/>
      <c r="E218" s="894"/>
      <c r="F218" s="894"/>
      <c r="G218" s="894"/>
      <c r="H218" s="964"/>
      <c r="I218" s="1009"/>
      <c r="J218" s="2072"/>
      <c r="K218" s="2072"/>
      <c r="L218" s="2072"/>
      <c r="M218" s="2072"/>
    </row>
    <row r="219" customFormat="false" ht="14.5" hidden="false" customHeight="false" outlineLevel="0" collapsed="false">
      <c r="A219" s="895"/>
      <c r="B219" s="895"/>
      <c r="C219" s="895"/>
      <c r="D219" s="895"/>
      <c r="E219" s="894"/>
      <c r="F219" s="894"/>
      <c r="G219" s="894"/>
      <c r="H219" s="964"/>
      <c r="I219" s="1009"/>
      <c r="J219" s="2072"/>
      <c r="K219" s="2072"/>
      <c r="L219" s="2072"/>
      <c r="M219" s="2072"/>
    </row>
    <row r="220" customFormat="false" ht="14.5" hidden="false" customHeight="false" outlineLevel="0" collapsed="false">
      <c r="A220" s="2103" t="s">
        <v>3812</v>
      </c>
      <c r="B220" s="2104" t="s">
        <v>120</v>
      </c>
      <c r="C220" s="756" t="s">
        <v>1753</v>
      </c>
      <c r="D220" s="1082" t="n">
        <v>0</v>
      </c>
      <c r="E220" s="894" t="s">
        <v>3813</v>
      </c>
      <c r="F220" s="894"/>
      <c r="G220" s="894"/>
      <c r="H220" s="964"/>
      <c r="I220" s="1009"/>
      <c r="J220" s="2072"/>
      <c r="K220" s="2072"/>
      <c r="L220" s="2072"/>
      <c r="M220" s="2072"/>
    </row>
    <row r="221" customFormat="false" ht="14.5" hidden="false" customHeight="false" outlineLevel="0" collapsed="false">
      <c r="A221" s="903" t="s">
        <v>2002</v>
      </c>
      <c r="B221" s="903" t="s">
        <v>159</v>
      </c>
      <c r="C221" s="1080" t="n">
        <f aca="false">'Ввод данных'!E520</f>
        <v>0</v>
      </c>
      <c r="D221" s="894"/>
      <c r="E221" s="894"/>
      <c r="F221" s="894"/>
      <c r="G221" s="894"/>
      <c r="H221" s="964"/>
      <c r="I221" s="1009"/>
      <c r="J221" s="2072"/>
      <c r="K221" s="2072"/>
      <c r="L221" s="2072"/>
      <c r="M221" s="2072"/>
    </row>
    <row r="222" customFormat="false" ht="14.5" hidden="false" customHeight="false" outlineLevel="0" collapsed="false">
      <c r="A222" s="903" t="s">
        <v>3814</v>
      </c>
      <c r="B222" s="903" t="s">
        <v>159</v>
      </c>
      <c r="C222" s="1080" t="n">
        <f aca="false">'Ввод данных'!E521</f>
        <v>0</v>
      </c>
      <c r="D222" s="903" t="s">
        <v>2975</v>
      </c>
      <c r="E222" s="894"/>
      <c r="F222" s="894"/>
      <c r="G222" s="894"/>
      <c r="H222" s="964"/>
      <c r="I222" s="1009"/>
      <c r="J222" s="2072"/>
      <c r="K222" s="2072"/>
      <c r="L222" s="2072"/>
      <c r="M222" s="2072"/>
    </row>
    <row r="223" customFormat="false" ht="14.5" hidden="false" customHeight="false" outlineLevel="0" collapsed="false">
      <c r="A223" s="903" t="s">
        <v>2001</v>
      </c>
      <c r="B223" s="903" t="s">
        <v>159</v>
      </c>
      <c r="C223" s="903"/>
      <c r="D223" s="1082" t="e">
        <f aca="false">'ввод данных'!#ref!</f>
        <v>#VALUE!</v>
      </c>
      <c r="E223" s="1080" t="e">
        <f aca="false">'ввод данных'!#ref!</f>
        <v>#VALUE!</v>
      </c>
      <c r="F223" s="894" t="s">
        <v>3521</v>
      </c>
      <c r="G223" s="894"/>
      <c r="H223" s="964"/>
      <c r="I223" s="1009"/>
      <c r="J223" s="2072"/>
      <c r="K223" s="2072"/>
      <c r="L223" s="2072"/>
      <c r="M223" s="2072"/>
    </row>
    <row r="224" customFormat="false" ht="14.5" hidden="false" customHeight="false" outlineLevel="0" collapsed="false">
      <c r="A224" s="903" t="s">
        <v>2557</v>
      </c>
      <c r="B224" s="903" t="s">
        <v>159</v>
      </c>
      <c r="C224" s="903"/>
      <c r="D224" s="1082" t="e">
        <f aca="false">'ввод данных'!#ref!</f>
        <v>#VALUE!</v>
      </c>
      <c r="E224" s="1080" t="e">
        <f aca="false">'ввод данных'!#ref!</f>
        <v>#VALUE!</v>
      </c>
      <c r="F224" s="894" t="s">
        <v>3522</v>
      </c>
      <c r="G224" s="894"/>
      <c r="H224" s="964"/>
      <c r="I224" s="1009"/>
      <c r="J224" s="2072"/>
      <c r="K224" s="2072"/>
      <c r="L224" s="2072"/>
      <c r="M224" s="2072"/>
    </row>
    <row r="225" customFormat="false" ht="14.5" hidden="false" customHeight="false" outlineLevel="0" collapsed="false">
      <c r="A225" s="903" t="s">
        <v>2558</v>
      </c>
      <c r="B225" s="903" t="s">
        <v>159</v>
      </c>
      <c r="C225" s="903"/>
      <c r="D225" s="1082" t="e">
        <f aca="false">'ввод данных'!#ref!</f>
        <v>#VALUE!</v>
      </c>
      <c r="E225" s="1080" t="e">
        <f aca="false">'ввод данных'!#ref!</f>
        <v>#VALUE!</v>
      </c>
      <c r="F225" s="894" t="s">
        <v>3523</v>
      </c>
      <c r="G225" s="894"/>
      <c r="H225" s="964"/>
      <c r="I225" s="1009"/>
      <c r="J225" s="2072"/>
      <c r="K225" s="2072"/>
      <c r="L225" s="2072"/>
      <c r="M225" s="2072"/>
    </row>
    <row r="226" customFormat="false" ht="14.5" hidden="false" customHeight="false" outlineLevel="0" collapsed="false">
      <c r="A226" s="560" t="s">
        <v>2091</v>
      </c>
      <c r="B226" s="680" t="s">
        <v>156</v>
      </c>
      <c r="C226" s="1080" t="n">
        <f aca="false">'Ввод данных'!C522</f>
        <v>3</v>
      </c>
      <c r="D226" s="450"/>
      <c r="E226" s="894"/>
      <c r="F226" s="894"/>
      <c r="G226" s="894"/>
      <c r="H226" s="964"/>
      <c r="I226" s="1009"/>
      <c r="J226" s="2072"/>
      <c r="K226" s="2072"/>
      <c r="L226" s="2072"/>
      <c r="M226" s="2072"/>
    </row>
    <row r="227" customFormat="false" ht="14.5" hidden="false" customHeight="false" outlineLevel="0" collapsed="false">
      <c r="A227" s="560" t="s">
        <v>3901</v>
      </c>
      <c r="B227" s="680" t="s">
        <v>156</v>
      </c>
      <c r="C227" s="1080" t="n">
        <f aca="false">'Ввод данных'!C523</f>
        <v>3</v>
      </c>
      <c r="D227" s="450"/>
      <c r="E227" s="894"/>
      <c r="F227" s="894"/>
      <c r="G227" s="894"/>
      <c r="H227" s="964"/>
      <c r="I227" s="1009"/>
      <c r="J227" s="2072"/>
      <c r="K227" s="2072"/>
      <c r="L227" s="2072"/>
      <c r="M227" s="2072"/>
    </row>
    <row r="228" customFormat="false" ht="14.5" hidden="false" customHeight="false" outlineLevel="0" collapsed="false">
      <c r="A228" s="560" t="s">
        <v>2093</v>
      </c>
      <c r="B228" s="680" t="s">
        <v>156</v>
      </c>
      <c r="C228" s="1080" t="n">
        <f aca="false">'Ввод данных'!C524</f>
        <v>2.7</v>
      </c>
      <c r="D228" s="371"/>
      <c r="E228" s="894"/>
      <c r="F228" s="894"/>
      <c r="G228" s="894"/>
      <c r="H228" s="964"/>
      <c r="I228" s="1009"/>
      <c r="J228" s="2072"/>
      <c r="K228" s="2072"/>
      <c r="L228" s="2072"/>
      <c r="M228" s="2072"/>
    </row>
    <row r="229" customFormat="false" ht="14.5" hidden="false" customHeight="false" outlineLevel="0" collapsed="false">
      <c r="A229" s="560" t="s">
        <v>2094</v>
      </c>
      <c r="B229" s="680" t="s">
        <v>156</v>
      </c>
      <c r="C229" s="1080" t="n">
        <f aca="false">'Ввод данных'!C525</f>
        <v>2.7</v>
      </c>
      <c r="D229" s="371"/>
      <c r="E229" s="894"/>
      <c r="F229" s="894"/>
      <c r="G229" s="894"/>
      <c r="H229" s="964"/>
      <c r="I229" s="1009"/>
      <c r="J229" s="2072"/>
      <c r="K229" s="2072"/>
      <c r="L229" s="2072"/>
      <c r="M229" s="2072"/>
    </row>
    <row r="230" customFormat="false" ht="14.5" hidden="false" customHeight="false" outlineLevel="0" collapsed="false">
      <c r="A230" s="2105" t="s">
        <v>1236</v>
      </c>
      <c r="B230" s="2105" t="s">
        <v>120</v>
      </c>
      <c r="C230" s="900" t="s">
        <v>2548</v>
      </c>
      <c r="D230" s="895"/>
      <c r="E230" s="894"/>
      <c r="F230" s="894"/>
      <c r="G230" s="894"/>
      <c r="H230" s="964"/>
      <c r="I230" s="1009"/>
      <c r="J230" s="2072"/>
      <c r="K230" s="2072"/>
      <c r="L230" s="2072"/>
      <c r="M230" s="2072"/>
    </row>
    <row r="231" customFormat="false" ht="14.5" hidden="false" customHeight="false" outlineLevel="0" collapsed="false">
      <c r="A231" s="903" t="s">
        <v>3902</v>
      </c>
      <c r="B231" s="924" t="s">
        <v>133</v>
      </c>
      <c r="C231" s="903" t="e">
        <f aca="false">C226*C227*E223</f>
        <v>#VALUE!</v>
      </c>
      <c r="D231" s="895"/>
      <c r="E231" s="894"/>
      <c r="F231" s="894"/>
      <c r="G231" s="894"/>
      <c r="H231" s="964"/>
      <c r="I231" s="1009"/>
      <c r="J231" s="2072"/>
      <c r="K231" s="2072"/>
      <c r="L231" s="2072"/>
      <c r="M231" s="2072"/>
    </row>
    <row r="232" customFormat="false" ht="14.5" hidden="false" customHeight="false" outlineLevel="0" collapsed="false">
      <c r="A232" s="903" t="s">
        <v>3903</v>
      </c>
      <c r="B232" s="924" t="s">
        <v>133</v>
      </c>
      <c r="C232" s="903" t="e">
        <f aca="false">C226*C227*E224</f>
        <v>#VALUE!</v>
      </c>
      <c r="D232" s="895"/>
      <c r="E232" s="894"/>
      <c r="F232" s="894"/>
      <c r="G232" s="894"/>
      <c r="H232" s="964"/>
      <c r="I232" s="1009"/>
      <c r="J232" s="2072"/>
      <c r="K232" s="2072"/>
      <c r="L232" s="2072"/>
      <c r="M232" s="2072"/>
    </row>
    <row r="233" customFormat="false" ht="14.5" hidden="false" customHeight="false" outlineLevel="0" collapsed="false">
      <c r="A233" s="903" t="s">
        <v>3904</v>
      </c>
      <c r="B233" s="924" t="s">
        <v>133</v>
      </c>
      <c r="C233" s="903" t="e">
        <f aca="false">C226*C227*E225</f>
        <v>#VALUE!</v>
      </c>
      <c r="D233" s="895"/>
      <c r="E233" s="894"/>
      <c r="F233" s="894"/>
      <c r="G233" s="894"/>
      <c r="H233" s="964"/>
      <c r="I233" s="1009"/>
      <c r="J233" s="2072"/>
      <c r="K233" s="2072"/>
      <c r="L233" s="2072"/>
      <c r="M233" s="2072"/>
    </row>
    <row r="234" customFormat="false" ht="14.5" hidden="false" customHeight="false" outlineLevel="0" collapsed="false">
      <c r="A234" s="2099" t="s">
        <v>2635</v>
      </c>
      <c r="B234" s="2099"/>
      <c r="C234" s="2099"/>
      <c r="D234" s="2099"/>
      <c r="E234" s="1080" t="e">
        <f aca="false">'ввод данных'!#ref!</f>
        <v>#VALUE!</v>
      </c>
      <c r="F234" s="894" t="s">
        <v>3568</v>
      </c>
      <c r="G234" s="894"/>
      <c r="H234" s="964"/>
      <c r="I234" s="1009"/>
      <c r="J234" s="2072"/>
      <c r="K234" s="2072"/>
      <c r="L234" s="2072"/>
      <c r="M234" s="2072"/>
    </row>
    <row r="235" customFormat="false" ht="14.5" hidden="false" customHeight="false" outlineLevel="0" collapsed="false">
      <c r="A235" s="2292" t="s">
        <v>2572</v>
      </c>
      <c r="B235" s="2051" t="s">
        <v>156</v>
      </c>
      <c r="C235" s="2292" t="n">
        <f aca="false">дома!D2027</f>
        <v>9</v>
      </c>
      <c r="D235" s="894"/>
      <c r="E235" s="894"/>
      <c r="F235" s="894"/>
      <c r="G235" s="894"/>
      <c r="H235" s="964"/>
      <c r="I235" s="1009"/>
      <c r="J235" s="2072"/>
      <c r="K235" s="2072"/>
      <c r="L235" s="2072"/>
      <c r="M235" s="2072"/>
    </row>
    <row r="236" customFormat="false" ht="14.5" hidden="false" customHeight="false" outlineLevel="0" collapsed="false">
      <c r="A236" s="903" t="s">
        <v>3427</v>
      </c>
      <c r="B236" s="925" t="s">
        <v>133</v>
      </c>
      <c r="C236" s="903" t="n">
        <f aca="false">дома!C2026*дома!C2027</f>
        <v>9</v>
      </c>
      <c r="D236" s="894"/>
      <c r="E236" s="894"/>
      <c r="F236" s="894"/>
      <c r="G236" s="894"/>
      <c r="H236" s="964"/>
      <c r="I236" s="1009"/>
      <c r="J236" s="2072"/>
      <c r="K236" s="2072"/>
      <c r="L236" s="2072"/>
      <c r="M236" s="2072"/>
    </row>
    <row r="237" customFormat="false" ht="14.5" hidden="false" customHeight="false" outlineLevel="0" collapsed="false">
      <c r="A237" s="894"/>
      <c r="B237" s="2055"/>
      <c r="C237" s="894"/>
      <c r="D237" s="894"/>
      <c r="E237" s="894"/>
      <c r="F237" s="894"/>
      <c r="G237" s="894"/>
      <c r="H237" s="964"/>
      <c r="I237" s="1009"/>
      <c r="J237" s="2072"/>
      <c r="K237" s="2072"/>
      <c r="L237" s="2072"/>
      <c r="M237" s="2072"/>
    </row>
    <row r="238" customFormat="false" ht="15.5" hidden="false" customHeight="false" outlineLevel="0" collapsed="false">
      <c r="A238" s="2110" t="s">
        <v>3920</v>
      </c>
      <c r="B238" s="2110"/>
      <c r="C238" s="2110"/>
      <c r="D238" s="2110"/>
      <c r="E238" s="2110"/>
      <c r="F238" s="2110"/>
      <c r="G238" s="2110"/>
      <c r="H238" s="2110"/>
      <c r="I238" s="2110"/>
      <c r="J238" s="2110"/>
      <c r="K238" s="2110"/>
      <c r="L238" s="2111"/>
      <c r="M238" s="2160"/>
    </row>
    <row r="239" customFormat="false" ht="15.5" hidden="false" customHeight="false" outlineLevel="0" collapsed="false">
      <c r="A239" s="2110"/>
      <c r="B239" s="2110"/>
      <c r="C239" s="2110"/>
      <c r="D239" s="2110"/>
      <c r="E239" s="2110"/>
      <c r="F239" s="2110"/>
      <c r="G239" s="2110"/>
      <c r="H239" s="2110"/>
      <c r="I239" s="2110"/>
      <c r="J239" s="2110"/>
      <c r="K239" s="2110"/>
      <c r="L239" s="2111"/>
      <c r="M239" s="2160"/>
    </row>
    <row r="240" customFormat="false" ht="15.5" hidden="false" customHeight="false" outlineLevel="0" collapsed="false">
      <c r="A240" s="2293" t="s">
        <v>3570</v>
      </c>
      <c r="B240" s="2293"/>
      <c r="C240" s="2293"/>
      <c r="D240" s="2293"/>
      <c r="E240" s="2293"/>
      <c r="F240" s="2293"/>
      <c r="G240" s="2293" t="s">
        <v>3571</v>
      </c>
      <c r="H240" s="2293"/>
      <c r="I240" s="2293"/>
      <c r="J240" s="2293"/>
      <c r="K240" s="2293"/>
      <c r="L240" s="2293"/>
      <c r="M240" s="2160"/>
    </row>
    <row r="241" customFormat="false" ht="15.5" hidden="false" customHeight="false" outlineLevel="0" collapsed="false">
      <c r="A241" s="2113" t="s">
        <v>1515</v>
      </c>
      <c r="B241" s="2113" t="s">
        <v>1800</v>
      </c>
      <c r="C241" s="2113" t="s">
        <v>293</v>
      </c>
      <c r="D241" s="2113" t="s">
        <v>1802</v>
      </c>
      <c r="E241" s="2113"/>
      <c r="F241" s="2113" t="s">
        <v>3572</v>
      </c>
      <c r="G241" s="2113" t="s">
        <v>2593</v>
      </c>
      <c r="H241" s="2113" t="s">
        <v>1800</v>
      </c>
      <c r="I241" s="2113" t="s">
        <v>293</v>
      </c>
      <c r="J241" s="2113" t="s">
        <v>1802</v>
      </c>
      <c r="K241" s="2113"/>
      <c r="L241" s="2113" t="s">
        <v>3573</v>
      </c>
      <c r="M241" s="905"/>
    </row>
    <row r="242" customFormat="false" ht="15.5" hidden="false" customHeight="false" outlineLevel="0" collapsed="false">
      <c r="A242" s="122" t="s">
        <v>2902</v>
      </c>
      <c r="B242" s="2203"/>
      <c r="C242" s="2203"/>
      <c r="D242" s="2203"/>
      <c r="E242" s="122"/>
      <c r="F242" s="122" t="n">
        <f aca="false">B242*C242*D242</f>
        <v>0</v>
      </c>
      <c r="G242" s="122" t="s">
        <v>2902</v>
      </c>
      <c r="H242" s="2203" t="n">
        <v>0.9</v>
      </c>
      <c r="I242" s="2203" t="n">
        <v>2</v>
      </c>
      <c r="J242" s="2203" t="n">
        <v>5</v>
      </c>
      <c r="K242" s="122"/>
      <c r="L242" s="122" t="n">
        <f aca="false">H242*I242*J242</f>
        <v>9</v>
      </c>
      <c r="M242" s="905"/>
    </row>
    <row r="243" customFormat="false" ht="15.5" hidden="false" customHeight="false" outlineLevel="0" collapsed="false">
      <c r="A243" s="122" t="s">
        <v>2903</v>
      </c>
      <c r="B243" s="2203"/>
      <c r="C243" s="2203"/>
      <c r="D243" s="2203"/>
      <c r="E243" s="122"/>
      <c r="F243" s="122" t="n">
        <f aca="false">B243*C243*D243</f>
        <v>0</v>
      </c>
      <c r="G243" s="122" t="s">
        <v>2903</v>
      </c>
      <c r="H243" s="2203" t="n">
        <v>1</v>
      </c>
      <c r="I243" s="2203" t="n">
        <v>2</v>
      </c>
      <c r="J243" s="2203" t="n">
        <v>2</v>
      </c>
      <c r="K243" s="122"/>
      <c r="L243" s="122" t="n">
        <f aca="false">H243*I243*J243</f>
        <v>4</v>
      </c>
      <c r="M243" s="905"/>
    </row>
    <row r="244" customFormat="false" ht="15.5" hidden="false" customHeight="false" outlineLevel="0" collapsed="false">
      <c r="A244" s="122" t="s">
        <v>2904</v>
      </c>
      <c r="B244" s="2203"/>
      <c r="C244" s="2203"/>
      <c r="D244" s="2203"/>
      <c r="E244" s="122"/>
      <c r="F244" s="122" t="n">
        <f aca="false">B244*C244*D244</f>
        <v>0</v>
      </c>
      <c r="G244" s="122" t="s">
        <v>2904</v>
      </c>
      <c r="H244" s="2203" t="n">
        <v>0.7</v>
      </c>
      <c r="I244" s="2203" t="n">
        <v>2</v>
      </c>
      <c r="J244" s="2203" t="n">
        <v>2</v>
      </c>
      <c r="K244" s="122"/>
      <c r="L244" s="122" t="n">
        <f aca="false">H244*I244*J244</f>
        <v>2.8</v>
      </c>
      <c r="M244" s="905"/>
    </row>
    <row r="245" customFormat="false" ht="15.5" hidden="false" customHeight="false" outlineLevel="0" collapsed="false">
      <c r="A245" s="122" t="s">
        <v>2905</v>
      </c>
      <c r="B245" s="2203"/>
      <c r="C245" s="2203"/>
      <c r="D245" s="2203"/>
      <c r="E245" s="122"/>
      <c r="F245" s="122" t="n">
        <f aca="false">B245*C245*D245</f>
        <v>0</v>
      </c>
      <c r="G245" s="122"/>
      <c r="H245" s="2203"/>
      <c r="I245" s="2203"/>
      <c r="J245" s="2203"/>
      <c r="K245" s="122"/>
      <c r="L245" s="122" t="n">
        <f aca="false">H245*I245*J245</f>
        <v>0</v>
      </c>
      <c r="M245" s="905"/>
    </row>
    <row r="246" customFormat="false" ht="15.5" hidden="false" customHeight="false" outlineLevel="0" collapsed="false">
      <c r="A246" s="89" t="s">
        <v>3574</v>
      </c>
      <c r="B246" s="89"/>
      <c r="C246" s="89"/>
      <c r="D246" s="89"/>
      <c r="E246" s="89"/>
      <c r="F246" s="122" t="n">
        <f aca="false">SUM(F242:F245)</f>
        <v>0</v>
      </c>
      <c r="G246" s="89" t="s">
        <v>3922</v>
      </c>
      <c r="H246" s="89"/>
      <c r="I246" s="89"/>
      <c r="J246" s="89"/>
      <c r="K246" s="89"/>
      <c r="L246" s="122" t="n">
        <f aca="false">SUM(L242:L244)</f>
        <v>15.8</v>
      </c>
      <c r="M246" s="2120"/>
    </row>
    <row r="247" customFormat="false" ht="15.5" hidden="false" customHeight="false" outlineLevel="0" collapsed="false">
      <c r="A247" s="2113" t="s">
        <v>2069</v>
      </c>
      <c r="B247" s="2113" t="s">
        <v>209</v>
      </c>
      <c r="C247" s="2113" t="s">
        <v>273</v>
      </c>
      <c r="D247" s="2113" t="s">
        <v>1802</v>
      </c>
      <c r="E247" s="2113"/>
      <c r="F247" s="2113" t="s">
        <v>3581</v>
      </c>
      <c r="G247" s="2113" t="s">
        <v>1217</v>
      </c>
      <c r="H247" s="2113" t="s">
        <v>1800</v>
      </c>
      <c r="I247" s="2113" t="s">
        <v>293</v>
      </c>
      <c r="J247" s="2113" t="s">
        <v>1802</v>
      </c>
      <c r="K247" s="2113"/>
      <c r="L247" s="2113" t="s">
        <v>3573</v>
      </c>
      <c r="M247" s="905"/>
    </row>
    <row r="248" customFormat="false" ht="15.5" hidden="false" customHeight="false" outlineLevel="0" collapsed="false">
      <c r="A248" s="122" t="s">
        <v>2069</v>
      </c>
      <c r="B248" s="2203" t="n">
        <v>4</v>
      </c>
      <c r="C248" s="2203" t="n">
        <v>0.9</v>
      </c>
      <c r="D248" s="2203" t="n">
        <v>1</v>
      </c>
      <c r="E248" s="2203"/>
      <c r="F248" s="122" t="n">
        <f aca="false">B248*C248*D248</f>
        <v>3.6</v>
      </c>
      <c r="G248" s="122" t="s">
        <v>3582</v>
      </c>
      <c r="H248" s="2203" t="n">
        <v>1</v>
      </c>
      <c r="I248" s="2203" t="n">
        <v>2</v>
      </c>
      <c r="J248" s="2203" t="n">
        <v>2</v>
      </c>
      <c r="K248" s="122"/>
      <c r="L248" s="122" t="n">
        <f aca="false">H248*I248*J248</f>
        <v>4</v>
      </c>
      <c r="M248" s="2120"/>
    </row>
    <row r="249" customFormat="false" ht="15.5" hidden="false" customHeight="false" outlineLevel="0" collapsed="false">
      <c r="A249" s="122"/>
      <c r="B249" s="122"/>
      <c r="C249" s="122"/>
      <c r="D249" s="122"/>
      <c r="E249" s="122"/>
      <c r="F249" s="122"/>
      <c r="G249" s="122" t="s">
        <v>1184</v>
      </c>
      <c r="H249" s="2203" t="n">
        <v>0.9</v>
      </c>
      <c r="I249" s="2203" t="n">
        <v>2</v>
      </c>
      <c r="J249" s="2203" t="n">
        <v>1</v>
      </c>
      <c r="K249" s="122"/>
      <c r="L249" s="122" t="n">
        <f aca="false">H249*I249*J249</f>
        <v>1.8</v>
      </c>
      <c r="M249" s="2120"/>
    </row>
    <row r="250" customFormat="false" ht="15.5" hidden="false" customHeight="false" outlineLevel="0" collapsed="false">
      <c r="A250" s="89" t="s">
        <v>3583</v>
      </c>
      <c r="B250" s="89"/>
      <c r="C250" s="89"/>
      <c r="D250" s="89"/>
      <c r="E250" s="89"/>
      <c r="F250" s="122" t="n">
        <f aca="false">F248</f>
        <v>3.6</v>
      </c>
      <c r="G250" s="89" t="s">
        <v>3584</v>
      </c>
      <c r="H250" s="89"/>
      <c r="I250" s="89"/>
      <c r="J250" s="89"/>
      <c r="K250" s="89"/>
      <c r="L250" s="122" t="n">
        <f aca="false">SUM(L248:L249)</f>
        <v>5.8</v>
      </c>
      <c r="M250" s="2120"/>
    </row>
    <row r="251" customFormat="false" ht="15.5" hidden="false" customHeight="false" outlineLevel="0" collapsed="false">
      <c r="A251" s="2121"/>
      <c r="B251" s="2121"/>
      <c r="C251" s="2121"/>
      <c r="D251" s="2121"/>
      <c r="E251" s="2121"/>
      <c r="F251" s="2294"/>
      <c r="G251" s="2121"/>
      <c r="H251" s="2121"/>
      <c r="I251" s="2121"/>
      <c r="J251" s="2121"/>
      <c r="K251" s="2121"/>
      <c r="L251" s="2294"/>
      <c r="M251" s="2120"/>
    </row>
    <row r="252" customFormat="false" ht="15.5" hidden="false" customHeight="false" outlineLevel="0" collapsed="false">
      <c r="A252" s="2295" t="s">
        <v>4039</v>
      </c>
      <c r="B252" s="2296" t="s">
        <v>1800</v>
      </c>
      <c r="C252" s="2296"/>
      <c r="D252" s="2296" t="s">
        <v>853</v>
      </c>
      <c r="E252" s="2296"/>
      <c r="F252" s="2294"/>
      <c r="G252" s="2294"/>
      <c r="H252" s="2294"/>
      <c r="I252" s="2297"/>
      <c r="J252" s="2297"/>
      <c r="K252" s="2294"/>
      <c r="L252" s="2294"/>
      <c r="M252" s="2273"/>
    </row>
    <row r="253" customFormat="false" ht="14.5" hidden="false" customHeight="false" outlineLevel="0" collapsed="false">
      <c r="A253" s="2295"/>
      <c r="B253" s="2298" t="n">
        <f aca="false">'Ввод данных'!C11</f>
        <v>10</v>
      </c>
      <c r="C253" s="2298"/>
      <c r="D253" s="2298" t="n">
        <f aca="false">'Ввод данных'!C12</f>
        <v>10</v>
      </c>
      <c r="E253" s="2298"/>
      <c r="F253" s="2072"/>
      <c r="G253" s="2072"/>
      <c r="H253" s="2072"/>
      <c r="I253" s="2072"/>
      <c r="J253" s="2072"/>
      <c r="K253" s="2072"/>
      <c r="L253" s="2072"/>
      <c r="M253" s="2273"/>
    </row>
    <row r="254" customFormat="false" ht="15.5" hidden="false" customHeight="false" outlineLevel="0" collapsed="false">
      <c r="A254" s="2295"/>
      <c r="B254" s="2299" t="s">
        <v>120</v>
      </c>
      <c r="C254" s="2300" t="s">
        <v>3924</v>
      </c>
      <c r="D254" s="2300"/>
      <c r="E254" s="2299" t="s">
        <v>1802</v>
      </c>
      <c r="F254" s="2294"/>
      <c r="G254" s="2294"/>
      <c r="H254" s="2301"/>
      <c r="I254" s="2301"/>
      <c r="J254" s="905"/>
      <c r="K254" s="905"/>
      <c r="L254" s="905"/>
      <c r="M254" s="2273"/>
    </row>
    <row r="255" customFormat="false" ht="15.5" hidden="false" customHeight="false" outlineLevel="0" collapsed="false">
      <c r="A255" s="863"/>
      <c r="B255" s="2294"/>
      <c r="C255" s="2184"/>
      <c r="D255" s="2184"/>
      <c r="E255" s="905"/>
      <c r="F255" s="2294"/>
      <c r="G255" s="2302"/>
      <c r="H255" s="2302"/>
      <c r="I255" s="2294"/>
      <c r="J255" s="905"/>
      <c r="K255" s="905"/>
      <c r="L255" s="2294"/>
      <c r="M255" s="2273"/>
    </row>
    <row r="256" customFormat="false" ht="15.5" hidden="false" customHeight="false" outlineLevel="0" collapsed="false">
      <c r="A256" s="863"/>
      <c r="B256" s="2294"/>
      <c r="C256" s="2184"/>
      <c r="D256" s="2184"/>
      <c r="E256" s="905"/>
      <c r="F256" s="2294"/>
      <c r="G256" s="2302"/>
      <c r="H256" s="2302"/>
      <c r="I256" s="2294"/>
      <c r="J256" s="905"/>
      <c r="K256" s="905"/>
      <c r="L256" s="2294"/>
      <c r="M256" s="2273"/>
    </row>
    <row r="257" customFormat="false" ht="14.5" hidden="false" customHeight="false" outlineLevel="0" collapsed="false">
      <c r="A257" s="2273"/>
      <c r="B257" s="2273"/>
      <c r="C257" s="2273"/>
      <c r="D257" s="2273"/>
      <c r="E257" s="2297"/>
      <c r="F257" s="1702"/>
      <c r="G257" s="2273"/>
      <c r="H257" s="2273"/>
      <c r="I257" s="2273"/>
      <c r="J257" s="2273"/>
      <c r="K257" s="2297"/>
      <c r="L257" s="1702"/>
      <c r="M257" s="2273"/>
    </row>
    <row r="258" customFormat="false" ht="15.5" hidden="false" customHeight="false" outlineLevel="1" collapsed="false">
      <c r="A258" s="2303" t="s">
        <v>852</v>
      </c>
      <c r="B258" s="2303"/>
      <c r="C258" s="2303"/>
      <c r="D258" s="2303"/>
      <c r="E258" s="2303"/>
      <c r="F258" s="2303"/>
      <c r="G258" s="2303"/>
      <c r="H258" s="2303"/>
      <c r="I258" s="2303"/>
      <c r="J258" s="2303"/>
      <c r="K258" s="2303"/>
      <c r="L258" s="2304"/>
      <c r="M258" s="2304"/>
    </row>
    <row r="259" customFormat="false" ht="15.5" hidden="false" customHeight="false" outlineLevel="1" collapsed="false">
      <c r="A259" s="2303"/>
      <c r="B259" s="2303"/>
      <c r="C259" s="2303"/>
      <c r="D259" s="2303"/>
      <c r="E259" s="2303"/>
      <c r="F259" s="2303"/>
      <c r="G259" s="2303"/>
      <c r="H259" s="2303"/>
      <c r="I259" s="2303"/>
      <c r="J259" s="2303"/>
      <c r="K259" s="2303"/>
      <c r="L259" s="2304"/>
      <c r="M259" s="2304"/>
    </row>
    <row r="260" customFormat="false" ht="15.5" hidden="false" customHeight="false" outlineLevel="1" collapsed="false">
      <c r="A260" s="1096" t="s">
        <v>1806</v>
      </c>
      <c r="B260" s="1096"/>
      <c r="C260" s="1096"/>
      <c r="D260" s="1096"/>
      <c r="E260" s="1096"/>
      <c r="F260" s="1096"/>
      <c r="G260" s="2305" t="n">
        <f aca="false">'Ввод данных'!E697</f>
        <v>1</v>
      </c>
      <c r="H260" s="2306" t="n">
        <f aca="false">'Ввод данных'!E698</f>
        <v>1</v>
      </c>
      <c r="I260" s="2306"/>
      <c r="J260" s="2306"/>
      <c r="K260" s="2306"/>
      <c r="L260" s="2304"/>
      <c r="M260" s="2304"/>
    </row>
    <row r="261" customFormat="false" ht="15.5" hidden="false" customHeight="false" outlineLevel="1" collapsed="false">
      <c r="A261" s="1096"/>
      <c r="B261" s="1096"/>
      <c r="C261" s="1096"/>
      <c r="D261" s="1096"/>
      <c r="E261" s="1096"/>
      <c r="F261" s="1096"/>
      <c r="G261" s="2307"/>
      <c r="H261" s="2306"/>
      <c r="I261" s="2306"/>
      <c r="J261" s="2306"/>
      <c r="K261" s="2306"/>
      <c r="L261" s="2304"/>
      <c r="M261" s="2304"/>
    </row>
    <row r="262" customFormat="false" ht="15.5" hidden="false" customHeight="false" outlineLevel="1" collapsed="false">
      <c r="A262" s="2308"/>
      <c r="B262" s="297"/>
      <c r="C262" s="2309"/>
      <c r="D262" s="297"/>
      <c r="E262" s="2309"/>
      <c r="F262" s="272"/>
      <c r="G262" s="272"/>
      <c r="H262" s="272"/>
      <c r="I262" s="272"/>
      <c r="J262" s="272"/>
      <c r="K262" s="272"/>
      <c r="L262" s="272"/>
      <c r="M262" s="272"/>
    </row>
    <row r="263" customFormat="false" ht="15.5" hidden="false" customHeight="false" outlineLevel="1" collapsed="false">
      <c r="A263" s="2308" t="s">
        <v>4040</v>
      </c>
      <c r="B263" s="297" t="s">
        <v>156</v>
      </c>
      <c r="C263" s="122" t="n">
        <f aca="false">дома!C1113</f>
        <v>56</v>
      </c>
      <c r="D263" s="2310"/>
      <c r="E263" s="2310"/>
      <c r="F263" s="272"/>
      <c r="G263" s="272"/>
      <c r="H263" s="272"/>
      <c r="I263" s="272"/>
      <c r="J263" s="272"/>
      <c r="K263" s="272"/>
      <c r="L263" s="272"/>
      <c r="M263" s="272"/>
    </row>
    <row r="264" customFormat="false" ht="15.5" hidden="false" customHeight="false" outlineLevel="1" collapsed="false">
      <c r="A264" s="297" t="s">
        <v>3611</v>
      </c>
      <c r="B264" s="2311" t="n">
        <f aca="false">дома!O1343</f>
        <v>25</v>
      </c>
      <c r="C264" s="2304"/>
      <c r="D264" s="2304"/>
      <c r="E264" s="2304"/>
      <c r="F264" s="2304"/>
      <c r="G264" s="2304" t="n">
        <v>7500</v>
      </c>
      <c r="H264" s="2304" t="n">
        <f aca="false">G264*0.3</f>
        <v>2250</v>
      </c>
      <c r="I264" s="2304"/>
      <c r="J264" s="2304"/>
      <c r="K264" s="2304"/>
      <c r="L264" s="2304"/>
      <c r="M264" s="2304"/>
    </row>
    <row r="265" customFormat="false" ht="15.5" hidden="false" customHeight="false" outlineLevel="1" collapsed="false">
      <c r="A265" s="297" t="s">
        <v>1447</v>
      </c>
      <c r="B265" s="297" t="s">
        <v>3986</v>
      </c>
      <c r="C265" s="297"/>
      <c r="D265" s="2309" t="n">
        <f aca="false">VLOOKUP('Ввод данных'!B704,связи1!A2:B3,2,0)</f>
        <v>1</v>
      </c>
      <c r="E265" s="2304"/>
      <c r="F265" s="2310"/>
      <c r="G265" s="2310"/>
      <c r="H265" s="2310"/>
      <c r="I265" s="2310"/>
      <c r="J265" s="2304"/>
      <c r="K265" s="2304"/>
      <c r="L265" s="2304"/>
      <c r="M265" s="2304"/>
    </row>
    <row r="266" customFormat="false" ht="15.5" hidden="false" customHeight="false" outlineLevel="1" collapsed="false">
      <c r="A266" s="297" t="str">
        <f aca="false">связи1!F25</f>
        <v>Монтаж свай гидравлика</v>
      </c>
      <c r="B266" s="297" t="s">
        <v>159</v>
      </c>
      <c r="C266" s="2311" t="n">
        <f aca="false">B264</f>
        <v>25</v>
      </c>
      <c r="D266" s="2309" t="n">
        <f aca="false">IF(A266='Ввод данных'!A703,1,0)</f>
        <v>1</v>
      </c>
      <c r="E266" s="2304" t="n">
        <f aca="false">VLOOKUP('Ввод данных'!A703,связи1!F25:G26,2,0)</f>
        <v>1</v>
      </c>
      <c r="F266" s="2310"/>
      <c r="G266" s="2310"/>
      <c r="H266" s="2310"/>
      <c r="I266" s="2310"/>
      <c r="J266" s="2304"/>
      <c r="K266" s="2304"/>
      <c r="L266" s="2304"/>
      <c r="M266" s="2304"/>
    </row>
    <row r="267" customFormat="false" ht="15.5" hidden="false" customHeight="false" outlineLevel="1" collapsed="false">
      <c r="A267" s="297" t="str">
        <f aca="false">связи1!F26</f>
        <v>Монтаж свай вручную</v>
      </c>
      <c r="B267" s="297" t="s">
        <v>159</v>
      </c>
      <c r="C267" s="2311" t="n">
        <f aca="false">B264</f>
        <v>25</v>
      </c>
      <c r="D267" s="2309" t="n">
        <f aca="false">IF(A267='Ввод данных'!A703,1,0)</f>
        <v>0</v>
      </c>
      <c r="E267" s="2304"/>
      <c r="F267" s="2310" t="n">
        <f aca="false">3.14*0.06*0.06*4</f>
        <v>0.045216</v>
      </c>
      <c r="G267" s="2310"/>
      <c r="H267" s="2310"/>
      <c r="I267" s="2310"/>
      <c r="J267" s="2304"/>
      <c r="K267" s="2304"/>
      <c r="L267" s="2304"/>
      <c r="M267" s="2304"/>
    </row>
    <row r="268" customFormat="false" ht="15.5" hidden="false" customHeight="false" outlineLevel="1" collapsed="false">
      <c r="A268" s="297" t="s">
        <v>2102</v>
      </c>
      <c r="B268" s="297"/>
      <c r="C268" s="297"/>
      <c r="D268" s="2309" t="n">
        <f aca="false">VLOOKUP('Ввод данных'!B705,связи1!A2:B3,2,0)</f>
        <v>1</v>
      </c>
      <c r="E268" s="2304"/>
      <c r="F268" s="2310"/>
      <c r="G268" s="2310"/>
      <c r="H268" s="2310"/>
      <c r="I268" s="2310"/>
      <c r="J268" s="2304"/>
      <c r="K268" s="2304"/>
      <c r="L268" s="2304"/>
      <c r="M268" s="2304"/>
    </row>
    <row r="269" customFormat="false" ht="15.5" hidden="false" customHeight="false" outlineLevel="1" collapsed="false">
      <c r="A269" s="2312" t="s">
        <v>2720</v>
      </c>
      <c r="B269" s="2312"/>
      <c r="C269" s="2312"/>
      <c r="D269" s="2312"/>
      <c r="E269" s="2312"/>
      <c r="F269" s="2294"/>
      <c r="G269" s="2312" t="s">
        <v>1409</v>
      </c>
      <c r="H269" s="2312"/>
      <c r="I269" s="2312"/>
      <c r="J269" s="2312"/>
      <c r="K269" s="2312"/>
      <c r="L269" s="2312"/>
      <c r="M269" s="2273"/>
    </row>
    <row r="270" customFormat="false" ht="15.5" hidden="false" customHeight="false" outlineLevel="1" collapsed="false">
      <c r="A270" s="2313"/>
      <c r="B270" s="122" t="s">
        <v>120</v>
      </c>
      <c r="C270" s="122" t="s">
        <v>1802</v>
      </c>
      <c r="D270" s="122" t="s">
        <v>1601</v>
      </c>
      <c r="E270" s="122" t="s">
        <v>2722</v>
      </c>
      <c r="F270" s="905"/>
      <c r="G270" s="2314"/>
      <c r="H270" s="2314"/>
      <c r="I270" s="122" t="s">
        <v>120</v>
      </c>
      <c r="J270" s="122" t="s">
        <v>1802</v>
      </c>
      <c r="K270" s="122" t="s">
        <v>1601</v>
      </c>
      <c r="L270" s="122" t="s">
        <v>2722</v>
      </c>
      <c r="M270" s="2273"/>
    </row>
    <row r="271" customFormat="false" ht="15.5" hidden="false" customHeight="false" outlineLevel="1" collapsed="false">
      <c r="A271" s="122" t="s">
        <v>1447</v>
      </c>
      <c r="B271" s="122" t="s">
        <v>159</v>
      </c>
      <c r="C271" s="177" t="n">
        <f aca="false">D265*G260</f>
        <v>1</v>
      </c>
      <c r="D271" s="122" t="n">
        <f aca="false">'Прайс лист'!G1636*G260</f>
        <v>5000</v>
      </c>
      <c r="E271" s="122" t="n">
        <f aca="false">C271*D271</f>
        <v>5000</v>
      </c>
      <c r="F271" s="905"/>
      <c r="G271" s="87" t="s">
        <v>4041</v>
      </c>
      <c r="H271" s="87"/>
      <c r="I271" s="122" t="s">
        <v>159</v>
      </c>
      <c r="J271" s="122" t="n">
        <f aca="false">1*H260</f>
        <v>1</v>
      </c>
      <c r="K271" s="122" t="n">
        <f aca="false">'Прайс лист'!G1616</f>
        <v>7000</v>
      </c>
      <c r="L271" s="122" t="n">
        <f aca="false">J271*K271</f>
        <v>7000</v>
      </c>
      <c r="M271" s="2273"/>
    </row>
    <row r="272" customFormat="false" ht="15.5" hidden="false" customHeight="false" outlineLevel="1" collapsed="false">
      <c r="A272" s="122" t="str">
        <f aca="false">'Ввод данных'!A701</f>
        <v>108мм, 2,5м длина, 1 лопасть</v>
      </c>
      <c r="B272" s="122" t="s">
        <v>159</v>
      </c>
      <c r="C272" s="177" t="n">
        <f aca="false">B264*G260</f>
        <v>25</v>
      </c>
      <c r="D272" s="122" t="n">
        <f aca="false">VLOOKUP(A272,'Прайс лист'!B908:G968,6,0)</f>
        <v>1950</v>
      </c>
      <c r="E272" s="122" t="n">
        <f aca="false">C272*D272</f>
        <v>48750</v>
      </c>
      <c r="F272" s="905"/>
      <c r="G272" s="87" t="s">
        <v>4042</v>
      </c>
      <c r="H272" s="87"/>
      <c r="I272" s="122" t="s">
        <v>159</v>
      </c>
      <c r="J272" s="122" t="n">
        <f aca="false">C266*D266*H260+C267*D267*H260</f>
        <v>25</v>
      </c>
      <c r="K272" s="122" t="n">
        <f aca="false">D266*'Прайс лист'!G1638+D267*'Прайс лист'!G1637</f>
        <v>1000</v>
      </c>
      <c r="L272" s="122" t="n">
        <f aca="false">J272*K272</f>
        <v>25000</v>
      </c>
      <c r="M272" s="2273"/>
    </row>
    <row r="273" customFormat="false" ht="15.5" hidden="false" customHeight="false" outlineLevel="1" collapsed="false">
      <c r="A273" s="122" t="str">
        <f aca="false">'Ввод данных'!A707</f>
        <v>Оголовкок для свай 200*200</v>
      </c>
      <c r="B273" s="122" t="s">
        <v>159</v>
      </c>
      <c r="C273" s="177" t="n">
        <f aca="false">C272*G260</f>
        <v>25</v>
      </c>
      <c r="D273" s="122" t="n">
        <f aca="false">VLOOKUP(A273,'Прайс лист'!B969:G972,6,0)</f>
        <v>250</v>
      </c>
      <c r="E273" s="122" t="n">
        <f aca="false">C273*D273</f>
        <v>6250</v>
      </c>
      <c r="F273" s="905"/>
      <c r="G273" s="87" t="s">
        <v>1450</v>
      </c>
      <c r="H273" s="87"/>
      <c r="I273" s="122" t="s">
        <v>159</v>
      </c>
      <c r="J273" s="122" t="n">
        <f aca="false">B264*H260</f>
        <v>25</v>
      </c>
      <c r="K273" s="122" t="n">
        <f aca="false">'Прайс лист'!G1639</f>
        <v>100</v>
      </c>
      <c r="L273" s="122" t="n">
        <f aca="false">J273*K273</f>
        <v>2500</v>
      </c>
      <c r="M273" s="2273"/>
    </row>
    <row r="274" customFormat="false" ht="15.5" hidden="false" customHeight="false" outlineLevel="1" collapsed="false">
      <c r="A274" s="122" t="s">
        <v>920</v>
      </c>
      <c r="B274" s="122" t="s">
        <v>156</v>
      </c>
      <c r="C274" s="177" t="n">
        <f aca="false">(E3+E3+E4+E4+F33+F34+F35+F36+F41+F42+F43+F44+C169*E132+C210*D172+C235*D220)*G260*D268</f>
        <v>56</v>
      </c>
      <c r="D274" s="122" t="n">
        <f aca="false">'Прайс лист'!G974</f>
        <v>100</v>
      </c>
      <c r="E274" s="122" t="n">
        <f aca="false">C274*D274</f>
        <v>5600</v>
      </c>
      <c r="F274" s="905"/>
      <c r="G274" s="87" t="s">
        <v>920</v>
      </c>
      <c r="H274" s="87"/>
      <c r="I274" s="122" t="s">
        <v>156</v>
      </c>
      <c r="J274" s="122" t="n">
        <f aca="false">C274*H260</f>
        <v>56</v>
      </c>
      <c r="K274" s="122" t="n">
        <f aca="false">'Прайс лист'!G1640</f>
        <v>100</v>
      </c>
      <c r="L274" s="122" t="n">
        <f aca="false">J274*K274</f>
        <v>5600</v>
      </c>
      <c r="M274" s="2273"/>
    </row>
    <row r="275" customFormat="false" ht="15.5" hidden="false" customHeight="false" outlineLevel="1" collapsed="false">
      <c r="A275" s="122" t="str">
        <f aca="false">'Прайс лист'!B229</f>
        <v>Раствор, м200</v>
      </c>
      <c r="B275" s="122" t="s">
        <v>135</v>
      </c>
      <c r="C275" s="177" t="n">
        <f aca="false">C272*F267*VLOOKUP('Ввод данных'!B706,связи1!A2:B3,2,0)</f>
        <v>1.1304</v>
      </c>
      <c r="D275" s="122" t="n">
        <f aca="false">'Прайс лист'!G229</f>
        <v>2100</v>
      </c>
      <c r="E275" s="122" t="n">
        <f aca="false">C275*D275</f>
        <v>2373.84</v>
      </c>
      <c r="F275" s="905"/>
      <c r="G275" s="87" t="s">
        <v>4043</v>
      </c>
      <c r="H275" s="87"/>
      <c r="I275" s="122" t="s">
        <v>159</v>
      </c>
      <c r="J275" s="122" t="n">
        <f aca="false">B264*VLOOKUP('Ввод данных'!B706,связи1!A2:B3,2,0)</f>
        <v>25</v>
      </c>
      <c r="K275" s="122" t="n">
        <f aca="false">'Прайс лист'!G1641</f>
        <v>200</v>
      </c>
      <c r="L275" s="122" t="n">
        <f aca="false">J275*K275</f>
        <v>5000</v>
      </c>
      <c r="M275" s="2273"/>
    </row>
    <row r="276" customFormat="false" ht="15.5" hidden="false" customHeight="false" outlineLevel="1" collapsed="false">
      <c r="A276" s="2315" t="str">
        <f aca="false">'Прайс лист'!B221</f>
        <v>Электроды ок 47</v>
      </c>
      <c r="B276" s="2315" t="str">
        <f aca="false">'Прайс лист'!C221</f>
        <v>шт</v>
      </c>
      <c r="C276" s="2316" t="n">
        <f aca="false">C273</f>
        <v>25</v>
      </c>
      <c r="D276" s="933" t="n">
        <f aca="false">'Прайс лист'!G221</f>
        <v>10</v>
      </c>
      <c r="E276" s="122" t="n">
        <f aca="false">C276*D276</f>
        <v>250</v>
      </c>
      <c r="F276" s="905"/>
      <c r="G276" s="289" t="s">
        <v>1436</v>
      </c>
      <c r="H276" s="2156"/>
      <c r="I276" s="122" t="s">
        <v>159</v>
      </c>
      <c r="J276" s="122" t="n">
        <f aca="false">C272</f>
        <v>25</v>
      </c>
      <c r="K276" s="122" t="n">
        <f aca="false">'Прайс лист'!G1623</f>
        <v>200</v>
      </c>
      <c r="L276" s="122" t="n">
        <f aca="false">J276*K276</f>
        <v>5000</v>
      </c>
      <c r="M276" s="2273"/>
    </row>
    <row r="277" customFormat="false" ht="15.5" hidden="false" customHeight="false" outlineLevel="1" collapsed="false">
      <c r="A277" s="90" t="str">
        <f aca="false">'Ввод данных'!A709</f>
        <v>Нет техники</v>
      </c>
      <c r="B277" s="90" t="str">
        <f aca="false">'Ввод данных'!B709</f>
        <v>ед.</v>
      </c>
      <c r="C277" s="2317" t="n">
        <f aca="false">'Ввод данных'!C709</f>
        <v>1</v>
      </c>
      <c r="D277" s="122" t="n">
        <f aca="false">VLOOKUP(A277,'Прайс лист'!B180:G194,6,0)</f>
        <v>0</v>
      </c>
      <c r="E277" s="122" t="n">
        <f aca="false">C277*D277</f>
        <v>0</v>
      </c>
      <c r="F277" s="905"/>
      <c r="G277" s="289" t="s">
        <v>1437</v>
      </c>
      <c r="H277" s="2156"/>
      <c r="I277" s="122" t="s">
        <v>159</v>
      </c>
      <c r="J277" s="122" t="n">
        <f aca="false">C273</f>
        <v>25</v>
      </c>
      <c r="K277" s="122" t="n">
        <f aca="false">'Прайс лист'!G1624</f>
        <v>250</v>
      </c>
      <c r="L277" s="122" t="n">
        <f aca="false">J277*K277</f>
        <v>6250</v>
      </c>
      <c r="M277" s="2273"/>
    </row>
    <row r="278" customFormat="false" ht="15.5" hidden="false" customHeight="false" outlineLevel="1" collapsed="false">
      <c r="A278" s="90" t="str">
        <f aca="false">'Ввод данных'!A710</f>
        <v>Нет техники</v>
      </c>
      <c r="B278" s="90" t="str">
        <f aca="false">'Ввод данных'!B710</f>
        <v>ед.</v>
      </c>
      <c r="C278" s="2317" t="n">
        <f aca="false">'Ввод данных'!C710</f>
        <v>0</v>
      </c>
      <c r="D278" s="122" t="n">
        <f aca="false">VLOOKUP(A278,'Прайс лист'!B180:G194,6,0)</f>
        <v>0</v>
      </c>
      <c r="E278" s="122" t="n">
        <f aca="false">C278*D278</f>
        <v>0</v>
      </c>
      <c r="F278" s="905"/>
      <c r="G278" s="2155"/>
      <c r="H278" s="2156"/>
      <c r="I278" s="122"/>
      <c r="J278" s="122"/>
      <c r="K278" s="122"/>
      <c r="L278" s="122"/>
      <c r="M278" s="2273"/>
    </row>
    <row r="279" customFormat="false" ht="15.5" hidden="false" customHeight="false" outlineLevel="1" collapsed="false">
      <c r="A279" s="87" t="str">
        <f aca="false">'Ввод данных'!A711</f>
        <v>Нет техники</v>
      </c>
      <c r="B279" s="87" t="str">
        <f aca="false">'Ввод данных'!B711</f>
        <v>ед.</v>
      </c>
      <c r="C279" s="89" t="n">
        <f aca="false">'Ввод данных'!C711</f>
        <v>0</v>
      </c>
      <c r="D279" s="122" t="n">
        <f aca="false">VLOOKUP(A279,'Прайс лист'!B180:G194,6,0)</f>
        <v>0</v>
      </c>
      <c r="E279" s="122" t="n">
        <f aca="false">C279*D279</f>
        <v>0</v>
      </c>
      <c r="F279" s="905"/>
      <c r="G279" s="88"/>
      <c r="H279" s="88"/>
      <c r="I279" s="122"/>
      <c r="J279" s="122"/>
      <c r="K279" s="122"/>
      <c r="L279" s="122"/>
      <c r="M279" s="2273"/>
    </row>
    <row r="280" customFormat="false" ht="15.5" hidden="false" customHeight="false" outlineLevel="1" collapsed="false">
      <c r="A280" s="87" t="str">
        <f aca="false">'Ввод данных'!A712</f>
        <v>Расходные материалы винтовые сваи</v>
      </c>
      <c r="B280" s="87" t="str">
        <f aca="false">'Ввод данных'!B712</f>
        <v>рублей</v>
      </c>
      <c r="C280" s="89" t="n">
        <f aca="false">1</f>
        <v>1</v>
      </c>
      <c r="D280" s="122" t="n">
        <f aca="false">'Ввод данных'!C712</f>
        <v>6000</v>
      </c>
      <c r="E280" s="122" t="n">
        <f aca="false">C280*D280</f>
        <v>6000</v>
      </c>
      <c r="F280" s="905"/>
      <c r="G280" s="2157"/>
      <c r="H280" s="2158"/>
      <c r="I280" s="122"/>
      <c r="J280" s="122"/>
      <c r="K280" s="122"/>
      <c r="L280" s="122"/>
      <c r="M280" s="2273"/>
    </row>
    <row r="281" customFormat="false" ht="15.5" hidden="false" customHeight="false" outlineLevel="1" collapsed="false">
      <c r="A281" s="2072"/>
      <c r="B281" s="2072"/>
      <c r="C281" s="2072"/>
      <c r="D281" s="2072"/>
      <c r="E281" s="289" t="n">
        <f aca="false">SUM(E271:E280)</f>
        <v>74223.84</v>
      </c>
      <c r="F281" s="905"/>
      <c r="G281" s="2318"/>
      <c r="H281" s="2319"/>
      <c r="I281" s="289"/>
      <c r="J281" s="289"/>
      <c r="K281" s="289"/>
      <c r="L281" s="289"/>
      <c r="M281" s="2273"/>
    </row>
    <row r="282" customFormat="false" ht="15.5" hidden="false" customHeight="false" outlineLevel="1" collapsed="false">
      <c r="A282" s="2072"/>
      <c r="B282" s="2072"/>
      <c r="C282" s="2072"/>
      <c r="D282" s="2072"/>
      <c r="E282" s="905"/>
      <c r="F282" s="905"/>
      <c r="G282" s="2184"/>
      <c r="H282" s="2184"/>
      <c r="I282" s="905"/>
      <c r="J282" s="905"/>
      <c r="K282" s="905"/>
      <c r="L282" s="905"/>
      <c r="M282" s="2273"/>
    </row>
    <row r="283" customFormat="false" ht="15.5" hidden="false" customHeight="false" outlineLevel="1" collapsed="false">
      <c r="A283" s="931" t="str">
        <f aca="false">A263</f>
        <v>количество свай</v>
      </c>
      <c r="B283" s="931" t="n">
        <f aca="false">CEILING(IF('Ввод данных'!C522&lt;=2,2,IF('Ввод данных'!C522&gt;2,('Ввод данных'!C522/2+1)))+IF('Ввод данных'!C523&lt;=2,2,IF('Ввод данных'!C523&gt;2,('Ввод данных'!C523/2+1)*2)),1)</f>
        <v>8</v>
      </c>
      <c r="C283" s="931"/>
      <c r="D283" s="931"/>
      <c r="E283" s="905"/>
      <c r="F283" s="905"/>
      <c r="G283" s="2184"/>
      <c r="H283" s="2184"/>
      <c r="I283" s="905"/>
      <c r="J283" s="905"/>
      <c r="K283" s="905"/>
      <c r="L283" s="905"/>
      <c r="M283" s="2273"/>
    </row>
    <row r="284" customFormat="false" ht="15.5" hidden="false" customHeight="false" outlineLevel="1" collapsed="false">
      <c r="A284" s="931" t="str">
        <f aca="false">A265</f>
        <v>пробное забуривание</v>
      </c>
      <c r="B284" s="931" t="n">
        <f aca="false">VLOOKUP('Ввод данных'!B534,связи1!A2:B3,2,0)</f>
        <v>1</v>
      </c>
      <c r="C284" s="931"/>
      <c r="D284" s="931"/>
      <c r="E284" s="905"/>
      <c r="F284" s="905"/>
      <c r="G284" s="2184"/>
      <c r="H284" s="2184"/>
      <c r="I284" s="905"/>
      <c r="J284" s="905"/>
      <c r="K284" s="905"/>
      <c r="L284" s="905"/>
      <c r="M284" s="2273"/>
    </row>
    <row r="285" customFormat="false" ht="15.5" hidden="false" customHeight="false" outlineLevel="1" collapsed="false">
      <c r="A285" s="931" t="str">
        <f aca="false">A266</f>
        <v>Монтаж свай гидравлика</v>
      </c>
      <c r="B285" s="931" t="n">
        <f aca="false">VLOOKUP('Ввод данных'!B535,связи1!A2:B3,2,0)</f>
        <v>1</v>
      </c>
      <c r="C285" s="931"/>
      <c r="D285" s="931"/>
      <c r="E285" s="905"/>
      <c r="F285" s="905"/>
      <c r="G285" s="2184"/>
      <c r="H285" s="2184"/>
      <c r="I285" s="905"/>
      <c r="J285" s="905"/>
      <c r="K285" s="905"/>
      <c r="L285" s="905"/>
      <c r="M285" s="2273"/>
    </row>
    <row r="286" customFormat="false" ht="15.5" hidden="false" customHeight="false" outlineLevel="1" collapsed="false">
      <c r="A286" s="931" t="str">
        <f aca="false">A268</f>
        <v>обвязка металлом, 20/40/3000</v>
      </c>
      <c r="B286" s="931" t="n">
        <f aca="false">VLOOKUP('Ввод данных'!B535,связи1!A2:B3,2,0)</f>
        <v>1</v>
      </c>
      <c r="C286" s="931"/>
      <c r="D286" s="931"/>
      <c r="E286" s="905"/>
      <c r="F286" s="905"/>
      <c r="G286" s="2184"/>
      <c r="H286" s="2184"/>
      <c r="I286" s="905"/>
      <c r="J286" s="905"/>
      <c r="K286" s="905"/>
      <c r="L286" s="905"/>
      <c r="M286" s="2273"/>
    </row>
    <row r="287" customFormat="false" ht="15.5" hidden="false" customHeight="false" outlineLevel="1" collapsed="false">
      <c r="A287" s="2072" t="s">
        <v>4044</v>
      </c>
      <c r="B287" s="2072" t="n">
        <f aca="false">IF('Ввод данных'!A529=связи1!A481,1,0)</f>
        <v>1</v>
      </c>
      <c r="C287" s="2072"/>
      <c r="D287" s="2072"/>
      <c r="E287" s="905"/>
      <c r="F287" s="905"/>
      <c r="G287" s="2184"/>
      <c r="H287" s="2184"/>
      <c r="I287" s="905"/>
      <c r="J287" s="905"/>
      <c r="K287" s="905"/>
      <c r="L287" s="905"/>
      <c r="M287" s="2273"/>
    </row>
    <row r="288" customFormat="false" ht="15.5" hidden="false" customHeight="false" outlineLevel="1" collapsed="false">
      <c r="A288" s="2072" t="s">
        <v>4043</v>
      </c>
      <c r="B288" s="2072" t="n">
        <f aca="false">VLOOKUP('Ввод данных'!B536,связи1!A2:B3,2,0)</f>
        <v>1</v>
      </c>
      <c r="C288" s="2072"/>
      <c r="D288" s="2072"/>
      <c r="E288" s="905"/>
      <c r="F288" s="905"/>
      <c r="G288" s="2184"/>
      <c r="H288" s="2184"/>
      <c r="I288" s="905"/>
      <c r="J288" s="905"/>
      <c r="K288" s="905"/>
      <c r="L288" s="905"/>
      <c r="M288" s="2273"/>
    </row>
    <row r="289" s="2321" customFormat="true" ht="15.5" hidden="false" customHeight="false" outlineLevel="1" collapsed="false">
      <c r="A289" s="2320" t="s">
        <v>4045</v>
      </c>
      <c r="B289" s="2320"/>
      <c r="C289" s="2320"/>
      <c r="D289" s="2320"/>
      <c r="E289" s="2320"/>
      <c r="F289" s="905"/>
      <c r="G289" s="2184"/>
      <c r="H289" s="2184"/>
      <c r="I289" s="905"/>
      <c r="J289" s="905"/>
      <c r="K289" s="905"/>
      <c r="L289" s="905"/>
      <c r="M289" s="2072"/>
    </row>
    <row r="290" s="2321" customFormat="true" ht="15.5" hidden="false" customHeight="false" outlineLevel="1" collapsed="false">
      <c r="A290" s="2322" t="str">
        <f aca="false">A271</f>
        <v>пробное забуривание</v>
      </c>
      <c r="B290" s="2322" t="str">
        <f aca="false">B271</f>
        <v>шт</v>
      </c>
      <c r="C290" s="931" t="n">
        <f aca="false">B284</f>
        <v>1</v>
      </c>
      <c r="D290" s="2322" t="n">
        <f aca="false">D271</f>
        <v>5000</v>
      </c>
      <c r="E290" s="122" t="n">
        <f aca="false">C290*D290*B287</f>
        <v>5000</v>
      </c>
      <c r="F290" s="905"/>
      <c r="G290" s="87" t="str">
        <f aca="false">G271</f>
        <v>разбивка осей</v>
      </c>
      <c r="H290" s="88"/>
      <c r="I290" s="122" t="str">
        <f aca="false">I271</f>
        <v>шт</v>
      </c>
      <c r="J290" s="122" t="n">
        <v>1</v>
      </c>
      <c r="K290" s="122" t="n">
        <f aca="false">K271</f>
        <v>7000</v>
      </c>
      <c r="L290" s="122" t="n">
        <f aca="false">J290*K290*B287</f>
        <v>7000</v>
      </c>
      <c r="M290" s="2072"/>
    </row>
    <row r="291" s="2321" customFormat="true" ht="15.5" hidden="false" customHeight="false" outlineLevel="1" collapsed="false">
      <c r="A291" s="931" t="str">
        <f aca="false">'Ввод данных'!A531</f>
        <v>76мм, 3,5м длина, 2 лопасть</v>
      </c>
      <c r="B291" s="2322" t="str">
        <f aca="false">B272</f>
        <v>шт</v>
      </c>
      <c r="C291" s="931" t="n">
        <f aca="false">B283</f>
        <v>8</v>
      </c>
      <c r="D291" s="931" t="n">
        <f aca="false">VLOOKUP(A291,'Прайс лист'!B908:G968,6,0)</f>
        <v>2130</v>
      </c>
      <c r="E291" s="122" t="n">
        <f aca="false">C291*D291*B287</f>
        <v>17040</v>
      </c>
      <c r="F291" s="905"/>
      <c r="G291" s="87" t="str">
        <f aca="false">'Ввод данных'!A533</f>
        <v>монтаж свай гидравликой</v>
      </c>
      <c r="H291" s="88"/>
      <c r="I291" s="122" t="str">
        <f aca="false">I272</f>
        <v>шт</v>
      </c>
      <c r="J291" s="122" t="n">
        <v>1</v>
      </c>
      <c r="K291" s="122" t="n">
        <f aca="false">VLOOKUP(G291,связи1!A483:B484,2,0)</f>
        <v>1000</v>
      </c>
      <c r="L291" s="122" t="n">
        <f aca="false">J291*K291*B287</f>
        <v>1000</v>
      </c>
      <c r="M291" s="2072"/>
    </row>
    <row r="292" s="2321" customFormat="true" ht="15.5" hidden="false" customHeight="false" outlineLevel="1" collapsed="false">
      <c r="A292" s="931" t="str">
        <f aca="false">'Ввод данных'!A537</f>
        <v>Оголовкок для свай 200*200</v>
      </c>
      <c r="B292" s="2322" t="str">
        <f aca="false">B273</f>
        <v>шт</v>
      </c>
      <c r="C292" s="931" t="n">
        <f aca="false">C291</f>
        <v>8</v>
      </c>
      <c r="D292" s="931" t="n">
        <f aca="false">VLOOKUP(A292,'Прайс лист'!B969:G972,6,0)</f>
        <v>250</v>
      </c>
      <c r="E292" s="122" t="n">
        <f aca="false">C292*D292*B287</f>
        <v>2000</v>
      </c>
      <c r="F292" s="905"/>
      <c r="G292" s="87" t="str">
        <f aca="false">G273</f>
        <v>монтаж оголовков</v>
      </c>
      <c r="H292" s="88"/>
      <c r="I292" s="122" t="str">
        <f aca="false">I273</f>
        <v>шт</v>
      </c>
      <c r="J292" s="122" t="n">
        <f aca="false">C292</f>
        <v>8</v>
      </c>
      <c r="K292" s="122" t="n">
        <f aca="false">K273</f>
        <v>100</v>
      </c>
      <c r="L292" s="122" t="n">
        <f aca="false">J292*K292*B287</f>
        <v>800</v>
      </c>
      <c r="M292" s="2072"/>
    </row>
    <row r="293" s="2321" customFormat="true" ht="15.5" hidden="false" customHeight="false" outlineLevel="1" collapsed="false">
      <c r="A293" s="931" t="str">
        <f aca="false">'Ввод данных'!A535</f>
        <v>обвязка металлом, 20/40/3000</v>
      </c>
      <c r="B293" s="2322" t="str">
        <f aca="false">B274</f>
        <v>м.п.</v>
      </c>
      <c r="C293" s="931" t="n">
        <f aca="false">B283*B286</f>
        <v>8</v>
      </c>
      <c r="D293" s="2322" t="n">
        <f aca="false">'Прайс лист'!G974</f>
        <v>100</v>
      </c>
      <c r="E293" s="122" t="n">
        <f aca="false">C293*D293*B287</f>
        <v>800</v>
      </c>
      <c r="F293" s="905"/>
      <c r="G293" s="87" t="str">
        <f aca="false">G274</f>
        <v>обвязка металлом</v>
      </c>
      <c r="H293" s="88"/>
      <c r="I293" s="122" t="str">
        <f aca="false">I274</f>
        <v>м.п.</v>
      </c>
      <c r="J293" s="122" t="n">
        <f aca="false">C293</f>
        <v>8</v>
      </c>
      <c r="K293" s="122" t="n">
        <f aca="false">K274</f>
        <v>100</v>
      </c>
      <c r="L293" s="122" t="n">
        <f aca="false">J293*K293*B287</f>
        <v>800</v>
      </c>
      <c r="M293" s="2072"/>
    </row>
    <row r="294" s="2321" customFormat="true" ht="15.5" hidden="false" customHeight="false" outlineLevel="1" collapsed="false">
      <c r="A294" s="2322" t="str">
        <f aca="false">A275</f>
        <v>Раствор, м200</v>
      </c>
      <c r="B294" s="2322" t="str">
        <f aca="false">B275</f>
        <v>м3</v>
      </c>
      <c r="C294" s="931" t="n">
        <f aca="false">C291*F267*B288</f>
        <v>0.361728</v>
      </c>
      <c r="D294" s="2322" t="n">
        <f aca="false">D275</f>
        <v>2100</v>
      </c>
      <c r="E294" s="122" t="n">
        <f aca="false">C294*D294*B287</f>
        <v>759.6288</v>
      </c>
      <c r="F294" s="905"/>
      <c r="G294" s="87" t="str">
        <f aca="false">G275</f>
        <v>заливка бетоном</v>
      </c>
      <c r="H294" s="88"/>
      <c r="I294" s="122" t="str">
        <f aca="false">I275</f>
        <v>шт</v>
      </c>
      <c r="J294" s="122" t="n">
        <f aca="false">C291*B288</f>
        <v>8</v>
      </c>
      <c r="K294" s="122" t="n">
        <f aca="false">K275</f>
        <v>200</v>
      </c>
      <c r="L294" s="122" t="n">
        <f aca="false">J294*K294*B287</f>
        <v>1600</v>
      </c>
      <c r="M294" s="2072"/>
    </row>
    <row r="295" s="2321" customFormat="true" ht="15.5" hidden="false" customHeight="false" outlineLevel="1" collapsed="false">
      <c r="A295" s="931" t="str">
        <f aca="false">A276</f>
        <v>Электроды ок 47</v>
      </c>
      <c r="B295" s="2322" t="str">
        <f aca="false">B276</f>
        <v>шт</v>
      </c>
      <c r="C295" s="931" t="n">
        <f aca="false">C291</f>
        <v>8</v>
      </c>
      <c r="D295" s="2322" t="n">
        <f aca="false">D276</f>
        <v>10</v>
      </c>
      <c r="E295" s="122" t="n">
        <f aca="false">C295*D295*B287</f>
        <v>80</v>
      </c>
      <c r="F295" s="905"/>
      <c r="G295" s="87" t="str">
        <f aca="false">G276</f>
        <v>Обрезка винтовых свай по невелиру</v>
      </c>
      <c r="H295" s="88"/>
      <c r="I295" s="122" t="str">
        <f aca="false">I276</f>
        <v>шт</v>
      </c>
      <c r="J295" s="122" t="n">
        <f aca="false">C291</f>
        <v>8</v>
      </c>
      <c r="K295" s="122" t="n">
        <f aca="false">K276</f>
        <v>200</v>
      </c>
      <c r="L295" s="122" t="n">
        <f aca="false">J295*K295*B287</f>
        <v>1600</v>
      </c>
      <c r="M295" s="2072"/>
    </row>
    <row r="296" s="2321" customFormat="true" ht="15.5" hidden="false" customHeight="false" outlineLevel="1" collapsed="false">
      <c r="A296" s="931"/>
      <c r="B296" s="931"/>
      <c r="C296" s="931"/>
      <c r="D296" s="931"/>
      <c r="E296" s="122"/>
      <c r="F296" s="905"/>
      <c r="G296" s="87" t="str">
        <f aca="false">G277</f>
        <v>Наварка оголовка</v>
      </c>
      <c r="H296" s="88"/>
      <c r="I296" s="122" t="str">
        <f aca="false">I277</f>
        <v>шт</v>
      </c>
      <c r="J296" s="122" t="n">
        <f aca="false">C292</f>
        <v>8</v>
      </c>
      <c r="K296" s="122" t="n">
        <f aca="false">K277</f>
        <v>250</v>
      </c>
      <c r="L296" s="122" t="n">
        <f aca="false">J296*K296*B287</f>
        <v>2000</v>
      </c>
      <c r="M296" s="2072"/>
    </row>
    <row r="297" s="2321" customFormat="true" ht="15.5" hidden="false" customHeight="false" outlineLevel="1" collapsed="false">
      <c r="A297" s="2072"/>
      <c r="B297" s="2072"/>
      <c r="C297" s="2072"/>
      <c r="D297" s="2072"/>
      <c r="E297" s="905"/>
      <c r="F297" s="905"/>
      <c r="G297" s="2184"/>
      <c r="H297" s="2184"/>
      <c r="I297" s="905"/>
      <c r="J297" s="905"/>
      <c r="K297" s="905"/>
      <c r="L297" s="905"/>
      <c r="M297" s="2072"/>
    </row>
    <row r="298" s="2321" customFormat="true" ht="15.5" hidden="false" customHeight="false" outlineLevel="1" collapsed="false">
      <c r="A298" s="2072" t="str">
        <f aca="false">A283</f>
        <v>количество свай</v>
      </c>
      <c r="B298" s="2072" t="n">
        <f aca="false">CEILING(IF('Ввод данных'!C624&lt;=2,2,IF('Ввод данных'!C624&gt;2,('Ввод данных'!C624/2+1)))+IF('Ввод данных'!C625&lt;=2,2,IF('Ввод данных'!C625&gt;2,('Ввод данных'!C625/2+1)*2)),1)</f>
        <v>5</v>
      </c>
      <c r="C298" s="2072"/>
      <c r="D298" s="2072"/>
      <c r="E298" s="905"/>
      <c r="F298" s="905"/>
      <c r="G298" s="2184"/>
      <c r="H298" s="2184"/>
      <c r="I298" s="905"/>
      <c r="J298" s="905"/>
      <c r="K298" s="905"/>
      <c r="L298" s="905"/>
      <c r="M298" s="2072"/>
    </row>
    <row r="299" s="2321" customFormat="true" ht="15.5" hidden="false" customHeight="false" outlineLevel="1" collapsed="false">
      <c r="A299" s="2072" t="str">
        <f aca="false">A284</f>
        <v>пробное забуривание</v>
      </c>
      <c r="B299" s="2072" t="n">
        <f aca="false">VLOOKUP('Ввод данных'!B666,связи1!A2:B3,2,0)</f>
        <v>1</v>
      </c>
      <c r="C299" s="2072"/>
      <c r="D299" s="2072"/>
      <c r="E299" s="905"/>
      <c r="F299" s="905"/>
      <c r="G299" s="2184"/>
      <c r="H299" s="2184"/>
      <c r="I299" s="905"/>
      <c r="J299" s="905"/>
      <c r="K299" s="905"/>
      <c r="L299" s="905"/>
      <c r="M299" s="2072"/>
    </row>
    <row r="300" s="2321" customFormat="true" ht="15.5" hidden="false" customHeight="false" outlineLevel="1" collapsed="false">
      <c r="A300" s="2072" t="str">
        <f aca="false">A285</f>
        <v>Монтаж свай гидравлика</v>
      </c>
      <c r="B300" s="2072"/>
      <c r="C300" s="2072"/>
      <c r="D300" s="2072"/>
      <c r="E300" s="905"/>
      <c r="F300" s="905"/>
      <c r="G300" s="2184"/>
      <c r="H300" s="2184"/>
      <c r="I300" s="905"/>
      <c r="J300" s="905"/>
      <c r="K300" s="905"/>
      <c r="L300" s="905"/>
      <c r="M300" s="2072"/>
    </row>
    <row r="301" s="2321" customFormat="true" ht="15.5" hidden="false" customHeight="false" outlineLevel="1" collapsed="false">
      <c r="A301" s="2072" t="str">
        <f aca="false">A286</f>
        <v>обвязка металлом, 20/40/3000</v>
      </c>
      <c r="B301" s="2072" t="n">
        <f aca="false">VLOOKUP('Ввод данных'!B667,связи1!A2:B3,2,0)</f>
        <v>1</v>
      </c>
      <c r="C301" s="2072"/>
      <c r="D301" s="2072"/>
      <c r="E301" s="905"/>
      <c r="F301" s="905"/>
      <c r="G301" s="2184"/>
      <c r="H301" s="2184"/>
      <c r="I301" s="905"/>
      <c r="J301" s="905"/>
      <c r="K301" s="905"/>
      <c r="L301" s="905"/>
      <c r="M301" s="2072"/>
    </row>
    <row r="302" s="2321" customFormat="true" ht="15.5" hidden="false" customHeight="false" outlineLevel="1" collapsed="false">
      <c r="A302" s="2072" t="str">
        <f aca="false">A287</f>
        <v>если винтовые сваи</v>
      </c>
      <c r="B302" s="2072" t="n">
        <f aca="false">IF('Ввод данных'!A661=связи1!A481,1,0)*IF('Ввод данных'!F693=связи1!A2,1,0)</f>
        <v>0</v>
      </c>
      <c r="C302" s="2072"/>
      <c r="D302" s="2072"/>
      <c r="E302" s="905"/>
      <c r="F302" s="905"/>
      <c r="G302" s="2184"/>
      <c r="H302" s="2184"/>
      <c r="I302" s="905"/>
      <c r="J302" s="905"/>
      <c r="K302" s="905"/>
      <c r="L302" s="905"/>
      <c r="M302" s="2072"/>
    </row>
    <row r="303" s="2321" customFormat="true" ht="15.5" hidden="false" customHeight="false" outlineLevel="1" collapsed="false">
      <c r="A303" s="2072" t="str">
        <f aca="false">A288</f>
        <v>заливка бетоном</v>
      </c>
      <c r="B303" s="2072" t="n">
        <f aca="false">VLOOKUP('Ввод данных'!B668,связи1!A2:B3,2,0)</f>
        <v>1</v>
      </c>
      <c r="C303" s="2072"/>
      <c r="D303" s="2072"/>
      <c r="E303" s="905"/>
      <c r="F303" s="905"/>
      <c r="G303" s="2184"/>
      <c r="H303" s="2184"/>
      <c r="I303" s="905"/>
      <c r="J303" s="905"/>
      <c r="K303" s="905"/>
      <c r="L303" s="905"/>
      <c r="M303" s="2072"/>
    </row>
    <row r="304" s="2321" customFormat="true" ht="15.5" hidden="false" customHeight="false" outlineLevel="1" collapsed="false">
      <c r="A304" s="2148" t="s">
        <v>4046</v>
      </c>
      <c r="B304" s="2148"/>
      <c r="C304" s="2148"/>
      <c r="D304" s="2148"/>
      <c r="E304" s="2148"/>
      <c r="F304" s="905"/>
      <c r="G304" s="87" t="str">
        <f aca="false">G290</f>
        <v>разбивка осей</v>
      </c>
      <c r="H304" s="88"/>
      <c r="I304" s="122" t="str">
        <f aca="false">I290</f>
        <v>шт</v>
      </c>
      <c r="J304" s="122" t="n">
        <v>1</v>
      </c>
      <c r="K304" s="122" t="n">
        <f aca="false">K290</f>
        <v>7000</v>
      </c>
      <c r="L304" s="122" t="n">
        <f aca="false">J304*K304*B302</f>
        <v>0</v>
      </c>
      <c r="M304" s="2072"/>
    </row>
    <row r="305" s="2321" customFormat="true" ht="15.5" hidden="false" customHeight="false" outlineLevel="1" collapsed="false">
      <c r="A305" s="2322" t="str">
        <f aca="false">A290</f>
        <v>пробное забуривание</v>
      </c>
      <c r="B305" s="2322" t="str">
        <f aca="false">B290</f>
        <v>шт</v>
      </c>
      <c r="C305" s="931" t="n">
        <f aca="false">B299</f>
        <v>1</v>
      </c>
      <c r="D305" s="2322" t="n">
        <f aca="false">D290</f>
        <v>5000</v>
      </c>
      <c r="E305" s="122" t="n">
        <f aca="false">C305*D305*B302</f>
        <v>0</v>
      </c>
      <c r="F305" s="905"/>
      <c r="G305" s="87" t="str">
        <f aca="false">'Ввод данных'!A665</f>
        <v>монтаж свай гидравликой</v>
      </c>
      <c r="H305" s="88"/>
      <c r="I305" s="122" t="str">
        <f aca="false">I291</f>
        <v>шт</v>
      </c>
      <c r="J305" s="122" t="n">
        <f aca="false">B298</f>
        <v>5</v>
      </c>
      <c r="K305" s="122" t="n">
        <f aca="false">VLOOKUP('Ввод данных'!A665,связи1!A483:B484,2,0)</f>
        <v>1000</v>
      </c>
      <c r="L305" s="122" t="n">
        <f aca="false">J305*K305*B302</f>
        <v>0</v>
      </c>
      <c r="M305" s="2072"/>
    </row>
    <row r="306" s="2321" customFormat="true" ht="15.5" hidden="false" customHeight="false" outlineLevel="1" collapsed="false">
      <c r="A306" s="931" t="str">
        <f aca="false">'Ввод данных'!A663</f>
        <v>89мм, 4,5м длина, 2 лопасть</v>
      </c>
      <c r="B306" s="2322" t="str">
        <f aca="false">B291</f>
        <v>шт</v>
      </c>
      <c r="C306" s="931" t="n">
        <f aca="false">B298</f>
        <v>5</v>
      </c>
      <c r="D306" s="931" t="n">
        <f aca="false">VLOOKUP(A306,'Прайс лист'!B908:G968,6,0)</f>
        <v>2760</v>
      </c>
      <c r="E306" s="122" t="n">
        <f aca="false">C306*D306*B302</f>
        <v>0</v>
      </c>
      <c r="F306" s="905"/>
      <c r="G306" s="87" t="str">
        <f aca="false">G292</f>
        <v>монтаж оголовков</v>
      </c>
      <c r="H306" s="88"/>
      <c r="I306" s="122" t="str">
        <f aca="false">I292</f>
        <v>шт</v>
      </c>
      <c r="J306" s="122" t="n">
        <f aca="false">C307</f>
        <v>5</v>
      </c>
      <c r="K306" s="122" t="n">
        <f aca="false">K292</f>
        <v>100</v>
      </c>
      <c r="L306" s="122" t="n">
        <f aca="false">J306*K306*B302</f>
        <v>0</v>
      </c>
      <c r="M306" s="2072"/>
    </row>
    <row r="307" s="2321" customFormat="true" ht="15.5" hidden="false" customHeight="false" outlineLevel="1" collapsed="false">
      <c r="A307" s="931" t="str">
        <f aca="false">'Ввод данных'!A669</f>
        <v>Оголовкок для свай 200*200</v>
      </c>
      <c r="B307" s="2322" t="str">
        <f aca="false">B292</f>
        <v>шт</v>
      </c>
      <c r="C307" s="931" t="n">
        <f aca="false">B298</f>
        <v>5</v>
      </c>
      <c r="D307" s="931" t="n">
        <f aca="false">VLOOKUP(A307,'Прайс лист'!B969:G972,6,0)</f>
        <v>250</v>
      </c>
      <c r="E307" s="122" t="n">
        <f aca="false">C307*D307*B302</f>
        <v>0</v>
      </c>
      <c r="F307" s="905"/>
      <c r="G307" s="87" t="str">
        <f aca="false">G293</f>
        <v>обвязка металлом</v>
      </c>
      <c r="H307" s="88"/>
      <c r="I307" s="122" t="str">
        <f aca="false">I293</f>
        <v>м.п.</v>
      </c>
      <c r="J307" s="122" t="n">
        <f aca="false">B301*C308</f>
        <v>5</v>
      </c>
      <c r="K307" s="122" t="n">
        <f aca="false">K293</f>
        <v>100</v>
      </c>
      <c r="L307" s="122" t="n">
        <f aca="false">J307*K307*B302</f>
        <v>0</v>
      </c>
      <c r="M307" s="2072"/>
    </row>
    <row r="308" s="2321" customFormat="true" ht="15.5" hidden="false" customHeight="false" outlineLevel="1" collapsed="false">
      <c r="A308" s="931" t="str">
        <f aca="false">'Ввод данных'!A667</f>
        <v>обвязка металлом, 20/40/3000</v>
      </c>
      <c r="B308" s="2322" t="str">
        <f aca="false">B293</f>
        <v>м.п.</v>
      </c>
      <c r="C308" s="931" t="n">
        <f aca="false">('Ввод данных'!C624+'Ввод данных'!C625+'Ввод данных'!C625)*B301</f>
        <v>5</v>
      </c>
      <c r="D308" s="2322" t="n">
        <f aca="false">D293</f>
        <v>100</v>
      </c>
      <c r="E308" s="122" t="n">
        <f aca="false">C308*D308*B302</f>
        <v>0</v>
      </c>
      <c r="F308" s="905"/>
      <c r="G308" s="87" t="str">
        <f aca="false">G294</f>
        <v>заливка бетоном</v>
      </c>
      <c r="H308" s="88"/>
      <c r="I308" s="122" t="str">
        <f aca="false">I294</f>
        <v>шт</v>
      </c>
      <c r="J308" s="122" t="n">
        <f aca="false">B303*B298</f>
        <v>5</v>
      </c>
      <c r="K308" s="122" t="n">
        <f aca="false">K294</f>
        <v>200</v>
      </c>
      <c r="L308" s="122" t="n">
        <f aca="false">J308*K308*B302</f>
        <v>0</v>
      </c>
      <c r="M308" s="2072"/>
    </row>
    <row r="309" s="2321" customFormat="true" ht="15.5" hidden="false" customHeight="false" outlineLevel="1" collapsed="false">
      <c r="A309" s="2322" t="str">
        <f aca="false">A294</f>
        <v>Раствор, м200</v>
      </c>
      <c r="B309" s="2322" t="str">
        <f aca="false">B294</f>
        <v>м3</v>
      </c>
      <c r="C309" s="931" t="n">
        <f aca="false">B298*F267</f>
        <v>0.22608</v>
      </c>
      <c r="D309" s="2322" t="n">
        <f aca="false">D294</f>
        <v>2100</v>
      </c>
      <c r="E309" s="122" t="n">
        <f aca="false">C309*D309*B302</f>
        <v>0</v>
      </c>
      <c r="F309" s="905"/>
      <c r="G309" s="87" t="str">
        <f aca="false">G295</f>
        <v>Обрезка винтовых свай по невелиру</v>
      </c>
      <c r="H309" s="88"/>
      <c r="I309" s="122" t="str">
        <f aca="false">I295</f>
        <v>шт</v>
      </c>
      <c r="J309" s="122" t="n">
        <f aca="false">B298</f>
        <v>5</v>
      </c>
      <c r="K309" s="122" t="n">
        <f aca="false">K295</f>
        <v>200</v>
      </c>
      <c r="L309" s="122" t="n">
        <f aca="false">J309*K309*B302</f>
        <v>0</v>
      </c>
      <c r="M309" s="2072"/>
    </row>
    <row r="310" customFormat="false" ht="15.5" hidden="false" customHeight="false" outlineLevel="1" collapsed="false">
      <c r="A310" s="2315" t="str">
        <f aca="false">A295</f>
        <v>Электроды ок 47</v>
      </c>
      <c r="B310" s="2322" t="str">
        <f aca="false">B295</f>
        <v>шт</v>
      </c>
      <c r="C310" s="2315" t="n">
        <f aca="false">C306</f>
        <v>5</v>
      </c>
      <c r="D310" s="933" t="n">
        <f aca="false">D295</f>
        <v>10</v>
      </c>
      <c r="E310" s="122" t="n">
        <f aca="false">C310*D310*B302</f>
        <v>0</v>
      </c>
      <c r="F310" s="905"/>
      <c r="G310" s="87" t="str">
        <f aca="false">G296</f>
        <v>Наварка оголовка</v>
      </c>
      <c r="H310" s="2183"/>
      <c r="I310" s="122" t="str">
        <f aca="false">I296</f>
        <v>шт</v>
      </c>
      <c r="J310" s="122" t="n">
        <f aca="false">B298</f>
        <v>5</v>
      </c>
      <c r="K310" s="122" t="n">
        <f aca="false">K296</f>
        <v>250</v>
      </c>
      <c r="L310" s="122" t="n">
        <f aca="false">J310*K310*B302</f>
        <v>0</v>
      </c>
      <c r="M310" s="2273"/>
    </row>
    <row r="311" customFormat="false" ht="15.5" hidden="false" customHeight="false" outlineLevel="1" collapsed="false">
      <c r="A311" s="2321"/>
      <c r="B311" s="2321"/>
      <c r="C311" s="2321"/>
      <c r="D311" s="2321"/>
      <c r="E311" s="2321"/>
      <c r="F311" s="2310"/>
      <c r="G311" s="2310"/>
      <c r="H311" s="2310"/>
      <c r="I311" s="2310"/>
      <c r="J311" s="2310"/>
      <c r="K311" s="2310"/>
      <c r="L311" s="905"/>
      <c r="M311" s="2273"/>
    </row>
    <row r="312" customFormat="false" ht="15.5" hidden="false" customHeight="false" outlineLevel="1" collapsed="false">
      <c r="A312" s="905"/>
      <c r="B312" s="905"/>
      <c r="C312" s="2072"/>
      <c r="D312" s="2072"/>
      <c r="E312" s="2072"/>
      <c r="F312" s="2072"/>
      <c r="G312" s="2072"/>
      <c r="H312" s="2072"/>
      <c r="I312" s="2072"/>
      <c r="J312" s="2273"/>
      <c r="K312" s="2273"/>
      <c r="L312" s="2273"/>
      <c r="M312" s="2273"/>
    </row>
    <row r="313" customFormat="false" ht="15.5" hidden="false" customHeight="false" outlineLevel="1" collapsed="false">
      <c r="A313" s="905"/>
      <c r="B313" s="905"/>
      <c r="C313" s="2072"/>
      <c r="D313" s="2072"/>
      <c r="E313" s="2072"/>
      <c r="F313" s="2072"/>
      <c r="G313" s="2072"/>
      <c r="H313" s="2072"/>
      <c r="I313" s="2072"/>
      <c r="J313" s="2273"/>
      <c r="K313" s="2273"/>
      <c r="L313" s="2273"/>
      <c r="M313" s="2273"/>
    </row>
    <row r="314" customFormat="false" ht="15.5" hidden="false" customHeight="false" outlineLevel="1" collapsed="false">
      <c r="A314" s="905"/>
      <c r="B314" s="905"/>
      <c r="C314" s="2072"/>
      <c r="D314" s="2072"/>
      <c r="E314" s="2072"/>
      <c r="F314" s="2072"/>
      <c r="G314" s="2072"/>
      <c r="H314" s="2072"/>
      <c r="I314" s="2072"/>
      <c r="J314" s="2273"/>
      <c r="K314" s="2273"/>
      <c r="L314" s="2273"/>
      <c r="M314" s="2273"/>
    </row>
    <row r="315" customFormat="false" ht="15.5" hidden="false" customHeight="false" outlineLevel="0" collapsed="false">
      <c r="A315" s="2323" t="s">
        <v>2144</v>
      </c>
      <c r="B315" s="2324"/>
      <c r="C315" s="2325" t="s">
        <v>3663</v>
      </c>
      <c r="D315" s="2325"/>
      <c r="E315" s="2325"/>
      <c r="F315" s="2325"/>
      <c r="G315" s="2072"/>
      <c r="H315" s="2072"/>
      <c r="I315" s="2072"/>
      <c r="J315" s="2273"/>
      <c r="K315" s="2273"/>
      <c r="L315" s="2273"/>
      <c r="M315" s="2273"/>
    </row>
    <row r="316" customFormat="false" ht="14.5" hidden="false" customHeight="false" outlineLevel="0" collapsed="false">
      <c r="A316" s="2072"/>
      <c r="B316" s="2072"/>
      <c r="C316" s="2072"/>
      <c r="D316" s="2072"/>
      <c r="E316" s="2072"/>
      <c r="F316" s="2072"/>
      <c r="G316" s="2072"/>
      <c r="H316" s="2072"/>
      <c r="I316" s="2072"/>
      <c r="J316" s="2273"/>
      <c r="K316" s="2273"/>
      <c r="L316" s="2273"/>
      <c r="M316" s="2273"/>
    </row>
    <row r="317" customFormat="false" ht="14.5" hidden="false" customHeight="false" outlineLevel="1" collapsed="false">
      <c r="A317" s="2326" t="s">
        <v>4047</v>
      </c>
      <c r="B317" s="2326"/>
      <c r="C317" s="2326"/>
      <c r="D317" s="2326"/>
      <c r="E317" s="2326"/>
      <c r="F317" s="2326"/>
      <c r="G317" s="2326"/>
      <c r="H317" s="2326"/>
      <c r="I317" s="2326"/>
      <c r="J317" s="2273"/>
      <c r="K317" s="2273"/>
      <c r="L317" s="2273"/>
      <c r="M317" s="2273"/>
    </row>
    <row r="318" customFormat="false" ht="14.5" hidden="false" customHeight="false" outlineLevel="1" collapsed="false">
      <c r="A318" s="2326"/>
      <c r="B318" s="2326"/>
      <c r="C318" s="2326"/>
      <c r="D318" s="2326"/>
      <c r="E318" s="2326"/>
      <c r="F318" s="2326"/>
      <c r="G318" s="2326"/>
      <c r="H318" s="2326"/>
      <c r="I318" s="2326"/>
      <c r="J318" s="2273"/>
      <c r="K318" s="2273"/>
      <c r="L318" s="2273"/>
      <c r="M318" s="2273"/>
    </row>
    <row r="319" customFormat="false" ht="23.5" hidden="false" customHeight="false" outlineLevel="1" collapsed="false">
      <c r="A319" s="2151" t="s">
        <v>1806</v>
      </c>
      <c r="B319" s="2151"/>
      <c r="C319" s="2151"/>
      <c r="D319" s="2151"/>
      <c r="E319" s="2151"/>
      <c r="F319" s="2151"/>
      <c r="G319" s="2327" t="n">
        <f aca="false">'Ввод данных'!D718</f>
        <v>1.1</v>
      </c>
      <c r="H319" s="2328" t="n">
        <f aca="false">'Ввод данных'!D719</f>
        <v>1.05</v>
      </c>
      <c r="I319" s="2328"/>
      <c r="J319" s="2273"/>
      <c r="K319" s="2273"/>
      <c r="L319" s="2273"/>
      <c r="M319" s="2273"/>
    </row>
    <row r="320" customFormat="false" ht="23.5" hidden="false" customHeight="false" outlineLevel="1" collapsed="false">
      <c r="A320" s="2151"/>
      <c r="B320" s="2151"/>
      <c r="C320" s="2151"/>
      <c r="D320" s="2151"/>
      <c r="E320" s="2151"/>
      <c r="F320" s="2151"/>
      <c r="G320" s="2327"/>
      <c r="H320" s="2328"/>
      <c r="I320" s="2328"/>
      <c r="J320" s="2273"/>
      <c r="K320" s="2273"/>
      <c r="L320" s="2273"/>
      <c r="M320" s="2273"/>
    </row>
    <row r="321" customFormat="false" ht="15.5" hidden="false" customHeight="false" outlineLevel="1" collapsed="false">
      <c r="A321" s="2329" t="s">
        <v>1236</v>
      </c>
      <c r="B321" s="2313" t="s">
        <v>208</v>
      </c>
      <c r="C321" s="2314" t="s">
        <v>4048</v>
      </c>
      <c r="D321" s="2314"/>
      <c r="E321" s="2314"/>
      <c r="F321" s="2313" t="s">
        <v>4049</v>
      </c>
      <c r="G321" s="2273"/>
      <c r="H321" s="2273"/>
      <c r="I321" s="2273"/>
      <c r="J321" s="2273"/>
      <c r="K321" s="2273"/>
      <c r="L321" s="2273"/>
      <c r="M321" s="2273"/>
    </row>
    <row r="322" customFormat="false" ht="15.5" hidden="false" customHeight="false" outlineLevel="1" collapsed="false">
      <c r="A322" s="122" t="s">
        <v>1172</v>
      </c>
      <c r="B322" s="122" t="s">
        <v>154</v>
      </c>
      <c r="C322" s="2330" t="n">
        <f aca="false">'Ввод данных'!C756</f>
        <v>4</v>
      </c>
      <c r="D322" s="2184"/>
      <c r="E322" s="2184"/>
      <c r="F322" s="905"/>
      <c r="G322" s="2273"/>
      <c r="H322" s="2273"/>
      <c r="I322" s="2273"/>
      <c r="J322" s="2273"/>
      <c r="K322" s="2273"/>
      <c r="L322" s="2273"/>
      <c r="M322" s="2273"/>
    </row>
    <row r="323" customFormat="false" ht="15.5" hidden="false" customHeight="false" outlineLevel="1" collapsed="false">
      <c r="A323" s="2162" t="s">
        <v>2147</v>
      </c>
      <c r="B323" s="2154" t="s">
        <v>156</v>
      </c>
      <c r="C323" s="2330" t="n">
        <f aca="false">'Ввод данных'!C722</f>
        <v>0.3</v>
      </c>
      <c r="D323" s="2273"/>
      <c r="E323" s="2273"/>
      <c r="F323" s="2273"/>
      <c r="G323" s="2273"/>
      <c r="H323" s="2273"/>
      <c r="I323" s="2273"/>
      <c r="J323" s="2273"/>
      <c r="K323" s="2273"/>
      <c r="L323" s="2273"/>
      <c r="M323" s="2273"/>
    </row>
    <row r="324" customFormat="false" ht="15.5" hidden="false" customHeight="false" outlineLevel="1" collapsed="false">
      <c r="A324" s="261" t="s">
        <v>2148</v>
      </c>
      <c r="B324" s="122" t="s">
        <v>156</v>
      </c>
      <c r="C324" s="2330" t="n">
        <f aca="false">'Ввод данных'!C723</f>
        <v>0.3</v>
      </c>
      <c r="D324" s="2273"/>
      <c r="E324" s="2273"/>
      <c r="F324" s="2273"/>
      <c r="G324" s="2273"/>
      <c r="H324" s="2273"/>
      <c r="I324" s="2273"/>
      <c r="J324" s="2273"/>
      <c r="K324" s="2273"/>
      <c r="L324" s="2273"/>
      <c r="M324" s="2273"/>
    </row>
    <row r="325" customFormat="false" ht="15.5" hidden="false" customHeight="false" outlineLevel="1" collapsed="false">
      <c r="A325" s="261" t="s">
        <v>2149</v>
      </c>
      <c r="B325" s="122" t="s">
        <v>156</v>
      </c>
      <c r="C325" s="2330" t="n">
        <f aca="false">'Ввод данных'!C724</f>
        <v>0.3</v>
      </c>
      <c r="D325" s="2273"/>
      <c r="E325" s="2273"/>
      <c r="F325" s="2273"/>
      <c r="G325" s="2273"/>
      <c r="H325" s="2273"/>
      <c r="I325" s="2273"/>
      <c r="J325" s="2273"/>
      <c r="K325" s="2273"/>
      <c r="L325" s="2273"/>
      <c r="M325" s="2273"/>
    </row>
    <row r="326" customFormat="false" ht="15.5" hidden="false" customHeight="false" outlineLevel="1" collapsed="false">
      <c r="A326" s="261" t="s">
        <v>2150</v>
      </c>
      <c r="B326" s="122" t="s">
        <v>156</v>
      </c>
      <c r="C326" s="2330" t="n">
        <f aca="false">'Ввод данных'!C725</f>
        <v>0.3</v>
      </c>
      <c r="D326" s="2273"/>
      <c r="E326" s="2273"/>
      <c r="F326" s="2273"/>
      <c r="G326" s="2273"/>
      <c r="H326" s="2273"/>
      <c r="I326" s="2273"/>
      <c r="J326" s="2273"/>
      <c r="K326" s="2273"/>
      <c r="L326" s="2273"/>
      <c r="M326" s="2273"/>
    </row>
    <row r="327" customFormat="false" ht="15.5" hidden="false" customHeight="false" outlineLevel="1" collapsed="false">
      <c r="A327" s="261" t="s">
        <v>2151</v>
      </c>
      <c r="B327" s="122" t="s">
        <v>156</v>
      </c>
      <c r="C327" s="2330" t="n">
        <f aca="false">'Ввод данных'!C726</f>
        <v>0.4</v>
      </c>
      <c r="D327" s="2273"/>
      <c r="E327" s="2273"/>
      <c r="F327" s="2273"/>
      <c r="G327" s="2273"/>
      <c r="H327" s="2273"/>
      <c r="I327" s="2273"/>
      <c r="J327" s="2273"/>
      <c r="K327" s="2273"/>
      <c r="L327" s="2273"/>
      <c r="M327" s="2273"/>
    </row>
    <row r="328" customFormat="false" ht="15.5" hidden="false" customHeight="false" outlineLevel="1" collapsed="false">
      <c r="A328" s="261" t="s">
        <v>2227</v>
      </c>
      <c r="B328" s="122" t="s">
        <v>156</v>
      </c>
      <c r="C328" s="2330" t="n">
        <f aca="false">VLOOKUP(A345,'Прайс лист'!B291:G303,4,0)</f>
        <v>0.04</v>
      </c>
      <c r="D328" s="2273"/>
      <c r="E328" s="2273"/>
      <c r="F328" s="2273"/>
      <c r="G328" s="2273"/>
      <c r="H328" s="2273"/>
      <c r="I328" s="2273"/>
      <c r="J328" s="2273"/>
      <c r="K328" s="2273"/>
      <c r="L328" s="2273"/>
      <c r="M328" s="2273"/>
    </row>
    <row r="329" customFormat="false" ht="15.5" hidden="false" customHeight="false" outlineLevel="1" collapsed="false">
      <c r="A329" s="261" t="s">
        <v>2228</v>
      </c>
      <c r="B329" s="122" t="s">
        <v>159</v>
      </c>
      <c r="C329" s="2330" t="n">
        <f aca="false">'Ввод данных'!C732</f>
        <v>6</v>
      </c>
      <c r="D329" s="2273"/>
      <c r="E329" s="2273"/>
      <c r="F329" s="2273"/>
      <c r="G329" s="2273"/>
      <c r="H329" s="2273"/>
      <c r="I329" s="2273"/>
      <c r="J329" s="2273"/>
      <c r="K329" s="2273"/>
      <c r="L329" s="2273"/>
      <c r="M329" s="2273"/>
    </row>
    <row r="330" customFormat="false" ht="15.5" hidden="false" customHeight="false" outlineLevel="1" collapsed="false">
      <c r="A330" s="87" t="s">
        <v>4050</v>
      </c>
      <c r="B330" s="122" t="s">
        <v>156</v>
      </c>
      <c r="C330" s="89" t="n">
        <f aca="false">C263</f>
        <v>56</v>
      </c>
      <c r="D330" s="2273"/>
      <c r="E330" s="2273"/>
      <c r="F330" s="2273"/>
      <c r="G330" s="2273"/>
      <c r="H330" s="2273"/>
      <c r="I330" s="2273"/>
      <c r="J330" s="2273"/>
      <c r="K330" s="2273"/>
      <c r="L330" s="2294"/>
      <c r="M330" s="2273"/>
    </row>
    <row r="331" customFormat="false" ht="15.5" hidden="false" customHeight="false" outlineLevel="1" collapsed="false">
      <c r="A331" s="87" t="s">
        <v>4051</v>
      </c>
      <c r="B331" s="122" t="s">
        <v>135</v>
      </c>
      <c r="C331" s="89" t="n">
        <f aca="false">C330*(C323+C324)*C325</f>
        <v>10.08</v>
      </c>
      <c r="D331" s="2273"/>
      <c r="E331" s="2273"/>
      <c r="F331" s="2273"/>
      <c r="G331" s="2273"/>
      <c r="H331" s="2273"/>
      <c r="I331" s="2273"/>
      <c r="J331" s="2273"/>
      <c r="K331" s="2273"/>
      <c r="L331" s="2273"/>
      <c r="M331" s="2273"/>
    </row>
    <row r="332" customFormat="false" ht="15.5" hidden="false" customHeight="false" outlineLevel="1" collapsed="false">
      <c r="A332" s="87" t="s">
        <v>4052</v>
      </c>
      <c r="B332" s="122" t="s">
        <v>133</v>
      </c>
      <c r="C332" s="89" t="n">
        <f aca="false">(E3+E3+E4+E4+E132*C169-E132*D139+D172*C210)*(C323+C324)+(дома!C2026+дома!C2027+дома!C2027-дома!C2026)*дома!D2019</f>
        <v>24</v>
      </c>
      <c r="D332" s="2331" t="n">
        <f aca="false">IF('Ввод данных'!A737='Прайс лист'!B744,0,1)</f>
        <v>0</v>
      </c>
      <c r="E332" s="2273"/>
      <c r="F332" s="2273"/>
      <c r="G332" s="2273"/>
      <c r="H332" s="2273"/>
      <c r="I332" s="2273"/>
      <c r="J332" s="2273"/>
      <c r="K332" s="2273"/>
      <c r="L332" s="2273"/>
      <c r="M332" s="2273"/>
    </row>
    <row r="333" customFormat="false" ht="15.5" hidden="false" customHeight="false" outlineLevel="1" collapsed="false">
      <c r="A333" s="87" t="s">
        <v>4053</v>
      </c>
      <c r="B333" s="122" t="s">
        <v>156</v>
      </c>
      <c r="C333" s="89" t="n">
        <f aca="false">VLOOKUP(A355,'Прайс лист'!B744:G783,3,0)</f>
        <v>0</v>
      </c>
      <c r="D333" s="2072"/>
      <c r="E333" s="2273"/>
      <c r="F333" s="2273"/>
      <c r="G333" s="2273"/>
      <c r="H333" s="2273"/>
      <c r="I333" s="2273"/>
      <c r="J333" s="2273"/>
      <c r="K333" s="2273"/>
      <c r="L333" s="2273"/>
      <c r="M333" s="2273"/>
    </row>
    <row r="334" customFormat="false" ht="15.5" hidden="false" customHeight="false" outlineLevel="1" collapsed="false">
      <c r="A334" s="87" t="s">
        <v>2157</v>
      </c>
      <c r="B334" s="122" t="s">
        <v>156</v>
      </c>
      <c r="C334" s="2330" t="n">
        <f aca="false">'Ввод данных'!C735</f>
        <v>10</v>
      </c>
      <c r="D334" s="2072"/>
      <c r="E334" s="2273"/>
      <c r="F334" s="2273"/>
      <c r="G334" s="2273"/>
      <c r="H334" s="2273"/>
      <c r="I334" s="2273"/>
      <c r="J334" s="2273"/>
      <c r="K334" s="2273"/>
      <c r="L334" s="2273"/>
      <c r="M334" s="2273"/>
    </row>
    <row r="335" customFormat="false" ht="15.5" hidden="false" customHeight="false" outlineLevel="1" collapsed="false">
      <c r="A335" s="2332" t="s">
        <v>2163</v>
      </c>
      <c r="B335" s="2332"/>
      <c r="C335" s="2332"/>
      <c r="D335" s="2273"/>
      <c r="E335" s="2297"/>
      <c r="F335" s="1702"/>
      <c r="G335" s="2273"/>
      <c r="H335" s="2273"/>
      <c r="I335" s="2273"/>
      <c r="J335" s="2273"/>
      <c r="K335" s="2297"/>
      <c r="L335" s="1702"/>
      <c r="M335" s="2273"/>
    </row>
    <row r="336" customFormat="false" ht="15.5" hidden="false" customHeight="false" outlineLevel="1" collapsed="false">
      <c r="A336" s="122" t="s">
        <v>2165</v>
      </c>
      <c r="B336" s="122" t="s">
        <v>156</v>
      </c>
      <c r="C336" s="2330" t="n">
        <f aca="false">C400</f>
        <v>0.8</v>
      </c>
      <c r="D336" s="2331" t="n">
        <f aca="false">VLOOKUP('Ввод данных'!C745,связи1!A2:B3,2,0)</f>
        <v>0</v>
      </c>
      <c r="E336" s="2333"/>
      <c r="F336" s="1702"/>
      <c r="G336" s="2273"/>
      <c r="H336" s="2273"/>
      <c r="I336" s="2273"/>
      <c r="J336" s="2273"/>
      <c r="K336" s="2297"/>
      <c r="L336" s="1702"/>
      <c r="M336" s="2273"/>
    </row>
    <row r="337" customFormat="false" ht="15.5" hidden="false" customHeight="false" outlineLevel="1" collapsed="false">
      <c r="A337" s="122" t="s">
        <v>4054</v>
      </c>
      <c r="B337" s="122" t="s">
        <v>133</v>
      </c>
      <c r="C337" s="2330" t="n">
        <f aca="false">C401</f>
        <v>0</v>
      </c>
      <c r="D337" s="2072"/>
      <c r="E337" s="2333"/>
      <c r="F337" s="1702"/>
      <c r="G337" s="2273"/>
      <c r="H337" s="2273"/>
      <c r="I337" s="2273"/>
      <c r="J337" s="2273"/>
      <c r="K337" s="2297"/>
      <c r="L337" s="1702"/>
      <c r="M337" s="2273"/>
    </row>
    <row r="338" customFormat="false" ht="15.5" hidden="false" customHeight="false" outlineLevel="1" collapsed="false">
      <c r="A338" s="122" t="s">
        <v>2166</v>
      </c>
      <c r="B338" s="122" t="s">
        <v>156</v>
      </c>
      <c r="C338" s="2330" t="n">
        <f aca="false">C402</f>
        <v>0.1</v>
      </c>
      <c r="D338" s="2273"/>
      <c r="E338" s="2297"/>
      <c r="F338" s="1702"/>
      <c r="G338" s="2273"/>
      <c r="H338" s="2273"/>
      <c r="I338" s="2273"/>
      <c r="J338" s="2273"/>
      <c r="K338" s="2297"/>
      <c r="L338" s="1702"/>
      <c r="M338" s="2273"/>
    </row>
    <row r="339" customFormat="false" ht="15.5" hidden="false" customHeight="false" outlineLevel="1" collapsed="false">
      <c r="A339" s="122" t="s">
        <v>4055</v>
      </c>
      <c r="B339" s="122" t="s">
        <v>156</v>
      </c>
      <c r="C339" s="2330" t="n">
        <f aca="false">VLOOKUP(A357,'Прайс лист'!B744:G783,3,0)</f>
        <v>0</v>
      </c>
      <c r="D339" s="2331" t="n">
        <f aca="false">1</f>
        <v>1</v>
      </c>
      <c r="E339" s="2273"/>
      <c r="F339" s="1702"/>
      <c r="G339" s="2273"/>
      <c r="H339" s="2273"/>
      <c r="I339" s="2273"/>
      <c r="J339" s="2273"/>
      <c r="K339" s="2297"/>
      <c r="L339" s="1702"/>
      <c r="M339" s="2273"/>
    </row>
    <row r="340" customFormat="false" ht="15.5" hidden="false" customHeight="false" outlineLevel="1" collapsed="false">
      <c r="A340" s="122" t="s">
        <v>2167</v>
      </c>
      <c r="B340" s="122" t="s">
        <v>156</v>
      </c>
      <c r="C340" s="2330" t="n">
        <f aca="false">C404</f>
        <v>0.2</v>
      </c>
      <c r="D340" s="2331" t="n">
        <v>1</v>
      </c>
      <c r="E340" s="2297"/>
      <c r="F340" s="1702"/>
      <c r="G340" s="2273"/>
      <c r="H340" s="2273"/>
      <c r="I340" s="2273"/>
      <c r="J340" s="2273"/>
      <c r="K340" s="2297"/>
      <c r="L340" s="1702"/>
      <c r="M340" s="2273"/>
    </row>
    <row r="341" customFormat="false" ht="15.5" hidden="false" customHeight="false" outlineLevel="1" collapsed="false">
      <c r="A341" s="122" t="s">
        <v>2168</v>
      </c>
      <c r="B341" s="122" t="s">
        <v>156</v>
      </c>
      <c r="C341" s="2330" t="n">
        <f aca="false">C405</f>
        <v>0.8</v>
      </c>
      <c r="D341" s="2273"/>
      <c r="E341" s="2297"/>
      <c r="F341" s="1702"/>
      <c r="G341" s="2273"/>
      <c r="H341" s="2273"/>
      <c r="I341" s="2273"/>
      <c r="J341" s="2273"/>
      <c r="K341" s="2297"/>
      <c r="L341" s="1702"/>
      <c r="M341" s="2273"/>
    </row>
    <row r="342" customFormat="false" ht="15.5" hidden="false" customHeight="false" outlineLevel="1" collapsed="false">
      <c r="A342" s="122" t="s">
        <v>4056</v>
      </c>
      <c r="B342" s="122" t="s">
        <v>135</v>
      </c>
      <c r="C342" s="2330" t="n">
        <f aca="false">C406</f>
        <v>0</v>
      </c>
      <c r="D342" s="2273"/>
      <c r="E342" s="2297"/>
      <c r="F342" s="1702"/>
      <c r="G342" s="2273"/>
      <c r="H342" s="2273"/>
      <c r="I342" s="2273"/>
      <c r="J342" s="2273"/>
      <c r="K342" s="2297"/>
      <c r="L342" s="1702"/>
      <c r="M342" s="2273"/>
    </row>
    <row r="343" customFormat="false" ht="15.5" hidden="false" customHeight="false" outlineLevel="1" collapsed="false">
      <c r="A343" s="2134" t="s">
        <v>2720</v>
      </c>
      <c r="B343" s="2134"/>
      <c r="C343" s="2134"/>
      <c r="D343" s="2134"/>
      <c r="E343" s="2134"/>
      <c r="F343" s="2294"/>
      <c r="G343" s="2134" t="s">
        <v>1409</v>
      </c>
      <c r="H343" s="2134"/>
      <c r="I343" s="2134"/>
      <c r="J343" s="2134"/>
      <c r="K343" s="2134"/>
      <c r="L343" s="2134"/>
      <c r="M343" s="2273"/>
    </row>
    <row r="344" customFormat="false" ht="15.5" hidden="false" customHeight="false" outlineLevel="1" collapsed="false">
      <c r="A344" s="2313"/>
      <c r="B344" s="122" t="s">
        <v>120</v>
      </c>
      <c r="C344" s="122" t="s">
        <v>1802</v>
      </c>
      <c r="D344" s="122" t="s">
        <v>1601</v>
      </c>
      <c r="E344" s="122" t="s">
        <v>2722</v>
      </c>
      <c r="F344" s="905"/>
      <c r="G344" s="2314"/>
      <c r="H344" s="2314"/>
      <c r="I344" s="122" t="s">
        <v>120</v>
      </c>
      <c r="J344" s="122" t="s">
        <v>1802</v>
      </c>
      <c r="K344" s="122" t="s">
        <v>1601</v>
      </c>
      <c r="L344" s="122" t="s">
        <v>2722</v>
      </c>
      <c r="M344" s="2273"/>
    </row>
    <row r="345" customFormat="false" ht="15.5" hidden="false" customHeight="false" outlineLevel="1" collapsed="false">
      <c r="A345" s="122" t="str">
        <f aca="false">'Ввод данных'!A730</f>
        <v>Сосна влаж,150*40мм</v>
      </c>
      <c r="B345" s="122" t="s">
        <v>135</v>
      </c>
      <c r="C345" s="122" t="n">
        <f aca="false">C330*(C323+C324)*2*1.3*C328*G319</f>
        <v>3.84384</v>
      </c>
      <c r="D345" s="122" t="n">
        <f aca="false">VLOOKUP(A345,'Прайс лист'!B291:G303,6,0)</f>
        <v>6500</v>
      </c>
      <c r="E345" s="122" t="n">
        <f aca="false">C345*D345</f>
        <v>24984.96</v>
      </c>
      <c r="F345" s="905"/>
      <c r="G345" s="87" t="s">
        <v>4041</v>
      </c>
      <c r="H345" s="87"/>
      <c r="I345" s="122" t="s">
        <v>159</v>
      </c>
      <c r="J345" s="122" t="n">
        <f aca="false">1*H319</f>
        <v>1.05</v>
      </c>
      <c r="K345" s="122" t="n">
        <f aca="false">'Прайс лист'!G1616</f>
        <v>7000</v>
      </c>
      <c r="L345" s="122" t="n">
        <f aca="false">J345*K345</f>
        <v>7350</v>
      </c>
      <c r="M345" s="2273"/>
    </row>
    <row r="346" customFormat="false" ht="15.5" hidden="false" customHeight="false" outlineLevel="1" collapsed="false">
      <c r="A346" s="122" t="str">
        <f aca="false">'Прайс лист'!B215</f>
        <v>Пленка гидроизоляционная</v>
      </c>
      <c r="B346" s="122" t="s">
        <v>133</v>
      </c>
      <c r="C346" s="122" t="n">
        <f aca="false">C330*(C323+C324)*2*1.3*G319</f>
        <v>96.096</v>
      </c>
      <c r="D346" s="122" t="n">
        <f aca="false">'Прайс лист'!G215</f>
        <v>15</v>
      </c>
      <c r="E346" s="122" t="n">
        <f aca="false">C346*D346</f>
        <v>1441.44</v>
      </c>
      <c r="F346" s="905"/>
      <c r="G346" s="87" t="s">
        <v>1431</v>
      </c>
      <c r="H346" s="87"/>
      <c r="I346" s="122" t="s">
        <v>133</v>
      </c>
      <c r="J346" s="122" t="n">
        <f aca="false">C330*(C323+C323+C324+C324)*H319</f>
        <v>70.56</v>
      </c>
      <c r="K346" s="122" t="n">
        <f aca="false">'Прайс лист'!G1617</f>
        <v>300</v>
      </c>
      <c r="L346" s="122" t="n">
        <f aca="false">J346*K346</f>
        <v>21168</v>
      </c>
      <c r="M346" s="2273"/>
    </row>
    <row r="347" customFormat="false" ht="15.5" hidden="false" customHeight="false" outlineLevel="1" collapsed="false">
      <c r="A347" s="122"/>
      <c r="B347" s="122"/>
      <c r="C347" s="122"/>
      <c r="D347" s="122"/>
      <c r="E347" s="122"/>
      <c r="F347" s="905"/>
      <c r="G347" s="87" t="s">
        <v>1432</v>
      </c>
      <c r="H347" s="87"/>
      <c r="I347" s="122" t="s">
        <v>133</v>
      </c>
      <c r="J347" s="122" t="n">
        <f aca="false">J346*H319</f>
        <v>74.088</v>
      </c>
      <c r="K347" s="122" t="n">
        <f aca="false">'Прайс лист'!G1618</f>
        <v>100</v>
      </c>
      <c r="L347" s="122" t="n">
        <f aca="false">J347*K347</f>
        <v>7408.8</v>
      </c>
      <c r="M347" s="2273"/>
    </row>
    <row r="348" customFormat="false" ht="15.5" hidden="false" customHeight="false" outlineLevel="1" collapsed="false">
      <c r="A348" s="122" t="str">
        <f aca="false">'Ввод данных'!A732</f>
        <v>Арматура стальная Ø 8</v>
      </c>
      <c r="B348" s="122" t="s">
        <v>1415</v>
      </c>
      <c r="C348" s="122" t="n">
        <f aca="false">C330*C329*1.2*G319</f>
        <v>443.52</v>
      </c>
      <c r="D348" s="122" t="n">
        <f aca="false">VLOOKUP(A348,'Прайс лист'!B199:G210,6,0)</f>
        <v>16.037</v>
      </c>
      <c r="E348" s="122" t="n">
        <f aca="false">C348*D348</f>
        <v>7112.73024</v>
      </c>
      <c r="F348" s="905"/>
      <c r="G348" s="87" t="s">
        <v>1433</v>
      </c>
      <c r="H348" s="87"/>
      <c r="I348" s="122" t="s">
        <v>133</v>
      </c>
      <c r="J348" s="122" t="n">
        <f aca="false">J347*H319</f>
        <v>77.7924</v>
      </c>
      <c r="K348" s="122" t="n">
        <f aca="false">'Прайс лист'!G1619</f>
        <v>10</v>
      </c>
      <c r="L348" s="122" t="n">
        <f aca="false">J348*K348</f>
        <v>777.924</v>
      </c>
      <c r="M348" s="2273"/>
    </row>
    <row r="349" customFormat="false" ht="15.5" hidden="false" customHeight="false" outlineLevel="1" collapsed="false">
      <c r="A349" s="122" t="str">
        <f aca="false">'Ввод данных'!A734</f>
        <v>Арматура стальная Ø 6</v>
      </c>
      <c r="B349" s="122" t="s">
        <v>1415</v>
      </c>
      <c r="C349" s="122" t="n">
        <f aca="false">C330/'Ввод данных'!C734*(C323+C324+C325+C325+C323+C324)*1.1*G319</f>
        <v>304.92</v>
      </c>
      <c r="D349" s="122" t="n">
        <f aca="false">VLOOKUP(A349,'Прайс лист'!B199:G210,6,0)</f>
        <v>9.0132</v>
      </c>
      <c r="E349" s="122" t="n">
        <f aca="false">C349*D349</f>
        <v>2748.304944</v>
      </c>
      <c r="F349" s="905"/>
      <c r="G349" s="87"/>
      <c r="H349" s="87"/>
      <c r="I349" s="122"/>
      <c r="J349" s="122"/>
      <c r="K349" s="122"/>
      <c r="L349" s="122"/>
      <c r="M349" s="2273"/>
    </row>
    <row r="350" customFormat="false" ht="15.5" hidden="false" customHeight="false" outlineLevel="1" collapsed="false">
      <c r="A350" s="122" t="str">
        <f aca="false">'Прайс лист'!B212</f>
        <v>Вязальная проволока</v>
      </c>
      <c r="B350" s="122" t="s">
        <v>188</v>
      </c>
      <c r="C350" s="122" t="n">
        <f aca="false">(C348+C349)/50*G319</f>
        <v>16.46568</v>
      </c>
      <c r="D350" s="122" t="n">
        <f aca="false">'Прайс лист'!G212</f>
        <v>80</v>
      </c>
      <c r="E350" s="122" t="n">
        <f aca="false">C350*D350</f>
        <v>1317.2544</v>
      </c>
      <c r="F350" s="905"/>
      <c r="G350" s="87" t="s">
        <v>4057</v>
      </c>
      <c r="H350" s="87"/>
      <c r="I350" s="122" t="s">
        <v>1415</v>
      </c>
      <c r="J350" s="122" t="n">
        <f aca="false">C330*C329*1.2*H319</f>
        <v>423.36</v>
      </c>
      <c r="K350" s="122" t="n">
        <f aca="false">'Прайс лист'!G1601</f>
        <v>30</v>
      </c>
      <c r="L350" s="122" t="n">
        <f aca="false">J350*K350</f>
        <v>12700.8</v>
      </c>
      <c r="M350" s="2273"/>
    </row>
    <row r="351" customFormat="false" ht="15.5" hidden="false" customHeight="false" outlineLevel="1" collapsed="false">
      <c r="A351" s="122" t="str">
        <f aca="false">'Прайс лист'!B890</f>
        <v>Гвозди строительные 3,5 x 90</v>
      </c>
      <c r="B351" s="122" t="s">
        <v>188</v>
      </c>
      <c r="C351" s="122" t="n">
        <f aca="false">C345*5*G319</f>
        <v>21.14112</v>
      </c>
      <c r="D351" s="122" t="n">
        <f aca="false">'Прайс лист'!G890</f>
        <v>70</v>
      </c>
      <c r="E351" s="122" t="n">
        <f aca="false">C351*D351</f>
        <v>1479.8784</v>
      </c>
      <c r="F351" s="905"/>
      <c r="G351" s="87" t="s">
        <v>4057</v>
      </c>
      <c r="H351" s="87"/>
      <c r="I351" s="122" t="s">
        <v>156</v>
      </c>
      <c r="J351" s="122" t="n">
        <f aca="false">C330/0.6*(C323+C324+C325+C325+C323+C324)*1.1*H319</f>
        <v>194.04</v>
      </c>
      <c r="K351" s="122" t="n">
        <f aca="false">'Прайс лист'!G1603</f>
        <v>500</v>
      </c>
      <c r="L351" s="122" t="n">
        <f aca="false">J351*K351</f>
        <v>97020</v>
      </c>
      <c r="M351" s="2273"/>
    </row>
    <row r="352" customFormat="false" ht="15.5" hidden="false" customHeight="false" outlineLevel="1" collapsed="false">
      <c r="A352" s="122" t="str">
        <f aca="false">'Прайс лист'!B788</f>
        <v>Гидроизол</v>
      </c>
      <c r="B352" s="122" t="s">
        <v>133</v>
      </c>
      <c r="C352" s="122" t="n">
        <f aca="false">C330*C325*1.1+C337*D336*G319</f>
        <v>18.48</v>
      </c>
      <c r="D352" s="122" t="n">
        <f aca="false">'Прайс лист'!G788</f>
        <v>70</v>
      </c>
      <c r="E352" s="122" t="n">
        <f aca="false">C352*D352</f>
        <v>1293.6</v>
      </c>
      <c r="F352" s="905"/>
      <c r="G352" s="87" t="s">
        <v>1438</v>
      </c>
      <c r="H352" s="87"/>
      <c r="I352" s="122" t="s">
        <v>133</v>
      </c>
      <c r="J352" s="122" t="n">
        <f aca="false">C330*C325*H319+C337*D336*H319</f>
        <v>17.64</v>
      </c>
      <c r="K352" s="122" t="n">
        <f aca="false">'Прайс лист'!G1626</f>
        <v>100</v>
      </c>
      <c r="L352" s="122" t="n">
        <f aca="false">J352*K352</f>
        <v>1764</v>
      </c>
      <c r="M352" s="2273"/>
    </row>
    <row r="353" customFormat="false" ht="15.5" hidden="false" customHeight="false" outlineLevel="1" collapsed="false">
      <c r="A353" s="122" t="str">
        <f aca="false">'Прайс лист'!B167</f>
        <v>ПГС, машина 13м3</v>
      </c>
      <c r="B353" s="122" t="s">
        <v>140</v>
      </c>
      <c r="C353" s="122" t="n">
        <f aca="false">(C330*C326*C327)/12*G319</f>
        <v>0.616</v>
      </c>
      <c r="D353" s="122" t="n">
        <f aca="false">'Прайс лист'!G167</f>
        <v>10000</v>
      </c>
      <c r="E353" s="122" t="n">
        <f aca="false">C353*D353</f>
        <v>6160</v>
      </c>
      <c r="F353" s="905"/>
      <c r="G353" s="87" t="s">
        <v>4058</v>
      </c>
      <c r="H353" s="87"/>
      <c r="I353" s="122" t="s">
        <v>133</v>
      </c>
      <c r="J353" s="122" t="n">
        <f aca="false">J352*H319</f>
        <v>18.522</v>
      </c>
      <c r="K353" s="122" t="n">
        <f aca="false">'Прайс лист'!G1628</f>
        <v>350</v>
      </c>
      <c r="L353" s="122" t="n">
        <f aca="false">J353*K353</f>
        <v>6482.7</v>
      </c>
      <c r="M353" s="2273"/>
    </row>
    <row r="354" customFormat="false" ht="15.5" hidden="false" customHeight="false" outlineLevel="1" collapsed="false">
      <c r="A354" s="122" t="str">
        <f aca="false">'Ввод данных'!A728</f>
        <v>Бетон, м250</v>
      </c>
      <c r="B354" s="122" t="s">
        <v>135</v>
      </c>
      <c r="C354" s="122" t="n">
        <f aca="false">C331*G319</f>
        <v>11.088</v>
      </c>
      <c r="D354" s="122" t="n">
        <f aca="false">VLOOKUP(A354,Бетон__м200,6,0)</f>
        <v>2750</v>
      </c>
      <c r="E354" s="122" t="n">
        <f aca="false">C354*D354</f>
        <v>30492</v>
      </c>
      <c r="F354" s="905"/>
      <c r="G354" s="87" t="s">
        <v>1443</v>
      </c>
      <c r="H354" s="87"/>
      <c r="I354" s="122" t="s">
        <v>135</v>
      </c>
      <c r="J354" s="122" t="n">
        <f aca="false">C330*C325*(C323+C324)*H319</f>
        <v>10.584</v>
      </c>
      <c r="K354" s="122" t="n">
        <f aca="false">'Прайс лист'!G1631</f>
        <v>1200</v>
      </c>
      <c r="L354" s="122" t="n">
        <f aca="false">J354*K354</f>
        <v>12700.8</v>
      </c>
      <c r="M354" s="2273"/>
    </row>
    <row r="355" customFormat="false" ht="15.5" hidden="false" customHeight="false" outlineLevel="1" collapsed="false">
      <c r="A355" s="122" t="str">
        <f aca="false">'Ввод данных'!A737</f>
        <v>Нет</v>
      </c>
      <c r="B355" s="122" t="s">
        <v>135</v>
      </c>
      <c r="C355" s="122" t="n">
        <f aca="false">C332*D332*C333*(C324+C323)*G319</f>
        <v>0</v>
      </c>
      <c r="D355" s="122" t="n">
        <f aca="false">VLOOKUP(A355,'Прайс лист'!B744:G783,6,0)</f>
        <v>0</v>
      </c>
      <c r="E355" s="122" t="n">
        <f aca="false">C355*D355</f>
        <v>0</v>
      </c>
      <c r="F355" s="905"/>
      <c r="G355" s="87" t="s">
        <v>1444</v>
      </c>
      <c r="H355" s="87"/>
      <c r="I355" s="122" t="s">
        <v>133</v>
      </c>
      <c r="J355" s="122" t="n">
        <f aca="false">C332*D332*H319</f>
        <v>0</v>
      </c>
      <c r="K355" s="122" t="n">
        <f aca="false">'Прайс лист'!G1632</f>
        <v>200</v>
      </c>
      <c r="L355" s="122" t="n">
        <f aca="false">J355*K355</f>
        <v>0</v>
      </c>
      <c r="M355" s="2273"/>
    </row>
    <row r="356" customFormat="false" ht="15.5" hidden="false" customHeight="false" outlineLevel="1" collapsed="false">
      <c r="A356" s="122" t="str">
        <f aca="false">'Прайс лист'!B783</f>
        <v>Грибок для крепления утеплителя</v>
      </c>
      <c r="B356" s="122" t="s">
        <v>159</v>
      </c>
      <c r="C356" s="122" t="n">
        <f aca="false">C332*D332*5*G319</f>
        <v>0</v>
      </c>
      <c r="D356" s="122" t="n">
        <f aca="false">'Прайс лист'!G783</f>
        <v>15</v>
      </c>
      <c r="E356" s="122" t="n">
        <f aca="false">C356*D356</f>
        <v>0</v>
      </c>
      <c r="F356" s="905"/>
      <c r="G356" s="2182" t="s">
        <v>1445</v>
      </c>
      <c r="H356" s="2183"/>
      <c r="I356" s="122" t="s">
        <v>133</v>
      </c>
      <c r="J356" s="122" t="n">
        <f aca="false">C337*D339*D336*H319</f>
        <v>0</v>
      </c>
      <c r="K356" s="122" t="n">
        <f aca="false">'Прайс лист'!G1633</f>
        <v>200</v>
      </c>
      <c r="L356" s="122" t="n">
        <f aca="false">J356*K356</f>
        <v>0</v>
      </c>
      <c r="M356" s="2273"/>
    </row>
    <row r="357" customFormat="false" ht="15.5" hidden="false" customHeight="false" outlineLevel="1" collapsed="false">
      <c r="A357" s="122" t="str">
        <f aca="false">'Ввод данных'!A751</f>
        <v>Нет</v>
      </c>
      <c r="B357" s="122" t="s">
        <v>135</v>
      </c>
      <c r="C357" s="122" t="n">
        <f aca="false">C337*C339*D339*G319</f>
        <v>0</v>
      </c>
      <c r="D357" s="122" t="n">
        <f aca="false">VLOOKUP(A357,'Прайс лист'!B744:G783,6,0)</f>
        <v>0</v>
      </c>
      <c r="E357" s="122" t="n">
        <f aca="false">C357*D357</f>
        <v>0</v>
      </c>
      <c r="F357" s="905"/>
      <c r="G357" s="2182" t="s">
        <v>1441</v>
      </c>
      <c r="H357" s="2183"/>
      <c r="I357" s="122" t="s">
        <v>133</v>
      </c>
      <c r="J357" s="122" t="n">
        <f aca="false">C337*D336*D340*H319</f>
        <v>0</v>
      </c>
      <c r="K357" s="122" t="n">
        <f aca="false">'Прайс лист'!G1629</f>
        <v>600</v>
      </c>
      <c r="L357" s="122" t="n">
        <f aca="false">J357*K357</f>
        <v>0</v>
      </c>
      <c r="M357" s="2273"/>
    </row>
    <row r="358" customFormat="false" ht="15.5" hidden="false" customHeight="false" outlineLevel="1" collapsed="false">
      <c r="A358" s="122" t="str">
        <f aca="false">'Прайс лист'!B168</f>
        <v>ПГС, машина 5м3</v>
      </c>
      <c r="B358" s="122" t="s">
        <v>140</v>
      </c>
      <c r="C358" s="122" t="n">
        <f aca="false">(((E3+C341+C341)*2*C336+E4*C341*2+E132*(D139+D140*2-D139)*C341+D172*(C178+C179*2+C180*2*D180-C184)*C341+D220*(C226+C227*2-C226)*C341)*C340*D340)/5*G319*D336</f>
        <v>0</v>
      </c>
      <c r="D358" s="122" t="n">
        <f aca="false">'Прайс лист'!G168</f>
        <v>6000</v>
      </c>
      <c r="E358" s="122" t="n">
        <f aca="false">C358*D358</f>
        <v>0</v>
      </c>
      <c r="F358" s="905"/>
      <c r="G358" s="2182" t="s">
        <v>1446</v>
      </c>
      <c r="H358" s="2183"/>
      <c r="I358" s="122" t="s">
        <v>133</v>
      </c>
      <c r="J358" s="122" t="n">
        <f aca="false">C337*D336*H319</f>
        <v>0</v>
      </c>
      <c r="K358" s="122" t="n">
        <f aca="false">'Прайс лист'!G1635</f>
        <v>100</v>
      </c>
      <c r="L358" s="122" t="n">
        <f aca="false">J358*K358</f>
        <v>0</v>
      </c>
      <c r="M358" s="2273"/>
    </row>
    <row r="359" customFormat="false" ht="15.5" hidden="false" customHeight="false" outlineLevel="1" collapsed="false">
      <c r="A359" s="122" t="str">
        <f aca="false">'Прайс лист'!B211</f>
        <v>Кладочная сетка, 100*100/150*150/200*200мм</v>
      </c>
      <c r="B359" s="122" t="s">
        <v>133</v>
      </c>
      <c r="C359" s="122" t="n">
        <f aca="false">C337*1.1*G319*D336</f>
        <v>0</v>
      </c>
      <c r="D359" s="122" t="n">
        <f aca="false">'Прайс лист'!G211</f>
        <v>70</v>
      </c>
      <c r="E359" s="122" t="n">
        <f aca="false">C359*D359</f>
        <v>0</v>
      </c>
      <c r="F359" s="905"/>
      <c r="G359" s="2182" t="s">
        <v>1443</v>
      </c>
      <c r="H359" s="2183"/>
      <c r="I359" s="122" t="s">
        <v>133</v>
      </c>
      <c r="J359" s="122" t="n">
        <f aca="false">C342*D336*H319</f>
        <v>0</v>
      </c>
      <c r="K359" s="122" t="n">
        <f aca="false">'Прайс лист'!G1631</f>
        <v>1200</v>
      </c>
      <c r="L359" s="122" t="n">
        <f aca="false">J359*K359</f>
        <v>0</v>
      </c>
      <c r="M359" s="2273"/>
    </row>
    <row r="360" customFormat="false" ht="15.5" hidden="false" customHeight="false" outlineLevel="1" collapsed="false">
      <c r="A360" s="122" t="str">
        <f aca="false">'Ввод данных'!A753</f>
        <v>Бетон, м200</v>
      </c>
      <c r="B360" s="122" t="s">
        <v>135</v>
      </c>
      <c r="C360" s="122" t="n">
        <f aca="false">C342*D336*G319</f>
        <v>0</v>
      </c>
      <c r="D360" s="122" t="n">
        <f aca="false">VLOOKUP(A360,Бетон__м200,6,0)</f>
        <v>2500</v>
      </c>
      <c r="E360" s="122" t="n">
        <f aca="false">C360*D360</f>
        <v>0</v>
      </c>
      <c r="F360" s="905"/>
      <c r="G360" s="2315"/>
      <c r="H360" s="2315"/>
      <c r="I360" s="2315"/>
      <c r="J360" s="2315"/>
      <c r="K360" s="2315"/>
      <c r="L360" s="2315"/>
      <c r="M360" s="2273"/>
    </row>
    <row r="361" customFormat="false" ht="15.5" hidden="false" customHeight="false" outlineLevel="1" collapsed="false">
      <c r="A361" s="122" t="str">
        <f aca="false">'Ввод данных'!A762</f>
        <v>расходные материалы свайноростверковый фундамент</v>
      </c>
      <c r="B361" s="122" t="s">
        <v>159</v>
      </c>
      <c r="C361" s="122" t="n">
        <f aca="false">1</f>
        <v>1</v>
      </c>
      <c r="D361" s="122" t="n">
        <f aca="false">'Ввод данных'!C762</f>
        <v>8000</v>
      </c>
      <c r="E361" s="122" t="n">
        <f aca="false">C361*D361</f>
        <v>8000</v>
      </c>
      <c r="F361" s="905"/>
      <c r="G361" s="87" t="str">
        <f aca="false">'Ввод данных'!C751</f>
        <v>Труба теплого пола 3</v>
      </c>
      <c r="H361" s="2315"/>
      <c r="I361" s="89" t="s">
        <v>1415</v>
      </c>
      <c r="J361" s="2315" t="n">
        <f aca="false">VLOOKUP('Ввод данных'!G751,связи1!A2:B3,2,0)*(C330*5)*G319</f>
        <v>308</v>
      </c>
      <c r="K361" s="2315" t="n">
        <f aca="false">VLOOKUP(G361,'Прайс лист'!B1083:G1091,6,0)</f>
        <v>60</v>
      </c>
      <c r="L361" s="2315"/>
      <c r="M361" s="2334" t="n">
        <f aca="false">VLOOKUP('Ввод данных'!G751,связи1!A2:B3,2,0)</f>
        <v>1</v>
      </c>
    </row>
    <row r="362" customFormat="false" ht="15.5" hidden="false" customHeight="false" outlineLevel="1" collapsed="false">
      <c r="A362" s="122" t="str">
        <f aca="false">'Ввод данных'!A756</f>
        <v>Нет техники</v>
      </c>
      <c r="B362" s="122" t="s">
        <v>159</v>
      </c>
      <c r="C362" s="122" t="n">
        <f aca="false">'Ввод данных'!C756</f>
        <v>4</v>
      </c>
      <c r="D362" s="122" t="n">
        <f aca="false">VLOOKUP(A362,'Прайс лист'!B180:G194,6,0)</f>
        <v>0</v>
      </c>
      <c r="E362" s="122" t="n">
        <f aca="false">C362*D362</f>
        <v>0</v>
      </c>
      <c r="F362" s="905"/>
      <c r="G362" s="87" t="str">
        <f aca="false">'Ввод данных'!C753</f>
        <v>Коллектор 1</v>
      </c>
      <c r="H362" s="122"/>
      <c r="I362" s="89" t="s">
        <v>159</v>
      </c>
      <c r="J362" s="2311" t="n">
        <f aca="false">VLOOKUP('Ввод данных'!G753,связи1!A2:B3,2,0)*G319</f>
        <v>1.1</v>
      </c>
      <c r="K362" s="122" t="n">
        <f aca="false">VLOOKUP(G362,'Прайс лист'!B1092:G1099,6,0)</f>
        <v>5000</v>
      </c>
      <c r="L362" s="122"/>
      <c r="M362" s="2334" t="n">
        <f aca="false">VLOOKUP('Ввод данных'!G753,связи1!A2:B3,2,0)</f>
        <v>1</v>
      </c>
    </row>
    <row r="363" customFormat="false" ht="15.5" hidden="false" customHeight="false" outlineLevel="1" collapsed="false">
      <c r="A363" s="122" t="str">
        <f aca="false">'Ввод данных'!A757</f>
        <v>Нет техники</v>
      </c>
      <c r="B363" s="122" t="s">
        <v>159</v>
      </c>
      <c r="C363" s="122" t="n">
        <f aca="false">'Ввод данных'!C757</f>
        <v>4</v>
      </c>
      <c r="D363" s="122" t="n">
        <f aca="false">VLOOKUP(A363,'Прайс лист'!B180:G194,6,0)</f>
        <v>0</v>
      </c>
      <c r="E363" s="122" t="n">
        <f aca="false">C363*D363</f>
        <v>0</v>
      </c>
      <c r="F363" s="905"/>
      <c r="G363" s="933" t="str">
        <f aca="false">'Прайс лист'!B1643</f>
        <v>укладка теп. Пола</v>
      </c>
      <c r="H363" s="122"/>
      <c r="I363" s="89" t="s">
        <v>133</v>
      </c>
      <c r="J363" s="122" t="n">
        <f aca="false">(E3*E4+E132*C170+D172*C211+D220*C236)*M361*H319</f>
        <v>105</v>
      </c>
      <c r="K363" s="122" t="n">
        <f aca="false">'Прайс лист'!G1643</f>
        <v>600</v>
      </c>
      <c r="L363" s="122"/>
      <c r="M363" s="2273"/>
    </row>
    <row r="364" customFormat="false" ht="15.5" hidden="false" customHeight="false" outlineLevel="1" collapsed="false">
      <c r="A364" s="122" t="str">
        <f aca="false">'Ввод данных'!A758</f>
        <v>Нет техники</v>
      </c>
      <c r="B364" s="122" t="s">
        <v>159</v>
      </c>
      <c r="C364" s="122" t="n">
        <f aca="false">'Ввод данных'!C758</f>
        <v>6</v>
      </c>
      <c r="D364" s="122" t="n">
        <f aca="false">VLOOKUP(A364,'Прайс лист'!B180:G194,6,0)</f>
        <v>0</v>
      </c>
      <c r="E364" s="122" t="n">
        <f aca="false">C364*D364</f>
        <v>0</v>
      </c>
      <c r="F364" s="905"/>
      <c r="G364" s="122"/>
      <c r="H364" s="122"/>
      <c r="I364" s="122"/>
      <c r="J364" s="122"/>
      <c r="K364" s="122"/>
      <c r="L364" s="122"/>
      <c r="M364" s="2273"/>
    </row>
    <row r="365" customFormat="false" ht="15.5" hidden="false" customHeight="false" outlineLevel="1" collapsed="false">
      <c r="A365" s="122" t="str">
        <f aca="false">'Ввод данных'!A759</f>
        <v>Нет техники</v>
      </c>
      <c r="B365" s="122" t="s">
        <v>159</v>
      </c>
      <c r="C365" s="122" t="n">
        <f aca="false">'Ввод данных'!C759</f>
        <v>4</v>
      </c>
      <c r="D365" s="122" t="n">
        <f aca="false">VLOOKUP(A365,'Прайс лист'!B180:G194,6,0)</f>
        <v>0</v>
      </c>
      <c r="E365" s="122" t="n">
        <f aca="false">C365*D365</f>
        <v>0</v>
      </c>
      <c r="F365" s="905"/>
      <c r="G365" s="122"/>
      <c r="H365" s="122"/>
      <c r="I365" s="122"/>
      <c r="J365" s="122"/>
      <c r="K365" s="122"/>
      <c r="L365" s="122"/>
      <c r="M365" s="2273"/>
    </row>
    <row r="366" customFormat="false" ht="15.5" hidden="false" customHeight="false" outlineLevel="1" collapsed="false">
      <c r="A366" s="122" t="str">
        <f aca="false">'Ввод данных'!A760</f>
        <v>Нет техники</v>
      </c>
      <c r="B366" s="122" t="s">
        <v>159</v>
      </c>
      <c r="C366" s="122" t="n">
        <f aca="false">'Ввод данных'!C760</f>
        <v>0</v>
      </c>
      <c r="D366" s="122" t="n">
        <f aca="false">VLOOKUP(A366,'Прайс лист'!B180:G194,6,0)</f>
        <v>0</v>
      </c>
      <c r="E366" s="122" t="n">
        <f aca="false">C366*D366</f>
        <v>0</v>
      </c>
      <c r="F366" s="905"/>
      <c r="G366" s="122"/>
      <c r="H366" s="122"/>
      <c r="I366" s="122"/>
      <c r="J366" s="122"/>
      <c r="K366" s="122"/>
      <c r="L366" s="122"/>
      <c r="M366" s="2273"/>
    </row>
    <row r="367" customFormat="false" ht="15.5" hidden="false" customHeight="false" outlineLevel="1" collapsed="false">
      <c r="A367" s="905"/>
      <c r="B367" s="905"/>
      <c r="C367" s="905"/>
      <c r="D367" s="905"/>
      <c r="E367" s="122" t="n">
        <f aca="false">SUM(E345:E362)</f>
        <v>85030.167984</v>
      </c>
      <c r="F367" s="905"/>
      <c r="G367" s="905"/>
      <c r="H367" s="2072"/>
      <c r="I367" s="905"/>
      <c r="J367" s="905"/>
      <c r="K367" s="905"/>
      <c r="L367" s="2154" t="n">
        <f aca="false">SUM(L345:L363)</f>
        <v>167373.024</v>
      </c>
      <c r="M367" s="2273"/>
    </row>
    <row r="368" customFormat="false" ht="15.5" hidden="false" customHeight="false" outlineLevel="1" collapsed="false">
      <c r="A368" s="122" t="s">
        <v>4059</v>
      </c>
      <c r="B368" s="122" t="n">
        <f aca="false">E367</f>
        <v>85030.167984</v>
      </c>
      <c r="C368" s="905"/>
      <c r="D368" s="905"/>
      <c r="E368" s="905"/>
      <c r="F368" s="905"/>
      <c r="G368" s="905"/>
      <c r="H368" s="905"/>
      <c r="I368" s="905"/>
      <c r="J368" s="905"/>
      <c r="K368" s="905"/>
      <c r="L368" s="1702"/>
      <c r="M368" s="2273"/>
    </row>
    <row r="369" customFormat="false" ht="15.5" hidden="false" customHeight="false" outlineLevel="1" collapsed="false">
      <c r="A369" s="122" t="s">
        <v>4060</v>
      </c>
      <c r="B369" s="122" t="n">
        <f aca="false">L367</f>
        <v>167373.024</v>
      </c>
      <c r="C369" s="905"/>
      <c r="D369" s="905"/>
      <c r="E369" s="905"/>
      <c r="F369" s="905"/>
      <c r="G369" s="905"/>
      <c r="H369" s="905"/>
      <c r="I369" s="905"/>
      <c r="J369" s="905"/>
      <c r="K369" s="905"/>
      <c r="L369" s="1702"/>
      <c r="M369" s="2273"/>
    </row>
    <row r="370" customFormat="false" ht="15.5" hidden="false" customHeight="false" outlineLevel="1" collapsed="false">
      <c r="A370" s="122" t="s">
        <v>4061</v>
      </c>
      <c r="B370" s="122" t="n">
        <f aca="false">SUM(B368:B369)*B371</f>
        <v>0</v>
      </c>
      <c r="C370" s="905"/>
      <c r="D370" s="905"/>
      <c r="E370" s="905"/>
      <c r="F370" s="905"/>
      <c r="G370" s="905"/>
      <c r="H370" s="905"/>
      <c r="I370" s="905"/>
      <c r="J370" s="905"/>
      <c r="K370" s="905"/>
      <c r="L370" s="1702"/>
      <c r="M370" s="2273"/>
    </row>
    <row r="371" customFormat="false" ht="15.5" hidden="false" customHeight="false" outlineLevel="0" collapsed="false">
      <c r="A371" s="2299" t="s">
        <v>4062</v>
      </c>
      <c r="B371" s="2331"/>
      <c r="C371" s="2148" t="s">
        <v>3663</v>
      </c>
      <c r="D371" s="2148"/>
      <c r="E371" s="2148"/>
      <c r="F371" s="2148"/>
      <c r="G371" s="2273"/>
      <c r="H371" s="2273"/>
      <c r="I371" s="2273"/>
      <c r="J371" s="2273"/>
      <c r="K371" s="2297"/>
      <c r="L371" s="1702"/>
      <c r="M371" s="2273"/>
    </row>
    <row r="372" customFormat="false" ht="15.5" hidden="false" customHeight="false" outlineLevel="0" collapsed="false">
      <c r="A372" s="905"/>
      <c r="B372" s="2294"/>
      <c r="C372" s="2294"/>
      <c r="D372" s="2273"/>
      <c r="E372" s="2297"/>
      <c r="F372" s="1702"/>
      <c r="G372" s="2273"/>
      <c r="H372" s="2273"/>
      <c r="I372" s="2273"/>
      <c r="J372" s="2273"/>
      <c r="K372" s="2297"/>
      <c r="L372" s="1702"/>
      <c r="M372" s="2273"/>
    </row>
    <row r="373" customFormat="false" ht="14.5" hidden="false" customHeight="false" outlineLevel="1" collapsed="false">
      <c r="A373" s="2335" t="s">
        <v>2145</v>
      </c>
      <c r="B373" s="2335"/>
      <c r="C373" s="2335"/>
      <c r="D373" s="2335"/>
      <c r="E373" s="2335"/>
      <c r="F373" s="2335"/>
      <c r="G373" s="2335"/>
      <c r="H373" s="2335"/>
      <c r="I373" s="2335"/>
      <c r="J373" s="2273"/>
      <c r="K373" s="2297"/>
      <c r="L373" s="1702"/>
      <c r="M373" s="2273"/>
    </row>
    <row r="374" customFormat="false" ht="14.5" hidden="false" customHeight="false" outlineLevel="1" collapsed="false">
      <c r="A374" s="2335"/>
      <c r="B374" s="2335"/>
      <c r="C374" s="2335"/>
      <c r="D374" s="2335"/>
      <c r="E374" s="2335"/>
      <c r="F374" s="2335"/>
      <c r="G374" s="2335"/>
      <c r="H374" s="2335"/>
      <c r="I374" s="2335"/>
      <c r="J374" s="2273"/>
      <c r="K374" s="2297"/>
      <c r="L374" s="1702"/>
      <c r="M374" s="2273"/>
    </row>
    <row r="375" customFormat="false" ht="23.5" hidden="false" customHeight="false" outlineLevel="1" collapsed="false">
      <c r="A375" s="2336" t="s">
        <v>1806</v>
      </c>
      <c r="B375" s="2336"/>
      <c r="C375" s="2336"/>
      <c r="D375" s="2336"/>
      <c r="E375" s="2336"/>
      <c r="F375" s="2336"/>
      <c r="G375" s="2187" t="n">
        <f aca="false">'Ввод данных'!D718</f>
        <v>1.1</v>
      </c>
      <c r="H375" s="2328" t="n">
        <f aca="false">'Ввод данных'!D719</f>
        <v>1.05</v>
      </c>
      <c r="I375" s="2328"/>
      <c r="J375" s="2273"/>
      <c r="K375" s="2297"/>
      <c r="L375" s="1702"/>
      <c r="M375" s="2273"/>
    </row>
    <row r="376" customFormat="false" ht="23.5" hidden="false" customHeight="false" outlineLevel="1" collapsed="false">
      <c r="A376" s="2336"/>
      <c r="B376" s="2336"/>
      <c r="C376" s="2336"/>
      <c r="D376" s="2336"/>
      <c r="E376" s="2336"/>
      <c r="F376" s="2336"/>
      <c r="G376" s="2153"/>
      <c r="H376" s="2328"/>
      <c r="I376" s="2328"/>
      <c r="J376" s="2273"/>
      <c r="K376" s="2297"/>
      <c r="L376" s="1702"/>
      <c r="M376" s="2273"/>
    </row>
    <row r="377" customFormat="false" ht="15.5" hidden="false" customHeight="false" outlineLevel="1" collapsed="false">
      <c r="A377" s="2337" t="s">
        <v>1236</v>
      </c>
      <c r="B377" s="2313" t="s">
        <v>208</v>
      </c>
      <c r="C377" s="2314" t="s">
        <v>4048</v>
      </c>
      <c r="D377" s="2314"/>
      <c r="E377" s="2314"/>
      <c r="F377" s="2313" t="s">
        <v>4049</v>
      </c>
      <c r="G377" s="2273"/>
      <c r="H377" s="2273"/>
      <c r="I377" s="2273"/>
      <c r="J377" s="2273"/>
      <c r="K377" s="2297"/>
      <c r="L377" s="1702"/>
      <c r="M377" s="2273"/>
    </row>
    <row r="378" customFormat="false" ht="15.5" hidden="false" customHeight="false" outlineLevel="1" collapsed="false">
      <c r="A378" s="2154" t="s">
        <v>1172</v>
      </c>
      <c r="B378" s="2154" t="s">
        <v>154</v>
      </c>
      <c r="C378" s="2338" t="n">
        <f aca="false">'Ввод данных'!C756</f>
        <v>4</v>
      </c>
      <c r="D378" s="2184"/>
      <c r="E378" s="2184"/>
      <c r="F378" s="905"/>
      <c r="G378" s="2273"/>
      <c r="H378" s="1290" t="s">
        <v>1172</v>
      </c>
      <c r="I378" s="1328" t="s">
        <v>154</v>
      </c>
      <c r="J378" s="2339" t="n">
        <v>6</v>
      </c>
      <c r="K378" s="2297"/>
      <c r="L378" s="1702"/>
      <c r="M378" s="2273"/>
    </row>
    <row r="379" customFormat="false" ht="15.5" hidden="false" customHeight="false" outlineLevel="1" collapsed="false">
      <c r="A379" s="2162" t="s">
        <v>2147</v>
      </c>
      <c r="B379" s="2154" t="s">
        <v>156</v>
      </c>
      <c r="C379" s="2338" t="n">
        <f aca="false">'Ввод данных'!C722</f>
        <v>0.3</v>
      </c>
      <c r="D379" s="2273"/>
      <c r="E379" s="2273"/>
      <c r="F379" s="2273"/>
      <c r="G379" s="2273"/>
      <c r="H379" s="548" t="s">
        <v>2147</v>
      </c>
      <c r="I379" s="2340" t="s">
        <v>156</v>
      </c>
      <c r="J379" s="2341" t="n">
        <v>0.3</v>
      </c>
      <c r="K379" s="2297"/>
      <c r="L379" s="1702"/>
      <c r="M379" s="2273"/>
    </row>
    <row r="380" customFormat="false" ht="15.5" hidden="false" customHeight="false" outlineLevel="1" collapsed="false">
      <c r="A380" s="261" t="s">
        <v>2148</v>
      </c>
      <c r="B380" s="122" t="s">
        <v>156</v>
      </c>
      <c r="C380" s="2338" t="n">
        <f aca="false">'Ввод данных'!C723</f>
        <v>0.3</v>
      </c>
      <c r="D380" s="2273"/>
      <c r="E380" s="2273"/>
      <c r="F380" s="2273"/>
      <c r="G380" s="2273"/>
      <c r="H380" s="548" t="s">
        <v>2148</v>
      </c>
      <c r="I380" s="980" t="s">
        <v>156</v>
      </c>
      <c r="J380" s="2342" t="n">
        <v>0.3</v>
      </c>
      <c r="K380" s="2297"/>
      <c r="L380" s="1702"/>
      <c r="M380" s="2273"/>
    </row>
    <row r="381" customFormat="false" ht="15.5" hidden="false" customHeight="false" outlineLevel="1" collapsed="false">
      <c r="A381" s="261" t="s">
        <v>2149</v>
      </c>
      <c r="B381" s="122" t="s">
        <v>156</v>
      </c>
      <c r="C381" s="2338" t="n">
        <f aca="false">'Ввод данных'!C724</f>
        <v>0.3</v>
      </c>
      <c r="D381" s="2273"/>
      <c r="E381" s="2273"/>
      <c r="F381" s="2273"/>
      <c r="G381" s="2273"/>
      <c r="H381" s="548" t="s">
        <v>2149</v>
      </c>
      <c r="I381" s="980" t="s">
        <v>156</v>
      </c>
      <c r="J381" s="2342" t="n">
        <v>0.4</v>
      </c>
      <c r="K381" s="2297"/>
      <c r="L381" s="1702"/>
      <c r="M381" s="2273"/>
    </row>
    <row r="382" customFormat="false" ht="15.5" hidden="false" customHeight="false" outlineLevel="1" collapsed="false">
      <c r="A382" s="261" t="s">
        <v>2150</v>
      </c>
      <c r="B382" s="122" t="s">
        <v>156</v>
      </c>
      <c r="C382" s="2338" t="n">
        <f aca="false">'Ввод данных'!C725</f>
        <v>0.3</v>
      </c>
      <c r="D382" s="2273"/>
      <c r="E382" s="2273"/>
      <c r="F382" s="2273"/>
      <c r="G382" s="2273"/>
      <c r="H382" s="548" t="s">
        <v>2150</v>
      </c>
      <c r="I382" s="980" t="s">
        <v>156</v>
      </c>
      <c r="J382" s="2342" t="n">
        <v>0.3</v>
      </c>
      <c r="K382" s="2297"/>
      <c r="L382" s="1702"/>
      <c r="M382" s="2273"/>
    </row>
    <row r="383" customFormat="false" ht="15.5" hidden="false" customHeight="false" outlineLevel="1" collapsed="false">
      <c r="A383" s="261" t="s">
        <v>2151</v>
      </c>
      <c r="B383" s="122" t="s">
        <v>156</v>
      </c>
      <c r="C383" s="2338" t="n">
        <f aca="false">'Ввод данных'!C726</f>
        <v>0.4</v>
      </c>
      <c r="D383" s="2273"/>
      <c r="E383" s="2273"/>
      <c r="F383" s="2273"/>
      <c r="G383" s="2273"/>
      <c r="H383" s="548" t="s">
        <v>2151</v>
      </c>
      <c r="I383" s="980" t="s">
        <v>156</v>
      </c>
      <c r="J383" s="2342" t="n">
        <v>0.6</v>
      </c>
      <c r="K383" s="2297"/>
      <c r="L383" s="1702"/>
      <c r="M383" s="2273"/>
    </row>
    <row r="384" customFormat="false" ht="15.5" hidden="false" customHeight="false" outlineLevel="1" collapsed="false">
      <c r="A384" s="261" t="s">
        <v>2227</v>
      </c>
      <c r="B384" s="122" t="s">
        <v>156</v>
      </c>
      <c r="C384" s="2338" t="n">
        <f aca="false">'Ввод данных'!C730</f>
        <v>0</v>
      </c>
      <c r="D384" s="2273"/>
      <c r="E384" s="2273"/>
      <c r="F384" s="2273"/>
      <c r="G384" s="2273"/>
      <c r="H384" s="548" t="s">
        <v>2227</v>
      </c>
      <c r="I384" s="980" t="s">
        <v>156</v>
      </c>
      <c r="J384" s="2342" t="n">
        <v>0.04</v>
      </c>
      <c r="K384" s="2297"/>
      <c r="L384" s="1702"/>
      <c r="M384" s="2273"/>
    </row>
    <row r="385" customFormat="false" ht="15.5" hidden="false" customHeight="false" outlineLevel="1" collapsed="false">
      <c r="A385" s="261" t="s">
        <v>2228</v>
      </c>
      <c r="B385" s="122" t="s">
        <v>159</v>
      </c>
      <c r="C385" s="2338" t="n">
        <f aca="false">'Ввод данных'!C732</f>
        <v>6</v>
      </c>
      <c r="D385" s="2273"/>
      <c r="E385" s="2273"/>
      <c r="F385" s="2273"/>
      <c r="G385" s="2273"/>
      <c r="H385" s="548" t="s">
        <v>2228</v>
      </c>
      <c r="I385" s="980" t="s">
        <v>159</v>
      </c>
      <c r="J385" s="2342" t="n">
        <v>6</v>
      </c>
      <c r="K385" s="2297"/>
      <c r="L385" s="1702"/>
      <c r="M385" s="2273"/>
    </row>
    <row r="386" customFormat="false" ht="15.5" hidden="false" customHeight="false" outlineLevel="1" collapsed="false">
      <c r="A386" s="87" t="s">
        <v>4050</v>
      </c>
      <c r="B386" s="122" t="s">
        <v>156</v>
      </c>
      <c r="C386" s="89" t="n">
        <f aca="false">C330</f>
        <v>56</v>
      </c>
      <c r="D386" s="2273"/>
      <c r="E386" s="2273"/>
      <c r="F386" s="2273"/>
      <c r="G386" s="2273"/>
      <c r="H386" s="932" t="s">
        <v>163</v>
      </c>
      <c r="I386" s="980" t="s">
        <v>154</v>
      </c>
      <c r="J386" s="2342" t="n">
        <v>4</v>
      </c>
      <c r="K386" s="2297"/>
      <c r="L386" s="1702"/>
      <c r="M386" s="2273"/>
    </row>
    <row r="387" customFormat="false" ht="15.5" hidden="false" customHeight="false" outlineLevel="1" collapsed="false">
      <c r="A387" s="87" t="s">
        <v>4051</v>
      </c>
      <c r="B387" s="122" t="s">
        <v>135</v>
      </c>
      <c r="C387" s="89" t="n">
        <f aca="false">C386*(C379+C380)*C381</f>
        <v>10.08</v>
      </c>
      <c r="D387" s="2273"/>
      <c r="E387" s="2273"/>
      <c r="F387" s="2273"/>
      <c r="G387" s="2273"/>
      <c r="H387" s="1282" t="s">
        <v>4052</v>
      </c>
      <c r="I387" s="980" t="s">
        <v>1820</v>
      </c>
      <c r="J387" s="2342"/>
      <c r="K387" s="2297"/>
      <c r="L387" s="1702"/>
      <c r="M387" s="2273"/>
    </row>
    <row r="388" customFormat="false" ht="15.5" hidden="false" customHeight="false" outlineLevel="1" collapsed="false">
      <c r="A388" s="87" t="s">
        <v>4052</v>
      </c>
      <c r="B388" s="122" t="s">
        <v>133</v>
      </c>
      <c r="C388" s="89" t="n">
        <f aca="false">C332</f>
        <v>24</v>
      </c>
      <c r="D388" s="2331" t="n">
        <f aca="false">D332</f>
        <v>0</v>
      </c>
      <c r="E388" s="2273"/>
      <c r="F388" s="2273"/>
      <c r="G388" s="2273"/>
      <c r="H388" s="932" t="s">
        <v>4053</v>
      </c>
      <c r="I388" s="980" t="s">
        <v>156</v>
      </c>
      <c r="J388" s="2342" t="n">
        <v>0.1</v>
      </c>
      <c r="K388" s="2297"/>
      <c r="L388" s="1702"/>
      <c r="M388" s="2273"/>
    </row>
    <row r="389" customFormat="false" ht="15.5" hidden="false" customHeight="false" outlineLevel="1" collapsed="false">
      <c r="A389" s="87" t="s">
        <v>4063</v>
      </c>
      <c r="B389" s="122" t="s">
        <v>156</v>
      </c>
      <c r="C389" s="2330" t="n">
        <f aca="false">'Ввод данных'!C737</f>
        <v>0</v>
      </c>
      <c r="D389" s="2072"/>
      <c r="E389" s="2273"/>
      <c r="F389" s="2273"/>
      <c r="G389" s="2273"/>
      <c r="H389" s="932" t="s">
        <v>2157</v>
      </c>
      <c r="I389" s="980" t="s">
        <v>156</v>
      </c>
      <c r="J389" s="2342" t="n">
        <v>10</v>
      </c>
      <c r="K389" s="2297"/>
      <c r="L389" s="1702"/>
      <c r="M389" s="2273"/>
    </row>
    <row r="390" customFormat="false" ht="15.5" hidden="false" customHeight="false" outlineLevel="1" collapsed="false">
      <c r="A390" s="87" t="s">
        <v>2157</v>
      </c>
      <c r="B390" s="122" t="s">
        <v>1802</v>
      </c>
      <c r="C390" s="2330" t="n">
        <f aca="false">'Ввод данных'!C735</f>
        <v>10</v>
      </c>
      <c r="D390" s="2072"/>
      <c r="E390" s="2273"/>
      <c r="F390" s="2273"/>
      <c r="G390" s="2273"/>
      <c r="H390" s="1557" t="s">
        <v>3623</v>
      </c>
      <c r="I390" s="1328" t="s">
        <v>159</v>
      </c>
      <c r="J390" s="2343" t="n">
        <v>1</v>
      </c>
      <c r="K390" s="2273"/>
      <c r="L390" s="2273"/>
      <c r="M390" s="2273"/>
    </row>
    <row r="391" customFormat="false" ht="15.5" hidden="false" customHeight="false" outlineLevel="1" collapsed="false">
      <c r="A391" s="87" t="s">
        <v>163</v>
      </c>
      <c r="B391" s="122" t="s">
        <v>154</v>
      </c>
      <c r="C391" s="2330" t="e">
        <f aca="false">'ввод данных'!#ref!</f>
        <v>#VALUE!</v>
      </c>
      <c r="D391" s="2072"/>
      <c r="E391" s="2273"/>
      <c r="F391" s="2273"/>
      <c r="G391" s="2273"/>
      <c r="H391" s="1955" t="s">
        <v>3625</v>
      </c>
      <c r="I391" s="2344" t="s">
        <v>159</v>
      </c>
      <c r="J391" s="2345" t="n">
        <v>2</v>
      </c>
      <c r="K391" s="2273"/>
      <c r="L391" s="2273"/>
      <c r="M391" s="2273"/>
    </row>
    <row r="392" customFormat="false" ht="15.5" hidden="false" customHeight="false" outlineLevel="1" collapsed="false">
      <c r="A392" s="2346" t="s">
        <v>4064</v>
      </c>
      <c r="B392" s="2346"/>
      <c r="C392" s="2346"/>
      <c r="D392" s="2347" t="n">
        <f aca="false">VLOOKUP('Ввод данных'!C739,связи1!A2:B3,2,0)</f>
        <v>1</v>
      </c>
      <c r="E392" s="2273"/>
      <c r="F392" s="2273"/>
      <c r="G392" s="2273"/>
      <c r="H392" s="2348" t="s">
        <v>4064</v>
      </c>
      <c r="I392" s="980" t="s">
        <v>1820</v>
      </c>
      <c r="J392" s="2349" t="n">
        <v>0</v>
      </c>
      <c r="K392" s="2297"/>
      <c r="L392" s="1702"/>
      <c r="M392" s="2273"/>
    </row>
    <row r="393" customFormat="false" ht="15.5" hidden="false" customHeight="false" outlineLevel="1" collapsed="false">
      <c r="A393" s="122" t="s">
        <v>4065</v>
      </c>
      <c r="B393" s="122" t="s">
        <v>159</v>
      </c>
      <c r="C393" s="89" t="n">
        <f aca="false">CEILING(B264*D392,1)</f>
        <v>25</v>
      </c>
      <c r="D393" s="2072"/>
      <c r="E393" s="2273"/>
      <c r="F393" s="2273"/>
      <c r="G393" s="2273"/>
      <c r="H393" s="2350" t="s">
        <v>2160</v>
      </c>
      <c r="I393" s="2351" t="s">
        <v>1322</v>
      </c>
      <c r="J393" s="2352" t="n">
        <v>0.4</v>
      </c>
      <c r="K393" s="2297"/>
      <c r="L393" s="1702"/>
      <c r="M393" s="2273"/>
    </row>
    <row r="394" customFormat="false" ht="15.5" hidden="false" customHeight="false" outlineLevel="1" collapsed="false">
      <c r="A394" s="122" t="s">
        <v>2160</v>
      </c>
      <c r="B394" s="122" t="s">
        <v>1322</v>
      </c>
      <c r="C394" s="2338" t="n">
        <f aca="false">'Ввод данных'!C740*D392</f>
        <v>0.3</v>
      </c>
      <c r="D394" s="2072"/>
      <c r="E394" s="2273"/>
      <c r="F394" s="2273"/>
      <c r="G394" s="2273"/>
      <c r="H394" s="2350" t="s">
        <v>2161</v>
      </c>
      <c r="I394" s="2351" t="s">
        <v>1322</v>
      </c>
      <c r="J394" s="2352" t="n">
        <v>2</v>
      </c>
      <c r="K394" s="2297"/>
      <c r="L394" s="1702"/>
      <c r="M394" s="2273"/>
    </row>
    <row r="395" customFormat="false" ht="15.5" hidden="false" customHeight="false" outlineLevel="1" collapsed="false">
      <c r="A395" s="122" t="s">
        <v>2161</v>
      </c>
      <c r="B395" s="122" t="s">
        <v>1322</v>
      </c>
      <c r="C395" s="2338" t="n">
        <f aca="false">'Ввод данных'!C741*D392</f>
        <v>3</v>
      </c>
      <c r="D395" s="2072"/>
      <c r="E395" s="2273"/>
      <c r="F395" s="2273"/>
      <c r="G395" s="2273"/>
      <c r="H395" s="2182" t="s">
        <v>3623</v>
      </c>
      <c r="I395" s="2353" t="s">
        <v>159</v>
      </c>
      <c r="J395" s="2118" t="n">
        <v>1</v>
      </c>
      <c r="K395" s="2297"/>
      <c r="L395" s="1702"/>
      <c r="M395" s="2273"/>
    </row>
    <row r="396" customFormat="false" ht="15.5" hidden="false" customHeight="false" outlineLevel="1" collapsed="false">
      <c r="A396" s="122" t="s">
        <v>4066</v>
      </c>
      <c r="B396" s="122" t="s">
        <v>135</v>
      </c>
      <c r="C396" s="89" t="n">
        <f aca="false">3.14*(C394/2)*(C394/2)*C395*C393*D392</f>
        <v>5.29875</v>
      </c>
      <c r="D396" s="2072"/>
      <c r="E396" s="2273"/>
      <c r="F396" s="2273"/>
      <c r="G396" s="2273"/>
      <c r="H396" s="405" t="s">
        <v>3625</v>
      </c>
      <c r="I396" s="2354" t="s">
        <v>1802</v>
      </c>
      <c r="J396" s="2355" t="n">
        <v>3</v>
      </c>
      <c r="K396" s="2297"/>
      <c r="L396" s="1702"/>
      <c r="M396" s="2273"/>
    </row>
    <row r="397" customFormat="false" ht="29" hidden="false" customHeight="false" outlineLevel="1" collapsed="false">
      <c r="A397" s="90" t="s">
        <v>3623</v>
      </c>
      <c r="B397" s="122" t="s">
        <v>159</v>
      </c>
      <c r="C397" s="2203" t="e">
        <f aca="false">VLOOKUP('Ввод данных'!C762,связи1!A2:B3,2,0)*D392</f>
        <v>#N/A</v>
      </c>
      <c r="D397" s="2072"/>
      <c r="E397" s="2273"/>
      <c r="F397" s="2273"/>
      <c r="G397" s="2273"/>
      <c r="H397" s="2356" t="s">
        <v>2163</v>
      </c>
      <c r="I397" s="980" t="s">
        <v>1820</v>
      </c>
      <c r="J397" s="2357"/>
      <c r="K397" s="2297"/>
      <c r="L397" s="1702"/>
      <c r="M397" s="2273"/>
    </row>
    <row r="398" customFormat="false" ht="15.5" hidden="false" customHeight="false" outlineLevel="1" collapsed="false">
      <c r="A398" s="1131" t="s">
        <v>3625</v>
      </c>
      <c r="B398" s="289" t="s">
        <v>159</v>
      </c>
      <c r="C398" s="2203" t="e">
        <f aca="false">'ввод данных'!#ref!*D392</f>
        <v>#VALUE!</v>
      </c>
      <c r="D398" s="2072"/>
      <c r="E398" s="2273"/>
      <c r="F398" s="2273"/>
      <c r="G398" s="2273"/>
      <c r="H398" s="932" t="s">
        <v>2165</v>
      </c>
      <c r="I398" s="980" t="s">
        <v>156</v>
      </c>
      <c r="J398" s="2023" t="n">
        <v>0.8</v>
      </c>
      <c r="K398" s="2297"/>
      <c r="L398" s="1702"/>
      <c r="M398" s="2273"/>
    </row>
    <row r="399" customFormat="false" ht="15.5" hidden="false" customHeight="false" outlineLevel="1" collapsed="false">
      <c r="A399" s="2358" t="s">
        <v>2163</v>
      </c>
      <c r="B399" s="2358"/>
      <c r="C399" s="2358"/>
      <c r="D399" s="2273"/>
      <c r="E399" s="2297"/>
      <c r="F399" s="1702"/>
      <c r="G399" s="2273"/>
      <c r="H399" s="932" t="s">
        <v>2166</v>
      </c>
      <c r="I399" s="980" t="s">
        <v>156</v>
      </c>
      <c r="J399" s="2023" t="n">
        <v>0.1</v>
      </c>
      <c r="K399" s="2273"/>
      <c r="L399" s="2273"/>
      <c r="M399" s="2273"/>
    </row>
    <row r="400" customFormat="false" ht="15.5" hidden="false" customHeight="false" outlineLevel="1" collapsed="false">
      <c r="A400" s="122" t="s">
        <v>2165</v>
      </c>
      <c r="B400" s="122" t="s">
        <v>156</v>
      </c>
      <c r="C400" s="2338" t="n">
        <f aca="false">'Ввод данных'!C746</f>
        <v>0.8</v>
      </c>
      <c r="D400" s="2331" t="n">
        <f aca="false">VLOOKUP('Ввод данных'!C745,связи1!A2:B3,2,0)</f>
        <v>0</v>
      </c>
      <c r="E400" s="2333"/>
      <c r="F400" s="1702"/>
      <c r="G400" s="2273"/>
      <c r="H400" s="932" t="s">
        <v>4055</v>
      </c>
      <c r="I400" s="980" t="s">
        <v>156</v>
      </c>
      <c r="J400" s="2023" t="n">
        <v>0.05</v>
      </c>
      <c r="K400" s="2273"/>
      <c r="L400" s="2273"/>
      <c r="M400" s="2273"/>
    </row>
    <row r="401" customFormat="false" ht="15.5" hidden="false" customHeight="false" outlineLevel="1" collapsed="false">
      <c r="A401" s="122" t="s">
        <v>4054</v>
      </c>
      <c r="B401" s="122" t="s">
        <v>133</v>
      </c>
      <c r="C401" s="89" t="n">
        <f aca="false">((E3+C400+C400)*2*C400+E4*C400*2+E132*(D139+D140*2-D139)*C400+D172*(C178+C179*2+C180*2*D180-C184)*C400+D220*(C226+C227*2-C226)*C400)*D400</f>
        <v>0</v>
      </c>
      <c r="D401" s="2072"/>
      <c r="E401" s="2333"/>
      <c r="F401" s="1702"/>
      <c r="G401" s="2273"/>
      <c r="H401" s="933" t="s">
        <v>2167</v>
      </c>
      <c r="I401" s="980" t="s">
        <v>156</v>
      </c>
      <c r="J401" s="2359" t="n">
        <v>0.2</v>
      </c>
      <c r="K401" s="2273"/>
      <c r="L401" s="2273"/>
      <c r="M401" s="2273"/>
    </row>
    <row r="402" customFormat="false" ht="15.5" hidden="false" customHeight="false" outlineLevel="1" collapsed="false">
      <c r="A402" s="122" t="s">
        <v>2166</v>
      </c>
      <c r="B402" s="122" t="s">
        <v>156</v>
      </c>
      <c r="C402" s="2338" t="n">
        <f aca="false">'Ввод данных'!C747</f>
        <v>0.1</v>
      </c>
      <c r="D402" s="2273"/>
      <c r="E402" s="2297"/>
      <c r="F402" s="1702"/>
      <c r="G402" s="2273"/>
      <c r="H402" s="933" t="s">
        <v>2168</v>
      </c>
      <c r="I402" s="980" t="s">
        <v>156</v>
      </c>
      <c r="J402" s="2023" t="n">
        <v>0.8</v>
      </c>
      <c r="K402" s="2273"/>
      <c r="L402" s="2273"/>
      <c r="M402" s="2273"/>
    </row>
    <row r="403" customFormat="false" ht="15.5" hidden="false" customHeight="false" outlineLevel="1" collapsed="false">
      <c r="A403" s="122" t="s">
        <v>2198</v>
      </c>
      <c r="B403" s="122" t="s">
        <v>156</v>
      </c>
      <c r="C403" s="2338" t="str">
        <f aca="false">'Ввод данных'!C752</f>
        <v>Тип коллектора</v>
      </c>
      <c r="D403" s="2331" t="n">
        <v>1</v>
      </c>
      <c r="E403" s="2273"/>
      <c r="F403" s="1702"/>
      <c r="G403" s="2273"/>
      <c r="H403" s="2273"/>
      <c r="I403" s="2273"/>
      <c r="J403" s="2273"/>
      <c r="K403" s="2273"/>
      <c r="L403" s="2273"/>
      <c r="M403" s="2273"/>
    </row>
    <row r="404" customFormat="false" ht="15.5" hidden="false" customHeight="false" outlineLevel="1" collapsed="false">
      <c r="A404" s="122" t="s">
        <v>2167</v>
      </c>
      <c r="B404" s="122" t="s">
        <v>156</v>
      </c>
      <c r="C404" s="2338" t="n">
        <f aca="false">'Ввод данных'!C748</f>
        <v>0.2</v>
      </c>
      <c r="D404" s="2331" t="n">
        <v>1</v>
      </c>
      <c r="E404" s="2297"/>
      <c r="F404" s="1702"/>
      <c r="G404" s="2273"/>
      <c r="H404" s="2273"/>
      <c r="I404" s="2273"/>
      <c r="J404" s="2273"/>
      <c r="K404" s="2273"/>
      <c r="L404" s="2273"/>
      <c r="M404" s="2273"/>
    </row>
    <row r="405" customFormat="false" ht="15.5" hidden="false" customHeight="false" outlineLevel="1" collapsed="false">
      <c r="A405" s="122" t="s">
        <v>2168</v>
      </c>
      <c r="B405" s="122" t="s">
        <v>156</v>
      </c>
      <c r="C405" s="2338" t="n">
        <f aca="false">'Ввод данных'!C749</f>
        <v>0.8</v>
      </c>
      <c r="D405" s="2273"/>
      <c r="E405" s="2297"/>
      <c r="F405" s="1702"/>
      <c r="G405" s="2273"/>
      <c r="H405" s="2273"/>
      <c r="I405" s="2273"/>
      <c r="J405" s="2273"/>
      <c r="K405" s="2273"/>
      <c r="L405" s="2273"/>
      <c r="M405" s="2273"/>
    </row>
    <row r="406" customFormat="false" ht="15.5" hidden="false" customHeight="false" outlineLevel="1" collapsed="false">
      <c r="A406" s="122" t="s">
        <v>4056</v>
      </c>
      <c r="B406" s="122" t="s">
        <v>135</v>
      </c>
      <c r="C406" s="89" t="n">
        <f aca="false">C401*C402</f>
        <v>0</v>
      </c>
      <c r="D406" s="2273"/>
      <c r="E406" s="2297"/>
      <c r="F406" s="1702"/>
      <c r="G406" s="2273"/>
      <c r="H406" s="2273"/>
      <c r="I406" s="2273"/>
      <c r="J406" s="2273"/>
      <c r="K406" s="2273"/>
      <c r="L406" s="2273"/>
      <c r="M406" s="2273"/>
    </row>
    <row r="407" customFormat="false" ht="15.5" hidden="false" customHeight="false" outlineLevel="1" collapsed="false">
      <c r="A407" s="2360" t="s">
        <v>2720</v>
      </c>
      <c r="B407" s="2360"/>
      <c r="C407" s="2360"/>
      <c r="D407" s="2360"/>
      <c r="E407" s="2360"/>
      <c r="F407" s="2294"/>
      <c r="G407" s="2360" t="s">
        <v>1409</v>
      </c>
      <c r="H407" s="2360"/>
      <c r="I407" s="2360"/>
      <c r="J407" s="2360"/>
      <c r="K407" s="2360"/>
      <c r="L407" s="2360"/>
      <c r="M407" s="2273"/>
    </row>
    <row r="408" customFormat="false" ht="15.5" hidden="false" customHeight="false" outlineLevel="1" collapsed="false">
      <c r="A408" s="2361"/>
      <c r="B408" s="289" t="s">
        <v>120</v>
      </c>
      <c r="C408" s="289" t="s">
        <v>1802</v>
      </c>
      <c r="D408" s="289" t="s">
        <v>1601</v>
      </c>
      <c r="E408" s="289" t="s">
        <v>2722</v>
      </c>
      <c r="F408" s="905"/>
      <c r="G408" s="2314"/>
      <c r="H408" s="2314"/>
      <c r="I408" s="289" t="s">
        <v>120</v>
      </c>
      <c r="J408" s="289" t="s">
        <v>1802</v>
      </c>
      <c r="K408" s="289" t="s">
        <v>1601</v>
      </c>
      <c r="L408" s="122" t="s">
        <v>2722</v>
      </c>
      <c r="M408" s="2273"/>
    </row>
    <row r="409" customFormat="false" ht="15.5" hidden="false" customHeight="false" outlineLevel="1" collapsed="false">
      <c r="A409" s="122" t="str">
        <f aca="false">'Прайс лист'!B182</f>
        <v>Экскаватор погрузчик, бурение</v>
      </c>
      <c r="B409" s="122" t="s">
        <v>159</v>
      </c>
      <c r="C409" s="122" t="n">
        <f aca="false">C393*G375*D392*C395</f>
        <v>82.5</v>
      </c>
      <c r="D409" s="122" t="n">
        <f aca="false">'Прайс лист'!G182</f>
        <v>300</v>
      </c>
      <c r="E409" s="122" t="n">
        <f aca="false">C409*D409</f>
        <v>24750</v>
      </c>
      <c r="F409" s="122"/>
      <c r="G409" s="2182" t="str">
        <f aca="false">'Прайс лист'!B1631</f>
        <v>приемка бетона</v>
      </c>
      <c r="H409" s="2183"/>
      <c r="I409" s="122" t="s">
        <v>135</v>
      </c>
      <c r="J409" s="122" t="n">
        <f aca="false">C396*D392*H375</f>
        <v>5.5636875</v>
      </c>
      <c r="K409" s="122" t="n">
        <f aca="false">'Прайс лист'!G1631</f>
        <v>1200</v>
      </c>
      <c r="L409" s="122" t="n">
        <f aca="false">J409*K409</f>
        <v>6676.425</v>
      </c>
      <c r="M409" s="2273"/>
    </row>
    <row r="410" customFormat="false" ht="15.5" hidden="false" customHeight="false" outlineLevel="1" collapsed="false">
      <c r="A410" s="122" t="str">
        <f aca="false">'Ввод данных'!A743</f>
        <v>Бетон, м300</v>
      </c>
      <c r="B410" s="122" t="s">
        <v>135</v>
      </c>
      <c r="C410" s="122" t="n">
        <f aca="false">C396*G375*D392</f>
        <v>5.828625</v>
      </c>
      <c r="D410" s="896" t="n">
        <f aca="false">VLOOKUP(A410,Бетон__м200,6,0)</f>
        <v>3000</v>
      </c>
      <c r="E410" s="122" t="n">
        <f aca="false">C410*D410</f>
        <v>17485.875</v>
      </c>
      <c r="F410" s="122"/>
      <c r="G410" s="2182" t="str">
        <f aca="false">'Прайс лист'!B1603</f>
        <v>армирование свай скелет из арматуры</v>
      </c>
      <c r="H410" s="2183"/>
      <c r="I410" s="122" t="s">
        <v>156</v>
      </c>
      <c r="J410" s="122" t="n">
        <f aca="false">C393*C395*D392*H375</f>
        <v>78.75</v>
      </c>
      <c r="K410" s="122" t="n">
        <f aca="false">'Прайс лист'!G1603</f>
        <v>500</v>
      </c>
      <c r="L410" s="122" t="n">
        <f aca="false">J410*K410</f>
        <v>39375</v>
      </c>
      <c r="M410" s="2273"/>
    </row>
    <row r="411" customFormat="false" ht="15.5" hidden="false" customHeight="false" outlineLevel="1" collapsed="false">
      <c r="A411" s="122" t="str">
        <f aca="false">'Прайс лист'!B216</f>
        <v>Арматурный скелет для свай</v>
      </c>
      <c r="B411" s="122" t="s">
        <v>156</v>
      </c>
      <c r="C411" s="122" t="n">
        <f aca="false">C409*C395*G375*D392</f>
        <v>272.25</v>
      </c>
      <c r="D411" s="122" t="n">
        <f aca="false">'Прайс лист'!G216</f>
        <v>500</v>
      </c>
      <c r="E411" s="122" t="n">
        <f aca="false">C411*D411</f>
        <v>136125</v>
      </c>
      <c r="F411" s="122"/>
      <c r="G411" s="2182" t="s">
        <v>4041</v>
      </c>
      <c r="H411" s="2183"/>
      <c r="I411" s="2154" t="s">
        <v>159</v>
      </c>
      <c r="J411" s="122" t="n">
        <f aca="false">J345</f>
        <v>1.05</v>
      </c>
      <c r="K411" s="122" t="n">
        <f aca="false">'Прайс лист'!G1616</f>
        <v>7000</v>
      </c>
      <c r="L411" s="122" t="n">
        <f aca="false">J411*K411</f>
        <v>7350</v>
      </c>
      <c r="M411" s="2273"/>
    </row>
    <row r="412" customFormat="false" ht="15.5" hidden="false" customHeight="false" outlineLevel="1" collapsed="false">
      <c r="A412" s="122" t="str">
        <f aca="false">A345</f>
        <v>Сосна влаж,150*40мм</v>
      </c>
      <c r="B412" s="122" t="str">
        <f aca="false">B345</f>
        <v>м3</v>
      </c>
      <c r="C412" s="122" t="n">
        <f aca="false">C345</f>
        <v>3.84384</v>
      </c>
      <c r="D412" s="122" t="n">
        <f aca="false">D345</f>
        <v>6500</v>
      </c>
      <c r="E412" s="122" t="n">
        <f aca="false">E345</f>
        <v>24984.96</v>
      </c>
      <c r="F412" s="122"/>
      <c r="G412" s="2182" t="s">
        <v>1431</v>
      </c>
      <c r="H412" s="2183"/>
      <c r="I412" s="122" t="s">
        <v>133</v>
      </c>
      <c r="J412" s="122" t="n">
        <f aca="false">J346</f>
        <v>70.56</v>
      </c>
      <c r="K412" s="122" t="n">
        <f aca="false">'Прайс лист'!G1617</f>
        <v>300</v>
      </c>
      <c r="L412" s="122" t="n">
        <f aca="false">J412*K412</f>
        <v>21168</v>
      </c>
      <c r="M412" s="2273"/>
    </row>
    <row r="413" customFormat="false" ht="15.5" hidden="false" customHeight="false" outlineLevel="1" collapsed="false">
      <c r="A413" s="122" t="str">
        <f aca="false">A346</f>
        <v>Пленка гидроизоляционная</v>
      </c>
      <c r="B413" s="122" t="str">
        <f aca="false">B346</f>
        <v>м2</v>
      </c>
      <c r="C413" s="122" t="n">
        <f aca="false">C346</f>
        <v>96.096</v>
      </c>
      <c r="D413" s="122" t="n">
        <f aca="false">D346</f>
        <v>15</v>
      </c>
      <c r="E413" s="122" t="n">
        <f aca="false">E346</f>
        <v>1441.44</v>
      </c>
      <c r="F413" s="905"/>
      <c r="G413" s="2182" t="s">
        <v>1432</v>
      </c>
      <c r="H413" s="2183"/>
      <c r="I413" s="122" t="s">
        <v>133</v>
      </c>
      <c r="J413" s="122" t="n">
        <f aca="false">J347</f>
        <v>74.088</v>
      </c>
      <c r="K413" s="122" t="n">
        <f aca="false">'Прайс лист'!G1618</f>
        <v>100</v>
      </c>
      <c r="L413" s="122" t="n">
        <f aca="false">J413*K413</f>
        <v>7408.8</v>
      </c>
      <c r="M413" s="2273"/>
    </row>
    <row r="414" customFormat="false" ht="15.5" hidden="false" customHeight="false" outlineLevel="1" collapsed="false">
      <c r="A414" s="122"/>
      <c r="B414" s="122"/>
      <c r="C414" s="122"/>
      <c r="D414" s="122"/>
      <c r="E414" s="122"/>
      <c r="F414" s="905"/>
      <c r="G414" s="2182" t="s">
        <v>1433</v>
      </c>
      <c r="H414" s="2183"/>
      <c r="I414" s="122" t="s">
        <v>133</v>
      </c>
      <c r="J414" s="122" t="n">
        <f aca="false">J348</f>
        <v>77.7924</v>
      </c>
      <c r="K414" s="122" t="n">
        <f aca="false">'Прайс лист'!G1619</f>
        <v>10</v>
      </c>
      <c r="L414" s="122" t="n">
        <f aca="false">J414*K414</f>
        <v>777.924</v>
      </c>
      <c r="M414" s="2273"/>
    </row>
    <row r="415" customFormat="false" ht="15.5" hidden="false" customHeight="false" outlineLevel="1" collapsed="false">
      <c r="A415" s="122" t="str">
        <f aca="false">A348</f>
        <v>Арматура стальная Ø 8</v>
      </c>
      <c r="B415" s="122" t="str">
        <f aca="false">B348</f>
        <v>м.п</v>
      </c>
      <c r="C415" s="122" t="n">
        <f aca="false">C348</f>
        <v>443.52</v>
      </c>
      <c r="D415" s="122" t="n">
        <f aca="false">D348</f>
        <v>16.037</v>
      </c>
      <c r="E415" s="122" t="n">
        <f aca="false">E348</f>
        <v>7112.73024</v>
      </c>
      <c r="F415" s="905"/>
      <c r="G415" s="2182"/>
      <c r="H415" s="2183"/>
      <c r="I415" s="122"/>
      <c r="J415" s="122"/>
      <c r="K415" s="122"/>
      <c r="L415" s="122"/>
      <c r="M415" s="2273"/>
    </row>
    <row r="416" customFormat="false" ht="15.5" hidden="false" customHeight="false" outlineLevel="1" collapsed="false">
      <c r="A416" s="122" t="str">
        <f aca="false">A349</f>
        <v>Арматура стальная Ø 6</v>
      </c>
      <c r="B416" s="122" t="str">
        <f aca="false">B349</f>
        <v>м.п</v>
      </c>
      <c r="C416" s="122" t="n">
        <f aca="false">C349</f>
        <v>304.92</v>
      </c>
      <c r="D416" s="122" t="n">
        <f aca="false">D349</f>
        <v>9.0132</v>
      </c>
      <c r="E416" s="122" t="n">
        <f aca="false">E349</f>
        <v>2748.304944</v>
      </c>
      <c r="F416" s="905"/>
      <c r="G416" s="2182" t="s">
        <v>4057</v>
      </c>
      <c r="H416" s="2183"/>
      <c r="I416" s="122" t="s">
        <v>1415</v>
      </c>
      <c r="J416" s="122" t="n">
        <f aca="false">J350</f>
        <v>423.36</v>
      </c>
      <c r="K416" s="122" t="n">
        <f aca="false">'Прайс лист'!G1601</f>
        <v>30</v>
      </c>
      <c r="L416" s="122" t="n">
        <f aca="false">J416*K416</f>
        <v>12700.8</v>
      </c>
      <c r="M416" s="2273"/>
    </row>
    <row r="417" customFormat="false" ht="15.5" hidden="false" customHeight="false" outlineLevel="1" collapsed="false">
      <c r="A417" s="122" t="str">
        <f aca="false">A350</f>
        <v>Вязальная проволока</v>
      </c>
      <c r="B417" s="122" t="str">
        <f aca="false">B350</f>
        <v>кг</v>
      </c>
      <c r="C417" s="122" t="n">
        <f aca="false">C350</f>
        <v>16.46568</v>
      </c>
      <c r="D417" s="122" t="n">
        <f aca="false">D350</f>
        <v>80</v>
      </c>
      <c r="E417" s="122" t="n">
        <f aca="false">E350</f>
        <v>1317.2544</v>
      </c>
      <c r="F417" s="905"/>
      <c r="G417" s="2182" t="s">
        <v>4057</v>
      </c>
      <c r="H417" s="2183"/>
      <c r="I417" s="122" t="s">
        <v>156</v>
      </c>
      <c r="J417" s="122" t="n">
        <f aca="false">J351</f>
        <v>194.04</v>
      </c>
      <c r="K417" s="122" t="n">
        <f aca="false">'Прайс лист'!G1602</f>
        <v>30</v>
      </c>
      <c r="L417" s="122" t="n">
        <f aca="false">J417*K417</f>
        <v>5821.2</v>
      </c>
      <c r="M417" s="2273"/>
    </row>
    <row r="418" customFormat="false" ht="15.5" hidden="false" customHeight="false" outlineLevel="1" collapsed="false">
      <c r="A418" s="122" t="str">
        <f aca="false">A351</f>
        <v>Гвозди строительные 3,5 x 90</v>
      </c>
      <c r="B418" s="122" t="str">
        <f aca="false">B351</f>
        <v>кг</v>
      </c>
      <c r="C418" s="122" t="n">
        <f aca="false">C351</f>
        <v>21.14112</v>
      </c>
      <c r="D418" s="122" t="n">
        <f aca="false">D351</f>
        <v>70</v>
      </c>
      <c r="E418" s="122" t="n">
        <f aca="false">E351</f>
        <v>1479.8784</v>
      </c>
      <c r="F418" s="905"/>
      <c r="G418" s="2182" t="s">
        <v>1438</v>
      </c>
      <c r="H418" s="2183"/>
      <c r="I418" s="122" t="s">
        <v>133</v>
      </c>
      <c r="J418" s="122" t="n">
        <f aca="false">J352</f>
        <v>17.64</v>
      </c>
      <c r="K418" s="122" t="n">
        <f aca="false">'Прайс лист'!G1626</f>
        <v>100</v>
      </c>
      <c r="L418" s="122" t="n">
        <f aca="false">J418*K418</f>
        <v>1764</v>
      </c>
      <c r="M418" s="2273"/>
    </row>
    <row r="419" customFormat="false" ht="15.5" hidden="false" customHeight="false" outlineLevel="1" collapsed="false">
      <c r="A419" s="122" t="str">
        <f aca="false">A352</f>
        <v>Гидроизол</v>
      </c>
      <c r="B419" s="122" t="str">
        <f aca="false">B352</f>
        <v>м2</v>
      </c>
      <c r="C419" s="122" t="n">
        <f aca="false">C352</f>
        <v>18.48</v>
      </c>
      <c r="D419" s="122" t="n">
        <f aca="false">D352</f>
        <v>70</v>
      </c>
      <c r="E419" s="122" t="n">
        <f aca="false">E352</f>
        <v>1293.6</v>
      </c>
      <c r="F419" s="905"/>
      <c r="G419" s="2182" t="s">
        <v>4058</v>
      </c>
      <c r="H419" s="2183"/>
      <c r="I419" s="122" t="s">
        <v>133</v>
      </c>
      <c r="J419" s="122" t="n">
        <f aca="false">J353</f>
        <v>18.522</v>
      </c>
      <c r="K419" s="122" t="n">
        <f aca="false">K423</f>
        <v>600</v>
      </c>
      <c r="L419" s="122" t="n">
        <f aca="false">J419*K419</f>
        <v>11113.2</v>
      </c>
      <c r="M419" s="2273"/>
    </row>
    <row r="420" customFormat="false" ht="15.5" hidden="false" customHeight="false" outlineLevel="1" collapsed="false">
      <c r="A420" s="122" t="str">
        <f aca="false">A353</f>
        <v>ПГС, машина 13м3</v>
      </c>
      <c r="B420" s="122" t="str">
        <f aca="false">B353</f>
        <v>маш</v>
      </c>
      <c r="C420" s="122" t="n">
        <f aca="false">C353</f>
        <v>0.616</v>
      </c>
      <c r="D420" s="122" t="n">
        <f aca="false">D353</f>
        <v>10000</v>
      </c>
      <c r="E420" s="122" t="n">
        <f aca="false">E353</f>
        <v>6160</v>
      </c>
      <c r="F420" s="905"/>
      <c r="G420" s="2182" t="s">
        <v>1443</v>
      </c>
      <c r="H420" s="2183"/>
      <c r="I420" s="122" t="s">
        <v>135</v>
      </c>
      <c r="J420" s="122" t="n">
        <f aca="false">J354</f>
        <v>10.584</v>
      </c>
      <c r="K420" s="122" t="n">
        <f aca="false">'Прайс лист'!G1631</f>
        <v>1200</v>
      </c>
      <c r="L420" s="122" t="n">
        <f aca="false">J420*K420</f>
        <v>12700.8</v>
      </c>
      <c r="M420" s="2273"/>
    </row>
    <row r="421" customFormat="false" ht="15.5" hidden="false" customHeight="false" outlineLevel="1" collapsed="false">
      <c r="A421" s="122" t="str">
        <f aca="false">A354</f>
        <v>Бетон, м250</v>
      </c>
      <c r="B421" s="122" t="str">
        <f aca="false">B354</f>
        <v>м3</v>
      </c>
      <c r="C421" s="122" t="n">
        <f aca="false">C354</f>
        <v>11.088</v>
      </c>
      <c r="D421" s="122" t="n">
        <f aca="false">D354</f>
        <v>2750</v>
      </c>
      <c r="E421" s="122" t="n">
        <f aca="false">E354</f>
        <v>30492</v>
      </c>
      <c r="F421" s="905"/>
      <c r="G421" s="2182" t="s">
        <v>1444</v>
      </c>
      <c r="H421" s="2183"/>
      <c r="I421" s="122" t="s">
        <v>133</v>
      </c>
      <c r="J421" s="122" t="n">
        <f aca="false">J355</f>
        <v>0</v>
      </c>
      <c r="K421" s="122" t="n">
        <f aca="false">'Прайс лист'!G1632</f>
        <v>200</v>
      </c>
      <c r="L421" s="122" t="n">
        <f aca="false">J421*K421</f>
        <v>0</v>
      </c>
      <c r="M421" s="2273"/>
    </row>
    <row r="422" customFormat="false" ht="15.5" hidden="false" customHeight="false" outlineLevel="1" collapsed="false">
      <c r="A422" s="122" t="str">
        <f aca="false">A355</f>
        <v>Нет</v>
      </c>
      <c r="B422" s="122" t="str">
        <f aca="false">B355</f>
        <v>м3</v>
      </c>
      <c r="C422" s="122" t="n">
        <f aca="false">C355</f>
        <v>0</v>
      </c>
      <c r="D422" s="122" t="n">
        <f aca="false">D355</f>
        <v>0</v>
      </c>
      <c r="E422" s="122" t="n">
        <f aca="false">E355</f>
        <v>0</v>
      </c>
      <c r="F422" s="905"/>
      <c r="G422" s="2182" t="s">
        <v>1445</v>
      </c>
      <c r="H422" s="2183"/>
      <c r="I422" s="122" t="s">
        <v>133</v>
      </c>
      <c r="J422" s="122" t="n">
        <f aca="false">J356</f>
        <v>0</v>
      </c>
      <c r="K422" s="122" t="n">
        <f aca="false">'Прайс лист'!G1633</f>
        <v>200</v>
      </c>
      <c r="L422" s="122" t="n">
        <f aca="false">J422*K422</f>
        <v>0</v>
      </c>
      <c r="M422" s="2273"/>
    </row>
    <row r="423" customFormat="false" ht="15.5" hidden="false" customHeight="false" outlineLevel="1" collapsed="false">
      <c r="A423" s="122" t="str">
        <f aca="false">A356</f>
        <v>Грибок для крепления утеплителя</v>
      </c>
      <c r="B423" s="122" t="str">
        <f aca="false">B356</f>
        <v>шт</v>
      </c>
      <c r="C423" s="122" t="n">
        <f aca="false">C356</f>
        <v>0</v>
      </c>
      <c r="D423" s="122" t="n">
        <f aca="false">D356</f>
        <v>15</v>
      </c>
      <c r="E423" s="122" t="n">
        <f aca="false">E356</f>
        <v>0</v>
      </c>
      <c r="F423" s="905"/>
      <c r="G423" s="2182" t="s">
        <v>1441</v>
      </c>
      <c r="H423" s="2183"/>
      <c r="I423" s="122" t="s">
        <v>133</v>
      </c>
      <c r="J423" s="122" t="n">
        <f aca="false">J357</f>
        <v>0</v>
      </c>
      <c r="K423" s="122" t="n">
        <f aca="false">'Прайс лист'!G1629</f>
        <v>600</v>
      </c>
      <c r="L423" s="122" t="n">
        <f aca="false">J423*K423</f>
        <v>0</v>
      </c>
      <c r="M423" s="2273"/>
    </row>
    <row r="424" customFormat="false" ht="15.5" hidden="false" customHeight="false" outlineLevel="1" collapsed="false">
      <c r="A424" s="122" t="str">
        <f aca="false">A357</f>
        <v>Нет</v>
      </c>
      <c r="B424" s="122" t="str">
        <f aca="false">B357</f>
        <v>м3</v>
      </c>
      <c r="C424" s="122" t="n">
        <f aca="false">C357</f>
        <v>0</v>
      </c>
      <c r="D424" s="122" t="n">
        <f aca="false">D357</f>
        <v>0</v>
      </c>
      <c r="E424" s="122" t="n">
        <f aca="false">E357</f>
        <v>0</v>
      </c>
      <c r="F424" s="905"/>
      <c r="G424" s="2182" t="s">
        <v>1446</v>
      </c>
      <c r="H424" s="2183"/>
      <c r="I424" s="122" t="s">
        <v>133</v>
      </c>
      <c r="J424" s="122" t="n">
        <f aca="false">J358</f>
        <v>0</v>
      </c>
      <c r="K424" s="122" t="n">
        <f aca="false">'Прайс лист'!G1635</f>
        <v>100</v>
      </c>
      <c r="L424" s="122" t="n">
        <f aca="false">J424*K424</f>
        <v>0</v>
      </c>
      <c r="M424" s="2273"/>
    </row>
    <row r="425" customFormat="false" ht="15.5" hidden="false" customHeight="false" outlineLevel="1" collapsed="false">
      <c r="A425" s="122" t="str">
        <f aca="false">A358</f>
        <v>ПГС, машина 5м3</v>
      </c>
      <c r="B425" s="122" t="str">
        <f aca="false">B358</f>
        <v>маш</v>
      </c>
      <c r="C425" s="122" t="n">
        <f aca="false">C358</f>
        <v>0</v>
      </c>
      <c r="D425" s="122" t="n">
        <f aca="false">D358</f>
        <v>6000</v>
      </c>
      <c r="E425" s="122" t="n">
        <f aca="false">E358</f>
        <v>0</v>
      </c>
      <c r="F425" s="905"/>
      <c r="G425" s="2182" t="s">
        <v>1443</v>
      </c>
      <c r="H425" s="2183"/>
      <c r="I425" s="122" t="s">
        <v>133</v>
      </c>
      <c r="J425" s="122" t="n">
        <f aca="false">J359</f>
        <v>0</v>
      </c>
      <c r="K425" s="122" t="n">
        <f aca="false">K409</f>
        <v>1200</v>
      </c>
      <c r="L425" s="122" t="n">
        <f aca="false">J425*K425</f>
        <v>0</v>
      </c>
      <c r="M425" s="2273"/>
    </row>
    <row r="426" customFormat="false" ht="15.5" hidden="false" customHeight="false" outlineLevel="1" collapsed="false">
      <c r="A426" s="122" t="str">
        <f aca="false">A359</f>
        <v>Кладочная сетка, 100*100/150*150/200*200мм</v>
      </c>
      <c r="B426" s="122" t="str">
        <f aca="false">B359</f>
        <v>м2</v>
      </c>
      <c r="C426" s="122" t="n">
        <f aca="false">C359</f>
        <v>0</v>
      </c>
      <c r="D426" s="122" t="n">
        <f aca="false">D359</f>
        <v>70</v>
      </c>
      <c r="E426" s="122" t="n">
        <f aca="false">E359</f>
        <v>0</v>
      </c>
      <c r="F426" s="905"/>
      <c r="G426" s="2182"/>
      <c r="H426" s="2183"/>
      <c r="I426" s="122"/>
      <c r="J426" s="122"/>
      <c r="K426" s="122"/>
      <c r="L426" s="122"/>
      <c r="M426" s="2273"/>
    </row>
    <row r="427" customFormat="false" ht="15.5" hidden="false" customHeight="false" outlineLevel="1" collapsed="false">
      <c r="A427" s="122" t="str">
        <f aca="false">A360</f>
        <v>Бетон, м200</v>
      </c>
      <c r="B427" s="122" t="str">
        <f aca="false">B360</f>
        <v>м3</v>
      </c>
      <c r="C427" s="122" t="n">
        <f aca="false">C360</f>
        <v>0</v>
      </c>
      <c r="D427" s="122" t="n">
        <f aca="false">D360</f>
        <v>2500</v>
      </c>
      <c r="E427" s="122" t="n">
        <f aca="false">E360</f>
        <v>0</v>
      </c>
      <c r="F427" s="905"/>
      <c r="G427" s="87" t="str">
        <f aca="false">'Ввод данных'!C751</f>
        <v>Труба теплого пола 3</v>
      </c>
      <c r="I427" s="89" t="s">
        <v>1415</v>
      </c>
      <c r="J427" s="896" t="n">
        <f aca="false">VLOOKUP('Ввод данных'!G751,связи1!A2:B3,2,0)*(C386*5)*G375</f>
        <v>308</v>
      </c>
      <c r="K427" s="2315" t="n">
        <f aca="false">VLOOKUP(G427,'Прайс лист'!B1083:G1091,6,0)</f>
        <v>60</v>
      </c>
      <c r="L427" s="2315"/>
      <c r="M427" s="2334" t="n">
        <f aca="false">VLOOKUP('Ввод данных'!G751,связи1!A2:B3,2,0)</f>
        <v>1</v>
      </c>
    </row>
    <row r="428" customFormat="false" ht="15.5" hidden="false" customHeight="false" outlineLevel="1" collapsed="false">
      <c r="A428" s="122" t="str">
        <f aca="false">A361</f>
        <v>расходные материалы свайноростверковый фундамент</v>
      </c>
      <c r="B428" s="122" t="str">
        <f aca="false">B361</f>
        <v>шт</v>
      </c>
      <c r="C428" s="122" t="n">
        <f aca="false">C361</f>
        <v>1</v>
      </c>
      <c r="D428" s="122" t="n">
        <f aca="false">D361</f>
        <v>8000</v>
      </c>
      <c r="E428" s="122" t="n">
        <f aca="false">E361</f>
        <v>8000</v>
      </c>
      <c r="F428" s="905"/>
      <c r="G428" s="87" t="str">
        <f aca="false">'Ввод данных'!C753</f>
        <v>Коллектор 1</v>
      </c>
      <c r="I428" s="89" t="s">
        <v>159</v>
      </c>
      <c r="J428" s="2362" t="n">
        <f aca="false">VLOOKUP('Ввод данных'!G753,связи1!A2:B3,2,0)*G375</f>
        <v>1.1</v>
      </c>
      <c r="K428" s="2315" t="n">
        <f aca="false">VLOOKUP(G428,'Прайс лист'!B1092:G1099,6,0)</f>
        <v>5000</v>
      </c>
      <c r="L428" s="2315"/>
      <c r="M428" s="2334" t="n">
        <f aca="false">VLOOKUP('Ввод данных'!G753,связи1!A2:B3,2,0)</f>
        <v>1</v>
      </c>
    </row>
    <row r="429" customFormat="false" ht="15.5" hidden="false" customHeight="false" outlineLevel="1" collapsed="false">
      <c r="A429" s="122" t="str">
        <f aca="false">A362</f>
        <v>Нет техники</v>
      </c>
      <c r="B429" s="122" t="str">
        <f aca="false">B362</f>
        <v>шт</v>
      </c>
      <c r="C429" s="122" t="n">
        <f aca="false">C362</f>
        <v>4</v>
      </c>
      <c r="D429" s="122" t="n">
        <f aca="false">D362</f>
        <v>0</v>
      </c>
      <c r="E429" s="122" t="n">
        <f aca="false">E362</f>
        <v>0</v>
      </c>
      <c r="F429" s="905"/>
      <c r="G429" s="933" t="str">
        <f aca="false">'Прайс лист'!B1643</f>
        <v>укладка теп. Пола</v>
      </c>
      <c r="H429" s="2315"/>
      <c r="I429" s="89" t="s">
        <v>133</v>
      </c>
      <c r="J429" s="89" t="n">
        <f aca="false">(E3*E4+E132*C170+D172*C211+D220*C236)*M427*H375</f>
        <v>105</v>
      </c>
      <c r="K429" s="933" t="n">
        <f aca="false">'Прайс лист'!G1643</f>
        <v>600</v>
      </c>
      <c r="L429" s="2315"/>
      <c r="M429" s="2273"/>
    </row>
    <row r="430" customFormat="false" ht="15.5" hidden="false" customHeight="false" outlineLevel="1" collapsed="false">
      <c r="A430" s="122" t="str">
        <f aca="false">A363</f>
        <v>Нет техники</v>
      </c>
      <c r="B430" s="122" t="str">
        <f aca="false">B363</f>
        <v>шт</v>
      </c>
      <c r="C430" s="122" t="n">
        <f aca="false">C363</f>
        <v>4</v>
      </c>
      <c r="D430" s="122" t="n">
        <f aca="false">D363</f>
        <v>0</v>
      </c>
      <c r="E430" s="122" t="n">
        <f aca="false">E363</f>
        <v>0</v>
      </c>
      <c r="F430" s="905"/>
      <c r="G430" s="2315"/>
      <c r="H430" s="2315"/>
      <c r="I430" s="2315"/>
      <c r="J430" s="2315"/>
      <c r="K430" s="2315"/>
      <c r="L430" s="2315"/>
      <c r="M430" s="2273"/>
    </row>
    <row r="431" customFormat="false" ht="15.5" hidden="false" customHeight="false" outlineLevel="1" collapsed="false">
      <c r="A431" s="122" t="str">
        <f aca="false">A364</f>
        <v>Нет техники</v>
      </c>
      <c r="B431" s="122" t="str">
        <f aca="false">B364</f>
        <v>шт</v>
      </c>
      <c r="C431" s="122" t="n">
        <f aca="false">C364</f>
        <v>6</v>
      </c>
      <c r="D431" s="122" t="n">
        <f aca="false">D364</f>
        <v>0</v>
      </c>
      <c r="E431" s="122" t="n">
        <f aca="false">E364</f>
        <v>0</v>
      </c>
      <c r="F431" s="905"/>
      <c r="G431" s="122"/>
      <c r="H431" s="122"/>
      <c r="I431" s="122"/>
      <c r="J431" s="122"/>
      <c r="K431" s="122"/>
      <c r="L431" s="122"/>
      <c r="M431" s="2273"/>
    </row>
    <row r="432" customFormat="false" ht="15.5" hidden="false" customHeight="false" outlineLevel="1" collapsed="false">
      <c r="A432" s="122" t="str">
        <f aca="false">A365</f>
        <v>Нет техники</v>
      </c>
      <c r="B432" s="122" t="str">
        <f aca="false">B365</f>
        <v>шт</v>
      </c>
      <c r="C432" s="122" t="n">
        <f aca="false">C365</f>
        <v>4</v>
      </c>
      <c r="D432" s="122" t="n">
        <f aca="false">D365</f>
        <v>0</v>
      </c>
      <c r="E432" s="122" t="n">
        <f aca="false">E365</f>
        <v>0</v>
      </c>
      <c r="F432" s="905"/>
      <c r="G432" s="122"/>
      <c r="H432" s="122"/>
      <c r="I432" s="122"/>
      <c r="J432" s="122"/>
      <c r="K432" s="122"/>
      <c r="L432" s="122"/>
      <c r="M432" s="2273"/>
    </row>
    <row r="433" customFormat="false" ht="15.5" hidden="false" customHeight="false" outlineLevel="1" collapsed="false">
      <c r="A433" s="122" t="str">
        <f aca="false">A366</f>
        <v>Нет техники</v>
      </c>
      <c r="B433" s="122" t="str">
        <f aca="false">B366</f>
        <v>шт</v>
      </c>
      <c r="C433" s="122" t="n">
        <f aca="false">C366</f>
        <v>0</v>
      </c>
      <c r="D433" s="122" t="n">
        <f aca="false">D366</f>
        <v>0</v>
      </c>
      <c r="E433" s="122" t="n">
        <f aca="false">E366</f>
        <v>0</v>
      </c>
      <c r="F433" s="905"/>
      <c r="G433" s="122"/>
      <c r="H433" s="122"/>
      <c r="I433" s="122"/>
      <c r="J433" s="122"/>
      <c r="K433" s="122"/>
      <c r="L433" s="122"/>
      <c r="M433" s="2273"/>
    </row>
    <row r="434" customFormat="false" ht="15.5" hidden="false" customHeight="false" outlineLevel="1" collapsed="false">
      <c r="A434" s="905"/>
      <c r="B434" s="905"/>
      <c r="C434" s="905"/>
      <c r="D434" s="905"/>
      <c r="E434" s="2154" t="n">
        <f aca="false">SUM(E409:E431)</f>
        <v>263391.042984</v>
      </c>
      <c r="F434" s="905"/>
      <c r="G434" s="905"/>
      <c r="H434" s="2072"/>
      <c r="I434" s="905"/>
      <c r="J434" s="905"/>
      <c r="K434" s="905"/>
      <c r="L434" s="2154" t="n">
        <f aca="false">SUM(L409:L433)</f>
        <v>126856.149</v>
      </c>
      <c r="M434" s="2273"/>
    </row>
    <row r="435" customFormat="false" ht="15.5" hidden="false" customHeight="false" outlineLevel="1" collapsed="false">
      <c r="A435" s="122" t="s">
        <v>4059</v>
      </c>
      <c r="B435" s="122" t="n">
        <f aca="false">E434</f>
        <v>263391.042984</v>
      </c>
      <c r="C435" s="905"/>
      <c r="D435" s="905"/>
      <c r="E435" s="905"/>
      <c r="F435" s="905"/>
      <c r="G435" s="905"/>
      <c r="H435" s="905"/>
      <c r="I435" s="905"/>
      <c r="J435" s="905"/>
      <c r="K435" s="905"/>
      <c r="L435" s="1702"/>
      <c r="M435" s="2273"/>
    </row>
    <row r="436" customFormat="false" ht="15.5" hidden="false" customHeight="false" outlineLevel="1" collapsed="false">
      <c r="A436" s="122" t="s">
        <v>4060</v>
      </c>
      <c r="B436" s="122" t="n">
        <f aca="false">L434</f>
        <v>126856.149</v>
      </c>
      <c r="C436" s="905"/>
      <c r="D436" s="905"/>
      <c r="E436" s="905"/>
      <c r="F436" s="905"/>
      <c r="G436" s="905"/>
      <c r="H436" s="905"/>
      <c r="I436" s="905"/>
      <c r="J436" s="905"/>
      <c r="K436" s="905"/>
      <c r="L436" s="1702"/>
      <c r="M436" s="2273"/>
    </row>
    <row r="437" customFormat="false" ht="15.5" hidden="false" customHeight="false" outlineLevel="1" collapsed="false">
      <c r="A437" s="122" t="s">
        <v>4061</v>
      </c>
      <c r="B437" s="122" t="n">
        <f aca="false">SUM(B435:B436)*B438</f>
        <v>0</v>
      </c>
      <c r="C437" s="905"/>
      <c r="D437" s="905"/>
      <c r="E437" s="905"/>
      <c r="F437" s="905"/>
      <c r="G437" s="905"/>
      <c r="H437" s="905"/>
      <c r="I437" s="905"/>
      <c r="J437" s="905"/>
      <c r="K437" s="905"/>
      <c r="L437" s="1702"/>
      <c r="M437" s="2273"/>
    </row>
    <row r="438" customFormat="false" ht="15.5" hidden="false" customHeight="false" outlineLevel="0" collapsed="false">
      <c r="A438" s="2363" t="s">
        <v>4067</v>
      </c>
      <c r="B438" s="2331"/>
      <c r="C438" s="2148" t="s">
        <v>3663</v>
      </c>
      <c r="D438" s="2148"/>
      <c r="E438" s="2148"/>
      <c r="F438" s="2148"/>
      <c r="G438" s="2273"/>
      <c r="H438" s="2273"/>
      <c r="I438" s="2273"/>
      <c r="J438" s="2273"/>
      <c r="K438" s="2273"/>
      <c r="L438" s="2273"/>
      <c r="M438" s="2273"/>
    </row>
    <row r="439" customFormat="false" ht="14.5" hidden="false" customHeight="false" outlineLevel="0" collapsed="false">
      <c r="A439" s="2273"/>
      <c r="B439" s="2273"/>
      <c r="C439" s="2273"/>
      <c r="D439" s="2273"/>
      <c r="E439" s="2273"/>
      <c r="F439" s="2273"/>
      <c r="G439" s="2273"/>
      <c r="H439" s="2273"/>
      <c r="I439" s="2273"/>
      <c r="J439" s="2273"/>
      <c r="K439" s="2273"/>
      <c r="L439" s="2273"/>
      <c r="M439" s="2273"/>
    </row>
    <row r="440" customFormat="false" ht="14.5" hidden="false" customHeight="false" outlineLevel="1" collapsed="false">
      <c r="A440" s="783" t="s">
        <v>2176</v>
      </c>
      <c r="B440" s="783"/>
      <c r="C440" s="783"/>
      <c r="D440" s="783"/>
      <c r="E440" s="783"/>
      <c r="F440" s="783"/>
      <c r="G440" s="783"/>
      <c r="H440" s="783"/>
      <c r="I440" s="783"/>
      <c r="J440" s="2273"/>
      <c r="K440" s="2273"/>
      <c r="L440" s="2273"/>
      <c r="M440" s="2273"/>
    </row>
    <row r="441" customFormat="false" ht="14.5" hidden="false" customHeight="false" outlineLevel="1" collapsed="false">
      <c r="A441" s="783"/>
      <c r="B441" s="783"/>
      <c r="C441" s="783"/>
      <c r="D441" s="783"/>
      <c r="E441" s="783"/>
      <c r="F441" s="783"/>
      <c r="G441" s="783"/>
      <c r="H441" s="783"/>
      <c r="I441" s="783"/>
      <c r="J441" s="2273"/>
      <c r="K441" s="2273"/>
      <c r="L441" s="2273"/>
      <c r="M441" s="2273"/>
    </row>
    <row r="442" customFormat="false" ht="23.5" hidden="false" customHeight="false" outlineLevel="1" collapsed="false">
      <c r="A442" s="2151" t="s">
        <v>1806</v>
      </c>
      <c r="B442" s="2151"/>
      <c r="C442" s="2151"/>
      <c r="D442" s="2151"/>
      <c r="E442" s="2151"/>
      <c r="F442" s="2151"/>
      <c r="G442" s="2364" t="n">
        <f aca="false">'Ввод данных'!D768</f>
        <v>1</v>
      </c>
      <c r="H442" s="855" t="n">
        <f aca="false">'Ввод данных'!D769</f>
        <v>1</v>
      </c>
      <c r="I442" s="855"/>
      <c r="J442" s="2273"/>
      <c r="K442" s="2273"/>
      <c r="L442" s="2273"/>
      <c r="M442" s="2273"/>
    </row>
    <row r="443" customFormat="false" ht="23.5" hidden="false" customHeight="false" outlineLevel="1" collapsed="false">
      <c r="A443" s="2151"/>
      <c r="B443" s="2151"/>
      <c r="C443" s="2151"/>
      <c r="D443" s="2151"/>
      <c r="E443" s="2151"/>
      <c r="F443" s="2151"/>
      <c r="G443" s="2365"/>
      <c r="H443" s="855"/>
      <c r="I443" s="855"/>
      <c r="J443" s="2273"/>
      <c r="K443" s="2273"/>
      <c r="L443" s="2273"/>
      <c r="M443" s="2273"/>
    </row>
    <row r="444" customFormat="false" ht="15.5" hidden="false" customHeight="false" outlineLevel="1" collapsed="false">
      <c r="A444" s="122" t="s">
        <v>2177</v>
      </c>
      <c r="B444" s="122" t="s">
        <v>156</v>
      </c>
      <c r="C444" s="2366" t="n">
        <f aca="false">'Ввод данных'!C772</f>
        <v>0.2</v>
      </c>
      <c r="D444" s="2367" t="n">
        <f aca="false">IF(C444&gt;0,1,0)</f>
        <v>1</v>
      </c>
      <c r="E444" s="2273"/>
      <c r="F444" s="2273"/>
      <c r="G444" s="2273"/>
      <c r="H444" s="2273"/>
      <c r="I444" s="2273"/>
      <c r="J444" s="2273"/>
      <c r="K444" s="2273"/>
      <c r="L444" s="2273"/>
      <c r="M444" s="2273"/>
    </row>
    <row r="445" customFormat="false" ht="15.5" hidden="false" customHeight="false" outlineLevel="1" collapsed="false">
      <c r="A445" s="122" t="s">
        <v>2178</v>
      </c>
      <c r="B445" s="122" t="s">
        <v>156</v>
      </c>
      <c r="C445" s="2366" t="n">
        <f aca="false">'Ввод данных'!C773</f>
        <v>0.2</v>
      </c>
      <c r="D445" s="2367" t="n">
        <f aca="false">IF(C445&gt;0,1,0)</f>
        <v>1</v>
      </c>
      <c r="E445" s="2273"/>
      <c r="F445" s="2273"/>
      <c r="G445" s="2273"/>
      <c r="H445" s="2273"/>
      <c r="I445" s="2273"/>
      <c r="J445" s="2273"/>
      <c r="K445" s="2273"/>
      <c r="L445" s="2273"/>
      <c r="M445" s="2273"/>
    </row>
    <row r="446" customFormat="false" ht="15.5" hidden="false" customHeight="false" outlineLevel="1" collapsed="false">
      <c r="A446" s="122" t="s">
        <v>2179</v>
      </c>
      <c r="B446" s="122" t="s">
        <v>156</v>
      </c>
      <c r="C446" s="2366" t="n">
        <f aca="false">'Ввод данных'!C774</f>
        <v>0.1</v>
      </c>
      <c r="D446" s="2367" t="n">
        <f aca="false">IF(C446&gt;0,1,0)</f>
        <v>1</v>
      </c>
      <c r="E446" s="2273"/>
      <c r="F446" s="2273"/>
      <c r="G446" s="2273"/>
      <c r="H446" s="2273"/>
      <c r="I446" s="2273"/>
      <c r="J446" s="2273"/>
      <c r="K446" s="2273"/>
      <c r="L446" s="2273"/>
      <c r="M446" s="2273"/>
    </row>
    <row r="447" customFormat="false" ht="15.5" hidden="false" customHeight="false" outlineLevel="1" collapsed="false">
      <c r="A447" s="122" t="s">
        <v>2182</v>
      </c>
      <c r="B447" s="122" t="s">
        <v>156</v>
      </c>
      <c r="C447" s="2366" t="n">
        <f aca="false">'Ввод данных'!C777</f>
        <v>0</v>
      </c>
      <c r="D447" s="2367"/>
      <c r="E447" s="2273"/>
      <c r="F447" s="2273"/>
      <c r="G447" s="2273"/>
      <c r="H447" s="2273"/>
      <c r="I447" s="2273"/>
      <c r="J447" s="2273"/>
      <c r="K447" s="2273"/>
      <c r="L447" s="2273"/>
      <c r="M447" s="2273"/>
    </row>
    <row r="448" customFormat="false" ht="15.5" hidden="false" customHeight="false" outlineLevel="1" collapsed="false">
      <c r="A448" s="122" t="s">
        <v>2183</v>
      </c>
      <c r="B448" s="122" t="s">
        <v>156</v>
      </c>
      <c r="C448" s="2366" t="n">
        <f aca="false">'Ввод данных'!C778</f>
        <v>0</v>
      </c>
      <c r="D448" s="2367"/>
      <c r="E448" s="2273"/>
      <c r="F448" s="2273"/>
      <c r="G448" s="2273"/>
      <c r="H448" s="2273"/>
      <c r="I448" s="2273"/>
      <c r="J448" s="2273"/>
      <c r="K448" s="2273"/>
      <c r="L448" s="2273"/>
      <c r="M448" s="2273"/>
    </row>
    <row r="449" customFormat="false" ht="15.5" hidden="false" customHeight="false" outlineLevel="1" collapsed="false">
      <c r="A449" s="122" t="s">
        <v>2184</v>
      </c>
      <c r="B449" s="122" t="s">
        <v>156</v>
      </c>
      <c r="C449" s="2366" t="n">
        <f aca="false">'Ввод данных'!C779</f>
        <v>0</v>
      </c>
      <c r="D449" s="2367"/>
      <c r="E449" s="2273"/>
      <c r="F449" s="2273"/>
      <c r="G449" s="2273"/>
      <c r="H449" s="2273"/>
      <c r="I449" s="2273"/>
      <c r="J449" s="2273"/>
      <c r="K449" s="2273"/>
      <c r="L449" s="2273"/>
      <c r="M449" s="2273"/>
    </row>
    <row r="450" customFormat="false" ht="15.5" hidden="false" customHeight="false" outlineLevel="1" collapsed="false">
      <c r="A450" s="122" t="s">
        <v>2227</v>
      </c>
      <c r="B450" s="122" t="s">
        <v>156</v>
      </c>
      <c r="C450" s="2366" t="n">
        <f aca="false">VLOOKUP(A481,'Прайс лист'!B291:G303,4,0)</f>
        <v>0.04</v>
      </c>
      <c r="D450" s="2367"/>
      <c r="E450" s="2273"/>
      <c r="F450" s="2273"/>
      <c r="G450" s="2273"/>
      <c r="H450" s="2273"/>
      <c r="I450" s="2273"/>
      <c r="J450" s="2273"/>
      <c r="K450" s="2273"/>
      <c r="L450" s="2273"/>
      <c r="M450" s="2273"/>
    </row>
    <row r="451" customFormat="false" ht="15.5" hidden="false" customHeight="false" outlineLevel="1" collapsed="false">
      <c r="A451" s="122" t="s">
        <v>2186</v>
      </c>
      <c r="B451" s="122" t="s">
        <v>156</v>
      </c>
      <c r="C451" s="2366" t="n">
        <f aca="false">'Ввод данных'!C784</f>
        <v>0</v>
      </c>
      <c r="D451" s="2367"/>
      <c r="E451" s="2273"/>
      <c r="F451" s="2273"/>
      <c r="G451" s="2273"/>
      <c r="H451" s="2273"/>
      <c r="I451" s="2273"/>
      <c r="J451" s="2273"/>
      <c r="K451" s="2273"/>
      <c r="L451" s="2273"/>
      <c r="M451" s="2273"/>
    </row>
    <row r="452" customFormat="false" ht="15.5" hidden="false" customHeight="false" outlineLevel="1" collapsed="false">
      <c r="A452" s="122" t="s">
        <v>2187</v>
      </c>
      <c r="B452" s="122" t="s">
        <v>156</v>
      </c>
      <c r="C452" s="2366" t="n">
        <f aca="false">'Ввод данных'!C785</f>
        <v>0</v>
      </c>
      <c r="D452" s="2367"/>
      <c r="E452" s="2273"/>
      <c r="F452" s="2273"/>
      <c r="G452" s="2273"/>
      <c r="H452" s="2273"/>
      <c r="I452" s="2273"/>
      <c r="J452" s="2273"/>
      <c r="K452" s="2273"/>
      <c r="L452" s="2273"/>
      <c r="M452" s="2273"/>
    </row>
    <row r="453" customFormat="false" ht="15.5" hidden="false" customHeight="false" outlineLevel="1" collapsed="false">
      <c r="A453" s="122" t="s">
        <v>4068</v>
      </c>
      <c r="B453" s="122" t="s">
        <v>156</v>
      </c>
      <c r="C453" s="122" t="n">
        <f aca="false">C263</f>
        <v>56</v>
      </c>
      <c r="D453" s="2367"/>
      <c r="E453" s="2273"/>
      <c r="F453" s="2273"/>
      <c r="G453" s="2273"/>
      <c r="H453" s="2273"/>
      <c r="I453" s="2273"/>
      <c r="J453" s="2273"/>
      <c r="K453" s="2273"/>
      <c r="L453" s="2273"/>
      <c r="M453" s="2273"/>
    </row>
    <row r="454" customFormat="false" ht="15.5" hidden="false" customHeight="false" outlineLevel="1" collapsed="false">
      <c r="A454" s="122" t="s">
        <v>4069</v>
      </c>
      <c r="B454" s="122" t="s">
        <v>135</v>
      </c>
      <c r="C454" s="122" t="n">
        <f aca="false">C453*C451*C452</f>
        <v>0</v>
      </c>
      <c r="D454" s="2367"/>
      <c r="E454" s="2273"/>
      <c r="F454" s="2273"/>
      <c r="G454" s="2273"/>
      <c r="H454" s="2273"/>
      <c r="I454" s="2273"/>
      <c r="J454" s="2273"/>
      <c r="K454" s="2273"/>
      <c r="L454" s="2273"/>
      <c r="M454" s="2273"/>
    </row>
    <row r="455" customFormat="false" ht="15.5" hidden="false" customHeight="false" outlineLevel="1" collapsed="false">
      <c r="A455" s="122" t="s">
        <v>4070</v>
      </c>
      <c r="B455" s="122" t="s">
        <v>159</v>
      </c>
      <c r="C455" s="2366" t="n">
        <f aca="false">'Ввод данных'!C788</f>
        <v>4</v>
      </c>
      <c r="D455" s="2367"/>
      <c r="E455" s="2273"/>
      <c r="F455" s="2273"/>
      <c r="G455" s="2273"/>
      <c r="H455" s="2273"/>
      <c r="I455" s="2273"/>
      <c r="J455" s="2273"/>
      <c r="K455" s="2273"/>
      <c r="L455" s="2273"/>
      <c r="M455" s="2273"/>
    </row>
    <row r="456" customFormat="false" ht="15.5" hidden="false" customHeight="false" outlineLevel="1" collapsed="false">
      <c r="A456" s="122" t="s">
        <v>2188</v>
      </c>
      <c r="B456" s="122" t="s">
        <v>156</v>
      </c>
      <c r="C456" s="2366" t="n">
        <f aca="false">'Ввод данных'!C786</f>
        <v>0</v>
      </c>
      <c r="D456" s="2367"/>
      <c r="E456" s="2273"/>
      <c r="F456" s="2273"/>
      <c r="G456" s="2273"/>
      <c r="H456" s="2273"/>
      <c r="I456" s="2273"/>
      <c r="J456" s="2273"/>
      <c r="K456" s="2273"/>
      <c r="L456" s="2273"/>
      <c r="M456" s="2273"/>
    </row>
    <row r="457" customFormat="false" ht="15.5" hidden="false" customHeight="false" outlineLevel="1" collapsed="false">
      <c r="A457" s="122" t="s">
        <v>4071</v>
      </c>
      <c r="B457" s="122" t="s">
        <v>135</v>
      </c>
      <c r="C457" s="122" t="n">
        <f aca="false">(дома!C16*дома!C17+дома!D1229*дома!C1235+дома!D2019*дома!C2026*дома!C2027*IF('Ввод данных'!A529=связи1!A480,1,0)+пристройка!D2*(пристройка!C32*пристройка!C9+пристройка!D32*пристройка!D9+пристройка!E32*пристройка!E9+пристройка!F32*пристройка!F9+пристройка!H32*пристройка!H9+пристройка!I32*пристройка!I9+пристройка!J32*пристройка!J9+пристройка!K32*пристройка!K9)+'Ввод данных'!C624*'Ввод данных'!C625*IF('Ввод данных'!A661=связи1!A480,1,0)*VLOOKUP('Ввод данных'!F693,связи1!A2:B3,2,0))*C456</f>
        <v>0</v>
      </c>
      <c r="D457" s="2367"/>
      <c r="E457" s="2273"/>
      <c r="F457" s="2273"/>
      <c r="G457" s="2273"/>
      <c r="H457" s="2273"/>
      <c r="I457" s="2273"/>
      <c r="J457" s="2273"/>
      <c r="K457" s="2273"/>
      <c r="L457" s="2273"/>
      <c r="M457" s="2273"/>
    </row>
    <row r="458" customFormat="false" ht="15.5" hidden="false" customHeight="false" outlineLevel="1" collapsed="false">
      <c r="A458" s="122" t="s">
        <v>2232</v>
      </c>
      <c r="B458" s="122" t="s">
        <v>156</v>
      </c>
      <c r="C458" s="2366" t="n">
        <f aca="false">'Ввод данных'!C792</f>
        <v>0.2</v>
      </c>
      <c r="D458" s="2367"/>
      <c r="E458" s="2273"/>
      <c r="F458" s="2273"/>
      <c r="G458" s="2273"/>
      <c r="H458" s="2273"/>
      <c r="I458" s="2273"/>
      <c r="J458" s="2273"/>
      <c r="K458" s="2273"/>
      <c r="L458" s="2273"/>
      <c r="M458" s="2273"/>
    </row>
    <row r="459" customFormat="false" ht="15.5" hidden="false" customHeight="false" outlineLevel="1" collapsed="false">
      <c r="A459" s="122" t="s">
        <v>2192</v>
      </c>
      <c r="B459" s="122"/>
      <c r="C459" s="2366" t="n">
        <f aca="false">'Ввод данных'!C793</f>
        <v>1</v>
      </c>
      <c r="D459" s="2367"/>
      <c r="E459" s="2273"/>
      <c r="F459" s="2273"/>
      <c r="G459" s="2273"/>
      <c r="H459" s="2273"/>
      <c r="I459" s="2273"/>
      <c r="J459" s="2273"/>
      <c r="K459" s="2273"/>
      <c r="L459" s="2273"/>
      <c r="M459" s="2273"/>
    </row>
    <row r="460" customFormat="false" ht="15.5" hidden="false" customHeight="false" outlineLevel="1" collapsed="false">
      <c r="A460" s="122" t="s">
        <v>4072</v>
      </c>
      <c r="B460" s="122" t="s">
        <v>135</v>
      </c>
      <c r="C460" s="122" t="n">
        <f aca="false">C454+C457</f>
        <v>0</v>
      </c>
      <c r="D460" s="2367"/>
      <c r="E460" s="2273"/>
      <c r="F460" s="2273"/>
      <c r="G460" s="2273"/>
      <c r="H460" s="2273"/>
      <c r="I460" s="2273"/>
      <c r="J460" s="2273"/>
      <c r="K460" s="2273"/>
      <c r="L460" s="2273"/>
      <c r="M460" s="2273"/>
    </row>
    <row r="461" customFormat="false" ht="15.5" hidden="false" customHeight="false" outlineLevel="1" collapsed="false">
      <c r="A461" s="122" t="s">
        <v>2224</v>
      </c>
      <c r="B461" s="122" t="s">
        <v>4073</v>
      </c>
      <c r="C461" s="2366" t="e">
        <f aca="false">'ввод данных'!#ref!</f>
        <v>#VALUE!</v>
      </c>
      <c r="D461" s="2368" t="n">
        <v>1</v>
      </c>
      <c r="E461" s="2273"/>
      <c r="F461" s="2273"/>
      <c r="G461" s="2273"/>
      <c r="H461" s="2273"/>
      <c r="I461" s="2273"/>
      <c r="J461" s="2273"/>
      <c r="K461" s="2273"/>
      <c r="L461" s="2273"/>
      <c r="M461" s="2273"/>
    </row>
    <row r="462" customFormat="false" ht="15.5" hidden="false" customHeight="false" outlineLevel="1" collapsed="false">
      <c r="A462" s="122" t="s">
        <v>4074</v>
      </c>
      <c r="B462" s="122" t="s">
        <v>133</v>
      </c>
      <c r="C462" s="122" t="n">
        <f aca="false">(дома!C16*дома!C17+дома!D1229*дома!C1235+дома!D2019*дома!C2026*дома!C2027*IF('Ввод данных'!A529=связи1!A480,1,0)+пристройка!D2*(пристройка!C32*пристройка!C9+пристройка!D32*пристройка!D9+пристройка!E32*пристройка!E9+пристройка!F32*пристройка!F9+пристройка!H32*пристройка!H9+пристройка!I32*пристройка!I9+пристройка!J32*пристройка!J9+пристройка!K32*пристройка!K9)+'Ввод данных'!C624*'Ввод данных'!C625*IF('Ввод данных'!A661=связи1!A480,1,0)*VLOOKUP('Ввод данных'!F693,связи1!A2:B3,2,0))*1.15</f>
        <v>115</v>
      </c>
      <c r="D462" s="2367"/>
      <c r="E462" s="2273"/>
      <c r="F462" s="2273"/>
      <c r="G462" s="2273"/>
      <c r="H462" s="2273"/>
      <c r="I462" s="2273"/>
      <c r="J462" s="2273"/>
      <c r="K462" s="2273"/>
      <c r="L462" s="2273"/>
      <c r="M462" s="2273"/>
    </row>
    <row r="463" customFormat="false" ht="15.5" hidden="false" customHeight="false" outlineLevel="1" collapsed="false">
      <c r="A463" s="122" t="s">
        <v>4075</v>
      </c>
      <c r="B463" s="122" t="s">
        <v>156</v>
      </c>
      <c r="C463" s="122" t="n">
        <f aca="false">C453*5</f>
        <v>280</v>
      </c>
      <c r="D463" s="2368" t="n">
        <f aca="false">VLOOKUP('Ввод данных'!C795,связи1!A2:B3,2,0)</f>
        <v>1</v>
      </c>
      <c r="E463" s="2273"/>
      <c r="F463" s="2273"/>
      <c r="G463" s="2273"/>
      <c r="H463" s="2273"/>
      <c r="I463" s="2273"/>
      <c r="J463" s="2273"/>
      <c r="K463" s="2273"/>
      <c r="L463" s="2273"/>
      <c r="M463" s="2273"/>
    </row>
    <row r="464" customFormat="false" ht="15.5" hidden="false" customHeight="false" outlineLevel="1" collapsed="false">
      <c r="A464" s="122" t="s">
        <v>4076</v>
      </c>
      <c r="B464" s="122" t="s">
        <v>159</v>
      </c>
      <c r="C464" s="122" t="n">
        <v>1</v>
      </c>
      <c r="D464" s="2368" t="n">
        <f aca="false">VLOOKUP('Ввод данных'!C797,связи1!A2:B3,2,0)</f>
        <v>1</v>
      </c>
      <c r="E464" s="2273"/>
      <c r="F464" s="2273"/>
      <c r="G464" s="2273"/>
      <c r="H464" s="2273"/>
      <c r="I464" s="2273"/>
      <c r="J464" s="2273"/>
      <c r="K464" s="2273"/>
      <c r="L464" s="2273"/>
      <c r="M464" s="2273"/>
    </row>
    <row r="465" customFormat="false" ht="15.5" hidden="false" customHeight="false" outlineLevel="1" collapsed="false">
      <c r="A465" s="122" t="s">
        <v>4077</v>
      </c>
      <c r="B465" s="122" t="s">
        <v>156</v>
      </c>
      <c r="C465" s="2154"/>
      <c r="D465" s="2368" t="n">
        <f aca="false">'Ввод данных'!H798</f>
        <v>0</v>
      </c>
      <c r="E465" s="2273"/>
      <c r="F465" s="2273"/>
      <c r="G465" s="2273"/>
      <c r="H465" s="2273"/>
      <c r="I465" s="2273"/>
      <c r="J465" s="2273"/>
      <c r="K465" s="2273"/>
      <c r="L465" s="2273"/>
      <c r="M465" s="2273"/>
    </row>
    <row r="466" customFormat="false" ht="15.5" hidden="false" customHeight="false" outlineLevel="1" collapsed="false">
      <c r="A466" s="122" t="s">
        <v>4078</v>
      </c>
      <c r="B466" s="122" t="s">
        <v>159</v>
      </c>
      <c r="C466" s="2366" t="n">
        <f aca="false">'Ввод данных'!C800</f>
        <v>0</v>
      </c>
      <c r="D466" s="2368" t="n">
        <v>1</v>
      </c>
      <c r="E466" s="2273"/>
      <c r="F466" s="2273"/>
      <c r="G466" s="2273"/>
      <c r="H466" s="2273"/>
      <c r="I466" s="2273"/>
      <c r="J466" s="2273"/>
      <c r="K466" s="2273"/>
      <c r="L466" s="2273"/>
      <c r="M466" s="2273"/>
    </row>
    <row r="467" customFormat="false" ht="15.5" hidden="false" customHeight="false" outlineLevel="1" collapsed="false">
      <c r="A467" s="122" t="s">
        <v>2195</v>
      </c>
      <c r="B467" s="122" t="s">
        <v>156</v>
      </c>
      <c r="C467" s="2366" t="n">
        <f aca="false">'Ввод данных'!C802</f>
        <v>0</v>
      </c>
      <c r="D467" s="2368" t="n">
        <v>1</v>
      </c>
      <c r="E467" s="2273"/>
      <c r="F467" s="2273"/>
      <c r="G467" s="2273"/>
      <c r="H467" s="2273"/>
      <c r="I467" s="2273"/>
      <c r="J467" s="2273"/>
      <c r="K467" s="2273"/>
      <c r="L467" s="2273"/>
      <c r="M467" s="2273"/>
    </row>
    <row r="468" customFormat="false" ht="15.5" hidden="false" customHeight="false" outlineLevel="1" collapsed="false">
      <c r="A468" s="122" t="s">
        <v>2196</v>
      </c>
      <c r="B468" s="122" t="s">
        <v>156</v>
      </c>
      <c r="C468" s="2366" t="n">
        <f aca="false">'Ввод данных'!C803</f>
        <v>0</v>
      </c>
      <c r="D468" s="2368" t="n">
        <v>1</v>
      </c>
      <c r="E468" s="2273"/>
      <c r="F468" s="2273"/>
      <c r="G468" s="2273"/>
      <c r="H468" s="2273"/>
      <c r="I468" s="2273"/>
      <c r="J468" s="2273"/>
      <c r="K468" s="2273"/>
      <c r="L468" s="2273"/>
      <c r="M468" s="2273"/>
    </row>
    <row r="469" customFormat="false" ht="15.5" hidden="false" customHeight="false" outlineLevel="1" collapsed="false">
      <c r="A469" s="2369" t="s">
        <v>2163</v>
      </c>
      <c r="B469" s="2369"/>
      <c r="C469" s="2369"/>
      <c r="D469" s="2367"/>
      <c r="E469" s="2297"/>
      <c r="F469" s="1702"/>
      <c r="G469" s="2273"/>
      <c r="H469" s="2273"/>
      <c r="I469" s="2273"/>
      <c r="J469" s="2273"/>
      <c r="K469" s="2273"/>
      <c r="L469" s="2273"/>
      <c r="M469" s="2273"/>
    </row>
    <row r="470" customFormat="false" ht="15.5" hidden="false" customHeight="false" outlineLevel="1" collapsed="false">
      <c r="A470" s="122" t="s">
        <v>2165</v>
      </c>
      <c r="B470" s="122" t="s">
        <v>156</v>
      </c>
      <c r="C470" s="2366" t="n">
        <f aca="false">'Ввод данных'!C807</f>
        <v>0.8</v>
      </c>
      <c r="D470" s="2368" t="n">
        <f aca="false">VLOOKUP('Ввод данных'!C804,связи1!A2:B3,2,0)</f>
        <v>0</v>
      </c>
      <c r="E470" s="2333"/>
      <c r="F470" s="1702"/>
      <c r="G470" s="2273"/>
      <c r="H470" s="2273"/>
      <c r="I470" s="2273"/>
      <c r="J470" s="2273"/>
      <c r="K470" s="2273"/>
      <c r="L470" s="2273"/>
      <c r="M470" s="2273"/>
    </row>
    <row r="471" customFormat="false" ht="15.5" hidden="false" customHeight="false" outlineLevel="1" collapsed="false">
      <c r="A471" s="122" t="s">
        <v>2166</v>
      </c>
      <c r="B471" s="122" t="s">
        <v>156</v>
      </c>
      <c r="C471" s="2366" t="n">
        <f aca="false">'Ввод данных'!C808</f>
        <v>0.1</v>
      </c>
      <c r="D471" s="2367"/>
      <c r="E471" s="2297"/>
      <c r="F471" s="1702"/>
      <c r="G471" s="2273"/>
      <c r="H471" s="2273"/>
      <c r="I471" s="2273"/>
      <c r="J471" s="2273"/>
      <c r="K471" s="2273"/>
      <c r="L471" s="2273"/>
      <c r="M471" s="2273"/>
    </row>
    <row r="472" customFormat="false" ht="15.5" hidden="false" customHeight="false" outlineLevel="1" collapsed="false">
      <c r="A472" s="122" t="s">
        <v>2198</v>
      </c>
      <c r="B472" s="122" t="s">
        <v>156</v>
      </c>
      <c r="C472" s="2366" t="n">
        <f aca="false">'Ввод данных'!C809</f>
        <v>0.05</v>
      </c>
      <c r="D472" s="2368" t="n">
        <v>1</v>
      </c>
      <c r="E472" s="2273"/>
      <c r="F472" s="1702"/>
      <c r="G472" s="2273"/>
      <c r="H472" s="2273"/>
      <c r="I472" s="2273"/>
      <c r="J472" s="2273"/>
      <c r="K472" s="2273"/>
      <c r="L472" s="2273"/>
      <c r="M472" s="2273"/>
    </row>
    <row r="473" customFormat="false" ht="15.5" hidden="false" customHeight="false" outlineLevel="1" collapsed="false">
      <c r="A473" s="122" t="s">
        <v>2167</v>
      </c>
      <c r="B473" s="122" t="s">
        <v>156</v>
      </c>
      <c r="C473" s="2366" t="n">
        <f aca="false">'Ввод данных'!C810</f>
        <v>0.2</v>
      </c>
      <c r="D473" s="2367"/>
      <c r="E473" s="2297"/>
      <c r="F473" s="1702"/>
      <c r="G473" s="2273"/>
      <c r="H473" s="2273"/>
      <c r="I473" s="2273"/>
      <c r="J473" s="2273"/>
      <c r="K473" s="2273"/>
      <c r="L473" s="2273"/>
      <c r="M473" s="2273"/>
    </row>
    <row r="474" customFormat="false" ht="15.5" hidden="false" customHeight="false" outlineLevel="1" collapsed="false">
      <c r="A474" s="122" t="s">
        <v>2168</v>
      </c>
      <c r="B474" s="122" t="s">
        <v>156</v>
      </c>
      <c r="C474" s="2366" t="n">
        <f aca="false">'Ввод данных'!C811</f>
        <v>0.8</v>
      </c>
      <c r="D474" s="2367"/>
      <c r="E474" s="2297"/>
      <c r="F474" s="1702"/>
      <c r="G474" s="2273"/>
      <c r="H474" s="2273"/>
      <c r="I474" s="2273"/>
      <c r="J474" s="2273"/>
      <c r="K474" s="2273"/>
      <c r="L474" s="2273"/>
      <c r="M474" s="2273"/>
    </row>
    <row r="475" customFormat="false" ht="15.5" hidden="false" customHeight="false" outlineLevel="1" collapsed="false">
      <c r="A475" s="122" t="s">
        <v>4056</v>
      </c>
      <c r="B475" s="122" t="s">
        <v>135</v>
      </c>
      <c r="C475" s="122" t="n">
        <f aca="false">((E3+C470+C470)*2*C470+E4*C470*2+E132*(D139+D140*2-D139)*C400+D172*(C178+C179*2+C180*2*D180-C184)*C470+D220*(C226+C227*2-C226)*C470)*D470*C471</f>
        <v>0</v>
      </c>
      <c r="D475" s="2367"/>
      <c r="E475" s="2297"/>
      <c r="F475" s="1702"/>
      <c r="G475" s="2273"/>
      <c r="H475" s="2273"/>
      <c r="I475" s="2273"/>
      <c r="J475" s="2273"/>
      <c r="K475" s="2273"/>
      <c r="L475" s="2273"/>
      <c r="M475" s="2273"/>
    </row>
    <row r="476" customFormat="false" ht="15.5" hidden="false" customHeight="false" outlineLevel="1" collapsed="false">
      <c r="A476" s="2370" t="s">
        <v>2720</v>
      </c>
      <c r="B476" s="2370"/>
      <c r="C476" s="2370"/>
      <c r="D476" s="2370"/>
      <c r="E476" s="2370"/>
      <c r="F476" s="2304"/>
      <c r="G476" s="2370" t="s">
        <v>1409</v>
      </c>
      <c r="H476" s="2370"/>
      <c r="I476" s="2370"/>
      <c r="J476" s="2370"/>
      <c r="K476" s="2370"/>
      <c r="L476" s="2370"/>
      <c r="M476" s="2273"/>
    </row>
    <row r="477" customFormat="false" ht="15.5" hidden="false" customHeight="false" outlineLevel="1" collapsed="false">
      <c r="A477" s="87" t="s">
        <v>4079</v>
      </c>
      <c r="B477" s="89" t="s">
        <v>120</v>
      </c>
      <c r="C477" s="89" t="s">
        <v>1802</v>
      </c>
      <c r="D477" s="89" t="s">
        <v>4080</v>
      </c>
      <c r="E477" s="89" t="s">
        <v>4081</v>
      </c>
      <c r="F477" s="2160"/>
      <c r="G477" s="2182"/>
      <c r="H477" s="2183"/>
      <c r="I477" s="89" t="s">
        <v>120</v>
      </c>
      <c r="J477" s="89" t="s">
        <v>1802</v>
      </c>
      <c r="K477" s="89" t="s">
        <v>4080</v>
      </c>
      <c r="L477" s="89" t="s">
        <v>4081</v>
      </c>
      <c r="M477" s="2273"/>
    </row>
    <row r="478" customFormat="false" ht="15.5" hidden="false" customHeight="false" outlineLevel="1" collapsed="false">
      <c r="A478" s="87" t="str">
        <f aca="false">'Прайс лист'!B169</f>
        <v>Скальник, 1 маш 13м3</v>
      </c>
      <c r="B478" s="89" t="s">
        <v>140</v>
      </c>
      <c r="C478" s="89" t="n">
        <f aca="false">(((E3*E4+E132*C170+D172*C211+D220*C236)+(C475/C471)*D470)*C445)/13*G442</f>
        <v>1.53846153846154</v>
      </c>
      <c r="D478" s="89" t="n">
        <f aca="false">'Прайс лист'!G169</f>
        <v>15000</v>
      </c>
      <c r="E478" s="89" t="n">
        <f aca="false">C478*D478</f>
        <v>23076.9230769231</v>
      </c>
      <c r="F478" s="2160"/>
      <c r="G478" s="2182" t="str">
        <f aca="false">'Прайс лист'!B1616</f>
        <v>разбивка осей фундамента</v>
      </c>
      <c r="H478" s="2183"/>
      <c r="I478" s="89" t="s">
        <v>159</v>
      </c>
      <c r="J478" s="89" t="n">
        <f aca="false">1*H442</f>
        <v>1</v>
      </c>
      <c r="K478" s="89" t="n">
        <f aca="false">'Прайс лист'!G1616</f>
        <v>7000</v>
      </c>
      <c r="L478" s="89" t="n">
        <f aca="false">K478*J478</f>
        <v>7000</v>
      </c>
      <c r="M478" s="2273"/>
    </row>
    <row r="479" customFormat="false" ht="15.5" hidden="false" customHeight="false" outlineLevel="1" collapsed="false">
      <c r="A479" s="87" t="str">
        <f aca="false">'Прайс лист'!B167</f>
        <v>ПГС, машина 13м3</v>
      </c>
      <c r="B479" s="89" t="s">
        <v>140</v>
      </c>
      <c r="C479" s="89" t="n">
        <f aca="false">(((E3*E4+E132*C170+D172*C211+D220*C236)+(C475/C471)*D470)*C444)/13*G442</f>
        <v>1.53846153846154</v>
      </c>
      <c r="D479" s="89" t="n">
        <f aca="false">'Прайс лист'!G167</f>
        <v>10000</v>
      </c>
      <c r="E479" s="89" t="n">
        <f aca="false">C479*D479</f>
        <v>15384.6153846154</v>
      </c>
      <c r="F479" s="2160"/>
      <c r="G479" s="2182" t="str">
        <f aca="false">'Прайс лист'!B1629</f>
        <v>трамбовка пгс</v>
      </c>
      <c r="H479" s="2183"/>
      <c r="I479" s="89" t="s">
        <v>133</v>
      </c>
      <c r="J479" s="89" t="n">
        <f aca="false">(E3*E4+E132*C170+D172*C211+D220*C236+C475/C471*D470)*H442*D444</f>
        <v>100</v>
      </c>
      <c r="K479" s="89" t="n">
        <f aca="false">'Прайс лист'!G1629</f>
        <v>600</v>
      </c>
      <c r="L479" s="89" t="n">
        <f aca="false">K479*J479</f>
        <v>60000</v>
      </c>
      <c r="M479" s="2273"/>
    </row>
    <row r="480" customFormat="false" ht="15.5" hidden="false" customHeight="false" outlineLevel="1" collapsed="false">
      <c r="A480" s="87" t="str">
        <f aca="false">'Прайс лист'!B171</f>
        <v>Песок, машина 13м3</v>
      </c>
      <c r="B480" s="89" t="s">
        <v>140</v>
      </c>
      <c r="C480" s="89" t="n">
        <f aca="false">(((E3*E4+E132*C170+D172*C211+D220*C236)+(C475/C471)*D470)*C446)/13*G442</f>
        <v>0.769230769230769</v>
      </c>
      <c r="D480" s="89" t="n">
        <f aca="false">'Прайс лист'!G171</f>
        <v>12000</v>
      </c>
      <c r="E480" s="89" t="n">
        <f aca="false">C480*D480</f>
        <v>9230.76923076923</v>
      </c>
      <c r="F480" s="2160"/>
      <c r="G480" s="2182" t="str">
        <f aca="false">'Прайс лист'!B1630</f>
        <v>трамбовка скальник</v>
      </c>
      <c r="I480" s="89" t="s">
        <v>133</v>
      </c>
      <c r="J480" s="2315" t="n">
        <f aca="false">(E3*E4+E132*C170+D172*C211+D220*C236+C475/C471*D470)*H442*D445</f>
        <v>100</v>
      </c>
      <c r="K480" s="89" t="n">
        <f aca="false">'Прайс лист'!G1630</f>
        <v>400</v>
      </c>
      <c r="L480" s="89" t="n">
        <f aca="false">K480*J480</f>
        <v>40000</v>
      </c>
      <c r="M480" s="2273"/>
    </row>
    <row r="481" customFormat="false" ht="15.5" hidden="false" customHeight="false" outlineLevel="1" collapsed="false">
      <c r="A481" s="87" t="str">
        <f aca="false">'Ввод данных'!A781</f>
        <v>Сосна влаж,180*40мм</v>
      </c>
      <c r="B481" s="89" t="s">
        <v>135</v>
      </c>
      <c r="C481" s="89" t="n">
        <f aca="false">(пристройка!R85+дома!D1229*дома!C1275+дома!C16+дома!C17+дома!C16+дома!C17)*C450*IF((C447+C452)=0,C456,C447+C452+C456)*1.3*G442</f>
        <v>0</v>
      </c>
      <c r="D481" s="89" t="n">
        <f aca="false">VLOOKUP(A481,'Прайс лист'!B291:G303,6,0)</f>
        <v>6500</v>
      </c>
      <c r="E481" s="89" t="n">
        <f aca="false">C481*D481</f>
        <v>0</v>
      </c>
      <c r="F481" s="2160"/>
      <c r="G481" s="2182" t="str">
        <f aca="false">'Прайс лист'!B1628</f>
        <v>трамбовка песок</v>
      </c>
      <c r="I481" s="89" t="s">
        <v>133</v>
      </c>
      <c r="J481" s="2315" t="n">
        <f aca="false">(E3*E4+E132*C170+D172*C211+D220*C236+C475/C471*D470)*H442*D446</f>
        <v>100</v>
      </c>
      <c r="K481" s="933" t="n">
        <f aca="false">'Прайс лист'!G1628</f>
        <v>350</v>
      </c>
      <c r="L481" s="89" t="n">
        <f aca="false">K481*J481</f>
        <v>35000</v>
      </c>
      <c r="M481" s="2273"/>
    </row>
    <row r="482" customFormat="false" ht="15.5" hidden="false" customHeight="false" outlineLevel="1" collapsed="false">
      <c r="A482" s="87" t="str">
        <f aca="false">'Ввод данных'!A776</f>
        <v>Нет утеплителя</v>
      </c>
      <c r="B482" s="89" t="s">
        <v>135</v>
      </c>
      <c r="C482" s="89" t="n">
        <f aca="false">C453*C447*C451+(E3*E4+E132*C170+D172*C211+D220*C236-C453*C451)*C448*G442</f>
        <v>0</v>
      </c>
      <c r="D482" s="89" t="n">
        <f aca="false">VLOOKUP(A482,связи1!A423:F430,6,0)</f>
        <v>0</v>
      </c>
      <c r="E482" s="89" t="n">
        <f aca="false">C482*D482</f>
        <v>0</v>
      </c>
      <c r="F482" s="2160"/>
      <c r="G482" s="2182" t="s">
        <v>4082</v>
      </c>
      <c r="H482" s="2183"/>
      <c r="I482" s="89" t="s">
        <v>133</v>
      </c>
      <c r="J482" s="89" t="n">
        <f aca="false">(D72+E132*C169-D139*E132+D172*C210-D172*C184+D220*C235-C226*D220)*(C447+C452)*H442</f>
        <v>0</v>
      </c>
      <c r="K482" s="89" t="n">
        <f aca="false">'Прайс лист'!G1617+'Прайс лист'!G1618</f>
        <v>400</v>
      </c>
      <c r="L482" s="89" t="n">
        <f aca="false">K482*J482</f>
        <v>0</v>
      </c>
      <c r="M482" s="2273"/>
    </row>
    <row r="483" customFormat="false" ht="15.5" hidden="false" customHeight="false" outlineLevel="1" collapsed="false">
      <c r="A483" s="87" t="str">
        <f aca="false">A482</f>
        <v>Нет утеплителя</v>
      </c>
      <c r="B483" s="89" t="s">
        <v>135</v>
      </c>
      <c r="C483" s="89" t="n">
        <f aca="false">C475/C471*C472*D472*G442</f>
        <v>0</v>
      </c>
      <c r="D483" s="89" t="n">
        <f aca="false">VLOOKUP(A483,связи1!A423:F430,6,0)</f>
        <v>0</v>
      </c>
      <c r="E483" s="89" t="n">
        <f aca="false">C483*D483</f>
        <v>0</v>
      </c>
      <c r="F483" s="2160"/>
      <c r="G483" s="2182" t="str">
        <f aca="false">'Прайс лист'!B1621</f>
        <v>укладка утеплителя под плиту</v>
      </c>
      <c r="H483" s="2183"/>
      <c r="I483" s="89" t="s">
        <v>133</v>
      </c>
      <c r="J483" s="89" t="n">
        <f aca="false">(E3*E4+E132*C170+D172*C211+D220*C236)*H442</f>
        <v>100</v>
      </c>
      <c r="K483" s="89" t="n">
        <f aca="false">'Прайс лист'!G1621</f>
        <v>200</v>
      </c>
      <c r="L483" s="89" t="n">
        <f aca="false">K483*J483</f>
        <v>20000</v>
      </c>
      <c r="M483" s="2273"/>
    </row>
    <row r="484" customFormat="false" ht="15.5" hidden="false" customHeight="false" outlineLevel="1" collapsed="false">
      <c r="A484" s="87" t="str">
        <f aca="false">'Прайс лист'!B215</f>
        <v>Пленка гидроизоляционная</v>
      </c>
      <c r="B484" s="89" t="s">
        <v>133</v>
      </c>
      <c r="C484" s="89" t="n">
        <f aca="false">(E3*E4+E132*C170+D172*C211+D220*C236)*1.3*G442</f>
        <v>130</v>
      </c>
      <c r="D484" s="89" t="n">
        <f aca="false">'Прайс лист'!G215</f>
        <v>15</v>
      </c>
      <c r="E484" s="89" t="n">
        <f aca="false">C484*D484</f>
        <v>1950</v>
      </c>
      <c r="F484" s="2160"/>
      <c r="G484" s="2182" t="str">
        <f aca="false">'Прайс лист'!B1622</f>
        <v>укладка утеплителя под отмостка</v>
      </c>
      <c r="H484" s="2183"/>
      <c r="I484" s="89" t="s">
        <v>133</v>
      </c>
      <c r="J484" s="89" t="n">
        <f aca="false">C475/C471*D472*H442</f>
        <v>0</v>
      </c>
      <c r="K484" s="89" t="n">
        <f aca="false">'Прайс лист'!G1622</f>
        <v>200</v>
      </c>
      <c r="L484" s="89" t="n">
        <f aca="false">K484*J484</f>
        <v>0</v>
      </c>
      <c r="M484" s="2273"/>
    </row>
    <row r="485" customFormat="false" ht="15.5" hidden="false" customHeight="false" outlineLevel="1" collapsed="false">
      <c r="A485" s="87" t="str">
        <f aca="false">'Прайс лист'!B211</f>
        <v>Кладочная сетка, 100*100/150*150/200*200мм</v>
      </c>
      <c r="B485" s="89" t="s">
        <v>133</v>
      </c>
      <c r="C485" s="89" t="n">
        <f aca="false">E3*E4+E132*C170+D172*C211+D220*C236*G442</f>
        <v>100</v>
      </c>
      <c r="D485" s="89" t="n">
        <f aca="false">'Прайс лист'!G211</f>
        <v>70</v>
      </c>
      <c r="E485" s="89" t="n">
        <f aca="false">C485*D485</f>
        <v>7000</v>
      </c>
      <c r="F485" s="2160"/>
      <c r="G485" s="2182" t="s">
        <v>4083</v>
      </c>
      <c r="H485" s="2183"/>
      <c r="I485" s="89" t="s">
        <v>133</v>
      </c>
      <c r="J485" s="89" t="n">
        <f aca="false">(E3*E4+E132*C170+D172*C211+D220*C236)*H442</f>
        <v>100</v>
      </c>
      <c r="K485" s="89" t="n">
        <f aca="false">'Прайс лист'!G1619</f>
        <v>10</v>
      </c>
      <c r="L485" s="89" t="n">
        <f aca="false">K485*J485</f>
        <v>1000</v>
      </c>
      <c r="M485" s="2273"/>
    </row>
    <row r="486" customFormat="false" ht="15.5" hidden="false" customHeight="false" outlineLevel="1" collapsed="false">
      <c r="A486" s="87" t="str">
        <f aca="false">'Прайс лист'!B213</f>
        <v>Стяжки пластиковые</v>
      </c>
      <c r="B486" s="89" t="s">
        <v>159</v>
      </c>
      <c r="C486" s="89" t="n">
        <f aca="false">C485*3*G442+C463*3*D463*G442</f>
        <v>1140</v>
      </c>
      <c r="D486" s="89" t="n">
        <f aca="false">'Прайс лист'!G213</f>
        <v>2</v>
      </c>
      <c r="E486" s="89" t="n">
        <f aca="false">C486*D486</f>
        <v>2280</v>
      </c>
      <c r="F486" s="2160"/>
      <c r="G486" s="2182" t="str">
        <f aca="false">'Прайс лист'!B1635</f>
        <v>кладка сетки</v>
      </c>
      <c r="H486" s="2183"/>
      <c r="I486" s="89" t="s">
        <v>133</v>
      </c>
      <c r="J486" s="89" t="n">
        <f aca="false">(E3*E4+E132*C170+D172*C211+D220*C236)*H442</f>
        <v>100</v>
      </c>
      <c r="K486" s="89" t="n">
        <f aca="false">'Прайс лист'!G1635</f>
        <v>100</v>
      </c>
      <c r="L486" s="89" t="n">
        <f aca="false">K486*J486</f>
        <v>10000</v>
      </c>
      <c r="M486" s="2273"/>
    </row>
    <row r="487" customFormat="false" ht="15.5" hidden="false" customHeight="false" outlineLevel="1" collapsed="false">
      <c r="A487" s="87" t="str">
        <f aca="false">'Ввод данных'!A783</f>
        <v>Бетон, м350</v>
      </c>
      <c r="B487" s="89" t="s">
        <v>135</v>
      </c>
      <c r="C487" s="89" t="n">
        <f aca="false">C460*G442</f>
        <v>0</v>
      </c>
      <c r="D487" s="89" t="n">
        <f aca="false">VLOOKUP(A487,Бетон__м200,6,0)</f>
        <v>3500</v>
      </c>
      <c r="E487" s="89" t="n">
        <f aca="false">C487*D487</f>
        <v>0</v>
      </c>
      <c r="F487" s="2160"/>
      <c r="G487" s="2182" t="str">
        <f aca="false">'Прайс лист'!B1643</f>
        <v>укладка теп. Пола</v>
      </c>
      <c r="H487" s="2183"/>
      <c r="I487" s="89" t="s">
        <v>133</v>
      </c>
      <c r="J487" s="89" t="n">
        <f aca="false">(E3*E4+E132*C170+D172*C211+D220*C236)*D463*H442</f>
        <v>100</v>
      </c>
      <c r="K487" s="89" t="n">
        <f aca="false">'Прайс лист'!G1643</f>
        <v>600</v>
      </c>
      <c r="L487" s="89" t="n">
        <f aca="false">K487*J487</f>
        <v>60000</v>
      </c>
      <c r="M487" s="2273"/>
    </row>
    <row r="488" customFormat="false" ht="15.5" hidden="false" customHeight="false" outlineLevel="1" collapsed="false">
      <c r="A488" s="87" t="str">
        <f aca="false">'Ввод данных'!A806</f>
        <v>Бетон, м250</v>
      </c>
      <c r="B488" s="89" t="s">
        <v>135</v>
      </c>
      <c r="C488" s="89" t="n">
        <f aca="false">C475*D470*G442</f>
        <v>0</v>
      </c>
      <c r="D488" s="89" t="n">
        <f aca="false">VLOOKUP(A488,Бетон__м200,6,0)</f>
        <v>2750</v>
      </c>
      <c r="E488" s="89" t="n">
        <f aca="false">C488*D488</f>
        <v>0</v>
      </c>
      <c r="F488" s="2160"/>
      <c r="G488" s="2182" t="str">
        <f aca="false">'Прайс лист'!B1605</f>
        <v>Заливка бетоном перекрытия/плиты</v>
      </c>
      <c r="H488" s="2183"/>
      <c r="I488" s="89" t="s">
        <v>133</v>
      </c>
      <c r="J488" s="89" t="n">
        <f aca="false">(E3*E4+E132*C170+D172*C211+D220*C236)*H442</f>
        <v>100</v>
      </c>
      <c r="K488" s="89" t="n">
        <f aca="false">'Прайс лист'!G1605</f>
        <v>350</v>
      </c>
      <c r="L488" s="89" t="n">
        <f aca="false">K488*J488</f>
        <v>35000</v>
      </c>
      <c r="M488" s="2273"/>
    </row>
    <row r="489" customFormat="false" ht="15.5" hidden="false" customHeight="false" outlineLevel="1" collapsed="false">
      <c r="A489" s="87" t="str">
        <f aca="false">'Ввод данных'!A795</f>
        <v>Труба теплого пола 3</v>
      </c>
      <c r="B489" s="89" t="s">
        <v>1415</v>
      </c>
      <c r="C489" s="89" t="n">
        <f aca="false">C463*D463*G442</f>
        <v>280</v>
      </c>
      <c r="D489" s="89" t="n">
        <f aca="false">VLOOKUP(A489,'Прайс лист'!B1083:G1091,6,0)</f>
        <v>60</v>
      </c>
      <c r="E489" s="89" t="n">
        <f aca="false">C489*D489</f>
        <v>16800</v>
      </c>
      <c r="F489" s="2160"/>
      <c r="G489" s="2182" t="str">
        <f aca="false">'Прайс лист'!B1642</f>
        <v>заливка бетоном отмостки</v>
      </c>
      <c r="H489" s="2183"/>
      <c r="I489" s="89" t="s">
        <v>133</v>
      </c>
      <c r="J489" s="89" t="n">
        <f aca="false">C475/C471*D470*H442</f>
        <v>0</v>
      </c>
      <c r="K489" s="89" t="n">
        <f aca="false">'Прайс лист'!G1642</f>
        <v>500</v>
      </c>
      <c r="L489" s="89" t="n">
        <f aca="false">K489*J489</f>
        <v>0</v>
      </c>
      <c r="M489" s="2273"/>
    </row>
    <row r="490" customFormat="false" ht="15.5" hidden="false" customHeight="false" outlineLevel="1" collapsed="false">
      <c r="A490" s="87" t="str">
        <f aca="false">'Ввод данных'!A797</f>
        <v>Коллектор 1</v>
      </c>
      <c r="B490" s="89" t="s">
        <v>159</v>
      </c>
      <c r="C490" s="89" t="n">
        <f aca="false">D464*G442</f>
        <v>1</v>
      </c>
      <c r="D490" s="89" t="n">
        <f aca="false">VLOOKUP(A490,'Прайс лист'!B1092:G1099,6,0)</f>
        <v>5000</v>
      </c>
      <c r="E490" s="89" t="n">
        <f aca="false">C490*D490</f>
        <v>5000</v>
      </c>
      <c r="F490" s="2160"/>
      <c r="G490" s="2182" t="s">
        <v>4084</v>
      </c>
      <c r="H490" s="2183"/>
      <c r="I490" s="89" t="s">
        <v>133</v>
      </c>
      <c r="J490" s="89" t="n">
        <f aca="false">(E3*E4+E132*C170+D172*C211+D220*C236)*H442</f>
        <v>100</v>
      </c>
      <c r="K490" s="89" t="n">
        <f aca="false">'Прайс лист'!G1600</f>
        <v>300</v>
      </c>
      <c r="L490" s="89" t="n">
        <f aca="false">K490*J490</f>
        <v>30000</v>
      </c>
      <c r="M490" s="2273"/>
    </row>
    <row r="491" customFormat="false" ht="15.5" hidden="false" customHeight="false" outlineLevel="1" collapsed="false">
      <c r="A491" s="87" t="str">
        <f aca="false">'Ввод данных'!A788</f>
        <v>Нет арматуры</v>
      </c>
      <c r="B491" s="89" t="s">
        <v>156</v>
      </c>
      <c r="C491" s="89" t="n">
        <f aca="false">C453*C455*1.1*G442</f>
        <v>246.4</v>
      </c>
      <c r="D491" s="89" t="n">
        <f aca="false">VLOOKUP(A491,'Прайс лист'!B199:G210,6,0)</f>
        <v>0</v>
      </c>
      <c r="E491" s="89" t="n">
        <f aca="false">C491*D491</f>
        <v>0</v>
      </c>
      <c r="F491" s="2160"/>
      <c r="G491" s="2182" t="str">
        <f aca="false">'Прайс лист'!B1604</f>
        <v>армирование отмостки</v>
      </c>
      <c r="H491" s="2183"/>
      <c r="I491" s="89" t="s">
        <v>133</v>
      </c>
      <c r="J491" s="89" t="n">
        <f aca="false">C475/C471*D470*H442</f>
        <v>0</v>
      </c>
      <c r="K491" s="89" t="n">
        <f aca="false">'Прайс лист'!G1604</f>
        <v>350</v>
      </c>
      <c r="L491" s="89" t="n">
        <f aca="false">K491*J491</f>
        <v>0</v>
      </c>
      <c r="M491" s="2273"/>
    </row>
    <row r="492" customFormat="false" ht="15.5" hidden="false" customHeight="false" outlineLevel="1" collapsed="false">
      <c r="A492" s="87" t="str">
        <f aca="false">'Ввод данных'!A792</f>
        <v>Нет арматуры</v>
      </c>
      <c r="B492" s="89" t="s">
        <v>156</v>
      </c>
      <c r="C492" s="89" t="n">
        <f aca="false">(E3*E4+E132*C170+D172*C211+D220*C236)*(1/C458)*2*G442*C459</f>
        <v>1000</v>
      </c>
      <c r="D492" s="89" t="n">
        <f aca="false">VLOOKUP(A492,'Прайс лист'!B199:G210,6,0)</f>
        <v>0</v>
      </c>
      <c r="E492" s="89" t="n">
        <f aca="false">C492*D492</f>
        <v>0</v>
      </c>
      <c r="F492" s="2160"/>
      <c r="G492" s="2182" t="str">
        <f aca="false">'Прайс лист'!B1644</f>
        <v>монтаж канализации</v>
      </c>
      <c r="H492" s="2183"/>
      <c r="I492" s="89" t="s">
        <v>156</v>
      </c>
      <c r="J492" s="89" t="n">
        <f aca="false">C467*D467*H442</f>
        <v>0</v>
      </c>
      <c r="K492" s="89" t="n">
        <f aca="false">'Прайс лист'!G1644</f>
        <v>200</v>
      </c>
      <c r="L492" s="89" t="n">
        <f aca="false">K492*J492</f>
        <v>0</v>
      </c>
      <c r="M492" s="2273"/>
    </row>
    <row r="493" customFormat="false" ht="15.5" hidden="false" customHeight="false" outlineLevel="1" collapsed="false">
      <c r="A493" s="87" t="str">
        <f aca="false">'Ввод данных'!A790</f>
        <v>Нет арматуры</v>
      </c>
      <c r="B493" s="89" t="s">
        <v>156</v>
      </c>
      <c r="C493" s="89" t="n">
        <f aca="false">(C453/'Ввод данных'!C790)*(C451+C452)*2*1.1*G442</f>
        <v>0</v>
      </c>
      <c r="D493" s="89" t="n">
        <f aca="false">VLOOKUP(A493,'Прайс лист'!B199:G210,6,0)</f>
        <v>0</v>
      </c>
      <c r="E493" s="89" t="n">
        <f aca="false">C493*D493</f>
        <v>0</v>
      </c>
      <c r="F493" s="2160"/>
      <c r="G493" s="2182" t="str">
        <f aca="false">'Прайс лист'!B1645</f>
        <v>укладка геотекстиля</v>
      </c>
      <c r="H493" s="2183"/>
      <c r="I493" s="89" t="s">
        <v>133</v>
      </c>
      <c r="J493" s="89" t="n">
        <f aca="false">(E3*E4+E132*C170+D172*C211+D220*C236+C475/C471*D470)*H442</f>
        <v>100</v>
      </c>
      <c r="K493" s="89" t="n">
        <f aca="false">'Прайс лист'!G1645</f>
        <v>200</v>
      </c>
      <c r="L493" s="89" t="n">
        <f aca="false">K493*J493</f>
        <v>20000</v>
      </c>
      <c r="M493" s="2273"/>
    </row>
    <row r="494" customFormat="false" ht="15.5" hidden="false" customHeight="false" outlineLevel="1" collapsed="false">
      <c r="A494" s="87" t="str">
        <f aca="false">'Прайс лист'!B212</f>
        <v>Вязальная проволока</v>
      </c>
      <c r="B494" s="89" t="s">
        <v>188</v>
      </c>
      <c r="C494" s="89" t="n">
        <f aca="false">(C491+C492+C493)/50*G442</f>
        <v>24.928</v>
      </c>
      <c r="D494" s="89" t="n">
        <f aca="false">'Прайс лист'!G212</f>
        <v>80</v>
      </c>
      <c r="E494" s="89" t="n">
        <f aca="false">C494*D494</f>
        <v>1994.24</v>
      </c>
      <c r="F494" s="2160"/>
      <c r="G494" s="2182" t="str">
        <f aca="false">'Прайс лист'!B1646</f>
        <v>укладка дренажа</v>
      </c>
      <c r="H494" s="2183"/>
      <c r="I494" s="89" t="s">
        <v>133</v>
      </c>
      <c r="J494" s="89" t="n">
        <f aca="false">(D72+E132*C169-D139*E132+D172*C210-D172*C184+D220*C235-C226*D220+5)*H442</f>
        <v>61</v>
      </c>
      <c r="K494" s="89" t="n">
        <f aca="false">'Прайс лист'!G1646</f>
        <v>200</v>
      </c>
      <c r="L494" s="89" t="n">
        <f aca="false">K494*J494</f>
        <v>12200</v>
      </c>
      <c r="M494" s="2273"/>
    </row>
    <row r="495" customFormat="false" ht="15.5" hidden="false" customHeight="false" outlineLevel="1" collapsed="false">
      <c r="A495" s="87" t="str">
        <f aca="false">'Прайс лист'!B214</f>
        <v>Подставка под арматурный каркас</v>
      </c>
      <c r="B495" s="89" t="s">
        <v>159</v>
      </c>
      <c r="C495" s="89" t="n">
        <f aca="false">(E3*E4+E132*C170+D172*C211+D220*C236)*3*G442</f>
        <v>300</v>
      </c>
      <c r="D495" s="89" t="n">
        <f aca="false">'Прайс лист'!G214</f>
        <v>5</v>
      </c>
      <c r="E495" s="89" t="n">
        <f aca="false">C495*D495</f>
        <v>1500</v>
      </c>
      <c r="F495" s="2160"/>
      <c r="G495" s="2182" t="str">
        <f aca="false">'Прайс лист'!B1647</f>
        <v>монтаж дренажного колодца</v>
      </c>
      <c r="H495" s="2183"/>
      <c r="I495" s="89" t="s">
        <v>159</v>
      </c>
      <c r="J495" s="89" t="n">
        <f aca="false">C466*D466*H442</f>
        <v>0</v>
      </c>
      <c r="K495" s="89" t="n">
        <f aca="false">'Прайс лист'!G1647</f>
        <v>300</v>
      </c>
      <c r="L495" s="89" t="n">
        <f aca="false">K495*J495</f>
        <v>0</v>
      </c>
      <c r="M495" s="2273"/>
    </row>
    <row r="496" customFormat="false" ht="15.5" hidden="false" customHeight="false" outlineLevel="1" collapsed="false">
      <c r="A496" s="87" t="str">
        <f aca="false">'Прайс лист'!B890</f>
        <v>Гвозди строительные 3,5 x 90</v>
      </c>
      <c r="B496" s="89" t="s">
        <v>188</v>
      </c>
      <c r="C496" s="89" t="n">
        <f aca="false">C481*5*G442</f>
        <v>0</v>
      </c>
      <c r="D496" s="89" t="n">
        <f aca="false">'Прайс лист'!G890</f>
        <v>70</v>
      </c>
      <c r="E496" s="89" t="n">
        <f aca="false">C496*D496</f>
        <v>0</v>
      </c>
      <c r="F496" s="2160"/>
      <c r="G496" s="122"/>
      <c r="H496" s="122"/>
      <c r="I496" s="89"/>
      <c r="J496" s="89"/>
      <c r="K496" s="89"/>
      <c r="L496" s="89"/>
      <c r="M496" s="2273"/>
    </row>
    <row r="497" customFormat="false" ht="15.5" hidden="false" customHeight="false" outlineLevel="1" collapsed="false">
      <c r="A497" s="87" t="str">
        <f aca="false">'Прайс лист'!B791</f>
        <v>Геотекстиль</v>
      </c>
      <c r="B497" s="89" t="s">
        <v>133</v>
      </c>
      <c r="C497" s="89" t="n">
        <f aca="false">(E3*E4+E132*C170+D172*C211+D220*C236+C475/C471*D470)*1.15*G442</f>
        <v>115</v>
      </c>
      <c r="D497" s="89" t="n">
        <f aca="false">'Прайс лист'!G791</f>
        <v>100</v>
      </c>
      <c r="E497" s="89" t="n">
        <f aca="false">C497*D497</f>
        <v>11500</v>
      </c>
      <c r="F497" s="2160"/>
      <c r="G497" s="122"/>
      <c r="H497" s="122"/>
      <c r="I497" s="89"/>
      <c r="J497" s="89"/>
      <c r="K497" s="89"/>
      <c r="L497" s="89"/>
      <c r="M497" s="2273"/>
    </row>
    <row r="498" customFormat="false" ht="15.5" hidden="false" customHeight="false" outlineLevel="1" collapsed="false">
      <c r="A498" s="87" t="str">
        <f aca="false">'Ввод данных'!A799</f>
        <v>Труба гофрированная одностенная d110</v>
      </c>
      <c r="B498" s="89" t="s">
        <v>156</v>
      </c>
      <c r="C498" s="89" t="n">
        <f aca="false">(D72+E132*C169-D139*E132+D172*C210-D172*C184+D220*C235-C226*D220+5)*G442</f>
        <v>61</v>
      </c>
      <c r="D498" s="89" t="n">
        <f aca="false">VLOOKUP(A498,'Прайс лист'!B1103:G1118,6,0)</f>
        <v>77</v>
      </c>
      <c r="E498" s="89" t="n">
        <f aca="false">C498*D498</f>
        <v>4697</v>
      </c>
      <c r="F498" s="2160"/>
      <c r="G498" s="122"/>
      <c r="H498" s="122"/>
      <c r="I498" s="89"/>
      <c r="J498" s="89"/>
      <c r="K498" s="89"/>
      <c r="L498" s="89"/>
      <c r="M498" s="2273"/>
    </row>
    <row r="499" customFormat="false" ht="15.5" hidden="false" customHeight="false" outlineLevel="1" collapsed="false">
      <c r="A499" s="87" t="str">
        <f aca="false">'Ввод данных'!A801</f>
        <v>Дренажный колодец D300</v>
      </c>
      <c r="B499" s="89" t="s">
        <v>159</v>
      </c>
      <c r="C499" s="89" t="n">
        <f aca="false">C466*D466</f>
        <v>0</v>
      </c>
      <c r="D499" s="89" t="n">
        <f aca="false">VLOOKUP(A499,'Прайс лист'!B1124:G1127,6,0)</f>
        <v>1500</v>
      </c>
      <c r="E499" s="89" t="n">
        <f aca="false">C499*D499</f>
        <v>0</v>
      </c>
      <c r="F499" s="2160"/>
      <c r="G499" s="122"/>
      <c r="H499" s="122"/>
      <c r="I499" s="89"/>
      <c r="J499" s="89"/>
      <c r="K499" s="89"/>
      <c r="L499" s="89"/>
      <c r="M499" s="2273"/>
    </row>
    <row r="500" customFormat="false" ht="15.5" hidden="false" customHeight="false" outlineLevel="1" collapsed="false">
      <c r="A500" s="87" t="str">
        <f aca="false">'Прайс лист'!B1119</f>
        <v>Труба канализационная D110</v>
      </c>
      <c r="B500" s="89" t="s">
        <v>159</v>
      </c>
      <c r="C500" s="89" t="n">
        <f aca="false">C467*D467*G442</f>
        <v>0</v>
      </c>
      <c r="D500" s="89" t="n">
        <f aca="false">'Прайс лист'!G1119</f>
        <v>70</v>
      </c>
      <c r="E500" s="89" t="n">
        <f aca="false">C500*D500</f>
        <v>0</v>
      </c>
      <c r="F500" s="2160"/>
      <c r="G500" s="122"/>
      <c r="H500" s="122"/>
      <c r="I500" s="89"/>
      <c r="J500" s="89"/>
      <c r="K500" s="89"/>
      <c r="L500" s="89"/>
      <c r="M500" s="2273"/>
    </row>
    <row r="501" customFormat="false" ht="15.5" hidden="false" customHeight="false" outlineLevel="1" collapsed="false">
      <c r="A501" s="933" t="str">
        <f aca="false">'Ввод данных'!A814</f>
        <v>Нет техники</v>
      </c>
      <c r="B501" s="887" t="str">
        <f aca="false">'Ввод данных'!B814</f>
        <v>ед.</v>
      </c>
      <c r="C501" s="933" t="n">
        <f aca="false">'Ввод данных'!C814</f>
        <v>3</v>
      </c>
      <c r="D501" s="2315" t="n">
        <f aca="false">VLOOKUP(A501,'Прайс лист'!B180:G194,6,0)</f>
        <v>0</v>
      </c>
      <c r="E501" s="89" t="n">
        <f aca="false">C501*D501</f>
        <v>0</v>
      </c>
      <c r="F501" s="2160"/>
      <c r="G501" s="122"/>
      <c r="H501" s="122"/>
      <c r="I501" s="89"/>
      <c r="J501" s="89"/>
      <c r="K501" s="89"/>
      <c r="L501" s="89"/>
      <c r="M501" s="2273"/>
    </row>
    <row r="502" customFormat="false" ht="15.5" hidden="false" customHeight="false" outlineLevel="1" collapsed="false">
      <c r="A502" s="933" t="str">
        <f aca="false">'Ввод данных'!A815</f>
        <v>Нет техники</v>
      </c>
      <c r="B502" s="887" t="str">
        <f aca="false">'Ввод данных'!B815</f>
        <v>ед.</v>
      </c>
      <c r="C502" s="933" t="n">
        <f aca="false">'Ввод данных'!C815</f>
        <v>0</v>
      </c>
      <c r="D502" s="2315" t="n">
        <f aca="false">VLOOKUP(A502,'Прайс лист'!B180:G194,6,0)</f>
        <v>0</v>
      </c>
      <c r="E502" s="89" t="n">
        <f aca="false">C502*D502</f>
        <v>0</v>
      </c>
      <c r="F502" s="2160"/>
      <c r="G502" s="2315"/>
      <c r="H502" s="2315"/>
      <c r="I502" s="2315"/>
      <c r="J502" s="2315"/>
      <c r="K502" s="2315"/>
      <c r="L502" s="2315"/>
      <c r="M502" s="2273"/>
    </row>
    <row r="503" customFormat="false" ht="15.5" hidden="false" customHeight="false" outlineLevel="1" collapsed="false">
      <c r="A503" s="933" t="str">
        <f aca="false">'Ввод данных'!A816</f>
        <v>Нет техники</v>
      </c>
      <c r="B503" s="887" t="str">
        <f aca="false">'Ввод данных'!B816</f>
        <v>ед.</v>
      </c>
      <c r="C503" s="933" t="n">
        <f aca="false">'Ввод данных'!C816</f>
        <v>0</v>
      </c>
      <c r="D503" s="2315" t="n">
        <f aca="false">VLOOKUP(A503,'Прайс лист'!B180:G194,6,0)</f>
        <v>0</v>
      </c>
      <c r="E503" s="89" t="n">
        <f aca="false">C503*D503</f>
        <v>0</v>
      </c>
      <c r="F503" s="2160"/>
      <c r="G503" s="2315"/>
      <c r="H503" s="2315"/>
      <c r="I503" s="2315"/>
      <c r="J503" s="2315"/>
      <c r="K503" s="2315"/>
      <c r="L503" s="2315"/>
      <c r="M503" s="2273"/>
    </row>
    <row r="504" customFormat="false" ht="15.5" hidden="false" customHeight="false" outlineLevel="1" collapsed="false">
      <c r="A504" s="933" t="str">
        <f aca="false">'Ввод данных'!A817</f>
        <v>Нет техники</v>
      </c>
      <c r="B504" s="887" t="str">
        <f aca="false">'Ввод данных'!B817</f>
        <v>ед.</v>
      </c>
      <c r="C504" s="933" t="n">
        <f aca="false">'Ввод данных'!C817</f>
        <v>0</v>
      </c>
      <c r="D504" s="2315" t="n">
        <f aca="false">VLOOKUP(A504,'Прайс лист'!B180:G194,6,0)</f>
        <v>0</v>
      </c>
      <c r="E504" s="89" t="n">
        <f aca="false">C504*D504</f>
        <v>0</v>
      </c>
      <c r="F504" s="2160"/>
      <c r="G504" s="2315"/>
      <c r="H504" s="2315"/>
      <c r="I504" s="2315"/>
      <c r="J504" s="2315"/>
      <c r="K504" s="2315"/>
      <c r="L504" s="2315"/>
      <c r="M504" s="2273"/>
    </row>
    <row r="505" customFormat="false" ht="15.5" hidden="false" customHeight="false" outlineLevel="1" collapsed="false">
      <c r="A505" s="933" t="str">
        <f aca="false">'Ввод данных'!A818</f>
        <v>Нет техники</v>
      </c>
      <c r="B505" s="887" t="str">
        <f aca="false">'Ввод данных'!B818</f>
        <v>ед.</v>
      </c>
      <c r="C505" s="933" t="n">
        <f aca="false">'Ввод данных'!C818</f>
        <v>0</v>
      </c>
      <c r="D505" s="89" t="n">
        <f aca="false">VLOOKUP(A505,'Прайс лист'!B180:G194,6,0)</f>
        <v>0</v>
      </c>
      <c r="E505" s="89" t="n">
        <f aca="false">C505*D505</f>
        <v>0</v>
      </c>
      <c r="F505" s="2160"/>
      <c r="G505" s="2315"/>
      <c r="H505" s="2315"/>
      <c r="I505" s="2315"/>
      <c r="J505" s="2315"/>
      <c r="K505" s="2315"/>
      <c r="L505" s="2315"/>
      <c r="M505" s="2273"/>
    </row>
    <row r="506" customFormat="false" ht="15.5" hidden="false" customHeight="false" outlineLevel="1" collapsed="false">
      <c r="A506" s="933" t="str">
        <f aca="false">'Ввод данных'!A820</f>
        <v>расходные материалы плита ушп</v>
      </c>
      <c r="B506" s="887" t="s">
        <v>1796</v>
      </c>
      <c r="C506" s="933" t="n">
        <f aca="false">1</f>
        <v>1</v>
      </c>
      <c r="D506" s="89" t="n">
        <f aca="false">'Ввод данных'!C820</f>
        <v>12000</v>
      </c>
      <c r="E506" s="89" t="n">
        <f aca="false">C506*D506</f>
        <v>12000</v>
      </c>
      <c r="F506" s="2160"/>
      <c r="G506" s="122"/>
      <c r="H506" s="122"/>
      <c r="I506" s="89"/>
      <c r="J506" s="89"/>
      <c r="K506" s="89"/>
      <c r="L506" s="89"/>
      <c r="M506" s="2273"/>
    </row>
    <row r="507" customFormat="false" ht="15.5" hidden="false" customHeight="false" outlineLevel="1" collapsed="false">
      <c r="A507" s="2371"/>
      <c r="B507" s="2120"/>
      <c r="C507" s="2120"/>
      <c r="D507" s="2120"/>
      <c r="E507" s="2236" t="n">
        <f aca="false">SUM(E478:E505)</f>
        <v>100413.547692308</v>
      </c>
      <c r="F507" s="2160"/>
      <c r="G507" s="2371"/>
      <c r="H507" s="2120"/>
      <c r="I507" s="2120"/>
      <c r="J507" s="2120"/>
      <c r="K507" s="2120"/>
      <c r="L507" s="2154" t="n">
        <f aca="false">SUM(L478:L506)</f>
        <v>330200</v>
      </c>
      <c r="M507" s="2273"/>
    </row>
    <row r="508" customFormat="false" ht="15.5" hidden="false" customHeight="false" outlineLevel="1" collapsed="false">
      <c r="A508" s="122" t="s">
        <v>4059</v>
      </c>
      <c r="B508" s="122" t="n">
        <f aca="false">E507</f>
        <v>100413.547692308</v>
      </c>
      <c r="C508" s="905"/>
      <c r="D508" s="905"/>
      <c r="E508" s="2120"/>
      <c r="F508" s="905"/>
      <c r="G508" s="905"/>
      <c r="H508" s="905"/>
      <c r="I508" s="905"/>
      <c r="J508" s="905"/>
      <c r="K508" s="2120"/>
      <c r="L508" s="2310"/>
      <c r="M508" s="2072"/>
    </row>
    <row r="509" customFormat="false" ht="15.5" hidden="false" customHeight="false" outlineLevel="1" collapsed="false">
      <c r="A509" s="122" t="s">
        <v>4060</v>
      </c>
      <c r="B509" s="122" t="n">
        <f aca="false">L507</f>
        <v>330200</v>
      </c>
      <c r="C509" s="905"/>
      <c r="D509" s="905"/>
      <c r="E509" s="2120"/>
      <c r="F509" s="905"/>
      <c r="G509" s="2371"/>
      <c r="H509" s="2120"/>
      <c r="I509" s="2120"/>
      <c r="J509" s="2120"/>
      <c r="K509" s="2120"/>
      <c r="L509" s="2310"/>
      <c r="M509" s="2072"/>
    </row>
    <row r="510" customFormat="false" ht="15.5" hidden="false" customHeight="false" outlineLevel="1" collapsed="false">
      <c r="A510" s="122" t="s">
        <v>4061</v>
      </c>
      <c r="B510" s="122" t="n">
        <f aca="false">SUM(B508:B509)*B511</f>
        <v>0</v>
      </c>
      <c r="C510" s="2310"/>
      <c r="D510" s="2310"/>
      <c r="E510" s="2310"/>
      <c r="F510" s="2310"/>
      <c r="G510" s="2310"/>
      <c r="H510" s="2310"/>
      <c r="I510" s="2310"/>
      <c r="J510" s="2310"/>
      <c r="K510" s="2310"/>
      <c r="L510" s="2310"/>
      <c r="M510" s="2072"/>
    </row>
    <row r="511" customFormat="false" ht="15.5" hidden="false" customHeight="false" outlineLevel="0" collapsed="false">
      <c r="A511" s="2299" t="s">
        <v>4085</v>
      </c>
      <c r="B511" s="2331"/>
      <c r="C511" s="2148" t="s">
        <v>3663</v>
      </c>
      <c r="D511" s="2148"/>
      <c r="E511" s="2148"/>
      <c r="F511" s="2148"/>
      <c r="G511" s="2273"/>
      <c r="H511" s="2273"/>
      <c r="I511" s="2273"/>
      <c r="J511" s="2273"/>
      <c r="K511" s="2273"/>
      <c r="L511" s="2273"/>
      <c r="M511" s="2273"/>
    </row>
    <row r="512" customFormat="false" ht="14.5" hidden="false" customHeight="false" outlineLevel="0" collapsed="false">
      <c r="A512" s="2273"/>
      <c r="B512" s="2273"/>
      <c r="C512" s="2273"/>
      <c r="D512" s="2273"/>
      <c r="E512" s="2273"/>
      <c r="F512" s="2273"/>
      <c r="G512" s="2273"/>
      <c r="H512" s="2273"/>
      <c r="I512" s="2273"/>
      <c r="J512" s="2273"/>
      <c r="K512" s="2273"/>
      <c r="L512" s="2273"/>
      <c r="M512" s="2273"/>
    </row>
    <row r="513" customFormat="false" ht="14.5" hidden="false" customHeight="false" outlineLevel="0" collapsed="false">
      <c r="A513" s="2273"/>
      <c r="B513" s="2273"/>
      <c r="C513" s="2273"/>
      <c r="D513" s="2273"/>
      <c r="E513" s="2273"/>
      <c r="F513" s="2273"/>
      <c r="G513" s="2273"/>
      <c r="H513" s="2273"/>
      <c r="I513" s="2273"/>
      <c r="J513" s="2273"/>
      <c r="K513" s="2273"/>
      <c r="L513" s="2273"/>
      <c r="M513" s="2273"/>
    </row>
    <row r="514" customFormat="false" ht="14.5" hidden="false" customHeight="false" outlineLevel="0" collapsed="false">
      <c r="A514" s="2050" t="s">
        <v>3905</v>
      </c>
      <c r="B514" s="2050"/>
      <c r="C514" s="2050"/>
      <c r="D514" s="2050"/>
      <c r="E514" s="2050"/>
      <c r="F514" s="1082" t="n">
        <f aca="false">VLOOKUP('Ввод данных'!F890,связи1!A2:B3,2,0)</f>
        <v>0</v>
      </c>
      <c r="G514" s="893"/>
      <c r="H514" s="461"/>
      <c r="I514" s="461"/>
      <c r="J514" s="461"/>
      <c r="K514" s="998"/>
      <c r="L514" s="2273"/>
      <c r="M514" s="2273"/>
    </row>
    <row r="515" customFormat="false" ht="14.5" hidden="false" customHeight="false" outlineLevel="0" collapsed="false">
      <c r="A515" s="2372" t="s">
        <v>4086</v>
      </c>
      <c r="B515" s="2373"/>
      <c r="C515" s="2050"/>
      <c r="D515" s="2050"/>
      <c r="E515" s="2050"/>
      <c r="F515" s="1949" t="n">
        <f aca="false">'Ввод данных'!E826</f>
        <v>1.1</v>
      </c>
      <c r="G515" s="894" t="n">
        <f aca="false">F514*F515</f>
        <v>0</v>
      </c>
      <c r="H515" s="461"/>
      <c r="I515" s="461"/>
      <c r="J515" s="461"/>
      <c r="K515" s="998"/>
      <c r="L515" s="2273"/>
      <c r="M515" s="2273"/>
    </row>
    <row r="516" customFormat="false" ht="14.5" hidden="false" customHeight="false" outlineLevel="0" collapsed="false">
      <c r="A516" s="890" t="s">
        <v>1236</v>
      </c>
      <c r="B516" s="890"/>
      <c r="C516" s="900" t="s">
        <v>120</v>
      </c>
      <c r="D516" s="900" t="s">
        <v>1552</v>
      </c>
      <c r="E516" s="900" t="s">
        <v>1820</v>
      </c>
      <c r="F516" s="894"/>
      <c r="G516" s="894"/>
      <c r="H516" s="894"/>
      <c r="I516" s="894"/>
      <c r="J516" s="895"/>
      <c r="K516" s="998"/>
      <c r="L516" s="2273"/>
      <c r="M516" s="2273"/>
    </row>
    <row r="517" customFormat="false" ht="14.5" hidden="false" customHeight="false" outlineLevel="0" collapsed="false">
      <c r="A517" s="902" t="s">
        <v>134</v>
      </c>
      <c r="B517" s="902"/>
      <c r="C517" s="903" t="s">
        <v>156</v>
      </c>
      <c r="D517" s="896" t="n">
        <f aca="false">'Ввод данных'!C830</f>
        <v>0.6</v>
      </c>
      <c r="E517" s="1080" t="n">
        <f aca="false">IF('Ввод данных'!A830=связи1!F22,1,0)</f>
        <v>1</v>
      </c>
      <c r="F517" s="894" t="s">
        <v>3907</v>
      </c>
      <c r="G517" s="894"/>
      <c r="H517" s="894"/>
      <c r="I517" s="894"/>
      <c r="J517" s="895"/>
      <c r="K517" s="998"/>
      <c r="L517" s="2273"/>
      <c r="M517" s="2273"/>
    </row>
    <row r="518" customFormat="false" ht="14.5" hidden="false" customHeight="false" outlineLevel="0" collapsed="false">
      <c r="A518" s="902" t="s">
        <v>3908</v>
      </c>
      <c r="B518" s="902"/>
      <c r="C518" s="903" t="s">
        <v>156</v>
      </c>
      <c r="D518" s="896" t="n">
        <f aca="false">'Ввод данных'!C830</f>
        <v>0.6</v>
      </c>
      <c r="E518" s="1080" t="n">
        <f aca="false">IF('Ввод данных'!A830=связи1!F23,1,0)</f>
        <v>0</v>
      </c>
      <c r="F518" s="894" t="s">
        <v>3909</v>
      </c>
      <c r="G518" s="894"/>
      <c r="H518" s="894"/>
      <c r="I518" s="894"/>
      <c r="J518" s="895"/>
      <c r="K518" s="998"/>
      <c r="L518" s="2273"/>
      <c r="M518" s="2273"/>
    </row>
    <row r="519" customFormat="false" ht="14.5" hidden="false" customHeight="false" outlineLevel="0" collapsed="false">
      <c r="A519" s="2374" t="s">
        <v>4087</v>
      </c>
      <c r="B519" s="2375"/>
      <c r="C519" s="2376" t="s">
        <v>156</v>
      </c>
      <c r="D519" s="2377" t="n">
        <f aca="false">D534*2+(D535-E517-E517)*2</f>
        <v>14</v>
      </c>
      <c r="E519" s="1090" t="n">
        <f aca="false">E517</f>
        <v>1</v>
      </c>
      <c r="F519" s="894"/>
      <c r="G519" s="894"/>
      <c r="H519" s="894"/>
      <c r="I519" s="894"/>
      <c r="J519" s="895"/>
      <c r="K519" s="998"/>
      <c r="L519" s="2273"/>
      <c r="M519" s="2273"/>
    </row>
    <row r="520" customFormat="false" ht="14.5" hidden="false" customHeight="false" outlineLevel="0" collapsed="false">
      <c r="A520" s="2374" t="s">
        <v>4088</v>
      </c>
      <c r="B520" s="2375"/>
      <c r="C520" s="2376" t="s">
        <v>156</v>
      </c>
      <c r="D520" s="2377" t="n">
        <f aca="false">F553</f>
        <v>0</v>
      </c>
      <c r="E520" s="903" t="n">
        <f aca="false">D519+D520</f>
        <v>14</v>
      </c>
      <c r="F520" s="894" t="s">
        <v>2572</v>
      </c>
      <c r="G520" s="894"/>
      <c r="H520" s="894"/>
      <c r="I520" s="894"/>
      <c r="J520" s="895"/>
      <c r="K520" s="998"/>
      <c r="L520" s="2273"/>
      <c r="M520" s="2273"/>
    </row>
    <row r="521" customFormat="false" ht="14.5" hidden="false" customHeight="false" outlineLevel="0" collapsed="false">
      <c r="A521" s="2374" t="s">
        <v>4089</v>
      </c>
      <c r="B521" s="2375"/>
      <c r="C521" s="2376" t="s">
        <v>133</v>
      </c>
      <c r="D521" s="2377" t="n">
        <f aca="false">(D519+D520)*D536-G561</f>
        <v>42</v>
      </c>
      <c r="E521" s="903" t="n">
        <f aca="false">D521*E517*D517</f>
        <v>25.2</v>
      </c>
      <c r="F521" s="894" t="s">
        <v>1698</v>
      </c>
      <c r="G521" s="894"/>
      <c r="H521" s="894"/>
      <c r="I521" s="894"/>
      <c r="J521" s="895"/>
      <c r="K521" s="998"/>
      <c r="L521" s="2273"/>
      <c r="M521" s="2273"/>
    </row>
    <row r="522" customFormat="false" ht="14.5" hidden="false" customHeight="false" outlineLevel="0" collapsed="false">
      <c r="A522" s="2378" t="s">
        <v>4090</v>
      </c>
      <c r="B522" s="2378"/>
      <c r="C522" s="2376" t="s">
        <v>156</v>
      </c>
      <c r="D522" s="2377" t="n">
        <f aca="false">D519+D520</f>
        <v>14</v>
      </c>
      <c r="E522" s="903"/>
      <c r="F522" s="894"/>
      <c r="G522" s="894"/>
      <c r="H522" s="461"/>
      <c r="I522" s="461"/>
      <c r="J522" s="461"/>
      <c r="K522" s="998"/>
      <c r="L522" s="2273"/>
      <c r="M522" s="2273"/>
    </row>
    <row r="523" customFormat="false" ht="14.5" hidden="false" customHeight="false" outlineLevel="0" collapsed="false">
      <c r="A523" s="2374" t="s">
        <v>2216</v>
      </c>
      <c r="B523" s="2375"/>
      <c r="C523" s="2376" t="s">
        <v>156</v>
      </c>
      <c r="D523" s="2377" t="n">
        <f aca="false">'Ввод данных'!C851</f>
        <v>0.2</v>
      </c>
      <c r="E523" s="903" t="n">
        <f aca="false">D522*D523*E517</f>
        <v>2.8</v>
      </c>
      <c r="F523" s="894" t="s">
        <v>4091</v>
      </c>
      <c r="G523" s="894"/>
      <c r="H523" s="461"/>
      <c r="I523" s="461"/>
      <c r="J523" s="461"/>
      <c r="K523" s="998"/>
      <c r="L523" s="2273"/>
      <c r="M523" s="2273"/>
    </row>
    <row r="524" customFormat="false" ht="14.5" hidden="false" customHeight="false" outlineLevel="0" collapsed="false">
      <c r="A524" s="2374" t="s">
        <v>2218</v>
      </c>
      <c r="B524" s="2375"/>
      <c r="C524" s="2376" t="s">
        <v>159</v>
      </c>
      <c r="D524" s="2377" t="n">
        <f aca="false">'Ввод данных'!C852</f>
        <v>4</v>
      </c>
      <c r="E524" s="903" t="n">
        <f aca="false">D522*D524*1.1</f>
        <v>61.6</v>
      </c>
      <c r="F524" s="894" t="s">
        <v>3245</v>
      </c>
      <c r="G524" s="894"/>
      <c r="H524" s="461"/>
      <c r="I524" s="461"/>
      <c r="J524" s="461"/>
      <c r="K524" s="998"/>
      <c r="L524" s="2273"/>
      <c r="M524" s="2273"/>
    </row>
    <row r="525" customFormat="false" ht="14.5" hidden="false" customHeight="false" outlineLevel="0" collapsed="false">
      <c r="A525" s="2374" t="s">
        <v>2219</v>
      </c>
      <c r="B525" s="2375"/>
      <c r="C525" s="2376" t="s">
        <v>156</v>
      </c>
      <c r="D525" s="2377" t="n">
        <f aca="false">'Ввод данных'!C853</f>
        <v>0.4</v>
      </c>
      <c r="E525" s="903" t="n">
        <f aca="false">D522/D525*(E517+E517+D523+D523)</f>
        <v>84</v>
      </c>
      <c r="F525" s="894" t="s">
        <v>3245</v>
      </c>
      <c r="G525" s="894"/>
      <c r="H525" s="461"/>
      <c r="I525" s="461"/>
      <c r="J525" s="461"/>
      <c r="K525" s="998"/>
      <c r="L525" s="2273"/>
      <c r="M525" s="2273"/>
    </row>
    <row r="526" customFormat="false" ht="14.5" hidden="false" customHeight="false" outlineLevel="0" collapsed="false">
      <c r="A526" s="2379" t="s">
        <v>4092</v>
      </c>
      <c r="B526" s="2380"/>
      <c r="C526" s="2381" t="s">
        <v>156</v>
      </c>
      <c r="D526" s="2382" t="n">
        <f aca="false">D534*2+(D535-E518-E518)*2</f>
        <v>18</v>
      </c>
      <c r="E526" s="1090" t="n">
        <f aca="false">E518</f>
        <v>0</v>
      </c>
      <c r="F526" s="894"/>
      <c r="G526" s="894"/>
      <c r="H526" s="894"/>
      <c r="I526" s="894"/>
      <c r="J526" s="895"/>
      <c r="K526" s="998"/>
      <c r="L526" s="2273"/>
      <c r="M526" s="2273"/>
    </row>
    <row r="527" customFormat="false" ht="14.5" hidden="false" customHeight="false" outlineLevel="0" collapsed="false">
      <c r="A527" s="2379" t="s">
        <v>4093</v>
      </c>
      <c r="B527" s="2380"/>
      <c r="C527" s="2381" t="s">
        <v>156</v>
      </c>
      <c r="D527" s="2382" t="n">
        <f aca="false">F553</f>
        <v>0</v>
      </c>
      <c r="E527" s="903" t="n">
        <f aca="false">D526+D527</f>
        <v>18</v>
      </c>
      <c r="F527" s="894" t="s">
        <v>2572</v>
      </c>
      <c r="G527" s="894"/>
      <c r="H527" s="894"/>
      <c r="I527" s="894"/>
      <c r="J527" s="895"/>
      <c r="K527" s="998"/>
      <c r="L527" s="2273"/>
      <c r="M527" s="2273"/>
    </row>
    <row r="528" customFormat="false" ht="14.5" hidden="false" customHeight="false" outlineLevel="0" collapsed="false">
      <c r="A528" s="2379" t="s">
        <v>4094</v>
      </c>
      <c r="B528" s="2380"/>
      <c r="C528" s="2381" t="s">
        <v>133</v>
      </c>
      <c r="D528" s="2382" t="n">
        <f aca="false">(D526+D527)*D536-G561</f>
        <v>54</v>
      </c>
      <c r="E528" s="903" t="n">
        <f aca="false">D528*E518*D518</f>
        <v>0</v>
      </c>
      <c r="F528" s="894" t="s">
        <v>1698</v>
      </c>
      <c r="G528" s="894"/>
      <c r="H528" s="894"/>
      <c r="I528" s="894"/>
      <c r="J528" s="895"/>
      <c r="K528" s="998"/>
      <c r="L528" s="2273"/>
      <c r="M528" s="2273"/>
    </row>
    <row r="529" customFormat="false" ht="14.5" hidden="false" customHeight="false" outlineLevel="0" collapsed="false">
      <c r="A529" s="2379" t="s">
        <v>2221</v>
      </c>
      <c r="B529" s="2380"/>
      <c r="C529" s="2381" t="s">
        <v>156</v>
      </c>
      <c r="D529" s="2382" t="n">
        <v>0.05</v>
      </c>
      <c r="E529" s="894"/>
      <c r="F529" s="894"/>
      <c r="G529" s="894"/>
      <c r="H529" s="894"/>
      <c r="I529" s="894"/>
      <c r="J529" s="895"/>
      <c r="K529" s="998"/>
      <c r="L529" s="2273"/>
      <c r="M529" s="2273"/>
    </row>
    <row r="530" customFormat="false" ht="14.5" hidden="false" customHeight="false" outlineLevel="0" collapsed="false">
      <c r="A530" s="2379" t="s">
        <v>2222</v>
      </c>
      <c r="B530" s="2380"/>
      <c r="C530" s="2381" t="s">
        <v>156</v>
      </c>
      <c r="D530" s="2382" t="n">
        <v>0.2</v>
      </c>
      <c r="E530" s="894"/>
      <c r="F530" s="894"/>
      <c r="G530" s="894"/>
      <c r="H530" s="894"/>
      <c r="I530" s="894"/>
      <c r="J530" s="895"/>
      <c r="K530" s="998"/>
      <c r="L530" s="2273"/>
      <c r="M530" s="2273"/>
    </row>
    <row r="531" customFormat="false" ht="14.5" hidden="false" customHeight="false" outlineLevel="0" collapsed="false">
      <c r="A531" s="2379" t="s">
        <v>2223</v>
      </c>
      <c r="B531" s="2380"/>
      <c r="C531" s="2381" t="s">
        <v>159</v>
      </c>
      <c r="D531" s="2382" t="n">
        <v>2</v>
      </c>
      <c r="E531" s="894"/>
      <c r="F531" s="894"/>
      <c r="G531" s="894"/>
      <c r="H531" s="894"/>
      <c r="I531" s="894"/>
      <c r="J531" s="895"/>
      <c r="K531" s="998"/>
      <c r="L531" s="2273"/>
      <c r="M531" s="2273"/>
    </row>
    <row r="532" customFormat="false" ht="14.5" hidden="false" customHeight="false" outlineLevel="0" collapsed="false">
      <c r="A532" s="2383" t="s">
        <v>4095</v>
      </c>
      <c r="B532" s="2383"/>
      <c r="C532" s="2381" t="s">
        <v>156</v>
      </c>
      <c r="D532" s="2384" t="n">
        <f aca="false">D526+D527</f>
        <v>18</v>
      </c>
      <c r="E532" s="2273"/>
      <c r="F532" s="2273"/>
      <c r="G532" s="2273"/>
      <c r="H532" s="2273"/>
      <c r="I532" s="2273"/>
      <c r="J532" s="2273"/>
      <c r="K532" s="2273"/>
      <c r="L532" s="2273"/>
      <c r="M532" s="2273"/>
    </row>
    <row r="533" customFormat="false" ht="14.5" hidden="false" customHeight="false" outlineLevel="0" collapsed="false">
      <c r="A533" s="2379" t="s">
        <v>2224</v>
      </c>
      <c r="B533" s="2380"/>
      <c r="C533" s="2385" t="s">
        <v>154</v>
      </c>
      <c r="D533" s="2386" t="n">
        <v>5</v>
      </c>
      <c r="E533" s="2273"/>
      <c r="F533" s="2273"/>
      <c r="G533" s="2273"/>
      <c r="H533" s="2273"/>
      <c r="I533" s="2273"/>
      <c r="J533" s="2273"/>
      <c r="K533" s="2273"/>
      <c r="L533" s="2273"/>
      <c r="M533" s="2273"/>
    </row>
    <row r="534" customFormat="false" ht="14.5" hidden="false" customHeight="false" outlineLevel="0" collapsed="false">
      <c r="A534" s="902" t="s">
        <v>2203</v>
      </c>
      <c r="B534" s="902"/>
      <c r="C534" s="2292" t="s">
        <v>156</v>
      </c>
      <c r="D534" s="2387" t="n">
        <f aca="false">'Ввод данных'!C832</f>
        <v>4</v>
      </c>
      <c r="E534" s="895"/>
      <c r="F534" s="895"/>
      <c r="G534" s="895"/>
      <c r="H534" s="461"/>
      <c r="I534" s="461"/>
      <c r="J534" s="461"/>
      <c r="K534" s="998"/>
      <c r="L534" s="2273"/>
      <c r="M534" s="2273"/>
    </row>
    <row r="535" customFormat="false" ht="14.5" hidden="false" customHeight="false" outlineLevel="0" collapsed="false">
      <c r="A535" s="902" t="s">
        <v>4096</v>
      </c>
      <c r="B535" s="902"/>
      <c r="C535" s="903" t="s">
        <v>156</v>
      </c>
      <c r="D535" s="2387" t="n">
        <f aca="false">'Ввод данных'!C833</f>
        <v>5</v>
      </c>
      <c r="E535" s="895"/>
      <c r="F535" s="895"/>
      <c r="G535" s="895"/>
      <c r="H535" s="894"/>
      <c r="I535" s="461"/>
      <c r="J535" s="461"/>
      <c r="K535" s="998"/>
      <c r="L535" s="2273"/>
      <c r="M535" s="2273"/>
    </row>
    <row r="536" customFormat="false" ht="14.5" hidden="false" customHeight="false" outlineLevel="0" collapsed="false">
      <c r="A536" s="902" t="s">
        <v>2205</v>
      </c>
      <c r="B536" s="902"/>
      <c r="C536" s="903" t="s">
        <v>156</v>
      </c>
      <c r="D536" s="2387" t="n">
        <f aca="false">'Ввод данных'!C834</f>
        <v>3</v>
      </c>
      <c r="E536" s="895"/>
      <c r="F536" s="895"/>
      <c r="G536" s="895"/>
      <c r="H536" s="894"/>
      <c r="I536" s="461"/>
      <c r="J536" s="461"/>
      <c r="K536" s="998"/>
      <c r="L536" s="2273"/>
      <c r="M536" s="2273"/>
    </row>
    <row r="537" customFormat="false" ht="14.5" hidden="false" customHeight="false" outlineLevel="0" collapsed="false">
      <c r="A537" s="2273" t="s">
        <v>4097</v>
      </c>
      <c r="B537" s="2273"/>
      <c r="C537" s="2273"/>
      <c r="D537" s="2051" t="n">
        <f aca="false">D542-D543</f>
        <v>11.6</v>
      </c>
      <c r="E537" s="1082" t="n">
        <f aca="false">VLOOKUP('Ввод данных'!C868,связи1!A2:B3,2,0)</f>
        <v>1</v>
      </c>
      <c r="F537" s="895"/>
      <c r="G537" s="895"/>
      <c r="H537" s="894"/>
      <c r="I537" s="461"/>
      <c r="J537" s="461"/>
      <c r="K537" s="998"/>
      <c r="L537" s="2273"/>
      <c r="M537" s="2273"/>
    </row>
    <row r="538" customFormat="false" ht="14.5" hidden="false" customHeight="false" outlineLevel="0" collapsed="false">
      <c r="A538" s="906" t="s">
        <v>4098</v>
      </c>
      <c r="B538" s="907"/>
      <c r="C538" s="903" t="s">
        <v>133</v>
      </c>
      <c r="D538" s="903" t="n">
        <f aca="false">((D534+D534)+(D535-E517*D517*2-E518*D518*2)*2+F553)*D536</f>
        <v>46.8</v>
      </c>
      <c r="F538" s="895"/>
      <c r="G538" s="895"/>
      <c r="H538" s="894"/>
      <c r="I538" s="461"/>
      <c r="J538" s="461"/>
      <c r="K538" s="998"/>
      <c r="L538" s="2273"/>
      <c r="M538" s="2273"/>
    </row>
    <row r="539" customFormat="false" ht="14.5" hidden="false" customHeight="false" outlineLevel="0" collapsed="false">
      <c r="A539" s="906" t="s">
        <v>4099</v>
      </c>
      <c r="B539" s="907"/>
      <c r="C539" s="903" t="s">
        <v>133</v>
      </c>
      <c r="D539" s="903" t="n">
        <f aca="false">D538-G561</f>
        <v>46.8</v>
      </c>
      <c r="E539" s="895"/>
      <c r="F539" s="895"/>
      <c r="G539" s="895"/>
      <c r="H539" s="894"/>
      <c r="I539" s="461"/>
      <c r="J539" s="461"/>
      <c r="K539" s="998"/>
      <c r="L539" s="2273"/>
      <c r="M539" s="2273"/>
    </row>
    <row r="540" customFormat="false" ht="14.5" hidden="false" customHeight="false" outlineLevel="0" collapsed="false">
      <c r="A540" s="907" t="s">
        <v>3913</v>
      </c>
      <c r="B540" s="907"/>
      <c r="C540" s="903" t="s">
        <v>135</v>
      </c>
      <c r="D540" s="903" t="n">
        <f aca="false">D539*(E517*D517+E518*D518)</f>
        <v>28.08</v>
      </c>
      <c r="E540" s="895"/>
      <c r="F540" s="895"/>
      <c r="G540" s="895"/>
      <c r="H540" s="895"/>
      <c r="I540" s="461"/>
      <c r="J540" s="461"/>
      <c r="K540" s="998"/>
      <c r="L540" s="2273"/>
      <c r="M540" s="2273"/>
    </row>
    <row r="541" customFormat="false" ht="14.5" hidden="false" customHeight="false" outlineLevel="0" collapsed="false">
      <c r="A541" s="906" t="s">
        <v>4100</v>
      </c>
      <c r="B541" s="907"/>
      <c r="C541" s="903" t="s">
        <v>156</v>
      </c>
      <c r="D541" s="903" t="n">
        <f aca="false">0.05</f>
        <v>0.05</v>
      </c>
      <c r="E541" s="895" t="n">
        <v>1</v>
      </c>
      <c r="F541" s="895"/>
      <c r="G541" s="895"/>
      <c r="H541" s="894"/>
      <c r="I541" s="461"/>
      <c r="J541" s="461"/>
      <c r="K541" s="998"/>
      <c r="L541" s="2273"/>
      <c r="M541" s="2273"/>
    </row>
    <row r="542" customFormat="false" ht="14.5" hidden="false" customHeight="false" outlineLevel="0" collapsed="false">
      <c r="A542" s="902" t="s">
        <v>4101</v>
      </c>
      <c r="B542" s="902"/>
      <c r="C542" s="903" t="s">
        <v>133</v>
      </c>
      <c r="D542" s="903" t="n">
        <f aca="false">D534*D535</f>
        <v>20</v>
      </c>
      <c r="E542" s="895"/>
      <c r="F542" s="895"/>
      <c r="G542" s="895"/>
      <c r="H542" s="894"/>
      <c r="I542" s="461"/>
      <c r="J542" s="461"/>
      <c r="K542" s="998"/>
      <c r="L542" s="2273"/>
      <c r="M542" s="2273"/>
    </row>
    <row r="543" customFormat="false" ht="14.5" hidden="false" customHeight="false" outlineLevel="0" collapsed="false">
      <c r="A543" s="906" t="s">
        <v>4102</v>
      </c>
      <c r="B543" s="907"/>
      <c r="C543" s="903" t="s">
        <v>133</v>
      </c>
      <c r="D543" s="903" t="n">
        <f aca="false">(E520*E519+E527*E526)*(E517*D517+E518*D518)</f>
        <v>8.4</v>
      </c>
      <c r="E543" s="895"/>
      <c r="F543" s="895"/>
      <c r="G543" s="895"/>
      <c r="H543" s="894"/>
      <c r="I543" s="461"/>
      <c r="J543" s="461"/>
      <c r="K543" s="998"/>
      <c r="L543" s="2273"/>
      <c r="M543" s="2273"/>
    </row>
    <row r="544" customFormat="false" ht="14.5" hidden="false" customHeight="false" outlineLevel="0" collapsed="false">
      <c r="A544" s="906" t="s">
        <v>4103</v>
      </c>
      <c r="B544" s="907"/>
      <c r="C544" s="903"/>
      <c r="D544" s="903" t="n">
        <f aca="false">D534*D535</f>
        <v>20</v>
      </c>
      <c r="E544" s="895"/>
      <c r="F544" s="895"/>
      <c r="G544" s="895"/>
      <c r="H544" s="894"/>
      <c r="I544" s="461"/>
      <c r="J544" s="461"/>
      <c r="K544" s="998"/>
      <c r="L544" s="2273"/>
      <c r="M544" s="2273"/>
    </row>
    <row r="545" customFormat="false" ht="14.5" hidden="false" customHeight="false" outlineLevel="0" collapsed="false">
      <c r="A545" s="906" t="s">
        <v>4104</v>
      </c>
      <c r="B545" s="907"/>
      <c r="C545" s="903"/>
      <c r="D545" s="903" t="n">
        <f aca="false">D544-D543</f>
        <v>11.6</v>
      </c>
      <c r="E545" s="895"/>
      <c r="F545" s="895"/>
      <c r="G545" s="895"/>
      <c r="H545" s="894"/>
      <c r="I545" s="461"/>
      <c r="J545" s="461"/>
      <c r="K545" s="998"/>
      <c r="L545" s="2273"/>
      <c r="M545" s="2273"/>
    </row>
    <row r="546" customFormat="false" ht="15.5" hidden="false" customHeight="false" outlineLevel="0" collapsed="false">
      <c r="A546" s="87" t="s">
        <v>3623</v>
      </c>
      <c r="B546" s="931"/>
      <c r="C546" s="88" t="s">
        <v>159</v>
      </c>
      <c r="D546" s="903" t="n">
        <v>1</v>
      </c>
      <c r="E546" s="895"/>
      <c r="F546" s="895"/>
      <c r="G546" s="895"/>
      <c r="H546" s="894"/>
      <c r="I546" s="461"/>
      <c r="J546" s="461"/>
      <c r="K546" s="998"/>
      <c r="L546" s="2273"/>
      <c r="M546" s="2273"/>
    </row>
    <row r="547" customFormat="false" ht="15.5" hidden="false" customHeight="false" outlineLevel="0" collapsed="false">
      <c r="A547" s="87" t="s">
        <v>4105</v>
      </c>
      <c r="B547" s="931"/>
      <c r="C547" s="88" t="s">
        <v>159</v>
      </c>
      <c r="D547" s="931" t="n">
        <v>5</v>
      </c>
      <c r="E547" s="2273"/>
      <c r="F547" s="2273"/>
      <c r="G547" s="2273"/>
      <c r="H547" s="2273"/>
      <c r="I547" s="2273"/>
      <c r="J547" s="2273"/>
      <c r="K547" s="2273"/>
      <c r="L547" s="2273"/>
      <c r="M547" s="2273"/>
    </row>
    <row r="548" customFormat="false" ht="14.5" hidden="false" customHeight="false" outlineLevel="0" collapsed="false">
      <c r="A548" s="890" t="s">
        <v>1093</v>
      </c>
      <c r="B548" s="890"/>
      <c r="C548" s="900" t="s">
        <v>120</v>
      </c>
      <c r="D548" s="900" t="s">
        <v>853</v>
      </c>
      <c r="E548" s="900" t="s">
        <v>1802</v>
      </c>
      <c r="F548" s="900" t="s">
        <v>853</v>
      </c>
      <c r="G548" s="900" t="s">
        <v>2548</v>
      </c>
      <c r="H548" s="895"/>
      <c r="I548" s="461"/>
      <c r="J548" s="461"/>
      <c r="K548" s="998"/>
      <c r="L548" s="2273"/>
      <c r="M548" s="2273"/>
    </row>
    <row r="549" customFormat="false" ht="14.5" hidden="false" customHeight="false" outlineLevel="0" collapsed="false">
      <c r="A549" s="680" t="s">
        <v>2206</v>
      </c>
      <c r="B549" s="680"/>
      <c r="C549" s="903" t="s">
        <v>156</v>
      </c>
      <c r="D549" s="1082" t="n">
        <f aca="false">'Ввод данных'!C836</f>
        <v>3</v>
      </c>
      <c r="E549" s="1082" t="n">
        <f aca="false">'Ввод данных'!D836</f>
        <v>0</v>
      </c>
      <c r="F549" s="903" t="n">
        <f aca="false">D549*E549</f>
        <v>0</v>
      </c>
      <c r="G549" s="903" t="n">
        <f aca="false">F549*D536</f>
        <v>0</v>
      </c>
      <c r="H549" s="894"/>
      <c r="I549" s="461"/>
      <c r="J549" s="461"/>
      <c r="K549" s="998"/>
      <c r="L549" s="2273"/>
      <c r="M549" s="2273"/>
    </row>
    <row r="550" customFormat="false" ht="14.5" hidden="false" customHeight="false" outlineLevel="0" collapsed="false">
      <c r="A550" s="680"/>
      <c r="B550" s="680"/>
      <c r="C550" s="903" t="s">
        <v>156</v>
      </c>
      <c r="D550" s="1082" t="n">
        <f aca="false">'Ввод данных'!C837</f>
        <v>1</v>
      </c>
      <c r="E550" s="1082" t="n">
        <f aca="false">'Ввод данных'!D837</f>
        <v>0</v>
      </c>
      <c r="F550" s="903" t="n">
        <f aca="false">D550*E550</f>
        <v>0</v>
      </c>
      <c r="G550" s="903" t="n">
        <f aca="false">F550*D536</f>
        <v>0</v>
      </c>
      <c r="H550" s="894"/>
      <c r="I550" s="461"/>
      <c r="J550" s="461"/>
      <c r="K550" s="998"/>
      <c r="L550" s="2273"/>
      <c r="M550" s="2273"/>
    </row>
    <row r="551" customFormat="false" ht="14.5" hidden="false" customHeight="false" outlineLevel="0" collapsed="false">
      <c r="A551" s="680" t="s">
        <v>2207</v>
      </c>
      <c r="B551" s="680"/>
      <c r="C551" s="903" t="s">
        <v>156</v>
      </c>
      <c r="D551" s="1082" t="n">
        <f aca="false">'Ввод данных'!C838</f>
        <v>0</v>
      </c>
      <c r="E551" s="1082" t="n">
        <f aca="false">'Ввод данных'!D838</f>
        <v>0</v>
      </c>
      <c r="F551" s="903" t="n">
        <f aca="false">D551*E551</f>
        <v>0</v>
      </c>
      <c r="G551" s="903" t="n">
        <f aca="false">D536*F551</f>
        <v>0</v>
      </c>
      <c r="H551" s="894"/>
      <c r="I551" s="461"/>
      <c r="J551" s="461"/>
      <c r="K551" s="998"/>
      <c r="L551" s="2273"/>
      <c r="M551" s="2273"/>
    </row>
    <row r="552" customFormat="false" ht="14.5" hidden="false" customHeight="false" outlineLevel="0" collapsed="false">
      <c r="A552" s="680"/>
      <c r="B552" s="680"/>
      <c r="C552" s="903" t="s">
        <v>156</v>
      </c>
      <c r="D552" s="1082" t="n">
        <f aca="false">'Ввод данных'!C839</f>
        <v>0</v>
      </c>
      <c r="E552" s="1082" t="n">
        <f aca="false">'Ввод данных'!D839</f>
        <v>0</v>
      </c>
      <c r="F552" s="903" t="n">
        <f aca="false">D552*E552</f>
        <v>0</v>
      </c>
      <c r="G552" s="903" t="n">
        <f aca="false">F552*D536</f>
        <v>0</v>
      </c>
      <c r="H552" s="894"/>
      <c r="I552" s="461"/>
      <c r="J552" s="461"/>
      <c r="K552" s="998"/>
      <c r="L552" s="2273"/>
      <c r="M552" s="2273"/>
    </row>
    <row r="553" customFormat="false" ht="14.5" hidden="false" customHeight="false" outlineLevel="0" collapsed="false">
      <c r="A553" s="560" t="s">
        <v>3914</v>
      </c>
      <c r="B553" s="560"/>
      <c r="C553" s="560"/>
      <c r="D553" s="560"/>
      <c r="E553" s="560"/>
      <c r="F553" s="903" t="n">
        <f aca="false">SUM(F549:F552)</f>
        <v>0</v>
      </c>
      <c r="G553" s="903" t="n">
        <f aca="false">SUM(G549:G552)</f>
        <v>0</v>
      </c>
      <c r="H553" s="894"/>
      <c r="I553" s="461"/>
      <c r="J553" s="461"/>
      <c r="K553" s="998"/>
      <c r="L553" s="2273"/>
      <c r="M553" s="2273"/>
    </row>
    <row r="554" customFormat="false" ht="14.5" hidden="false" customHeight="false" outlineLevel="0" collapsed="false">
      <c r="A554" s="1160" t="s">
        <v>2208</v>
      </c>
      <c r="B554" s="1160"/>
      <c r="C554" s="757" t="s">
        <v>120</v>
      </c>
      <c r="D554" s="757" t="s">
        <v>2580</v>
      </c>
      <c r="E554" s="757" t="s">
        <v>2581</v>
      </c>
      <c r="F554" s="757" t="s">
        <v>1802</v>
      </c>
      <c r="G554" s="900" t="s">
        <v>2548</v>
      </c>
      <c r="H554" s="461"/>
      <c r="I554" s="1009"/>
      <c r="J554" s="461"/>
      <c r="K554" s="998"/>
      <c r="L554" s="2273"/>
      <c r="M554" s="2273"/>
    </row>
    <row r="555" customFormat="false" ht="14.5" hidden="false" customHeight="false" outlineLevel="0" collapsed="false">
      <c r="A555" s="680" t="s">
        <v>2210</v>
      </c>
      <c r="B555" s="680"/>
      <c r="C555" s="680" t="s">
        <v>156</v>
      </c>
      <c r="D555" s="2291" t="n">
        <f aca="false">'Ввод данных'!C841</f>
        <v>0</v>
      </c>
      <c r="E555" s="2291" t="n">
        <f aca="false">'Ввод данных'!D841</f>
        <v>0</v>
      </c>
      <c r="F555" s="2291" t="n">
        <f aca="false">'Ввод данных'!E841</f>
        <v>0</v>
      </c>
      <c r="G555" s="495" t="n">
        <f aca="false">D555*E555*F555</f>
        <v>0</v>
      </c>
      <c r="H555" s="461"/>
      <c r="I555" s="888"/>
      <c r="J555" s="461"/>
      <c r="K555" s="998"/>
      <c r="L555" s="2273"/>
      <c r="M555" s="2273"/>
    </row>
    <row r="556" customFormat="false" ht="14.5" hidden="false" customHeight="false" outlineLevel="0" collapsed="false">
      <c r="A556" s="680"/>
      <c r="B556" s="680"/>
      <c r="C556" s="680" t="s">
        <v>156</v>
      </c>
      <c r="D556" s="2291" t="n">
        <f aca="false">'Ввод данных'!C842</f>
        <v>0</v>
      </c>
      <c r="E556" s="2291" t="n">
        <f aca="false">'Ввод данных'!D842</f>
        <v>0</v>
      </c>
      <c r="F556" s="2291" t="n">
        <f aca="false">'Ввод данных'!E842</f>
        <v>0</v>
      </c>
      <c r="G556" s="495" t="n">
        <f aca="false">D556*E556*F556</f>
        <v>0</v>
      </c>
      <c r="H556" s="461"/>
      <c r="I556" s="1009"/>
      <c r="J556" s="461"/>
      <c r="K556" s="998"/>
      <c r="L556" s="2273"/>
      <c r="M556" s="2273"/>
    </row>
    <row r="557" customFormat="false" ht="14.5" hidden="false" customHeight="false" outlineLevel="0" collapsed="false">
      <c r="A557" s="680"/>
      <c r="B557" s="680"/>
      <c r="C557" s="680" t="s">
        <v>156</v>
      </c>
      <c r="D557" s="2291" t="n">
        <f aca="false">'Ввод данных'!C843</f>
        <v>0</v>
      </c>
      <c r="E557" s="2291" t="n">
        <f aca="false">'Ввод данных'!D843</f>
        <v>0</v>
      </c>
      <c r="F557" s="2291" t="n">
        <f aca="false">'Ввод данных'!E843</f>
        <v>0</v>
      </c>
      <c r="G557" s="495" t="n">
        <f aca="false">D557*E557*F557</f>
        <v>0</v>
      </c>
      <c r="H557" s="964"/>
      <c r="I557" s="1009"/>
      <c r="J557" s="998"/>
      <c r="K557" s="998"/>
      <c r="L557" s="2273"/>
      <c r="M557" s="2273"/>
    </row>
    <row r="558" customFormat="false" ht="14.5" hidden="false" customHeight="false" outlineLevel="0" collapsed="false">
      <c r="A558" s="725" t="s">
        <v>2211</v>
      </c>
      <c r="B558" s="725"/>
      <c r="C558" s="680" t="s">
        <v>156</v>
      </c>
      <c r="D558" s="2291" t="n">
        <f aca="false">'Ввод данных'!C844</f>
        <v>1</v>
      </c>
      <c r="E558" s="2291" t="n">
        <f aca="false">'Ввод данных'!D844</f>
        <v>2</v>
      </c>
      <c r="F558" s="2291" t="n">
        <f aca="false">'Ввод данных'!E844</f>
        <v>0</v>
      </c>
      <c r="G558" s="495" t="n">
        <f aca="false">D558*E558*F558</f>
        <v>0</v>
      </c>
      <c r="H558" s="895"/>
      <c r="I558" s="1009"/>
      <c r="J558" s="895"/>
      <c r="K558" s="998"/>
      <c r="L558" s="2273"/>
      <c r="M558" s="2273"/>
    </row>
    <row r="559" customFormat="false" ht="14.5" hidden="false" customHeight="false" outlineLevel="0" collapsed="false">
      <c r="A559" s="725"/>
      <c r="B559" s="725"/>
      <c r="C559" s="680" t="s">
        <v>156</v>
      </c>
      <c r="D559" s="2291" t="n">
        <f aca="false">'Ввод данных'!C845</f>
        <v>0</v>
      </c>
      <c r="E559" s="2291" t="n">
        <f aca="false">'Ввод данных'!D845</f>
        <v>2.7</v>
      </c>
      <c r="F559" s="2291" t="n">
        <f aca="false">'Ввод данных'!E845</f>
        <v>0</v>
      </c>
      <c r="G559" s="495" t="n">
        <f aca="false">D559*E559*F559</f>
        <v>0</v>
      </c>
      <c r="H559" s="964"/>
      <c r="I559" s="1009"/>
      <c r="J559" s="998"/>
      <c r="K559" s="998"/>
      <c r="L559" s="2273"/>
      <c r="M559" s="2273"/>
    </row>
    <row r="560" customFormat="false" ht="14.5" hidden="false" customHeight="false" outlineLevel="0" collapsed="false">
      <c r="A560" s="680" t="s">
        <v>2213</v>
      </c>
      <c r="B560" s="680"/>
      <c r="C560" s="925" t="s">
        <v>156</v>
      </c>
      <c r="D560" s="2291" t="n">
        <f aca="false">'Ввод данных'!C846</f>
        <v>2</v>
      </c>
      <c r="E560" s="2291" t="n">
        <f aca="false">'Ввод данных'!D846</f>
        <v>2</v>
      </c>
      <c r="F560" s="2291" t="n">
        <f aca="false">'Ввод данных'!E846</f>
        <v>0</v>
      </c>
      <c r="G560" s="495" t="n">
        <f aca="false">D560*E560*F560</f>
        <v>0</v>
      </c>
      <c r="H560" s="888"/>
      <c r="I560" s="2388"/>
      <c r="J560" s="998"/>
      <c r="K560" s="998"/>
      <c r="L560" s="2273"/>
      <c r="M560" s="2273"/>
    </row>
    <row r="561" customFormat="false" ht="14.5" hidden="false" customHeight="false" outlineLevel="0" collapsed="false">
      <c r="A561" s="2389" t="s">
        <v>3915</v>
      </c>
      <c r="B561" s="2389"/>
      <c r="C561" s="2389"/>
      <c r="D561" s="2389"/>
      <c r="E561" s="2389"/>
      <c r="F561" s="903" t="n">
        <f aca="false">SUM(F549:F553)</f>
        <v>0</v>
      </c>
      <c r="G561" s="903" t="n">
        <f aca="false">SUM(G555:G560)</f>
        <v>0</v>
      </c>
      <c r="H561" s="895"/>
      <c r="I561" s="895"/>
      <c r="J561" s="998"/>
      <c r="K561" s="998"/>
      <c r="L561" s="2273"/>
      <c r="M561" s="2273"/>
    </row>
    <row r="562" customFormat="false" ht="14.5" hidden="false" customHeight="false" outlineLevel="0" collapsed="false">
      <c r="A562" s="890" t="s">
        <v>2225</v>
      </c>
      <c r="B562" s="890"/>
      <c r="C562" s="890"/>
      <c r="D562" s="903" t="n">
        <f aca="false">VLOOKUP('Ввод данных'!C859,связи1!A2:B3,2,0)</f>
        <v>1</v>
      </c>
      <c r="E562" s="2055"/>
      <c r="F562" s="894"/>
      <c r="G562" s="894"/>
      <c r="H562" s="895"/>
      <c r="I562" s="895"/>
      <c r="J562" s="998"/>
      <c r="K562" s="998"/>
      <c r="L562" s="2273"/>
      <c r="M562" s="2273"/>
    </row>
    <row r="563" customFormat="false" ht="15.5" hidden="false" customHeight="false" outlineLevel="0" collapsed="false">
      <c r="A563" s="2154" t="s">
        <v>1172</v>
      </c>
      <c r="B563" s="2154" t="s">
        <v>154</v>
      </c>
      <c r="C563" s="2330" t="n">
        <f aca="false">'Ввод данных'!C860</f>
        <v>5</v>
      </c>
      <c r="D563" s="2184"/>
      <c r="E563" s="2055"/>
      <c r="F563" s="894"/>
      <c r="G563" s="894"/>
      <c r="H563" s="895"/>
      <c r="I563" s="895"/>
      <c r="J563" s="998"/>
      <c r="K563" s="998"/>
      <c r="L563" s="2273"/>
      <c r="M563" s="2273"/>
    </row>
    <row r="564" customFormat="false" ht="15.5" hidden="false" customHeight="false" outlineLevel="0" collapsed="false">
      <c r="A564" s="261" t="s">
        <v>2226</v>
      </c>
      <c r="B564" s="122" t="s">
        <v>156</v>
      </c>
      <c r="C564" s="2330" t="n">
        <f aca="false">'Ввод данных'!C861</f>
        <v>0.4</v>
      </c>
      <c r="D564" s="2273"/>
      <c r="E564" s="2055"/>
      <c r="F564" s="894"/>
      <c r="G564" s="894"/>
      <c r="H564" s="895"/>
      <c r="I564" s="895"/>
      <c r="J564" s="998"/>
      <c r="K564" s="998"/>
      <c r="L564" s="2273"/>
      <c r="M564" s="2273"/>
    </row>
    <row r="565" customFormat="false" ht="15.5" hidden="false" customHeight="false" outlineLevel="0" collapsed="false">
      <c r="A565" s="261" t="s">
        <v>2149</v>
      </c>
      <c r="B565" s="122" t="s">
        <v>156</v>
      </c>
      <c r="C565" s="2330" t="n">
        <f aca="false">'Ввод данных'!C862</f>
        <v>0.4</v>
      </c>
      <c r="D565" s="2273"/>
      <c r="E565" s="2055"/>
      <c r="F565" s="894"/>
      <c r="G565" s="894"/>
      <c r="H565" s="895"/>
      <c r="I565" s="895"/>
      <c r="J565" s="998"/>
      <c r="K565" s="998"/>
      <c r="L565" s="2273"/>
      <c r="M565" s="2273"/>
    </row>
    <row r="566" customFormat="false" ht="15.5" hidden="false" customHeight="false" outlineLevel="0" collapsed="false">
      <c r="A566" s="261" t="s">
        <v>2150</v>
      </c>
      <c r="B566" s="122" t="s">
        <v>156</v>
      </c>
      <c r="C566" s="2330" t="n">
        <f aca="false">'Ввод данных'!C863</f>
        <v>0.2</v>
      </c>
      <c r="D566" s="2273"/>
      <c r="E566" s="2055"/>
      <c r="F566" s="894"/>
      <c r="G566" s="894"/>
      <c r="H566" s="895"/>
      <c r="I566" s="895"/>
      <c r="J566" s="998"/>
      <c r="K566" s="998"/>
      <c r="L566" s="2273"/>
      <c r="M566" s="2273"/>
    </row>
    <row r="567" customFormat="false" ht="15.5" hidden="false" customHeight="false" outlineLevel="0" collapsed="false">
      <c r="A567" s="261" t="s">
        <v>2151</v>
      </c>
      <c r="B567" s="122" t="s">
        <v>156</v>
      </c>
      <c r="C567" s="2330" t="n">
        <f aca="false">'Ввод данных'!C864</f>
        <v>0.3</v>
      </c>
      <c r="D567" s="2273"/>
      <c r="E567" s="2055"/>
      <c r="F567" s="894"/>
      <c r="G567" s="894"/>
      <c r="H567" s="895"/>
      <c r="I567" s="895"/>
      <c r="J567" s="998"/>
      <c r="K567" s="998"/>
      <c r="L567" s="2273"/>
      <c r="M567" s="2273"/>
    </row>
    <row r="568" customFormat="false" ht="15.5" hidden="false" customHeight="false" outlineLevel="0" collapsed="false">
      <c r="A568" s="261" t="s">
        <v>2227</v>
      </c>
      <c r="B568" s="122" t="s">
        <v>156</v>
      </c>
      <c r="C568" s="2330" t="n">
        <f aca="false">'Ввод данных'!C865</f>
        <v>0.04</v>
      </c>
      <c r="D568" s="2273"/>
      <c r="E568" s="2055"/>
      <c r="F568" s="894"/>
      <c r="G568" s="894"/>
      <c r="H568" s="895"/>
      <c r="I568" s="895"/>
      <c r="J568" s="998"/>
      <c r="K568" s="998"/>
      <c r="L568" s="2273"/>
      <c r="M568" s="2273"/>
    </row>
    <row r="569" customFormat="false" ht="15.5" hidden="false" customHeight="false" outlineLevel="0" collapsed="false">
      <c r="A569" s="261" t="s">
        <v>2221</v>
      </c>
      <c r="B569" s="122" t="s">
        <v>133</v>
      </c>
      <c r="C569" s="2236" t="n">
        <f aca="false">C564*C574*2</f>
        <v>11.2</v>
      </c>
      <c r="D569" s="2273"/>
      <c r="E569" s="2055"/>
      <c r="F569" s="894"/>
      <c r="G569" s="894"/>
      <c r="H569" s="895"/>
      <c r="I569" s="895"/>
      <c r="J569" s="998"/>
      <c r="K569" s="998"/>
      <c r="L569" s="2273"/>
      <c r="M569" s="2273"/>
    </row>
    <row r="570" customFormat="false" ht="15.5" hidden="false" customHeight="false" outlineLevel="0" collapsed="false">
      <c r="A570" s="261" t="s">
        <v>2228</v>
      </c>
      <c r="B570" s="122" t="s">
        <v>159</v>
      </c>
      <c r="C570" s="2338" t="n">
        <f aca="false">'Ввод данных'!C866</f>
        <v>4</v>
      </c>
      <c r="D570" s="2273"/>
      <c r="E570" s="2055"/>
      <c r="F570" s="894"/>
      <c r="G570" s="894"/>
      <c r="H570" s="895"/>
      <c r="I570" s="895"/>
      <c r="J570" s="998"/>
      <c r="K570" s="998"/>
      <c r="L570" s="2273"/>
      <c r="M570" s="2273"/>
    </row>
    <row r="571" customFormat="false" ht="15.5" hidden="false" customHeight="false" outlineLevel="0" collapsed="false">
      <c r="A571" s="261" t="s">
        <v>4106</v>
      </c>
      <c r="B571" s="122" t="s">
        <v>156</v>
      </c>
      <c r="C571" s="2236" t="n">
        <f aca="false">C574*C570*1.1</f>
        <v>61.6</v>
      </c>
      <c r="D571" s="2273"/>
      <c r="E571" s="2055"/>
      <c r="F571" s="894"/>
      <c r="G571" s="894"/>
      <c r="H571" s="895"/>
      <c r="I571" s="895"/>
      <c r="J571" s="998"/>
      <c r="K571" s="998"/>
      <c r="L571" s="2273"/>
      <c r="M571" s="2273"/>
    </row>
    <row r="572" customFormat="false" ht="15.5" hidden="false" customHeight="false" outlineLevel="0" collapsed="false">
      <c r="A572" s="261" t="s">
        <v>2229</v>
      </c>
      <c r="B572" s="122" t="s">
        <v>156</v>
      </c>
      <c r="C572" s="2338" t="n">
        <f aca="false">'Ввод данных'!C867</f>
        <v>0.6</v>
      </c>
      <c r="D572" s="2273"/>
      <c r="E572" s="2055"/>
      <c r="F572" s="894"/>
      <c r="G572" s="894"/>
      <c r="H572" s="895"/>
      <c r="I572" s="895"/>
      <c r="J572" s="998"/>
      <c r="K572" s="998"/>
      <c r="L572" s="2273"/>
      <c r="M572" s="2273"/>
    </row>
    <row r="573" customFormat="false" ht="15.5" hidden="false" customHeight="false" outlineLevel="0" collapsed="false">
      <c r="A573" s="261" t="s">
        <v>4107</v>
      </c>
      <c r="B573" s="122" t="s">
        <v>156</v>
      </c>
      <c r="C573" s="2236" t="n">
        <f aca="false">(C574/C572)*(C564+C564+C565+C565)*1.1</f>
        <v>41.0666666666667</v>
      </c>
      <c r="D573" s="2273"/>
      <c r="E573" s="2055"/>
      <c r="F573" s="894"/>
      <c r="G573" s="894"/>
      <c r="H573" s="895"/>
      <c r="I573" s="895"/>
      <c r="J573" s="998"/>
      <c r="K573" s="998"/>
      <c r="L573" s="2273"/>
      <c r="M573" s="2273"/>
    </row>
    <row r="574" customFormat="false" ht="15.5" hidden="false" customHeight="false" outlineLevel="0" collapsed="false">
      <c r="A574" s="87" t="s">
        <v>4050</v>
      </c>
      <c r="B574" s="122" t="s">
        <v>156</v>
      </c>
      <c r="C574" s="89" t="n">
        <f aca="false">E519*E520+E527*E526</f>
        <v>14</v>
      </c>
      <c r="D574" s="2273"/>
      <c r="E574" s="2055"/>
      <c r="F574" s="894"/>
      <c r="G574" s="894"/>
      <c r="H574" s="895"/>
      <c r="I574" s="895"/>
      <c r="J574" s="998"/>
      <c r="K574" s="998"/>
      <c r="L574" s="2273"/>
      <c r="M574" s="2273"/>
    </row>
    <row r="575" customFormat="false" ht="15.5" hidden="false" customHeight="false" outlineLevel="0" collapsed="false">
      <c r="A575" s="87" t="s">
        <v>4051</v>
      </c>
      <c r="B575" s="122" t="s">
        <v>135</v>
      </c>
      <c r="C575" s="89" t="n">
        <f aca="false">C574*C564*C565</f>
        <v>2.24</v>
      </c>
      <c r="D575" s="2273"/>
      <c r="E575" s="2055"/>
      <c r="F575" s="894"/>
      <c r="G575" s="894"/>
      <c r="H575" s="895"/>
      <c r="I575" s="895"/>
      <c r="J575" s="998"/>
      <c r="K575" s="998"/>
      <c r="L575" s="2273"/>
      <c r="M575" s="2273"/>
    </row>
    <row r="576" customFormat="false" ht="15.5" hidden="false" customHeight="false" outlineLevel="0" collapsed="false">
      <c r="A576" s="87" t="s">
        <v>3623</v>
      </c>
      <c r="B576" s="88" t="s">
        <v>159</v>
      </c>
      <c r="C576" s="89" t="n">
        <v>1</v>
      </c>
      <c r="D576" s="2072"/>
      <c r="E576" s="2055"/>
      <c r="F576" s="894"/>
      <c r="G576" s="894"/>
      <c r="H576" s="895"/>
      <c r="I576" s="895"/>
      <c r="J576" s="998"/>
      <c r="K576" s="998"/>
      <c r="L576" s="2273"/>
      <c r="M576" s="2273"/>
    </row>
    <row r="577" customFormat="false" ht="15.5" hidden="false" customHeight="false" outlineLevel="0" collapsed="false">
      <c r="A577" s="289" t="s">
        <v>4108</v>
      </c>
      <c r="B577" s="289" t="s">
        <v>1802</v>
      </c>
      <c r="C577" s="89" t="n">
        <v>3</v>
      </c>
      <c r="D577" s="2072"/>
      <c r="E577" s="2055"/>
      <c r="F577" s="894"/>
      <c r="G577" s="894"/>
      <c r="H577" s="895"/>
      <c r="I577" s="895"/>
      <c r="J577" s="998"/>
      <c r="K577" s="998"/>
      <c r="L577" s="2273"/>
      <c r="M577" s="2273"/>
    </row>
    <row r="578" customFormat="false" ht="14.5" hidden="false" customHeight="false" outlineLevel="0" collapsed="false">
      <c r="A578" s="890" t="s">
        <v>4109</v>
      </c>
      <c r="B578" s="890"/>
      <c r="C578" s="890"/>
      <c r="D578" s="1091" t="n">
        <f aca="false">E537</f>
        <v>1</v>
      </c>
      <c r="E578" s="2055"/>
      <c r="F578" s="894"/>
      <c r="G578" s="894"/>
      <c r="H578" s="895"/>
      <c r="I578" s="895"/>
      <c r="J578" s="998"/>
      <c r="K578" s="998"/>
      <c r="L578" s="2273"/>
      <c r="M578" s="2273"/>
    </row>
    <row r="579" customFormat="false" ht="15.5" hidden="false" customHeight="false" outlineLevel="0" collapsed="false">
      <c r="A579" s="122" t="s">
        <v>2177</v>
      </c>
      <c r="B579" s="122" t="s">
        <v>156</v>
      </c>
      <c r="C579" s="2330" t="n">
        <f aca="false">'Ввод данных'!C869</f>
        <v>0</v>
      </c>
      <c r="D579" s="2273"/>
      <c r="E579" s="2273"/>
      <c r="F579" s="2273"/>
      <c r="G579" s="2273"/>
      <c r="H579" s="2273"/>
      <c r="I579" s="2273"/>
      <c r="J579" s="2273"/>
      <c r="K579" s="2273"/>
      <c r="L579" s="2273"/>
      <c r="M579" s="2273"/>
    </row>
    <row r="580" customFormat="false" ht="15.5" hidden="false" customHeight="false" outlineLevel="0" collapsed="false">
      <c r="A580" s="122" t="s">
        <v>2178</v>
      </c>
      <c r="B580" s="122" t="s">
        <v>156</v>
      </c>
      <c r="C580" s="2330" t="n">
        <f aca="false">'Ввод данных'!C870</f>
        <v>0</v>
      </c>
      <c r="D580" s="2273"/>
      <c r="E580" s="2273"/>
      <c r="F580" s="2273"/>
      <c r="G580" s="2273"/>
      <c r="H580" s="2273"/>
      <c r="I580" s="2273"/>
      <c r="J580" s="2273"/>
      <c r="K580" s="2273"/>
      <c r="L580" s="2273"/>
      <c r="M580" s="2273"/>
    </row>
    <row r="581" customFormat="false" ht="15.5" hidden="false" customHeight="false" outlineLevel="0" collapsed="false">
      <c r="A581" s="122" t="s">
        <v>2179</v>
      </c>
      <c r="B581" s="122" t="s">
        <v>156</v>
      </c>
      <c r="C581" s="2330" t="n">
        <f aca="false">'Ввод данных'!C871</f>
        <v>0.2</v>
      </c>
      <c r="D581" s="2273"/>
      <c r="E581" s="2273"/>
      <c r="F581" s="2273"/>
      <c r="G581" s="2273"/>
      <c r="H581" s="2273"/>
      <c r="I581" s="2273"/>
      <c r="J581" s="2273"/>
      <c r="K581" s="2273"/>
      <c r="L581" s="2273"/>
      <c r="M581" s="2273"/>
    </row>
    <row r="582" customFormat="false" ht="15.5" hidden="false" customHeight="false" outlineLevel="0" collapsed="false">
      <c r="A582" s="122" t="s">
        <v>4110</v>
      </c>
      <c r="B582" s="122" t="s">
        <v>156</v>
      </c>
      <c r="C582" s="2330" t="n">
        <f aca="false">'Ввод данных'!C872</f>
        <v>0.1</v>
      </c>
      <c r="D582" s="1091" t="n">
        <v>1</v>
      </c>
      <c r="E582" s="2273"/>
      <c r="F582" s="2273"/>
      <c r="G582" s="2273"/>
      <c r="H582" s="2273"/>
      <c r="I582" s="2273"/>
      <c r="J582" s="2273"/>
      <c r="K582" s="2273"/>
      <c r="L582" s="2273"/>
      <c r="M582" s="2273"/>
    </row>
    <row r="583" customFormat="false" ht="15.5" hidden="false" customHeight="false" outlineLevel="0" collapsed="false">
      <c r="A583" s="122" t="s">
        <v>2231</v>
      </c>
      <c r="B583" s="122" t="s">
        <v>156</v>
      </c>
      <c r="C583" s="2330" t="n">
        <f aca="false">'Ввод данных'!C873</f>
        <v>0.25</v>
      </c>
      <c r="D583" s="2273"/>
      <c r="E583" s="2273"/>
      <c r="F583" s="2273"/>
      <c r="G583" s="2273"/>
      <c r="H583" s="2273"/>
      <c r="I583" s="2273"/>
      <c r="J583" s="2273"/>
      <c r="K583" s="2273"/>
      <c r="L583" s="2273"/>
      <c r="M583" s="2273"/>
    </row>
    <row r="584" customFormat="false" ht="15.5" hidden="false" customHeight="false" outlineLevel="0" collapsed="false">
      <c r="A584" s="122" t="s">
        <v>4111</v>
      </c>
      <c r="B584" s="122" t="s">
        <v>135</v>
      </c>
      <c r="C584" s="931" t="n">
        <f aca="false">D537*C583</f>
        <v>2.9</v>
      </c>
      <c r="D584" s="2273"/>
      <c r="E584" s="2273"/>
      <c r="F584" s="2273"/>
      <c r="G584" s="2273"/>
      <c r="H584" s="2273"/>
      <c r="I584" s="2273"/>
      <c r="J584" s="2273"/>
      <c r="K584" s="2273"/>
      <c r="L584" s="2273"/>
      <c r="M584" s="2273"/>
    </row>
    <row r="585" customFormat="false" ht="15.5" hidden="false" customHeight="false" outlineLevel="0" collapsed="false">
      <c r="A585" s="122" t="s">
        <v>2232</v>
      </c>
      <c r="B585" s="122" t="s">
        <v>156</v>
      </c>
      <c r="C585" s="2330" t="n">
        <f aca="false">'Ввод данных'!C874</f>
        <v>0.2</v>
      </c>
      <c r="D585" s="2273"/>
      <c r="E585" s="2273"/>
      <c r="F585" s="2273"/>
      <c r="G585" s="2273"/>
      <c r="H585" s="2273"/>
      <c r="I585" s="2273"/>
      <c r="J585" s="2273"/>
      <c r="K585" s="2273"/>
      <c r="L585" s="2273"/>
      <c r="M585" s="2273"/>
    </row>
    <row r="586" customFormat="false" ht="15.5" hidden="false" customHeight="false" outlineLevel="0" collapsed="false">
      <c r="A586" s="122" t="s">
        <v>2233</v>
      </c>
      <c r="B586" s="122" t="s">
        <v>159</v>
      </c>
      <c r="C586" s="2330" t="n">
        <f aca="false">'Ввод данных'!C875</f>
        <v>2</v>
      </c>
      <c r="D586" s="2273"/>
      <c r="E586" s="2273"/>
      <c r="F586" s="2273"/>
      <c r="G586" s="2273"/>
      <c r="H586" s="2273"/>
      <c r="I586" s="2273"/>
      <c r="J586" s="2273"/>
      <c r="K586" s="2273"/>
      <c r="L586" s="2273"/>
      <c r="M586" s="2273"/>
    </row>
    <row r="587" customFormat="false" ht="15.5" hidden="false" customHeight="false" outlineLevel="0" collapsed="false">
      <c r="A587" s="122" t="s">
        <v>4112</v>
      </c>
      <c r="B587" s="122" t="s">
        <v>156</v>
      </c>
      <c r="C587" s="931" t="n">
        <f aca="false">1/C585*2*D545*C586</f>
        <v>232</v>
      </c>
      <c r="D587" s="2273"/>
      <c r="E587" s="2273"/>
      <c r="F587" s="2273"/>
      <c r="G587" s="2273"/>
      <c r="H587" s="2273"/>
      <c r="I587" s="2273"/>
      <c r="J587" s="2273"/>
      <c r="K587" s="2273"/>
      <c r="L587" s="2273"/>
      <c r="M587" s="2273"/>
    </row>
    <row r="588" customFormat="false" ht="15.5" hidden="false" customHeight="false" outlineLevel="0" collapsed="false">
      <c r="A588" s="122" t="s">
        <v>4075</v>
      </c>
      <c r="B588" s="122" t="s">
        <v>156</v>
      </c>
      <c r="C588" s="931" t="n">
        <f aca="false">D537*6</f>
        <v>69.6</v>
      </c>
      <c r="D588" s="1091" t="n">
        <f aca="false">VLOOKUP('Ввод данных'!C878,связи1!A2:B3,2,0)</f>
        <v>1</v>
      </c>
      <c r="E588" s="2273"/>
      <c r="F588" s="2273"/>
      <c r="G588" s="2273"/>
      <c r="H588" s="2273"/>
      <c r="I588" s="2273"/>
      <c r="J588" s="2273"/>
      <c r="K588" s="2273"/>
      <c r="L588" s="2273"/>
      <c r="M588" s="2273"/>
    </row>
    <row r="589" customFormat="false" ht="15.5" hidden="false" customHeight="false" outlineLevel="0" collapsed="false">
      <c r="A589" s="122" t="s">
        <v>4076</v>
      </c>
      <c r="B589" s="122" t="s">
        <v>159</v>
      </c>
      <c r="C589" s="2330" t="n">
        <v>1</v>
      </c>
      <c r="D589" s="1091" t="n">
        <f aca="false">VLOOKUP('Ввод данных'!C879,связи1!A2:B3,2,0)</f>
        <v>0</v>
      </c>
      <c r="E589" s="2273"/>
      <c r="F589" s="2273"/>
      <c r="G589" s="2273"/>
      <c r="H589" s="2273"/>
      <c r="I589" s="2273"/>
      <c r="J589" s="2273"/>
      <c r="K589" s="2273"/>
      <c r="L589" s="2273"/>
      <c r="M589" s="2273"/>
    </row>
    <row r="590" customFormat="false" ht="15.5" hidden="false" customHeight="false" outlineLevel="0" collapsed="false">
      <c r="A590" s="87" t="s">
        <v>4113</v>
      </c>
      <c r="B590" s="88" t="s">
        <v>159</v>
      </c>
      <c r="C590" s="2330" t="n">
        <f aca="false">'Ввод данных'!C880</f>
        <v>6</v>
      </c>
      <c r="D590" s="1091" t="n">
        <v>1</v>
      </c>
      <c r="E590" s="2273"/>
      <c r="F590" s="2273"/>
      <c r="G590" s="2273"/>
      <c r="H590" s="2273"/>
      <c r="I590" s="2273"/>
      <c r="J590" s="2273"/>
      <c r="K590" s="2273"/>
      <c r="L590" s="2273"/>
      <c r="M590" s="2273"/>
    </row>
    <row r="591" customFormat="false" ht="15.5" hidden="false" customHeight="false" outlineLevel="0" collapsed="false">
      <c r="A591" s="87" t="s">
        <v>4114</v>
      </c>
      <c r="B591" s="88" t="s">
        <v>159</v>
      </c>
      <c r="C591" s="2330" t="n">
        <f aca="false">'Ввод данных'!C881</f>
        <v>2</v>
      </c>
      <c r="D591" s="1091" t="n">
        <v>1</v>
      </c>
      <c r="E591" s="2273"/>
      <c r="F591" s="2273"/>
      <c r="G591" s="2273"/>
      <c r="H591" s="2273"/>
      <c r="I591" s="2273"/>
      <c r="J591" s="2273"/>
      <c r="K591" s="2273"/>
      <c r="L591" s="2273"/>
      <c r="M591" s="2273"/>
    </row>
    <row r="592" customFormat="false" ht="14.5" hidden="false" customHeight="false" outlineLevel="0" collapsed="false">
      <c r="A592" s="2390" t="s">
        <v>4115</v>
      </c>
      <c r="B592" s="2390"/>
      <c r="C592" s="2390"/>
      <c r="D592" s="2390"/>
      <c r="E592" s="2390"/>
      <c r="F592" s="2390"/>
      <c r="G592" s="2390"/>
      <c r="H592" s="2390"/>
      <c r="I592" s="2390"/>
      <c r="J592" s="2390"/>
      <c r="K592" s="2390"/>
      <c r="L592" s="2390"/>
      <c r="M592" s="2273"/>
    </row>
    <row r="593" customFormat="false" ht="14.5" hidden="false" customHeight="false" outlineLevel="0" collapsed="false">
      <c r="A593" s="2390"/>
      <c r="B593" s="2390"/>
      <c r="C593" s="2390"/>
      <c r="D593" s="2390"/>
      <c r="E593" s="2390"/>
      <c r="F593" s="2390"/>
      <c r="G593" s="2390"/>
      <c r="H593" s="2390"/>
      <c r="I593" s="2390"/>
      <c r="J593" s="2390"/>
      <c r="K593" s="2390"/>
      <c r="L593" s="2390"/>
      <c r="M593" s="2273"/>
    </row>
    <row r="594" customFormat="false" ht="15.5" hidden="false" customHeight="false" outlineLevel="0" collapsed="false">
      <c r="A594" s="2391" t="s">
        <v>2720</v>
      </c>
      <c r="B594" s="2391"/>
      <c r="C594" s="2391"/>
      <c r="D594" s="2391"/>
      <c r="E594" s="2391"/>
      <c r="F594" s="2294" t="n">
        <f aca="false">'Ввод данных'!E826</f>
        <v>1.1</v>
      </c>
      <c r="G594" s="2391" t="s">
        <v>1409</v>
      </c>
      <c r="H594" s="2391"/>
      <c r="I594" s="2391"/>
      <c r="J594" s="2391"/>
      <c r="K594" s="2391"/>
      <c r="L594" s="2391"/>
      <c r="M594" s="2273"/>
    </row>
    <row r="595" customFormat="false" ht="15.5" hidden="false" customHeight="false" outlineLevel="0" collapsed="false">
      <c r="A595" s="2189" t="s">
        <v>4116</v>
      </c>
      <c r="B595" s="2189"/>
      <c r="C595" s="2189"/>
      <c r="D595" s="2189"/>
      <c r="E595" s="2189"/>
      <c r="F595" s="2189"/>
      <c r="G595" s="2189"/>
      <c r="H595" s="2189"/>
      <c r="I595" s="2189"/>
      <c r="J595" s="2189"/>
      <c r="K595" s="2189"/>
      <c r="L595" s="2189"/>
      <c r="M595" s="2273"/>
    </row>
    <row r="596" customFormat="false" ht="15.5" hidden="false" customHeight="false" outlineLevel="0" collapsed="false">
      <c r="A596" s="2235" t="s">
        <v>1236</v>
      </c>
      <c r="B596" s="2235" t="s">
        <v>208</v>
      </c>
      <c r="C596" s="2235" t="s">
        <v>1802</v>
      </c>
      <c r="D596" s="2235" t="s">
        <v>4117</v>
      </c>
      <c r="E596" s="2235" t="s">
        <v>3696</v>
      </c>
      <c r="F596" s="2184" t="n">
        <f aca="false">'Ввод данных'!E827</f>
        <v>1.2</v>
      </c>
      <c r="G596" s="2392" t="s">
        <v>1236</v>
      </c>
      <c r="H596" s="2393"/>
      <c r="I596" s="2235" t="s">
        <v>208</v>
      </c>
      <c r="J596" s="2235" t="s">
        <v>1802</v>
      </c>
      <c r="K596" s="2235" t="s">
        <v>4117</v>
      </c>
      <c r="L596" s="2235" t="s">
        <v>3696</v>
      </c>
      <c r="M596" s="2273"/>
    </row>
    <row r="597" customFormat="false" ht="15.5" hidden="false" customHeight="false" outlineLevel="0" collapsed="false">
      <c r="A597" s="122" t="str">
        <f aca="false">'Прайс лист'!B297</f>
        <v>Сосна влаж,150*40мм</v>
      </c>
      <c r="B597" s="88" t="s">
        <v>135</v>
      </c>
      <c r="C597" s="122" t="n">
        <f aca="false">C569*C568*1.3*D562*F514*F515*F594</f>
        <v>0</v>
      </c>
      <c r="D597" s="2154" t="n">
        <f aca="false">'Прайс лист'!G297</f>
        <v>6500</v>
      </c>
      <c r="E597" s="122" t="n">
        <f aca="false">C597*D597</f>
        <v>0</v>
      </c>
      <c r="F597" s="905"/>
      <c r="G597" s="87" t="s">
        <v>1431</v>
      </c>
      <c r="H597" s="87"/>
      <c r="I597" s="88" t="s">
        <v>133</v>
      </c>
      <c r="J597" s="122" t="n">
        <f aca="false">C569*D562*F514*F596</f>
        <v>0</v>
      </c>
      <c r="K597" s="2154" t="n">
        <f aca="false">'Прайс лист'!G1617</f>
        <v>300</v>
      </c>
      <c r="L597" s="122" t="n">
        <f aca="false">J597*K597</f>
        <v>0</v>
      </c>
      <c r="M597" s="2273"/>
    </row>
    <row r="598" customFormat="false" ht="15.5" hidden="false" customHeight="false" outlineLevel="0" collapsed="false">
      <c r="A598" s="122" t="str">
        <f aca="false">'Прайс лист'!B215</f>
        <v>Пленка гидроизоляционная</v>
      </c>
      <c r="B598" s="88" t="s">
        <v>133</v>
      </c>
      <c r="C598" s="122" t="n">
        <f aca="false">C569*1.3*D562*F514*F515*F594</f>
        <v>0</v>
      </c>
      <c r="D598" s="2154" t="n">
        <f aca="false">'Прайс лист'!G215</f>
        <v>15</v>
      </c>
      <c r="E598" s="122" t="n">
        <f aca="false">C598*D598</f>
        <v>0</v>
      </c>
      <c r="F598" s="905"/>
      <c r="G598" s="87" t="s">
        <v>1432</v>
      </c>
      <c r="H598" s="87"/>
      <c r="I598" s="88" t="s">
        <v>133</v>
      </c>
      <c r="J598" s="122" t="n">
        <f aca="false">J597*D562*F514*F596</f>
        <v>0</v>
      </c>
      <c r="K598" s="2154" t="n">
        <f aca="false">'Прайс лист'!G1618</f>
        <v>100</v>
      </c>
      <c r="L598" s="122" t="n">
        <f aca="false">J598*K598</f>
        <v>0</v>
      </c>
      <c r="M598" s="2273"/>
    </row>
    <row r="599" customFormat="false" ht="15.5" hidden="false" customHeight="false" outlineLevel="0" collapsed="false">
      <c r="A599" s="122" t="str">
        <f aca="false">'Прайс лист'!B788</f>
        <v>Гидроизол</v>
      </c>
      <c r="B599" s="88" t="s">
        <v>133</v>
      </c>
      <c r="C599" s="122" t="n">
        <f aca="false">D543*1.1*D562*F514*F515*F594</f>
        <v>0</v>
      </c>
      <c r="D599" s="2154" t="n">
        <f aca="false">'Прайс лист'!G788</f>
        <v>70</v>
      </c>
      <c r="E599" s="122" t="n">
        <f aca="false">C599*D599</f>
        <v>0</v>
      </c>
      <c r="F599" s="905"/>
      <c r="G599" s="2155" t="s">
        <v>4058</v>
      </c>
      <c r="H599" s="2156"/>
      <c r="I599" s="88" t="s">
        <v>133</v>
      </c>
      <c r="J599" s="122" t="n">
        <f aca="false">C574*C567*D562*F514*F596</f>
        <v>0</v>
      </c>
      <c r="K599" s="2154" t="n">
        <f aca="false">'Прайс лист'!G1629</f>
        <v>600</v>
      </c>
      <c r="L599" s="122" t="n">
        <f aca="false">J599*K599</f>
        <v>0</v>
      </c>
      <c r="M599" s="2273"/>
    </row>
    <row r="600" customFormat="false" ht="15.5" hidden="false" customHeight="false" outlineLevel="0" collapsed="false">
      <c r="A600" s="122" t="str">
        <f aca="false">'Прайс лист'!B206</f>
        <v>Арматура стальная Ø 12</v>
      </c>
      <c r="B600" s="88" t="s">
        <v>1415</v>
      </c>
      <c r="C600" s="122" t="n">
        <f aca="false">C571*D562*F514*F515*F594</f>
        <v>0</v>
      </c>
      <c r="D600" s="2154" t="n">
        <f aca="false">'Прайс лист'!G206</f>
        <v>29.2152</v>
      </c>
      <c r="E600" s="122" t="n">
        <f aca="false">C600*D600</f>
        <v>0</v>
      </c>
      <c r="F600" s="905"/>
      <c r="G600" s="87" t="s">
        <v>1433</v>
      </c>
      <c r="H600" s="87"/>
      <c r="I600" s="88" t="s">
        <v>133</v>
      </c>
      <c r="J600" s="122" t="n">
        <f aca="false">J597*D562*F514*F596</f>
        <v>0</v>
      </c>
      <c r="K600" s="2154" t="n">
        <f aca="false">'Прайс лист'!G1619</f>
        <v>10</v>
      </c>
      <c r="L600" s="122" t="n">
        <f aca="false">J600*K600</f>
        <v>0</v>
      </c>
      <c r="M600" s="2273"/>
    </row>
    <row r="601" customFormat="false" ht="15.5" hidden="false" customHeight="false" outlineLevel="0" collapsed="false">
      <c r="A601" s="122" t="str">
        <f aca="false">'Прайс лист'!B199</f>
        <v>Нет арматуры</v>
      </c>
      <c r="B601" s="88" t="s">
        <v>1415</v>
      </c>
      <c r="C601" s="122" t="n">
        <f aca="false">C573*D562*F514*F515*F594</f>
        <v>0</v>
      </c>
      <c r="D601" s="2154" t="n">
        <f aca="false">'Прайс лист'!G199</f>
        <v>0</v>
      </c>
      <c r="E601" s="122" t="n">
        <f aca="false">C601*D601</f>
        <v>0</v>
      </c>
      <c r="F601" s="905"/>
      <c r="G601" s="87" t="s">
        <v>4057</v>
      </c>
      <c r="H601" s="87"/>
      <c r="I601" s="88" t="s">
        <v>1415</v>
      </c>
      <c r="J601" s="122" t="n">
        <f aca="false">C600*D562*F514*F596</f>
        <v>0</v>
      </c>
      <c r="K601" s="2154" t="n">
        <f aca="false">'Прайс лист'!G1601</f>
        <v>30</v>
      </c>
      <c r="L601" s="122" t="n">
        <f aca="false">J601*K601</f>
        <v>0</v>
      </c>
      <c r="M601" s="2273"/>
    </row>
    <row r="602" customFormat="false" ht="15.5" hidden="false" customHeight="false" outlineLevel="0" collapsed="false">
      <c r="A602" s="122" t="str">
        <f aca="false">'Прайс лист'!B212</f>
        <v>Вязальная проволока</v>
      </c>
      <c r="B602" s="88" t="s">
        <v>188</v>
      </c>
      <c r="C602" s="122" t="n">
        <f aca="false">C600*C601/2000*D562*F514*F515*F594</f>
        <v>0</v>
      </c>
      <c r="D602" s="2154" t="n">
        <f aca="false">'Прайс лист'!G212</f>
        <v>80</v>
      </c>
      <c r="E602" s="122" t="n">
        <f aca="false">C602*D602</f>
        <v>0</v>
      </c>
      <c r="F602" s="905"/>
      <c r="G602" s="87" t="s">
        <v>4057</v>
      </c>
      <c r="H602" s="87"/>
      <c r="I602" s="88" t="s">
        <v>156</v>
      </c>
      <c r="J602" s="122" t="n">
        <f aca="false">C601*D562*F514*F596</f>
        <v>0</v>
      </c>
      <c r="K602" s="2154" t="n">
        <f aca="false">'Прайс лист'!G1602</f>
        <v>30</v>
      </c>
      <c r="L602" s="122" t="n">
        <f aca="false">J602*K602</f>
        <v>0</v>
      </c>
      <c r="M602" s="2273"/>
    </row>
    <row r="603" customFormat="false" ht="15.5" hidden="false" customHeight="false" outlineLevel="0" collapsed="false">
      <c r="A603" s="122" t="str">
        <f aca="false">'Прайс лист'!B890</f>
        <v>Гвозди строительные 3,5 x 90</v>
      </c>
      <c r="B603" s="88" t="s">
        <v>188</v>
      </c>
      <c r="C603" s="122" t="n">
        <f aca="false">C597*10*D562*F514*F515*F594</f>
        <v>0</v>
      </c>
      <c r="D603" s="2154" t="n">
        <f aca="false">'Прайс лист'!G890</f>
        <v>70</v>
      </c>
      <c r="E603" s="122" t="n">
        <f aca="false">C603*D603</f>
        <v>0</v>
      </c>
      <c r="F603" s="905"/>
      <c r="G603" s="2155" t="s">
        <v>1438</v>
      </c>
      <c r="H603" s="2156"/>
      <c r="I603" s="88" t="s">
        <v>133</v>
      </c>
      <c r="J603" s="122" t="n">
        <f aca="false">C599*D562*F514*F596</f>
        <v>0</v>
      </c>
      <c r="K603" s="2154" t="n">
        <f aca="false">'Прайс лист'!G1626</f>
        <v>100</v>
      </c>
      <c r="L603" s="122" t="n">
        <f aca="false">J603*K603</f>
        <v>0</v>
      </c>
      <c r="M603" s="2273"/>
    </row>
    <row r="604" customFormat="false" ht="15.5" hidden="false" customHeight="false" outlineLevel="0" collapsed="false">
      <c r="A604" s="122" t="str">
        <f aca="false">'Прайс лист'!B167</f>
        <v>ПГС, машина 13м3</v>
      </c>
      <c r="B604" s="88" t="s">
        <v>140</v>
      </c>
      <c r="C604" s="122" t="n">
        <f aca="false">(C566*C567*C574)/12*D562*F514*F515*F594</f>
        <v>0</v>
      </c>
      <c r="D604" s="2154" t="n">
        <f aca="false">'Прайс лист'!G167</f>
        <v>10000</v>
      </c>
      <c r="E604" s="122" t="n">
        <f aca="false">C604*D604</f>
        <v>0</v>
      </c>
      <c r="F604" s="905"/>
      <c r="G604" s="87" t="s">
        <v>1443</v>
      </c>
      <c r="H604" s="87"/>
      <c r="I604" s="88" t="s">
        <v>135</v>
      </c>
      <c r="J604" s="122" t="n">
        <f aca="false">C605*D562*F514*F596</f>
        <v>0</v>
      </c>
      <c r="K604" s="2154" t="n">
        <f aca="false">'Прайс лист'!G1631</f>
        <v>1200</v>
      </c>
      <c r="L604" s="122" t="n">
        <f aca="false">J604*K604</f>
        <v>0</v>
      </c>
      <c r="M604" s="2273"/>
    </row>
    <row r="605" customFormat="false" ht="15.5" hidden="false" customHeight="false" outlineLevel="0" collapsed="false">
      <c r="A605" s="122" t="str">
        <f aca="false">'Прайс лист'!B225</f>
        <v>Бетон, м200</v>
      </c>
      <c r="B605" s="88" t="s">
        <v>135</v>
      </c>
      <c r="C605" s="122" t="n">
        <f aca="false">C575*D562*F514*F515*F594</f>
        <v>0</v>
      </c>
      <c r="D605" s="2154" t="n">
        <f aca="false">'Прайс лист'!G225</f>
        <v>2500</v>
      </c>
      <c r="E605" s="122" t="n">
        <f aca="false">C605*D605</f>
        <v>0</v>
      </c>
      <c r="F605" s="905"/>
      <c r="G605" s="87"/>
      <c r="H605" s="87"/>
      <c r="I605" s="88"/>
      <c r="J605" s="122"/>
      <c r="K605" s="122"/>
      <c r="L605" s="122"/>
      <c r="M605" s="2273"/>
    </row>
    <row r="606" customFormat="false" ht="15.5" hidden="false" customHeight="false" outlineLevel="0" collapsed="false">
      <c r="A606" s="2371"/>
      <c r="B606" s="2120"/>
      <c r="C606" s="2120"/>
      <c r="D606" s="2120"/>
      <c r="E606" s="89" t="n">
        <f aca="false">SUM(E588:E605)</f>
        <v>0</v>
      </c>
      <c r="F606" s="2160"/>
      <c r="G606" s="2371"/>
      <c r="H606" s="2120"/>
      <c r="I606" s="2120"/>
      <c r="J606" s="2120"/>
      <c r="K606" s="2120"/>
      <c r="L606" s="122" t="n">
        <f aca="false">SUM(L588:L605)</f>
        <v>0</v>
      </c>
      <c r="M606" s="2273"/>
    </row>
    <row r="607" customFormat="false" ht="15.5" hidden="false" customHeight="false" outlineLevel="0" collapsed="false">
      <c r="A607" s="122" t="s">
        <v>4059</v>
      </c>
      <c r="B607" s="122" t="n">
        <f aca="false">E606</f>
        <v>0</v>
      </c>
      <c r="C607" s="905"/>
      <c r="D607" s="905"/>
      <c r="E607" s="2120"/>
      <c r="F607" s="905"/>
      <c r="G607" s="905"/>
      <c r="H607" s="905"/>
      <c r="I607" s="905"/>
      <c r="J607" s="905"/>
      <c r="K607" s="2120"/>
      <c r="L607" s="2310"/>
      <c r="M607" s="2273"/>
    </row>
    <row r="608" customFormat="false" ht="15.5" hidden="false" customHeight="false" outlineLevel="0" collapsed="false">
      <c r="A608" s="122" t="s">
        <v>4060</v>
      </c>
      <c r="B608" s="122" t="n">
        <f aca="false">L606</f>
        <v>0</v>
      </c>
      <c r="C608" s="905"/>
      <c r="D608" s="905"/>
      <c r="E608" s="2120"/>
      <c r="F608" s="905"/>
      <c r="G608" s="2371"/>
      <c r="H608" s="2120"/>
      <c r="I608" s="2120"/>
      <c r="J608" s="2120"/>
      <c r="K608" s="2120"/>
      <c r="L608" s="2310"/>
      <c r="M608" s="2273"/>
    </row>
    <row r="609" customFormat="false" ht="15.5" hidden="false" customHeight="false" outlineLevel="0" collapsed="false">
      <c r="A609" s="289" t="s">
        <v>4061</v>
      </c>
      <c r="B609" s="289" t="n">
        <f aca="false">SUM(B607:B608)</f>
        <v>0</v>
      </c>
      <c r="C609" s="2310"/>
      <c r="D609" s="2310"/>
      <c r="E609" s="2310"/>
      <c r="F609" s="2310"/>
      <c r="G609" s="2310"/>
      <c r="H609" s="2310"/>
      <c r="I609" s="2310"/>
      <c r="J609" s="2310"/>
      <c r="K609" s="2310"/>
      <c r="L609" s="2310"/>
      <c r="M609" s="2273"/>
    </row>
    <row r="610" customFormat="false" ht="15.5" hidden="false" customHeight="false" outlineLevel="0" collapsed="false">
      <c r="A610" s="2394" t="s">
        <v>4118</v>
      </c>
      <c r="B610" s="2394"/>
      <c r="C610" s="2394"/>
      <c r="D610" s="2394"/>
      <c r="E610" s="2394"/>
      <c r="F610" s="2394"/>
      <c r="G610" s="2394"/>
      <c r="H610" s="2394"/>
      <c r="I610" s="2394"/>
      <c r="J610" s="2394"/>
      <c r="K610" s="2394"/>
      <c r="L610" s="2394"/>
      <c r="M610" s="2273"/>
    </row>
    <row r="611" customFormat="false" ht="15.5" hidden="false" customHeight="false" outlineLevel="0" collapsed="false">
      <c r="A611" s="2189" t="s">
        <v>4119</v>
      </c>
      <c r="B611" s="2189"/>
      <c r="C611" s="2189"/>
      <c r="D611" s="2189"/>
      <c r="E611" s="2189"/>
      <c r="F611" s="2189"/>
      <c r="G611" s="2189"/>
      <c r="H611" s="2189"/>
      <c r="I611" s="2189"/>
      <c r="J611" s="2189"/>
      <c r="K611" s="2189"/>
      <c r="L611" s="2189"/>
      <c r="M611" s="2273"/>
    </row>
    <row r="612" customFormat="false" ht="15.5" hidden="false" customHeight="false" outlineLevel="0" collapsed="false">
      <c r="A612" s="2235" t="s">
        <v>1236</v>
      </c>
      <c r="B612" s="2235" t="s">
        <v>208</v>
      </c>
      <c r="C612" s="2235" t="s">
        <v>1802</v>
      </c>
      <c r="D612" s="2235" t="s">
        <v>4117</v>
      </c>
      <c r="E612" s="2235" t="s">
        <v>3696</v>
      </c>
      <c r="F612" s="2184"/>
      <c r="G612" s="2392" t="s">
        <v>1236</v>
      </c>
      <c r="H612" s="2393"/>
      <c r="I612" s="2235" t="s">
        <v>208</v>
      </c>
      <c r="J612" s="2235" t="s">
        <v>1802</v>
      </c>
      <c r="K612" s="2235" t="s">
        <v>4117</v>
      </c>
      <c r="L612" s="2235" t="s">
        <v>3696</v>
      </c>
      <c r="M612" s="2273"/>
    </row>
    <row r="613" customFormat="false" ht="15.5" hidden="false" customHeight="false" outlineLevel="0" collapsed="false">
      <c r="A613" s="87" t="str">
        <f aca="false">'Прайс лист'!B169</f>
        <v>Скальник, 1 маш 13м3</v>
      </c>
      <c r="B613" s="88" t="s">
        <v>140</v>
      </c>
      <c r="C613" s="89" t="n">
        <f aca="false">C580*D537*E537*D578*F514*F515*F594</f>
        <v>0</v>
      </c>
      <c r="D613" s="2154" t="n">
        <f aca="false">'Прайс лист'!G169</f>
        <v>15000</v>
      </c>
      <c r="E613" s="2154" t="n">
        <f aca="false">C613*D613</f>
        <v>0</v>
      </c>
      <c r="F613" s="2160"/>
      <c r="G613" s="87" t="s">
        <v>1442</v>
      </c>
      <c r="H613" s="87"/>
      <c r="I613" s="88" t="s">
        <v>133</v>
      </c>
      <c r="J613" s="89" t="n">
        <f aca="false">D537*E537*F514*F596</f>
        <v>0</v>
      </c>
      <c r="K613" s="2154" t="n">
        <f aca="false">'Прайс лист'!G1630</f>
        <v>400</v>
      </c>
      <c r="L613" s="2154" t="n">
        <f aca="false">J613*K613</f>
        <v>0</v>
      </c>
      <c r="M613" s="2273"/>
    </row>
    <row r="614" customFormat="false" ht="15.5" hidden="false" customHeight="false" outlineLevel="0" collapsed="false">
      <c r="A614" s="87" t="str">
        <f aca="false">'Прайс лист'!B167</f>
        <v>ПГС, машина 13м3</v>
      </c>
      <c r="B614" s="88" t="s">
        <v>140</v>
      </c>
      <c r="C614" s="89" t="n">
        <f aca="false">C579*D537*E537*D578*F514*F515*F594</f>
        <v>0</v>
      </c>
      <c r="D614" s="2154" t="n">
        <f aca="false">'Прайс лист'!G167</f>
        <v>10000</v>
      </c>
      <c r="E614" s="2154" t="n">
        <f aca="false">C614*D614</f>
        <v>0</v>
      </c>
      <c r="F614" s="2160"/>
      <c r="G614" s="87" t="s">
        <v>1441</v>
      </c>
      <c r="H614" s="87"/>
      <c r="I614" s="88" t="s">
        <v>133</v>
      </c>
      <c r="J614" s="89" t="n">
        <f aca="false">J613*E537*F514*F596</f>
        <v>0</v>
      </c>
      <c r="K614" s="2154" t="n">
        <f aca="false">'Прайс лист'!G1629</f>
        <v>600</v>
      </c>
      <c r="L614" s="2154" t="n">
        <f aca="false">J614*K614</f>
        <v>0</v>
      </c>
      <c r="M614" s="2273"/>
    </row>
    <row r="615" customFormat="false" ht="15.5" hidden="false" customHeight="false" outlineLevel="0" collapsed="false">
      <c r="A615" s="87" t="str">
        <f aca="false">'Прайс лист'!B171</f>
        <v>Песок, машина 13м3</v>
      </c>
      <c r="B615" s="88" t="s">
        <v>140</v>
      </c>
      <c r="C615" s="89" t="n">
        <f aca="false">C581*D537*E537*D578*F514*F515*F594</f>
        <v>0</v>
      </c>
      <c r="D615" s="2154" t="n">
        <f aca="false">'Прайс лист'!G171</f>
        <v>12000</v>
      </c>
      <c r="E615" s="2154" t="n">
        <f aca="false">C615*D615</f>
        <v>0</v>
      </c>
      <c r="F615" s="2160"/>
      <c r="G615" s="87" t="s">
        <v>1440</v>
      </c>
      <c r="H615" s="87"/>
      <c r="I615" s="88" t="s">
        <v>133</v>
      </c>
      <c r="J615" s="89" t="n">
        <f aca="false">J613*E537*F514*F596</f>
        <v>0</v>
      </c>
      <c r="K615" s="2154" t="n">
        <f aca="false">'Прайс лист'!G1628</f>
        <v>350</v>
      </c>
      <c r="L615" s="2154" t="n">
        <f aca="false">J615*K615</f>
        <v>0</v>
      </c>
      <c r="M615" s="2273"/>
    </row>
    <row r="616" customFormat="false" ht="15.5" hidden="false" customHeight="false" outlineLevel="0" collapsed="false">
      <c r="A616" s="87" t="str">
        <f aca="false">'Прайс лист'!B791</f>
        <v>Геотекстиль</v>
      </c>
      <c r="B616" s="88" t="s">
        <v>133</v>
      </c>
      <c r="C616" s="89" t="n">
        <f aca="false">D537*1.15*E537*D578*F514*F515*F594</f>
        <v>0</v>
      </c>
      <c r="D616" s="2154" t="n">
        <f aca="false">'Прайс лист'!G791</f>
        <v>100</v>
      </c>
      <c r="E616" s="2154" t="n">
        <f aca="false">C616*D616</f>
        <v>0</v>
      </c>
      <c r="F616" s="2160"/>
      <c r="G616" s="87" t="s">
        <v>1456</v>
      </c>
      <c r="H616" s="87"/>
      <c r="I616" s="88" t="s">
        <v>133</v>
      </c>
      <c r="J616" s="89" t="n">
        <f aca="false">J613*E537*F514*F596</f>
        <v>0</v>
      </c>
      <c r="K616" s="2154" t="n">
        <f aca="false">'Прайс лист'!G1645</f>
        <v>200</v>
      </c>
      <c r="L616" s="2154" t="n">
        <f aca="false">J616*K616</f>
        <v>0</v>
      </c>
      <c r="M616" s="2273"/>
    </row>
    <row r="617" customFormat="false" ht="15.5" hidden="false" customHeight="false" outlineLevel="0" collapsed="false">
      <c r="A617" s="87" t="str">
        <f aca="false">'Ввод данных'!A872</f>
        <v>Плитный,28кг/м3, технониколь, 100мм</v>
      </c>
      <c r="B617" s="88" t="s">
        <v>135</v>
      </c>
      <c r="C617" s="89" t="n">
        <f aca="false">D537*E537*D578*F514*F515*F594*VLOOKUP(A617,'Прайс лист'!B744:G782,3,0)</f>
        <v>0</v>
      </c>
      <c r="D617" s="2154" t="n">
        <f aca="false">VLOOKUP(A617,'Прайс лист'!B744:G782,6,0)</f>
        <v>1700</v>
      </c>
      <c r="E617" s="2154" t="n">
        <f aca="false">C617*D617</f>
        <v>0</v>
      </c>
      <c r="F617" s="2160"/>
      <c r="G617" s="87" t="s">
        <v>4120</v>
      </c>
      <c r="H617" s="87"/>
      <c r="I617" s="88" t="s">
        <v>133</v>
      </c>
      <c r="J617" s="89" t="n">
        <f aca="false">J613*E537*F514*F596</f>
        <v>0</v>
      </c>
      <c r="K617" s="2154" t="n">
        <f aca="false">'Прайс лист'!G1621</f>
        <v>200</v>
      </c>
      <c r="L617" s="2154" t="n">
        <f aca="false">J617*K617</f>
        <v>0</v>
      </c>
      <c r="M617" s="2273"/>
    </row>
    <row r="618" customFormat="false" ht="15.5" hidden="false" customHeight="false" outlineLevel="0" collapsed="false">
      <c r="A618" s="87" t="str">
        <f aca="false">A598</f>
        <v>Пленка гидроизоляционная</v>
      </c>
      <c r="B618" s="88" t="s">
        <v>133</v>
      </c>
      <c r="C618" s="89" t="n">
        <f aca="false">C616*E537*D578*F514*F515*F594</f>
        <v>0</v>
      </c>
      <c r="D618" s="2154" t="n">
        <f aca="false">D598</f>
        <v>15</v>
      </c>
      <c r="E618" s="2154" t="n">
        <f aca="false">C618*D618</f>
        <v>0</v>
      </c>
      <c r="F618" s="2160"/>
      <c r="G618" s="87" t="s">
        <v>4083</v>
      </c>
      <c r="H618" s="87"/>
      <c r="I618" s="88" t="s">
        <v>133</v>
      </c>
      <c r="J618" s="89" t="n">
        <f aca="false">J613*D588*E537*F514*F596</f>
        <v>0</v>
      </c>
      <c r="K618" s="2154" t="n">
        <f aca="false">'Прайс лист'!G1619</f>
        <v>10</v>
      </c>
      <c r="L618" s="2154" t="n">
        <f aca="false">J618*K618</f>
        <v>0</v>
      </c>
      <c r="M618" s="2273"/>
    </row>
    <row r="619" customFormat="false" ht="15.5" hidden="false" customHeight="false" outlineLevel="0" collapsed="false">
      <c r="A619" s="87" t="str">
        <f aca="false">'Прайс лист'!B211</f>
        <v>Кладочная сетка, 100*100/150*150/200*200мм</v>
      </c>
      <c r="B619" s="88" t="s">
        <v>133</v>
      </c>
      <c r="C619" s="89" t="n">
        <f aca="false">D537*D588*1.1*E537*D578*F514*F515*F594</f>
        <v>0</v>
      </c>
      <c r="D619" s="2154" t="n">
        <f aca="false">'Прайс лист'!G211</f>
        <v>70</v>
      </c>
      <c r="E619" s="2154" t="n">
        <f aca="false">C619*D619</f>
        <v>0</v>
      </c>
      <c r="F619" s="2160"/>
      <c r="G619" s="87" t="s">
        <v>4121</v>
      </c>
      <c r="H619" s="87"/>
      <c r="I619" s="88" t="s">
        <v>133</v>
      </c>
      <c r="J619" s="89" t="n">
        <f aca="false">J613*D588*E537*F514*F596</f>
        <v>0</v>
      </c>
      <c r="K619" s="2154" t="n">
        <f aca="false">'Прайс лист'!G1635</f>
        <v>100</v>
      </c>
      <c r="L619" s="2154" t="n">
        <f aca="false">J619*K619</f>
        <v>0</v>
      </c>
      <c r="M619" s="2273"/>
    </row>
    <row r="620" customFormat="false" ht="15.5" hidden="false" customHeight="false" outlineLevel="0" collapsed="false">
      <c r="A620" s="87" t="str">
        <f aca="false">'Прайс лист'!B213</f>
        <v>Стяжки пластиковые</v>
      </c>
      <c r="B620" s="88" t="s">
        <v>159</v>
      </c>
      <c r="C620" s="89" t="n">
        <f aca="false">C619*2*E537*D578*F514*F515*F594</f>
        <v>0</v>
      </c>
      <c r="D620" s="2154" t="n">
        <f aca="false">'Прайс лист'!G213</f>
        <v>2</v>
      </c>
      <c r="E620" s="2154" t="n">
        <f aca="false">C620*D620</f>
        <v>0</v>
      </c>
      <c r="F620" s="2160"/>
      <c r="G620" s="87" t="s">
        <v>1454</v>
      </c>
      <c r="H620" s="87"/>
      <c r="I620" s="88" t="s">
        <v>133</v>
      </c>
      <c r="J620" s="89" t="n">
        <f aca="false">J613*D588*E537*F514*F596</f>
        <v>0</v>
      </c>
      <c r="K620" s="2154" t="n">
        <f aca="false">'Прайс лист'!G1643</f>
        <v>600</v>
      </c>
      <c r="L620" s="2154" t="n">
        <f aca="false">J620*K620</f>
        <v>0</v>
      </c>
      <c r="M620" s="2273"/>
    </row>
    <row r="621" customFormat="false" ht="15.5" hidden="false" customHeight="false" outlineLevel="0" collapsed="false">
      <c r="A621" s="87" t="str">
        <f aca="false">A620</f>
        <v>Стяжки пластиковые</v>
      </c>
      <c r="B621" s="88" t="s">
        <v>159</v>
      </c>
      <c r="C621" s="89" t="n">
        <f aca="false">C588*D588*2*E537*D578*F514*F515*F594</f>
        <v>0</v>
      </c>
      <c r="D621" s="2154" t="n">
        <f aca="false">D620</f>
        <v>2</v>
      </c>
      <c r="E621" s="2154" t="n">
        <f aca="false">C621*D621</f>
        <v>0</v>
      </c>
      <c r="F621" s="2160"/>
      <c r="G621" s="87" t="s">
        <v>1459</v>
      </c>
      <c r="H621" s="87"/>
      <c r="I621" s="88" t="s">
        <v>159</v>
      </c>
      <c r="J621" s="89" t="n">
        <f aca="false">C589*D589*E537*F514*F596</f>
        <v>0</v>
      </c>
      <c r="K621" s="2154" t="n">
        <f aca="false">'Прайс лист'!G1648</f>
        <v>1000</v>
      </c>
      <c r="L621" s="2154" t="n">
        <f aca="false">J621*K621</f>
        <v>0</v>
      </c>
      <c r="M621" s="2273"/>
    </row>
    <row r="622" customFormat="false" ht="15.5" hidden="false" customHeight="false" outlineLevel="0" collapsed="false">
      <c r="A622" s="87" t="str">
        <f aca="false">'Ввод данных'!A878</f>
        <v>Труба теплого пола 3</v>
      </c>
      <c r="B622" s="88" t="s">
        <v>1415</v>
      </c>
      <c r="C622" s="89" t="n">
        <f aca="false">C588*D588*E537*D578*F514*F515*F594</f>
        <v>0</v>
      </c>
      <c r="D622" s="2154" t="n">
        <f aca="false">VLOOKUP(A622,'Прайс лист'!B1083:G1091,6,0)</f>
        <v>60</v>
      </c>
      <c r="E622" s="2154" t="n">
        <f aca="false">C622*D622</f>
        <v>0</v>
      </c>
      <c r="F622" s="2160"/>
      <c r="G622" s="87" t="s">
        <v>4122</v>
      </c>
      <c r="H622" s="87"/>
      <c r="I622" s="88" t="s">
        <v>133</v>
      </c>
      <c r="J622" s="89" t="n">
        <f aca="false">D537*E537*F514*F596</f>
        <v>0</v>
      </c>
      <c r="K622" s="2154" t="n">
        <f aca="false">'Прайс лист'!G1600</f>
        <v>300</v>
      </c>
      <c r="L622" s="2154" t="n">
        <f aca="false">J622*K622</f>
        <v>0</v>
      </c>
      <c r="M622" s="2273"/>
    </row>
    <row r="623" customFormat="false" ht="15.5" hidden="false" customHeight="false" outlineLevel="0" collapsed="false">
      <c r="A623" s="87" t="str">
        <f aca="false">'Ввод данных'!A879</f>
        <v>Коллектор 6</v>
      </c>
      <c r="B623" s="88" t="s">
        <v>159</v>
      </c>
      <c r="C623" s="89" t="n">
        <f aca="false">C589*D589*E537*D578*F514*F515*F594</f>
        <v>0</v>
      </c>
      <c r="D623" s="2154" t="n">
        <f aca="false">VLOOKUP(A623,'Прайс лист'!B1092:G1099,6,0)</f>
        <v>15000</v>
      </c>
      <c r="E623" s="2154" t="n">
        <f aca="false">C623*D623</f>
        <v>0</v>
      </c>
      <c r="F623" s="2160"/>
      <c r="G623" s="87" t="s">
        <v>4123</v>
      </c>
      <c r="H623" s="87"/>
      <c r="I623" s="88" t="s">
        <v>156</v>
      </c>
      <c r="J623" s="89" t="n">
        <f aca="false">C590*D590*E537*F514*F596</f>
        <v>0</v>
      </c>
      <c r="K623" s="2154" t="n">
        <f aca="false">'Прайс лист'!G1646</f>
        <v>200</v>
      </c>
      <c r="L623" s="2154" t="n">
        <f aca="false">J623*K623</f>
        <v>0</v>
      </c>
      <c r="M623" s="2273"/>
    </row>
    <row r="624" customFormat="false" ht="15.5" hidden="false" customHeight="false" outlineLevel="0" collapsed="false">
      <c r="A624" s="87" t="str">
        <f aca="false">'Прайс лист'!B205</f>
        <v>Арматура стальная Ø 10 </v>
      </c>
      <c r="B624" s="88" t="s">
        <v>156</v>
      </c>
      <c r="C624" s="89" t="n">
        <f aca="false">C587*E537*D578*F514*F515*F594</f>
        <v>0</v>
      </c>
      <c r="D624" s="2154" t="n">
        <f aca="false">'Прайс лист'!G205</f>
        <v>21.0397</v>
      </c>
      <c r="E624" s="2154" t="n">
        <f aca="false">C624*D624</f>
        <v>0</v>
      </c>
      <c r="F624" s="2160"/>
      <c r="G624" s="87" t="s">
        <v>4124</v>
      </c>
      <c r="H624" s="87"/>
      <c r="I624" s="88" t="s">
        <v>159</v>
      </c>
      <c r="J624" s="89" t="n">
        <f aca="false">C591*D591*E537*F514*F596</f>
        <v>0</v>
      </c>
      <c r="K624" s="2154" t="n">
        <f aca="false">'Прайс лист'!G1647</f>
        <v>300</v>
      </c>
      <c r="L624" s="2154" t="n">
        <f aca="false">J624*K624</f>
        <v>0</v>
      </c>
      <c r="M624" s="2273"/>
    </row>
    <row r="625" customFormat="false" ht="15.5" hidden="false" customHeight="false" outlineLevel="0" collapsed="false">
      <c r="A625" s="87" t="str">
        <f aca="false">A602</f>
        <v>Вязальная проволока</v>
      </c>
      <c r="B625" s="88" t="s">
        <v>188</v>
      </c>
      <c r="C625" s="89" t="n">
        <f aca="false">C624/100*E537*D578*F514*F515*F594</f>
        <v>0</v>
      </c>
      <c r="D625" s="2154" t="n">
        <f aca="false">D602</f>
        <v>80</v>
      </c>
      <c r="E625" s="2154" t="n">
        <f aca="false">C625*D625</f>
        <v>0</v>
      </c>
      <c r="F625" s="2160"/>
      <c r="G625" s="87" t="s">
        <v>4125</v>
      </c>
      <c r="H625" s="87"/>
      <c r="I625" s="88" t="s">
        <v>133</v>
      </c>
      <c r="J625" s="89" t="n">
        <f aca="false">D537*E537*F596*F514</f>
        <v>0</v>
      </c>
      <c r="K625" s="2154" t="n">
        <f aca="false">'Прайс лист'!G1605</f>
        <v>350</v>
      </c>
      <c r="L625" s="2154" t="n">
        <f aca="false">J625*K625</f>
        <v>0</v>
      </c>
      <c r="M625" s="2273"/>
    </row>
    <row r="626" customFormat="false" ht="15.5" hidden="false" customHeight="false" outlineLevel="0" collapsed="false">
      <c r="A626" s="87" t="str">
        <f aca="false">'Прайс лист'!B214</f>
        <v>Подставка под арматурный каркас</v>
      </c>
      <c r="B626" s="88" t="s">
        <v>159</v>
      </c>
      <c r="C626" s="89" t="n">
        <f aca="false">D537*3*E537*D578*F514*F515*F594</f>
        <v>0</v>
      </c>
      <c r="D626" s="2154" t="n">
        <f aca="false">'Прайс лист'!G214</f>
        <v>5</v>
      </c>
      <c r="E626" s="2154" t="n">
        <f aca="false">C626*D626</f>
        <v>0</v>
      </c>
      <c r="F626" s="2160"/>
      <c r="G626" s="931" t="s">
        <v>4126</v>
      </c>
      <c r="H626" s="122"/>
      <c r="I626" s="88" t="s">
        <v>156</v>
      </c>
      <c r="J626" s="89" t="n">
        <f aca="false">C629*D578*F596</f>
        <v>0</v>
      </c>
      <c r="K626" s="2154" t="n">
        <f aca="false">'Прайс лист'!G1649</f>
        <v>100</v>
      </c>
      <c r="L626" s="2154" t="n">
        <f aca="false">J626*K626</f>
        <v>0</v>
      </c>
      <c r="M626" s="2273"/>
    </row>
    <row r="627" customFormat="false" ht="15.5" hidden="false" customHeight="false" outlineLevel="0" collapsed="false">
      <c r="A627" s="87" t="str">
        <f aca="false">'Ввод данных'!A880</f>
        <v>труба дренажная d90 с перфорацией, в фильтре</v>
      </c>
      <c r="B627" s="88" t="s">
        <v>159</v>
      </c>
      <c r="C627" s="89" t="n">
        <f aca="false">C590*D590*E537*D578*F514*F515</f>
        <v>0</v>
      </c>
      <c r="D627" s="2154" t="n">
        <f aca="false">VLOOKUP(A627,'Прайс лист'!B1103:G1119,6,0)</f>
        <v>95</v>
      </c>
      <c r="E627" s="2154" t="n">
        <f aca="false">C627*D627</f>
        <v>0</v>
      </c>
      <c r="F627" s="2160"/>
      <c r="G627" s="931"/>
      <c r="H627" s="931"/>
      <c r="I627" s="931"/>
      <c r="J627" s="89"/>
      <c r="K627" s="89"/>
      <c r="L627" s="89"/>
      <c r="M627" s="2273"/>
    </row>
    <row r="628" customFormat="false" ht="15.5" hidden="false" customHeight="false" outlineLevel="0" collapsed="false">
      <c r="A628" s="87" t="str">
        <f aca="false">'Ввод данных'!A881</f>
        <v>Дренажный колодец D400</v>
      </c>
      <c r="B628" s="88" t="s">
        <v>159</v>
      </c>
      <c r="C628" s="89" t="n">
        <f aca="false">C591*D591*E537*D578*F514*F515</f>
        <v>0</v>
      </c>
      <c r="D628" s="2154" t="n">
        <f aca="false">VLOOKUP(A628,'Прайс лист'!B1124:G1127,6,0)</f>
        <v>2500</v>
      </c>
      <c r="E628" s="2154" t="n">
        <f aca="false">C628*D628</f>
        <v>0</v>
      </c>
      <c r="F628" s="2160"/>
      <c r="G628" s="931"/>
      <c r="H628" s="931"/>
      <c r="I628" s="931"/>
      <c r="J628" s="89"/>
      <c r="K628" s="89"/>
      <c r="L628" s="89"/>
      <c r="M628" s="2273"/>
    </row>
    <row r="629" customFormat="false" ht="15.5" hidden="false" customHeight="false" outlineLevel="0" collapsed="false">
      <c r="A629" s="931" t="str">
        <f aca="false">'Прайс лист'!B217</f>
        <v>Демпферная лента</v>
      </c>
      <c r="B629" s="2148" t="s">
        <v>156</v>
      </c>
      <c r="C629" s="89" t="n">
        <f aca="false">((D519+D520*2)*E519+(D526+D527*2)*E526)*E537*D578*F514*F515*F594</f>
        <v>0</v>
      </c>
      <c r="D629" s="2154" t="n">
        <f aca="false">'Прайс лист'!G217</f>
        <v>50</v>
      </c>
      <c r="E629" s="2154" t="n">
        <f aca="false">C629*D629</f>
        <v>0</v>
      </c>
      <c r="F629" s="2160"/>
      <c r="G629" s="87"/>
      <c r="H629" s="87"/>
      <c r="I629" s="89"/>
      <c r="J629" s="89"/>
      <c r="K629" s="89"/>
      <c r="L629" s="89"/>
      <c r="M629" s="2273"/>
    </row>
    <row r="630" customFormat="false" ht="15.5" hidden="false" customHeight="false" outlineLevel="0" collapsed="false">
      <c r="A630" s="87" t="str">
        <f aca="false">'Прайс лист'!B228</f>
        <v>Бетон, м350</v>
      </c>
      <c r="B630" s="88" t="s">
        <v>135</v>
      </c>
      <c r="C630" s="89" t="n">
        <f aca="false">D537*E537*C583*E537*D578*F514*F515*F594</f>
        <v>0</v>
      </c>
      <c r="D630" s="2154" t="n">
        <f aca="false">'Прайс лист'!G228</f>
        <v>3500</v>
      </c>
      <c r="E630" s="2154" t="n">
        <f aca="false">C630*D630</f>
        <v>0</v>
      </c>
      <c r="F630" s="2160"/>
      <c r="G630" s="931"/>
      <c r="H630" s="931"/>
      <c r="I630" s="931"/>
      <c r="J630" s="89"/>
      <c r="K630" s="89"/>
      <c r="L630" s="89"/>
      <c r="M630" s="2273"/>
    </row>
    <row r="631" customFormat="false" ht="15.5" hidden="false" customHeight="false" outlineLevel="0" collapsed="false">
      <c r="A631" s="2371"/>
      <c r="B631" s="2120"/>
      <c r="C631" s="2120"/>
      <c r="D631" s="2120"/>
      <c r="E631" s="89" t="n">
        <f aca="false">SUM(E613:E630)</f>
        <v>0</v>
      </c>
      <c r="F631" s="2160"/>
      <c r="G631" s="2371"/>
      <c r="H631" s="2120"/>
      <c r="I631" s="2120"/>
      <c r="J631" s="2120"/>
      <c r="K631" s="2120"/>
      <c r="L631" s="122" t="n">
        <f aca="false">SUM(L613:L630)</f>
        <v>0</v>
      </c>
      <c r="M631" s="2273"/>
    </row>
    <row r="632" customFormat="false" ht="15.5" hidden="false" customHeight="false" outlineLevel="0" collapsed="false">
      <c r="A632" s="122" t="s">
        <v>4059</v>
      </c>
      <c r="B632" s="122" t="n">
        <f aca="false">E631</f>
        <v>0</v>
      </c>
      <c r="C632" s="905"/>
      <c r="D632" s="905"/>
      <c r="E632" s="2120"/>
      <c r="F632" s="905"/>
      <c r="G632" s="905"/>
      <c r="H632" s="905"/>
      <c r="I632" s="905"/>
      <c r="J632" s="905"/>
      <c r="K632" s="2120"/>
      <c r="L632" s="2310"/>
      <c r="M632" s="2273"/>
    </row>
    <row r="633" customFormat="false" ht="15.5" hidden="false" customHeight="false" outlineLevel="0" collapsed="false">
      <c r="A633" s="122" t="s">
        <v>4060</v>
      </c>
      <c r="B633" s="122" t="n">
        <f aca="false">L631</f>
        <v>0</v>
      </c>
      <c r="C633" s="2273"/>
      <c r="D633" s="2273"/>
      <c r="E633" s="2273"/>
      <c r="F633" s="2273"/>
      <c r="G633" s="2273"/>
      <c r="H633" s="2120"/>
      <c r="I633" s="2120"/>
      <c r="J633" s="2120"/>
      <c r="K633" s="2120"/>
      <c r="L633" s="2310"/>
      <c r="M633" s="2273"/>
    </row>
    <row r="634" customFormat="false" ht="15.5" hidden="false" customHeight="false" outlineLevel="0" collapsed="false">
      <c r="A634" s="122" t="s">
        <v>4061</v>
      </c>
      <c r="B634" s="122" t="n">
        <f aca="false">SUM(B632:B633)</f>
        <v>0</v>
      </c>
      <c r="C634" s="2273"/>
      <c r="D634" s="2273"/>
      <c r="E634" s="2273"/>
      <c r="F634" s="2273"/>
      <c r="G634" s="2273"/>
      <c r="H634" s="2310"/>
      <c r="I634" s="2310"/>
      <c r="J634" s="2310"/>
      <c r="K634" s="2310"/>
      <c r="L634" s="2310"/>
      <c r="M634" s="2273"/>
    </row>
    <row r="635" customFormat="false" ht="15.5" hidden="false" customHeight="false" outlineLevel="0" collapsed="false">
      <c r="A635" s="2189" t="s">
        <v>4119</v>
      </c>
      <c r="B635" s="2189"/>
      <c r="C635" s="2189"/>
      <c r="D635" s="2189"/>
      <c r="E635" s="2189"/>
      <c r="F635" s="2189"/>
      <c r="G635" s="2189"/>
      <c r="H635" s="2189"/>
      <c r="I635" s="2189"/>
      <c r="J635" s="2189"/>
      <c r="K635" s="2189"/>
      <c r="L635" s="2189"/>
      <c r="M635" s="2273"/>
    </row>
    <row r="636" customFormat="false" ht="15.5" hidden="false" customHeight="false" outlineLevel="0" collapsed="false">
      <c r="A636" s="2395" t="s">
        <v>4127</v>
      </c>
      <c r="B636" s="2395"/>
      <c r="C636" s="2395"/>
      <c r="D636" s="2395"/>
      <c r="E636" s="2395"/>
      <c r="F636" s="2395"/>
      <c r="G636" s="2395"/>
      <c r="H636" s="2395"/>
      <c r="I636" s="2395"/>
      <c r="J636" s="2395"/>
      <c r="K636" s="2395"/>
      <c r="L636" s="2395"/>
      <c r="M636" s="2273"/>
    </row>
    <row r="637" customFormat="false" ht="15.5" hidden="false" customHeight="false" outlineLevel="0" collapsed="false">
      <c r="A637" s="2235" t="s">
        <v>1236</v>
      </c>
      <c r="B637" s="2235" t="s">
        <v>208</v>
      </c>
      <c r="C637" s="2235" t="s">
        <v>1802</v>
      </c>
      <c r="D637" s="2235" t="s">
        <v>4117</v>
      </c>
      <c r="E637" s="2235" t="s">
        <v>3696</v>
      </c>
      <c r="F637" s="2184"/>
      <c r="G637" s="2392" t="s">
        <v>1236</v>
      </c>
      <c r="H637" s="2393"/>
      <c r="I637" s="2235" t="s">
        <v>208</v>
      </c>
      <c r="J637" s="2235" t="s">
        <v>1802</v>
      </c>
      <c r="K637" s="2235" t="s">
        <v>4117</v>
      </c>
      <c r="L637" s="2235" t="s">
        <v>3696</v>
      </c>
      <c r="M637" s="2273"/>
    </row>
    <row r="638" customFormat="false" ht="15.5" hidden="false" customHeight="false" outlineLevel="0" collapsed="false">
      <c r="A638" s="2253" t="str">
        <f aca="false">'Прайс лист'!B218</f>
        <v>Праймер для обработки</v>
      </c>
      <c r="B638" s="2235" t="s">
        <v>396</v>
      </c>
      <c r="C638" s="2235" t="n">
        <f aca="false">D543/1.5*E517*F514*F515*F594</f>
        <v>0</v>
      </c>
      <c r="D638" s="2235" t="n">
        <f aca="false">'Прайс лист'!G218</f>
        <v>100</v>
      </c>
      <c r="E638" s="2235" t="n">
        <f aca="false">C638*D638</f>
        <v>0</v>
      </c>
      <c r="F638" s="2184"/>
      <c r="G638" s="2392" t="s">
        <v>1461</v>
      </c>
      <c r="H638" s="2393"/>
      <c r="I638" s="2235" t="s">
        <v>133</v>
      </c>
      <c r="J638" s="2235" t="n">
        <f aca="false">D543*E517*F514*F596</f>
        <v>0</v>
      </c>
      <c r="K638" s="2235" t="n">
        <f aca="false">'Прайс лист'!G1650</f>
        <v>200</v>
      </c>
      <c r="L638" s="2235" t="n">
        <f aca="false">J638*K638</f>
        <v>0</v>
      </c>
      <c r="M638" s="2273"/>
    </row>
    <row r="639" customFormat="false" ht="15.5" hidden="false" customHeight="false" outlineLevel="0" collapsed="false">
      <c r="A639" s="122" t="str">
        <f aca="false">A599</f>
        <v>Гидроизол</v>
      </c>
      <c r="B639" s="88" t="s">
        <v>133</v>
      </c>
      <c r="C639" s="88" t="n">
        <f aca="false">C638*1.1*E517*F514*F515*F594</f>
        <v>0</v>
      </c>
      <c r="D639" s="2235" t="n">
        <f aca="false">D599</f>
        <v>70</v>
      </c>
      <c r="E639" s="2235" t="n">
        <f aca="false">C639*D639</f>
        <v>0</v>
      </c>
      <c r="F639" s="905"/>
      <c r="G639" s="2155" t="s">
        <v>1438</v>
      </c>
      <c r="H639" s="2156"/>
      <c r="I639" s="88" t="s">
        <v>133</v>
      </c>
      <c r="J639" s="88" t="n">
        <f aca="false">C639*E517*F514*F596</f>
        <v>0</v>
      </c>
      <c r="K639" s="2235" t="n">
        <f aca="false">'Прайс лист'!G1626</f>
        <v>100</v>
      </c>
      <c r="L639" s="2235" t="n">
        <f aca="false">J639*K639</f>
        <v>0</v>
      </c>
      <c r="M639" s="2273"/>
    </row>
    <row r="640" customFormat="false" ht="15.5" hidden="false" customHeight="false" outlineLevel="0" collapsed="false">
      <c r="A640" s="122" t="str">
        <f aca="false">'Прайс лист'!B219</f>
        <v>Мастика битумная</v>
      </c>
      <c r="B640" s="88" t="s">
        <v>188</v>
      </c>
      <c r="C640" s="88" t="n">
        <f aca="false">C639/10*E517*F514*F515*F594</f>
        <v>0</v>
      </c>
      <c r="D640" s="2235" t="n">
        <f aca="false">'Прайс лист'!G219</f>
        <v>100</v>
      </c>
      <c r="E640" s="2235" t="n">
        <f aca="false">C640*D640</f>
        <v>0</v>
      </c>
      <c r="F640" s="905"/>
      <c r="G640" s="2155" t="str">
        <f aca="false">'Прайс лист'!B1652</f>
        <v>Кладка блоков ФБС</v>
      </c>
      <c r="H640" s="2158"/>
      <c r="I640" s="88" t="s">
        <v>135</v>
      </c>
      <c r="J640" s="88" t="n">
        <f aca="false">C641*E517*F514*F596</f>
        <v>0</v>
      </c>
      <c r="K640" s="2235" t="n">
        <f aca="false">'Прайс лист'!G1652</f>
        <v>1000</v>
      </c>
      <c r="L640" s="2235" t="n">
        <f aca="false">J640*K640</f>
        <v>0</v>
      </c>
      <c r="M640" s="2273"/>
    </row>
    <row r="641" customFormat="false" ht="15.5" hidden="false" customHeight="false" outlineLevel="0" collapsed="false">
      <c r="A641" s="87" t="str">
        <f aca="false">'Прайс лист'!B162</f>
        <v>Блоки ФБС</v>
      </c>
      <c r="B641" s="88" t="s">
        <v>135</v>
      </c>
      <c r="C641" s="88" t="n">
        <f aca="false">E521*E517*F514*F515*F594</f>
        <v>0</v>
      </c>
      <c r="D641" s="2235" t="n">
        <f aca="false">'Прайс лист'!G162</f>
        <v>1200</v>
      </c>
      <c r="E641" s="2235" t="n">
        <f aca="false">C641*D641</f>
        <v>0</v>
      </c>
      <c r="F641" s="2184"/>
      <c r="G641" s="87" t="s">
        <v>4121</v>
      </c>
      <c r="H641" s="87"/>
      <c r="I641" s="88" t="s">
        <v>133</v>
      </c>
      <c r="J641" s="88" t="n">
        <f aca="false">C642*E517*F514*F596</f>
        <v>0</v>
      </c>
      <c r="K641" s="2235" t="n">
        <f aca="false">'Прайс лист'!G1635</f>
        <v>100</v>
      </c>
      <c r="L641" s="2235" t="n">
        <f aca="false">J641*K641</f>
        <v>0</v>
      </c>
      <c r="M641" s="2273"/>
    </row>
    <row r="642" customFormat="false" ht="15.5" hidden="false" customHeight="false" outlineLevel="0" collapsed="false">
      <c r="A642" s="87" t="str">
        <f aca="false">'Прайс лист'!B211</f>
        <v>Кладочная сетка, 100*100/150*150/200*200мм</v>
      </c>
      <c r="B642" s="88" t="s">
        <v>133</v>
      </c>
      <c r="C642" s="88" t="n">
        <f aca="false">D536/0.6*D522*E517*E517*F514*F515*F594</f>
        <v>0</v>
      </c>
      <c r="D642" s="2235" t="n">
        <f aca="false">'Прайс лист'!G211</f>
        <v>70</v>
      </c>
      <c r="E642" s="2235" t="n">
        <f aca="false">C642*D642</f>
        <v>0</v>
      </c>
      <c r="F642" s="2160"/>
      <c r="G642" s="931" t="s">
        <v>1462</v>
      </c>
      <c r="H642" s="931"/>
      <c r="I642" s="88" t="s">
        <v>133</v>
      </c>
      <c r="J642" s="88" t="n">
        <f aca="false">D519*D536*E517*F514*F596</f>
        <v>0</v>
      </c>
      <c r="K642" s="2235" t="n">
        <f aca="false">'Прайс лист'!G1651</f>
        <v>200</v>
      </c>
      <c r="L642" s="2235" t="n">
        <f aca="false">J642*K642</f>
        <v>0</v>
      </c>
      <c r="M642" s="2273"/>
    </row>
    <row r="643" customFormat="false" ht="15.5" hidden="false" customHeight="false" outlineLevel="0" collapsed="false">
      <c r="A643" s="122" t="str">
        <f aca="false">'Прайс лист'!B212</f>
        <v>Вязальная проволока</v>
      </c>
      <c r="B643" s="88" t="s">
        <v>188</v>
      </c>
      <c r="C643" s="88" t="n">
        <f aca="false">C642/20*E517*F514*F515*F594</f>
        <v>0</v>
      </c>
      <c r="D643" s="2235" t="n">
        <f aca="false">'Прайс лист'!G212</f>
        <v>80</v>
      </c>
      <c r="E643" s="2235" t="n">
        <f aca="false">C643*D643</f>
        <v>0</v>
      </c>
      <c r="F643" s="905"/>
      <c r="G643" s="87" t="str">
        <f aca="false">'Прайс лист'!B1613</f>
        <v>Монтаж утеплителя стен наружних</v>
      </c>
      <c r="H643" s="87"/>
      <c r="I643" s="2148" t="s">
        <v>133</v>
      </c>
      <c r="J643" s="88" t="n">
        <f aca="false">J642*E541*E517*F514*F596</f>
        <v>0</v>
      </c>
      <c r="K643" s="2235" t="n">
        <f aca="false">'Прайс лист'!G1613</f>
        <v>200</v>
      </c>
      <c r="L643" s="2235" t="n">
        <f aca="false">J643*K643</f>
        <v>0</v>
      </c>
      <c r="M643" s="2273"/>
    </row>
    <row r="644" customFormat="false" ht="15.5" hidden="false" customHeight="false" outlineLevel="0" collapsed="false">
      <c r="A644" s="289" t="str">
        <f aca="false">'Прайс лист'!B230</f>
        <v>Раствор, м250</v>
      </c>
      <c r="B644" s="1129" t="s">
        <v>135</v>
      </c>
      <c r="C644" s="1129" t="n">
        <f aca="false">C642*0.015*(D521/0.43*0.015)*E517*F514*F594</f>
        <v>0</v>
      </c>
      <c r="D644" s="2235" t="n">
        <f aca="false">'Прайс лист'!G230</f>
        <v>2500</v>
      </c>
      <c r="E644" s="2235" t="n">
        <f aca="false">C644*D644</f>
        <v>0</v>
      </c>
      <c r="F644" s="905"/>
      <c r="G644" s="2155" t="s">
        <v>1431</v>
      </c>
      <c r="H644" s="2158"/>
      <c r="I644" s="88" t="s">
        <v>133</v>
      </c>
      <c r="J644" s="1129" t="n">
        <f aca="false">E520*2*(D523+0.3)*E517*F514*F596</f>
        <v>0</v>
      </c>
      <c r="K644" s="2235" t="n">
        <f aca="false">'Прайс лист'!G1617</f>
        <v>300</v>
      </c>
      <c r="L644" s="2235" t="n">
        <f aca="false">J644*K644</f>
        <v>0</v>
      </c>
      <c r="M644" s="2273"/>
    </row>
    <row r="645" customFormat="false" ht="15.5" hidden="false" customHeight="false" outlineLevel="0" collapsed="false">
      <c r="A645" s="289" t="str">
        <f aca="false">A597</f>
        <v>Сосна влаж,150*40мм</v>
      </c>
      <c r="B645" s="1129" t="s">
        <v>135</v>
      </c>
      <c r="C645" s="1129" t="n">
        <f aca="false">E520*2*(D523+0.3)*0.05*1.3*E517*F514*F515*F594</f>
        <v>0</v>
      </c>
      <c r="D645" s="2235" t="n">
        <f aca="false">D597</f>
        <v>6500</v>
      </c>
      <c r="E645" s="2235" t="n">
        <f aca="false">C645*D645</f>
        <v>0</v>
      </c>
      <c r="F645" s="905"/>
      <c r="G645" s="931" t="s">
        <v>1432</v>
      </c>
      <c r="H645" s="931"/>
      <c r="I645" s="88" t="s">
        <v>133</v>
      </c>
      <c r="J645" s="1129" t="n">
        <f aca="false">E521*2*(D524+0.3)*E517*F596*F514</f>
        <v>0</v>
      </c>
      <c r="K645" s="2235" t="n">
        <f aca="false">'Прайс лист'!G1618</f>
        <v>100</v>
      </c>
      <c r="L645" s="2235" t="n">
        <f aca="false">J645*K645</f>
        <v>0</v>
      </c>
      <c r="M645" s="2273"/>
    </row>
    <row r="646" customFormat="false" ht="15.5" hidden="false" customHeight="false" outlineLevel="0" collapsed="false">
      <c r="A646" s="289" t="str">
        <f aca="false">'Прайс лист'!B205</f>
        <v>Арматура стальная Ø 10 </v>
      </c>
      <c r="B646" s="1129" t="s">
        <v>156</v>
      </c>
      <c r="C646" s="1129" t="n">
        <f aca="false">E524*F514*F515*F594*E517</f>
        <v>0</v>
      </c>
      <c r="D646" s="2235" t="n">
        <f aca="false">'Прайс лист'!G205</f>
        <v>21.0397</v>
      </c>
      <c r="E646" s="2235" t="n">
        <f aca="false">C646*D646</f>
        <v>0</v>
      </c>
      <c r="F646" s="905"/>
      <c r="G646" s="931" t="s">
        <v>1443</v>
      </c>
      <c r="H646" s="931"/>
      <c r="I646" s="2148" t="s">
        <v>135</v>
      </c>
      <c r="J646" s="1129" t="n">
        <f aca="false">C648*F514*F596*E517</f>
        <v>0</v>
      </c>
      <c r="K646" s="2235" t="n">
        <f aca="false">'Прайс лист'!G1605</f>
        <v>350</v>
      </c>
      <c r="L646" s="2235" t="n">
        <f aca="false">J646*K646</f>
        <v>0</v>
      </c>
      <c r="M646" s="2273"/>
    </row>
    <row r="647" customFormat="false" ht="15.5" hidden="false" customHeight="false" outlineLevel="0" collapsed="false">
      <c r="A647" s="289" t="str">
        <f aca="false">'Прайс лист'!B199</f>
        <v>Нет арматуры</v>
      </c>
      <c r="B647" s="1129" t="s">
        <v>156</v>
      </c>
      <c r="C647" s="1129" t="n">
        <f aca="false">E525*F514*F515*F594*E517</f>
        <v>0</v>
      </c>
      <c r="D647" s="2235" t="n">
        <f aca="false">'Прайс лист'!G199</f>
        <v>0</v>
      </c>
      <c r="E647" s="2235" t="n">
        <f aca="false">C647*D647</f>
        <v>0</v>
      </c>
      <c r="F647" s="905"/>
      <c r="G647" s="2396"/>
      <c r="H647" s="2396"/>
      <c r="I647" s="289"/>
      <c r="J647" s="1129"/>
      <c r="K647" s="289"/>
      <c r="L647" s="289"/>
      <c r="M647" s="2273"/>
    </row>
    <row r="648" customFormat="false" ht="15.5" hidden="false" customHeight="false" outlineLevel="0" collapsed="false">
      <c r="A648" s="289" t="str">
        <f aca="false">'Прайс лист'!B227</f>
        <v>Бетон, м300</v>
      </c>
      <c r="B648" s="1129" t="s">
        <v>135</v>
      </c>
      <c r="C648" s="1129" t="n">
        <f aca="false">E523*E517*F514*F515*F594</f>
        <v>0</v>
      </c>
      <c r="D648" s="2235" t="n">
        <f aca="false">'Прайс лист'!G227</f>
        <v>3000</v>
      </c>
      <c r="E648" s="2235" t="n">
        <f aca="false">C648*D648</f>
        <v>0</v>
      </c>
      <c r="F648" s="905"/>
      <c r="G648" s="2396"/>
      <c r="H648" s="2396"/>
      <c r="I648" s="289"/>
      <c r="J648" s="1129"/>
      <c r="K648" s="289"/>
      <c r="L648" s="289"/>
      <c r="M648" s="2273"/>
    </row>
    <row r="649" customFormat="false" ht="15.5" hidden="false" customHeight="false" outlineLevel="0" collapsed="false">
      <c r="A649" s="931" t="str">
        <f aca="false">'Прайс лист'!B218</f>
        <v>Праймер для обработки</v>
      </c>
      <c r="B649" s="2148" t="s">
        <v>396</v>
      </c>
      <c r="C649" s="2148" t="n">
        <f aca="false">D519*D536/1.5*E517*F514*F515*F594</f>
        <v>0</v>
      </c>
      <c r="D649" s="2235" t="n">
        <f aca="false">'Прайс лист'!G218</f>
        <v>100</v>
      </c>
      <c r="E649" s="2235" t="n">
        <f aca="false">C649*D649</f>
        <v>0</v>
      </c>
      <c r="F649" s="2072"/>
      <c r="G649" s="931"/>
      <c r="H649" s="931"/>
      <c r="I649" s="931"/>
      <c r="J649" s="2148"/>
      <c r="K649" s="931"/>
      <c r="L649" s="931"/>
      <c r="M649" s="2273"/>
    </row>
    <row r="650" customFormat="false" ht="15.5" hidden="false" customHeight="false" outlineLevel="0" collapsed="false">
      <c r="A650" s="2322" t="str">
        <f aca="false">'Ввод данных'!A877</f>
        <v>Плитный,28кг/м3, технониколь, 100мм</v>
      </c>
      <c r="B650" s="2148" t="s">
        <v>135</v>
      </c>
      <c r="C650" s="2148" t="n">
        <f aca="false">D519*D536*D541*E517*F514*F515*F594</f>
        <v>0</v>
      </c>
      <c r="D650" s="2235" t="n">
        <f aca="false">VLOOKUP(A650,'Прайс лист'!B744:G782,6,0)</f>
        <v>1700</v>
      </c>
      <c r="E650" s="2235" t="n">
        <f aca="false">C650*D650</f>
        <v>0</v>
      </c>
      <c r="F650" s="2072"/>
      <c r="G650" s="931"/>
      <c r="H650" s="931"/>
      <c r="I650" s="931"/>
      <c r="J650" s="2148"/>
      <c r="K650" s="931"/>
      <c r="L650" s="931"/>
      <c r="M650" s="2273"/>
    </row>
    <row r="651" customFormat="false" ht="15.5" hidden="false" customHeight="false" outlineLevel="0" collapsed="false">
      <c r="A651" s="2322" t="str">
        <f aca="false">'Прайс лист'!B783</f>
        <v>Грибок для крепления утеплителя</v>
      </c>
      <c r="B651" s="2148" t="s">
        <v>159</v>
      </c>
      <c r="C651" s="2148" t="n">
        <f aca="false">D519*D536*5*E517*F514*F515*F594</f>
        <v>0</v>
      </c>
      <c r="D651" s="2235" t="n">
        <f aca="false">'Прайс лист'!G783</f>
        <v>15</v>
      </c>
      <c r="E651" s="2235" t="n">
        <f aca="false">C651*D651</f>
        <v>0</v>
      </c>
      <c r="F651" s="2072"/>
      <c r="G651" s="87"/>
      <c r="H651" s="87"/>
      <c r="I651" s="931"/>
      <c r="J651" s="2148"/>
      <c r="K651" s="931"/>
      <c r="L651" s="931"/>
      <c r="M651" s="2273"/>
    </row>
    <row r="652" customFormat="false" ht="15.5" hidden="false" customHeight="false" outlineLevel="0" collapsed="false">
      <c r="A652" s="2371"/>
      <c r="B652" s="2120"/>
      <c r="C652" s="2120"/>
      <c r="D652" s="2120"/>
      <c r="E652" s="2235" t="n">
        <f aca="false">SUM(E638:E651)</f>
        <v>0</v>
      </c>
      <c r="F652" s="2160"/>
      <c r="G652" s="2371"/>
      <c r="H652" s="2120"/>
      <c r="I652" s="2120"/>
      <c r="J652" s="2184"/>
      <c r="K652" s="2120"/>
      <c r="L652" s="2154" t="n">
        <f aca="false">SUM(L638:L651)</f>
        <v>0</v>
      </c>
      <c r="M652" s="2273"/>
    </row>
    <row r="653" customFormat="false" ht="15.5" hidden="false" customHeight="false" outlineLevel="0" collapsed="false">
      <c r="A653" s="122" t="s">
        <v>4059</v>
      </c>
      <c r="B653" s="122" t="n">
        <f aca="false">E652</f>
        <v>0</v>
      </c>
      <c r="C653" s="905"/>
      <c r="D653" s="905"/>
      <c r="E653" s="2120"/>
      <c r="F653" s="905"/>
      <c r="G653" s="905"/>
      <c r="H653" s="905"/>
      <c r="I653" s="905"/>
      <c r="J653" s="905"/>
      <c r="K653" s="2120"/>
      <c r="L653" s="2310"/>
      <c r="M653" s="2273"/>
    </row>
    <row r="654" customFormat="false" ht="15.5" hidden="false" customHeight="false" outlineLevel="0" collapsed="false">
      <c r="A654" s="122" t="s">
        <v>4060</v>
      </c>
      <c r="B654" s="122" t="n">
        <f aca="false">L652</f>
        <v>0</v>
      </c>
      <c r="C654" s="905"/>
      <c r="D654" s="905"/>
      <c r="E654" s="2120"/>
      <c r="F654" s="905"/>
      <c r="G654" s="2371"/>
      <c r="H654" s="2120"/>
      <c r="I654" s="2120"/>
      <c r="J654" s="2120"/>
      <c r="K654" s="2120"/>
      <c r="L654" s="2310"/>
      <c r="M654" s="2273"/>
    </row>
    <row r="655" customFormat="false" ht="15.5" hidden="false" customHeight="false" outlineLevel="0" collapsed="false">
      <c r="A655" s="122" t="s">
        <v>4061</v>
      </c>
      <c r="B655" s="122" t="n">
        <f aca="false">SUM(B653:B654)</f>
        <v>0</v>
      </c>
      <c r="C655" s="2310"/>
      <c r="D655" s="2310"/>
      <c r="E655" s="2310"/>
      <c r="F655" s="2310"/>
      <c r="G655" s="2310"/>
      <c r="H655" s="2310"/>
      <c r="I655" s="2310"/>
      <c r="J655" s="2310"/>
      <c r="K655" s="2310"/>
      <c r="L655" s="2310"/>
      <c r="M655" s="2273"/>
    </row>
    <row r="656" customFormat="false" ht="15.5" hidden="false" customHeight="false" outlineLevel="0" collapsed="false">
      <c r="A656" s="2395" t="s">
        <v>4127</v>
      </c>
      <c r="B656" s="2395"/>
      <c r="C656" s="2395"/>
      <c r="D656" s="2395"/>
      <c r="E656" s="2395"/>
      <c r="F656" s="2395"/>
      <c r="G656" s="2395"/>
      <c r="H656" s="2395"/>
      <c r="I656" s="2395"/>
      <c r="J656" s="2395"/>
      <c r="K656" s="2395"/>
      <c r="L656" s="2395"/>
      <c r="M656" s="2273"/>
    </row>
    <row r="657" customFormat="false" ht="15.5" hidden="false" customHeight="false" outlineLevel="0" collapsed="false">
      <c r="A657" s="2189" t="s">
        <v>4128</v>
      </c>
      <c r="B657" s="2189"/>
      <c r="C657" s="2189"/>
      <c r="D657" s="2189"/>
      <c r="E657" s="2189"/>
      <c r="F657" s="2189"/>
      <c r="G657" s="2189"/>
      <c r="H657" s="2189"/>
      <c r="I657" s="2189"/>
      <c r="J657" s="2189"/>
      <c r="K657" s="2189"/>
      <c r="L657" s="2189"/>
      <c r="M657" s="2273"/>
    </row>
    <row r="658" customFormat="false" ht="15.5" hidden="false" customHeight="false" outlineLevel="0" collapsed="false">
      <c r="A658" s="2235" t="s">
        <v>1236</v>
      </c>
      <c r="B658" s="2235" t="s">
        <v>208</v>
      </c>
      <c r="C658" s="2235" t="s">
        <v>1802</v>
      </c>
      <c r="D658" s="2235" t="s">
        <v>4117</v>
      </c>
      <c r="E658" s="2235" t="s">
        <v>3696</v>
      </c>
      <c r="F658" s="2184"/>
      <c r="G658" s="2392" t="s">
        <v>1236</v>
      </c>
      <c r="H658" s="2393"/>
      <c r="I658" s="2235" t="s">
        <v>208</v>
      </c>
      <c r="J658" s="2235" t="s">
        <v>1802</v>
      </c>
      <c r="K658" s="2235" t="s">
        <v>4117</v>
      </c>
      <c r="L658" s="2235" t="s">
        <v>3696</v>
      </c>
      <c r="M658" s="2273"/>
    </row>
    <row r="659" customFormat="false" ht="15.5" hidden="false" customHeight="false" outlineLevel="0" collapsed="false">
      <c r="A659" s="2253" t="str">
        <f aca="false">A638</f>
        <v>Праймер для обработки</v>
      </c>
      <c r="B659" s="2235" t="s">
        <v>396</v>
      </c>
      <c r="C659" s="2235" t="n">
        <f aca="false">E527*E518/1.5*F514*F515*F594</f>
        <v>0</v>
      </c>
      <c r="D659" s="2235" t="n">
        <f aca="false">D638</f>
        <v>100</v>
      </c>
      <c r="E659" s="2235" t="n">
        <f aca="false">C659*D659</f>
        <v>0</v>
      </c>
      <c r="F659" s="2184"/>
      <c r="G659" s="2392" t="s">
        <v>1461</v>
      </c>
      <c r="H659" s="2393"/>
      <c r="I659" s="2235" t="s">
        <v>133</v>
      </c>
      <c r="J659" s="2235" t="n">
        <f aca="false">D543*F514*F596*E518</f>
        <v>0</v>
      </c>
      <c r="K659" s="2235" t="n">
        <f aca="false">K638</f>
        <v>200</v>
      </c>
      <c r="L659" s="2235" t="n">
        <f aca="false">J659*K659</f>
        <v>0</v>
      </c>
      <c r="M659" s="2273"/>
    </row>
    <row r="660" customFormat="false" ht="15.5" hidden="false" customHeight="false" outlineLevel="0" collapsed="false">
      <c r="A660" s="122" t="str">
        <f aca="false">A639</f>
        <v>Гидроизол</v>
      </c>
      <c r="B660" s="88" t="s">
        <v>133</v>
      </c>
      <c r="C660" s="88" t="n">
        <f aca="false">E527*E518*1.1*F514*F515*F594</f>
        <v>0</v>
      </c>
      <c r="D660" s="2235" t="n">
        <f aca="false">D639</f>
        <v>70</v>
      </c>
      <c r="E660" s="2235" t="n">
        <f aca="false">C660*D660</f>
        <v>0</v>
      </c>
      <c r="F660" s="905"/>
      <c r="G660" s="2155" t="s">
        <v>1438</v>
      </c>
      <c r="H660" s="2156"/>
      <c r="I660" s="88" t="s">
        <v>133</v>
      </c>
      <c r="J660" s="88" t="n">
        <f aca="false">J659*F514*F596*E518</f>
        <v>0</v>
      </c>
      <c r="K660" s="2235" t="n">
        <f aca="false">K639</f>
        <v>100</v>
      </c>
      <c r="L660" s="2235" t="n">
        <f aca="false">J660*K660</f>
        <v>0</v>
      </c>
      <c r="M660" s="2273"/>
    </row>
    <row r="661" customFormat="false" ht="15.5" hidden="false" customHeight="false" outlineLevel="0" collapsed="false">
      <c r="A661" s="122" t="str">
        <f aca="false">A640</f>
        <v>Мастика битумная</v>
      </c>
      <c r="B661" s="88" t="s">
        <v>188</v>
      </c>
      <c r="C661" s="88" t="n">
        <f aca="false">C660/10*F514*F515*F594*E518</f>
        <v>0</v>
      </c>
      <c r="D661" s="2235" t="n">
        <f aca="false">D640</f>
        <v>100</v>
      </c>
      <c r="E661" s="2235" t="n">
        <f aca="false">C661*D661</f>
        <v>0</v>
      </c>
      <c r="F661" s="905"/>
      <c r="G661" s="2155" t="s">
        <v>4129</v>
      </c>
      <c r="H661" s="2158"/>
      <c r="I661" s="88" t="s">
        <v>156</v>
      </c>
      <c r="J661" s="88" t="n">
        <f aca="false">C664*F514*F596*E518</f>
        <v>0</v>
      </c>
      <c r="K661" s="2235" t="n">
        <f aca="false">'Прайс лист'!G1600</f>
        <v>300</v>
      </c>
      <c r="L661" s="2235" t="n">
        <f aca="false">J661*K661</f>
        <v>0</v>
      </c>
      <c r="M661" s="2273"/>
    </row>
    <row r="662" customFormat="false" ht="15.5" hidden="false" customHeight="false" outlineLevel="0" collapsed="false">
      <c r="A662" s="122" t="str">
        <f aca="false">A645</f>
        <v>Сосна влаж,150*40мм</v>
      </c>
      <c r="B662" s="88" t="s">
        <v>135</v>
      </c>
      <c r="C662" s="88" t="n">
        <f aca="false">D528*2*D529*1.3*F514*F515*F594*E518</f>
        <v>0</v>
      </c>
      <c r="D662" s="2235" t="n">
        <f aca="false">D645</f>
        <v>6500</v>
      </c>
      <c r="E662" s="2235" t="n">
        <f aca="false">C662*D662</f>
        <v>0</v>
      </c>
      <c r="F662" s="905"/>
      <c r="G662" s="2155" t="s">
        <v>1431</v>
      </c>
      <c r="H662" s="2158"/>
      <c r="I662" s="88" t="s">
        <v>133</v>
      </c>
      <c r="J662" s="88" t="n">
        <f aca="false">D528*2*F514*F596*E518</f>
        <v>0</v>
      </c>
      <c r="K662" s="2235" t="n">
        <f aca="false">K644</f>
        <v>300</v>
      </c>
      <c r="L662" s="2235" t="n">
        <f aca="false">J662*K662</f>
        <v>0</v>
      </c>
      <c r="M662" s="2273"/>
    </row>
    <row r="663" customFormat="false" ht="15.5" hidden="false" customHeight="false" outlineLevel="0" collapsed="false">
      <c r="A663" s="122" t="str">
        <f aca="false">'Прайс лист'!B220</f>
        <v>Крепления для опалубки</v>
      </c>
      <c r="B663" s="88" t="s">
        <v>159</v>
      </c>
      <c r="C663" s="88" t="n">
        <f aca="false">D528*20*F514*F515*F594*E518</f>
        <v>0</v>
      </c>
      <c r="D663" s="2235" t="n">
        <f aca="false">'Прайс лист'!G220</f>
        <v>20</v>
      </c>
      <c r="E663" s="2235" t="n">
        <f aca="false">C663*D663</f>
        <v>0</v>
      </c>
      <c r="F663" s="905"/>
      <c r="G663" s="931" t="s">
        <v>1432</v>
      </c>
      <c r="H663" s="931"/>
      <c r="I663" s="88" t="s">
        <v>133</v>
      </c>
      <c r="J663" s="88" t="n">
        <f aca="false">J662*F514*F596*E518</f>
        <v>0</v>
      </c>
      <c r="K663" s="2235" t="n">
        <f aca="false">K645</f>
        <v>100</v>
      </c>
      <c r="L663" s="2235" t="n">
        <f aca="false">J663*K663</f>
        <v>0</v>
      </c>
      <c r="M663" s="2273"/>
    </row>
    <row r="664" customFormat="false" ht="15.5" hidden="false" customHeight="false" outlineLevel="0" collapsed="false">
      <c r="A664" s="87" t="str">
        <f aca="false">'Прайс лист'!B206</f>
        <v>Арматура стальная Ø 12</v>
      </c>
      <c r="B664" s="88" t="s">
        <v>156</v>
      </c>
      <c r="C664" s="88" t="n">
        <f aca="false">E527/D530*D536*2*D531*1.2*F514*F515*F594*E518</f>
        <v>0</v>
      </c>
      <c r="D664" s="2235" t="n">
        <f aca="false">'Прайс лист'!G206</f>
        <v>29.2152</v>
      </c>
      <c r="E664" s="2235" t="n">
        <f aca="false">C664*D664</f>
        <v>0</v>
      </c>
      <c r="F664" s="2184"/>
      <c r="G664" s="931" t="s">
        <v>1443</v>
      </c>
      <c r="H664" s="931"/>
      <c r="I664" s="2148" t="s">
        <v>135</v>
      </c>
      <c r="J664" s="88" t="n">
        <f aca="false">C666*F514*F596*E518</f>
        <v>0</v>
      </c>
      <c r="K664" s="2235" t="n">
        <f aca="false">'Прайс лист'!G1631</f>
        <v>1200</v>
      </c>
      <c r="L664" s="2235" t="n">
        <f aca="false">J664*K664</f>
        <v>0</v>
      </c>
      <c r="M664" s="2273"/>
    </row>
    <row r="665" customFormat="false" ht="15.5" hidden="false" customHeight="false" outlineLevel="0" collapsed="false">
      <c r="A665" s="122" t="str">
        <f aca="false">'Прайс лист'!B212</f>
        <v>Вязальная проволока</v>
      </c>
      <c r="B665" s="88" t="s">
        <v>188</v>
      </c>
      <c r="C665" s="88" t="n">
        <f aca="false">C664/60*F514*F515*F594*E518</f>
        <v>0</v>
      </c>
      <c r="D665" s="2235" t="n">
        <f aca="false">'Прайс лист'!G212</f>
        <v>80</v>
      </c>
      <c r="E665" s="2235" t="n">
        <f aca="false">C665*D665</f>
        <v>0</v>
      </c>
      <c r="F665" s="905"/>
      <c r="G665" s="931" t="s">
        <v>1462</v>
      </c>
      <c r="H665" s="931"/>
      <c r="I665" s="2148" t="s">
        <v>133</v>
      </c>
      <c r="J665" s="88" t="n">
        <f aca="false">D526*D536*F514*F596*E518</f>
        <v>0</v>
      </c>
      <c r="K665" s="2235" t="n">
        <f aca="false">K642</f>
        <v>200</v>
      </c>
      <c r="L665" s="2235" t="n">
        <f aca="false">J665*K665</f>
        <v>0</v>
      </c>
      <c r="M665" s="2273"/>
    </row>
    <row r="666" customFormat="false" ht="15.5" hidden="false" customHeight="false" outlineLevel="0" collapsed="false">
      <c r="A666" s="289" t="str">
        <f aca="false">'Прайс лист'!B227</f>
        <v>Бетон, м300</v>
      </c>
      <c r="B666" s="1129" t="s">
        <v>135</v>
      </c>
      <c r="C666" s="1129" t="n">
        <f aca="false">E528*F514*F594*E518</f>
        <v>0</v>
      </c>
      <c r="D666" s="2235" t="n">
        <f aca="false">'Прайс лист'!G227</f>
        <v>3000</v>
      </c>
      <c r="E666" s="2235" t="n">
        <f aca="false">C666*D666</f>
        <v>0</v>
      </c>
      <c r="F666" s="905"/>
      <c r="G666" s="87" t="s">
        <v>1444</v>
      </c>
      <c r="H666" s="87"/>
      <c r="I666" s="1129" t="s">
        <v>133</v>
      </c>
      <c r="J666" s="1129" t="n">
        <f aca="false">D526*D536*E541*F514*F596*E518</f>
        <v>0</v>
      </c>
      <c r="K666" s="2235" t="n">
        <f aca="false">K643</f>
        <v>200</v>
      </c>
      <c r="L666" s="2235" t="n">
        <f aca="false">J666*K666</f>
        <v>0</v>
      </c>
      <c r="M666" s="2273"/>
    </row>
    <row r="667" customFormat="false" ht="15.5" hidden="false" customHeight="false" outlineLevel="0" collapsed="false">
      <c r="A667" s="931" t="str">
        <f aca="false">A649</f>
        <v>Праймер для обработки</v>
      </c>
      <c r="B667" s="2148" t="s">
        <v>188</v>
      </c>
      <c r="C667" s="2148" t="n">
        <f aca="false">D526*D536/1.5*F514*F515*F594*E518</f>
        <v>0</v>
      </c>
      <c r="D667" s="2235" t="n">
        <f aca="false">D649</f>
        <v>100</v>
      </c>
      <c r="E667" s="2235" t="n">
        <f aca="false">C667*D667</f>
        <v>0</v>
      </c>
      <c r="F667" s="2072"/>
      <c r="G667" s="931"/>
      <c r="H667" s="931"/>
      <c r="I667" s="931"/>
      <c r="J667" s="931"/>
      <c r="K667" s="931"/>
      <c r="L667" s="2148"/>
      <c r="M667" s="2273"/>
    </row>
    <row r="668" customFormat="false" ht="15.5" hidden="false" customHeight="false" outlineLevel="0" collapsed="false">
      <c r="A668" s="2322" t="str">
        <f aca="false">'Ввод данных'!A877</f>
        <v>Плитный,28кг/м3, технониколь, 100мм</v>
      </c>
      <c r="B668" s="2148" t="s">
        <v>135</v>
      </c>
      <c r="C668" s="2148" t="n">
        <f aca="false">D526*D541*E541*D536*F514*F515*F594*E518</f>
        <v>0</v>
      </c>
      <c r="D668" s="2235" t="n">
        <f aca="false">VLOOKUP(A668,'Прайс лист'!B744:G782,6,0)</f>
        <v>1700</v>
      </c>
      <c r="E668" s="2235" t="n">
        <f aca="false">C668*D668</f>
        <v>0</v>
      </c>
      <c r="F668" s="2072"/>
      <c r="G668" s="931"/>
      <c r="H668" s="931"/>
      <c r="I668" s="931"/>
      <c r="J668" s="931"/>
      <c r="K668" s="931"/>
      <c r="L668" s="2148"/>
      <c r="M668" s="2273"/>
    </row>
    <row r="669" customFormat="false" ht="15.5" hidden="false" customHeight="false" outlineLevel="0" collapsed="false">
      <c r="A669" s="2322" t="str">
        <f aca="false">A651</f>
        <v>Грибок для крепления утеплителя</v>
      </c>
      <c r="B669" s="2148" t="s">
        <v>159</v>
      </c>
      <c r="C669" s="2148" t="n">
        <f aca="false">D526*D536*E541*5*F514*F515*F594*E518</f>
        <v>0</v>
      </c>
      <c r="D669" s="2235" t="n">
        <f aca="false">D651</f>
        <v>15</v>
      </c>
      <c r="E669" s="2235" t="n">
        <f aca="false">C669*D669</f>
        <v>0</v>
      </c>
      <c r="F669" s="2072"/>
      <c r="G669" s="87"/>
      <c r="H669" s="87"/>
      <c r="I669" s="931"/>
      <c r="J669" s="931"/>
      <c r="K669" s="931"/>
      <c r="L669" s="2148"/>
      <c r="M669" s="2273"/>
    </row>
    <row r="670" customFormat="false" ht="15.5" hidden="false" customHeight="false" outlineLevel="0" collapsed="false">
      <c r="A670" s="2371"/>
      <c r="B670" s="2120"/>
      <c r="C670" s="2120"/>
      <c r="D670" s="2120"/>
      <c r="E670" s="2235" t="n">
        <f aca="false">SUM(E659:E669)</f>
        <v>0</v>
      </c>
      <c r="F670" s="2160"/>
      <c r="G670" s="2371"/>
      <c r="H670" s="2120"/>
      <c r="I670" s="2120"/>
      <c r="J670" s="2120"/>
      <c r="K670" s="2120"/>
      <c r="L670" s="2235" t="n">
        <f aca="false">SUM(L659:L669)</f>
        <v>0</v>
      </c>
      <c r="M670" s="2273"/>
    </row>
    <row r="671" customFormat="false" ht="15.5" hidden="false" customHeight="false" outlineLevel="0" collapsed="false">
      <c r="A671" s="122" t="s">
        <v>4059</v>
      </c>
      <c r="B671" s="122" t="n">
        <f aca="false">E670</f>
        <v>0</v>
      </c>
      <c r="C671" s="905"/>
      <c r="D671" s="905"/>
      <c r="E671" s="2120"/>
      <c r="F671" s="905"/>
      <c r="G671" s="905"/>
      <c r="H671" s="905"/>
      <c r="I671" s="905"/>
      <c r="J671" s="905"/>
      <c r="K671" s="2120"/>
      <c r="L671" s="2310"/>
      <c r="M671" s="2273"/>
    </row>
    <row r="672" customFormat="false" ht="15.5" hidden="false" customHeight="false" outlineLevel="0" collapsed="false">
      <c r="A672" s="122" t="s">
        <v>4060</v>
      </c>
      <c r="B672" s="122" t="n">
        <f aca="false">L670</f>
        <v>0</v>
      </c>
      <c r="C672" s="905"/>
      <c r="D672" s="905"/>
      <c r="E672" s="2120"/>
      <c r="F672" s="905"/>
      <c r="G672" s="2371"/>
      <c r="H672" s="2120"/>
      <c r="I672" s="2120"/>
      <c r="J672" s="2120"/>
      <c r="K672" s="2120"/>
      <c r="L672" s="2310"/>
      <c r="M672" s="2273"/>
    </row>
    <row r="673" customFormat="false" ht="15.5" hidden="false" customHeight="false" outlineLevel="0" collapsed="false">
      <c r="A673" s="122" t="s">
        <v>4061</v>
      </c>
      <c r="B673" s="122" t="n">
        <f aca="false">SUM(B671:B672)</f>
        <v>0</v>
      </c>
      <c r="C673" s="2310"/>
      <c r="D673" s="2310"/>
      <c r="E673" s="2310"/>
      <c r="F673" s="2310"/>
      <c r="G673" s="2310"/>
      <c r="H673" s="2310"/>
      <c r="I673" s="2310"/>
      <c r="J673" s="2310"/>
      <c r="K673" s="2310"/>
      <c r="L673" s="2310"/>
      <c r="M673" s="2273"/>
    </row>
    <row r="674" customFormat="false" ht="15.5" hidden="false" customHeight="false" outlineLevel="0" collapsed="false">
      <c r="A674" s="2189" t="s">
        <v>4128</v>
      </c>
      <c r="B674" s="2189"/>
      <c r="C674" s="2189"/>
      <c r="D674" s="2189"/>
      <c r="E674" s="2189"/>
      <c r="F674" s="2189"/>
      <c r="G674" s="2189"/>
      <c r="H674" s="2189"/>
      <c r="I674" s="2189"/>
      <c r="J674" s="2189"/>
      <c r="K674" s="2189"/>
      <c r="L674" s="2189"/>
      <c r="M674" s="2273"/>
    </row>
    <row r="675" customFormat="false" ht="14.5" hidden="false" customHeight="false" outlineLevel="0" collapsed="false">
      <c r="A675" s="2273"/>
      <c r="B675" s="2273"/>
      <c r="C675" s="2273"/>
      <c r="D675" s="2273"/>
      <c r="E675" s="2273"/>
      <c r="F675" s="2273"/>
      <c r="G675" s="2273"/>
      <c r="H675" s="2273"/>
      <c r="I675" s="2273"/>
      <c r="J675" s="2273"/>
      <c r="K675" s="2273"/>
      <c r="L675" s="2273"/>
      <c r="M675" s="2273"/>
    </row>
    <row r="676" customFormat="false" ht="14.5" hidden="false" customHeight="false" outlineLevel="0" collapsed="false">
      <c r="A676" s="2273"/>
      <c r="B676" s="2273"/>
      <c r="C676" s="2273"/>
      <c r="D676" s="2273"/>
      <c r="E676" s="2273"/>
      <c r="F676" s="2273"/>
      <c r="G676" s="2273"/>
      <c r="H676" s="2273"/>
      <c r="I676" s="2273"/>
      <c r="J676" s="2273"/>
      <c r="K676" s="2273"/>
      <c r="L676" s="2273"/>
      <c r="M676" s="2273"/>
    </row>
    <row r="677" customFormat="false" ht="14.5" hidden="false" customHeight="false" outlineLevel="0" collapsed="false">
      <c r="A677" s="2273" t="s">
        <v>1922</v>
      </c>
      <c r="B677" s="2273"/>
      <c r="C677" s="2273"/>
      <c r="D677" s="2273"/>
      <c r="E677" s="2273"/>
      <c r="F677" s="2273"/>
      <c r="G677" s="2273"/>
      <c r="H677" s="2273"/>
      <c r="I677" s="2273"/>
      <c r="J677" s="2273"/>
      <c r="K677" s="2273"/>
      <c r="L677" s="2273"/>
      <c r="M677" s="2273"/>
    </row>
    <row r="678" customFormat="false" ht="14.5" hidden="false" customHeight="false" outlineLevel="0" collapsed="false">
      <c r="A678" s="931" t="str">
        <f aca="false">'Ввод данных'!A883</f>
        <v>Нет техники</v>
      </c>
      <c r="B678" s="931" t="str">
        <f aca="false">'Ввод данных'!B883</f>
        <v>ед.</v>
      </c>
      <c r="C678" s="931" t="n">
        <f aca="false">'Ввод данных'!C883*F514</f>
        <v>0</v>
      </c>
      <c r="D678" s="931" t="n">
        <f aca="false">VLOOKUP(A678,'Прайс лист'!B180:G194,6,0)</f>
        <v>0</v>
      </c>
      <c r="E678" s="931" t="n">
        <f aca="false">C678*D678</f>
        <v>0</v>
      </c>
      <c r="F678" s="2273"/>
      <c r="G678" s="2273"/>
      <c r="H678" s="2273"/>
      <c r="I678" s="2273"/>
      <c r="J678" s="2273"/>
      <c r="K678" s="2273"/>
      <c r="L678" s="2273"/>
      <c r="M678" s="2273"/>
    </row>
    <row r="679" customFormat="false" ht="14.5" hidden="false" customHeight="false" outlineLevel="0" collapsed="false">
      <c r="A679" s="931" t="str">
        <f aca="false">'Ввод данных'!A884</f>
        <v>Нет техники</v>
      </c>
      <c r="B679" s="931" t="str">
        <f aca="false">'Ввод данных'!B884</f>
        <v>ед.</v>
      </c>
      <c r="C679" s="931" t="n">
        <f aca="false">'Ввод данных'!C884*F514</f>
        <v>0</v>
      </c>
      <c r="D679" s="931" t="n">
        <f aca="false">VLOOKUP(A679,'Прайс лист'!B180:G194,6,0)</f>
        <v>0</v>
      </c>
      <c r="E679" s="931" t="n">
        <f aca="false">C679*D679</f>
        <v>0</v>
      </c>
      <c r="F679" s="2273"/>
      <c r="G679" s="2273"/>
      <c r="H679" s="2273"/>
      <c r="I679" s="2273"/>
      <c r="J679" s="2273"/>
      <c r="K679" s="2273"/>
      <c r="L679" s="2273"/>
      <c r="M679" s="2273"/>
    </row>
    <row r="680" customFormat="false" ht="14.5" hidden="false" customHeight="false" outlineLevel="0" collapsed="false">
      <c r="A680" s="931" t="str">
        <f aca="false">'Ввод данных'!A885</f>
        <v>Нет техники</v>
      </c>
      <c r="B680" s="931" t="str">
        <f aca="false">'Ввод данных'!B885</f>
        <v>ед.</v>
      </c>
      <c r="C680" s="931" t="n">
        <f aca="false">'Ввод данных'!C885*F514</f>
        <v>0</v>
      </c>
      <c r="D680" s="931" t="n">
        <f aca="false">VLOOKUP(A680,'Прайс лист'!B180:G194,6,0)</f>
        <v>0</v>
      </c>
      <c r="E680" s="931" t="n">
        <f aca="false">C680*D680</f>
        <v>0</v>
      </c>
      <c r="F680" s="2273"/>
      <c r="G680" s="2273"/>
      <c r="H680" s="2273"/>
      <c r="I680" s="2273"/>
      <c r="J680" s="2273"/>
      <c r="K680" s="2273"/>
      <c r="L680" s="2273"/>
      <c r="M680" s="2273"/>
    </row>
    <row r="681" customFormat="false" ht="14.5" hidden="false" customHeight="false" outlineLevel="0" collapsed="false">
      <c r="A681" s="931" t="str">
        <f aca="false">'Ввод данных'!A886</f>
        <v>Нет техники</v>
      </c>
      <c r="B681" s="931" t="str">
        <f aca="false">'Ввод данных'!B886</f>
        <v>ед.</v>
      </c>
      <c r="C681" s="931" t="n">
        <f aca="false">'Ввод данных'!C886*F514</f>
        <v>0</v>
      </c>
      <c r="D681" s="931" t="n">
        <f aca="false">VLOOKUP(A681,'Прайс лист'!B180:G194,6,0)</f>
        <v>0</v>
      </c>
      <c r="E681" s="931" t="n">
        <f aca="false">C681*D681</f>
        <v>0</v>
      </c>
      <c r="F681" s="2273"/>
      <c r="G681" s="2273"/>
      <c r="H681" s="2273"/>
      <c r="I681" s="2273"/>
      <c r="J681" s="2273"/>
      <c r="K681" s="2273"/>
      <c r="L681" s="2273"/>
      <c r="M681" s="2273"/>
    </row>
    <row r="682" customFormat="false" ht="14.5" hidden="false" customHeight="false" outlineLevel="0" collapsed="false">
      <c r="A682" s="931" t="str">
        <f aca="false">'Ввод данных'!A888</f>
        <v>расходные материалы цокольный этаж</v>
      </c>
      <c r="B682" s="931" t="str">
        <f aca="false">'Ввод данных'!B888</f>
        <v>рублей</v>
      </c>
      <c r="C682" s="931" t="n">
        <f aca="false">1*F514</f>
        <v>0</v>
      </c>
      <c r="D682" s="931" t="n">
        <f aca="false">'Ввод данных'!C888</f>
        <v>5000</v>
      </c>
      <c r="E682" s="931" t="n">
        <f aca="false">C682*D682</f>
        <v>0</v>
      </c>
      <c r="F682" s="2273"/>
      <c r="G682" s="2273"/>
      <c r="H682" s="2273"/>
      <c r="I682" s="2273"/>
      <c r="J682" s="2273"/>
      <c r="K682" s="2273"/>
      <c r="L682" s="2273"/>
      <c r="M682" s="2273"/>
    </row>
    <row r="683" customFormat="false" ht="14.5" hidden="false" customHeight="false" outlineLevel="0" collapsed="false">
      <c r="A683" s="2273"/>
      <c r="B683" s="2273"/>
      <c r="C683" s="2273"/>
      <c r="D683" s="2273"/>
      <c r="E683" s="2273"/>
      <c r="F683" s="2273"/>
      <c r="G683" s="2273"/>
      <c r="H683" s="2273"/>
      <c r="I683" s="2273"/>
      <c r="J683" s="2273"/>
      <c r="K683" s="2273"/>
      <c r="L683" s="2273"/>
      <c r="M683" s="2273"/>
    </row>
    <row r="684" customFormat="false" ht="14.5" hidden="false" customHeight="false" outlineLevel="0" collapsed="false">
      <c r="A684" s="2273"/>
      <c r="B684" s="2273"/>
      <c r="C684" s="2273"/>
      <c r="D684" s="2273"/>
      <c r="E684" s="2273"/>
      <c r="F684" s="2273"/>
      <c r="G684" s="2273"/>
      <c r="H684" s="2273"/>
      <c r="I684" s="2273"/>
      <c r="J684" s="2273"/>
      <c r="K684" s="2273"/>
      <c r="L684" s="2273"/>
      <c r="M684" s="2273"/>
    </row>
    <row r="685" customFormat="false" ht="14.5" hidden="false" customHeight="false" outlineLevel="0" collapsed="false">
      <c r="A685" s="2273"/>
      <c r="B685" s="2273"/>
      <c r="C685" s="2273"/>
      <c r="D685" s="2273"/>
      <c r="E685" s="2273"/>
      <c r="F685" s="2273"/>
      <c r="G685" s="2273"/>
      <c r="H685" s="2273"/>
      <c r="I685" s="2273"/>
      <c r="J685" s="2273"/>
      <c r="K685" s="2273"/>
      <c r="L685" s="2273"/>
      <c r="M685" s="2273"/>
    </row>
  </sheetData>
  <mergeCells count="250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A53:B56"/>
    <mergeCell ref="I53:I60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5:F75"/>
    <mergeCell ref="A76:C76"/>
    <mergeCell ref="A77:D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9"/>
    <mergeCell ref="A90:C91"/>
    <mergeCell ref="A93:F93"/>
    <mergeCell ref="A94:C94"/>
    <mergeCell ref="A95:C95"/>
    <mergeCell ref="A96:C96"/>
    <mergeCell ref="A97:D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106:C106"/>
    <mergeCell ref="A107:C107"/>
    <mergeCell ref="A108:C109"/>
    <mergeCell ref="A110:C111"/>
    <mergeCell ref="A113:F113"/>
    <mergeCell ref="A114:C114"/>
    <mergeCell ref="A115:C115"/>
    <mergeCell ref="A116:C116"/>
    <mergeCell ref="A117:C117"/>
    <mergeCell ref="A118:C118"/>
    <mergeCell ref="A119:C119"/>
    <mergeCell ref="A120:C120"/>
    <mergeCell ref="A121:C121"/>
    <mergeCell ref="A124:C124"/>
    <mergeCell ref="A125:C125"/>
    <mergeCell ref="A126:C127"/>
    <mergeCell ref="A128:C129"/>
    <mergeCell ref="A130:C130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9"/>
    <mergeCell ref="A150:B152"/>
    <mergeCell ref="A153:E153"/>
    <mergeCell ref="A155:B157"/>
    <mergeCell ref="A158:B159"/>
    <mergeCell ref="A160:B160"/>
    <mergeCell ref="A161:F161"/>
    <mergeCell ref="A163:B163"/>
    <mergeCell ref="A164:B164"/>
    <mergeCell ref="A165:B165"/>
    <mergeCell ref="A166:B166"/>
    <mergeCell ref="A167:B167"/>
    <mergeCell ref="A191:A193"/>
    <mergeCell ref="A194:A195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D209"/>
    <mergeCell ref="A234:D234"/>
    <mergeCell ref="A238:K239"/>
    <mergeCell ref="L238:L239"/>
    <mergeCell ref="A240:F240"/>
    <mergeCell ref="G240:L240"/>
    <mergeCell ref="A246:E246"/>
    <mergeCell ref="G246:K246"/>
    <mergeCell ref="A250:E250"/>
    <mergeCell ref="G250:K250"/>
    <mergeCell ref="A252:A254"/>
    <mergeCell ref="B252:C252"/>
    <mergeCell ref="D252:E252"/>
    <mergeCell ref="B253:C253"/>
    <mergeCell ref="D253:E253"/>
    <mergeCell ref="C254:D254"/>
    <mergeCell ref="H254:I254"/>
    <mergeCell ref="A258:K259"/>
    <mergeCell ref="A260:F261"/>
    <mergeCell ref="G262:M262"/>
    <mergeCell ref="A269:E269"/>
    <mergeCell ref="G269:L269"/>
    <mergeCell ref="G270:H270"/>
    <mergeCell ref="G271:H271"/>
    <mergeCell ref="G272:H272"/>
    <mergeCell ref="G273:H273"/>
    <mergeCell ref="G274:H274"/>
    <mergeCell ref="G275:H275"/>
    <mergeCell ref="G279:H279"/>
    <mergeCell ref="A289:E289"/>
    <mergeCell ref="A304:E304"/>
    <mergeCell ref="C315:F315"/>
    <mergeCell ref="A317:I318"/>
    <mergeCell ref="A319:F320"/>
    <mergeCell ref="G319:G320"/>
    <mergeCell ref="C321:E321"/>
    <mergeCell ref="A335:C335"/>
    <mergeCell ref="A343:E343"/>
    <mergeCell ref="G343:L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54:H354"/>
    <mergeCell ref="G355:H355"/>
    <mergeCell ref="C371:F371"/>
    <mergeCell ref="A373:I374"/>
    <mergeCell ref="A375:F376"/>
    <mergeCell ref="C377:E377"/>
    <mergeCell ref="A392:C392"/>
    <mergeCell ref="A399:C399"/>
    <mergeCell ref="A407:E407"/>
    <mergeCell ref="G407:L407"/>
    <mergeCell ref="G408:H408"/>
    <mergeCell ref="C438:F438"/>
    <mergeCell ref="A440:I441"/>
    <mergeCell ref="A442:F443"/>
    <mergeCell ref="A469:C469"/>
    <mergeCell ref="A476:E476"/>
    <mergeCell ref="G476:L476"/>
    <mergeCell ref="C511:F511"/>
    <mergeCell ref="A514:E514"/>
    <mergeCell ref="A516:B516"/>
    <mergeCell ref="A517:B517"/>
    <mergeCell ref="A518:B518"/>
    <mergeCell ref="A522:B522"/>
    <mergeCell ref="A532:B532"/>
    <mergeCell ref="A534:B534"/>
    <mergeCell ref="A535:B535"/>
    <mergeCell ref="A536:B536"/>
    <mergeCell ref="A540:B540"/>
    <mergeCell ref="A542:B542"/>
    <mergeCell ref="A548:B548"/>
    <mergeCell ref="A549:B550"/>
    <mergeCell ref="A551:B552"/>
    <mergeCell ref="A553:E553"/>
    <mergeCell ref="A554:B554"/>
    <mergeCell ref="A555:B557"/>
    <mergeCell ref="A558:B559"/>
    <mergeCell ref="A560:B560"/>
    <mergeCell ref="A561:E561"/>
    <mergeCell ref="A562:C562"/>
    <mergeCell ref="A578:C578"/>
    <mergeCell ref="A592:L593"/>
    <mergeCell ref="A594:E594"/>
    <mergeCell ref="G594:L594"/>
    <mergeCell ref="A595:L595"/>
    <mergeCell ref="G597:H597"/>
    <mergeCell ref="G598:H598"/>
    <mergeCell ref="G600:H600"/>
    <mergeCell ref="G601:H601"/>
    <mergeCell ref="G602:H602"/>
    <mergeCell ref="G604:H604"/>
    <mergeCell ref="G605:H605"/>
    <mergeCell ref="A610:L610"/>
    <mergeCell ref="A611:L611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5:H625"/>
    <mergeCell ref="A635:L635"/>
    <mergeCell ref="A636:L636"/>
    <mergeCell ref="G641:H641"/>
    <mergeCell ref="G643:H643"/>
    <mergeCell ref="A656:L656"/>
    <mergeCell ref="A657:L657"/>
    <mergeCell ref="A674:L67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706"/>
  <sheetViews>
    <sheetView showFormulas="false" showGridLines="true" showRowColHeaders="true" showZeros="true" rightToLeft="false" tabSelected="false" showOutlineSymbols="true" defaultGridColor="true" view="normal" topLeftCell="A4" colorId="64" zoomScale="60" zoomScaleNormal="60" zoomScalePageLayoutView="100" workbookViewId="0">
      <selection pane="topLeft" activeCell="E2" activeCellId="0" sqref="E2"/>
    </sheetView>
  </sheetViews>
  <sheetFormatPr defaultColWidth="9.19140625" defaultRowHeight="15" zeroHeight="false" outlineLevelRow="1" outlineLevelCol="0"/>
  <cols>
    <col collapsed="false" customWidth="true" hidden="false" outlineLevel="0" max="1" min="1" style="4" width="39.55"/>
    <col collapsed="false" customWidth="true" hidden="false" outlineLevel="0" max="2" min="2" style="4" width="8.82"/>
    <col collapsed="false" customWidth="true" hidden="false" outlineLevel="0" max="3" min="3" style="4" width="15.45"/>
    <col collapsed="false" customWidth="true" hidden="false" outlineLevel="0" max="4" min="4" style="4" width="18.18"/>
    <col collapsed="false" customWidth="true" hidden="false" outlineLevel="0" max="5" min="5" style="4" width="12.83"/>
    <col collapsed="false" customWidth="true" hidden="false" outlineLevel="0" max="6" min="6" style="4" width="4.71"/>
    <col collapsed="false" customWidth="true" hidden="false" outlineLevel="0" max="7" min="7" style="4" width="24.72"/>
    <col collapsed="false" customWidth="false" hidden="false" outlineLevel="0" max="10" min="8" style="4" width="9.18"/>
    <col collapsed="false" customWidth="true" hidden="false" outlineLevel="0" max="11" min="11" style="4" width="12.71"/>
    <col collapsed="false" customWidth="true" hidden="false" outlineLevel="0" max="12" min="12" style="4" width="12.18"/>
    <col collapsed="false" customWidth="false" hidden="false" outlineLevel="0" max="1024" min="13" style="4" width="9.18"/>
  </cols>
  <sheetData>
    <row r="1" customFormat="false" ht="15" hidden="false" customHeight="true" outlineLevel="1" collapsed="false">
      <c r="A1" s="2397" t="s">
        <v>1093</v>
      </c>
      <c r="B1" s="2397"/>
      <c r="C1" s="2397"/>
      <c r="D1" s="2398" t="s">
        <v>120</v>
      </c>
      <c r="E1" s="2398" t="s">
        <v>1753</v>
      </c>
      <c r="F1" s="2399"/>
      <c r="G1" s="869"/>
      <c r="H1" s="869"/>
      <c r="I1" s="869"/>
      <c r="J1" s="869"/>
      <c r="K1" s="1148"/>
      <c r="L1" s="1148"/>
      <c r="M1" s="1148"/>
      <c r="N1" s="1148"/>
      <c r="O1" s="1148"/>
      <c r="P1" s="1148"/>
      <c r="Q1" s="1148"/>
      <c r="R1" s="1148"/>
      <c r="S1" s="1148"/>
      <c r="T1" s="1148"/>
      <c r="U1" s="1148"/>
    </row>
    <row r="2" customFormat="false" ht="15" hidden="false" customHeight="true" outlineLevel="1" collapsed="false">
      <c r="A2" s="283" t="s">
        <v>2779</v>
      </c>
      <c r="B2" s="283"/>
      <c r="C2" s="283"/>
      <c r="D2" s="2400"/>
      <c r="E2" s="2352" t="e">
        <f aca="false">'ввод данных'!#ref!</f>
        <v>#VALUE!</v>
      </c>
      <c r="F2" s="2401"/>
      <c r="G2" s="2399"/>
      <c r="H2" s="2402"/>
      <c r="I2" s="322"/>
      <c r="J2" s="322"/>
      <c r="K2" s="1148"/>
      <c r="L2" s="1148"/>
      <c r="M2" s="1148"/>
      <c r="N2" s="1148"/>
      <c r="O2" s="1148"/>
      <c r="P2" s="1148"/>
      <c r="Q2" s="1148"/>
      <c r="R2" s="1148"/>
      <c r="S2" s="1148"/>
      <c r="T2" s="1148"/>
      <c r="U2" s="1148"/>
    </row>
    <row r="3" customFormat="false" ht="15" hidden="false" customHeight="true" outlineLevel="1" collapsed="false">
      <c r="A3" s="2403" t="s">
        <v>2746</v>
      </c>
      <c r="B3" s="2403"/>
      <c r="C3" s="2403"/>
      <c r="D3" s="2400" t="s">
        <v>156</v>
      </c>
      <c r="E3" s="2352" t="n">
        <f aca="false">'Ввод данных'!C11</f>
        <v>10</v>
      </c>
      <c r="F3" s="2402"/>
      <c r="G3" s="2399"/>
      <c r="H3" s="2402"/>
      <c r="I3" s="322"/>
      <c r="J3" s="322"/>
      <c r="K3" s="1148"/>
      <c r="L3" s="1148"/>
      <c r="M3" s="1148"/>
      <c r="N3" s="1148"/>
      <c r="O3" s="1148"/>
      <c r="P3" s="1148"/>
      <c r="Q3" s="1148"/>
      <c r="R3" s="1148"/>
      <c r="S3" s="1148"/>
      <c r="T3" s="1148"/>
      <c r="U3" s="1148"/>
    </row>
    <row r="4" customFormat="false" ht="15" hidden="false" customHeight="true" outlineLevel="1" collapsed="false">
      <c r="A4" s="2403" t="s">
        <v>2782</v>
      </c>
      <c r="B4" s="2403"/>
      <c r="C4" s="2403"/>
      <c r="D4" s="2400" t="s">
        <v>156</v>
      </c>
      <c r="E4" s="2352" t="n">
        <f aca="false">'Ввод данных'!C12</f>
        <v>10</v>
      </c>
      <c r="F4" s="2402"/>
      <c r="G4" s="2402"/>
      <c r="H4" s="2402"/>
      <c r="I4" s="2404"/>
      <c r="J4" s="2404"/>
      <c r="K4" s="1148"/>
      <c r="L4" s="1148"/>
      <c r="M4" s="1148"/>
      <c r="N4" s="1148"/>
      <c r="O4" s="1148"/>
      <c r="P4" s="1148"/>
      <c r="Q4" s="1148"/>
      <c r="R4" s="1148"/>
      <c r="S4" s="1148"/>
      <c r="T4" s="1148"/>
      <c r="U4" s="1148"/>
    </row>
    <row r="5" customFormat="false" ht="15" hidden="false" customHeight="true" outlineLevel="1" collapsed="false">
      <c r="A5" s="2403" t="s">
        <v>2783</v>
      </c>
      <c r="B5" s="2403"/>
      <c r="C5" s="2403"/>
      <c r="D5" s="2400" t="s">
        <v>156</v>
      </c>
      <c r="E5" s="2352" t="n">
        <f aca="false">'Ввод данных'!C13</f>
        <v>3</v>
      </c>
      <c r="F5" s="2402"/>
      <c r="G5" s="2402"/>
      <c r="H5" s="2402"/>
      <c r="I5" s="323"/>
      <c r="J5" s="323"/>
      <c r="K5" s="1148"/>
      <c r="L5" s="1148"/>
      <c r="M5" s="1148"/>
      <c r="N5" s="1148"/>
      <c r="O5" s="1148"/>
      <c r="P5" s="1148"/>
      <c r="Q5" s="1148"/>
      <c r="R5" s="1148"/>
      <c r="S5" s="1148"/>
      <c r="T5" s="1148"/>
      <c r="U5" s="1148"/>
    </row>
    <row r="6" customFormat="false" ht="15" hidden="false" customHeight="true" outlineLevel="1" collapsed="false">
      <c r="A6" s="2403" t="s">
        <v>2793</v>
      </c>
      <c r="B6" s="2403"/>
      <c r="C6" s="2403"/>
      <c r="D6" s="2400" t="s">
        <v>156</v>
      </c>
      <c r="E6" s="2352" t="n">
        <f aca="false">связи1!K207</f>
        <v>1.2</v>
      </c>
      <c r="F6" s="2402"/>
      <c r="G6" s="2402"/>
      <c r="H6" s="2402"/>
      <c r="I6" s="2405"/>
      <c r="J6" s="323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</row>
    <row r="7" customFormat="false" ht="15" hidden="false" customHeight="true" outlineLevel="1" collapsed="false">
      <c r="A7" s="2403" t="s">
        <v>3870</v>
      </c>
      <c r="B7" s="2403"/>
      <c r="C7" s="2403"/>
      <c r="D7" s="2406" t="s">
        <v>156</v>
      </c>
      <c r="E7" s="2352" t="n">
        <f aca="false">'Ввод данных'!C16</f>
        <v>2.2</v>
      </c>
      <c r="F7" s="2407"/>
      <c r="G7" s="2402"/>
      <c r="H7" s="2405"/>
      <c r="I7" s="2405"/>
      <c r="J7" s="323"/>
      <c r="K7" s="1148"/>
      <c r="L7" s="1148"/>
      <c r="M7" s="1148"/>
      <c r="N7" s="1148"/>
      <c r="O7" s="1148"/>
      <c r="P7" s="1148"/>
      <c r="Q7" s="1148"/>
      <c r="R7" s="1148"/>
      <c r="S7" s="1148"/>
      <c r="T7" s="1148"/>
      <c r="U7" s="1148"/>
    </row>
    <row r="8" customFormat="false" ht="15" hidden="false" customHeight="true" outlineLevel="1" collapsed="false">
      <c r="A8" s="2403" t="s">
        <v>3871</v>
      </c>
      <c r="B8" s="2403"/>
      <c r="C8" s="2403"/>
      <c r="D8" s="2400" t="s">
        <v>156</v>
      </c>
      <c r="E8" s="2352" t="n">
        <f aca="false">связи1!K206</f>
        <v>4.8</v>
      </c>
      <c r="F8" s="2402"/>
      <c r="G8" s="2407"/>
      <c r="H8" s="2399"/>
      <c r="I8" s="2399"/>
      <c r="J8" s="2399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</row>
    <row r="9" customFormat="false" ht="15" hidden="false" customHeight="true" outlineLevel="1" collapsed="false">
      <c r="A9" s="2408" t="s">
        <v>3872</v>
      </c>
      <c r="B9" s="2408"/>
      <c r="C9" s="2408"/>
      <c r="D9" s="2409" t="s">
        <v>1820</v>
      </c>
      <c r="E9" s="2352"/>
      <c r="F9" s="2402" t="s">
        <v>3873</v>
      </c>
      <c r="G9" s="2404"/>
      <c r="H9" s="2402"/>
      <c r="I9" s="2410"/>
      <c r="J9" s="2410"/>
      <c r="K9" s="1148"/>
      <c r="L9" s="1148"/>
      <c r="M9" s="1148"/>
      <c r="N9" s="1148"/>
      <c r="O9" s="1148"/>
      <c r="P9" s="1148"/>
      <c r="Q9" s="1148"/>
      <c r="R9" s="1148"/>
      <c r="S9" s="1148"/>
      <c r="T9" s="1148"/>
      <c r="U9" s="1148"/>
    </row>
    <row r="10" customFormat="false" ht="15" hidden="false" customHeight="true" outlineLevel="1" collapsed="false">
      <c r="A10" s="2411" t="s">
        <v>2854</v>
      </c>
      <c r="B10" s="2411"/>
      <c r="C10" s="2411"/>
      <c r="D10" s="2412" t="s">
        <v>120</v>
      </c>
      <c r="E10" s="2413" t="s">
        <v>293</v>
      </c>
      <c r="F10" s="2414"/>
      <c r="G10" s="2404"/>
      <c r="H10" s="2402"/>
      <c r="I10" s="2410"/>
      <c r="J10" s="2410"/>
      <c r="K10" s="1148"/>
      <c r="L10" s="1148"/>
      <c r="M10" s="1148"/>
      <c r="N10" s="1148"/>
      <c r="O10" s="1148"/>
      <c r="P10" s="1148"/>
      <c r="Q10" s="1148"/>
      <c r="R10" s="1148"/>
      <c r="S10" s="1148"/>
      <c r="T10" s="1148"/>
      <c r="U10" s="1148"/>
    </row>
    <row r="11" customFormat="false" ht="15" hidden="false" customHeight="true" outlineLevel="1" collapsed="false">
      <c r="A11" s="2403" t="s">
        <v>2001</v>
      </c>
      <c r="B11" s="2403"/>
      <c r="C11" s="2403"/>
      <c r="D11" s="2415" t="s">
        <v>156</v>
      </c>
      <c r="E11" s="2352"/>
      <c r="F11" s="2416" t="n">
        <f aca="false">дома!AA38</f>
        <v>7.8</v>
      </c>
      <c r="G11" s="2401" t="s">
        <v>3521</v>
      </c>
      <c r="H11" s="2402"/>
      <c r="I11" s="2410"/>
      <c r="J11" s="2410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</row>
    <row r="12" customFormat="false" ht="15" hidden="false" customHeight="true" outlineLevel="1" collapsed="false">
      <c r="A12" s="2403" t="s">
        <v>2557</v>
      </c>
      <c r="B12" s="2403"/>
      <c r="C12" s="2403"/>
      <c r="D12" s="2415" t="s">
        <v>156</v>
      </c>
      <c r="E12" s="2352"/>
      <c r="F12" s="2416" t="n">
        <f aca="false">дома!AA42</f>
        <v>7.8</v>
      </c>
      <c r="G12" s="2401" t="s">
        <v>3522</v>
      </c>
      <c r="H12" s="2402"/>
      <c r="I12" s="2410"/>
      <c r="J12" s="2410"/>
      <c r="K12" s="1148"/>
      <c r="L12" s="1148"/>
      <c r="M12" s="1148"/>
      <c r="N12" s="1148"/>
      <c r="O12" s="1148"/>
      <c r="P12" s="1148"/>
      <c r="Q12" s="1148"/>
      <c r="R12" s="1148"/>
      <c r="S12" s="1148"/>
      <c r="T12" s="1148"/>
      <c r="U12" s="1148"/>
    </row>
    <row r="13" customFormat="false" ht="15" hidden="false" customHeight="true" outlineLevel="1" collapsed="false">
      <c r="A13" s="2403" t="s">
        <v>2558</v>
      </c>
      <c r="B13" s="2403"/>
      <c r="C13" s="2403"/>
      <c r="D13" s="2415" t="s">
        <v>156</v>
      </c>
      <c r="E13" s="2352"/>
      <c r="F13" s="2416" t="n">
        <f aca="false">дома!AA51</f>
        <v>0</v>
      </c>
      <c r="G13" s="2401" t="s">
        <v>3523</v>
      </c>
      <c r="H13" s="2402"/>
      <c r="I13" s="2410"/>
      <c r="J13" s="2410"/>
      <c r="K13" s="1148"/>
      <c r="L13" s="1148"/>
      <c r="M13" s="1148"/>
      <c r="N13" s="1148"/>
      <c r="O13" s="1148"/>
      <c r="P13" s="1148"/>
      <c r="Q13" s="1148"/>
      <c r="R13" s="1148"/>
      <c r="S13" s="1148"/>
      <c r="T13" s="1148"/>
      <c r="U13" s="1148"/>
    </row>
    <row r="14" customFormat="false" ht="15" hidden="false" customHeight="true" outlineLevel="1" collapsed="false">
      <c r="A14" s="2417" t="s">
        <v>1515</v>
      </c>
      <c r="B14" s="2417"/>
      <c r="C14" s="2417"/>
      <c r="D14" s="2418" t="s">
        <v>1800</v>
      </c>
      <c r="E14" s="2418" t="s">
        <v>293</v>
      </c>
      <c r="F14" s="2413" t="s">
        <v>1802</v>
      </c>
      <c r="G14" s="2419" t="s">
        <v>2866</v>
      </c>
      <c r="H14" s="2401"/>
      <c r="I14" s="2410"/>
      <c r="J14" s="2410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</row>
    <row r="15" customFormat="false" ht="15" hidden="false" customHeight="true" outlineLevel="1" collapsed="false">
      <c r="A15" s="284" t="s">
        <v>2902</v>
      </c>
      <c r="B15" s="284"/>
      <c r="C15" s="284"/>
      <c r="D15" s="2420" t="n">
        <f aca="false">'Ввод данных'!C68</f>
        <v>1</v>
      </c>
      <c r="E15" s="2352" t="n">
        <f aca="false">'Ввод данных'!D68</f>
        <v>1.2</v>
      </c>
      <c r="F15" s="2416" t="n">
        <f aca="false">'Ввод данных'!E68</f>
        <v>1</v>
      </c>
      <c r="G15" s="2421" t="n">
        <f aca="false">D15*E15*F15</f>
        <v>1.2</v>
      </c>
      <c r="H15" s="2401"/>
      <c r="I15" s="2410"/>
      <c r="J15" s="2410"/>
      <c r="K15" s="1148"/>
      <c r="L15" s="1148"/>
      <c r="M15" s="1148"/>
      <c r="N15" s="1148"/>
      <c r="O15" s="1148"/>
      <c r="P15" s="1148"/>
      <c r="Q15" s="1148"/>
      <c r="R15" s="1148"/>
      <c r="S15" s="1148"/>
      <c r="T15" s="1148"/>
      <c r="U15" s="1148"/>
    </row>
    <row r="16" customFormat="false" ht="15" hidden="false" customHeight="true" outlineLevel="1" collapsed="false">
      <c r="A16" s="284" t="s">
        <v>2903</v>
      </c>
      <c r="B16" s="284"/>
      <c r="C16" s="284"/>
      <c r="D16" s="2420" t="n">
        <f aca="false">'Ввод данных'!C69</f>
        <v>0.6</v>
      </c>
      <c r="E16" s="2352" t="n">
        <f aca="false">'Ввод данных'!D69</f>
        <v>0.6</v>
      </c>
      <c r="F16" s="2416" t="n">
        <f aca="false">'Ввод данных'!E69</f>
        <v>0</v>
      </c>
      <c r="G16" s="2421" t="n">
        <f aca="false">D16*E16*F16</f>
        <v>0</v>
      </c>
      <c r="H16" s="2401"/>
      <c r="I16" s="2410"/>
      <c r="J16" s="2410"/>
      <c r="K16" s="1148"/>
      <c r="L16" s="1148"/>
      <c r="M16" s="1148"/>
      <c r="N16" s="1148"/>
      <c r="O16" s="1148"/>
      <c r="P16" s="1148"/>
      <c r="Q16" s="1148"/>
      <c r="R16" s="1148"/>
      <c r="S16" s="1148"/>
      <c r="T16" s="1148"/>
      <c r="U16" s="1148"/>
    </row>
    <row r="17" customFormat="false" ht="15" hidden="false" customHeight="true" outlineLevel="1" collapsed="false">
      <c r="A17" s="284" t="s">
        <v>2904</v>
      </c>
      <c r="B17" s="284"/>
      <c r="C17" s="284"/>
      <c r="D17" s="2420" t="n">
        <f aca="false">'Ввод данных'!C70</f>
        <v>1</v>
      </c>
      <c r="E17" s="2352" t="n">
        <f aca="false">'Ввод данных'!D70</f>
        <v>2</v>
      </c>
      <c r="F17" s="2416" t="n">
        <f aca="false">'Ввод данных'!E70</f>
        <v>0</v>
      </c>
      <c r="G17" s="2421" t="n">
        <f aca="false">D17*E17*F17</f>
        <v>0</v>
      </c>
      <c r="H17" s="2401"/>
      <c r="I17" s="2410"/>
      <c r="J17" s="2410"/>
      <c r="K17" s="1148"/>
      <c r="L17" s="1148"/>
      <c r="M17" s="1148"/>
      <c r="N17" s="1148"/>
      <c r="O17" s="1148"/>
      <c r="P17" s="1148"/>
      <c r="Q17" s="1148"/>
      <c r="R17" s="1148"/>
      <c r="S17" s="1148"/>
      <c r="T17" s="1148"/>
      <c r="U17" s="1148"/>
    </row>
    <row r="18" customFormat="false" ht="15" hidden="false" customHeight="true" outlineLevel="1" collapsed="false">
      <c r="A18" s="284" t="s">
        <v>2894</v>
      </c>
      <c r="B18" s="284"/>
      <c r="C18" s="284"/>
      <c r="D18" s="2420" t="n">
        <f aca="false">'Ввод данных'!C73</f>
        <v>0.8</v>
      </c>
      <c r="E18" s="2352" t="n">
        <f aca="false">'Ввод данных'!D73</f>
        <v>2.1</v>
      </c>
      <c r="F18" s="2416" t="n">
        <f aca="false">'Ввод данных'!E73</f>
        <v>0</v>
      </c>
      <c r="G18" s="2421" t="n">
        <f aca="false">D18*E18*F18</f>
        <v>0</v>
      </c>
      <c r="H18" s="2401"/>
      <c r="I18" s="2410"/>
      <c r="J18" s="2410"/>
      <c r="K18" s="1148"/>
      <c r="L18" s="1148"/>
      <c r="M18" s="1148"/>
      <c r="N18" s="1148"/>
      <c r="O18" s="1148"/>
      <c r="P18" s="1148"/>
      <c r="Q18" s="1148"/>
      <c r="R18" s="1148"/>
      <c r="S18" s="1148"/>
      <c r="T18" s="1148"/>
      <c r="U18" s="1148"/>
    </row>
    <row r="19" customFormat="false" ht="15" hidden="false" customHeight="true" outlineLevel="1" collapsed="false">
      <c r="A19" s="2422" t="s">
        <v>2898</v>
      </c>
      <c r="B19" s="2422"/>
      <c r="C19" s="2422"/>
      <c r="D19" s="2422"/>
      <c r="E19" s="2422"/>
      <c r="F19" s="2422"/>
      <c r="G19" s="2421" t="n">
        <f aca="false">SUM(G15:G18)</f>
        <v>1.2</v>
      </c>
      <c r="H19" s="2401"/>
      <c r="I19" s="2410"/>
      <c r="J19" s="2410"/>
      <c r="K19" s="1148"/>
      <c r="L19" s="1148"/>
      <c r="M19" s="1148"/>
      <c r="N19" s="1148"/>
      <c r="O19" s="1148"/>
      <c r="P19" s="1148"/>
      <c r="Q19" s="1148"/>
      <c r="R19" s="1148"/>
      <c r="S19" s="1148"/>
      <c r="T19" s="1148"/>
      <c r="U19" s="1148"/>
    </row>
    <row r="20" customFormat="false" ht="15" hidden="false" customHeight="true" outlineLevel="1" collapsed="false">
      <c r="A20" s="2423" t="s">
        <v>2593</v>
      </c>
      <c r="B20" s="2423"/>
      <c r="C20" s="2423"/>
      <c r="D20" s="2424" t="s">
        <v>1800</v>
      </c>
      <c r="E20" s="2424" t="s">
        <v>293</v>
      </c>
      <c r="F20" s="2424" t="s">
        <v>1802</v>
      </c>
      <c r="G20" s="2424" t="s">
        <v>2900</v>
      </c>
      <c r="H20" s="2401"/>
      <c r="I20" s="2410"/>
      <c r="J20" s="2410"/>
      <c r="K20" s="1148"/>
      <c r="L20" s="1148"/>
      <c r="M20" s="1148"/>
      <c r="N20" s="1148"/>
      <c r="O20" s="1148"/>
      <c r="P20" s="1148"/>
      <c r="Q20" s="1148"/>
      <c r="R20" s="1148"/>
      <c r="S20" s="1148"/>
      <c r="T20" s="1148"/>
      <c r="U20" s="1148"/>
    </row>
    <row r="21" customFormat="false" ht="15" hidden="false" customHeight="true" outlineLevel="1" collapsed="false">
      <c r="A21" s="2425" t="s">
        <v>2902</v>
      </c>
      <c r="B21" s="2425"/>
      <c r="C21" s="2425"/>
      <c r="D21" s="2420" t="n">
        <f aca="false">'Ввод данных'!C91</f>
        <v>0.8</v>
      </c>
      <c r="E21" s="2352" t="n">
        <f aca="false">'Ввод данных'!D91</f>
        <v>2.1</v>
      </c>
      <c r="F21" s="2416" t="n">
        <f aca="false">'Ввод данных'!E91</f>
        <v>0</v>
      </c>
      <c r="G21" s="2421" t="n">
        <f aca="false">D21*E21*F21</f>
        <v>0</v>
      </c>
      <c r="H21" s="2401"/>
      <c r="I21" s="2410"/>
      <c r="J21" s="2410"/>
      <c r="K21" s="1148"/>
      <c r="L21" s="1148"/>
      <c r="M21" s="1148"/>
      <c r="N21" s="1148"/>
      <c r="O21" s="1148"/>
      <c r="P21" s="1148"/>
      <c r="Q21" s="1148"/>
      <c r="R21" s="1148"/>
      <c r="S21" s="1148"/>
      <c r="T21" s="1148"/>
      <c r="U21" s="1148"/>
    </row>
    <row r="22" customFormat="false" ht="15" hidden="false" customHeight="true" outlineLevel="1" collapsed="false">
      <c r="A22" s="2425" t="s">
        <v>2903</v>
      </c>
      <c r="B22" s="2425"/>
      <c r="C22" s="2425"/>
      <c r="D22" s="2420" t="n">
        <f aca="false">'Ввод данных'!C92</f>
        <v>0.6</v>
      </c>
      <c r="E22" s="2352" t="n">
        <f aca="false">'Ввод данных'!D92</f>
        <v>2</v>
      </c>
      <c r="F22" s="2416" t="n">
        <f aca="false">'Ввод данных'!E92</f>
        <v>0</v>
      </c>
      <c r="G22" s="2421" t="n">
        <f aca="false">D22*E22*F22</f>
        <v>0</v>
      </c>
      <c r="H22" s="2401"/>
      <c r="I22" s="2410"/>
      <c r="J22" s="2410"/>
      <c r="K22" s="1148"/>
      <c r="L22" s="1148"/>
      <c r="M22" s="1148"/>
      <c r="N22" s="1148"/>
      <c r="O22" s="1148"/>
      <c r="P22" s="1148"/>
      <c r="Q22" s="1148"/>
      <c r="R22" s="1148"/>
      <c r="S22" s="1148"/>
      <c r="T22" s="1148"/>
      <c r="U22" s="1148"/>
    </row>
    <row r="23" customFormat="false" ht="15" hidden="false" customHeight="true" outlineLevel="1" collapsed="false">
      <c r="A23" s="2425" t="s">
        <v>2904</v>
      </c>
      <c r="B23" s="2425"/>
      <c r="C23" s="2425"/>
      <c r="D23" s="2420" t="n">
        <f aca="false">'Ввод данных'!C95</f>
        <v>0.9</v>
      </c>
      <c r="E23" s="2352" t="n">
        <f aca="false">'Ввод данных'!D95</f>
        <v>2.1</v>
      </c>
      <c r="F23" s="2416" t="n">
        <f aca="false">'Ввод данных'!E95</f>
        <v>0</v>
      </c>
      <c r="G23" s="2421" t="n">
        <f aca="false">D23*E23*F23</f>
        <v>0</v>
      </c>
      <c r="H23" s="2401"/>
      <c r="I23" s="2410"/>
      <c r="J23" s="2410"/>
      <c r="K23" s="1148"/>
      <c r="L23" s="1148"/>
      <c r="M23" s="1148"/>
      <c r="N23" s="1148"/>
      <c r="O23" s="1148"/>
      <c r="P23" s="1148"/>
      <c r="Q23" s="1148"/>
      <c r="R23" s="1148"/>
      <c r="S23" s="1148"/>
      <c r="T23" s="1148"/>
      <c r="U23" s="1148"/>
    </row>
    <row r="24" customFormat="false" ht="15" hidden="false" customHeight="true" outlineLevel="1" collapsed="false">
      <c r="A24" s="2425" t="s">
        <v>2905</v>
      </c>
      <c r="B24" s="2425"/>
      <c r="C24" s="2425"/>
      <c r="D24" s="2420" t="n">
        <f aca="false">'Ввод данных'!C99</f>
        <v>0.8</v>
      </c>
      <c r="E24" s="2352" t="n">
        <f aca="false">'Ввод данных'!D99</f>
        <v>2.1</v>
      </c>
      <c r="F24" s="2416" t="n">
        <f aca="false">'Ввод данных'!E99</f>
        <v>0</v>
      </c>
      <c r="G24" s="2421" t="n">
        <f aca="false">D24*E24*F24</f>
        <v>0</v>
      </c>
      <c r="H24" s="2401"/>
      <c r="I24" s="2410"/>
      <c r="J24" s="2410"/>
      <c r="K24" s="1148"/>
      <c r="L24" s="1148"/>
      <c r="M24" s="1148"/>
      <c r="N24" s="1148"/>
      <c r="O24" s="1148"/>
      <c r="P24" s="1148"/>
      <c r="Q24" s="1148"/>
      <c r="R24" s="1148"/>
      <c r="S24" s="1148"/>
      <c r="T24" s="1148"/>
      <c r="U24" s="1148"/>
    </row>
    <row r="25" customFormat="false" ht="15" hidden="false" customHeight="true" outlineLevel="1" collapsed="false">
      <c r="A25" s="2422" t="s">
        <v>3874</v>
      </c>
      <c r="B25" s="2422"/>
      <c r="C25" s="2422"/>
      <c r="D25" s="2422"/>
      <c r="E25" s="2422"/>
      <c r="F25" s="2422"/>
      <c r="G25" s="2421" t="n">
        <f aca="false">SUM(G21:G24)</f>
        <v>0</v>
      </c>
      <c r="H25" s="2401"/>
      <c r="I25" s="2410"/>
      <c r="J25" s="2410"/>
      <c r="K25" s="1148"/>
      <c r="L25" s="1148"/>
      <c r="M25" s="1148"/>
      <c r="N25" s="1148"/>
      <c r="O25" s="1148"/>
      <c r="P25" s="1148"/>
      <c r="Q25" s="1148"/>
      <c r="R25" s="1148"/>
      <c r="S25" s="1148"/>
      <c r="T25" s="1148"/>
      <c r="U25" s="1148"/>
    </row>
    <row r="26" customFormat="false" ht="15" hidden="false" customHeight="true" outlineLevel="1" collapsed="false">
      <c r="A26" s="2423" t="s">
        <v>1217</v>
      </c>
      <c r="B26" s="2423"/>
      <c r="C26" s="2423"/>
      <c r="D26" s="2424" t="s">
        <v>1800</v>
      </c>
      <c r="E26" s="2424" t="s">
        <v>293</v>
      </c>
      <c r="F26" s="2424" t="s">
        <v>1802</v>
      </c>
      <c r="G26" s="2424" t="s">
        <v>2900</v>
      </c>
      <c r="H26" s="2401"/>
      <c r="I26" s="2410"/>
      <c r="J26" s="2410"/>
      <c r="K26" s="1148"/>
      <c r="L26" s="1148"/>
      <c r="M26" s="1148"/>
      <c r="N26" s="1148"/>
      <c r="O26" s="1148"/>
      <c r="P26" s="1148"/>
      <c r="Q26" s="1148"/>
      <c r="R26" s="1148"/>
      <c r="S26" s="1148"/>
      <c r="T26" s="1148"/>
      <c r="U26" s="1148"/>
    </row>
    <row r="27" customFormat="false" ht="15" hidden="false" customHeight="true" outlineLevel="1" collapsed="false">
      <c r="A27" s="2425" t="s">
        <v>2902</v>
      </c>
      <c r="B27" s="2425"/>
      <c r="C27" s="2425"/>
      <c r="D27" s="2420" t="n">
        <f aca="false">'Ввод данных'!C85</f>
        <v>0.8</v>
      </c>
      <c r="E27" s="2352" t="n">
        <f aca="false">'Ввод данных'!D85</f>
        <v>2</v>
      </c>
      <c r="F27" s="2416" t="n">
        <f aca="false">'Ввод данных'!E85</f>
        <v>0</v>
      </c>
      <c r="G27" s="2421" t="n">
        <f aca="false">D27*E27*F27</f>
        <v>0</v>
      </c>
      <c r="H27" s="2401"/>
      <c r="I27" s="2410"/>
      <c r="J27" s="2410"/>
      <c r="K27" s="1148"/>
      <c r="L27" s="1148"/>
      <c r="M27" s="1148"/>
      <c r="N27" s="1148"/>
      <c r="O27" s="1148"/>
      <c r="P27" s="1148"/>
      <c r="Q27" s="1148"/>
      <c r="R27" s="1148"/>
      <c r="S27" s="1148"/>
      <c r="T27" s="1148"/>
      <c r="U27" s="1148"/>
    </row>
    <row r="28" customFormat="false" ht="15" hidden="false" customHeight="true" outlineLevel="1" collapsed="false">
      <c r="A28" s="2425" t="s">
        <v>2903</v>
      </c>
      <c r="B28" s="2425"/>
      <c r="C28" s="2425"/>
      <c r="D28" s="2420" t="n">
        <f aca="false">'Ввод данных'!C86</f>
        <v>0.9</v>
      </c>
      <c r="E28" s="2352" t="n">
        <f aca="false">'Ввод данных'!D86</f>
        <v>2.1</v>
      </c>
      <c r="F28" s="2416" t="n">
        <f aca="false">'Ввод данных'!E86</f>
        <v>0</v>
      </c>
      <c r="G28" s="2421" t="n">
        <f aca="false">D28*E28*F28</f>
        <v>0</v>
      </c>
      <c r="H28" s="2401"/>
      <c r="I28" s="2410"/>
      <c r="J28" s="2410"/>
      <c r="K28" s="1148"/>
      <c r="L28" s="1148"/>
      <c r="M28" s="1148"/>
      <c r="N28" s="1148"/>
      <c r="O28" s="1148"/>
      <c r="P28" s="1148"/>
      <c r="Q28" s="1148"/>
      <c r="R28" s="1148"/>
      <c r="S28" s="1148"/>
      <c r="T28" s="1148"/>
      <c r="U28" s="1148"/>
    </row>
    <row r="29" customFormat="false" ht="15" hidden="false" customHeight="true" outlineLevel="1" collapsed="false">
      <c r="A29" s="2425" t="s">
        <v>2904</v>
      </c>
      <c r="B29" s="2425"/>
      <c r="C29" s="2425"/>
      <c r="D29" s="2420" t="n">
        <f aca="false">'Ввод данных'!C87</f>
        <v>1</v>
      </c>
      <c r="E29" s="2352" t="n">
        <f aca="false">'Ввод данных'!D87</f>
        <v>2</v>
      </c>
      <c r="F29" s="2416" t="n">
        <f aca="false">'Ввод данных'!E87</f>
        <v>0</v>
      </c>
      <c r="G29" s="2421" t="n">
        <f aca="false">D29*E29*F29</f>
        <v>0</v>
      </c>
      <c r="H29" s="2401"/>
      <c r="I29" s="2410"/>
      <c r="J29" s="2410"/>
      <c r="K29" s="1148"/>
      <c r="L29" s="1148"/>
      <c r="M29" s="1148"/>
      <c r="N29" s="1148"/>
      <c r="O29" s="1148"/>
      <c r="P29" s="1148"/>
      <c r="Q29" s="1148"/>
      <c r="R29" s="1148"/>
      <c r="S29" s="1148"/>
      <c r="T29" s="1148"/>
      <c r="U29" s="1148"/>
    </row>
    <row r="30" customFormat="false" ht="15" hidden="false" customHeight="true" outlineLevel="1" collapsed="false">
      <c r="A30" s="2422" t="s">
        <v>2898</v>
      </c>
      <c r="B30" s="2422"/>
      <c r="C30" s="2422"/>
      <c r="D30" s="2422"/>
      <c r="E30" s="2422"/>
      <c r="F30" s="2422"/>
      <c r="G30" s="2421" t="n">
        <f aca="false">SUM(G27:G29)</f>
        <v>0</v>
      </c>
      <c r="H30" s="2401"/>
      <c r="I30" s="2410"/>
      <c r="J30" s="2410"/>
      <c r="K30" s="1148"/>
      <c r="L30" s="1148"/>
      <c r="M30" s="1148"/>
      <c r="N30" s="1148"/>
      <c r="O30" s="1148"/>
      <c r="P30" s="1148"/>
      <c r="Q30" s="1148"/>
      <c r="R30" s="1148"/>
      <c r="S30" s="1148"/>
      <c r="T30" s="1148"/>
      <c r="U30" s="1148"/>
    </row>
    <row r="31" customFormat="false" ht="15" hidden="false" customHeight="true" outlineLevel="1" collapsed="false">
      <c r="A31" s="2426"/>
      <c r="B31" s="2426"/>
      <c r="C31" s="2426"/>
      <c r="D31" s="2426"/>
      <c r="E31" s="2402"/>
      <c r="F31" s="2402"/>
      <c r="G31" s="2402"/>
      <c r="H31" s="2410"/>
      <c r="I31" s="2410"/>
      <c r="J31" s="2410"/>
      <c r="K31" s="1148"/>
      <c r="L31" s="1148"/>
      <c r="M31" s="1148"/>
      <c r="N31" s="1148"/>
      <c r="O31" s="1148"/>
      <c r="P31" s="1148"/>
      <c r="Q31" s="1148"/>
      <c r="R31" s="1148"/>
      <c r="S31" s="1148"/>
      <c r="T31" s="1148"/>
      <c r="U31" s="1148"/>
    </row>
    <row r="32" customFormat="false" ht="15" hidden="false" customHeight="true" outlineLevel="1" collapsed="false">
      <c r="A32" s="2418" t="s">
        <v>1236</v>
      </c>
      <c r="B32" s="2418"/>
      <c r="C32" s="2413" t="s">
        <v>208</v>
      </c>
      <c r="D32" s="2413" t="s">
        <v>853</v>
      </c>
      <c r="E32" s="2427" t="s">
        <v>1802</v>
      </c>
      <c r="F32" s="2418" t="s">
        <v>853</v>
      </c>
      <c r="G32" s="2402"/>
      <c r="H32" s="2410"/>
      <c r="I32" s="2410"/>
      <c r="J32" s="2410"/>
      <c r="K32" s="1148"/>
      <c r="L32" s="1148"/>
      <c r="M32" s="1148"/>
      <c r="N32" s="1148"/>
      <c r="O32" s="1148"/>
      <c r="P32" s="1148"/>
      <c r="Q32" s="1148"/>
      <c r="R32" s="1148"/>
      <c r="S32" s="1148"/>
      <c r="T32" s="1148"/>
      <c r="U32" s="1148"/>
    </row>
    <row r="33" customFormat="false" ht="15" hidden="false" customHeight="true" outlineLevel="1" collapsed="false">
      <c r="A33" s="2428" t="s">
        <v>1862</v>
      </c>
      <c r="B33" s="2428"/>
      <c r="C33" s="2429" t="s">
        <v>156</v>
      </c>
      <c r="D33" s="2420" t="n">
        <f aca="false">'Ввод данных'!C112</f>
        <v>6</v>
      </c>
      <c r="E33" s="2352" t="n">
        <f aca="false">'Ввод данных'!D112</f>
        <v>2</v>
      </c>
      <c r="F33" s="2421" t="n">
        <f aca="false">D33*E33</f>
        <v>12</v>
      </c>
      <c r="G33" s="2402"/>
      <c r="H33" s="2410"/>
      <c r="I33" s="2410"/>
      <c r="J33" s="2410"/>
      <c r="K33" s="1148"/>
      <c r="L33" s="1148"/>
      <c r="M33" s="1148"/>
      <c r="N33" s="1148"/>
      <c r="O33" s="1148"/>
      <c r="P33" s="1148"/>
      <c r="Q33" s="1148"/>
      <c r="R33" s="1148"/>
      <c r="S33" s="1148"/>
      <c r="T33" s="1148"/>
      <c r="U33" s="1148"/>
    </row>
    <row r="34" customFormat="false" ht="15" hidden="false" customHeight="true" outlineLevel="1" collapsed="false">
      <c r="A34" s="2428"/>
      <c r="B34" s="2428"/>
      <c r="C34" s="2429" t="s">
        <v>156</v>
      </c>
      <c r="D34" s="2420" t="n">
        <f aca="false">'Ввод данных'!C113</f>
        <v>4</v>
      </c>
      <c r="E34" s="2352" t="n">
        <f aca="false">'Ввод данных'!D113</f>
        <v>1</v>
      </c>
      <c r="F34" s="2421" t="n">
        <f aca="false">D34*E34</f>
        <v>4</v>
      </c>
      <c r="G34" s="2402"/>
      <c r="H34" s="2410"/>
      <c r="I34" s="2410"/>
      <c r="J34" s="2410"/>
      <c r="K34" s="1148"/>
      <c r="L34" s="1148"/>
      <c r="M34" s="1148"/>
      <c r="N34" s="1148"/>
      <c r="O34" s="1148"/>
      <c r="P34" s="1148"/>
      <c r="Q34" s="1148"/>
      <c r="R34" s="1148"/>
      <c r="S34" s="1148"/>
      <c r="T34" s="1148"/>
      <c r="U34" s="1148"/>
    </row>
    <row r="35" customFormat="false" ht="15" hidden="false" customHeight="true" outlineLevel="1" collapsed="false">
      <c r="A35" s="2428"/>
      <c r="B35" s="2428"/>
      <c r="C35" s="2429" t="s">
        <v>156</v>
      </c>
      <c r="D35" s="2420" t="n">
        <f aca="false">'Ввод данных'!C114</f>
        <v>0</v>
      </c>
      <c r="E35" s="2352" t="n">
        <f aca="false">'Ввод данных'!D114</f>
        <v>0</v>
      </c>
      <c r="F35" s="2421" t="n">
        <f aca="false">D35*E35</f>
        <v>0</v>
      </c>
      <c r="G35" s="2402"/>
      <c r="H35" s="2410"/>
      <c r="I35" s="2410"/>
      <c r="J35" s="2410"/>
      <c r="K35" s="1148"/>
      <c r="L35" s="1148"/>
      <c r="M35" s="1148"/>
      <c r="N35" s="1148"/>
      <c r="O35" s="1148"/>
      <c r="P35" s="1148"/>
      <c r="Q35" s="1148"/>
      <c r="R35" s="1148"/>
      <c r="S35" s="1148"/>
      <c r="T35" s="1148"/>
      <c r="U35" s="1148"/>
    </row>
    <row r="36" customFormat="false" ht="15" hidden="false" customHeight="true" outlineLevel="1" collapsed="false">
      <c r="A36" s="2428"/>
      <c r="B36" s="2428"/>
      <c r="C36" s="2429" t="s">
        <v>156</v>
      </c>
      <c r="D36" s="2420" t="n">
        <f aca="false">'Ввод данных'!C115</f>
        <v>0</v>
      </c>
      <c r="E36" s="2352" t="n">
        <f aca="false">'Ввод данных'!D115</f>
        <v>0</v>
      </c>
      <c r="F36" s="2421" t="n">
        <f aca="false">D36*E36</f>
        <v>0</v>
      </c>
      <c r="G36" s="2402"/>
      <c r="H36" s="2410"/>
      <c r="I36" s="2410"/>
      <c r="J36" s="2410"/>
      <c r="K36" s="1148"/>
      <c r="L36" s="1148"/>
      <c r="M36" s="1148"/>
      <c r="N36" s="1148"/>
      <c r="O36" s="1148"/>
      <c r="P36" s="1148"/>
      <c r="Q36" s="1148"/>
      <c r="R36" s="1148"/>
      <c r="S36" s="1148"/>
      <c r="T36" s="1148"/>
      <c r="U36" s="1148"/>
    </row>
    <row r="37" customFormat="false" ht="15" hidden="false" customHeight="true" outlineLevel="1" collapsed="false">
      <c r="A37" s="2428" t="s">
        <v>1866</v>
      </c>
      <c r="B37" s="2428"/>
      <c r="C37" s="2429" t="s">
        <v>156</v>
      </c>
      <c r="D37" s="2420" t="n">
        <f aca="false">'Ввод данных'!C116</f>
        <v>1.8</v>
      </c>
      <c r="E37" s="2352" t="n">
        <f aca="false">'Ввод данных'!D116</f>
        <v>1</v>
      </c>
      <c r="F37" s="2421" t="n">
        <f aca="false">D37*E37</f>
        <v>1.8</v>
      </c>
      <c r="G37" s="2402"/>
      <c r="H37" s="2410"/>
      <c r="I37" s="2410"/>
      <c r="J37" s="2402"/>
      <c r="K37" s="1148"/>
      <c r="L37" s="1148"/>
      <c r="M37" s="1148"/>
      <c r="N37" s="1148"/>
      <c r="O37" s="1148"/>
      <c r="P37" s="1148"/>
      <c r="Q37" s="1148"/>
      <c r="R37" s="1148"/>
      <c r="S37" s="1148"/>
      <c r="T37" s="1148"/>
      <c r="U37" s="1148"/>
    </row>
    <row r="38" customFormat="false" ht="15" hidden="false" customHeight="true" outlineLevel="1" collapsed="false">
      <c r="A38" s="2428"/>
      <c r="B38" s="2428"/>
      <c r="C38" s="2429" t="s">
        <v>156</v>
      </c>
      <c r="D38" s="2420" t="n">
        <f aca="false">'Ввод данных'!C117</f>
        <v>0</v>
      </c>
      <c r="E38" s="2352" t="n">
        <f aca="false">'Ввод данных'!D117</f>
        <v>0</v>
      </c>
      <c r="F38" s="2421" t="n">
        <f aca="false">D38*E38</f>
        <v>0</v>
      </c>
      <c r="G38" s="2402"/>
      <c r="H38" s="2410"/>
      <c r="I38" s="2402"/>
      <c r="J38" s="2402"/>
      <c r="K38" s="1148"/>
      <c r="L38" s="1148"/>
      <c r="M38" s="1148"/>
      <c r="N38" s="1148"/>
      <c r="O38" s="1148"/>
      <c r="P38" s="1148"/>
      <c r="Q38" s="1148"/>
      <c r="R38" s="1148"/>
      <c r="S38" s="1148"/>
      <c r="T38" s="1148"/>
      <c r="U38" s="1148"/>
    </row>
    <row r="39" customFormat="false" ht="15" hidden="false" customHeight="true" outlineLevel="1" collapsed="false">
      <c r="A39" s="2428"/>
      <c r="B39" s="2428"/>
      <c r="C39" s="2429" t="s">
        <v>156</v>
      </c>
      <c r="D39" s="2420" t="n">
        <f aca="false">'Ввод данных'!C118</f>
        <v>0</v>
      </c>
      <c r="E39" s="2352" t="n">
        <f aca="false">'Ввод данных'!D118</f>
        <v>0</v>
      </c>
      <c r="F39" s="2421" t="n">
        <f aca="false">D39*E39</f>
        <v>0</v>
      </c>
      <c r="G39" s="2402"/>
      <c r="H39" s="2410"/>
      <c r="I39" s="2410"/>
      <c r="J39" s="2402"/>
      <c r="K39" s="1148"/>
      <c r="L39" s="1148"/>
      <c r="M39" s="1148"/>
      <c r="N39" s="1148"/>
      <c r="O39" s="1148"/>
      <c r="P39" s="1148"/>
      <c r="Q39" s="1148"/>
      <c r="R39" s="1148"/>
      <c r="S39" s="1148"/>
      <c r="T39" s="1148"/>
      <c r="U39" s="1148"/>
    </row>
    <row r="40" customFormat="false" ht="15" hidden="false" customHeight="true" outlineLevel="1" collapsed="false">
      <c r="A40" s="2428"/>
      <c r="B40" s="2428"/>
      <c r="C40" s="2429" t="s">
        <v>156</v>
      </c>
      <c r="D40" s="2420" t="n">
        <f aca="false">'Ввод данных'!C119</f>
        <v>0</v>
      </c>
      <c r="E40" s="2352" t="n">
        <f aca="false">'Ввод данных'!D119</f>
        <v>0</v>
      </c>
      <c r="F40" s="2421" t="n">
        <f aca="false">D40*E40</f>
        <v>0</v>
      </c>
      <c r="G40" s="2402"/>
      <c r="H40" s="2410"/>
      <c r="I40" s="2402"/>
      <c r="J40" s="2402"/>
      <c r="K40" s="1148"/>
      <c r="L40" s="1148"/>
      <c r="M40" s="1148"/>
      <c r="N40" s="1148"/>
      <c r="O40" s="1148"/>
      <c r="P40" s="1148"/>
      <c r="Q40" s="1148"/>
      <c r="R40" s="1148"/>
      <c r="S40" s="1148"/>
      <c r="T40" s="1148"/>
      <c r="U40" s="1148"/>
    </row>
    <row r="41" customFormat="false" ht="15" hidden="false" customHeight="true" outlineLevel="1" collapsed="false">
      <c r="A41" s="2428" t="s">
        <v>1867</v>
      </c>
      <c r="B41" s="2428"/>
      <c r="C41" s="2429" t="s">
        <v>156</v>
      </c>
      <c r="D41" s="2420" t="n">
        <f aca="false">'Ввод данных'!C120</f>
        <v>0</v>
      </c>
      <c r="E41" s="2352" t="n">
        <f aca="false">'Ввод данных'!D120</f>
        <v>0</v>
      </c>
      <c r="F41" s="2421" t="n">
        <f aca="false">D41*E41</f>
        <v>0</v>
      </c>
      <c r="G41" s="2402"/>
      <c r="H41" s="2410"/>
      <c r="I41" s="2402"/>
      <c r="J41" s="2402"/>
      <c r="K41" s="1148"/>
      <c r="L41" s="1148"/>
      <c r="M41" s="1148"/>
      <c r="N41" s="1148"/>
      <c r="O41" s="1148"/>
      <c r="P41" s="1148"/>
      <c r="Q41" s="1148"/>
      <c r="R41" s="1148"/>
      <c r="S41" s="1148"/>
      <c r="T41" s="1148"/>
      <c r="U41" s="1148"/>
    </row>
    <row r="42" customFormat="false" ht="15" hidden="false" customHeight="true" outlineLevel="1" collapsed="false">
      <c r="A42" s="2428"/>
      <c r="B42" s="2428"/>
      <c r="C42" s="2429" t="s">
        <v>156</v>
      </c>
      <c r="D42" s="2420" t="n">
        <f aca="false">'Ввод данных'!C121</f>
        <v>0</v>
      </c>
      <c r="E42" s="2352" t="n">
        <f aca="false">'Ввод данных'!D121</f>
        <v>0</v>
      </c>
      <c r="F42" s="2421" t="n">
        <f aca="false">D42*E42</f>
        <v>0</v>
      </c>
      <c r="G42" s="2402"/>
      <c r="H42" s="2410"/>
      <c r="I42" s="2402"/>
      <c r="J42" s="2402"/>
      <c r="K42" s="1148"/>
      <c r="L42" s="1148"/>
      <c r="M42" s="1148"/>
      <c r="N42" s="1148"/>
      <c r="O42" s="1148"/>
      <c r="P42" s="1148"/>
      <c r="Q42" s="1148"/>
      <c r="R42" s="1148"/>
      <c r="S42" s="1148"/>
      <c r="T42" s="1148"/>
      <c r="U42" s="1148"/>
    </row>
    <row r="43" customFormat="false" ht="15" hidden="false" customHeight="true" outlineLevel="1" collapsed="false">
      <c r="A43" s="2428"/>
      <c r="B43" s="2428"/>
      <c r="C43" s="2429" t="s">
        <v>156</v>
      </c>
      <c r="D43" s="2420" t="n">
        <f aca="false">'Ввод данных'!C122</f>
        <v>0</v>
      </c>
      <c r="E43" s="2352" t="n">
        <f aca="false">'Ввод данных'!D122</f>
        <v>0</v>
      </c>
      <c r="F43" s="2421" t="n">
        <f aca="false">D43*E43</f>
        <v>0</v>
      </c>
      <c r="G43" s="2402"/>
      <c r="H43" s="2410"/>
      <c r="I43" s="2401"/>
      <c r="J43" s="2402"/>
      <c r="K43" s="1148"/>
      <c r="L43" s="1148"/>
      <c r="M43" s="1148"/>
      <c r="N43" s="1148"/>
      <c r="O43" s="1148"/>
      <c r="P43" s="1148"/>
      <c r="Q43" s="1148"/>
      <c r="R43" s="1148"/>
      <c r="S43" s="1148"/>
      <c r="T43" s="1148"/>
      <c r="U43" s="1148"/>
    </row>
    <row r="44" customFormat="false" ht="15" hidden="false" customHeight="true" outlineLevel="1" collapsed="false">
      <c r="A44" s="2428"/>
      <c r="B44" s="2428"/>
      <c r="C44" s="2429" t="s">
        <v>156</v>
      </c>
      <c r="D44" s="2420" t="n">
        <f aca="false">'Ввод данных'!C123</f>
        <v>0</v>
      </c>
      <c r="E44" s="2352" t="n">
        <f aca="false">'Ввод данных'!D123</f>
        <v>0</v>
      </c>
      <c r="F44" s="2421" t="n">
        <f aca="false">D44*E44</f>
        <v>0</v>
      </c>
      <c r="G44" s="2402"/>
      <c r="H44" s="2410"/>
      <c r="I44" s="2402"/>
      <c r="J44" s="2402"/>
      <c r="K44" s="1148"/>
      <c r="L44" s="1148"/>
      <c r="M44" s="1148"/>
      <c r="N44" s="1148"/>
      <c r="O44" s="1148"/>
      <c r="P44" s="1148"/>
      <c r="Q44" s="1148"/>
      <c r="R44" s="1148"/>
      <c r="S44" s="1148"/>
      <c r="T44" s="1148"/>
      <c r="U44" s="1148"/>
    </row>
    <row r="45" customFormat="false" ht="15" hidden="false" customHeight="true" outlineLevel="1" collapsed="false">
      <c r="A45" s="2428" t="s">
        <v>1869</v>
      </c>
      <c r="B45" s="2428"/>
      <c r="C45" s="2429" t="s">
        <v>156</v>
      </c>
      <c r="D45" s="2420" t="n">
        <f aca="false">'Ввод данных'!C124</f>
        <v>3</v>
      </c>
      <c r="E45" s="2352" t="n">
        <f aca="false">'Ввод данных'!D124</f>
        <v>2</v>
      </c>
      <c r="F45" s="2421" t="n">
        <f aca="false">D45*E45</f>
        <v>6</v>
      </c>
      <c r="G45" s="2402"/>
      <c r="H45" s="2410"/>
      <c r="I45" s="2402"/>
      <c r="J45" s="2402"/>
      <c r="K45" s="1148"/>
      <c r="L45" s="1148"/>
      <c r="M45" s="1148"/>
      <c r="N45" s="1148"/>
      <c r="O45" s="1148"/>
      <c r="P45" s="1148"/>
      <c r="Q45" s="1148"/>
      <c r="R45" s="1148"/>
      <c r="S45" s="1148"/>
      <c r="T45" s="1148"/>
      <c r="U45" s="1148"/>
    </row>
    <row r="46" customFormat="false" ht="15" hidden="false" customHeight="true" outlineLevel="1" collapsed="false">
      <c r="A46" s="2428"/>
      <c r="B46" s="2428"/>
      <c r="C46" s="2429" t="s">
        <v>156</v>
      </c>
      <c r="D46" s="2420" t="n">
        <f aca="false">'Ввод данных'!C125</f>
        <v>0</v>
      </c>
      <c r="E46" s="2352" t="n">
        <f aca="false">'Ввод данных'!D125</f>
        <v>0</v>
      </c>
      <c r="F46" s="2421" t="n">
        <f aca="false">D46*E46</f>
        <v>0</v>
      </c>
      <c r="G46" s="2402"/>
      <c r="H46" s="2430"/>
      <c r="I46" s="2402"/>
      <c r="J46" s="2402"/>
      <c r="K46" s="1148"/>
      <c r="L46" s="1148"/>
      <c r="M46" s="1148"/>
      <c r="N46" s="1148"/>
      <c r="O46" s="1148"/>
      <c r="P46" s="1148"/>
      <c r="Q46" s="1148"/>
      <c r="R46" s="1148"/>
      <c r="S46" s="1148"/>
      <c r="T46" s="1148"/>
      <c r="U46" s="1148"/>
    </row>
    <row r="47" customFormat="false" ht="15" hidden="false" customHeight="true" outlineLevel="1" collapsed="false">
      <c r="A47" s="2428"/>
      <c r="B47" s="2428"/>
      <c r="C47" s="2429" t="s">
        <v>156</v>
      </c>
      <c r="D47" s="2420" t="n">
        <f aca="false">'Ввод данных'!C126</f>
        <v>0</v>
      </c>
      <c r="E47" s="2352" t="n">
        <f aca="false">'Ввод данных'!D126</f>
        <v>0</v>
      </c>
      <c r="F47" s="2421" t="n">
        <f aca="false">D47*E47</f>
        <v>0</v>
      </c>
      <c r="G47" s="2402"/>
      <c r="H47" s="2430"/>
      <c r="I47" s="2402"/>
      <c r="J47" s="2402"/>
      <c r="K47" s="1148"/>
      <c r="L47" s="1148"/>
      <c r="M47" s="1148"/>
      <c r="N47" s="1148"/>
      <c r="O47" s="1148"/>
      <c r="P47" s="1148"/>
      <c r="Q47" s="1148"/>
      <c r="R47" s="1148"/>
      <c r="S47" s="1148"/>
      <c r="T47" s="1148"/>
      <c r="U47" s="1148"/>
    </row>
    <row r="48" customFormat="false" ht="15" hidden="false" customHeight="true" outlineLevel="1" collapsed="false">
      <c r="A48" s="2428"/>
      <c r="B48" s="2428"/>
      <c r="C48" s="2429" t="s">
        <v>156</v>
      </c>
      <c r="D48" s="2420" t="n">
        <f aca="false">'Ввод данных'!C127</f>
        <v>0</v>
      </c>
      <c r="E48" s="2352" t="n">
        <f aca="false">'Ввод данных'!D127</f>
        <v>0</v>
      </c>
      <c r="F48" s="2421" t="n">
        <f aca="false">D48*E48</f>
        <v>0</v>
      </c>
      <c r="G48" s="2402"/>
      <c r="H48" s="2430"/>
      <c r="I48" s="2402"/>
      <c r="J48" s="2402"/>
      <c r="K48" s="1148"/>
      <c r="L48" s="1148"/>
      <c r="M48" s="1148"/>
      <c r="N48" s="1148"/>
      <c r="O48" s="1148"/>
      <c r="P48" s="1148"/>
      <c r="Q48" s="1148"/>
      <c r="R48" s="1148"/>
      <c r="S48" s="1148"/>
      <c r="T48" s="1148"/>
      <c r="U48" s="1148"/>
    </row>
    <row r="49" customFormat="false" ht="15" hidden="false" customHeight="true" outlineLevel="1" collapsed="false">
      <c r="A49" s="2428" t="s">
        <v>1870</v>
      </c>
      <c r="B49" s="2428"/>
      <c r="C49" s="2429" t="s">
        <v>156</v>
      </c>
      <c r="D49" s="2420" t="n">
        <f aca="false">'Ввод данных'!C128</f>
        <v>3.5</v>
      </c>
      <c r="E49" s="2352" t="n">
        <f aca="false">'Ввод данных'!D128</f>
        <v>1</v>
      </c>
      <c r="F49" s="2421" t="n">
        <f aca="false">D49*E49</f>
        <v>3.5</v>
      </c>
      <c r="G49" s="2431"/>
      <c r="H49" s="2432"/>
      <c r="I49" s="2433" t="s">
        <v>1906</v>
      </c>
      <c r="J49" s="2402"/>
      <c r="K49" s="1148"/>
      <c r="L49" s="1148"/>
      <c r="M49" s="1148"/>
      <c r="N49" s="1148"/>
      <c r="O49" s="1148"/>
      <c r="P49" s="1148"/>
      <c r="Q49" s="1148"/>
      <c r="R49" s="1148"/>
      <c r="S49" s="1148"/>
      <c r="T49" s="1148"/>
      <c r="U49" s="1148"/>
    </row>
    <row r="50" customFormat="false" ht="15" hidden="false" customHeight="true" outlineLevel="1" collapsed="false">
      <c r="A50" s="2428"/>
      <c r="B50" s="2428"/>
      <c r="C50" s="2429" t="s">
        <v>156</v>
      </c>
      <c r="D50" s="2420" t="n">
        <f aca="false">'Ввод данных'!C129</f>
        <v>0</v>
      </c>
      <c r="E50" s="2352" t="n">
        <f aca="false">'Ввод данных'!D129</f>
        <v>0</v>
      </c>
      <c r="F50" s="2421" t="n">
        <f aca="false">D50*E50</f>
        <v>0</v>
      </c>
      <c r="G50" s="2431"/>
      <c r="H50" s="2432"/>
      <c r="I50" s="2433"/>
      <c r="J50" s="2402"/>
      <c r="K50" s="1148"/>
      <c r="L50" s="1148"/>
      <c r="M50" s="1148"/>
      <c r="N50" s="1148"/>
      <c r="O50" s="1148"/>
      <c r="P50" s="1148"/>
      <c r="Q50" s="1148"/>
      <c r="R50" s="1148"/>
      <c r="S50" s="1148"/>
      <c r="T50" s="1148"/>
      <c r="U50" s="1148"/>
    </row>
    <row r="51" customFormat="false" ht="15" hidden="false" customHeight="true" outlineLevel="1" collapsed="false">
      <c r="A51" s="2428"/>
      <c r="B51" s="2428"/>
      <c r="C51" s="2429" t="s">
        <v>156</v>
      </c>
      <c r="D51" s="2420" t="n">
        <f aca="false">'Ввод данных'!C130</f>
        <v>0</v>
      </c>
      <c r="E51" s="2352" t="n">
        <f aca="false">'Ввод данных'!D130</f>
        <v>0</v>
      </c>
      <c r="F51" s="2421" t="n">
        <f aca="false">D51*E51</f>
        <v>0</v>
      </c>
      <c r="G51" s="2431"/>
      <c r="H51" s="2432"/>
      <c r="I51" s="2433"/>
      <c r="J51" s="2402"/>
      <c r="K51" s="1148"/>
      <c r="L51" s="1148"/>
      <c r="M51" s="1148"/>
      <c r="N51" s="1148"/>
      <c r="O51" s="1148"/>
      <c r="P51" s="1148"/>
      <c r="Q51" s="1148"/>
      <c r="R51" s="1148"/>
      <c r="S51" s="1148"/>
      <c r="T51" s="1148"/>
      <c r="U51" s="1148"/>
    </row>
    <row r="52" customFormat="false" ht="15" hidden="false" customHeight="true" outlineLevel="1" collapsed="false">
      <c r="A52" s="2428"/>
      <c r="B52" s="2428"/>
      <c r="C52" s="2429" t="s">
        <v>156</v>
      </c>
      <c r="D52" s="2420" t="n">
        <f aca="false">'Ввод данных'!C131</f>
        <v>0</v>
      </c>
      <c r="E52" s="2352" t="n">
        <f aca="false">'Ввод данных'!D131</f>
        <v>0</v>
      </c>
      <c r="F52" s="2421" t="n">
        <f aca="false">D52*E52</f>
        <v>0</v>
      </c>
      <c r="G52" s="2434"/>
      <c r="H52" s="2434"/>
      <c r="I52" s="2433"/>
      <c r="J52" s="2402"/>
      <c r="K52" s="1148"/>
      <c r="L52" s="1148"/>
      <c r="M52" s="1148"/>
      <c r="N52" s="1148"/>
      <c r="O52" s="1148"/>
      <c r="P52" s="1148"/>
      <c r="Q52" s="1148"/>
      <c r="R52" s="1148"/>
      <c r="S52" s="1148"/>
      <c r="T52" s="1148"/>
      <c r="U52" s="1148"/>
    </row>
    <row r="53" customFormat="false" ht="15" hidden="false" customHeight="true" outlineLevel="1" collapsed="false">
      <c r="A53" s="2428" t="s">
        <v>1872</v>
      </c>
      <c r="B53" s="2428"/>
      <c r="C53" s="2429" t="s">
        <v>156</v>
      </c>
      <c r="D53" s="2420" t="n">
        <f aca="false">'Ввод данных'!C132</f>
        <v>0</v>
      </c>
      <c r="E53" s="2352" t="n">
        <f aca="false">'Ввод данных'!D132</f>
        <v>0</v>
      </c>
      <c r="F53" s="2421" t="n">
        <f aca="false">D53*E53</f>
        <v>0</v>
      </c>
      <c r="G53" s="2402"/>
      <c r="H53" s="2430"/>
      <c r="I53" s="2433"/>
      <c r="J53" s="2402"/>
      <c r="K53" s="1148"/>
      <c r="L53" s="1148"/>
      <c r="M53" s="1148"/>
      <c r="N53" s="1148"/>
      <c r="O53" s="1148"/>
      <c r="P53" s="1148"/>
      <c r="Q53" s="1148"/>
      <c r="R53" s="1148"/>
      <c r="S53" s="1148"/>
      <c r="T53" s="1148"/>
      <c r="U53" s="1148"/>
    </row>
    <row r="54" customFormat="false" ht="15" hidden="false" customHeight="true" outlineLevel="1" collapsed="false">
      <c r="A54" s="2428"/>
      <c r="B54" s="2428"/>
      <c r="C54" s="2429" t="s">
        <v>156</v>
      </c>
      <c r="D54" s="2420" t="n">
        <f aca="false">'Ввод данных'!C133</f>
        <v>0</v>
      </c>
      <c r="E54" s="2352" t="n">
        <f aca="false">'Ввод данных'!D133</f>
        <v>0</v>
      </c>
      <c r="F54" s="2421" t="n">
        <f aca="false">D54*E54</f>
        <v>0</v>
      </c>
      <c r="G54" s="2402"/>
      <c r="H54" s="2430"/>
      <c r="I54" s="2433"/>
      <c r="J54" s="2402"/>
      <c r="K54" s="1148"/>
      <c r="L54" s="1148"/>
      <c r="M54" s="1148"/>
      <c r="N54" s="1148"/>
      <c r="O54" s="1148"/>
      <c r="P54" s="1148"/>
      <c r="Q54" s="1148"/>
      <c r="R54" s="1148"/>
      <c r="S54" s="1148"/>
      <c r="T54" s="1148"/>
      <c r="U54" s="1148"/>
    </row>
    <row r="55" customFormat="false" ht="15" hidden="false" customHeight="true" outlineLevel="1" collapsed="false">
      <c r="A55" s="2428"/>
      <c r="B55" s="2428"/>
      <c r="C55" s="2429" t="s">
        <v>156</v>
      </c>
      <c r="D55" s="2420" t="n">
        <f aca="false">'Ввод данных'!C134</f>
        <v>0</v>
      </c>
      <c r="E55" s="2352" t="n">
        <f aca="false">'Ввод данных'!D134</f>
        <v>0</v>
      </c>
      <c r="F55" s="2421" t="n">
        <f aca="false">D55*E55</f>
        <v>0</v>
      </c>
      <c r="G55" s="2402"/>
      <c r="H55" s="2430"/>
      <c r="I55" s="2433"/>
      <c r="J55" s="2402"/>
      <c r="K55" s="1148"/>
      <c r="L55" s="1148"/>
      <c r="M55" s="1148"/>
      <c r="N55" s="1148"/>
      <c r="O55" s="1148"/>
      <c r="P55" s="1148"/>
      <c r="Q55" s="1148"/>
      <c r="R55" s="1148"/>
      <c r="S55" s="1148"/>
      <c r="T55" s="1148"/>
      <c r="U55" s="1148"/>
    </row>
    <row r="56" customFormat="false" ht="15" hidden="false" customHeight="true" outlineLevel="1" collapsed="false">
      <c r="A56" s="2428"/>
      <c r="B56" s="2428"/>
      <c r="C56" s="2429" t="s">
        <v>156</v>
      </c>
      <c r="D56" s="2420" t="n">
        <f aca="false">'Ввод данных'!C135</f>
        <v>0</v>
      </c>
      <c r="E56" s="2352" t="n">
        <f aca="false">'Ввод данных'!D135</f>
        <v>0</v>
      </c>
      <c r="F56" s="2421" t="n">
        <f aca="false">D56*E56</f>
        <v>0</v>
      </c>
      <c r="G56" s="2402"/>
      <c r="H56" s="2435"/>
      <c r="I56" s="2433"/>
      <c r="J56" s="2402"/>
      <c r="K56" s="1148"/>
      <c r="L56" s="1148"/>
      <c r="M56" s="1148"/>
      <c r="N56" s="1148"/>
      <c r="O56" s="1148"/>
      <c r="P56" s="1148"/>
      <c r="Q56" s="1148"/>
      <c r="R56" s="1148"/>
      <c r="S56" s="1148"/>
      <c r="T56" s="1148"/>
      <c r="U56" s="1148"/>
    </row>
    <row r="57" customFormat="false" ht="15" hidden="false" customHeight="true" outlineLevel="1" collapsed="false">
      <c r="A57" s="2428" t="s">
        <v>1875</v>
      </c>
      <c r="B57" s="2428"/>
      <c r="C57" s="2429" t="s">
        <v>156</v>
      </c>
      <c r="D57" s="2420" t="n">
        <f aca="false">'Ввод данных'!C136</f>
        <v>4</v>
      </c>
      <c r="E57" s="2352" t="n">
        <f aca="false">'Ввод данных'!D136</f>
        <v>1</v>
      </c>
      <c r="F57" s="2421" t="n">
        <f aca="false">D57*E57</f>
        <v>4</v>
      </c>
      <c r="G57" s="2402"/>
      <c r="H57" s="2435"/>
      <c r="I57" s="2402"/>
      <c r="J57" s="2402"/>
      <c r="K57" s="1148"/>
      <c r="L57" s="1148"/>
      <c r="M57" s="1148"/>
      <c r="N57" s="1148"/>
      <c r="O57" s="1148"/>
      <c r="P57" s="1148"/>
      <c r="Q57" s="1148"/>
      <c r="R57" s="1148"/>
      <c r="S57" s="1148"/>
      <c r="T57" s="1148"/>
      <c r="U57" s="1148"/>
    </row>
    <row r="58" customFormat="false" ht="15" hidden="false" customHeight="true" outlineLevel="1" collapsed="false">
      <c r="A58" s="2428"/>
      <c r="B58" s="2428"/>
      <c r="C58" s="2429" t="s">
        <v>156</v>
      </c>
      <c r="D58" s="2420" t="n">
        <f aca="false">'Ввод данных'!C137</f>
        <v>2</v>
      </c>
      <c r="E58" s="2352" t="n">
        <f aca="false">'Ввод данных'!D137</f>
        <v>1</v>
      </c>
      <c r="F58" s="2421" t="n">
        <f aca="false">D58*E58</f>
        <v>2</v>
      </c>
      <c r="G58" s="2402"/>
      <c r="H58" s="2435"/>
      <c r="I58" s="2402"/>
      <c r="J58" s="2402"/>
      <c r="K58" s="1148"/>
      <c r="L58" s="1148"/>
      <c r="M58" s="1148"/>
      <c r="N58" s="1148"/>
      <c r="O58" s="1148"/>
      <c r="P58" s="1148"/>
      <c r="Q58" s="1148"/>
      <c r="R58" s="1148"/>
      <c r="S58" s="1148"/>
      <c r="T58" s="1148"/>
      <c r="U58" s="1148"/>
    </row>
    <row r="59" customFormat="false" ht="15" hidden="false" customHeight="true" outlineLevel="1" collapsed="false">
      <c r="A59" s="2428"/>
      <c r="B59" s="2428"/>
      <c r="C59" s="2429" t="s">
        <v>156</v>
      </c>
      <c r="D59" s="2420" t="n">
        <f aca="false">'Ввод данных'!C138</f>
        <v>3</v>
      </c>
      <c r="E59" s="2352" t="n">
        <f aca="false">'Ввод данных'!D138</f>
        <v>1</v>
      </c>
      <c r="F59" s="2421" t="n">
        <f aca="false">D59*E59</f>
        <v>3</v>
      </c>
      <c r="G59" s="2402"/>
      <c r="H59" s="2435"/>
      <c r="I59" s="2402"/>
      <c r="J59" s="2402"/>
      <c r="K59" s="1148"/>
      <c r="L59" s="1148"/>
      <c r="M59" s="1148"/>
      <c r="N59" s="1148"/>
      <c r="O59" s="1148"/>
      <c r="P59" s="1148"/>
      <c r="Q59" s="1148"/>
      <c r="R59" s="1148"/>
      <c r="S59" s="1148"/>
      <c r="T59" s="1148"/>
      <c r="U59" s="1148"/>
    </row>
    <row r="60" customFormat="false" ht="15" hidden="false" customHeight="true" outlineLevel="1" collapsed="false">
      <c r="A60" s="2428"/>
      <c r="B60" s="2428"/>
      <c r="C60" s="2429" t="s">
        <v>156</v>
      </c>
      <c r="D60" s="2420" t="n">
        <f aca="false">'Ввод данных'!C139</f>
        <v>0</v>
      </c>
      <c r="E60" s="2352" t="n">
        <f aca="false">'Ввод данных'!D139</f>
        <v>0</v>
      </c>
      <c r="F60" s="2421" t="n">
        <f aca="false">D60*E60</f>
        <v>0</v>
      </c>
      <c r="G60" s="2402"/>
      <c r="H60" s="2435"/>
      <c r="I60" s="2401"/>
      <c r="J60" s="2402"/>
      <c r="K60" s="1148"/>
      <c r="L60" s="1148"/>
      <c r="M60" s="1148"/>
      <c r="N60" s="1148"/>
      <c r="O60" s="1148"/>
      <c r="P60" s="1148"/>
      <c r="Q60" s="1148"/>
      <c r="R60" s="1148"/>
      <c r="S60" s="1148"/>
      <c r="T60" s="1148"/>
      <c r="U60" s="1148"/>
    </row>
    <row r="61" customFormat="false" ht="15" hidden="false" customHeight="true" outlineLevel="1" collapsed="false">
      <c r="A61" s="2428" t="s">
        <v>1880</v>
      </c>
      <c r="B61" s="2428"/>
      <c r="C61" s="2429" t="s">
        <v>156</v>
      </c>
      <c r="D61" s="2420" t="n">
        <f aca="false">'Ввод данных'!C140</f>
        <v>0</v>
      </c>
      <c r="E61" s="2352" t="n">
        <f aca="false">'Ввод данных'!D140</f>
        <v>0</v>
      </c>
      <c r="F61" s="2421" t="n">
        <f aca="false">D61*E61</f>
        <v>0</v>
      </c>
      <c r="G61" s="2402"/>
      <c r="H61" s="2435"/>
      <c r="I61" s="2402"/>
      <c r="J61" s="2436"/>
      <c r="K61" s="1148"/>
      <c r="L61" s="1148"/>
      <c r="M61" s="1148"/>
      <c r="N61" s="1148"/>
      <c r="O61" s="1148"/>
      <c r="P61" s="1148"/>
      <c r="Q61" s="1148"/>
      <c r="R61" s="1148"/>
      <c r="S61" s="1148"/>
      <c r="T61" s="1148"/>
      <c r="U61" s="1148"/>
    </row>
    <row r="62" customFormat="false" ht="15" hidden="false" customHeight="true" outlineLevel="1" collapsed="false">
      <c r="A62" s="2428"/>
      <c r="B62" s="2428"/>
      <c r="C62" s="2429" t="s">
        <v>156</v>
      </c>
      <c r="D62" s="2420" t="n">
        <f aca="false">'Ввод данных'!C141</f>
        <v>0</v>
      </c>
      <c r="E62" s="2352" t="n">
        <f aca="false">'Ввод данных'!D141</f>
        <v>0</v>
      </c>
      <c r="F62" s="2421" t="n">
        <f aca="false">D62*E62</f>
        <v>0</v>
      </c>
      <c r="G62" s="2402"/>
      <c r="H62" s="2435"/>
      <c r="I62" s="2401"/>
      <c r="J62" s="2436"/>
      <c r="K62" s="1148"/>
      <c r="L62" s="1148"/>
      <c r="M62" s="1148"/>
      <c r="N62" s="1148"/>
      <c r="O62" s="1148"/>
      <c r="P62" s="1148"/>
      <c r="Q62" s="1148"/>
      <c r="R62" s="1148"/>
      <c r="S62" s="1148"/>
      <c r="T62" s="1148"/>
      <c r="U62" s="1148"/>
    </row>
    <row r="63" customFormat="false" ht="15" hidden="false" customHeight="true" outlineLevel="1" collapsed="false">
      <c r="A63" s="2428"/>
      <c r="B63" s="2428"/>
      <c r="C63" s="2429" t="s">
        <v>156</v>
      </c>
      <c r="D63" s="2420" t="n">
        <f aca="false">'Ввод данных'!C142</f>
        <v>0</v>
      </c>
      <c r="E63" s="2352" t="n">
        <f aca="false">'Ввод данных'!D142</f>
        <v>0</v>
      </c>
      <c r="F63" s="2421" t="n">
        <f aca="false">D63*E63</f>
        <v>0</v>
      </c>
      <c r="G63" s="2402"/>
      <c r="H63" s="2435"/>
      <c r="I63" s="2402"/>
      <c r="J63" s="2402"/>
      <c r="K63" s="1148"/>
      <c r="L63" s="1148"/>
      <c r="M63" s="1148"/>
      <c r="N63" s="1148"/>
      <c r="O63" s="1148"/>
      <c r="P63" s="1148"/>
      <c r="Q63" s="1148"/>
      <c r="R63" s="1148"/>
      <c r="S63" s="1148"/>
      <c r="T63" s="1148"/>
      <c r="U63" s="1148"/>
    </row>
    <row r="64" customFormat="false" ht="15" hidden="false" customHeight="true" outlineLevel="1" collapsed="false">
      <c r="A64" s="2428"/>
      <c r="B64" s="2428"/>
      <c r="C64" s="2429" t="s">
        <v>156</v>
      </c>
      <c r="D64" s="2420" t="n">
        <f aca="false">'Ввод данных'!C143</f>
        <v>0</v>
      </c>
      <c r="E64" s="2352" t="n">
        <f aca="false">'Ввод данных'!D143</f>
        <v>0</v>
      </c>
      <c r="F64" s="2421" t="n">
        <f aca="false">D64*E64</f>
        <v>0</v>
      </c>
      <c r="G64" s="2402"/>
      <c r="H64" s="2435"/>
      <c r="I64" s="2402"/>
      <c r="J64" s="2402"/>
      <c r="K64" s="1148"/>
      <c r="L64" s="1148"/>
      <c r="M64" s="1148"/>
      <c r="N64" s="1148"/>
      <c r="O64" s="1148"/>
      <c r="P64" s="1148"/>
      <c r="Q64" s="1148"/>
      <c r="R64" s="1148"/>
      <c r="S64" s="1148"/>
      <c r="T64" s="1148"/>
      <c r="U64" s="1148"/>
    </row>
    <row r="65" customFormat="false" ht="15" hidden="false" customHeight="true" outlineLevel="1" collapsed="false">
      <c r="A65" s="2437" t="s">
        <v>3875</v>
      </c>
      <c r="B65" s="2437"/>
      <c r="C65" s="2421" t="s">
        <v>133</v>
      </c>
      <c r="D65" s="2421" t="n">
        <f aca="false">(E3+E4+E3+E4)*E5+(E3+E4+E3+E4)*E6+(E3/2)*E8*2*E9+(E3+E4+E3+E4)*E11*F11+(E3+E4+E3+E4)*E12*F12+(E3+E4+E3+E4)*E13*F13</f>
        <v>168</v>
      </c>
      <c r="E65" s="2436"/>
      <c r="F65" s="2436"/>
      <c r="G65" s="2402"/>
      <c r="H65" s="2435"/>
      <c r="I65" s="2402"/>
      <c r="J65" s="2402"/>
      <c r="K65" s="1148"/>
      <c r="L65" s="1148"/>
      <c r="M65" s="1148"/>
      <c r="N65" s="1148"/>
      <c r="O65" s="1148"/>
      <c r="P65" s="1148"/>
      <c r="Q65" s="1148"/>
      <c r="R65" s="1148"/>
      <c r="S65" s="1148"/>
      <c r="T65" s="1148"/>
      <c r="U65" s="1148"/>
    </row>
    <row r="66" customFormat="false" ht="15" hidden="false" customHeight="true" outlineLevel="1" collapsed="false">
      <c r="A66" s="2437" t="s">
        <v>3876</v>
      </c>
      <c r="B66" s="2437"/>
      <c r="C66" s="2421" t="s">
        <v>133</v>
      </c>
      <c r="D66" s="2421" t="n">
        <f aca="false">D65-G30-G19</f>
        <v>166.8</v>
      </c>
      <c r="E66" s="2436"/>
      <c r="F66" s="2436"/>
      <c r="G66" s="2402"/>
      <c r="H66" s="2435"/>
      <c r="I66" s="2402"/>
      <c r="J66" s="2402"/>
      <c r="K66" s="1148"/>
      <c r="L66" s="1148"/>
      <c r="M66" s="1148"/>
      <c r="N66" s="1148"/>
      <c r="O66" s="1148"/>
      <c r="P66" s="1148"/>
      <c r="Q66" s="1148"/>
      <c r="R66" s="1148"/>
      <c r="S66" s="1148"/>
      <c r="T66" s="1148"/>
      <c r="U66" s="1148"/>
    </row>
    <row r="67" customFormat="false" ht="15" hidden="false" customHeight="true" outlineLevel="1" collapsed="false">
      <c r="A67" s="2437" t="s">
        <v>2908</v>
      </c>
      <c r="B67" s="2437"/>
      <c r="C67" s="2421" t="s">
        <v>133</v>
      </c>
      <c r="D67" s="2421" t="e">
        <f aca="false">(F33+F34+F35+F36+F41+F42+F43+F44)*E5+(F49+F50+F51+F52)*(E2-1)*E7+(F57+F58+F59+F60)*((E6+E7)/1.7)*(E2-1)</f>
        <v>#VALUE!</v>
      </c>
      <c r="E67" s="2436"/>
      <c r="F67" s="2436"/>
      <c r="G67" s="2402"/>
      <c r="H67" s="2435"/>
      <c r="I67" s="2402"/>
      <c r="J67" s="2402"/>
      <c r="K67" s="1148"/>
      <c r="L67" s="1148"/>
      <c r="M67" s="1148"/>
      <c r="N67" s="1148"/>
      <c r="O67" s="1148"/>
      <c r="P67" s="1148"/>
      <c r="Q67" s="1148"/>
      <c r="R67" s="1148"/>
      <c r="S67" s="1148"/>
      <c r="T67" s="1148"/>
      <c r="U67" s="1148"/>
    </row>
    <row r="68" customFormat="false" ht="15" hidden="false" customHeight="true" outlineLevel="1" collapsed="false">
      <c r="A68" s="2437" t="s">
        <v>2909</v>
      </c>
      <c r="B68" s="2437"/>
      <c r="C68" s="2421" t="s">
        <v>133</v>
      </c>
      <c r="D68" s="2421" t="e">
        <f aca="false">(F37+F38+F39+F40+F45+F46+F47+F48)*E5+(F53+F54+F55+F56)*(E2-1)*E7+(F61+F62+F63+F64)*((E6+E7)/1.7)*(E2-1)</f>
        <v>#VALUE!</v>
      </c>
      <c r="E68" s="2436"/>
      <c r="F68" s="2436"/>
      <c r="G68" s="2402"/>
      <c r="H68" s="2435"/>
      <c r="I68" s="2402"/>
      <c r="J68" s="2402"/>
      <c r="K68" s="1148"/>
      <c r="L68" s="1148"/>
      <c r="M68" s="1148"/>
      <c r="N68" s="1148"/>
      <c r="O68" s="1148"/>
      <c r="P68" s="1148"/>
      <c r="Q68" s="1148"/>
      <c r="R68" s="1148"/>
      <c r="S68" s="1148"/>
      <c r="T68" s="1148"/>
      <c r="U68" s="1148"/>
    </row>
    <row r="69" customFormat="false" ht="15" hidden="false" customHeight="true" outlineLevel="1" collapsed="false">
      <c r="A69" s="2438" t="s">
        <v>2910</v>
      </c>
      <c r="B69" s="2438"/>
      <c r="C69" s="2421" t="s">
        <v>133</v>
      </c>
      <c r="D69" s="2421" t="e">
        <f aca="false">(D68+D67)-G25</f>
        <v>#VALUE!</v>
      </c>
      <c r="E69" s="2436"/>
      <c r="F69" s="2436"/>
      <c r="G69" s="2402"/>
      <c r="H69" s="2435"/>
      <c r="I69" s="2402"/>
      <c r="J69" s="2402"/>
      <c r="K69" s="1148"/>
      <c r="L69" s="1148"/>
      <c r="M69" s="1148"/>
      <c r="N69" s="1148"/>
      <c r="O69" s="1148"/>
      <c r="P69" s="1148"/>
      <c r="Q69" s="1148"/>
      <c r="R69" s="1148"/>
      <c r="S69" s="1148"/>
      <c r="T69" s="1148"/>
      <c r="U69" s="1148"/>
    </row>
    <row r="70" customFormat="false" ht="15" hidden="false" customHeight="true" outlineLevel="1" collapsed="false">
      <c r="A70" s="2437" t="s">
        <v>3877</v>
      </c>
      <c r="B70" s="2437"/>
      <c r="C70" s="366" t="s">
        <v>133</v>
      </c>
      <c r="D70" s="366" t="e">
        <f aca="false">D66+D69</f>
        <v>#VALUE!</v>
      </c>
      <c r="E70" s="357"/>
      <c r="F70" s="357"/>
      <c r="G70" s="356"/>
      <c r="H70" s="2435"/>
      <c r="I70" s="356"/>
      <c r="J70" s="356"/>
      <c r="K70" s="1148"/>
      <c r="L70" s="1148"/>
      <c r="M70" s="1148"/>
      <c r="N70" s="1148"/>
      <c r="O70" s="1148"/>
      <c r="P70" s="1148"/>
      <c r="Q70" s="1148"/>
      <c r="R70" s="1148"/>
      <c r="S70" s="1148"/>
      <c r="T70" s="1148"/>
      <c r="U70" s="1148"/>
    </row>
    <row r="71" customFormat="false" ht="15" hidden="false" customHeight="true" outlineLevel="1" collapsed="false">
      <c r="A71" s="2439" t="s">
        <v>2635</v>
      </c>
      <c r="B71" s="2439"/>
      <c r="C71" s="2439"/>
      <c r="D71" s="2439"/>
      <c r="E71" s="2439"/>
      <c r="F71" s="2416" t="n">
        <f aca="false">дома!J12</f>
        <v>1</v>
      </c>
      <c r="G71" s="2401" t="s">
        <v>3568</v>
      </c>
      <c r="H71" s="2435"/>
      <c r="I71" s="356"/>
      <c r="J71" s="356"/>
      <c r="K71" s="1148"/>
      <c r="L71" s="1148"/>
      <c r="M71" s="1148"/>
      <c r="N71" s="1148"/>
      <c r="O71" s="1148"/>
      <c r="P71" s="1148"/>
      <c r="Q71" s="1148"/>
      <c r="R71" s="1148"/>
      <c r="S71" s="1148"/>
      <c r="T71" s="1148"/>
      <c r="U71" s="1148"/>
    </row>
    <row r="72" customFormat="false" ht="15" hidden="false" customHeight="true" outlineLevel="1" collapsed="false">
      <c r="A72" s="2403" t="s">
        <v>3426</v>
      </c>
      <c r="B72" s="2403"/>
      <c r="C72" s="2440" t="s">
        <v>156</v>
      </c>
      <c r="D72" s="2441" t="n">
        <f aca="false">E3+E3+E4+E4+F33+F34+F35+F36+F41+F42+F43+F44</f>
        <v>56</v>
      </c>
      <c r="E72" s="2401"/>
      <c r="F72" s="2401"/>
      <c r="G72" s="323"/>
      <c r="H72" s="2435"/>
      <c r="I72" s="356"/>
      <c r="J72" s="356"/>
      <c r="K72" s="1148"/>
      <c r="L72" s="1148"/>
      <c r="M72" s="1148"/>
      <c r="N72" s="1148"/>
      <c r="O72" s="1148"/>
      <c r="P72" s="1148"/>
      <c r="Q72" s="1148"/>
      <c r="R72" s="1148"/>
      <c r="S72" s="1148"/>
      <c r="T72" s="1148"/>
      <c r="U72" s="1148"/>
    </row>
    <row r="73" customFormat="false" ht="15" hidden="false" customHeight="true" outlineLevel="1" collapsed="false">
      <c r="A73" s="2403" t="s">
        <v>3427</v>
      </c>
      <c r="B73" s="2403"/>
      <c r="C73" s="301" t="s">
        <v>133</v>
      </c>
      <c r="D73" s="2442" t="e">
        <f aca="false">E3*E4*E2</f>
        <v>#VALUE!</v>
      </c>
      <c r="E73" s="2401"/>
      <c r="F73" s="2401"/>
      <c r="G73" s="323"/>
      <c r="H73" s="2435"/>
      <c r="I73" s="356"/>
      <c r="J73" s="356"/>
      <c r="K73" s="1148"/>
      <c r="L73" s="1148"/>
      <c r="M73" s="1148"/>
      <c r="N73" s="1148"/>
      <c r="O73" s="1148"/>
      <c r="P73" s="1148"/>
      <c r="Q73" s="1148"/>
      <c r="R73" s="1148"/>
      <c r="S73" s="1148"/>
      <c r="T73" s="1148"/>
      <c r="U73" s="1148"/>
    </row>
    <row r="74" customFormat="false" ht="15" hidden="false" customHeight="true" outlineLevel="1" collapsed="false">
      <c r="A74" s="2443"/>
      <c r="B74" s="2443"/>
      <c r="C74" s="2444"/>
      <c r="D74" s="2401"/>
      <c r="E74" s="2401"/>
      <c r="F74" s="2401"/>
      <c r="G74" s="323"/>
      <c r="H74" s="2435"/>
      <c r="I74" s="356"/>
      <c r="J74" s="356"/>
      <c r="K74" s="1148"/>
      <c r="L74" s="1148"/>
      <c r="M74" s="1148"/>
      <c r="N74" s="1148"/>
      <c r="O74" s="1148"/>
      <c r="P74" s="1148"/>
      <c r="Q74" s="1148"/>
      <c r="R74" s="1148"/>
      <c r="S74" s="1148"/>
      <c r="T74" s="1148"/>
      <c r="U74" s="1148"/>
    </row>
    <row r="75" customFormat="false" ht="15" hidden="false" customHeight="true" outlineLevel="1" collapsed="false">
      <c r="A75" s="2445"/>
      <c r="B75" s="2445"/>
      <c r="C75" s="357"/>
      <c r="D75" s="357"/>
      <c r="E75" s="357"/>
      <c r="F75" s="357"/>
      <c r="G75" s="356"/>
      <c r="H75" s="2435"/>
      <c r="I75" s="356"/>
      <c r="J75" s="356"/>
      <c r="K75" s="1148"/>
      <c r="L75" s="1148"/>
      <c r="M75" s="1148"/>
      <c r="N75" s="1148"/>
      <c r="O75" s="1148"/>
      <c r="P75" s="1148"/>
      <c r="Q75" s="1148"/>
      <c r="R75" s="1148"/>
      <c r="S75" s="1148"/>
      <c r="T75" s="1148"/>
      <c r="U75" s="1148"/>
    </row>
    <row r="76" customFormat="false" ht="15" hidden="false" customHeight="true" outlineLevel="1" collapsed="false">
      <c r="A76" s="2446" t="s">
        <v>1925</v>
      </c>
      <c r="B76" s="2446"/>
      <c r="C76" s="2446"/>
      <c r="D76" s="2446"/>
      <c r="E76" s="2446"/>
      <c r="F76" s="2446"/>
      <c r="G76" s="2447" t="str">
        <f aca="false">'Ввод данных'!F237</f>
        <v>Не считать</v>
      </c>
      <c r="H76" s="356" t="s">
        <v>3823</v>
      </c>
      <c r="I76" s="356"/>
      <c r="J76" s="356"/>
      <c r="K76" s="1148"/>
      <c r="L76" s="1148"/>
      <c r="M76" s="1148"/>
      <c r="N76" s="1148"/>
      <c r="O76" s="1148"/>
      <c r="P76" s="1148"/>
      <c r="Q76" s="1148"/>
      <c r="R76" s="1148"/>
      <c r="S76" s="1148"/>
      <c r="T76" s="1148"/>
      <c r="U76" s="1148"/>
    </row>
    <row r="77" customFormat="false" ht="15" hidden="false" customHeight="true" outlineLevel="1" collapsed="false">
      <c r="A77" s="795" t="s">
        <v>2705</v>
      </c>
      <c r="B77" s="795"/>
      <c r="C77" s="795"/>
      <c r="D77" s="2057" t="s">
        <v>156</v>
      </c>
      <c r="E77" s="2057" t="n">
        <f aca="false">E80*4+E79*2</f>
        <v>47.7243575218615</v>
      </c>
      <c r="F77" s="2416"/>
      <c r="G77" s="356"/>
      <c r="H77" s="2430"/>
      <c r="I77" s="356"/>
      <c r="J77" s="356"/>
      <c r="K77" s="1148"/>
      <c r="L77" s="1148"/>
      <c r="M77" s="1148"/>
      <c r="N77" s="1148"/>
      <c r="O77" s="1148"/>
      <c r="P77" s="1148"/>
      <c r="Q77" s="1148"/>
      <c r="R77" s="1148"/>
      <c r="S77" s="1148"/>
      <c r="T77" s="1148"/>
      <c r="U77" s="1148"/>
    </row>
    <row r="78" customFormat="false" ht="15" hidden="false" customHeight="true" outlineLevel="1" collapsed="false">
      <c r="A78" s="2448" t="s">
        <v>3441</v>
      </c>
      <c r="B78" s="2448"/>
      <c r="C78" s="2448"/>
      <c r="D78" s="2448"/>
      <c r="E78" s="369" t="n">
        <f aca="false">E8</f>
        <v>4.8</v>
      </c>
      <c r="F78" s="356"/>
      <c r="G78" s="356"/>
      <c r="H78" s="2430"/>
      <c r="I78" s="356"/>
      <c r="J78" s="356"/>
      <c r="K78" s="1148"/>
      <c r="L78" s="1148"/>
      <c r="M78" s="1148"/>
      <c r="N78" s="1148"/>
      <c r="O78" s="1148"/>
      <c r="P78" s="1148"/>
      <c r="Q78" s="1148"/>
      <c r="R78" s="1148"/>
      <c r="S78" s="1148"/>
      <c r="T78" s="1148"/>
      <c r="U78" s="1148"/>
    </row>
    <row r="79" customFormat="false" ht="15" hidden="false" customHeight="true" outlineLevel="1" collapsed="false">
      <c r="A79" s="261" t="s">
        <v>2743</v>
      </c>
      <c r="B79" s="261"/>
      <c r="C79" s="261"/>
      <c r="D79" s="265" t="s">
        <v>156</v>
      </c>
      <c r="E79" s="265" t="n">
        <f aca="false">E4</f>
        <v>10</v>
      </c>
      <c r="F79" s="468"/>
      <c r="G79" s="356"/>
      <c r="H79" s="2430"/>
      <c r="I79" s="356"/>
      <c r="J79" s="356"/>
      <c r="K79" s="1148"/>
      <c r="L79" s="1148"/>
      <c r="M79" s="1148"/>
      <c r="N79" s="1148"/>
      <c r="O79" s="1148"/>
      <c r="P79" s="1148"/>
      <c r="Q79" s="1148"/>
      <c r="R79" s="1148"/>
      <c r="S79" s="1148"/>
      <c r="T79" s="1148"/>
      <c r="U79" s="1148"/>
    </row>
    <row r="80" customFormat="false" ht="15" hidden="false" customHeight="true" outlineLevel="1" collapsed="false">
      <c r="A80" s="261" t="s">
        <v>2600</v>
      </c>
      <c r="B80" s="261"/>
      <c r="C80" s="261"/>
      <c r="D80" s="265" t="s">
        <v>156</v>
      </c>
      <c r="E80" s="265" t="n">
        <f aca="false">SQRT((E3/2)*(E3/2)+E8*E8)</f>
        <v>6.93108938046538</v>
      </c>
      <c r="F80" s="468"/>
      <c r="G80" s="356"/>
      <c r="H80" s="2430"/>
      <c r="I80" s="356"/>
      <c r="J80" s="356"/>
      <c r="K80" s="1148"/>
      <c r="L80" s="1148"/>
      <c r="M80" s="1148"/>
      <c r="N80" s="1148"/>
      <c r="O80" s="1148"/>
      <c r="P80" s="1148"/>
      <c r="Q80" s="1148"/>
      <c r="R80" s="1148"/>
      <c r="S80" s="1148"/>
      <c r="T80" s="1148"/>
      <c r="U80" s="1148"/>
    </row>
    <row r="81" customFormat="false" ht="15" hidden="false" customHeight="true" outlineLevel="1" collapsed="false">
      <c r="A81" s="261" t="s">
        <v>1927</v>
      </c>
      <c r="B81" s="261"/>
      <c r="C81" s="261"/>
      <c r="D81" s="265" t="s">
        <v>156</v>
      </c>
      <c r="E81" s="2352" t="n">
        <f aca="false">'Ввод данных'!C206</f>
        <v>0.5</v>
      </c>
      <c r="F81" s="2058"/>
      <c r="G81" s="356"/>
      <c r="H81" s="2430"/>
      <c r="I81" s="356"/>
      <c r="J81" s="356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</row>
    <row r="82" customFormat="false" ht="15" hidden="false" customHeight="true" outlineLevel="1" collapsed="false">
      <c r="A82" s="261" t="s">
        <v>1896</v>
      </c>
      <c r="B82" s="261"/>
      <c r="C82" s="261"/>
      <c r="D82" s="265" t="s">
        <v>156</v>
      </c>
      <c r="E82" s="2352" t="n">
        <f aca="false">'Ввод данных'!C208</f>
        <v>0.8</v>
      </c>
      <c r="F82" s="2058"/>
      <c r="G82" s="356"/>
      <c r="H82" s="2430"/>
      <c r="I82" s="356"/>
      <c r="J82" s="356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</row>
    <row r="83" customFormat="false" ht="15" hidden="false" customHeight="true" outlineLevel="1" collapsed="false">
      <c r="A83" s="2449" t="s">
        <v>2765</v>
      </c>
      <c r="B83" s="2449"/>
      <c r="C83" s="2449"/>
      <c r="D83" s="366" t="s">
        <v>156</v>
      </c>
      <c r="E83" s="369" t="n">
        <f aca="false">E80+E82</f>
        <v>7.73108938046538</v>
      </c>
      <c r="F83" s="356"/>
      <c r="G83" s="356"/>
      <c r="H83" s="2430"/>
      <c r="I83" s="356"/>
      <c r="J83" s="356"/>
      <c r="K83" s="1148"/>
      <c r="L83" s="1148"/>
      <c r="M83" s="1148"/>
      <c r="N83" s="1148"/>
      <c r="O83" s="1148"/>
      <c r="P83" s="1148"/>
      <c r="Q83" s="1148"/>
      <c r="R83" s="1148"/>
      <c r="S83" s="1148"/>
      <c r="T83" s="1148"/>
      <c r="U83" s="1148"/>
    </row>
    <row r="84" customFormat="false" ht="15" hidden="false" customHeight="true" outlineLevel="1" collapsed="false">
      <c r="A84" s="2449" t="s">
        <v>2768</v>
      </c>
      <c r="B84" s="2449"/>
      <c r="C84" s="2449"/>
      <c r="D84" s="366" t="s">
        <v>156</v>
      </c>
      <c r="E84" s="369" t="n">
        <f aca="false">E79+E81+E81</f>
        <v>11</v>
      </c>
      <c r="F84" s="356"/>
      <c r="G84" s="356"/>
      <c r="H84" s="2430"/>
      <c r="I84" s="356"/>
      <c r="J84" s="356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</row>
    <row r="85" customFormat="false" ht="15" hidden="false" customHeight="true" outlineLevel="1" collapsed="false">
      <c r="A85" s="261" t="s">
        <v>2773</v>
      </c>
      <c r="B85" s="261"/>
      <c r="C85" s="261"/>
      <c r="D85" s="265" t="s">
        <v>133</v>
      </c>
      <c r="E85" s="265" t="n">
        <f aca="false">E80*E79*2</f>
        <v>138.621787609308</v>
      </c>
      <c r="F85" s="2058"/>
      <c r="G85" s="356"/>
      <c r="H85" s="2430"/>
      <c r="I85" s="356"/>
      <c r="J85" s="356"/>
      <c r="K85" s="1148"/>
      <c r="L85" s="1148"/>
      <c r="M85" s="1148"/>
      <c r="N85" s="1148"/>
      <c r="O85" s="1148"/>
      <c r="P85" s="1148"/>
      <c r="Q85" s="1148"/>
      <c r="R85" s="1148"/>
      <c r="S85" s="1148"/>
      <c r="T85" s="1148"/>
      <c r="U85" s="1148"/>
    </row>
    <row r="86" customFormat="false" ht="15" hidden="false" customHeight="true" outlineLevel="1" collapsed="false">
      <c r="A86" s="261" t="s">
        <v>2766</v>
      </c>
      <c r="B86" s="261"/>
      <c r="C86" s="261"/>
      <c r="D86" s="265" t="s">
        <v>133</v>
      </c>
      <c r="E86" s="265" t="n">
        <f aca="false">(E80*E81)*4+(E79+E81+E81)*E82*2</f>
        <v>31.4621787609308</v>
      </c>
      <c r="F86" s="601"/>
      <c r="G86" s="356"/>
      <c r="H86" s="2430"/>
      <c r="I86" s="356"/>
      <c r="J86" s="356"/>
      <c r="K86" s="1148"/>
      <c r="L86" s="1148"/>
      <c r="M86" s="1148"/>
      <c r="N86" s="1148"/>
      <c r="O86" s="1148"/>
      <c r="P86" s="1148"/>
      <c r="Q86" s="1148"/>
      <c r="R86" s="1148"/>
      <c r="S86" s="1148"/>
      <c r="T86" s="1148"/>
      <c r="U86" s="1148"/>
    </row>
    <row r="87" customFormat="false" ht="15" hidden="false" customHeight="true" outlineLevel="1" collapsed="false">
      <c r="A87" s="261" t="s">
        <v>2781</v>
      </c>
      <c r="B87" s="261"/>
      <c r="C87" s="261"/>
      <c r="D87" s="265" t="s">
        <v>133</v>
      </c>
      <c r="E87" s="265" t="e">
        <f aca="false">(E85+E86)*G76</f>
        <v>#VALUE!</v>
      </c>
      <c r="F87" s="601"/>
      <c r="G87" s="356"/>
      <c r="H87" s="2430"/>
      <c r="I87" s="356"/>
      <c r="J87" s="356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</row>
    <row r="88" customFormat="false" ht="15" hidden="false" customHeight="true" outlineLevel="1" collapsed="false">
      <c r="A88" s="366" t="s">
        <v>2774</v>
      </c>
      <c r="B88" s="366"/>
      <c r="C88" s="366"/>
      <c r="D88" s="366" t="s">
        <v>133</v>
      </c>
      <c r="E88" s="366" t="e">
        <f aca="false">(E87*1.2)*G76</f>
        <v>#VALUE!</v>
      </c>
      <c r="F88" s="356"/>
      <c r="G88" s="356"/>
      <c r="H88" s="2430"/>
      <c r="I88" s="356"/>
      <c r="J88" s="356"/>
      <c r="K88" s="1148"/>
      <c r="L88" s="1148"/>
      <c r="M88" s="1148"/>
      <c r="N88" s="1148"/>
      <c r="O88" s="1148"/>
      <c r="P88" s="1148"/>
      <c r="Q88" s="1148"/>
      <c r="R88" s="1148"/>
      <c r="S88" s="1148"/>
      <c r="T88" s="1148"/>
      <c r="U88" s="1148"/>
    </row>
    <row r="89" customFormat="false" ht="15" hidden="false" customHeight="true" outlineLevel="1" collapsed="false">
      <c r="A89" s="2450" t="s">
        <v>2628</v>
      </c>
      <c r="B89" s="2451"/>
      <c r="C89" s="2452"/>
      <c r="D89" s="366" t="s">
        <v>1820</v>
      </c>
      <c r="E89" s="366"/>
      <c r="F89" s="2416"/>
      <c r="G89" s="356"/>
      <c r="H89" s="2430"/>
      <c r="I89" s="356"/>
      <c r="J89" s="356"/>
      <c r="K89" s="1148"/>
      <c r="L89" s="1148"/>
      <c r="M89" s="1148"/>
      <c r="N89" s="1148"/>
      <c r="O89" s="1148"/>
      <c r="P89" s="1148"/>
      <c r="Q89" s="1148"/>
      <c r="R89" s="1148"/>
      <c r="S89" s="1148"/>
      <c r="T89" s="1148"/>
      <c r="U89" s="1148"/>
    </row>
    <row r="90" customFormat="false" ht="15" hidden="false" customHeight="true" outlineLevel="1" collapsed="false">
      <c r="A90" s="1021" t="s">
        <v>3518</v>
      </c>
      <c r="B90" s="2059"/>
      <c r="C90" s="2060"/>
      <c r="D90" s="265" t="s">
        <v>156</v>
      </c>
      <c r="E90" s="265" t="n">
        <v>0.15</v>
      </c>
      <c r="F90" s="2416"/>
      <c r="G90" s="356"/>
      <c r="H90" s="2430"/>
      <c r="I90" s="356"/>
      <c r="J90" s="356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</row>
    <row r="91" customFormat="false" ht="15" hidden="false" customHeight="true" outlineLevel="1" collapsed="false">
      <c r="A91" s="1016"/>
      <c r="B91" s="2061"/>
      <c r="C91" s="2062"/>
      <c r="D91" s="265" t="s">
        <v>156</v>
      </c>
      <c r="E91" s="265" t="n">
        <v>0.2</v>
      </c>
      <c r="F91" s="2416"/>
      <c r="G91" s="356"/>
      <c r="H91" s="2430"/>
      <c r="I91" s="356"/>
      <c r="J91" s="356"/>
      <c r="K91" s="1148"/>
      <c r="L91" s="1148"/>
      <c r="M91" s="1148"/>
      <c r="N91" s="1148"/>
      <c r="O91" s="1148"/>
      <c r="P91" s="1148"/>
      <c r="Q91" s="1148"/>
      <c r="R91" s="1148"/>
      <c r="S91" s="1148"/>
      <c r="T91" s="1148"/>
      <c r="U91" s="1148"/>
    </row>
    <row r="92" customFormat="false" ht="15" hidden="false" customHeight="true" outlineLevel="1" collapsed="false">
      <c r="A92" s="1021" t="s">
        <v>2632</v>
      </c>
      <c r="B92" s="2059"/>
      <c r="C92" s="2060"/>
      <c r="D92" s="265" t="s">
        <v>156</v>
      </c>
      <c r="E92" s="265" t="n">
        <v>0.15</v>
      </c>
      <c r="F92" s="2416"/>
      <c r="G92" s="356"/>
      <c r="H92" s="2430"/>
      <c r="I92" s="356"/>
      <c r="J92" s="356"/>
      <c r="K92" s="1148"/>
      <c r="L92" s="1148"/>
      <c r="M92" s="1148"/>
      <c r="N92" s="1148"/>
      <c r="O92" s="1148"/>
      <c r="P92" s="1148"/>
      <c r="Q92" s="1148"/>
      <c r="R92" s="1148"/>
      <c r="S92" s="1148"/>
      <c r="T92" s="1148"/>
      <c r="U92" s="1148"/>
    </row>
    <row r="93" customFormat="false" ht="15" hidden="false" customHeight="true" outlineLevel="1" collapsed="false">
      <c r="A93" s="1016"/>
      <c r="B93" s="2061"/>
      <c r="C93" s="2062"/>
      <c r="D93" s="265" t="s">
        <v>156</v>
      </c>
      <c r="E93" s="265" t="n">
        <v>0.2</v>
      </c>
      <c r="F93" s="2416"/>
      <c r="G93" s="356"/>
      <c r="H93" s="2430"/>
      <c r="I93" s="356"/>
      <c r="J93" s="356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</row>
    <row r="94" customFormat="false" ht="15" hidden="false" customHeight="true" outlineLevel="1" collapsed="false">
      <c r="A94" s="356"/>
      <c r="B94" s="356"/>
      <c r="C94" s="356"/>
      <c r="D94" s="356"/>
      <c r="E94" s="356"/>
      <c r="F94" s="356"/>
      <c r="G94" s="356"/>
      <c r="H94" s="2430"/>
      <c r="I94" s="356"/>
      <c r="J94" s="356"/>
      <c r="K94" s="1148"/>
      <c r="L94" s="1148"/>
      <c r="M94" s="1148"/>
      <c r="N94" s="1148"/>
      <c r="O94" s="1148"/>
      <c r="P94" s="1148"/>
      <c r="Q94" s="1148"/>
      <c r="R94" s="1148"/>
      <c r="S94" s="1148"/>
      <c r="T94" s="1148"/>
      <c r="U94" s="1148"/>
    </row>
    <row r="95" customFormat="false" ht="15" hidden="false" customHeight="true" outlineLevel="1" collapsed="false">
      <c r="A95" s="356"/>
      <c r="B95" s="356"/>
      <c r="C95" s="356"/>
      <c r="D95" s="356"/>
      <c r="E95" s="356"/>
      <c r="F95" s="356"/>
      <c r="G95" s="356"/>
      <c r="H95" s="2430"/>
      <c r="I95" s="356"/>
      <c r="J95" s="356"/>
      <c r="K95" s="1148"/>
      <c r="L95" s="1148"/>
      <c r="M95" s="1148"/>
      <c r="N95" s="1148"/>
      <c r="O95" s="1148"/>
      <c r="P95" s="1148"/>
      <c r="Q95" s="1148"/>
      <c r="R95" s="1148"/>
      <c r="S95" s="1148"/>
      <c r="T95" s="1148"/>
      <c r="U95" s="1148"/>
    </row>
    <row r="96" customFormat="false" ht="15" hidden="false" customHeight="true" outlineLevel="1" collapsed="false">
      <c r="A96" s="2446" t="s">
        <v>1942</v>
      </c>
      <c r="B96" s="2446"/>
      <c r="C96" s="2446"/>
      <c r="D96" s="2446"/>
      <c r="E96" s="2446"/>
      <c r="F96" s="2446"/>
      <c r="G96" s="2447" t="str">
        <f aca="false">'Ввод данных'!F273</f>
        <v>Не считать</v>
      </c>
      <c r="H96" s="356" t="s">
        <v>3878</v>
      </c>
      <c r="I96" s="356"/>
      <c r="J96" s="356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</row>
    <row r="97" customFormat="false" ht="15" hidden="false" customHeight="true" outlineLevel="1" collapsed="false">
      <c r="A97" s="795" t="s">
        <v>2705</v>
      </c>
      <c r="B97" s="795"/>
      <c r="C97" s="795"/>
      <c r="D97" s="1185" t="s">
        <v>156</v>
      </c>
      <c r="E97" s="509" t="n">
        <f aca="false">E3+E4+E3+E4</f>
        <v>40</v>
      </c>
      <c r="F97" s="2064"/>
      <c r="G97" s="2453"/>
      <c r="H97" s="2430"/>
      <c r="I97" s="356"/>
      <c r="J97" s="356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</row>
    <row r="98" customFormat="false" ht="15" hidden="false" customHeight="true" outlineLevel="1" collapsed="false">
      <c r="A98" s="2449" t="s">
        <v>2739</v>
      </c>
      <c r="B98" s="2449"/>
      <c r="C98" s="2449"/>
      <c r="D98" s="443" t="s">
        <v>156</v>
      </c>
      <c r="E98" s="2454" t="n">
        <f aca="false">E4</f>
        <v>10</v>
      </c>
      <c r="F98" s="356"/>
      <c r="G98" s="356"/>
      <c r="H98" s="2455"/>
      <c r="I98" s="356"/>
      <c r="J98" s="356"/>
      <c r="K98" s="1148"/>
      <c r="L98" s="1148"/>
      <c r="M98" s="1148"/>
      <c r="N98" s="1148"/>
      <c r="O98" s="1148"/>
      <c r="P98" s="1148"/>
      <c r="Q98" s="1148"/>
      <c r="R98" s="1148"/>
      <c r="S98" s="1148"/>
      <c r="T98" s="1148"/>
      <c r="U98" s="1148"/>
    </row>
    <row r="99" customFormat="false" ht="15" hidden="false" customHeight="true" outlineLevel="1" collapsed="false">
      <c r="A99" s="2449" t="s">
        <v>2744</v>
      </c>
      <c r="B99" s="2449"/>
      <c r="C99" s="2449"/>
      <c r="D99" s="443" t="s">
        <v>156</v>
      </c>
      <c r="E99" s="2454" t="n">
        <f aca="false">E3</f>
        <v>10</v>
      </c>
      <c r="F99" s="2456"/>
      <c r="G99" s="2456"/>
      <c r="H99" s="2455"/>
      <c r="I99" s="356"/>
      <c r="J99" s="356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</row>
    <row r="100" customFormat="false" ht="15" hidden="false" customHeight="true" outlineLevel="1" collapsed="false">
      <c r="A100" s="2448" t="s">
        <v>3441</v>
      </c>
      <c r="B100" s="2448"/>
      <c r="C100" s="2448"/>
      <c r="D100" s="2448"/>
      <c r="E100" s="2454" t="n">
        <f aca="false">E8</f>
        <v>4.8</v>
      </c>
      <c r="F100" s="2456"/>
      <c r="G100" s="2456"/>
      <c r="H100" s="2455"/>
      <c r="I100" s="356"/>
      <c r="J100" s="356"/>
      <c r="K100" s="1148"/>
      <c r="L100" s="1148"/>
      <c r="M100" s="1148"/>
      <c r="N100" s="1148"/>
      <c r="O100" s="1148"/>
      <c r="P100" s="1148"/>
      <c r="Q100" s="1148"/>
      <c r="R100" s="1148"/>
      <c r="S100" s="1148"/>
      <c r="T100" s="1148"/>
      <c r="U100" s="1148"/>
    </row>
    <row r="101" customFormat="false" ht="15" hidden="false" customHeight="true" outlineLevel="1" collapsed="false">
      <c r="A101" s="261" t="s">
        <v>1943</v>
      </c>
      <c r="B101" s="261"/>
      <c r="C101" s="261"/>
      <c r="D101" s="263" t="s">
        <v>156</v>
      </c>
      <c r="E101" s="2352" t="n">
        <f aca="false">'Ввод данных'!C248</f>
        <v>5</v>
      </c>
      <c r="F101" s="468"/>
      <c r="G101" s="468"/>
      <c r="H101" s="2455"/>
      <c r="I101" s="356"/>
      <c r="J101" s="356"/>
      <c r="K101" s="1148"/>
      <c r="L101" s="1148"/>
      <c r="M101" s="1148"/>
      <c r="N101" s="1148"/>
      <c r="O101" s="1148"/>
      <c r="P101" s="1148"/>
      <c r="Q101" s="1148"/>
      <c r="R101" s="1148"/>
      <c r="S101" s="1148"/>
      <c r="T101" s="1148"/>
      <c r="U101" s="1148"/>
    </row>
    <row r="102" customFormat="false" ht="15" hidden="false" customHeight="true" outlineLevel="1" collapsed="false">
      <c r="A102" s="261" t="s">
        <v>2752</v>
      </c>
      <c r="B102" s="261"/>
      <c r="C102" s="261"/>
      <c r="D102" s="263" t="s">
        <v>156</v>
      </c>
      <c r="E102" s="471" t="n">
        <f aca="false">SQRT(E100*E100+((E99/2)+E104)*((E99/2)+E104))</f>
        <v>7.3</v>
      </c>
      <c r="F102" s="468"/>
      <c r="G102" s="468"/>
      <c r="H102" s="2455"/>
      <c r="I102" s="356"/>
      <c r="J102" s="356"/>
      <c r="K102" s="1148"/>
      <c r="L102" s="1148"/>
      <c r="M102" s="1148"/>
      <c r="N102" s="1148"/>
      <c r="O102" s="1148"/>
      <c r="P102" s="1148"/>
      <c r="Q102" s="1148"/>
      <c r="R102" s="1148"/>
      <c r="S102" s="1148"/>
      <c r="T102" s="1148"/>
      <c r="U102" s="1148"/>
    </row>
    <row r="103" customFormat="false" ht="15" hidden="false" customHeight="true" outlineLevel="1" collapsed="false">
      <c r="A103" s="261" t="s">
        <v>2755</v>
      </c>
      <c r="B103" s="261"/>
      <c r="C103" s="261"/>
      <c r="D103" s="263" t="s">
        <v>156</v>
      </c>
      <c r="E103" s="471" t="n">
        <f aca="false">SQRT(E100*E100+((E98-E101)/2)*((E98-E101)/2))</f>
        <v>5.41202365109392</v>
      </c>
      <c r="F103" s="2457"/>
      <c r="G103" s="2458"/>
      <c r="H103" s="2455"/>
      <c r="I103" s="356"/>
      <c r="J103" s="356"/>
      <c r="K103" s="1148"/>
      <c r="L103" s="1148"/>
      <c r="M103" s="1148"/>
      <c r="N103" s="1148"/>
      <c r="O103" s="1148"/>
      <c r="P103" s="1148"/>
      <c r="Q103" s="1148"/>
      <c r="R103" s="1148"/>
      <c r="S103" s="1148"/>
      <c r="T103" s="1148"/>
      <c r="U103" s="1148"/>
    </row>
    <row r="104" customFormat="false" ht="15" hidden="false" customHeight="true" outlineLevel="1" collapsed="false">
      <c r="A104" s="261" t="s">
        <v>1927</v>
      </c>
      <c r="B104" s="261"/>
      <c r="C104" s="261"/>
      <c r="D104" s="263" t="s">
        <v>156</v>
      </c>
      <c r="E104" s="2352" t="n">
        <f aca="false">'Ввод данных'!C249</f>
        <v>0.5</v>
      </c>
      <c r="F104" s="2457"/>
      <c r="G104" s="2458"/>
      <c r="H104" s="2455"/>
      <c r="I104" s="356"/>
      <c r="J104" s="356"/>
      <c r="K104" s="1148"/>
      <c r="L104" s="1148"/>
      <c r="M104" s="1148"/>
      <c r="N104" s="1148"/>
      <c r="O104" s="1148"/>
      <c r="P104" s="1148"/>
      <c r="Q104" s="1148"/>
      <c r="R104" s="1148"/>
      <c r="S104" s="1148"/>
      <c r="T104" s="1148"/>
      <c r="U104" s="1148"/>
    </row>
    <row r="105" customFormat="false" ht="15" hidden="false" customHeight="true" outlineLevel="1" collapsed="false">
      <c r="A105" s="261" t="s">
        <v>1896</v>
      </c>
      <c r="B105" s="261"/>
      <c r="C105" s="261"/>
      <c r="D105" s="263" t="s">
        <v>156</v>
      </c>
      <c r="E105" s="2352" t="n">
        <f aca="false">'Ввод данных'!C250</f>
        <v>0.5</v>
      </c>
      <c r="F105" s="2457"/>
      <c r="G105" s="2458"/>
      <c r="H105" s="2455"/>
      <c r="I105" s="356"/>
      <c r="J105" s="356"/>
      <c r="K105" s="1148"/>
      <c r="L105" s="1148"/>
      <c r="M105" s="1148"/>
      <c r="N105" s="1148"/>
      <c r="O105" s="1148"/>
      <c r="P105" s="1148"/>
      <c r="Q105" s="1148"/>
      <c r="R105" s="1148"/>
      <c r="S105" s="1148"/>
      <c r="T105" s="1148"/>
      <c r="U105" s="1148"/>
    </row>
    <row r="106" customFormat="false" ht="15" hidden="false" customHeight="true" outlineLevel="1" collapsed="false">
      <c r="A106" s="2449" t="s">
        <v>2757</v>
      </c>
      <c r="B106" s="2449"/>
      <c r="C106" s="2449"/>
      <c r="D106" s="443" t="s">
        <v>156</v>
      </c>
      <c r="E106" s="2454" t="n">
        <f aca="false">SQRT(G103*G103+((E99/2)+E104)*((E99/2)+E104))</f>
        <v>5.5</v>
      </c>
      <c r="F106" s="2456"/>
      <c r="G106" s="2456"/>
      <c r="H106" s="2455"/>
      <c r="I106" s="356"/>
      <c r="J106" s="356"/>
      <c r="K106" s="1148"/>
      <c r="L106" s="1148"/>
      <c r="M106" s="1148"/>
      <c r="N106" s="1148"/>
      <c r="O106" s="1148"/>
      <c r="P106" s="1148"/>
      <c r="Q106" s="1148"/>
      <c r="R106" s="1148"/>
      <c r="S106" s="1148"/>
      <c r="T106" s="1148"/>
      <c r="U106" s="1148"/>
    </row>
    <row r="107" customFormat="false" ht="15" hidden="false" customHeight="true" outlineLevel="1" collapsed="false">
      <c r="A107" s="261" t="s">
        <v>2766</v>
      </c>
      <c r="B107" s="261"/>
      <c r="C107" s="261"/>
      <c r="D107" s="263" t="s">
        <v>133</v>
      </c>
      <c r="E107" s="471" t="n">
        <f aca="false">(E99+E104+E104)*E105*2+E98*2*E104</f>
        <v>21</v>
      </c>
      <c r="F107" s="601"/>
      <c r="G107" s="2458"/>
      <c r="H107" s="2455"/>
      <c r="I107" s="356"/>
      <c r="J107" s="356"/>
      <c r="K107" s="1148"/>
      <c r="L107" s="1148"/>
      <c r="M107" s="1148"/>
      <c r="N107" s="1148"/>
      <c r="O107" s="1148"/>
      <c r="P107" s="1148"/>
      <c r="Q107" s="1148"/>
      <c r="R107" s="1148"/>
      <c r="S107" s="1148"/>
      <c r="T107" s="1148"/>
      <c r="U107" s="1148"/>
    </row>
    <row r="108" customFormat="false" ht="15" hidden="false" customHeight="true" outlineLevel="1" collapsed="false">
      <c r="A108" s="261" t="s">
        <v>2769</v>
      </c>
      <c r="B108" s="261"/>
      <c r="C108" s="261"/>
      <c r="D108" s="443" t="s">
        <v>133</v>
      </c>
      <c r="E108" s="2454" t="n">
        <f aca="false">((E99/2)+E104)*E103*2+((E98+E105+E105-E101)/2)*((E98+E105+E105-E101)/2)*4+E101*E102*2</f>
        <v>168.532260162033</v>
      </c>
      <c r="F108" s="356"/>
      <c r="G108" s="356"/>
      <c r="H108" s="2455"/>
      <c r="I108" s="356"/>
      <c r="J108" s="356"/>
      <c r="K108" s="1148"/>
      <c r="L108" s="1148"/>
      <c r="M108" s="1148"/>
      <c r="N108" s="1148"/>
      <c r="O108" s="1148"/>
      <c r="P108" s="1148"/>
      <c r="Q108" s="1148"/>
      <c r="R108" s="1148"/>
      <c r="S108" s="1148"/>
      <c r="T108" s="1148"/>
      <c r="U108" s="1148"/>
    </row>
    <row r="109" customFormat="false" ht="15" hidden="false" customHeight="true" outlineLevel="1" collapsed="false">
      <c r="A109" s="261" t="s">
        <v>2774</v>
      </c>
      <c r="B109" s="261"/>
      <c r="C109" s="261"/>
      <c r="D109" s="263" t="s">
        <v>133</v>
      </c>
      <c r="E109" s="471" t="n">
        <f aca="false">E108*1.5</f>
        <v>252.79839024305</v>
      </c>
      <c r="F109" s="2416"/>
      <c r="G109" s="2458"/>
      <c r="H109" s="2455"/>
      <c r="I109" s="356"/>
      <c r="J109" s="356"/>
      <c r="K109" s="1148"/>
      <c r="L109" s="1148"/>
      <c r="M109" s="1148"/>
      <c r="N109" s="1148"/>
      <c r="O109" s="1148"/>
      <c r="P109" s="1148"/>
      <c r="Q109" s="1148"/>
      <c r="R109" s="1148"/>
      <c r="S109" s="1148"/>
      <c r="T109" s="1148"/>
      <c r="U109" s="1148"/>
    </row>
    <row r="110" customFormat="false" ht="15" hidden="false" customHeight="true" outlineLevel="1" collapsed="false">
      <c r="A110" s="2449" t="s">
        <v>2628</v>
      </c>
      <c r="B110" s="2449"/>
      <c r="C110" s="2449"/>
      <c r="D110" s="2449" t="s">
        <v>1820</v>
      </c>
      <c r="E110" s="2454"/>
      <c r="F110" s="2416"/>
      <c r="G110" s="2458"/>
      <c r="H110" s="2455"/>
      <c r="I110" s="356"/>
      <c r="J110" s="356"/>
      <c r="K110" s="1148"/>
      <c r="L110" s="1148"/>
      <c r="M110" s="1148"/>
      <c r="N110" s="1148"/>
      <c r="O110" s="1148"/>
      <c r="P110" s="1148"/>
      <c r="Q110" s="1148"/>
      <c r="R110" s="1148"/>
      <c r="S110" s="1148"/>
      <c r="T110" s="1148"/>
      <c r="U110" s="1148"/>
    </row>
    <row r="111" customFormat="false" ht="15" hidden="false" customHeight="true" outlineLevel="1" collapsed="false">
      <c r="A111" s="263" t="s">
        <v>3518</v>
      </c>
      <c r="B111" s="263"/>
      <c r="C111" s="263"/>
      <c r="D111" s="265" t="s">
        <v>156</v>
      </c>
      <c r="E111" s="265" t="n">
        <v>0.15</v>
      </c>
      <c r="F111" s="2416"/>
      <c r="G111" s="2458"/>
      <c r="H111" s="2455"/>
      <c r="I111" s="356"/>
      <c r="J111" s="356"/>
      <c r="K111" s="1148"/>
      <c r="L111" s="1148"/>
      <c r="M111" s="1148"/>
      <c r="N111" s="1148"/>
      <c r="O111" s="1148"/>
      <c r="P111" s="1148"/>
      <c r="Q111" s="1148"/>
      <c r="R111" s="1148"/>
      <c r="S111" s="1148"/>
      <c r="T111" s="1148"/>
      <c r="U111" s="1148"/>
    </row>
    <row r="112" customFormat="false" ht="15" hidden="false" customHeight="true" outlineLevel="1" collapsed="false">
      <c r="A112" s="263"/>
      <c r="B112" s="263"/>
      <c r="C112" s="263"/>
      <c r="D112" s="265" t="s">
        <v>156</v>
      </c>
      <c r="E112" s="265" t="n">
        <v>0.2</v>
      </c>
      <c r="F112" s="2416"/>
      <c r="G112" s="2458"/>
      <c r="H112" s="2455"/>
      <c r="I112" s="356"/>
      <c r="J112" s="356"/>
      <c r="K112" s="1148"/>
      <c r="L112" s="1148"/>
      <c r="M112" s="1148"/>
      <c r="N112" s="1148"/>
      <c r="O112" s="1148"/>
      <c r="P112" s="1148"/>
      <c r="Q112" s="1148"/>
      <c r="R112" s="1148"/>
      <c r="S112" s="1148"/>
      <c r="T112" s="1148"/>
      <c r="U112" s="1148"/>
    </row>
    <row r="113" customFormat="false" ht="15" hidden="false" customHeight="true" outlineLevel="1" collapsed="false">
      <c r="A113" s="263" t="s">
        <v>2632</v>
      </c>
      <c r="B113" s="263"/>
      <c r="C113" s="263"/>
      <c r="D113" s="265" t="s">
        <v>156</v>
      </c>
      <c r="E113" s="265" t="n">
        <v>0.15</v>
      </c>
      <c r="F113" s="2416"/>
      <c r="G113" s="2458"/>
      <c r="H113" s="2430"/>
      <c r="I113" s="356"/>
      <c r="J113" s="356"/>
      <c r="K113" s="1148"/>
      <c r="L113" s="1148"/>
      <c r="M113" s="1148"/>
      <c r="N113" s="1148"/>
      <c r="O113" s="1148"/>
      <c r="P113" s="1148"/>
      <c r="Q113" s="1148"/>
      <c r="R113" s="1148"/>
      <c r="S113" s="1148"/>
      <c r="T113" s="1148"/>
      <c r="U113" s="1148"/>
    </row>
    <row r="114" customFormat="false" ht="15" hidden="false" customHeight="true" outlineLevel="1" collapsed="false">
      <c r="A114" s="263"/>
      <c r="B114" s="263"/>
      <c r="C114" s="263"/>
      <c r="D114" s="265" t="s">
        <v>156</v>
      </c>
      <c r="E114" s="265" t="n">
        <v>0.2</v>
      </c>
      <c r="F114" s="2416"/>
      <c r="G114" s="2458"/>
      <c r="H114" s="2430"/>
      <c r="I114" s="356"/>
      <c r="J114" s="356"/>
      <c r="K114" s="1148"/>
      <c r="L114" s="1148"/>
      <c r="M114" s="1148"/>
      <c r="N114" s="1148"/>
      <c r="O114" s="1148"/>
      <c r="P114" s="1148"/>
      <c r="Q114" s="1148"/>
      <c r="R114" s="1148"/>
      <c r="S114" s="1148"/>
      <c r="T114" s="1148"/>
      <c r="U114" s="1148"/>
    </row>
    <row r="115" customFormat="false" ht="15" hidden="false" customHeight="true" outlineLevel="1" collapsed="false">
      <c r="A115" s="477"/>
      <c r="B115" s="477"/>
      <c r="C115" s="477"/>
      <c r="D115" s="479"/>
      <c r="E115" s="479"/>
      <c r="F115" s="601"/>
      <c r="G115" s="2458"/>
      <c r="H115" s="2430"/>
      <c r="I115" s="356"/>
      <c r="J115" s="356"/>
      <c r="K115" s="1148"/>
      <c r="L115" s="1148"/>
      <c r="M115" s="1148"/>
      <c r="N115" s="1148"/>
      <c r="O115" s="1148"/>
      <c r="P115" s="1148"/>
      <c r="Q115" s="1148"/>
      <c r="R115" s="1148"/>
      <c r="S115" s="1148"/>
      <c r="T115" s="1148"/>
      <c r="U115" s="1148"/>
    </row>
    <row r="116" customFormat="false" ht="15" hidden="false" customHeight="true" outlineLevel="1" collapsed="false">
      <c r="A116" s="477"/>
      <c r="B116" s="477"/>
      <c r="C116" s="477"/>
      <c r="D116" s="479"/>
      <c r="E116" s="479"/>
      <c r="F116" s="601"/>
      <c r="G116" s="2458"/>
      <c r="H116" s="2430"/>
      <c r="I116" s="356"/>
      <c r="J116" s="356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</row>
    <row r="117" customFormat="false" ht="15" hidden="false" customHeight="true" outlineLevel="1" collapsed="false">
      <c r="A117" s="356"/>
      <c r="B117" s="356"/>
      <c r="C117" s="356"/>
      <c r="D117" s="356"/>
      <c r="E117" s="356"/>
      <c r="F117" s="356"/>
      <c r="G117" s="2458"/>
      <c r="H117" s="2430"/>
      <c r="I117" s="356"/>
      <c r="J117" s="356"/>
      <c r="K117" s="1148"/>
      <c r="L117" s="1148"/>
      <c r="M117" s="1148"/>
      <c r="N117" s="1148"/>
      <c r="O117" s="1148"/>
      <c r="P117" s="1148"/>
      <c r="Q117" s="1148"/>
      <c r="R117" s="1148"/>
      <c r="S117" s="1148"/>
      <c r="T117" s="1148"/>
      <c r="U117" s="1148"/>
    </row>
    <row r="118" customFormat="false" ht="15" hidden="false" customHeight="true" outlineLevel="1" collapsed="false">
      <c r="A118" s="479"/>
      <c r="B118" s="479"/>
      <c r="C118" s="905"/>
      <c r="D118" s="2310"/>
      <c r="E118" s="2310"/>
      <c r="F118" s="357"/>
      <c r="G118" s="356"/>
      <c r="H118" s="2455"/>
      <c r="I118" s="356"/>
      <c r="J118" s="356"/>
      <c r="K118" s="1148"/>
      <c r="L118" s="1148"/>
      <c r="M118" s="1148"/>
      <c r="N118" s="1148"/>
      <c r="O118" s="1148"/>
      <c r="P118" s="1148"/>
      <c r="Q118" s="1148"/>
      <c r="R118" s="1148"/>
      <c r="S118" s="1148"/>
      <c r="T118" s="1148"/>
      <c r="U118" s="1148"/>
    </row>
    <row r="119" customFormat="false" ht="15" hidden="false" customHeight="true" outlineLevel="1" collapsed="false">
      <c r="A119" s="2446" t="s">
        <v>1965</v>
      </c>
      <c r="B119" s="2446"/>
      <c r="C119" s="2446"/>
      <c r="D119" s="2446"/>
      <c r="E119" s="2446"/>
      <c r="F119" s="2446"/>
      <c r="G119" s="2447" t="str">
        <f aca="false">'Ввод данных'!F353</f>
        <v>Не считать</v>
      </c>
      <c r="H119" s="356" t="s">
        <v>3879</v>
      </c>
      <c r="I119" s="356"/>
      <c r="J119" s="356"/>
      <c r="K119" s="1148"/>
      <c r="L119" s="1148"/>
      <c r="M119" s="1148"/>
      <c r="N119" s="1148"/>
      <c r="O119" s="1148"/>
      <c r="P119" s="1148"/>
      <c r="Q119" s="1148"/>
      <c r="R119" s="1148"/>
      <c r="S119" s="1148"/>
      <c r="T119" s="1148"/>
      <c r="U119" s="1148"/>
    </row>
    <row r="120" customFormat="false" ht="15" hidden="false" customHeight="true" outlineLevel="1" collapsed="false">
      <c r="A120" s="2446" t="s">
        <v>1236</v>
      </c>
      <c r="B120" s="2446"/>
      <c r="C120" s="2446"/>
      <c r="D120" s="2446" t="s">
        <v>120</v>
      </c>
      <c r="E120" s="2446" t="s">
        <v>1802</v>
      </c>
      <c r="F120" s="2446"/>
      <c r="G120" s="357"/>
      <c r="H120" s="356"/>
      <c r="I120" s="356"/>
      <c r="J120" s="356"/>
      <c r="K120" s="1148"/>
      <c r="L120" s="1148"/>
      <c r="M120" s="1148"/>
      <c r="N120" s="1148"/>
      <c r="O120" s="1148"/>
      <c r="P120" s="1148"/>
      <c r="Q120" s="1148"/>
      <c r="R120" s="1148"/>
      <c r="S120" s="1148"/>
      <c r="T120" s="1148"/>
      <c r="U120" s="1148"/>
    </row>
    <row r="121" customFormat="false" ht="15" hidden="false" customHeight="true" outlineLevel="1" collapsed="false">
      <c r="A121" s="2449" t="s">
        <v>2902</v>
      </c>
      <c r="B121" s="2449"/>
      <c r="C121" s="2449"/>
      <c r="D121" s="443" t="s">
        <v>159</v>
      </c>
      <c r="E121" s="366" t="n">
        <v>1</v>
      </c>
      <c r="F121" s="2416" t="e">
        <f aca="false">'ввод данных'!#ref!</f>
        <v>#VALUE!</v>
      </c>
      <c r="G121" s="356"/>
      <c r="H121" s="356"/>
      <c r="I121" s="356"/>
      <c r="J121" s="356"/>
      <c r="K121" s="1148"/>
      <c r="L121" s="1148"/>
      <c r="M121" s="1148"/>
      <c r="N121" s="1148"/>
      <c r="O121" s="1148"/>
      <c r="P121" s="1148"/>
      <c r="Q121" s="1148"/>
      <c r="R121" s="1148"/>
      <c r="S121" s="1148"/>
      <c r="T121" s="1148"/>
      <c r="U121" s="1148"/>
    </row>
    <row r="122" customFormat="false" ht="15" hidden="false" customHeight="true" outlineLevel="1" collapsed="false">
      <c r="A122" s="795" t="s">
        <v>2903</v>
      </c>
      <c r="B122" s="795"/>
      <c r="C122" s="795"/>
      <c r="D122" s="1185" t="s">
        <v>159</v>
      </c>
      <c r="E122" s="2459" t="n">
        <v>1</v>
      </c>
      <c r="F122" s="2416" t="e">
        <f aca="false">'ввод данных'!#ref!</f>
        <v>#VALUE!</v>
      </c>
      <c r="G122" s="2453"/>
      <c r="H122" s="2430"/>
      <c r="I122" s="356"/>
      <c r="J122" s="356"/>
      <c r="K122" s="1148"/>
      <c r="L122" s="1148"/>
      <c r="M122" s="1148"/>
      <c r="N122" s="1148"/>
      <c r="O122" s="1148"/>
      <c r="P122" s="1148"/>
      <c r="Q122" s="1148"/>
      <c r="R122" s="1148"/>
      <c r="S122" s="1148"/>
      <c r="T122" s="1148"/>
      <c r="U122" s="1148"/>
    </row>
    <row r="123" customFormat="false" ht="15" hidden="false" customHeight="true" outlineLevel="1" collapsed="false">
      <c r="A123" s="2449" t="s">
        <v>1978</v>
      </c>
      <c r="B123" s="2449"/>
      <c r="C123" s="2449"/>
      <c r="D123" s="443" t="s">
        <v>156</v>
      </c>
      <c r="E123" s="2352" t="n">
        <f aca="false">'Ввод данных'!C331</f>
        <v>1</v>
      </c>
      <c r="F123" s="356"/>
      <c r="G123" s="356"/>
      <c r="H123" s="2455"/>
      <c r="I123" s="356"/>
      <c r="J123" s="356"/>
      <c r="K123" s="1148"/>
      <c r="L123" s="1148"/>
      <c r="M123" s="1148"/>
      <c r="N123" s="1148"/>
      <c r="O123" s="1148"/>
      <c r="P123" s="1148"/>
      <c r="Q123" s="1148"/>
      <c r="R123" s="1148"/>
      <c r="S123" s="1148"/>
      <c r="T123" s="1148"/>
      <c r="U123" s="1148"/>
    </row>
    <row r="124" customFormat="false" ht="15" hidden="false" customHeight="true" outlineLevel="1" collapsed="false">
      <c r="A124" s="2449" t="s">
        <v>1979</v>
      </c>
      <c r="B124" s="2449"/>
      <c r="C124" s="2449"/>
      <c r="D124" s="443" t="s">
        <v>156</v>
      </c>
      <c r="E124" s="2352" t="n">
        <f aca="false">'Ввод данных'!C332</f>
        <v>2</v>
      </c>
      <c r="F124" s="2456"/>
      <c r="G124" s="2456"/>
      <c r="H124" s="2455"/>
      <c r="I124" s="356"/>
      <c r="J124" s="356"/>
      <c r="K124" s="2399"/>
      <c r="L124" s="1148"/>
      <c r="M124" s="1148"/>
      <c r="N124" s="1148"/>
      <c r="O124" s="1148"/>
      <c r="P124" s="1148"/>
      <c r="Q124" s="1148"/>
      <c r="R124" s="1148"/>
      <c r="S124" s="1148"/>
      <c r="T124" s="1148"/>
      <c r="U124" s="1148"/>
    </row>
    <row r="125" customFormat="false" ht="15" hidden="false" customHeight="true" outlineLevel="1" collapsed="false">
      <c r="A125" s="2460" t="s">
        <v>3500</v>
      </c>
      <c r="B125" s="2460"/>
      <c r="C125" s="2460"/>
      <c r="D125" s="2461" t="s">
        <v>156</v>
      </c>
      <c r="E125" s="2352" t="n">
        <f aca="false">'Ввод данных'!C329</f>
        <v>2</v>
      </c>
      <c r="F125" s="2456"/>
      <c r="G125" s="2456"/>
      <c r="H125" s="2455"/>
      <c r="I125" s="356"/>
      <c r="J125" s="356"/>
      <c r="K125" s="2401"/>
      <c r="L125" s="1148"/>
      <c r="M125" s="1148"/>
      <c r="N125" s="1148"/>
      <c r="O125" s="1148"/>
      <c r="P125" s="1148"/>
      <c r="Q125" s="1148"/>
      <c r="R125" s="1148"/>
      <c r="S125" s="1148"/>
      <c r="T125" s="1148"/>
      <c r="U125" s="1148"/>
    </row>
    <row r="126" customFormat="false" ht="15" hidden="false" customHeight="true" outlineLevel="1" collapsed="false">
      <c r="A126" s="261" t="s">
        <v>1943</v>
      </c>
      <c r="B126" s="261"/>
      <c r="C126" s="261"/>
      <c r="D126" s="263" t="s">
        <v>156</v>
      </c>
      <c r="E126" s="2352" t="n">
        <f aca="false">'Ввод данных'!C333</f>
        <v>2</v>
      </c>
      <c r="F126" s="468"/>
      <c r="G126" s="468"/>
      <c r="H126" s="2455"/>
      <c r="I126" s="356"/>
      <c r="J126" s="356"/>
      <c r="K126" s="2401"/>
      <c r="L126" s="1148"/>
      <c r="M126" s="1148"/>
      <c r="N126" s="1148"/>
      <c r="O126" s="1148"/>
      <c r="P126" s="1148"/>
      <c r="Q126" s="1148"/>
      <c r="R126" s="1148"/>
      <c r="S126" s="1148"/>
      <c r="T126" s="1148"/>
      <c r="U126" s="1148"/>
    </row>
    <row r="127" customFormat="false" ht="15" hidden="false" customHeight="true" outlineLevel="1" collapsed="false">
      <c r="A127" s="261" t="s">
        <v>3504</v>
      </c>
      <c r="B127" s="261"/>
      <c r="C127" s="261"/>
      <c r="D127" s="263" t="s">
        <v>156</v>
      </c>
      <c r="E127" s="471" t="n">
        <f aca="false">SQRT((E124/2)*(E124/2)+E125*E125)</f>
        <v>2.23606797749979</v>
      </c>
      <c r="F127" s="468"/>
      <c r="G127" s="468"/>
      <c r="H127" s="2455"/>
      <c r="I127" s="356"/>
      <c r="J127" s="356"/>
      <c r="K127" s="2401"/>
      <c r="L127" s="1148"/>
      <c r="M127" s="1148"/>
      <c r="N127" s="1148"/>
      <c r="O127" s="1148"/>
      <c r="P127" s="1148"/>
      <c r="Q127" s="1148"/>
      <c r="R127" s="1148"/>
      <c r="S127" s="1148"/>
      <c r="T127" s="1148"/>
      <c r="U127" s="1148"/>
    </row>
    <row r="128" customFormat="false" ht="15" hidden="false" customHeight="true" outlineLevel="1" collapsed="false">
      <c r="A128" s="2450" t="s">
        <v>3505</v>
      </c>
      <c r="B128" s="2451"/>
      <c r="C128" s="2452"/>
      <c r="D128" s="443" t="s">
        <v>156</v>
      </c>
      <c r="E128" s="2454" t="n">
        <f aca="false">SQRT((E126-E123)*(E126-E123)+E127*E127)</f>
        <v>2.44948974278318</v>
      </c>
      <c r="F128" s="2457"/>
      <c r="G128" s="2458"/>
      <c r="H128" s="2455"/>
      <c r="I128" s="356"/>
      <c r="J128" s="356"/>
      <c r="K128" s="2401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</row>
    <row r="129" customFormat="false" ht="15" hidden="false" customHeight="true" outlineLevel="1" collapsed="false">
      <c r="A129" s="2450" t="s">
        <v>3507</v>
      </c>
      <c r="B129" s="2451"/>
      <c r="C129" s="2452"/>
      <c r="D129" s="263" t="s">
        <v>156</v>
      </c>
      <c r="E129" s="471" t="n">
        <f aca="false">SQRT(E126*E126+E127*E127)</f>
        <v>3</v>
      </c>
      <c r="F129" s="2457"/>
      <c r="G129" s="2458"/>
      <c r="H129" s="2455"/>
      <c r="I129" s="356"/>
      <c r="J129" s="356"/>
      <c r="K129" s="2401"/>
      <c r="L129" s="1148"/>
      <c r="M129" s="1148"/>
      <c r="N129" s="1148"/>
      <c r="O129" s="1148"/>
      <c r="P129" s="1148"/>
      <c r="Q129" s="1148"/>
      <c r="R129" s="1148"/>
      <c r="S129" s="1148"/>
      <c r="T129" s="1148"/>
      <c r="U129" s="1148"/>
    </row>
    <row r="130" customFormat="false" ht="15" hidden="false" customHeight="true" outlineLevel="1" collapsed="false">
      <c r="A130" s="261" t="s">
        <v>3508</v>
      </c>
      <c r="B130" s="261"/>
      <c r="C130" s="261"/>
      <c r="D130" s="263" t="s">
        <v>133</v>
      </c>
      <c r="E130" s="471" t="n">
        <f aca="false">E127*(E126-E123)+E127*E123*2</f>
        <v>6.70820393249937</v>
      </c>
      <c r="F130" s="2457"/>
      <c r="G130" s="2458"/>
      <c r="H130" s="2455"/>
      <c r="I130" s="356"/>
      <c r="J130" s="356"/>
      <c r="K130" s="2436"/>
      <c r="L130" s="1148"/>
      <c r="M130" s="1148"/>
      <c r="N130" s="1148"/>
      <c r="O130" s="1148"/>
      <c r="P130" s="1148"/>
      <c r="Q130" s="1148"/>
      <c r="R130" s="1148"/>
      <c r="S130" s="1148"/>
      <c r="T130" s="1148"/>
      <c r="U130" s="1148"/>
    </row>
    <row r="131" customFormat="false" ht="15" hidden="false" customHeight="true" outlineLevel="1" collapsed="false">
      <c r="A131" s="2449" t="s">
        <v>3880</v>
      </c>
      <c r="B131" s="2449"/>
      <c r="C131" s="2449"/>
      <c r="D131" s="443" t="s">
        <v>133</v>
      </c>
      <c r="E131" s="369" t="n">
        <f aca="false">E127*E126</f>
        <v>4.47213595499958</v>
      </c>
      <c r="F131" s="2456"/>
      <c r="G131" s="2456"/>
      <c r="H131" s="2455"/>
      <c r="I131" s="356"/>
      <c r="J131" s="356"/>
      <c r="K131" s="2401"/>
      <c r="L131" s="1148"/>
      <c r="M131" s="1148"/>
      <c r="N131" s="1148"/>
      <c r="O131" s="1148"/>
      <c r="P131" s="1148"/>
      <c r="Q131" s="1148"/>
      <c r="R131" s="1148"/>
      <c r="S131" s="1148"/>
      <c r="T131" s="1148"/>
      <c r="U131" s="1148"/>
    </row>
    <row r="132" customFormat="false" ht="15" hidden="false" customHeight="true" outlineLevel="1" collapsed="false">
      <c r="A132" s="2449" t="s">
        <v>3510</v>
      </c>
      <c r="B132" s="2449"/>
      <c r="C132" s="2449"/>
      <c r="D132" s="443" t="s">
        <v>133</v>
      </c>
      <c r="E132" s="366" t="n">
        <f aca="false">SQRT(E129*E129-(E124/2)*(E124/2))</f>
        <v>2.82842712474619</v>
      </c>
      <c r="F132" s="356"/>
      <c r="G132" s="2458"/>
      <c r="H132" s="2455"/>
      <c r="I132" s="356"/>
      <c r="J132" s="356"/>
      <c r="K132" s="2410"/>
      <c r="L132" s="1148"/>
      <c r="M132" s="1148"/>
      <c r="N132" s="1148"/>
      <c r="O132" s="1148"/>
      <c r="P132" s="1148"/>
      <c r="Q132" s="1148"/>
      <c r="R132" s="1148"/>
      <c r="S132" s="1148"/>
      <c r="T132" s="1148"/>
      <c r="U132" s="1148"/>
    </row>
    <row r="133" customFormat="false" ht="15" hidden="false" customHeight="true" outlineLevel="1" collapsed="false">
      <c r="A133" s="261" t="s">
        <v>3512</v>
      </c>
      <c r="B133" s="261"/>
      <c r="C133" s="261"/>
      <c r="D133" s="366" t="s">
        <v>133</v>
      </c>
      <c r="E133" s="366" t="n">
        <f aca="false">E130*1.35</f>
        <v>9.05607530887415</v>
      </c>
      <c r="F133" s="356"/>
      <c r="G133" s="356"/>
      <c r="H133" s="2455"/>
      <c r="I133" s="356"/>
      <c r="J133" s="356"/>
      <c r="K133" s="2414"/>
      <c r="L133" s="1148"/>
      <c r="M133" s="1148"/>
      <c r="N133" s="1148"/>
      <c r="O133" s="1148"/>
      <c r="P133" s="1148"/>
      <c r="Q133" s="1148"/>
      <c r="R133" s="1148"/>
      <c r="S133" s="1148"/>
      <c r="T133" s="1148"/>
      <c r="U133" s="1148"/>
    </row>
    <row r="134" customFormat="false" ht="15" hidden="false" customHeight="true" outlineLevel="1" collapsed="false">
      <c r="A134" s="261" t="s">
        <v>3881</v>
      </c>
      <c r="B134" s="261"/>
      <c r="C134" s="261"/>
      <c r="D134" s="366" t="s">
        <v>133</v>
      </c>
      <c r="E134" s="366" t="n">
        <f aca="false">E131*1.35</f>
        <v>6.03738353924943</v>
      </c>
      <c r="F134" s="356"/>
      <c r="G134" s="2458"/>
      <c r="H134" s="2455"/>
      <c r="I134" s="356"/>
      <c r="J134" s="356"/>
      <c r="K134" s="2414"/>
      <c r="L134" s="1148"/>
      <c r="M134" s="1148"/>
      <c r="N134" s="1148"/>
      <c r="O134" s="1148"/>
      <c r="P134" s="1148"/>
      <c r="Q134" s="1148"/>
      <c r="R134" s="1148"/>
      <c r="S134" s="1148"/>
      <c r="T134" s="1148"/>
      <c r="U134" s="1148"/>
    </row>
    <row r="135" customFormat="false" ht="15" hidden="false" customHeight="true" outlineLevel="1" collapsed="false">
      <c r="A135" s="2449" t="s">
        <v>2628</v>
      </c>
      <c r="B135" s="2449"/>
      <c r="C135" s="2449"/>
      <c r="D135" s="2449" t="s">
        <v>1820</v>
      </c>
      <c r="E135" s="2454"/>
      <c r="F135" s="2416"/>
      <c r="G135" s="2458"/>
      <c r="H135" s="2455"/>
      <c r="I135" s="356"/>
      <c r="J135" s="356"/>
      <c r="K135" s="2401"/>
      <c r="L135" s="1148"/>
      <c r="M135" s="1148"/>
      <c r="N135" s="1148"/>
      <c r="O135" s="1148"/>
      <c r="P135" s="1148"/>
      <c r="Q135" s="1148"/>
      <c r="R135" s="1148"/>
      <c r="S135" s="1148"/>
      <c r="T135" s="1148"/>
      <c r="U135" s="1148"/>
    </row>
    <row r="136" customFormat="false" ht="15" hidden="false" customHeight="true" outlineLevel="1" collapsed="false">
      <c r="A136" s="263" t="s">
        <v>3518</v>
      </c>
      <c r="B136" s="263"/>
      <c r="C136" s="263"/>
      <c r="D136" s="263" t="s">
        <v>156</v>
      </c>
      <c r="E136" s="265" t="n">
        <v>0.15</v>
      </c>
      <c r="F136" s="2416"/>
      <c r="G136" s="2458"/>
      <c r="H136" s="2455"/>
      <c r="I136" s="356"/>
      <c r="J136" s="356"/>
      <c r="K136" s="2401"/>
      <c r="L136" s="1148"/>
      <c r="M136" s="1148"/>
      <c r="N136" s="1148"/>
      <c r="O136" s="1148"/>
      <c r="P136" s="1148"/>
      <c r="Q136" s="1148"/>
      <c r="R136" s="1148"/>
      <c r="S136" s="1148"/>
      <c r="T136" s="1148"/>
      <c r="U136" s="1148"/>
    </row>
    <row r="137" customFormat="false" ht="15" hidden="false" customHeight="true" outlineLevel="1" collapsed="false">
      <c r="A137" s="263"/>
      <c r="B137" s="263"/>
      <c r="C137" s="263"/>
      <c r="D137" s="263" t="s">
        <v>156</v>
      </c>
      <c r="E137" s="265" t="n">
        <v>0.2</v>
      </c>
      <c r="F137" s="2416"/>
      <c r="G137" s="2458"/>
      <c r="H137" s="2455"/>
      <c r="I137" s="356"/>
      <c r="J137" s="356"/>
      <c r="K137" s="2401"/>
      <c r="L137" s="1148"/>
      <c r="M137" s="1148"/>
      <c r="N137" s="1148"/>
      <c r="O137" s="1148"/>
      <c r="P137" s="1148"/>
      <c r="Q137" s="1148"/>
      <c r="R137" s="1148"/>
      <c r="S137" s="1148"/>
      <c r="T137" s="1148"/>
      <c r="U137" s="1148"/>
    </row>
    <row r="138" customFormat="false" ht="15" hidden="false" customHeight="true" outlineLevel="1" collapsed="false">
      <c r="A138" s="263" t="s">
        <v>2632</v>
      </c>
      <c r="B138" s="263"/>
      <c r="C138" s="263"/>
      <c r="D138" s="263" t="s">
        <v>156</v>
      </c>
      <c r="E138" s="265" t="n">
        <v>0.15</v>
      </c>
      <c r="F138" s="2416"/>
      <c r="G138" s="356"/>
      <c r="H138" s="2435"/>
      <c r="I138" s="356"/>
      <c r="J138" s="356"/>
      <c r="K138" s="2401"/>
      <c r="L138" s="1148"/>
      <c r="M138" s="1148"/>
      <c r="N138" s="1148"/>
      <c r="O138" s="1148"/>
      <c r="P138" s="1148"/>
      <c r="Q138" s="1148"/>
      <c r="R138" s="1148"/>
      <c r="S138" s="1148"/>
      <c r="T138" s="1148"/>
      <c r="U138" s="1148"/>
    </row>
    <row r="139" customFormat="false" ht="15" hidden="false" customHeight="true" outlineLevel="1" collapsed="false">
      <c r="A139" s="263"/>
      <c r="B139" s="263"/>
      <c r="C139" s="263"/>
      <c r="D139" s="263" t="s">
        <v>156</v>
      </c>
      <c r="E139" s="265" t="n">
        <v>0.2</v>
      </c>
      <c r="F139" s="2416"/>
      <c r="G139" s="356"/>
      <c r="H139" s="2435"/>
      <c r="I139" s="356"/>
      <c r="J139" s="356"/>
      <c r="K139" s="2401"/>
      <c r="L139" s="1148"/>
      <c r="M139" s="1148"/>
      <c r="N139" s="1148"/>
      <c r="O139" s="1148"/>
      <c r="P139" s="1148"/>
      <c r="Q139" s="1148"/>
      <c r="R139" s="1148"/>
      <c r="S139" s="1148"/>
      <c r="T139" s="1148"/>
      <c r="U139" s="1148"/>
    </row>
    <row r="140" customFormat="false" ht="15" hidden="false" customHeight="true" outlineLevel="1" collapsed="false">
      <c r="A140" s="356"/>
      <c r="B140" s="356"/>
      <c r="C140" s="356"/>
      <c r="D140" s="356"/>
      <c r="E140" s="356"/>
      <c r="F140" s="357"/>
      <c r="G140" s="356"/>
      <c r="H140" s="2435"/>
      <c r="I140" s="356"/>
      <c r="J140" s="356"/>
      <c r="K140" s="2404"/>
      <c r="L140" s="1148"/>
      <c r="M140" s="1148"/>
      <c r="N140" s="1148"/>
      <c r="O140" s="1148"/>
      <c r="P140" s="1148"/>
      <c r="Q140" s="1148"/>
      <c r="R140" s="1148"/>
      <c r="S140" s="1148"/>
      <c r="T140" s="1148"/>
      <c r="U140" s="1148"/>
    </row>
    <row r="141" customFormat="false" ht="15" hidden="false" customHeight="true" outlineLevel="1" collapsed="false">
      <c r="A141" s="2402"/>
      <c r="B141" s="2402"/>
      <c r="C141" s="2402"/>
      <c r="D141" s="2402"/>
      <c r="E141" s="2401"/>
      <c r="F141" s="2444"/>
      <c r="G141" s="2402"/>
      <c r="H141" s="2435"/>
      <c r="I141" s="2435"/>
      <c r="J141" s="2435"/>
      <c r="K141" s="2404"/>
      <c r="L141" s="1148"/>
      <c r="M141" s="1148"/>
      <c r="N141" s="1148"/>
      <c r="O141" s="1148"/>
      <c r="P141" s="1148"/>
      <c r="Q141" s="1148"/>
      <c r="R141" s="1148"/>
      <c r="S141" s="1148"/>
      <c r="T141" s="1148"/>
      <c r="U141" s="1148"/>
    </row>
    <row r="142" customFormat="false" ht="15" hidden="false" customHeight="true" outlineLevel="1" collapsed="false">
      <c r="A142" s="2402"/>
      <c r="B142" s="2402"/>
      <c r="C142" s="2402"/>
      <c r="D142" s="2402"/>
      <c r="E142" s="2402"/>
      <c r="F142" s="2402"/>
      <c r="G142" s="2402"/>
      <c r="H142" s="2435"/>
      <c r="I142" s="2435"/>
      <c r="J142" s="2435"/>
      <c r="K142" s="2404"/>
      <c r="L142" s="1148"/>
      <c r="M142" s="1148"/>
      <c r="N142" s="1148"/>
      <c r="O142" s="1148"/>
      <c r="P142" s="1148"/>
      <c r="Q142" s="1148"/>
      <c r="R142" s="1148"/>
      <c r="S142" s="1148"/>
      <c r="T142" s="1148"/>
      <c r="U142" s="1148"/>
    </row>
    <row r="143" customFormat="false" ht="15" hidden="false" customHeight="true" outlineLevel="1" collapsed="false">
      <c r="A143" s="2462" t="s">
        <v>2544</v>
      </c>
      <c r="B143" s="2463"/>
      <c r="C143" s="2413" t="s">
        <v>120</v>
      </c>
      <c r="D143" s="2413" t="s">
        <v>1753</v>
      </c>
      <c r="E143" s="2352" t="str">
        <f aca="false">'Ввод данных'!F416</f>
        <v>Не считать</v>
      </c>
      <c r="F143" s="2464" t="s">
        <v>2545</v>
      </c>
      <c r="G143" s="2402"/>
      <c r="H143" s="2435"/>
      <c r="I143" s="2435"/>
      <c r="J143" s="2435"/>
      <c r="K143" s="2404"/>
      <c r="L143" s="1148"/>
      <c r="M143" s="1148"/>
      <c r="N143" s="1148"/>
      <c r="O143" s="1148"/>
      <c r="P143" s="1148"/>
      <c r="Q143" s="1148"/>
      <c r="R143" s="1148"/>
      <c r="S143" s="1148"/>
      <c r="T143" s="1148"/>
      <c r="U143" s="1148"/>
    </row>
    <row r="144" customFormat="false" ht="15" hidden="false" customHeight="true" outlineLevel="1" collapsed="false">
      <c r="A144" s="2449" t="s">
        <v>2547</v>
      </c>
      <c r="B144" s="2449"/>
      <c r="C144" s="2452" t="s">
        <v>159</v>
      </c>
      <c r="D144" s="2420"/>
      <c r="E144" s="2402"/>
      <c r="F144" s="2402"/>
      <c r="G144" s="2402"/>
      <c r="H144" s="2402"/>
      <c r="I144" s="2402"/>
      <c r="J144" s="2402"/>
      <c r="K144" s="2436"/>
      <c r="L144" s="1148"/>
      <c r="M144" s="1148"/>
      <c r="N144" s="1148"/>
      <c r="O144" s="1148"/>
      <c r="P144" s="1148"/>
      <c r="Q144" s="1148"/>
      <c r="R144" s="1148"/>
      <c r="S144" s="1148"/>
      <c r="T144" s="1148"/>
      <c r="U144" s="1148"/>
    </row>
    <row r="145" customFormat="false" ht="15" hidden="false" customHeight="true" outlineLevel="1" collapsed="false">
      <c r="A145" s="2449" t="s">
        <v>2552</v>
      </c>
      <c r="B145" s="2449"/>
      <c r="C145" s="2452" t="s">
        <v>159</v>
      </c>
      <c r="D145" s="2420" t="n">
        <f aca="false">'Ввод данных'!E358</f>
        <v>1</v>
      </c>
      <c r="E145" s="2402"/>
      <c r="F145" s="2402"/>
      <c r="G145" s="2402"/>
      <c r="H145" s="2402"/>
      <c r="I145" s="2402"/>
      <c r="J145" s="2402"/>
      <c r="K145" s="2436"/>
      <c r="L145" s="1148"/>
      <c r="M145" s="1148"/>
      <c r="N145" s="1148"/>
      <c r="O145" s="1148"/>
      <c r="P145" s="1148"/>
      <c r="Q145" s="1148"/>
      <c r="R145" s="1148"/>
      <c r="S145" s="1148"/>
      <c r="T145" s="1148"/>
      <c r="U145" s="1148"/>
    </row>
    <row r="146" customFormat="false" ht="15" hidden="false" customHeight="true" outlineLevel="1" collapsed="false">
      <c r="A146" s="2449" t="s">
        <v>1236</v>
      </c>
      <c r="B146" s="2449"/>
      <c r="C146" s="356" t="s">
        <v>120</v>
      </c>
      <c r="D146" s="366" t="s">
        <v>1753</v>
      </c>
      <c r="E146" s="366" t="s">
        <v>293</v>
      </c>
      <c r="F146" s="366" t="s">
        <v>1820</v>
      </c>
      <c r="G146" s="2402"/>
      <c r="H146" s="2402"/>
      <c r="I146" s="2402"/>
      <c r="J146" s="2402"/>
      <c r="K146" s="2436"/>
      <c r="L146" s="1148"/>
      <c r="M146" s="1148"/>
      <c r="N146" s="1148"/>
      <c r="O146" s="1148"/>
      <c r="P146" s="1148"/>
      <c r="Q146" s="1148"/>
      <c r="R146" s="1148"/>
      <c r="S146" s="1148"/>
      <c r="T146" s="1148"/>
      <c r="U146" s="1148"/>
    </row>
    <row r="147" customFormat="false" ht="15" hidden="false" customHeight="true" outlineLevel="1" collapsed="false">
      <c r="A147" s="2449" t="s">
        <v>2001</v>
      </c>
      <c r="B147" s="2449"/>
      <c r="C147" s="2451" t="s">
        <v>156</v>
      </c>
      <c r="D147" s="443"/>
      <c r="E147" s="2352" t="str">
        <f aca="false">связи1!E549</f>
        <v>№3</v>
      </c>
      <c r="F147" s="2416" t="e">
        <f aca="false">'ввод данных'!#ref!</f>
        <v>#VALUE!</v>
      </c>
      <c r="G147" s="357" t="s">
        <v>3521</v>
      </c>
      <c r="H147" s="356"/>
      <c r="I147" s="2402"/>
      <c r="J147" s="2402"/>
      <c r="K147" s="2436"/>
      <c r="L147" s="1148"/>
      <c r="M147" s="1148"/>
      <c r="N147" s="1148"/>
      <c r="O147" s="1148"/>
      <c r="P147" s="1148"/>
      <c r="Q147" s="1148"/>
      <c r="R147" s="1148"/>
      <c r="S147" s="1148"/>
      <c r="T147" s="1148"/>
      <c r="U147" s="1148"/>
    </row>
    <row r="148" customFormat="false" ht="15" hidden="false" customHeight="true" outlineLevel="1" collapsed="false">
      <c r="A148" s="2449" t="s">
        <v>2557</v>
      </c>
      <c r="B148" s="2449"/>
      <c r="C148" s="2451" t="s">
        <v>156</v>
      </c>
      <c r="D148" s="443"/>
      <c r="E148" s="2352" t="n">
        <f aca="false">связи1!E550</f>
        <v>1</v>
      </c>
      <c r="F148" s="2416" t="e">
        <f aca="false">'ввод данных'!#ref!</f>
        <v>#VALUE!</v>
      </c>
      <c r="G148" s="357" t="s">
        <v>3522</v>
      </c>
      <c r="H148" s="356"/>
      <c r="I148" s="2402"/>
      <c r="J148" s="2402"/>
      <c r="K148" s="2436"/>
      <c r="L148" s="1148"/>
      <c r="M148" s="1148"/>
      <c r="N148" s="1148"/>
      <c r="O148" s="1148"/>
      <c r="P148" s="1148"/>
      <c r="Q148" s="1148"/>
      <c r="R148" s="1148"/>
      <c r="S148" s="1148"/>
      <c r="T148" s="1148"/>
      <c r="U148" s="1148"/>
    </row>
    <row r="149" customFormat="false" ht="15" hidden="false" customHeight="true" outlineLevel="1" collapsed="false">
      <c r="A149" s="2403" t="s">
        <v>2558</v>
      </c>
      <c r="B149" s="2403"/>
      <c r="C149" s="2465" t="s">
        <v>156</v>
      </c>
      <c r="D149" s="301"/>
      <c r="E149" s="2352" t="n">
        <f aca="false">'Ввод данных'!E362</f>
        <v>0</v>
      </c>
      <c r="F149" s="2416" t="n">
        <f aca="false">'Ввод данных'!G366</f>
        <v>0</v>
      </c>
      <c r="G149" s="357" t="s">
        <v>3523</v>
      </c>
      <c r="H149" s="2435"/>
      <c r="I149" s="2435"/>
      <c r="J149" s="2435"/>
      <c r="K149" s="2436"/>
      <c r="L149" s="1148"/>
      <c r="M149" s="1148"/>
      <c r="N149" s="1148"/>
      <c r="O149" s="1148"/>
      <c r="P149" s="1148"/>
      <c r="Q149" s="1148"/>
      <c r="R149" s="1148"/>
      <c r="S149" s="1148"/>
      <c r="T149" s="1148"/>
      <c r="U149" s="1148"/>
    </row>
    <row r="150" customFormat="false" ht="15" hidden="false" customHeight="true" outlineLevel="1" collapsed="false">
      <c r="A150" s="2403" t="s">
        <v>2071</v>
      </c>
      <c r="B150" s="2403"/>
      <c r="C150" s="2400" t="s">
        <v>156</v>
      </c>
      <c r="D150" s="2420"/>
      <c r="E150" s="2402"/>
      <c r="F150" s="2402"/>
      <c r="G150" s="2402"/>
      <c r="H150" s="2435"/>
      <c r="I150" s="2435"/>
      <c r="J150" s="2435"/>
      <c r="K150" s="2436"/>
      <c r="L150" s="1148"/>
      <c r="M150" s="1148"/>
      <c r="N150" s="1148"/>
      <c r="O150" s="1148"/>
      <c r="P150" s="1148"/>
      <c r="Q150" s="1148"/>
      <c r="R150" s="1148"/>
      <c r="S150" s="1148"/>
      <c r="T150" s="1148"/>
      <c r="U150" s="1148"/>
    </row>
    <row r="151" customFormat="false" ht="15" hidden="false" customHeight="true" outlineLevel="1" collapsed="false">
      <c r="A151" s="2403" t="s">
        <v>2573</v>
      </c>
      <c r="B151" s="2403"/>
      <c r="C151" s="2429" t="s">
        <v>156</v>
      </c>
      <c r="D151" s="2420"/>
      <c r="E151" s="2402"/>
      <c r="F151" s="2402"/>
      <c r="G151" s="2402"/>
      <c r="H151" s="2401"/>
      <c r="I151" s="2435"/>
      <c r="J151" s="2435"/>
      <c r="K151" s="2436"/>
      <c r="L151" s="1148"/>
      <c r="M151" s="1148"/>
      <c r="N151" s="1148"/>
      <c r="O151" s="1148"/>
      <c r="P151" s="1148"/>
      <c r="Q151" s="1148"/>
      <c r="R151" s="1148"/>
      <c r="S151" s="1148"/>
      <c r="T151" s="1148"/>
      <c r="U151" s="1148"/>
    </row>
    <row r="152" customFormat="false" ht="15" hidden="false" customHeight="true" outlineLevel="1" collapsed="false">
      <c r="A152" s="2403" t="s">
        <v>3882</v>
      </c>
      <c r="B152" s="2403"/>
      <c r="C152" s="2429" t="s">
        <v>156</v>
      </c>
      <c r="D152" s="2420"/>
      <c r="E152" s="2402"/>
      <c r="F152" s="2402"/>
      <c r="G152" s="2402"/>
      <c r="H152" s="2401"/>
      <c r="I152" s="2435"/>
      <c r="J152" s="2435"/>
      <c r="K152" s="2436"/>
      <c r="L152" s="1148"/>
      <c r="M152" s="1148"/>
      <c r="N152" s="1148"/>
      <c r="O152" s="1148"/>
      <c r="P152" s="1148"/>
      <c r="Q152" s="1148"/>
      <c r="R152" s="1148"/>
      <c r="S152" s="1148"/>
      <c r="T152" s="1148"/>
      <c r="U152" s="1148"/>
    </row>
    <row r="153" customFormat="false" ht="15" hidden="false" customHeight="true" outlineLevel="1" collapsed="false">
      <c r="A153" s="2403" t="s">
        <v>3883</v>
      </c>
      <c r="B153" s="2403"/>
      <c r="C153" s="2429" t="s">
        <v>156</v>
      </c>
      <c r="D153" s="2420"/>
      <c r="E153" s="2402"/>
      <c r="F153" s="2402"/>
      <c r="G153" s="2402"/>
      <c r="H153" s="2401"/>
      <c r="I153" s="2435"/>
      <c r="J153" s="2435"/>
      <c r="K153" s="2436"/>
      <c r="L153" s="1148"/>
      <c r="M153" s="1148"/>
      <c r="N153" s="1148"/>
      <c r="O153" s="1148"/>
      <c r="P153" s="1148"/>
      <c r="Q153" s="1148"/>
      <c r="R153" s="1148"/>
      <c r="S153" s="1148"/>
      <c r="T153" s="1148"/>
      <c r="U153" s="1148"/>
    </row>
    <row r="154" customFormat="false" ht="15" hidden="false" customHeight="true" outlineLevel="1" collapsed="false">
      <c r="A154" s="2403" t="s">
        <v>3884</v>
      </c>
      <c r="B154" s="2403"/>
      <c r="C154" s="2429" t="s">
        <v>156</v>
      </c>
      <c r="D154" s="2420"/>
      <c r="E154" s="2402"/>
      <c r="F154" s="2402"/>
      <c r="G154" s="2402"/>
      <c r="H154" s="2402"/>
      <c r="I154" s="2435"/>
      <c r="J154" s="2435"/>
      <c r="K154" s="2436"/>
      <c r="L154" s="1148"/>
      <c r="M154" s="1148"/>
      <c r="N154" s="1148"/>
      <c r="O154" s="1148"/>
      <c r="P154" s="1148"/>
      <c r="Q154" s="1148"/>
      <c r="R154" s="1148"/>
      <c r="S154" s="1148"/>
      <c r="T154" s="1148"/>
      <c r="U154" s="1148"/>
    </row>
    <row r="155" customFormat="false" ht="15" hidden="false" customHeight="true" outlineLevel="1" collapsed="false">
      <c r="A155" s="2408" t="s">
        <v>3885</v>
      </c>
      <c r="B155" s="2408"/>
      <c r="C155" s="2429" t="s">
        <v>156</v>
      </c>
      <c r="D155" s="2442"/>
      <c r="E155" s="2402"/>
      <c r="F155" s="2402"/>
      <c r="G155" s="2402"/>
      <c r="H155" s="2402"/>
      <c r="I155" s="2435"/>
      <c r="J155" s="2435"/>
      <c r="K155" s="2436"/>
      <c r="L155" s="1148"/>
      <c r="M155" s="1148"/>
      <c r="N155" s="1148"/>
      <c r="O155" s="1148"/>
      <c r="P155" s="1148"/>
      <c r="Q155" s="1148"/>
      <c r="R155" s="1148"/>
      <c r="S155" s="1148"/>
      <c r="T155" s="1148"/>
      <c r="U155" s="1148"/>
    </row>
    <row r="156" customFormat="false" ht="15" hidden="false" customHeight="true" outlineLevel="1" collapsed="false">
      <c r="A156" s="2403" t="s">
        <v>3886</v>
      </c>
      <c r="B156" s="2403"/>
      <c r="C156" s="2429" t="s">
        <v>156</v>
      </c>
      <c r="D156" s="2429"/>
      <c r="E156" s="2402"/>
      <c r="F156" s="2402"/>
      <c r="G156" s="2402"/>
      <c r="H156" s="2402"/>
      <c r="I156" s="2435"/>
      <c r="J156" s="2435"/>
      <c r="K156" s="2436"/>
      <c r="L156" s="1148"/>
      <c r="M156" s="1148"/>
      <c r="N156" s="1148"/>
      <c r="O156" s="1148"/>
      <c r="P156" s="1148"/>
      <c r="Q156" s="1148"/>
      <c r="R156" s="1148"/>
      <c r="S156" s="1148"/>
      <c r="T156" s="1148"/>
      <c r="U156" s="1148"/>
    </row>
    <row r="157" customFormat="false" ht="15" hidden="false" customHeight="true" outlineLevel="1" collapsed="false">
      <c r="A157" s="2403" t="s">
        <v>1093</v>
      </c>
      <c r="B157" s="2403"/>
      <c r="C157" s="2402" t="s">
        <v>120</v>
      </c>
      <c r="D157" s="2464" t="s">
        <v>853</v>
      </c>
      <c r="E157" s="2429" t="s">
        <v>1802</v>
      </c>
      <c r="F157" s="2442" t="s">
        <v>853</v>
      </c>
      <c r="G157" s="2442" t="s">
        <v>2548</v>
      </c>
      <c r="H157" s="2401"/>
      <c r="I157" s="2435"/>
      <c r="J157" s="2435"/>
      <c r="K157" s="2466"/>
      <c r="L157" s="1148"/>
      <c r="M157" s="1148"/>
      <c r="N157" s="1148"/>
      <c r="O157" s="1148"/>
      <c r="P157" s="1148"/>
      <c r="Q157" s="1148"/>
      <c r="R157" s="1148"/>
      <c r="S157" s="1148"/>
      <c r="T157" s="1148"/>
      <c r="U157" s="1148"/>
    </row>
    <row r="158" customFormat="false" ht="15" hidden="false" customHeight="true" outlineLevel="1" collapsed="false">
      <c r="A158" s="443" t="s">
        <v>2553</v>
      </c>
      <c r="B158" s="443"/>
      <c r="C158" s="2429" t="s">
        <v>156</v>
      </c>
      <c r="D158" s="2420" t="n">
        <f aca="false">связи1!D552</f>
        <v>3</v>
      </c>
      <c r="E158" s="2352" t="n">
        <f aca="false">связи1!E552</f>
        <v>3</v>
      </c>
      <c r="F158" s="2442" t="n">
        <f aca="false">D158*E158</f>
        <v>9</v>
      </c>
      <c r="G158" s="2442" t="n">
        <f aca="false">F158*D153</f>
        <v>0</v>
      </c>
      <c r="H158" s="2401"/>
      <c r="I158" s="2435"/>
      <c r="J158" s="2435"/>
      <c r="K158" s="2444"/>
      <c r="L158" s="1148"/>
      <c r="M158" s="1148"/>
      <c r="N158" s="1148"/>
      <c r="O158" s="1148"/>
      <c r="P158" s="1148"/>
      <c r="Q158" s="1148"/>
      <c r="R158" s="1148"/>
      <c r="S158" s="1148"/>
      <c r="T158" s="1148"/>
      <c r="U158" s="1148"/>
    </row>
    <row r="159" customFormat="false" ht="15" hidden="false" customHeight="true" outlineLevel="1" collapsed="false">
      <c r="A159" s="443"/>
      <c r="B159" s="443"/>
      <c r="C159" s="2429" t="s">
        <v>1322</v>
      </c>
      <c r="D159" s="2420" t="n">
        <f aca="false">связи1!D553</f>
        <v>2.9</v>
      </c>
      <c r="E159" s="2352" t="n">
        <f aca="false">связи1!E553</f>
        <v>2.9</v>
      </c>
      <c r="F159" s="2442" t="n">
        <f aca="false">D159*E159</f>
        <v>8.41</v>
      </c>
      <c r="G159" s="2442" t="n">
        <f aca="false">F159*D153</f>
        <v>0</v>
      </c>
      <c r="H159" s="2401"/>
      <c r="I159" s="2435"/>
      <c r="J159" s="2435"/>
      <c r="K159" s="2436"/>
      <c r="L159" s="1148"/>
      <c r="M159" s="1148"/>
      <c r="N159" s="1148"/>
      <c r="O159" s="1148"/>
      <c r="P159" s="1148"/>
      <c r="Q159" s="1148"/>
      <c r="R159" s="1148"/>
      <c r="S159" s="1148"/>
      <c r="T159" s="1148"/>
      <c r="U159" s="1148"/>
    </row>
    <row r="160" customFormat="false" ht="15" hidden="false" customHeight="true" outlineLevel="1" collapsed="false">
      <c r="A160" s="443" t="s">
        <v>2556</v>
      </c>
      <c r="B160" s="443"/>
      <c r="C160" s="2429" t="s">
        <v>156</v>
      </c>
      <c r="D160" s="2420" t="n">
        <f aca="false">связи1!D556</f>
        <v>2.2</v>
      </c>
      <c r="E160" s="2352" t="n">
        <f aca="false">связи1!E556</f>
        <v>2.2</v>
      </c>
      <c r="F160" s="2442" t="n">
        <f aca="false">D160*E160</f>
        <v>4.84</v>
      </c>
      <c r="G160" s="2442" t="n">
        <f aca="false">F160*D153</f>
        <v>0</v>
      </c>
      <c r="H160" s="2401"/>
      <c r="I160" s="2435"/>
      <c r="J160" s="2435"/>
      <c r="K160" s="2436"/>
      <c r="L160" s="1148"/>
      <c r="M160" s="1148"/>
      <c r="N160" s="1148"/>
      <c r="O160" s="1148"/>
      <c r="P160" s="1148"/>
      <c r="Q160" s="1148"/>
      <c r="R160" s="1148"/>
      <c r="S160" s="1148"/>
      <c r="T160" s="1148"/>
      <c r="U160" s="1148"/>
    </row>
    <row r="161" customFormat="false" ht="15" hidden="false" customHeight="true" outlineLevel="1" collapsed="false">
      <c r="A161" s="443"/>
      <c r="B161" s="443"/>
      <c r="C161" s="2429" t="s">
        <v>156</v>
      </c>
      <c r="D161" s="2420" t="n">
        <f aca="false">связи1!D557</f>
        <v>1</v>
      </c>
      <c r="E161" s="2352" t="n">
        <f aca="false">связи1!E557</f>
        <v>2.9</v>
      </c>
      <c r="F161" s="2442" t="n">
        <f aca="false">D161*E161</f>
        <v>2.9</v>
      </c>
      <c r="G161" s="2442" t="n">
        <f aca="false">F161*D153</f>
        <v>0</v>
      </c>
      <c r="H161" s="2401"/>
      <c r="I161" s="2435"/>
      <c r="J161" s="2435"/>
      <c r="K161" s="2436"/>
      <c r="L161" s="1148"/>
      <c r="M161" s="1148"/>
      <c r="N161" s="1148"/>
      <c r="O161" s="1148"/>
      <c r="P161" s="1148"/>
      <c r="Q161" s="1148"/>
      <c r="R161" s="1148"/>
      <c r="S161" s="1148"/>
      <c r="T161" s="1148"/>
      <c r="U161" s="1148"/>
    </row>
    <row r="162" customFormat="false" ht="15" hidden="false" customHeight="true" outlineLevel="1" collapsed="false">
      <c r="A162" s="443" t="s">
        <v>2559</v>
      </c>
      <c r="B162" s="443"/>
      <c r="C162" s="2429" t="s">
        <v>1322</v>
      </c>
      <c r="D162" s="2420" t="n">
        <f aca="false">связи1!D558</f>
        <v>2.1</v>
      </c>
      <c r="E162" s="2352"/>
      <c r="F162" s="2442" t="n">
        <f aca="false">D162*E162</f>
        <v>0</v>
      </c>
      <c r="G162" s="2442" t="n">
        <f aca="false">F162*D152*D145</f>
        <v>0</v>
      </c>
      <c r="H162" s="2435"/>
      <c r="I162" s="2435"/>
      <c r="J162" s="2435"/>
      <c r="K162" s="2436"/>
      <c r="L162" s="1148"/>
      <c r="M162" s="1148"/>
      <c r="N162" s="1148"/>
      <c r="O162" s="1148"/>
      <c r="P162" s="1148"/>
      <c r="Q162" s="1148"/>
      <c r="R162" s="1148"/>
      <c r="S162" s="1148"/>
      <c r="T162" s="1148"/>
      <c r="U162" s="1148"/>
    </row>
    <row r="163" customFormat="false" ht="15" hidden="false" customHeight="true" outlineLevel="1" collapsed="false">
      <c r="A163" s="443"/>
      <c r="B163" s="443"/>
      <c r="C163" s="2429" t="s">
        <v>156</v>
      </c>
      <c r="D163" s="2420" t="e">
        <f aca="false">'ввод данных'!#ref!</f>
        <v>#VALUE!</v>
      </c>
      <c r="E163" s="2352" t="e">
        <f aca="false">'ввод данных'!#ref!</f>
        <v>#VALUE!</v>
      </c>
      <c r="F163" s="2442" t="e">
        <f aca="false">D163*E163</f>
        <v>#VALUE!</v>
      </c>
      <c r="G163" s="2442" t="e">
        <f aca="false">F163*D152*D145</f>
        <v>#VALUE!</v>
      </c>
      <c r="H163" s="2435"/>
      <c r="I163" s="2435"/>
      <c r="J163" s="2435"/>
      <c r="K163" s="2436"/>
      <c r="L163" s="1148"/>
      <c r="M163" s="1148"/>
      <c r="N163" s="1148"/>
      <c r="O163" s="1148"/>
      <c r="P163" s="1148"/>
      <c r="Q163" s="1148"/>
      <c r="R163" s="1148"/>
      <c r="S163" s="1148"/>
      <c r="T163" s="1148"/>
      <c r="U163" s="1148"/>
    </row>
    <row r="164" customFormat="false" ht="15" hidden="false" customHeight="true" outlineLevel="1" collapsed="false">
      <c r="A164" s="443" t="s">
        <v>2559</v>
      </c>
      <c r="B164" s="443"/>
      <c r="C164" s="2429" t="s">
        <v>156</v>
      </c>
      <c r="D164" s="2420" t="e">
        <f aca="false">'ввод данных'!#ref!</f>
        <v>#VALUE!</v>
      </c>
      <c r="E164" s="2352" t="e">
        <f aca="false">'ввод данных'!#ref!</f>
        <v>#VALUE!</v>
      </c>
      <c r="F164" s="2442" t="e">
        <f aca="false">D164*E164</f>
        <v>#VALUE!</v>
      </c>
      <c r="G164" s="2421" t="e">
        <f aca="false">F164*D152*D145</f>
        <v>#VALUE!</v>
      </c>
      <c r="H164" s="2407"/>
      <c r="I164" s="2407"/>
      <c r="J164" s="2435"/>
      <c r="K164" s="2436"/>
      <c r="L164" s="1148"/>
      <c r="M164" s="1148"/>
      <c r="N164" s="1148"/>
      <c r="O164" s="1148"/>
      <c r="P164" s="1148"/>
      <c r="Q164" s="1148"/>
      <c r="R164" s="1148"/>
      <c r="S164" s="1148"/>
      <c r="T164" s="1148"/>
      <c r="U164" s="1148"/>
    </row>
    <row r="165" customFormat="false" ht="15" hidden="false" customHeight="true" outlineLevel="1" collapsed="false">
      <c r="A165" s="443"/>
      <c r="B165" s="443"/>
      <c r="C165" s="2429" t="s">
        <v>156</v>
      </c>
      <c r="D165" s="2420" t="e">
        <f aca="false">'ввод данных'!#ref!</f>
        <v>#VALUE!</v>
      </c>
      <c r="E165" s="2352" t="e">
        <f aca="false">'ввод данных'!#ref!</f>
        <v>#VALUE!</v>
      </c>
      <c r="F165" s="2442" t="e">
        <f aca="false">D165*E165</f>
        <v>#VALUE!</v>
      </c>
      <c r="G165" s="2421" t="e">
        <f aca="false">F165*D152*D145</f>
        <v>#VALUE!</v>
      </c>
      <c r="H165" s="2407"/>
      <c r="I165" s="2407"/>
      <c r="J165" s="2404"/>
      <c r="K165" s="2436"/>
      <c r="L165" s="1148"/>
      <c r="M165" s="1148"/>
      <c r="N165" s="1148"/>
      <c r="O165" s="1148"/>
      <c r="P165" s="1148"/>
      <c r="Q165" s="1148"/>
      <c r="R165" s="1148"/>
      <c r="S165" s="1148"/>
      <c r="T165" s="1148"/>
      <c r="U165" s="1148"/>
    </row>
    <row r="166" customFormat="false" ht="15" hidden="false" customHeight="true" outlineLevel="1" collapsed="false">
      <c r="A166" s="377" t="s">
        <v>2578</v>
      </c>
      <c r="B166" s="377"/>
      <c r="C166" s="377"/>
      <c r="D166" s="377"/>
      <c r="E166" s="377"/>
      <c r="F166" s="2442" t="e">
        <f aca="false">SUM(F158:F165)</f>
        <v>#VALUE!</v>
      </c>
      <c r="G166" s="2442" t="e">
        <f aca="false">SUM(G158:G165)</f>
        <v>#VALUE!</v>
      </c>
      <c r="H166" s="2435"/>
      <c r="I166" s="2435"/>
      <c r="J166" s="2407"/>
      <c r="K166" s="2436"/>
      <c r="L166" s="1148"/>
      <c r="M166" s="1148"/>
      <c r="N166" s="1148"/>
      <c r="O166" s="1148"/>
      <c r="P166" s="1148"/>
      <c r="Q166" s="1148"/>
      <c r="R166" s="1148"/>
      <c r="S166" s="1148"/>
      <c r="T166" s="1148"/>
      <c r="U166" s="1148"/>
    </row>
    <row r="167" customFormat="false" ht="15" hidden="false" customHeight="true" outlineLevel="1" collapsed="false">
      <c r="A167" s="2467" t="s">
        <v>2208</v>
      </c>
      <c r="B167" s="2468"/>
      <c r="C167" s="2469" t="s">
        <v>120</v>
      </c>
      <c r="D167" s="2469" t="s">
        <v>2580</v>
      </c>
      <c r="E167" s="2469" t="s">
        <v>2581</v>
      </c>
      <c r="F167" s="2469" t="s">
        <v>1802</v>
      </c>
      <c r="G167" s="2413" t="s">
        <v>2548</v>
      </c>
      <c r="H167" s="2435"/>
      <c r="I167" s="2470"/>
      <c r="J167" s="2404"/>
      <c r="K167" s="2436"/>
      <c r="L167" s="1148"/>
      <c r="M167" s="1148"/>
      <c r="N167" s="1148"/>
      <c r="O167" s="1148"/>
      <c r="P167" s="1148"/>
      <c r="Q167" s="1148"/>
      <c r="R167" s="1148"/>
      <c r="S167" s="1148"/>
      <c r="T167" s="1148"/>
      <c r="U167" s="1148"/>
    </row>
    <row r="168" customFormat="false" ht="15" hidden="false" customHeight="true" outlineLevel="1" collapsed="false">
      <c r="A168" s="443" t="s">
        <v>2210</v>
      </c>
      <c r="B168" s="443"/>
      <c r="C168" s="443" t="s">
        <v>156</v>
      </c>
      <c r="D168" s="2420" t="e">
        <f aca="false">'ввод данных'!#ref!</f>
        <v>#VALUE!</v>
      </c>
      <c r="E168" s="2352" t="e">
        <f aca="false">'ввод данных'!#ref!</f>
        <v>#VALUE!</v>
      </c>
      <c r="F168" s="2416" t="n">
        <f aca="false">'Ввод данных'!G377</f>
        <v>0</v>
      </c>
      <c r="G168" s="377" t="e">
        <f aca="false">D168*E168*F168</f>
        <v>#VALUE!</v>
      </c>
      <c r="H168" s="2435"/>
      <c r="I168" s="2410"/>
      <c r="J168" s="2404"/>
      <c r="K168" s="2436"/>
      <c r="L168" s="1148"/>
      <c r="M168" s="1148"/>
      <c r="N168" s="1148"/>
      <c r="O168" s="1148"/>
      <c r="P168" s="1148"/>
      <c r="Q168" s="1148"/>
      <c r="R168" s="1148"/>
      <c r="S168" s="1148"/>
      <c r="T168" s="1148"/>
      <c r="U168" s="1148"/>
    </row>
    <row r="169" customFormat="false" ht="15" hidden="false" customHeight="true" outlineLevel="1" collapsed="false">
      <c r="A169" s="443"/>
      <c r="B169" s="443"/>
      <c r="C169" s="443" t="s">
        <v>156</v>
      </c>
      <c r="D169" s="2420" t="e">
        <f aca="false">'ввод данных'!#ref!</f>
        <v>#VALUE!</v>
      </c>
      <c r="E169" s="2352" t="e">
        <f aca="false">'ввод данных'!#ref!</f>
        <v>#VALUE!</v>
      </c>
      <c r="F169" s="2416" t="n">
        <f aca="false">'Ввод данных'!G378</f>
        <v>0</v>
      </c>
      <c r="G169" s="377" t="e">
        <f aca="false">D169*E169*F169</f>
        <v>#VALUE!</v>
      </c>
      <c r="H169" s="2435"/>
      <c r="I169" s="2470"/>
      <c r="J169" s="2404"/>
      <c r="K169" s="2436"/>
      <c r="L169" s="1148"/>
      <c r="M169" s="1148"/>
      <c r="N169" s="1148"/>
      <c r="O169" s="1148"/>
      <c r="P169" s="1148"/>
      <c r="Q169" s="1148"/>
      <c r="R169" s="1148"/>
      <c r="S169" s="1148"/>
      <c r="T169" s="1148"/>
      <c r="U169" s="1148"/>
    </row>
    <row r="170" customFormat="false" ht="15" hidden="false" customHeight="true" outlineLevel="1" collapsed="false">
      <c r="A170" s="443"/>
      <c r="B170" s="443"/>
      <c r="C170" s="443" t="s">
        <v>156</v>
      </c>
      <c r="D170" s="2420" t="e">
        <f aca="false">'ввод данных'!#ref!</f>
        <v>#VALUE!</v>
      </c>
      <c r="E170" s="2352" t="e">
        <f aca="false">'ввод данных'!#ref!</f>
        <v>#VALUE!</v>
      </c>
      <c r="F170" s="2416" t="n">
        <f aca="false">'Ввод данных'!G379</f>
        <v>0</v>
      </c>
      <c r="G170" s="377" t="e">
        <f aca="false">D170*E170*F170</f>
        <v>#VALUE!</v>
      </c>
      <c r="H170" s="2471"/>
      <c r="I170" s="2470"/>
      <c r="J170" s="2404"/>
      <c r="K170" s="2436"/>
      <c r="L170" s="1148"/>
      <c r="M170" s="1148"/>
      <c r="N170" s="1148"/>
      <c r="O170" s="1148"/>
      <c r="P170" s="1148"/>
      <c r="Q170" s="1148"/>
      <c r="R170" s="1148"/>
      <c r="S170" s="1148"/>
      <c r="T170" s="1148"/>
      <c r="U170" s="1148"/>
    </row>
    <row r="171" customFormat="false" ht="15" hidden="false" customHeight="true" outlineLevel="1" collapsed="false">
      <c r="A171" s="2461" t="s">
        <v>2593</v>
      </c>
      <c r="B171" s="2461"/>
      <c r="C171" s="443" t="s">
        <v>156</v>
      </c>
      <c r="D171" s="2420" t="e">
        <f aca="false">'ввод данных'!#ref!</f>
        <v>#VALUE!</v>
      </c>
      <c r="E171" s="2352"/>
      <c r="F171" s="2416" t="e">
        <f aca="false">'ввод данных'!#ref!</f>
        <v>#VALUE!</v>
      </c>
      <c r="G171" s="377" t="e">
        <f aca="false">D171*E171*F171</f>
        <v>#VALUE!</v>
      </c>
      <c r="H171" s="2407"/>
      <c r="I171" s="2470"/>
      <c r="J171" s="2404"/>
      <c r="K171" s="2436"/>
      <c r="L171" s="1148"/>
      <c r="M171" s="1148"/>
      <c r="N171" s="1148"/>
      <c r="O171" s="1148"/>
      <c r="P171" s="1148"/>
      <c r="Q171" s="1148"/>
      <c r="R171" s="1148"/>
      <c r="S171" s="1148"/>
      <c r="T171" s="1148"/>
      <c r="U171" s="1148"/>
    </row>
    <row r="172" customFormat="false" ht="15" hidden="false" customHeight="true" outlineLevel="1" collapsed="false">
      <c r="A172" s="2461"/>
      <c r="B172" s="2461"/>
      <c r="C172" s="443" t="s">
        <v>156</v>
      </c>
      <c r="D172" s="2420"/>
      <c r="E172" s="2352"/>
      <c r="F172" s="2416"/>
      <c r="G172" s="377" t="n">
        <f aca="false">D172*E172*F172</f>
        <v>0</v>
      </c>
      <c r="H172" s="2471"/>
      <c r="I172" s="2470"/>
      <c r="J172" s="2404"/>
      <c r="K172" s="2436"/>
      <c r="L172" s="1148"/>
      <c r="M172" s="1148"/>
      <c r="N172" s="1148"/>
      <c r="O172" s="1148"/>
      <c r="P172" s="1148"/>
      <c r="Q172" s="1148"/>
      <c r="R172" s="1148"/>
      <c r="S172" s="1148"/>
      <c r="T172" s="1148"/>
      <c r="U172" s="1148"/>
    </row>
    <row r="173" customFormat="false" ht="15" hidden="false" customHeight="true" outlineLevel="1" collapsed="false">
      <c r="A173" s="2403" t="s">
        <v>1217</v>
      </c>
      <c r="B173" s="2403"/>
      <c r="C173" s="301" t="s">
        <v>156</v>
      </c>
      <c r="D173" s="2420" t="n">
        <f aca="false">связи1!D559</f>
        <v>0.6</v>
      </c>
      <c r="E173" s="2352" t="n">
        <f aca="false">связи1!E559</f>
        <v>0.6</v>
      </c>
      <c r="F173" s="2416" t="e">
        <f aca="false">'ввод данных'!#ref!</f>
        <v>#VALUE!</v>
      </c>
      <c r="G173" s="2421" t="e">
        <f aca="false">D173*E173*F173</f>
        <v>#VALUE!</v>
      </c>
      <c r="H173" s="2407"/>
      <c r="I173" s="2407"/>
      <c r="J173" s="2404"/>
      <c r="K173" s="2436"/>
      <c r="L173" s="1148"/>
      <c r="M173" s="1148"/>
      <c r="N173" s="1148"/>
      <c r="O173" s="1148"/>
      <c r="P173" s="1148"/>
      <c r="Q173" s="1148"/>
      <c r="R173" s="1148"/>
      <c r="S173" s="1148"/>
      <c r="T173" s="1148"/>
      <c r="U173" s="1148"/>
    </row>
    <row r="174" customFormat="false" ht="15" hidden="false" customHeight="true" outlineLevel="1" collapsed="false">
      <c r="A174" s="2449" t="s">
        <v>2213</v>
      </c>
      <c r="B174" s="2449"/>
      <c r="C174" s="301" t="s">
        <v>156</v>
      </c>
      <c r="D174" s="2420" t="n">
        <f aca="false">связи1!D561</f>
        <v>0.5</v>
      </c>
      <c r="E174" s="2352" t="n">
        <f aca="false">связи1!E561</f>
        <v>0.8</v>
      </c>
      <c r="F174" s="2416" t="n">
        <f aca="false">связи1!F548</f>
        <v>0</v>
      </c>
      <c r="G174" s="2421" t="n">
        <f aca="false">D174*E174*F174</f>
        <v>0</v>
      </c>
      <c r="H174" s="2472"/>
      <c r="I174" s="2404" t="s">
        <v>3887</v>
      </c>
      <c r="J174" s="2404"/>
      <c r="K174" s="2436"/>
      <c r="L174" s="1148"/>
      <c r="M174" s="1148"/>
      <c r="N174" s="1148"/>
      <c r="O174" s="1148"/>
      <c r="P174" s="1148"/>
      <c r="Q174" s="1148"/>
      <c r="R174" s="1148"/>
      <c r="S174" s="1148"/>
      <c r="T174" s="1148"/>
      <c r="U174" s="1148"/>
    </row>
    <row r="175" customFormat="false" ht="15" hidden="false" customHeight="true" outlineLevel="1" collapsed="false">
      <c r="A175" s="2350" t="s">
        <v>2599</v>
      </c>
      <c r="B175" s="2473"/>
      <c r="C175" s="2473"/>
      <c r="D175" s="2473"/>
      <c r="E175" s="2473"/>
      <c r="F175" s="1125"/>
      <c r="G175" s="2474" t="e">
        <f aca="false">SUM(G168:G174)*E143</f>
        <v>#VALUE!</v>
      </c>
      <c r="H175" s="2471"/>
      <c r="I175" s="2470"/>
      <c r="J175" s="2404"/>
      <c r="K175" s="2436"/>
      <c r="L175" s="1148"/>
      <c r="M175" s="1148"/>
      <c r="N175" s="1148"/>
      <c r="O175" s="1148"/>
      <c r="P175" s="1148"/>
      <c r="Q175" s="1148"/>
      <c r="R175" s="1148"/>
      <c r="S175" s="1148"/>
      <c r="T175" s="1148"/>
      <c r="U175" s="1148"/>
    </row>
    <row r="176" customFormat="false" ht="15" hidden="false" customHeight="true" outlineLevel="1" collapsed="false">
      <c r="A176" s="2421" t="s">
        <v>3888</v>
      </c>
      <c r="B176" s="2421"/>
      <c r="C176" s="2421" t="s">
        <v>133</v>
      </c>
      <c r="D176" s="2421" t="e">
        <f aca="false">G166-G171-G172</f>
        <v>#VALUE!</v>
      </c>
      <c r="E176" s="2407"/>
      <c r="F176" s="2407"/>
      <c r="G176" s="2410"/>
      <c r="H176" s="2471"/>
      <c r="I176" s="2470"/>
      <c r="J176" s="2404"/>
      <c r="K176" s="2436"/>
      <c r="L176" s="1148"/>
      <c r="M176" s="1148"/>
      <c r="N176" s="1148"/>
      <c r="O176" s="1148"/>
      <c r="P176" s="1148"/>
      <c r="Q176" s="1148"/>
      <c r="R176" s="1148"/>
      <c r="S176" s="1148"/>
      <c r="T176" s="1148"/>
      <c r="U176" s="1148"/>
    </row>
    <row r="177" customFormat="false" ht="15" hidden="false" customHeight="true" outlineLevel="1" collapsed="false">
      <c r="A177" s="2421" t="s">
        <v>2648</v>
      </c>
      <c r="B177" s="2421"/>
      <c r="C177" s="2421" t="s">
        <v>133</v>
      </c>
      <c r="D177" s="2421" t="e">
        <f aca="false">(D153*D144+D152*D145+E147*F147+E148*F148+E149*F149)*(D151+D151+D150)-G168-G169-G170-G173-G174*H174</f>
        <v>#VALUE!</v>
      </c>
      <c r="E177" s="2407"/>
      <c r="F177" s="2407"/>
      <c r="G177" s="2410"/>
      <c r="H177" s="2471"/>
      <c r="I177" s="2470"/>
      <c r="J177" s="2404"/>
      <c r="K177" s="2436"/>
      <c r="L177" s="1148"/>
      <c r="M177" s="1148"/>
      <c r="N177" s="1148"/>
      <c r="O177" s="1148"/>
      <c r="P177" s="1148"/>
      <c r="Q177" s="1148"/>
      <c r="R177" s="1148"/>
      <c r="S177" s="1148"/>
      <c r="T177" s="1148"/>
      <c r="U177" s="1148"/>
    </row>
    <row r="178" customFormat="false" ht="15" hidden="false" customHeight="true" outlineLevel="1" collapsed="false">
      <c r="A178" s="2421" t="s">
        <v>3889</v>
      </c>
      <c r="B178" s="2421"/>
      <c r="C178" s="2421" t="s">
        <v>133</v>
      </c>
      <c r="D178" s="2421" t="e">
        <f aca="false">D176*2+D177</f>
        <v>#VALUE!</v>
      </c>
      <c r="E178" s="2407"/>
      <c r="F178" s="2407"/>
      <c r="G178" s="2410"/>
      <c r="H178" s="2471"/>
      <c r="I178" s="2470"/>
      <c r="J178" s="2404"/>
      <c r="K178" s="2436"/>
      <c r="L178" s="1148"/>
      <c r="M178" s="1148"/>
      <c r="N178" s="1148"/>
      <c r="O178" s="1148"/>
      <c r="P178" s="1148"/>
      <c r="Q178" s="1148"/>
      <c r="R178" s="1148"/>
      <c r="S178" s="1148"/>
      <c r="T178" s="1148"/>
      <c r="U178" s="1148"/>
    </row>
    <row r="179" customFormat="false" ht="15" hidden="false" customHeight="true" outlineLevel="1" collapsed="false">
      <c r="A179" s="2475" t="s">
        <v>2592</v>
      </c>
      <c r="B179" s="2476"/>
      <c r="C179" s="2477" t="s">
        <v>120</v>
      </c>
      <c r="D179" s="2477" t="s">
        <v>853</v>
      </c>
      <c r="E179" s="2352" t="n">
        <f aca="false">связи1!E558</f>
        <v>1.5</v>
      </c>
      <c r="F179" s="2478" t="s">
        <v>3890</v>
      </c>
      <c r="G179" s="2410"/>
      <c r="H179" s="2471"/>
      <c r="I179" s="2470"/>
      <c r="J179" s="2404"/>
      <c r="K179" s="2436"/>
      <c r="L179" s="1148"/>
      <c r="M179" s="1148"/>
      <c r="N179" s="1148"/>
      <c r="O179" s="1148"/>
      <c r="P179" s="1148"/>
      <c r="Q179" s="1148"/>
      <c r="R179" s="1148"/>
      <c r="S179" s="1148"/>
      <c r="T179" s="1148"/>
      <c r="U179" s="1148"/>
    </row>
    <row r="180" customFormat="false" ht="15" hidden="false" customHeight="true" outlineLevel="1" collapsed="false">
      <c r="A180" s="2479" t="s">
        <v>2820</v>
      </c>
      <c r="B180" s="2480"/>
      <c r="C180" s="32" t="s">
        <v>156</v>
      </c>
      <c r="D180" s="32" t="n">
        <f aca="false">SQRT(D151*D151+D155*D155)</f>
        <v>0</v>
      </c>
      <c r="E180" s="769"/>
      <c r="F180" s="769"/>
      <c r="G180" s="2410"/>
      <c r="H180" s="2471"/>
      <c r="I180" s="2470"/>
      <c r="J180" s="2404"/>
      <c r="K180" s="2436"/>
      <c r="L180" s="1148"/>
      <c r="M180" s="1148"/>
      <c r="N180" s="1148"/>
      <c r="O180" s="1148"/>
      <c r="P180" s="1148"/>
      <c r="Q180" s="1148"/>
      <c r="R180" s="1148"/>
      <c r="S180" s="1148"/>
      <c r="T180" s="1148"/>
      <c r="U180" s="1148"/>
    </row>
    <row r="181" customFormat="false" ht="15" hidden="false" customHeight="true" outlineLevel="1" collapsed="false">
      <c r="A181" s="2479" t="s">
        <v>3545</v>
      </c>
      <c r="B181" s="2480"/>
      <c r="C181" s="32" t="s">
        <v>156</v>
      </c>
      <c r="D181" s="2420" t="n">
        <f aca="false">связи1!C559</f>
        <v>0.5</v>
      </c>
      <c r="E181" s="769"/>
      <c r="F181" s="769"/>
      <c r="G181" s="2410"/>
      <c r="H181" s="2471"/>
      <c r="I181" s="2470"/>
      <c r="J181" s="2404"/>
      <c r="K181" s="2436"/>
      <c r="L181" s="1148"/>
      <c r="M181" s="1148"/>
      <c r="N181" s="1148"/>
      <c r="O181" s="1148"/>
      <c r="P181" s="1148"/>
      <c r="Q181" s="1148"/>
      <c r="R181" s="1148"/>
      <c r="S181" s="1148"/>
      <c r="T181" s="1148"/>
      <c r="U181" s="1148"/>
    </row>
    <row r="182" customFormat="false" ht="15" hidden="false" customHeight="true" outlineLevel="1" collapsed="false">
      <c r="A182" s="2479" t="s">
        <v>3891</v>
      </c>
      <c r="B182" s="2480"/>
      <c r="C182" s="32" t="s">
        <v>156</v>
      </c>
      <c r="D182" s="2420" t="n">
        <f aca="false">связи1!C561</f>
        <v>0.5</v>
      </c>
      <c r="E182" s="769"/>
      <c r="F182" s="769"/>
      <c r="G182" s="2410"/>
      <c r="H182" s="2449" t="s">
        <v>2547</v>
      </c>
      <c r="I182" s="2449"/>
      <c r="J182" s="2452" t="s">
        <v>159</v>
      </c>
      <c r="K182" s="2420" t="e">
        <f aca="false">'ввод данных'!#ref!</f>
        <v>#VALUE!</v>
      </c>
      <c r="L182" s="1148"/>
      <c r="M182" s="1148"/>
      <c r="N182" s="1148"/>
      <c r="O182" s="1148"/>
      <c r="P182" s="1148"/>
      <c r="Q182" s="1148"/>
      <c r="R182" s="1148"/>
      <c r="S182" s="1148"/>
      <c r="T182" s="1148"/>
      <c r="U182" s="1148"/>
    </row>
    <row r="183" customFormat="false" ht="15" hidden="false" customHeight="true" outlineLevel="1" collapsed="false">
      <c r="A183" s="2479" t="s">
        <v>2609</v>
      </c>
      <c r="B183" s="2480"/>
      <c r="C183" s="32" t="s">
        <v>133</v>
      </c>
      <c r="D183" s="32" t="n">
        <f aca="false">D180*D150</f>
        <v>0</v>
      </c>
      <c r="E183" s="769"/>
      <c r="F183" s="769"/>
      <c r="G183" s="2410"/>
      <c r="H183" s="2449" t="s">
        <v>2552</v>
      </c>
      <c r="I183" s="2449"/>
      <c r="J183" s="2452" t="s">
        <v>159</v>
      </c>
      <c r="K183" s="2420" t="e">
        <f aca="false">'ввод данных'!#ref!</f>
        <v>#VALUE!</v>
      </c>
      <c r="L183" s="1148"/>
      <c r="M183" s="1148"/>
      <c r="N183" s="1148"/>
      <c r="O183" s="1148"/>
      <c r="P183" s="1148"/>
      <c r="Q183" s="1148"/>
      <c r="R183" s="1148"/>
      <c r="S183" s="1148"/>
      <c r="T183" s="1148"/>
      <c r="U183" s="1148"/>
    </row>
    <row r="184" customFormat="false" ht="15" hidden="false" customHeight="true" outlineLevel="1" collapsed="false">
      <c r="A184" s="2479" t="s">
        <v>2610</v>
      </c>
      <c r="B184" s="2480"/>
      <c r="C184" s="32" t="s">
        <v>133</v>
      </c>
      <c r="D184" s="32" t="n">
        <f aca="false">(D180+D181)*(D150+D182+D182)</f>
        <v>0.5</v>
      </c>
      <c r="E184" s="769"/>
      <c r="F184" s="769"/>
      <c r="G184" s="2410"/>
      <c r="H184" s="366" t="s">
        <v>2638</v>
      </c>
      <c r="I184" s="443" t="s">
        <v>133</v>
      </c>
      <c r="J184" s="366" t="n">
        <f aca="false">K142*K143*K136+K142*K143*K137</f>
        <v>0</v>
      </c>
      <c r="K184" s="2436"/>
      <c r="L184" s="1148"/>
      <c r="M184" s="1148"/>
      <c r="N184" s="1148"/>
      <c r="O184" s="1148"/>
      <c r="P184" s="1148"/>
      <c r="Q184" s="1148"/>
      <c r="R184" s="1148"/>
      <c r="S184" s="1148"/>
      <c r="T184" s="1148"/>
      <c r="U184" s="1148"/>
    </row>
    <row r="185" customFormat="false" ht="15" hidden="false" customHeight="true" outlineLevel="1" collapsed="false">
      <c r="A185" s="2449" t="s">
        <v>2628</v>
      </c>
      <c r="B185" s="2449"/>
      <c r="C185" s="2449"/>
      <c r="D185" s="2449" t="s">
        <v>1820</v>
      </c>
      <c r="E185" s="2454" t="s">
        <v>293</v>
      </c>
      <c r="F185" s="2416"/>
      <c r="G185" s="2407"/>
      <c r="H185" s="2421" t="s">
        <v>3888</v>
      </c>
      <c r="I185" s="2421"/>
      <c r="J185" s="2421" t="s">
        <v>133</v>
      </c>
      <c r="K185" s="2421" t="n">
        <f aca="false">N175-N180-N181</f>
        <v>0</v>
      </c>
      <c r="L185" s="1148"/>
      <c r="M185" s="1148"/>
      <c r="N185" s="1148"/>
      <c r="O185" s="1148"/>
      <c r="P185" s="1148"/>
      <c r="Q185" s="1148"/>
      <c r="R185" s="1148"/>
      <c r="S185" s="1148"/>
      <c r="T185" s="1148"/>
      <c r="U185" s="1148"/>
    </row>
    <row r="186" customFormat="false" ht="15" hidden="false" customHeight="true" outlineLevel="1" collapsed="false">
      <c r="A186" s="263" t="s">
        <v>3518</v>
      </c>
      <c r="B186" s="263"/>
      <c r="C186" s="263"/>
      <c r="D186" s="263" t="s">
        <v>156</v>
      </c>
      <c r="E186" s="265" t="n">
        <v>0.15</v>
      </c>
      <c r="F186" s="2416" t="n">
        <f aca="false">связи1!F551</f>
        <v>3</v>
      </c>
      <c r="G186" s="2407"/>
      <c r="H186" s="2421" t="s">
        <v>2648</v>
      </c>
      <c r="I186" s="2421"/>
      <c r="J186" s="2421" t="s">
        <v>133</v>
      </c>
      <c r="K186" s="2421" t="n">
        <f aca="false">(K162*K153+K161*K154+L156*M156+L157*M157+L158*M158)*(K160+K160+K159)-N177-N178-N179-N182-N183*O183</f>
        <v>0</v>
      </c>
      <c r="L186" s="1148"/>
      <c r="M186" s="1148"/>
      <c r="N186" s="1148"/>
      <c r="O186" s="1148"/>
      <c r="P186" s="1148"/>
      <c r="Q186" s="1148"/>
      <c r="R186" s="1148"/>
      <c r="S186" s="1148"/>
      <c r="T186" s="1148"/>
      <c r="U186" s="1148"/>
    </row>
    <row r="187" customFormat="false" ht="15" hidden="false" customHeight="true" outlineLevel="1" collapsed="false">
      <c r="A187" s="263"/>
      <c r="B187" s="263"/>
      <c r="C187" s="263"/>
      <c r="D187" s="263" t="s">
        <v>156</v>
      </c>
      <c r="E187" s="265" t="n">
        <v>0.2</v>
      </c>
      <c r="F187" s="2416" t="n">
        <f aca="false">связи1!F552</f>
        <v>5</v>
      </c>
      <c r="G187" s="2407"/>
      <c r="H187" s="2421" t="s">
        <v>3889</v>
      </c>
      <c r="I187" s="2421"/>
      <c r="J187" s="2421" t="s">
        <v>133</v>
      </c>
      <c r="K187" s="2421" t="n">
        <f aca="false">K185*2+K186</f>
        <v>0</v>
      </c>
      <c r="L187" s="1148"/>
      <c r="M187" s="1148"/>
      <c r="N187" s="1148"/>
      <c r="O187" s="1148"/>
      <c r="P187" s="1148"/>
      <c r="Q187" s="1148"/>
      <c r="R187" s="1148"/>
      <c r="S187" s="1148"/>
      <c r="T187" s="1148"/>
      <c r="U187" s="1148"/>
    </row>
    <row r="188" customFormat="false" ht="15" hidden="false" customHeight="true" outlineLevel="1" collapsed="false">
      <c r="A188" s="263" t="s">
        <v>2632</v>
      </c>
      <c r="B188" s="263"/>
      <c r="C188" s="263"/>
      <c r="D188" s="263" t="s">
        <v>156</v>
      </c>
      <c r="E188" s="265" t="n">
        <v>0.15</v>
      </c>
      <c r="F188" s="2416" t="n">
        <f aca="false">связи1!F553</f>
        <v>3</v>
      </c>
      <c r="G188" s="2407"/>
      <c r="H188" s="2350" t="s">
        <v>2599</v>
      </c>
      <c r="I188" s="2473"/>
      <c r="J188" s="2473"/>
      <c r="K188" s="2473"/>
      <c r="L188" s="1148"/>
      <c r="M188" s="1148"/>
      <c r="N188" s="1148"/>
      <c r="O188" s="1148"/>
      <c r="P188" s="1148"/>
      <c r="Q188" s="1148"/>
      <c r="R188" s="1148"/>
      <c r="S188" s="1148"/>
      <c r="T188" s="1148"/>
      <c r="U188" s="1148"/>
    </row>
    <row r="189" customFormat="false" ht="15" hidden="false" customHeight="true" outlineLevel="1" collapsed="false">
      <c r="A189" s="263"/>
      <c r="B189" s="263"/>
      <c r="C189" s="263"/>
      <c r="D189" s="263" t="s">
        <v>156</v>
      </c>
      <c r="E189" s="265" t="n">
        <v>0.2</v>
      </c>
      <c r="F189" s="2416" t="n">
        <f aca="false">связи1!F554</f>
        <v>4</v>
      </c>
      <c r="G189" s="2407"/>
      <c r="H189" s="2403" t="s">
        <v>2071</v>
      </c>
      <c r="I189" s="2403"/>
      <c r="J189" s="2400" t="s">
        <v>156</v>
      </c>
      <c r="K189" s="2420"/>
      <c r="L189" s="1148"/>
      <c r="M189" s="1148"/>
      <c r="N189" s="1148"/>
      <c r="O189" s="1148"/>
      <c r="P189" s="1148"/>
      <c r="Q189" s="1148"/>
      <c r="R189" s="1148"/>
      <c r="S189" s="1148"/>
      <c r="T189" s="1148"/>
      <c r="U189" s="1148"/>
    </row>
    <row r="190" customFormat="false" ht="15" hidden="false" customHeight="true" outlineLevel="1" collapsed="false">
      <c r="A190" s="2481" t="s">
        <v>2635</v>
      </c>
      <c r="B190" s="2481"/>
      <c r="C190" s="2481"/>
      <c r="D190" s="2481"/>
      <c r="E190" s="2352" t="e">
        <f aca="false">'ввод данных'!#ref!</f>
        <v>#VALUE!</v>
      </c>
      <c r="F190" s="357" t="s">
        <v>3568</v>
      </c>
      <c r="G190" s="2407"/>
      <c r="H190" s="2403" t="s">
        <v>2573</v>
      </c>
      <c r="I190" s="2403"/>
      <c r="J190" s="2429" t="s">
        <v>156</v>
      </c>
      <c r="K190" s="2420"/>
      <c r="L190" s="1148"/>
      <c r="M190" s="1148"/>
      <c r="N190" s="1148"/>
      <c r="O190" s="1148"/>
      <c r="P190" s="1148"/>
      <c r="Q190" s="1148"/>
      <c r="R190" s="1148"/>
      <c r="S190" s="1148"/>
      <c r="T190" s="1148"/>
      <c r="U190" s="1148"/>
    </row>
    <row r="191" customFormat="false" ht="15" hidden="false" customHeight="true" outlineLevel="1" collapsed="false">
      <c r="A191" s="366" t="s">
        <v>2572</v>
      </c>
      <c r="B191" s="443" t="s">
        <v>156</v>
      </c>
      <c r="C191" s="366" t="n">
        <f aca="false">D150+D151*2</f>
        <v>0</v>
      </c>
      <c r="D191" s="357"/>
      <c r="E191" s="357"/>
      <c r="F191" s="769"/>
      <c r="G191" s="2407"/>
      <c r="H191" s="2403" t="s">
        <v>3882</v>
      </c>
      <c r="I191" s="2403"/>
      <c r="J191" s="2429" t="s">
        <v>156</v>
      </c>
      <c r="K191" s="2420"/>
      <c r="L191" s="1148"/>
      <c r="M191" s="1148"/>
      <c r="N191" s="1148"/>
      <c r="O191" s="1148"/>
      <c r="P191" s="1148"/>
      <c r="Q191" s="1148"/>
      <c r="R191" s="1148"/>
      <c r="S191" s="1148"/>
      <c r="T191" s="1148"/>
      <c r="U191" s="1148"/>
    </row>
    <row r="192" customFormat="false" ht="15" hidden="false" customHeight="true" outlineLevel="1" collapsed="false">
      <c r="A192" s="366" t="s">
        <v>2638</v>
      </c>
      <c r="B192" s="443" t="s">
        <v>133</v>
      </c>
      <c r="C192" s="366" t="n">
        <f aca="false">D150*D151*D144+D150*D151*D145</f>
        <v>0</v>
      </c>
      <c r="D192" s="357"/>
      <c r="E192" s="357"/>
      <c r="F192" s="769"/>
      <c r="G192" s="2407"/>
      <c r="H192" s="2403" t="s">
        <v>3883</v>
      </c>
      <c r="I192" s="2403"/>
      <c r="J192" s="2429" t="s">
        <v>156</v>
      </c>
      <c r="K192" s="2420" t="e">
        <f aca="false">'ввод данных'!#ref!</f>
        <v>#VALUE!</v>
      </c>
      <c r="L192" s="1148"/>
      <c r="M192" s="1148"/>
      <c r="N192" s="1148"/>
      <c r="O192" s="1148"/>
      <c r="P192" s="1148"/>
      <c r="Q192" s="1148"/>
      <c r="R192" s="1148"/>
      <c r="S192" s="1148"/>
      <c r="T192" s="1148"/>
      <c r="U192" s="1148"/>
    </row>
    <row r="193" customFormat="false" ht="15" hidden="false" customHeight="true" outlineLevel="1" collapsed="false">
      <c r="A193" s="357"/>
      <c r="B193" s="386"/>
      <c r="C193" s="357"/>
      <c r="D193" s="357"/>
      <c r="E193" s="357"/>
      <c r="F193" s="769"/>
      <c r="G193" s="2407"/>
      <c r="H193" s="2403" t="s">
        <v>3884</v>
      </c>
      <c r="I193" s="2403"/>
      <c r="J193" s="2429" t="s">
        <v>156</v>
      </c>
      <c r="K193" s="2420"/>
      <c r="L193" s="1148"/>
      <c r="M193" s="1148"/>
      <c r="N193" s="1148"/>
      <c r="O193" s="1148"/>
      <c r="P193" s="1148"/>
      <c r="Q193" s="1148"/>
      <c r="R193" s="1148"/>
      <c r="S193" s="1148"/>
      <c r="T193" s="1148"/>
      <c r="U193" s="1148"/>
    </row>
    <row r="194" customFormat="false" ht="15" hidden="false" customHeight="true" outlineLevel="1" collapsed="false">
      <c r="A194" s="357"/>
      <c r="B194" s="386"/>
      <c r="C194" s="357"/>
      <c r="D194" s="357"/>
      <c r="E194" s="357"/>
      <c r="F194" s="769"/>
      <c r="G194" s="2407"/>
      <c r="H194" s="2408" t="s">
        <v>3885</v>
      </c>
      <c r="I194" s="2408"/>
      <c r="J194" s="2429" t="s">
        <v>156</v>
      </c>
      <c r="K194" s="2442" t="n">
        <f aca="false">K193-K191</f>
        <v>0</v>
      </c>
      <c r="L194" s="1148"/>
      <c r="M194" s="1148"/>
      <c r="N194" s="1148"/>
      <c r="O194" s="1148"/>
      <c r="P194" s="1148"/>
      <c r="Q194" s="1148"/>
      <c r="R194" s="1148"/>
      <c r="S194" s="1148"/>
      <c r="T194" s="1148"/>
      <c r="U194" s="1148"/>
    </row>
    <row r="195" customFormat="false" ht="15" hidden="false" customHeight="true" outlineLevel="1" collapsed="false">
      <c r="A195" s="2481" t="s">
        <v>2030</v>
      </c>
      <c r="B195" s="2469" t="s">
        <v>120</v>
      </c>
      <c r="C195" s="2469" t="s">
        <v>1753</v>
      </c>
      <c r="D195" s="2420" t="str">
        <f aca="false">'Ввод данных'!F458</f>
        <v>Не считать</v>
      </c>
      <c r="E195" s="2482" t="s">
        <v>3520</v>
      </c>
      <c r="F195" s="462"/>
      <c r="G195" s="2483"/>
      <c r="H195" s="2449" t="s">
        <v>2001</v>
      </c>
      <c r="I195" s="2449"/>
      <c r="J195" s="2451" t="s">
        <v>156</v>
      </c>
      <c r="K195" s="443" t="n">
        <f aca="false">K198*K199*M195</f>
        <v>0</v>
      </c>
      <c r="L195" s="1148"/>
      <c r="M195" s="1148"/>
      <c r="N195" s="1148"/>
      <c r="O195" s="1148"/>
      <c r="P195" s="1148"/>
      <c r="Q195" s="1148"/>
      <c r="R195" s="1148"/>
      <c r="S195" s="1148"/>
      <c r="T195" s="1148"/>
      <c r="U195" s="1148"/>
    </row>
    <row r="196" customFormat="false" ht="15" hidden="false" customHeight="true" outlineLevel="1" collapsed="false">
      <c r="A196" s="366" t="s">
        <v>2547</v>
      </c>
      <c r="B196" s="366" t="s">
        <v>159</v>
      </c>
      <c r="C196" s="2484" t="n">
        <f aca="false">'Ввод данных'!E422</f>
        <v>0</v>
      </c>
      <c r="D196" s="356"/>
      <c r="E196" s="356"/>
      <c r="F196" s="356"/>
      <c r="G196" s="356"/>
      <c r="H196" s="2449" t="s">
        <v>2557</v>
      </c>
      <c r="I196" s="2449"/>
      <c r="J196" s="2451" t="s">
        <v>156</v>
      </c>
      <c r="K196" s="443" t="n">
        <f aca="false">K198*K199*M196</f>
        <v>0</v>
      </c>
      <c r="L196" s="1148"/>
      <c r="M196" s="1148"/>
      <c r="N196" s="1148"/>
      <c r="O196" s="1148"/>
      <c r="P196" s="1148"/>
      <c r="Q196" s="1148"/>
      <c r="R196" s="1148"/>
      <c r="S196" s="1148"/>
      <c r="T196" s="1148"/>
      <c r="U196" s="1148"/>
    </row>
    <row r="197" customFormat="false" ht="15" hidden="false" customHeight="true" outlineLevel="1" collapsed="false">
      <c r="A197" s="366" t="s">
        <v>2552</v>
      </c>
      <c r="B197" s="366" t="s">
        <v>159</v>
      </c>
      <c r="C197" s="2484" t="n">
        <f aca="false">'Ввод данных'!E423</f>
        <v>0</v>
      </c>
      <c r="D197" s="2407"/>
      <c r="E197" s="356"/>
      <c r="F197" s="356"/>
      <c r="G197" s="356"/>
      <c r="H197" s="2403" t="s">
        <v>2558</v>
      </c>
      <c r="I197" s="2403"/>
      <c r="J197" s="2465" t="s">
        <v>156</v>
      </c>
      <c r="K197" s="301" t="n">
        <f aca="false">K198*K199*M197</f>
        <v>0</v>
      </c>
      <c r="L197" s="1148"/>
      <c r="M197" s="1148"/>
      <c r="N197" s="1148"/>
      <c r="O197" s="1148"/>
      <c r="P197" s="1148"/>
      <c r="Q197" s="1148"/>
      <c r="R197" s="1148"/>
      <c r="S197" s="1148"/>
      <c r="T197" s="1148"/>
      <c r="U197" s="1148"/>
    </row>
    <row r="198" customFormat="false" ht="15" hidden="false" customHeight="true" outlineLevel="1" collapsed="false">
      <c r="A198" s="462" t="s">
        <v>1236</v>
      </c>
      <c r="B198" s="462" t="s">
        <v>120</v>
      </c>
      <c r="C198" s="462" t="s">
        <v>2548</v>
      </c>
      <c r="D198" s="366" t="s">
        <v>2975</v>
      </c>
      <c r="E198" s="2407"/>
      <c r="F198" s="2407"/>
      <c r="G198" s="356"/>
      <c r="H198" s="2435"/>
      <c r="I198" s="2470"/>
      <c r="J198" s="2404"/>
      <c r="K198" s="2401"/>
      <c r="L198" s="1148"/>
      <c r="M198" s="1148"/>
      <c r="N198" s="1148"/>
      <c r="O198" s="1148"/>
      <c r="P198" s="1148"/>
      <c r="Q198" s="1148"/>
      <c r="R198" s="1148"/>
      <c r="S198" s="1148"/>
      <c r="T198" s="1148"/>
      <c r="U198" s="1148"/>
    </row>
    <row r="199" customFormat="false" ht="15" hidden="false" customHeight="true" outlineLevel="1" collapsed="false">
      <c r="A199" s="366" t="s">
        <v>2001</v>
      </c>
      <c r="B199" s="366" t="s">
        <v>159</v>
      </c>
      <c r="C199" s="2421" t="e">
        <f aca="false">(C204*C208+(C207-C204)*C202+(C207-C204)*((C208-C202)/2)*2)*E199</f>
        <v>#VALUE!</v>
      </c>
      <c r="D199" s="2420" t="n">
        <f aca="false">'Ввод данных'!D425</f>
        <v>0</v>
      </c>
      <c r="E199" s="2352" t="e">
        <f aca="false">'ввод данных'!#ref!</f>
        <v>#VALUE!</v>
      </c>
      <c r="F199" s="357" t="s">
        <v>3521</v>
      </c>
      <c r="G199" s="356"/>
      <c r="H199" s="2435"/>
      <c r="I199" s="2470"/>
      <c r="J199" s="2404"/>
      <c r="K199" s="2401"/>
      <c r="L199" s="1148"/>
      <c r="M199" s="1148"/>
      <c r="N199" s="1148"/>
      <c r="O199" s="1148"/>
      <c r="P199" s="1148"/>
      <c r="Q199" s="1148"/>
      <c r="R199" s="1148"/>
      <c r="S199" s="1148"/>
      <c r="T199" s="1148"/>
      <c r="U199" s="1148"/>
    </row>
    <row r="200" customFormat="false" ht="15" hidden="false" customHeight="true" outlineLevel="1" collapsed="false">
      <c r="A200" s="366" t="s">
        <v>2557</v>
      </c>
      <c r="B200" s="366" t="s">
        <v>159</v>
      </c>
      <c r="C200" s="2421" t="e">
        <f aca="false">(C204*C208+(C207-C204)*C202+(C207-C204)*((C208-C202)/2)*2)*E200</f>
        <v>#VALUE!</v>
      </c>
      <c r="D200" s="2420" t="n">
        <f aca="false">'Ввод данных'!D426</f>
        <v>0</v>
      </c>
      <c r="E200" s="2352" t="e">
        <f aca="false">'ввод данных'!#ref!</f>
        <v>#VALUE!</v>
      </c>
      <c r="F200" s="357" t="s">
        <v>3522</v>
      </c>
      <c r="G200" s="2483"/>
      <c r="H200" s="2435"/>
      <c r="I200" s="2470"/>
      <c r="J200" s="2404"/>
      <c r="K200" s="2401"/>
      <c r="L200" s="1148"/>
      <c r="M200" s="1148"/>
      <c r="N200" s="1148"/>
      <c r="O200" s="1148"/>
      <c r="P200" s="1148"/>
      <c r="Q200" s="1148"/>
      <c r="R200" s="1148"/>
      <c r="S200" s="1148"/>
      <c r="T200" s="1148"/>
      <c r="U200" s="1148"/>
    </row>
    <row r="201" customFormat="false" ht="15" hidden="false" customHeight="true" outlineLevel="1" collapsed="false">
      <c r="A201" s="366" t="s">
        <v>2558</v>
      </c>
      <c r="B201" s="366" t="s">
        <v>159</v>
      </c>
      <c r="C201" s="2421" t="e">
        <f aca="false">(C204*C208+(C207-C204)*C202+(C207-C204)*((C208-C202)/2)*2)*E201</f>
        <v>#VALUE!</v>
      </c>
      <c r="D201" s="2420" t="n">
        <f aca="false">'Ввод данных'!D427</f>
        <v>0</v>
      </c>
      <c r="E201" s="2352" t="e">
        <f aca="false">'ввод данных'!#ref!</f>
        <v>#VALUE!</v>
      </c>
      <c r="F201" s="357" t="s">
        <v>3523</v>
      </c>
      <c r="G201" s="2410"/>
      <c r="H201" s="2471"/>
      <c r="I201" s="2470"/>
      <c r="J201" s="2404"/>
      <c r="K201" s="2401"/>
      <c r="L201" s="1148"/>
      <c r="M201" s="1148"/>
      <c r="N201" s="1148"/>
      <c r="O201" s="1148"/>
      <c r="P201" s="1148"/>
      <c r="Q201" s="1148"/>
      <c r="R201" s="1148"/>
      <c r="S201" s="1148"/>
      <c r="T201" s="1148"/>
      <c r="U201" s="1148"/>
    </row>
    <row r="202" customFormat="false" ht="15" hidden="false" customHeight="true" outlineLevel="1" collapsed="false">
      <c r="A202" s="2449" t="s">
        <v>3524</v>
      </c>
      <c r="B202" s="443" t="s">
        <v>156</v>
      </c>
      <c r="C202" s="2484"/>
      <c r="D202" s="462"/>
      <c r="E202" s="462"/>
      <c r="F202" s="462"/>
      <c r="G202" s="2410"/>
      <c r="H202" s="2471"/>
      <c r="I202" s="2470"/>
      <c r="J202" s="2404"/>
      <c r="K202" s="2401"/>
      <c r="L202" s="1148"/>
      <c r="M202" s="1148"/>
      <c r="N202" s="1148"/>
      <c r="O202" s="1148"/>
      <c r="P202" s="1148"/>
      <c r="Q202" s="1148"/>
      <c r="R202" s="1148"/>
      <c r="S202" s="1148"/>
      <c r="T202" s="1148"/>
      <c r="U202" s="1148"/>
    </row>
    <row r="203" customFormat="false" ht="15" hidden="false" customHeight="true" outlineLevel="1" collapsed="false">
      <c r="A203" s="2449" t="s">
        <v>3525</v>
      </c>
      <c r="B203" s="443" t="s">
        <v>156</v>
      </c>
      <c r="C203" s="443" t="n">
        <f aca="false">SQRT((C208-C202)/2*(C208-C202)/2+(C207-C204)*(C207-C204))</f>
        <v>0</v>
      </c>
      <c r="D203" s="462"/>
      <c r="E203" s="462"/>
      <c r="F203" s="462"/>
      <c r="G203" s="2410"/>
      <c r="H203" s="2471"/>
      <c r="I203" s="2470"/>
      <c r="J203" s="2404"/>
      <c r="K203" s="2401"/>
      <c r="L203" s="1148"/>
      <c r="M203" s="1148"/>
      <c r="N203" s="1148"/>
      <c r="O203" s="1148"/>
      <c r="P203" s="1148"/>
      <c r="Q203" s="1148"/>
      <c r="R203" s="1148"/>
      <c r="S203" s="1148"/>
      <c r="T203" s="1148"/>
      <c r="U203" s="1148"/>
    </row>
    <row r="204" customFormat="false" ht="15" hidden="false" customHeight="true" outlineLevel="1" collapsed="false">
      <c r="A204" s="2449" t="s">
        <v>3526</v>
      </c>
      <c r="B204" s="443" t="s">
        <v>156</v>
      </c>
      <c r="C204" s="2484"/>
      <c r="D204" s="2420"/>
      <c r="E204" s="462"/>
      <c r="F204" s="462"/>
      <c r="G204" s="2410"/>
      <c r="H204" s="2471"/>
      <c r="I204" s="2470"/>
      <c r="J204" s="2404"/>
      <c r="K204" s="2401"/>
      <c r="L204" s="1148"/>
      <c r="M204" s="1148"/>
      <c r="N204" s="1148"/>
      <c r="O204" s="1148"/>
      <c r="P204" s="1148"/>
      <c r="Q204" s="1148"/>
      <c r="R204" s="1148"/>
      <c r="S204" s="1148"/>
      <c r="T204" s="1148"/>
      <c r="U204" s="1148"/>
    </row>
    <row r="205" customFormat="false" ht="15" hidden="false" customHeight="true" outlineLevel="1" collapsed="false">
      <c r="A205" s="2449" t="s">
        <v>3892</v>
      </c>
      <c r="B205" s="443" t="s">
        <v>156</v>
      </c>
      <c r="C205" s="2484"/>
      <c r="D205" s="386"/>
      <c r="E205" s="462"/>
      <c r="F205" s="462"/>
      <c r="G205" s="2410"/>
      <c r="H205" s="2471"/>
      <c r="I205" s="2470"/>
      <c r="J205" s="2404"/>
      <c r="K205" s="2401"/>
      <c r="L205" s="1148"/>
      <c r="M205" s="1148"/>
      <c r="N205" s="1148"/>
      <c r="O205" s="1148"/>
      <c r="P205" s="1148"/>
      <c r="Q205" s="1148"/>
      <c r="R205" s="1148"/>
      <c r="S205" s="1148"/>
      <c r="T205" s="1148"/>
      <c r="U205" s="1148"/>
    </row>
    <row r="206" customFormat="false" ht="15" hidden="false" customHeight="true" outlineLevel="1" collapsed="false">
      <c r="A206" s="2449" t="s">
        <v>3529</v>
      </c>
      <c r="B206" s="443" t="s">
        <v>156</v>
      </c>
      <c r="C206" s="2484"/>
      <c r="D206" s="386"/>
      <c r="E206" s="462"/>
      <c r="F206" s="462"/>
      <c r="G206" s="2410"/>
      <c r="H206" s="2471"/>
      <c r="I206" s="2470"/>
      <c r="J206" s="2404"/>
      <c r="K206" s="2401"/>
      <c r="L206" s="1148"/>
      <c r="M206" s="1148"/>
      <c r="N206" s="1148"/>
      <c r="O206" s="1148"/>
      <c r="P206" s="1148"/>
      <c r="Q206" s="1148"/>
      <c r="R206" s="1148"/>
      <c r="S206" s="1148"/>
      <c r="T206" s="1148"/>
      <c r="U206" s="1148"/>
    </row>
    <row r="207" customFormat="false" ht="15" hidden="false" customHeight="true" outlineLevel="1" collapsed="false">
      <c r="A207" s="2449" t="s">
        <v>3530</v>
      </c>
      <c r="B207" s="443" t="s">
        <v>156</v>
      </c>
      <c r="C207" s="2484"/>
      <c r="D207" s="462"/>
      <c r="E207" s="462"/>
      <c r="F207" s="462"/>
      <c r="G207" s="2410"/>
      <c r="H207" s="2407"/>
      <c r="I207" s="2470"/>
      <c r="J207" s="2404"/>
      <c r="K207" s="2401"/>
      <c r="L207" s="1148"/>
      <c r="M207" s="1148"/>
      <c r="N207" s="1148"/>
      <c r="O207" s="1148"/>
      <c r="P207" s="1148"/>
      <c r="Q207" s="1148"/>
      <c r="R207" s="1148"/>
      <c r="S207" s="1148"/>
      <c r="T207" s="1148"/>
      <c r="U207" s="1148"/>
    </row>
    <row r="208" customFormat="false" ht="15" hidden="false" customHeight="true" outlineLevel="1" collapsed="false">
      <c r="A208" s="2449" t="s">
        <v>3531</v>
      </c>
      <c r="B208" s="443" t="s">
        <v>156</v>
      </c>
      <c r="C208" s="2484"/>
      <c r="D208" s="462"/>
      <c r="E208" s="462"/>
      <c r="F208" s="462"/>
      <c r="G208" s="2410"/>
      <c r="H208" s="2471"/>
      <c r="I208" s="2470"/>
      <c r="J208" s="2404"/>
      <c r="K208" s="2401"/>
      <c r="L208" s="1148"/>
      <c r="M208" s="1148"/>
      <c r="N208" s="1148"/>
      <c r="O208" s="1148"/>
      <c r="P208" s="1148"/>
      <c r="Q208" s="1148"/>
      <c r="R208" s="1148"/>
      <c r="S208" s="1148"/>
      <c r="T208" s="1148"/>
      <c r="U208" s="1148"/>
    </row>
    <row r="209" customFormat="false" ht="15" hidden="false" customHeight="true" outlineLevel="1" collapsed="false">
      <c r="A209" s="2485" t="s">
        <v>3893</v>
      </c>
      <c r="B209" s="2486" t="s">
        <v>156</v>
      </c>
      <c r="C209" s="2484"/>
      <c r="D209" s="2402"/>
      <c r="E209" s="2402"/>
      <c r="F209" s="2402"/>
      <c r="G209" s="2407"/>
      <c r="H209" s="2471"/>
      <c r="I209" s="2470"/>
      <c r="J209" s="2404"/>
      <c r="K209" s="2401"/>
      <c r="L209" s="1148"/>
      <c r="M209" s="1148"/>
      <c r="N209" s="1148"/>
      <c r="O209" s="1148"/>
      <c r="P209" s="1148"/>
      <c r="Q209" s="1148"/>
      <c r="R209" s="1148"/>
      <c r="S209" s="1148"/>
      <c r="T209" s="1148"/>
      <c r="U209" s="1148"/>
    </row>
    <row r="210" customFormat="false" ht="15" hidden="false" customHeight="true" outlineLevel="1" collapsed="false">
      <c r="A210" s="2487" t="s">
        <v>1236</v>
      </c>
      <c r="B210" s="2469" t="s">
        <v>120</v>
      </c>
      <c r="C210" s="2469" t="s">
        <v>2580</v>
      </c>
      <c r="D210" s="2469" t="s">
        <v>2581</v>
      </c>
      <c r="E210" s="2469" t="s">
        <v>1802</v>
      </c>
      <c r="F210" s="2418" t="s">
        <v>3894</v>
      </c>
      <c r="G210" s="2410"/>
      <c r="H210" s="2471"/>
      <c r="I210" s="2470"/>
      <c r="J210" s="2404"/>
      <c r="K210" s="2401"/>
      <c r="L210" s="1148"/>
      <c r="M210" s="1148"/>
      <c r="N210" s="1148"/>
      <c r="O210" s="1148"/>
      <c r="P210" s="1148"/>
      <c r="Q210" s="1148"/>
      <c r="R210" s="1148"/>
      <c r="S210" s="1148"/>
      <c r="T210" s="1148"/>
      <c r="U210" s="1148"/>
    </row>
    <row r="211" customFormat="false" ht="15" hidden="false" customHeight="true" outlineLevel="1" collapsed="false">
      <c r="A211" s="2488" t="s">
        <v>2210</v>
      </c>
      <c r="B211" s="443" t="s">
        <v>156</v>
      </c>
      <c r="C211" s="2484" t="n">
        <f aca="false">'Ввод данных'!C432</f>
        <v>2.7</v>
      </c>
      <c r="D211" s="2420" t="n">
        <f aca="false">'Ввод данных'!D429</f>
        <v>0</v>
      </c>
      <c r="E211" s="2352" t="e">
        <f aca="false">'ввод данных'!#ref!</f>
        <v>#VALUE!</v>
      </c>
      <c r="F211" s="2489" t="e">
        <f aca="false">C211*D211*E211</f>
        <v>#VALUE!</v>
      </c>
      <c r="G211" s="2410"/>
      <c r="H211" s="2471"/>
      <c r="I211" s="2470"/>
      <c r="J211" s="2404"/>
      <c r="K211" s="2401"/>
      <c r="L211" s="1148"/>
      <c r="M211" s="1148"/>
      <c r="N211" s="1148"/>
      <c r="O211" s="1148"/>
      <c r="P211" s="1148"/>
      <c r="Q211" s="1148"/>
      <c r="R211" s="1148"/>
      <c r="S211" s="1148"/>
      <c r="T211" s="1148"/>
      <c r="U211" s="1148"/>
    </row>
    <row r="212" customFormat="false" ht="15" hidden="false" customHeight="true" outlineLevel="1" collapsed="false">
      <c r="A212" s="2486"/>
      <c r="B212" s="443" t="s">
        <v>156</v>
      </c>
      <c r="C212" s="2484"/>
      <c r="D212" s="2420" t="n">
        <f aca="false">'Ввод данных'!D430</f>
        <v>0</v>
      </c>
      <c r="E212" s="2352" t="e">
        <f aca="false">'ввод данных'!#ref!</f>
        <v>#VALUE!</v>
      </c>
      <c r="F212" s="2489" t="e">
        <f aca="false">C212*D212*E212</f>
        <v>#VALUE!</v>
      </c>
      <c r="G212" s="2410"/>
      <c r="H212" s="2471"/>
      <c r="I212" s="2470"/>
      <c r="J212" s="2404"/>
      <c r="K212" s="2401"/>
      <c r="L212" s="1148"/>
      <c r="M212" s="1148"/>
      <c r="N212" s="1148"/>
      <c r="O212" s="1148"/>
      <c r="P212" s="1148"/>
      <c r="Q212" s="1148"/>
      <c r="R212" s="1148"/>
      <c r="S212" s="1148"/>
      <c r="T212" s="1148"/>
      <c r="U212" s="1148"/>
    </row>
    <row r="213" customFormat="false" ht="15" hidden="false" customHeight="true" outlineLevel="1" collapsed="false">
      <c r="A213" s="2490"/>
      <c r="B213" s="443" t="s">
        <v>156</v>
      </c>
      <c r="C213" s="2484"/>
      <c r="D213" s="2420" t="n">
        <f aca="false">'Ввод данных'!D431</f>
        <v>0</v>
      </c>
      <c r="E213" s="2352" t="e">
        <f aca="false">'ввод данных'!#ref!</f>
        <v>#VALUE!</v>
      </c>
      <c r="F213" s="2489" t="e">
        <f aca="false">C213*D213*E213</f>
        <v>#VALUE!</v>
      </c>
      <c r="G213" s="2410"/>
      <c r="H213" s="2471"/>
      <c r="I213" s="2470"/>
      <c r="J213" s="2404"/>
      <c r="K213" s="2401"/>
      <c r="L213" s="1148"/>
      <c r="M213" s="1148"/>
      <c r="N213" s="1148"/>
      <c r="O213" s="1148"/>
      <c r="P213" s="1148"/>
      <c r="Q213" s="1148"/>
      <c r="R213" s="1148"/>
      <c r="S213" s="1148"/>
      <c r="T213" s="1148"/>
      <c r="U213" s="1148"/>
    </row>
    <row r="214" customFormat="false" ht="15" hidden="false" customHeight="true" outlineLevel="1" collapsed="false">
      <c r="A214" s="2488" t="s">
        <v>3895</v>
      </c>
      <c r="B214" s="443" t="s">
        <v>156</v>
      </c>
      <c r="C214" s="2484" t="e">
        <f aca="false">'ввод данных'!#ref!</f>
        <v>#VALUE!</v>
      </c>
      <c r="D214" s="2420" t="n">
        <f aca="false">'Ввод данных'!D432</f>
        <v>0</v>
      </c>
      <c r="E214" s="2352" t="e">
        <f aca="false">'ввод данных'!#ref!</f>
        <v>#VALUE!</v>
      </c>
      <c r="F214" s="2489" t="e">
        <f aca="false">C214*D214*E214</f>
        <v>#VALUE!</v>
      </c>
      <c r="G214" s="2410"/>
      <c r="H214" s="2471"/>
      <c r="I214" s="2470"/>
      <c r="J214" s="2404"/>
      <c r="K214" s="2401"/>
      <c r="L214" s="1148"/>
      <c r="M214" s="1148"/>
      <c r="N214" s="1148"/>
      <c r="O214" s="1148"/>
      <c r="P214" s="1148"/>
      <c r="Q214" s="1148"/>
      <c r="R214" s="1148"/>
      <c r="S214" s="1148"/>
      <c r="T214" s="1148"/>
      <c r="U214" s="1148"/>
    </row>
    <row r="215" customFormat="false" ht="15" hidden="false" customHeight="true" outlineLevel="1" collapsed="false">
      <c r="A215" s="2490"/>
      <c r="B215" s="443" t="s">
        <v>156</v>
      </c>
      <c r="C215" s="2484" t="n">
        <f aca="false">'Ввод данных'!C434</f>
        <v>0</v>
      </c>
      <c r="D215" s="2420" t="n">
        <f aca="false">'Ввод данных'!D433</f>
        <v>0</v>
      </c>
      <c r="E215" s="2352" t="e">
        <f aca="false">'ввод данных'!#ref!</f>
        <v>#VALUE!</v>
      </c>
      <c r="F215" s="2489" t="e">
        <f aca="false">C215*D215*E215</f>
        <v>#VALUE!</v>
      </c>
      <c r="G215" s="2410"/>
      <c r="H215" s="2471"/>
      <c r="I215" s="2470"/>
      <c r="J215" s="2404"/>
      <c r="K215" s="2401"/>
      <c r="L215" s="1148"/>
      <c r="M215" s="1148"/>
      <c r="N215" s="1148"/>
      <c r="O215" s="1148"/>
      <c r="P215" s="1148"/>
      <c r="Q215" s="1148"/>
      <c r="R215" s="1148"/>
      <c r="S215" s="1148"/>
      <c r="T215" s="1148"/>
      <c r="U215" s="1148"/>
    </row>
    <row r="216" customFormat="false" ht="15" hidden="false" customHeight="true" outlineLevel="1" collapsed="false">
      <c r="A216" s="2421" t="s">
        <v>3896</v>
      </c>
      <c r="B216" s="2421" t="s">
        <v>133</v>
      </c>
      <c r="C216" s="2421" t="e">
        <f aca="false">F211+F212+F215+F214+F213</f>
        <v>#VALUE!</v>
      </c>
      <c r="D216" s="2407"/>
      <c r="E216" s="2407"/>
      <c r="F216" s="2407"/>
      <c r="G216" s="2410"/>
      <c r="H216" s="2471"/>
      <c r="I216" s="2470"/>
      <c r="J216" s="2404"/>
      <c r="K216" s="2401"/>
      <c r="L216" s="1148"/>
      <c r="M216" s="1148"/>
      <c r="N216" s="1148"/>
      <c r="O216" s="1148"/>
      <c r="P216" s="1148"/>
      <c r="Q216" s="1148"/>
      <c r="R216" s="1148"/>
      <c r="S216" s="1148"/>
      <c r="T216" s="1148"/>
      <c r="U216" s="1148"/>
    </row>
    <row r="217" customFormat="false" ht="15" hidden="false" customHeight="true" outlineLevel="1" collapsed="false">
      <c r="A217" s="2421" t="s">
        <v>3541</v>
      </c>
      <c r="B217" s="2421" t="s">
        <v>133</v>
      </c>
      <c r="C217" s="2421" t="e">
        <f aca="false">(C204*2+C203*2+C202)*(C205+C209*C197+D199*E199+D200*E200+D201*E201)</f>
        <v>#VALUE!</v>
      </c>
      <c r="D217" s="2407"/>
      <c r="E217" s="2407"/>
      <c r="F217" s="2407"/>
      <c r="G217" s="2410"/>
      <c r="H217" s="2471"/>
      <c r="I217" s="2470"/>
      <c r="J217" s="2404"/>
      <c r="K217" s="2401"/>
      <c r="L217" s="1148"/>
      <c r="M217" s="1148"/>
      <c r="N217" s="1148"/>
      <c r="O217" s="1148"/>
      <c r="P217" s="1148"/>
      <c r="Q217" s="1148"/>
      <c r="R217" s="1148"/>
      <c r="S217" s="1148"/>
      <c r="T217" s="1148"/>
      <c r="U217" s="1148"/>
    </row>
    <row r="218" customFormat="false" ht="15" hidden="false" customHeight="true" outlineLevel="1" collapsed="false">
      <c r="A218" s="2421" t="s">
        <v>3542</v>
      </c>
      <c r="B218" s="2421" t="s">
        <v>133</v>
      </c>
      <c r="C218" s="2421" t="e">
        <f aca="false">C217-C216</f>
        <v>#VALUE!</v>
      </c>
      <c r="D218" s="2407"/>
      <c r="E218" s="2407"/>
      <c r="F218" s="2407"/>
      <c r="G218" s="2410"/>
      <c r="H218" s="2471"/>
      <c r="I218" s="2470"/>
      <c r="J218" s="2404"/>
      <c r="K218" s="2401"/>
      <c r="L218" s="1148"/>
      <c r="M218" s="1148"/>
      <c r="N218" s="1148"/>
      <c r="O218" s="1148"/>
      <c r="P218" s="1148"/>
      <c r="Q218" s="1148"/>
      <c r="R218" s="1148"/>
      <c r="S218" s="1148"/>
      <c r="T218" s="1148"/>
      <c r="U218" s="1148"/>
    </row>
    <row r="219" customFormat="false" ht="15" hidden="false" customHeight="true" outlineLevel="1" collapsed="false">
      <c r="A219" s="2491" t="s">
        <v>3543</v>
      </c>
      <c r="B219" s="2491"/>
      <c r="C219" s="2477" t="s">
        <v>120</v>
      </c>
      <c r="D219" s="2477" t="s">
        <v>853</v>
      </c>
      <c r="E219" s="2352" t="e">
        <f aca="false">'ввод данных'!#ref!</f>
        <v>#VALUE!</v>
      </c>
      <c r="F219" s="2478" t="s">
        <v>3555</v>
      </c>
      <c r="G219" s="2410"/>
      <c r="H219" s="2471"/>
      <c r="I219" s="2470"/>
      <c r="J219" s="2404"/>
      <c r="K219" s="2401"/>
      <c r="L219" s="1148"/>
      <c r="M219" s="1148"/>
      <c r="N219" s="1148"/>
      <c r="O219" s="1148"/>
      <c r="P219" s="1148"/>
      <c r="Q219" s="1148"/>
      <c r="R219" s="1148"/>
      <c r="S219" s="1148"/>
      <c r="T219" s="1148"/>
      <c r="U219" s="1148"/>
    </row>
    <row r="220" customFormat="false" ht="15" hidden="false" customHeight="true" outlineLevel="1" collapsed="false">
      <c r="A220" s="2492" t="s">
        <v>3544</v>
      </c>
      <c r="B220" s="2408"/>
      <c r="C220" s="301" t="s">
        <v>156</v>
      </c>
      <c r="D220" s="2421" t="n">
        <f aca="false">SQRT((C208/2)*(C208/2)+C206*C206)</f>
        <v>0</v>
      </c>
      <c r="E220" s="323"/>
      <c r="F220" s="323"/>
      <c r="G220" s="2410"/>
      <c r="H220" s="2471"/>
      <c r="I220" s="2470"/>
      <c r="J220" s="2404"/>
      <c r="K220" s="2401"/>
      <c r="L220" s="1148"/>
      <c r="M220" s="1148"/>
      <c r="N220" s="1148"/>
      <c r="O220" s="1148"/>
      <c r="P220" s="1148"/>
      <c r="Q220" s="1148"/>
      <c r="R220" s="1148"/>
      <c r="S220" s="1148"/>
      <c r="T220" s="1148"/>
      <c r="U220" s="1148"/>
    </row>
    <row r="221" customFormat="false" ht="15" hidden="false" customHeight="true" outlineLevel="1" collapsed="false">
      <c r="A221" s="2492" t="s">
        <v>3548</v>
      </c>
      <c r="B221" s="2408"/>
      <c r="C221" s="301" t="s">
        <v>156</v>
      </c>
      <c r="D221" s="2421" t="n">
        <f aca="false">SQRT(D220*D220+C204*C204)</f>
        <v>0</v>
      </c>
      <c r="E221" s="323"/>
      <c r="F221" s="323"/>
      <c r="G221" s="2410"/>
      <c r="H221" s="2471"/>
      <c r="I221" s="2470"/>
      <c r="J221" s="2404"/>
      <c r="K221" s="2401"/>
      <c r="L221" s="1148"/>
      <c r="M221" s="1148"/>
      <c r="N221" s="1148"/>
      <c r="O221" s="1148"/>
      <c r="P221" s="1148"/>
      <c r="Q221" s="1148"/>
      <c r="R221" s="1148"/>
      <c r="S221" s="1148"/>
      <c r="T221" s="1148"/>
      <c r="U221" s="1148"/>
    </row>
    <row r="222" customFormat="false" ht="15" hidden="false" customHeight="true" outlineLevel="1" collapsed="false">
      <c r="A222" s="2492" t="s">
        <v>3549</v>
      </c>
      <c r="B222" s="2408"/>
      <c r="C222" s="301" t="s">
        <v>156</v>
      </c>
      <c r="D222" s="2421" t="n">
        <f aca="false">SQRT(D221*D221+C203*C203)</f>
        <v>0</v>
      </c>
      <c r="E222" s="323"/>
      <c r="F222" s="323"/>
      <c r="G222" s="2410"/>
      <c r="H222" s="2471"/>
      <c r="I222" s="2470"/>
      <c r="J222" s="2404"/>
      <c r="K222" s="2401"/>
      <c r="L222" s="1148"/>
      <c r="M222" s="1148"/>
      <c r="N222" s="1148"/>
      <c r="O222" s="1148"/>
      <c r="P222" s="1148"/>
      <c r="Q222" s="1148"/>
      <c r="R222" s="1148"/>
      <c r="S222" s="1148"/>
      <c r="T222" s="1148"/>
      <c r="U222" s="1148"/>
    </row>
    <row r="223" customFormat="false" ht="15" hidden="false" customHeight="true" outlineLevel="1" collapsed="false">
      <c r="A223" s="2493" t="s">
        <v>2609</v>
      </c>
      <c r="B223" s="2494"/>
      <c r="C223" s="230" t="s">
        <v>133</v>
      </c>
      <c r="D223" s="8" t="n">
        <f aca="false">D220*C204+D221*C203*1.1+(C202/2)*SQRT(C207*C207+C206*C206)*2</f>
        <v>0</v>
      </c>
      <c r="E223" s="323"/>
      <c r="F223" s="323"/>
      <c r="G223" s="2410"/>
      <c r="H223" s="2471"/>
      <c r="I223" s="2470"/>
      <c r="J223" s="2404"/>
      <c r="K223" s="386"/>
      <c r="L223" s="1148"/>
      <c r="M223" s="1148"/>
      <c r="N223" s="1148"/>
      <c r="O223" s="1148"/>
      <c r="P223" s="1148"/>
      <c r="Q223" s="1148"/>
      <c r="R223" s="1148"/>
      <c r="S223" s="1148"/>
      <c r="T223" s="1148"/>
      <c r="U223" s="1148"/>
    </row>
    <row r="224" customFormat="false" ht="15" hidden="false" customHeight="true" outlineLevel="1" collapsed="false">
      <c r="A224" s="2493" t="s">
        <v>3545</v>
      </c>
      <c r="B224" s="2494"/>
      <c r="C224" s="230" t="s">
        <v>156</v>
      </c>
      <c r="D224" s="2420" t="n">
        <f aca="false">'Ввод данных'!C433</f>
        <v>0.8</v>
      </c>
      <c r="E224" s="323"/>
      <c r="F224" s="323"/>
      <c r="G224" s="2410"/>
      <c r="H224" s="2471"/>
      <c r="I224" s="2470"/>
      <c r="J224" s="2404"/>
      <c r="K224" s="391"/>
      <c r="L224" s="1148"/>
      <c r="M224" s="1148"/>
      <c r="N224" s="1148"/>
      <c r="O224" s="1148"/>
      <c r="P224" s="1148"/>
      <c r="Q224" s="1148"/>
      <c r="R224" s="1148"/>
      <c r="S224" s="1148"/>
      <c r="T224" s="1148"/>
      <c r="U224" s="1148"/>
    </row>
    <row r="225" customFormat="false" ht="15" hidden="false" customHeight="true" outlineLevel="1" collapsed="false">
      <c r="A225" s="2492" t="s">
        <v>3550</v>
      </c>
      <c r="B225" s="2408"/>
      <c r="C225" s="2421" t="s">
        <v>156</v>
      </c>
      <c r="D225" s="2495" t="n">
        <f aca="false">D220+D224</f>
        <v>0.8</v>
      </c>
      <c r="E225" s="323"/>
      <c r="F225" s="323"/>
      <c r="G225" s="2410"/>
      <c r="H225" s="2471"/>
      <c r="I225" s="2470"/>
      <c r="J225" s="2404"/>
      <c r="K225" s="391"/>
      <c r="L225" s="1148"/>
      <c r="M225" s="1148"/>
      <c r="N225" s="1148"/>
      <c r="O225" s="1148"/>
      <c r="P225" s="1148"/>
      <c r="Q225" s="1148"/>
      <c r="R225" s="1148"/>
      <c r="S225" s="1148"/>
      <c r="T225" s="1148"/>
      <c r="U225" s="1148"/>
    </row>
    <row r="226" customFormat="false" ht="15" hidden="false" customHeight="true" outlineLevel="1" collapsed="false">
      <c r="A226" s="2492" t="s">
        <v>3552</v>
      </c>
      <c r="B226" s="2408"/>
      <c r="C226" s="2421" t="s">
        <v>156</v>
      </c>
      <c r="D226" s="2495" t="n">
        <f aca="false">D221+D224</f>
        <v>0.8</v>
      </c>
      <c r="E226" s="323"/>
      <c r="F226" s="323"/>
      <c r="G226" s="2410"/>
      <c r="H226" s="2471"/>
      <c r="I226" s="2470"/>
      <c r="J226" s="2404"/>
      <c r="K226" s="391"/>
      <c r="L226" s="1148"/>
      <c r="M226" s="1148"/>
      <c r="N226" s="1148"/>
      <c r="O226" s="1148"/>
      <c r="P226" s="1148"/>
      <c r="Q226" s="1148"/>
      <c r="R226" s="1148"/>
      <c r="S226" s="1148"/>
      <c r="T226" s="1148"/>
      <c r="U226" s="1148"/>
    </row>
    <row r="227" customFormat="false" ht="15" hidden="false" customHeight="true" outlineLevel="1" collapsed="false">
      <c r="A227" s="2492" t="s">
        <v>3554</v>
      </c>
      <c r="B227" s="2408"/>
      <c r="C227" s="2421" t="s">
        <v>156</v>
      </c>
      <c r="D227" s="2495" t="n">
        <f aca="false">D222+D224</f>
        <v>0.8</v>
      </c>
      <c r="E227" s="323"/>
      <c r="F227" s="323"/>
      <c r="G227" s="2410"/>
      <c r="H227" s="2471"/>
      <c r="I227" s="2470"/>
      <c r="J227" s="2404"/>
      <c r="K227" s="391"/>
      <c r="L227" s="1148"/>
      <c r="M227" s="1148"/>
      <c r="N227" s="1148"/>
      <c r="O227" s="1148"/>
      <c r="P227" s="1148"/>
      <c r="Q227" s="1148"/>
      <c r="R227" s="1148"/>
      <c r="S227" s="1148"/>
      <c r="T227" s="1148"/>
      <c r="U227" s="1148"/>
    </row>
    <row r="228" customFormat="false" ht="15" hidden="false" customHeight="true" outlineLevel="1" collapsed="false">
      <c r="A228" s="2493" t="s">
        <v>2610</v>
      </c>
      <c r="B228" s="2494"/>
      <c r="C228" s="230" t="s">
        <v>133</v>
      </c>
      <c r="D228" s="8" t="e">
        <f aca="false">((C204*D224*2+C203*D224*2+C202*D224)*1.1+D223)*E219</f>
        <v>#VALUE!</v>
      </c>
      <c r="E228" s="323"/>
      <c r="F228" s="323"/>
      <c r="G228" s="2410"/>
      <c r="H228" s="2471"/>
      <c r="I228" s="2470"/>
      <c r="J228" s="2404"/>
      <c r="K228" s="391"/>
      <c r="L228" s="1148"/>
      <c r="M228" s="1148"/>
      <c r="N228" s="1148"/>
      <c r="O228" s="1148"/>
      <c r="P228" s="1148"/>
      <c r="Q228" s="1148"/>
      <c r="R228" s="1148"/>
      <c r="S228" s="1148"/>
      <c r="T228" s="1148"/>
      <c r="U228" s="1148"/>
    </row>
    <row r="229" customFormat="false" ht="15" hidden="false" customHeight="true" outlineLevel="1" collapsed="false">
      <c r="A229" s="2496" t="s">
        <v>2635</v>
      </c>
      <c r="B229" s="2496"/>
      <c r="C229" s="2496"/>
      <c r="D229" s="2496"/>
      <c r="E229" s="2352" t="e">
        <f aca="false">'ввод данных'!#ref!</f>
        <v>#VALUE!</v>
      </c>
      <c r="F229" s="2401" t="s">
        <v>3568</v>
      </c>
      <c r="G229" s="2410"/>
      <c r="H229" s="2471"/>
      <c r="I229" s="2470"/>
      <c r="J229" s="2404"/>
      <c r="K229" s="2436"/>
      <c r="L229" s="1148"/>
      <c r="M229" s="1148"/>
      <c r="N229" s="1148"/>
      <c r="O229" s="1148"/>
      <c r="P229" s="1148"/>
      <c r="Q229" s="1148"/>
      <c r="R229" s="1148"/>
      <c r="S229" s="1148"/>
      <c r="T229" s="1148"/>
      <c r="U229" s="1148"/>
    </row>
    <row r="230" customFormat="false" ht="15" hidden="false" customHeight="true" outlineLevel="1" collapsed="false">
      <c r="A230" s="2497" t="s">
        <v>2572</v>
      </c>
      <c r="B230" s="2440" t="s">
        <v>156</v>
      </c>
      <c r="C230" s="2497" t="n">
        <f aca="false">C204*2+C203*2+C202</f>
        <v>0</v>
      </c>
      <c r="D230" s="2401"/>
      <c r="E230" s="2401"/>
      <c r="F230" s="323"/>
      <c r="G230" s="2410"/>
      <c r="H230" s="2471"/>
      <c r="I230" s="2470"/>
      <c r="J230" s="2404"/>
      <c r="K230" s="2404"/>
      <c r="L230" s="1148"/>
      <c r="M230" s="1148"/>
      <c r="N230" s="1148"/>
      <c r="O230" s="1148"/>
      <c r="P230" s="1148"/>
      <c r="Q230" s="1148"/>
      <c r="R230" s="1148"/>
      <c r="S230" s="1148"/>
      <c r="T230" s="1148"/>
      <c r="U230" s="1148"/>
    </row>
    <row r="231" customFormat="false" ht="15" hidden="false" customHeight="true" outlineLevel="1" collapsed="false">
      <c r="A231" s="2442" t="s">
        <v>3427</v>
      </c>
      <c r="B231" s="301" t="s">
        <v>133</v>
      </c>
      <c r="C231" s="2442" t="e">
        <f aca="false">C199+C200</f>
        <v>#VALUE!</v>
      </c>
      <c r="D231" s="2401"/>
      <c r="E231" s="2401"/>
      <c r="F231" s="323"/>
      <c r="G231" s="2410"/>
      <c r="H231" s="2471"/>
      <c r="I231" s="2470"/>
      <c r="J231" s="2404"/>
      <c r="K231" s="2478"/>
      <c r="L231" s="1148"/>
      <c r="M231" s="1148"/>
      <c r="N231" s="1148"/>
      <c r="O231" s="1148"/>
      <c r="P231" s="1148"/>
      <c r="Q231" s="1148"/>
      <c r="R231" s="1148"/>
      <c r="S231" s="1148"/>
      <c r="T231" s="1148"/>
      <c r="U231" s="1148"/>
    </row>
    <row r="232" customFormat="false" ht="15" hidden="false" customHeight="true" outlineLevel="1" collapsed="false">
      <c r="A232" s="2407"/>
      <c r="B232" s="2407"/>
      <c r="C232" s="2407"/>
      <c r="D232" s="2407"/>
      <c r="E232" s="2407"/>
      <c r="F232" s="2407"/>
      <c r="G232" s="2410"/>
      <c r="H232" s="2471"/>
      <c r="I232" s="2470"/>
      <c r="J232" s="2404"/>
      <c r="K232" s="323"/>
      <c r="L232" s="1148"/>
      <c r="M232" s="1148"/>
      <c r="N232" s="1148"/>
      <c r="O232" s="1148"/>
      <c r="P232" s="1148"/>
      <c r="Q232" s="1148"/>
      <c r="R232" s="1148"/>
      <c r="S232" s="1148"/>
      <c r="T232" s="1148"/>
      <c r="U232" s="1148"/>
    </row>
    <row r="233" customFormat="false" ht="15" hidden="false" customHeight="true" outlineLevel="1" collapsed="false">
      <c r="A233" s="2121"/>
      <c r="B233" s="2121"/>
      <c r="C233" s="2122"/>
      <c r="D233" s="2122"/>
      <c r="E233" s="2121"/>
      <c r="F233" s="2123"/>
      <c r="G233" s="2122"/>
      <c r="H233" s="2121"/>
      <c r="I233" s="2121"/>
      <c r="J233" s="2121"/>
      <c r="K233" s="2498"/>
      <c r="L233" s="2124"/>
      <c r="M233" s="2120"/>
      <c r="N233" s="2124"/>
      <c r="O233" s="2124"/>
      <c r="P233" s="2124"/>
      <c r="Q233" s="2124"/>
      <c r="R233" s="2124"/>
      <c r="S233" s="2124"/>
      <c r="T233" s="2116"/>
      <c r="U233" s="2116"/>
    </row>
    <row r="234" customFormat="false" ht="15" hidden="false" customHeight="true" outlineLevel="0" collapsed="false">
      <c r="A234" s="2112" t="s">
        <v>3586</v>
      </c>
      <c r="B234" s="2112"/>
      <c r="C234" s="2112"/>
      <c r="D234" s="2112"/>
      <c r="E234" s="2112"/>
      <c r="F234" s="2112"/>
      <c r="G234" s="2112"/>
      <c r="H234" s="2112"/>
      <c r="I234" s="2112"/>
      <c r="J234" s="2121"/>
      <c r="K234" s="2498"/>
      <c r="L234" s="2124"/>
      <c r="M234" s="2120"/>
      <c r="N234" s="2124"/>
      <c r="O234" s="2124"/>
      <c r="P234" s="2124"/>
      <c r="Q234" s="2124"/>
      <c r="R234" s="2124"/>
      <c r="S234" s="2124"/>
      <c r="T234" s="2116"/>
      <c r="U234" s="2116"/>
    </row>
    <row r="235" customFormat="false" ht="15" hidden="false" customHeight="true" outlineLevel="0" collapsed="false">
      <c r="A235" s="2113" t="s">
        <v>1093</v>
      </c>
      <c r="B235" s="2114" t="s">
        <v>3587</v>
      </c>
      <c r="C235" s="2115" t="s">
        <v>1800</v>
      </c>
      <c r="D235" s="2115" t="s">
        <v>853</v>
      </c>
      <c r="E235" s="2114" t="s">
        <v>1992</v>
      </c>
      <c r="F235" s="2115" t="s">
        <v>1931</v>
      </c>
      <c r="G235" s="2125" t="s">
        <v>2751</v>
      </c>
      <c r="H235" s="2126" t="s">
        <v>3923</v>
      </c>
      <c r="I235" s="2126"/>
      <c r="J235" s="1148"/>
      <c r="K235" s="2165"/>
      <c r="L235" s="2116"/>
      <c r="M235" s="2116"/>
      <c r="N235" s="2116"/>
      <c r="O235" s="2116"/>
      <c r="P235" s="2116"/>
      <c r="Q235" s="2116"/>
      <c r="R235" s="2116"/>
      <c r="S235" s="2124"/>
      <c r="T235" s="1148"/>
      <c r="U235" s="1148"/>
    </row>
    <row r="236" customFormat="false" ht="15" hidden="false" customHeight="true" outlineLevel="0" collapsed="false">
      <c r="A236" s="122" t="s">
        <v>3589</v>
      </c>
      <c r="B236" s="2127" t="n">
        <f aca="false">дома!B1319</f>
        <v>1</v>
      </c>
      <c r="C236" s="2128" t="n">
        <f aca="false">дома!C1319</f>
        <v>10</v>
      </c>
      <c r="D236" s="2128" t="n">
        <f aca="false">дома!D1319</f>
        <v>10</v>
      </c>
      <c r="E236" s="2127" t="n">
        <f aca="false">дома!E1319</f>
        <v>3</v>
      </c>
      <c r="F236" s="2128" t="n">
        <f aca="false">дома!F1319</f>
        <v>0</v>
      </c>
      <c r="G236" s="2128" t="n">
        <f aca="false">дома!G1319</f>
        <v>0</v>
      </c>
      <c r="H236" s="2127" t="n">
        <f aca="false">дома!I1319</f>
        <v>0</v>
      </c>
      <c r="I236" s="2129"/>
      <c r="J236" s="1148"/>
      <c r="K236" s="2165"/>
      <c r="L236" s="2116"/>
      <c r="M236" s="2116"/>
      <c r="N236" s="2116"/>
      <c r="O236" s="2116"/>
      <c r="P236" s="2116"/>
      <c r="Q236" s="2116"/>
      <c r="R236" s="2116"/>
      <c r="S236" s="2124"/>
      <c r="T236" s="1148"/>
      <c r="U236" s="1148"/>
    </row>
    <row r="237" s="878" customFormat="true" ht="15" hidden="false" customHeight="true" outlineLevel="0" collapsed="false">
      <c r="A237" s="2130" t="s">
        <v>1236</v>
      </c>
      <c r="B237" s="2130" t="s">
        <v>120</v>
      </c>
      <c r="C237" s="2134" t="s">
        <v>3924</v>
      </c>
      <c r="D237" s="2134"/>
      <c r="E237" s="2130" t="s">
        <v>1802</v>
      </c>
      <c r="F237" s="2130" t="s">
        <v>3591</v>
      </c>
      <c r="G237" s="2134" t="s">
        <v>1236</v>
      </c>
      <c r="H237" s="2134"/>
      <c r="I237" s="2130" t="s">
        <v>3593</v>
      </c>
      <c r="J237" s="2130" t="s">
        <v>3594</v>
      </c>
      <c r="K237" s="2499" t="s">
        <v>1802</v>
      </c>
      <c r="L237" s="2130" t="s">
        <v>3573</v>
      </c>
      <c r="M237" s="905"/>
      <c r="N237" s="905"/>
      <c r="O237" s="905"/>
      <c r="P237" s="905"/>
      <c r="Q237" s="905"/>
      <c r="R237" s="905"/>
      <c r="S237" s="2294"/>
      <c r="T237" s="905"/>
      <c r="U237" s="905"/>
    </row>
    <row r="238" customFormat="false" ht="15" hidden="false" customHeight="true" outlineLevel="0" collapsed="false">
      <c r="A238" s="905"/>
      <c r="B238" s="2124"/>
      <c r="C238" s="2123"/>
      <c r="D238" s="2123"/>
      <c r="E238" s="2124"/>
      <c r="F238" s="2123"/>
      <c r="G238" s="2123"/>
      <c r="H238" s="2124"/>
      <c r="I238" s="2124"/>
      <c r="J238" s="2116"/>
      <c r="K238" s="2165"/>
      <c r="L238" s="2116"/>
      <c r="M238" s="2116"/>
      <c r="N238" s="2116"/>
      <c r="O238" s="2116"/>
      <c r="P238" s="2116"/>
      <c r="Q238" s="2116"/>
      <c r="R238" s="2116"/>
      <c r="S238" s="2116"/>
      <c r="T238" s="2116"/>
      <c r="U238" s="2116"/>
    </row>
    <row r="239" customFormat="false" ht="15" hidden="false" customHeight="true" outlineLevel="1" collapsed="false">
      <c r="A239" s="2500" t="s">
        <v>1925</v>
      </c>
      <c r="B239" s="2500"/>
      <c r="C239" s="2500"/>
      <c r="D239" s="2500"/>
      <c r="E239" s="2500"/>
      <c r="F239" s="2500"/>
      <c r="G239" s="2500"/>
      <c r="H239" s="2500"/>
      <c r="I239" s="2500"/>
      <c r="J239" s="2501"/>
      <c r="K239" s="2501"/>
      <c r="L239" s="2502"/>
      <c r="M239" s="2116"/>
      <c r="N239" s="2116"/>
      <c r="O239" s="2116"/>
      <c r="P239" s="2116"/>
      <c r="Q239" s="2116"/>
      <c r="R239" s="2116"/>
      <c r="S239" s="2116"/>
      <c r="T239" s="2116"/>
      <c r="U239" s="2116"/>
    </row>
    <row r="240" customFormat="false" ht="15" hidden="false" customHeight="true" outlineLevel="1" collapsed="false">
      <c r="A240" s="1096" t="s">
        <v>1806</v>
      </c>
      <c r="B240" s="1096"/>
      <c r="C240" s="1096"/>
      <c r="D240" s="1096"/>
      <c r="E240" s="1096"/>
      <c r="F240" s="1096"/>
      <c r="G240" s="2503" t="n">
        <f aca="false">'Ввод данных'!E198</f>
        <v>1</v>
      </c>
      <c r="H240" s="1097" t="n">
        <f aca="false">'Ввод данных'!E199</f>
        <v>1</v>
      </c>
      <c r="I240" s="1097"/>
      <c r="J240" s="1097"/>
      <c r="K240" s="1097"/>
      <c r="L240" s="1097"/>
      <c r="M240" s="2116"/>
      <c r="N240" s="2116"/>
      <c r="O240" s="2116"/>
      <c r="P240" s="2116"/>
      <c r="Q240" s="2116"/>
      <c r="R240" s="2116"/>
      <c r="S240" s="2116"/>
      <c r="T240" s="2116"/>
      <c r="U240" s="2116"/>
    </row>
    <row r="241" customFormat="false" ht="15" hidden="false" customHeight="true" outlineLevel="1" collapsed="false">
      <c r="A241" s="2504" t="s">
        <v>2705</v>
      </c>
      <c r="B241" s="2505" t="s">
        <v>156</v>
      </c>
      <c r="C241" s="2505" t="n">
        <f aca="false">дома!C1130</f>
        <v>48.2842712474619</v>
      </c>
      <c r="D241" s="2506" t="n">
        <f aca="false">дома!D1130</f>
        <v>1</v>
      </c>
      <c r="E241" s="2507"/>
      <c r="F241" s="2507"/>
      <c r="G241" s="2507"/>
      <c r="H241" s="1097"/>
      <c r="I241" s="1097"/>
      <c r="J241" s="1097"/>
      <c r="K241" s="1097"/>
      <c r="L241" s="1097"/>
      <c r="M241" s="2116"/>
      <c r="N241" s="2116"/>
      <c r="O241" s="2116"/>
      <c r="P241" s="2116"/>
      <c r="Q241" s="2116"/>
      <c r="R241" s="2116"/>
      <c r="S241" s="2116"/>
      <c r="T241" s="2116"/>
      <c r="U241" s="2116"/>
    </row>
    <row r="242" customFormat="false" ht="15" hidden="false" customHeight="true" outlineLevel="1" collapsed="false">
      <c r="A242" s="2504" t="s">
        <v>3829</v>
      </c>
      <c r="B242" s="2505" t="s">
        <v>156</v>
      </c>
      <c r="C242" s="2505" t="n">
        <f aca="false">'Ввод данных'!C204</f>
        <v>0</v>
      </c>
      <c r="D242" s="2508"/>
      <c r="E242" s="2507"/>
      <c r="F242" s="2507"/>
      <c r="G242" s="2507"/>
      <c r="H242" s="1097"/>
      <c r="I242" s="1097"/>
      <c r="J242" s="1097"/>
      <c r="K242" s="1097"/>
      <c r="L242" s="1097"/>
      <c r="M242" s="2116"/>
      <c r="N242" s="2116"/>
      <c r="O242" s="2116"/>
      <c r="P242" s="2116"/>
      <c r="Q242" s="2116"/>
      <c r="R242" s="2116"/>
      <c r="S242" s="2116"/>
      <c r="T242" s="2116"/>
      <c r="U242" s="2116"/>
    </row>
    <row r="243" customFormat="false" ht="15" hidden="false" customHeight="true" outlineLevel="1" collapsed="false">
      <c r="A243" s="2504" t="s">
        <v>3830</v>
      </c>
      <c r="B243" s="2505" t="s">
        <v>156</v>
      </c>
      <c r="C243" s="2505" t="n">
        <f aca="false">'Ввод данных'!C205</f>
        <v>0</v>
      </c>
      <c r="D243" s="2508"/>
      <c r="E243" s="2507"/>
      <c r="F243" s="2507"/>
      <c r="G243" s="2507"/>
      <c r="H243" s="1097"/>
      <c r="I243" s="1097"/>
      <c r="J243" s="1097"/>
      <c r="K243" s="1097"/>
      <c r="L243" s="1097"/>
      <c r="M243" s="2116"/>
      <c r="N243" s="2116"/>
      <c r="O243" s="2116"/>
      <c r="P243" s="2116"/>
      <c r="Q243" s="2116"/>
      <c r="R243" s="2116"/>
      <c r="S243" s="2116"/>
      <c r="T243" s="2116"/>
      <c r="U243" s="2116"/>
    </row>
    <row r="244" customFormat="false" ht="15" hidden="false" customHeight="true" outlineLevel="1" collapsed="false">
      <c r="A244" s="265" t="s">
        <v>3831</v>
      </c>
      <c r="B244" s="1124" t="s">
        <v>159</v>
      </c>
      <c r="C244" s="2509" t="n">
        <f aca="false">IF('Ввод данных'!A203=связи1!A6,1,0)</f>
        <v>0</v>
      </c>
      <c r="D244" s="2510"/>
      <c r="E244" s="2511"/>
      <c r="F244" s="2511"/>
      <c r="G244" s="2116"/>
      <c r="H244" s="2116"/>
      <c r="I244" s="2124"/>
      <c r="J244" s="2116"/>
      <c r="K244" s="2165"/>
      <c r="L244" s="2116"/>
      <c r="M244" s="2116"/>
      <c r="N244" s="2116"/>
      <c r="O244" s="2116"/>
      <c r="P244" s="2116"/>
      <c r="Q244" s="2116"/>
      <c r="R244" s="2116"/>
      <c r="S244" s="2116"/>
      <c r="T244" s="2116"/>
      <c r="U244" s="2116"/>
    </row>
    <row r="245" customFormat="false" ht="15" hidden="false" customHeight="true" outlineLevel="1" collapsed="false">
      <c r="A245" s="2512" t="s">
        <v>3832</v>
      </c>
      <c r="B245" s="232" t="s">
        <v>159</v>
      </c>
      <c r="C245" s="2509" t="n">
        <f aca="false">IF('Ввод данных'!A203=связи1!A7,1,0)</f>
        <v>0</v>
      </c>
      <c r="D245" s="2510"/>
      <c r="E245" s="2511"/>
      <c r="F245" s="2511"/>
      <c r="G245" s="2116"/>
      <c r="H245" s="2116"/>
      <c r="I245" s="2124"/>
      <c r="J245" s="2116"/>
      <c r="K245" s="2165"/>
      <c r="L245" s="2116"/>
      <c r="M245" s="2116"/>
      <c r="N245" s="2116"/>
      <c r="O245" s="2116"/>
      <c r="P245" s="2116"/>
      <c r="Q245" s="2116"/>
      <c r="R245" s="2116"/>
      <c r="S245" s="2116"/>
      <c r="T245" s="2116"/>
      <c r="U245" s="2116"/>
    </row>
    <row r="246" customFormat="false" ht="15" hidden="false" customHeight="true" outlineLevel="1" collapsed="false">
      <c r="A246" s="2512" t="s">
        <v>3833</v>
      </c>
      <c r="B246" s="232" t="s">
        <v>159</v>
      </c>
      <c r="C246" s="2509" t="n">
        <f aca="false">IF('Ввод данных'!A203=связи1!A8,1,0)</f>
        <v>1</v>
      </c>
      <c r="D246" s="2510"/>
      <c r="E246" s="2511"/>
      <c r="F246" s="2511"/>
      <c r="G246" s="2116"/>
      <c r="H246" s="2116"/>
      <c r="I246" s="2124"/>
      <c r="J246" s="2116"/>
      <c r="K246" s="2165"/>
      <c r="L246" s="2116"/>
      <c r="M246" s="2116"/>
      <c r="N246" s="2116"/>
      <c r="O246" s="2116"/>
      <c r="P246" s="2116"/>
      <c r="Q246" s="2116"/>
      <c r="R246" s="2116"/>
      <c r="S246" s="2116"/>
      <c r="T246" s="2116"/>
      <c r="U246" s="2116"/>
    </row>
    <row r="247" customFormat="false" ht="15" hidden="false" customHeight="true" outlineLevel="1" collapsed="false">
      <c r="A247" s="232" t="s">
        <v>2623</v>
      </c>
      <c r="B247" s="232" t="s">
        <v>133</v>
      </c>
      <c r="C247" s="232" t="n">
        <f aca="false">дома!E1181+('Ввод данных'!C212*'Ввод данных'!D212)</f>
        <v>179.307020442324</v>
      </c>
      <c r="D247" s="2511"/>
      <c r="E247" s="2511"/>
      <c r="F247" s="2511"/>
      <c r="G247" s="2116"/>
      <c r="H247" s="2116"/>
      <c r="I247" s="2124"/>
      <c r="J247" s="2116"/>
      <c r="K247" s="2165"/>
      <c r="L247" s="2116"/>
      <c r="M247" s="2116"/>
      <c r="N247" s="2116"/>
      <c r="O247" s="2116"/>
      <c r="P247" s="2116"/>
      <c r="Q247" s="2116"/>
      <c r="R247" s="2116"/>
      <c r="S247" s="2116"/>
      <c r="T247" s="2116"/>
      <c r="U247" s="2116"/>
    </row>
    <row r="248" customFormat="false" ht="15" hidden="false" customHeight="true" outlineLevel="1" collapsed="false">
      <c r="A248" s="232" t="s">
        <v>1546</v>
      </c>
      <c r="B248" s="232" t="s">
        <v>156</v>
      </c>
      <c r="C248" s="232" t="n">
        <f aca="false">дома!E1164</f>
        <v>11.6</v>
      </c>
      <c r="D248" s="2511"/>
      <c r="E248" s="2511"/>
      <c r="F248" s="2511"/>
      <c r="G248" s="2116"/>
      <c r="H248" s="2116"/>
      <c r="I248" s="2124"/>
      <c r="J248" s="2116"/>
      <c r="K248" s="2165"/>
      <c r="L248" s="2116"/>
      <c r="M248" s="2116"/>
      <c r="N248" s="2116"/>
      <c r="O248" s="2116"/>
      <c r="P248" s="2116"/>
      <c r="Q248" s="2116"/>
      <c r="R248" s="2116"/>
      <c r="S248" s="2116"/>
      <c r="T248" s="2116"/>
      <c r="U248" s="2116"/>
    </row>
    <row r="249" customFormat="false" ht="15" hidden="false" customHeight="true" outlineLevel="1" collapsed="false">
      <c r="A249" s="232" t="s">
        <v>3502</v>
      </c>
      <c r="B249" s="232" t="s">
        <v>156</v>
      </c>
      <c r="C249" s="232" t="n">
        <f aca="false">дома!E1167</f>
        <v>7.72875088113464</v>
      </c>
      <c r="D249" s="2511"/>
      <c r="E249" s="2511"/>
      <c r="F249" s="2511"/>
      <c r="G249" s="2116"/>
      <c r="H249" s="2116"/>
      <c r="I249" s="2124"/>
      <c r="J249" s="2116"/>
      <c r="K249" s="2165"/>
      <c r="L249" s="2116"/>
      <c r="M249" s="2116"/>
      <c r="N249" s="2116"/>
      <c r="O249" s="2116"/>
      <c r="P249" s="2116"/>
      <c r="Q249" s="2116"/>
      <c r="R249" s="2116"/>
      <c r="S249" s="2116"/>
      <c r="T249" s="2116"/>
      <c r="U249" s="2116"/>
    </row>
    <row r="250" customFormat="false" ht="15" hidden="false" customHeight="true" outlineLevel="1" collapsed="false">
      <c r="A250" s="263" t="s">
        <v>1972</v>
      </c>
      <c r="B250" s="232" t="s">
        <v>156</v>
      </c>
      <c r="C250" s="2118" t="n">
        <f aca="false">'Ввод данных'!C206</f>
        <v>0.5</v>
      </c>
      <c r="D250" s="2511"/>
      <c r="E250" s="2511"/>
      <c r="F250" s="2511"/>
      <c r="G250" s="2116"/>
      <c r="H250" s="2116"/>
      <c r="I250" s="2124"/>
      <c r="J250" s="2116"/>
      <c r="K250" s="2165"/>
      <c r="L250" s="2116"/>
      <c r="M250" s="2116"/>
      <c r="N250" s="2116"/>
      <c r="O250" s="2116"/>
      <c r="P250" s="2116"/>
      <c r="Q250" s="2116"/>
      <c r="R250" s="2116"/>
      <c r="S250" s="2116"/>
      <c r="T250" s="2116"/>
      <c r="U250" s="2116"/>
    </row>
    <row r="251" customFormat="false" ht="15" hidden="false" customHeight="true" outlineLevel="1" collapsed="false">
      <c r="A251" s="263"/>
      <c r="B251" s="260"/>
      <c r="C251" s="2118" t="n">
        <f aca="false">'Ввод данных'!C207</f>
        <v>0.5</v>
      </c>
      <c r="D251" s="2511"/>
      <c r="E251" s="2511"/>
      <c r="F251" s="2511"/>
      <c r="G251" s="2116"/>
      <c r="H251" s="2116"/>
      <c r="I251" s="2124"/>
      <c r="J251" s="2116"/>
      <c r="K251" s="2165"/>
      <c r="L251" s="2116"/>
      <c r="M251" s="2116"/>
      <c r="N251" s="2116"/>
      <c r="O251" s="2116"/>
      <c r="P251" s="2116"/>
      <c r="Q251" s="2116"/>
      <c r="R251" s="2116"/>
      <c r="S251" s="2116"/>
      <c r="T251" s="2116"/>
      <c r="U251" s="2116"/>
    </row>
    <row r="252" customFormat="false" ht="15" hidden="false" customHeight="true" outlineLevel="1" collapsed="false">
      <c r="A252" s="260" t="s">
        <v>1975</v>
      </c>
      <c r="B252" s="260" t="s">
        <v>156</v>
      </c>
      <c r="C252" s="2118" t="n">
        <f aca="false">'Ввод данных'!C208</f>
        <v>0.8</v>
      </c>
      <c r="D252" s="2511"/>
      <c r="E252" s="2511"/>
      <c r="F252" s="2511"/>
      <c r="G252" s="2116"/>
      <c r="H252" s="2116"/>
      <c r="I252" s="2124"/>
      <c r="J252" s="2116"/>
      <c r="K252" s="2165"/>
      <c r="L252" s="2116"/>
      <c r="M252" s="2116"/>
      <c r="N252" s="2116"/>
      <c r="O252" s="2116"/>
      <c r="P252" s="2116"/>
      <c r="Q252" s="2116"/>
      <c r="R252" s="2116"/>
      <c r="S252" s="2116"/>
      <c r="T252" s="2116"/>
      <c r="U252" s="2116"/>
    </row>
    <row r="253" customFormat="false" ht="15" hidden="false" customHeight="true" outlineLevel="1" collapsed="false">
      <c r="A253" s="260" t="s">
        <v>1975</v>
      </c>
      <c r="B253" s="260" t="s">
        <v>156</v>
      </c>
      <c r="C253" s="2118" t="n">
        <f aca="false">'Ввод данных'!C209</f>
        <v>0.8</v>
      </c>
      <c r="D253" s="2511"/>
      <c r="E253" s="2511"/>
      <c r="F253" s="2511"/>
      <c r="G253" s="2116"/>
      <c r="H253" s="2116"/>
      <c r="I253" s="2124"/>
      <c r="J253" s="2116"/>
      <c r="K253" s="2165"/>
      <c r="L253" s="2116"/>
      <c r="M253" s="2116"/>
      <c r="N253" s="2116"/>
      <c r="O253" s="2116"/>
      <c r="P253" s="2116"/>
      <c r="Q253" s="2116"/>
      <c r="R253" s="2116"/>
      <c r="S253" s="2116"/>
      <c r="T253" s="2116"/>
      <c r="U253" s="2116"/>
    </row>
    <row r="254" customFormat="false" ht="15" hidden="false" customHeight="true" outlineLevel="1" collapsed="false">
      <c r="A254" s="261" t="s">
        <v>2632</v>
      </c>
      <c r="B254" s="260" t="s">
        <v>156</v>
      </c>
      <c r="C254" s="260" t="n">
        <f aca="false">'Ввод данных'!C224</f>
        <v>0</v>
      </c>
      <c r="D254" s="2506" t="n">
        <v>1</v>
      </c>
      <c r="E254" s="2511"/>
      <c r="F254" s="2511"/>
      <c r="G254" s="2116"/>
      <c r="H254" s="2116"/>
      <c r="I254" s="2124"/>
      <c r="J254" s="2116"/>
      <c r="K254" s="2165"/>
      <c r="L254" s="2116"/>
      <c r="M254" s="2116"/>
      <c r="N254" s="2116"/>
      <c r="O254" s="2116"/>
      <c r="P254" s="2116"/>
      <c r="Q254" s="2116"/>
      <c r="R254" s="2116"/>
      <c r="S254" s="2116"/>
      <c r="T254" s="2116"/>
      <c r="U254" s="2116"/>
    </row>
    <row r="255" customFormat="false" ht="15" hidden="false" customHeight="true" outlineLevel="1" collapsed="false">
      <c r="A255" s="261"/>
      <c r="B255" s="260" t="s">
        <v>156</v>
      </c>
      <c r="C255" s="260" t="n">
        <f aca="false">'Ввод данных'!E217</f>
        <v>0</v>
      </c>
      <c r="D255" s="2506" t="n">
        <v>0</v>
      </c>
      <c r="E255" s="2511"/>
      <c r="F255" s="2511"/>
      <c r="G255" s="2116"/>
      <c r="H255" s="2116"/>
      <c r="I255" s="2124"/>
      <c r="J255" s="2116"/>
      <c r="K255" s="2165"/>
      <c r="L255" s="2116"/>
      <c r="M255" s="2116"/>
      <c r="N255" s="2116"/>
      <c r="O255" s="2116"/>
      <c r="P255" s="2116"/>
      <c r="Q255" s="2116"/>
      <c r="R255" s="2116"/>
      <c r="S255" s="2116"/>
      <c r="T255" s="2116"/>
      <c r="U255" s="2116"/>
    </row>
    <row r="256" customFormat="false" ht="15" hidden="false" customHeight="true" outlineLevel="1" collapsed="false">
      <c r="A256" s="261" t="s">
        <v>3518</v>
      </c>
      <c r="B256" s="260" t="s">
        <v>156</v>
      </c>
      <c r="C256" s="260" t="n">
        <f aca="false">м.п.</f>
        <v>0</v>
      </c>
      <c r="D256" s="2506" t="n">
        <v>1</v>
      </c>
      <c r="E256" s="2511"/>
      <c r="F256" s="2511"/>
      <c r="G256" s="2116"/>
      <c r="H256" s="2116"/>
      <c r="I256" s="2124"/>
      <c r="J256" s="2116"/>
      <c r="K256" s="2165"/>
      <c r="L256" s="2116"/>
      <c r="M256" s="2116"/>
      <c r="N256" s="2116"/>
      <c r="O256" s="2116"/>
      <c r="P256" s="2116"/>
      <c r="Q256" s="2116"/>
      <c r="R256" s="2116"/>
      <c r="S256" s="2116"/>
      <c r="T256" s="2116"/>
      <c r="U256" s="2116"/>
    </row>
    <row r="257" customFormat="false" ht="15" hidden="false" customHeight="true" outlineLevel="1" collapsed="false">
      <c r="A257" s="261"/>
      <c r="B257" s="260" t="s">
        <v>156</v>
      </c>
      <c r="C257" s="260" t="n">
        <v>0</v>
      </c>
      <c r="D257" s="2506" t="n">
        <v>0</v>
      </c>
      <c r="E257" s="2511"/>
      <c r="F257" s="2511"/>
      <c r="G257" s="2116"/>
      <c r="H257" s="2116"/>
      <c r="I257" s="2124"/>
      <c r="J257" s="2116"/>
      <c r="K257" s="2165"/>
      <c r="L257" s="2116"/>
      <c r="M257" s="2116"/>
      <c r="N257" s="2116"/>
      <c r="O257" s="2116"/>
      <c r="P257" s="2116"/>
      <c r="Q257" s="2116"/>
      <c r="R257" s="2116"/>
      <c r="S257" s="2116"/>
      <c r="T257" s="2116"/>
      <c r="U257" s="2116"/>
    </row>
    <row r="258" customFormat="false" ht="15" hidden="false" customHeight="true" outlineLevel="1" collapsed="false">
      <c r="A258" s="2162" t="s">
        <v>1089</v>
      </c>
      <c r="B258" s="260" t="s">
        <v>159</v>
      </c>
      <c r="C258" s="1130" t="n">
        <f aca="false">'Ввод данных'!C225</f>
        <v>0</v>
      </c>
      <c r="D258" s="2511"/>
      <c r="E258" s="2511"/>
      <c r="F258" s="2511"/>
      <c r="G258" s="2116"/>
      <c r="H258" s="2116"/>
      <c r="I258" s="2124"/>
      <c r="J258" s="2116"/>
      <c r="K258" s="2165"/>
      <c r="L258" s="2116"/>
      <c r="M258" s="2116"/>
      <c r="N258" s="2116"/>
      <c r="O258" s="2116"/>
      <c r="P258" s="2116"/>
      <c r="Q258" s="2116"/>
      <c r="R258" s="2116"/>
      <c r="S258" s="2116"/>
      <c r="T258" s="2116"/>
      <c r="U258" s="2116"/>
    </row>
    <row r="259" customFormat="false" ht="15" hidden="false" customHeight="true" outlineLevel="1" collapsed="false">
      <c r="A259" s="2162" t="s">
        <v>1090</v>
      </c>
      <c r="B259" s="260" t="s">
        <v>159</v>
      </c>
      <c r="C259" s="1130" t="n">
        <f aca="false">'Ввод данных'!C226</f>
        <v>0</v>
      </c>
      <c r="D259" s="2511"/>
      <c r="E259" s="2511"/>
      <c r="F259" s="2511"/>
      <c r="G259" s="2116"/>
      <c r="H259" s="2116"/>
      <c r="I259" s="2124"/>
      <c r="J259" s="2116"/>
      <c r="K259" s="2165"/>
      <c r="L259" s="2116"/>
      <c r="M259" s="2116"/>
      <c r="N259" s="2116"/>
      <c r="O259" s="2116"/>
      <c r="P259" s="2116"/>
      <c r="Q259" s="2116"/>
      <c r="R259" s="2116"/>
      <c r="S259" s="2116"/>
      <c r="T259" s="2116"/>
      <c r="U259" s="2116"/>
    </row>
    <row r="260" customFormat="false" ht="15" hidden="false" customHeight="true" outlineLevel="1" collapsed="false">
      <c r="A260" s="2162" t="s">
        <v>1091</v>
      </c>
      <c r="B260" s="260" t="s">
        <v>159</v>
      </c>
      <c r="C260" s="1130" t="n">
        <f aca="false">'Ввод данных'!C227</f>
        <v>0</v>
      </c>
      <c r="D260" s="2511"/>
      <c r="E260" s="2511"/>
      <c r="F260" s="2511"/>
      <c r="G260" s="2116"/>
      <c r="H260" s="2116"/>
      <c r="I260" s="2124"/>
      <c r="J260" s="2116"/>
      <c r="K260" s="2165"/>
      <c r="L260" s="2116"/>
      <c r="M260" s="2116"/>
      <c r="N260" s="2116"/>
      <c r="O260" s="2116"/>
      <c r="P260" s="2116"/>
      <c r="Q260" s="2116"/>
      <c r="R260" s="2116"/>
      <c r="S260" s="2116"/>
      <c r="T260" s="2116"/>
      <c r="U260" s="2116"/>
    </row>
    <row r="261" customFormat="false" ht="15" hidden="false" customHeight="true" outlineLevel="1" collapsed="false">
      <c r="A261" s="2163" t="s">
        <v>2720</v>
      </c>
      <c r="B261" s="2163" t="s">
        <v>1094</v>
      </c>
      <c r="C261" s="2163" t="s">
        <v>1802</v>
      </c>
      <c r="D261" s="2163" t="s">
        <v>2721</v>
      </c>
      <c r="E261" s="2163" t="s">
        <v>2722</v>
      </c>
      <c r="F261" s="1148"/>
      <c r="G261" s="2189" t="s">
        <v>1409</v>
      </c>
      <c r="H261" s="2189"/>
      <c r="I261" s="2163" t="s">
        <v>1094</v>
      </c>
      <c r="J261" s="2163" t="s">
        <v>1802</v>
      </c>
      <c r="K261" s="2513" t="s">
        <v>1601</v>
      </c>
      <c r="L261" s="2163" t="s">
        <v>2722</v>
      </c>
      <c r="M261" s="1148"/>
      <c r="N261" s="1148"/>
      <c r="O261" s="1148"/>
      <c r="P261" s="1148"/>
      <c r="Q261" s="1148"/>
      <c r="R261" s="1148"/>
      <c r="S261" s="1148"/>
      <c r="T261" s="1148"/>
      <c r="U261" s="1148"/>
    </row>
    <row r="262" customFormat="false" ht="15" hidden="false" customHeight="true" outlineLevel="1" collapsed="false">
      <c r="A262" s="232" t="str">
        <f aca="false">'Ввод данных'!A205</f>
        <v>нет</v>
      </c>
      <c r="B262" s="232" t="s">
        <v>135</v>
      </c>
      <c r="C262" s="232" t="n">
        <f aca="false">C241*D241*VLOOKUP(A262,связи1!F203:H213,3,0)*G240</f>
        <v>0</v>
      </c>
      <c r="D262" s="232" t="n">
        <f aca="false">VLOOKUP(A262,связи1!F203:H213,2,0)</f>
        <v>0</v>
      </c>
      <c r="E262" s="232" t="n">
        <f aca="false">C262*D262</f>
        <v>0</v>
      </c>
      <c r="F262" s="1148"/>
      <c r="G262" s="2157"/>
      <c r="H262" s="2158"/>
      <c r="I262" s="232"/>
      <c r="J262" s="232"/>
      <c r="K262" s="2164"/>
      <c r="L262" s="232"/>
      <c r="M262" s="1148"/>
      <c r="N262" s="1148"/>
      <c r="O262" s="1148"/>
      <c r="P262" s="1148"/>
      <c r="Q262" s="1148"/>
      <c r="R262" s="1148"/>
      <c r="S262" s="1148"/>
      <c r="T262" s="1148"/>
      <c r="U262" s="1148"/>
    </row>
    <row r="263" customFormat="false" ht="15" hidden="false" customHeight="true" outlineLevel="1" collapsed="false">
      <c r="A263" s="232" t="str">
        <f aca="false">'Прайс лист'!B864</f>
        <v>Болты анкерные с гайкой 12,0 х 280</v>
      </c>
      <c r="B263" s="232" t="s">
        <v>159</v>
      </c>
      <c r="C263" s="2159" t="n">
        <f aca="false">C241*D241*1*G240</f>
        <v>48.2842712474619</v>
      </c>
      <c r="D263" s="232" t="n">
        <f aca="false">'Прайс лист'!G864</f>
        <v>27.1</v>
      </c>
      <c r="E263" s="232" t="n">
        <f aca="false">C263*D263</f>
        <v>1308.50375080622</v>
      </c>
      <c r="F263" s="1148"/>
      <c r="G263" s="87" t="s">
        <v>4130</v>
      </c>
      <c r="H263" s="87"/>
      <c r="I263" s="232" t="s">
        <v>156</v>
      </c>
      <c r="J263" s="232" t="n">
        <f aca="false">C241*D241*H240</f>
        <v>48.2842712474619</v>
      </c>
      <c r="K263" s="2164" t="n">
        <f aca="false">'Прайс лист'!G1735</f>
        <v>250</v>
      </c>
      <c r="L263" s="232" t="n">
        <f aca="false">J263*K263</f>
        <v>12071.0678118655</v>
      </c>
      <c r="M263" s="1148"/>
      <c r="N263" s="1148"/>
      <c r="O263" s="1148"/>
      <c r="P263" s="1148"/>
      <c r="Q263" s="1148"/>
      <c r="R263" s="1148"/>
      <c r="S263" s="1148"/>
      <c r="T263" s="1148"/>
      <c r="U263" s="1148"/>
    </row>
    <row r="264" customFormat="false" ht="15" hidden="false" customHeight="true" outlineLevel="1" collapsed="false">
      <c r="A264" s="232" t="str">
        <f aca="false">'Ввод данных'!A216</f>
        <v>Доска сухая, 200*50мм</v>
      </c>
      <c r="B264" s="232" t="s">
        <v>135</v>
      </c>
      <c r="C264" s="232" t="n">
        <f aca="false">(((C248/0.6)+1)*C249*2*VLOOKUP(A264,связи1!A407:E416,5,0)*1.1*G240*+(C248*3+C249*4)*VLOOKUP(A264,связи1!A407:E416,5,0))*1.3*G240+'Ввод данных'!C212/0.6*'Ввод данных'!D212*VLOOKUP(A264,связи1!A407:E416,5,0)*G240</f>
        <v>2.9535780917535</v>
      </c>
      <c r="D264" s="232" t="n">
        <f aca="false">VLOOKUP(A264,связи1!A407:E416,2,0)</f>
        <v>9000</v>
      </c>
      <c r="E264" s="232" t="n">
        <f aca="false">C264*D264</f>
        <v>26582.2028257815</v>
      </c>
      <c r="F264" s="1148"/>
      <c r="G264" s="87" t="s">
        <v>1533</v>
      </c>
      <c r="H264" s="87"/>
      <c r="I264" s="232" t="s">
        <v>133</v>
      </c>
      <c r="J264" s="232" t="n">
        <f aca="false">C247*(C244+C245+C246)*H240*IF(A264=связи1!A407,0,1)</f>
        <v>179.307020442324</v>
      </c>
      <c r="K264" s="2164" t="n">
        <f aca="false">'Прайс лист'!G1736</f>
        <v>450</v>
      </c>
      <c r="L264" s="232" t="n">
        <f aca="false">J264*K264</f>
        <v>80688.1591990457</v>
      </c>
      <c r="M264" s="1148"/>
      <c r="N264" s="1148"/>
      <c r="O264" s="1148"/>
      <c r="P264" s="1148"/>
      <c r="Q264" s="1148"/>
      <c r="R264" s="1148"/>
      <c r="S264" s="1148"/>
      <c r="T264" s="1148"/>
      <c r="U264" s="1148"/>
    </row>
    <row r="265" customFormat="false" ht="15" hidden="false" customHeight="true" outlineLevel="1" collapsed="false">
      <c r="A265" s="232" t="s">
        <v>2723</v>
      </c>
      <c r="B265" s="232" t="s">
        <v>135</v>
      </c>
      <c r="C265" s="232" t="n">
        <f aca="false">((C248/0.6)+1)*3*1.3*G240*VLOOKUP(A264,связи1!A407:E416,5,0)</f>
        <v>0.793</v>
      </c>
      <c r="D265" s="232" t="n">
        <f aca="false">VLOOKUP(A264,связи1!A407:E416,2,0)</f>
        <v>9000</v>
      </c>
      <c r="E265" s="232" t="n">
        <f aca="false">C265*D265</f>
        <v>7137</v>
      </c>
      <c r="F265" s="1148"/>
      <c r="G265" s="87" t="s">
        <v>1534</v>
      </c>
      <c r="H265" s="87"/>
      <c r="I265" s="232" t="s">
        <v>133</v>
      </c>
      <c r="J265" s="232" t="n">
        <f aca="false">C247*(C244+C245+C246)*H240*IF(A267=связи1!A432,0,1)</f>
        <v>179.307020442324</v>
      </c>
      <c r="K265" s="2164" t="n">
        <f aca="false">'Прайс лист'!G1737</f>
        <v>100</v>
      </c>
      <c r="L265" s="232" t="n">
        <f aca="false">J265*K265</f>
        <v>17930.7020442324</v>
      </c>
      <c r="M265" s="1148"/>
      <c r="N265" s="1148"/>
      <c r="O265" s="1148"/>
      <c r="P265" s="1148"/>
      <c r="Q265" s="1148"/>
      <c r="R265" s="1148"/>
      <c r="S265" s="1148"/>
      <c r="T265" s="1148"/>
      <c r="U265" s="1148"/>
    </row>
    <row r="266" customFormat="false" ht="15" hidden="false" customHeight="true" outlineLevel="1" collapsed="false">
      <c r="A266" s="232" t="s">
        <v>4131</v>
      </c>
      <c r="B266" s="232" t="s">
        <v>135</v>
      </c>
      <c r="C266" s="232" t="n">
        <f aca="false">((C248/0.6)*H236*VLOOKUP(A264,связи1!A407:E416,5,0)*G240)</f>
        <v>0</v>
      </c>
      <c r="D266" s="232" t="n">
        <f aca="false">VLOOKUP(A264,связи1!A407:E416,2,0)</f>
        <v>9000</v>
      </c>
      <c r="E266" s="232" t="n">
        <f aca="false">C266*D266</f>
        <v>0</v>
      </c>
      <c r="F266" s="1148"/>
      <c r="G266" s="87" t="s">
        <v>1535</v>
      </c>
      <c r="H266" s="87"/>
      <c r="I266" s="232" t="s">
        <v>133</v>
      </c>
      <c r="J266" s="232" t="n">
        <f aca="false">C247*(C244+C245+C246)*H240*IF(A268=связи1!A418,0,1)</f>
        <v>179.307020442324</v>
      </c>
      <c r="K266" s="2164" t="n">
        <f aca="false">'Прайс лист'!G1738</f>
        <v>100</v>
      </c>
      <c r="L266" s="232" t="n">
        <f aca="false">J266*K266</f>
        <v>17930.7020442324</v>
      </c>
      <c r="M266" s="1148"/>
      <c r="N266" s="1148"/>
      <c r="O266" s="1148"/>
      <c r="P266" s="1148"/>
      <c r="Q266" s="1148"/>
      <c r="R266" s="1148"/>
      <c r="S266" s="1148"/>
      <c r="T266" s="1148"/>
      <c r="U266" s="1148"/>
    </row>
    <row r="267" customFormat="false" ht="15" hidden="false" customHeight="true" outlineLevel="1" collapsed="false">
      <c r="A267" s="232" t="str">
        <f aca="false">'Ввод данных'!A218</f>
        <v>Сосна влаж,100*25мм</v>
      </c>
      <c r="B267" s="232" t="s">
        <v>135</v>
      </c>
      <c r="C267" s="232" t="n">
        <f aca="false">(C249/0.25)*C248*2*G240*VLOOKUP(A267,связи1!A432:F440,5,0)</f>
        <v>1.79307020442324</v>
      </c>
      <c r="D267" s="232" t="n">
        <f aca="false">VLOOKUP(A267,связи1!A432:F440,6,0)</f>
        <v>6500</v>
      </c>
      <c r="E267" s="232" t="n">
        <f aca="false">C267*D267</f>
        <v>11654.956328751</v>
      </c>
      <c r="F267" s="1148"/>
      <c r="G267" s="7" t="str">
        <f aca="false">'Прайс лист'!B1742</f>
        <v>Монтаж металлочерепицы</v>
      </c>
      <c r="H267" s="5"/>
      <c r="I267" s="5" t="s">
        <v>133</v>
      </c>
      <c r="J267" s="5" t="n">
        <f aca="false">C247*C244</f>
        <v>0</v>
      </c>
      <c r="K267" s="7" t="n">
        <f aca="false">'Прайс лист'!G1742</f>
        <v>300</v>
      </c>
      <c r="L267" s="232" t="n">
        <f aca="false">J267*K267</f>
        <v>0</v>
      </c>
      <c r="M267" s="1148"/>
      <c r="N267" s="1148"/>
      <c r="O267" s="1148"/>
      <c r="P267" s="1148"/>
      <c r="Q267" s="1148"/>
      <c r="R267" s="1148"/>
      <c r="S267" s="1148"/>
      <c r="T267" s="1148"/>
      <c r="U267" s="1148"/>
    </row>
    <row r="268" customFormat="false" ht="15" hidden="false" customHeight="true" outlineLevel="1" collapsed="false">
      <c r="A268" s="232" t="str">
        <f aca="false">'Ввод данных'!A220</f>
        <v>Доска сухая, калибр., 35*45мм</v>
      </c>
      <c r="B268" s="232" t="s">
        <v>159</v>
      </c>
      <c r="C268" s="232" t="n">
        <f aca="false">((C248/0.6)+1)*C249*2*G240*VLOOKUP(A268,связи1!A418:E421,5,0)</f>
        <v>0.385020606395191</v>
      </c>
      <c r="D268" s="232" t="n">
        <f aca="false">VLOOKUP(A268,связи1!A418:D421,2,0)</f>
        <v>12500</v>
      </c>
      <c r="E268" s="232" t="n">
        <f aca="false">C268*D268</f>
        <v>4812.75757993989</v>
      </c>
      <c r="F268" s="1148"/>
      <c r="G268" s="7" t="str">
        <f aca="false">'Прайс лист'!B1743</f>
        <v>Монтаж ондулина</v>
      </c>
      <c r="H268" s="5"/>
      <c r="I268" s="5" t="s">
        <v>133</v>
      </c>
      <c r="J268" s="5" t="n">
        <f aca="false">C247*C245</f>
        <v>0</v>
      </c>
      <c r="K268" s="7" t="n">
        <f aca="false">'Прайс лист'!G1743</f>
        <v>300</v>
      </c>
      <c r="L268" s="232" t="n">
        <f aca="false">J268*K268</f>
        <v>0</v>
      </c>
      <c r="M268" s="1148"/>
      <c r="N268" s="1148"/>
      <c r="O268" s="1148"/>
      <c r="P268" s="1148"/>
      <c r="Q268" s="1148"/>
      <c r="R268" s="1148"/>
      <c r="S268" s="1148"/>
      <c r="T268" s="1148"/>
      <c r="U268" s="1148"/>
    </row>
    <row r="269" customFormat="false" ht="15" hidden="false" customHeight="true" outlineLevel="1" collapsed="false">
      <c r="A269" s="232" t="str">
        <f aca="false">'Ввод данных'!A214</f>
        <v>Сосна влаж, 150*150мм</v>
      </c>
      <c r="B269" s="232" t="s">
        <v>156</v>
      </c>
      <c r="C269" s="232" t="n">
        <f aca="false">'Ввод данных'!C170*VLOOKUP(A269,'Прайс лист'!B333:G419,5,0)*'Ввод данных'!D214</f>
        <v>0</v>
      </c>
      <c r="D269" s="232" t="n">
        <f aca="false">VLOOKUP(A269,'Прайс лист'!B333:G419,6,0)</f>
        <v>6500</v>
      </c>
      <c r="E269" s="232" t="n">
        <f aca="false">C269*D269</f>
        <v>0</v>
      </c>
      <c r="F269" s="1148"/>
      <c r="G269" s="2514"/>
      <c r="H269" s="133"/>
      <c r="I269" s="5"/>
      <c r="J269" s="5"/>
      <c r="K269" s="7"/>
      <c r="L269" s="232"/>
      <c r="M269" s="1148"/>
      <c r="N269" s="1148"/>
      <c r="O269" s="1148"/>
      <c r="P269" s="1148"/>
      <c r="Q269" s="1148"/>
      <c r="R269" s="1148"/>
      <c r="S269" s="1148"/>
      <c r="T269" s="1148"/>
      <c r="U269" s="1148"/>
    </row>
    <row r="270" customFormat="false" ht="15" hidden="false" customHeight="true" outlineLevel="1" collapsed="false">
      <c r="A270" s="232" t="str">
        <f aca="false">'Прайс лист'!B530</f>
        <v>Гидрокомпенсатор</v>
      </c>
      <c r="B270" s="232"/>
      <c r="C270" s="232" t="n">
        <f aca="false">'Ввод данных'!D214</f>
        <v>0</v>
      </c>
      <c r="D270" s="232" t="n">
        <f aca="false">'Прайс лист'!G530</f>
        <v>450</v>
      </c>
      <c r="E270" s="232" t="n">
        <f aca="false">C270*D270</f>
        <v>0</v>
      </c>
      <c r="F270" s="1148"/>
      <c r="G270" s="2514"/>
      <c r="H270" s="133"/>
      <c r="I270" s="5"/>
      <c r="J270" s="5"/>
      <c r="K270" s="7"/>
      <c r="L270" s="232"/>
      <c r="M270" s="1148"/>
      <c r="N270" s="1148"/>
      <c r="O270" s="1148"/>
      <c r="P270" s="1148"/>
      <c r="Q270" s="1148"/>
      <c r="R270" s="1148"/>
      <c r="S270" s="1148"/>
      <c r="T270" s="1148"/>
      <c r="U270" s="1148"/>
    </row>
    <row r="271" customFormat="false" ht="15" hidden="false" customHeight="true" outlineLevel="1" collapsed="false">
      <c r="A271" s="232" t="str">
        <f aca="false">'Ввод данных'!A229</f>
        <v>Пленка Д110 Стандарт</v>
      </c>
      <c r="B271" s="232" t="s">
        <v>133</v>
      </c>
      <c r="C271" s="232" t="n">
        <f aca="false">C247*1.2*G240</f>
        <v>215.168424530788</v>
      </c>
      <c r="D271" s="232" t="n">
        <f aca="false">VLOOKUP(A271,'Прайс лист'!B793:G819,6,0)</f>
        <v>24</v>
      </c>
      <c r="E271" s="232" t="n">
        <f aca="false">C271*D271</f>
        <v>5164.04218873892</v>
      </c>
      <c r="F271" s="1148"/>
      <c r="G271" s="2182" t="s">
        <v>1536</v>
      </c>
      <c r="H271" s="2183"/>
      <c r="I271" s="232" t="s">
        <v>133</v>
      </c>
      <c r="J271" s="232" t="n">
        <f aca="false">C247*(C244+C245+C246)*H240*IF(A271='Прайс лист'!B793,0,1)</f>
        <v>179.307020442324</v>
      </c>
      <c r="K271" s="2164" t="n">
        <f aca="false">'Прайс лист'!G1739</f>
        <v>100</v>
      </c>
      <c r="L271" s="232" t="n">
        <f aca="false">J271*K271</f>
        <v>17930.7020442324</v>
      </c>
      <c r="M271" s="1148"/>
      <c r="N271" s="1148"/>
      <c r="O271" s="1148"/>
      <c r="P271" s="1148"/>
      <c r="Q271" s="1148"/>
      <c r="R271" s="1148"/>
      <c r="S271" s="1148"/>
      <c r="T271" s="1148"/>
      <c r="U271" s="1148"/>
    </row>
    <row r="272" customFormat="false" ht="15" hidden="false" customHeight="true" outlineLevel="1" collapsed="false">
      <c r="A272" s="232" t="str">
        <f aca="false">'Ввод данных'!A231</f>
        <v>Мембрана Tyvek AirGuard SD5</v>
      </c>
      <c r="B272" s="232" t="s">
        <v>133</v>
      </c>
      <c r="C272" s="232" t="n">
        <f aca="false">C247*1.1*G240</f>
        <v>197.237722486556</v>
      </c>
      <c r="D272" s="232" t="n">
        <f aca="false">VLOOKUP(A272,'Прайс лист'!B820:G831,6,0)</f>
        <v>132</v>
      </c>
      <c r="E272" s="232" t="n">
        <f aca="false">C272*D272</f>
        <v>26035.3793682254</v>
      </c>
      <c r="F272" s="1148"/>
      <c r="G272" s="2182" t="s">
        <v>1537</v>
      </c>
      <c r="H272" s="2183"/>
      <c r="I272" s="232" t="s">
        <v>133</v>
      </c>
      <c r="J272" s="232" t="n">
        <f aca="false">J264*(C244+C245)*H240*IF(A272='Прайс лист'!B820,0,1)</f>
        <v>0</v>
      </c>
      <c r="K272" s="2164" t="n">
        <f aca="false">'Прайс лист'!G1740</f>
        <v>100</v>
      </c>
      <c r="L272" s="232" t="n">
        <f aca="false">J272*K272</f>
        <v>0</v>
      </c>
      <c r="M272" s="1148"/>
      <c r="N272" s="1148"/>
      <c r="O272" s="1148"/>
      <c r="P272" s="1148"/>
      <c r="Q272" s="1148"/>
      <c r="R272" s="1148"/>
      <c r="S272" s="1148"/>
      <c r="T272" s="1148"/>
      <c r="U272" s="1148"/>
    </row>
    <row r="273" customFormat="false" ht="15" hidden="false" customHeight="true" outlineLevel="1" collapsed="false">
      <c r="A273" s="232" t="str">
        <f aca="false">'Ввод данных'!A224</f>
        <v>Плитный,28кг/м3, технониколь, 200мм</v>
      </c>
      <c r="B273" s="232" t="s">
        <v>135</v>
      </c>
      <c r="C273" s="232" t="n">
        <f aca="false">((C249-C250)*(C248-C252-C253)+(C249-C251)*(C248-C252-C253))*VLOOKUP(A273,'Прайс лист'!B744:G782,3,0)*G240</f>
        <v>28.9150035245386</v>
      </c>
      <c r="D273" s="232" t="n">
        <f aca="false">VLOOKUP(A273,'Прайс лист'!B744:G782,6,0)</f>
        <v>1700</v>
      </c>
      <c r="E273" s="232" t="n">
        <f aca="false">C273*D273</f>
        <v>49155.5059917156</v>
      </c>
      <c r="F273" s="1148"/>
      <c r="G273" s="2182" t="s">
        <v>1538</v>
      </c>
      <c r="H273" s="2183"/>
      <c r="I273" s="232" t="s">
        <v>133</v>
      </c>
      <c r="J273" s="232" t="n">
        <f aca="false">J264*H240*IF(A273='Прайс лист'!B744,0,1)</f>
        <v>179.307020442324</v>
      </c>
      <c r="K273" s="2164" t="n">
        <f aca="false">'Прайс лист'!G1741</f>
        <v>200</v>
      </c>
      <c r="L273" s="232" t="n">
        <f aca="false">J273*K273</f>
        <v>35861.4040884647</v>
      </c>
      <c r="M273" s="1148"/>
      <c r="N273" s="1148"/>
      <c r="O273" s="1148"/>
      <c r="P273" s="1148"/>
      <c r="Q273" s="1148"/>
      <c r="R273" s="1148"/>
      <c r="S273" s="1148"/>
      <c r="T273" s="1148"/>
      <c r="U273" s="1148"/>
    </row>
    <row r="274" customFormat="false" ht="15" hidden="false" customHeight="true" outlineLevel="1" collapsed="false">
      <c r="A274" s="232" t="str">
        <f aca="false">'Прайс лист'!B1131</f>
        <v>Металлочерепица</v>
      </c>
      <c r="B274" s="232" t="s">
        <v>133</v>
      </c>
      <c r="C274" s="232" t="n">
        <f aca="false">C247*G240*C244</f>
        <v>0</v>
      </c>
      <c r="D274" s="232" t="n">
        <f aca="false">'Прайс лист'!G1131</f>
        <v>250</v>
      </c>
      <c r="E274" s="232" t="n">
        <f aca="false">C274*D274</f>
        <v>0</v>
      </c>
      <c r="F274" s="1148"/>
      <c r="G274" s="2182" t="s">
        <v>1541</v>
      </c>
      <c r="H274" s="2183"/>
      <c r="I274" s="232" t="s">
        <v>133</v>
      </c>
      <c r="J274" s="122" t="n">
        <f aca="false">C275*H240</f>
        <v>0</v>
      </c>
      <c r="K274" s="2164" t="n">
        <f aca="false">'Прайс лист'!G1744</f>
        <v>100</v>
      </c>
      <c r="L274" s="232" t="n">
        <f aca="false">J274*K274</f>
        <v>0</v>
      </c>
      <c r="M274" s="1148"/>
      <c r="N274" s="1148"/>
      <c r="O274" s="1148"/>
      <c r="P274" s="1148"/>
      <c r="Q274" s="1148"/>
      <c r="R274" s="1148"/>
      <c r="S274" s="1148"/>
      <c r="T274" s="1148"/>
      <c r="U274" s="1148"/>
    </row>
    <row r="275" customFormat="false" ht="15" hidden="false" customHeight="true" outlineLevel="1" collapsed="false">
      <c r="A275" s="232" t="str">
        <f aca="false">'Прайс лист'!B1144</f>
        <v>Карнизная планка</v>
      </c>
      <c r="B275" s="232" t="s">
        <v>156</v>
      </c>
      <c r="C275" s="232" t="n">
        <f aca="false">C248*2*G240*C244</f>
        <v>0</v>
      </c>
      <c r="D275" s="232" t="n">
        <f aca="false">'Прайс лист'!G1144</f>
        <v>190</v>
      </c>
      <c r="E275" s="232" t="n">
        <f aca="false">C275*D275</f>
        <v>0</v>
      </c>
      <c r="F275" s="1148"/>
      <c r="G275" s="2182" t="s">
        <v>1542</v>
      </c>
      <c r="H275" s="2183"/>
      <c r="I275" s="232" t="s">
        <v>133</v>
      </c>
      <c r="J275" s="122" t="n">
        <f aca="false">C276*H240</f>
        <v>0</v>
      </c>
      <c r="K275" s="2164" t="n">
        <f aca="false">'Прайс лист'!G1745</f>
        <v>100</v>
      </c>
      <c r="L275" s="232" t="n">
        <f aca="false">J275*K275</f>
        <v>0</v>
      </c>
      <c r="M275" s="1148"/>
      <c r="N275" s="1148"/>
      <c r="O275" s="1148"/>
      <c r="P275" s="1148"/>
      <c r="Q275" s="1148"/>
      <c r="R275" s="1148"/>
      <c r="S275" s="1148"/>
      <c r="T275" s="1148"/>
      <c r="U275" s="1148"/>
    </row>
    <row r="276" customFormat="false" ht="15" hidden="false" customHeight="true" outlineLevel="1" collapsed="false">
      <c r="A276" s="232" t="str">
        <f aca="false">'Прайс лист'!B1145</f>
        <v>Торцевая планка</v>
      </c>
      <c r="B276" s="232" t="s">
        <v>156</v>
      </c>
      <c r="C276" s="232" t="n">
        <f aca="false">C249*4*G240*C244</f>
        <v>0</v>
      </c>
      <c r="D276" s="232" t="n">
        <f aca="false">'Прайс лист'!G1145</f>
        <v>190</v>
      </c>
      <c r="E276" s="232" t="n">
        <f aca="false">C276*D276</f>
        <v>0</v>
      </c>
      <c r="F276" s="1148"/>
      <c r="G276" s="7" t="str">
        <f aca="false">'Прайс лист'!B1750</f>
        <v>конек</v>
      </c>
      <c r="H276" s="5"/>
      <c r="I276" s="5" t="s">
        <v>156</v>
      </c>
      <c r="J276" s="5" t="n">
        <f aca="false">C248*(C244+C245+C246)</f>
        <v>11.6</v>
      </c>
      <c r="K276" s="7" t="n">
        <f aca="false">'Прайс лист'!G1750</f>
        <v>300</v>
      </c>
      <c r="L276" s="232" t="n">
        <f aca="false">J276*K276</f>
        <v>3480</v>
      </c>
      <c r="M276" s="1148"/>
      <c r="N276" s="1148"/>
      <c r="O276" s="1148"/>
      <c r="P276" s="1148"/>
      <c r="Q276" s="1148"/>
      <c r="R276" s="1148"/>
      <c r="S276" s="1148"/>
      <c r="T276" s="1148"/>
      <c r="U276" s="1148"/>
    </row>
    <row r="277" customFormat="false" ht="15" hidden="false" customHeight="true" outlineLevel="1" collapsed="false">
      <c r="A277" s="232" t="str">
        <f aca="false">'Прайс лист'!B1146</f>
        <v>Конек</v>
      </c>
      <c r="B277" s="232" t="s">
        <v>156</v>
      </c>
      <c r="C277" s="232" t="n">
        <f aca="false">C248*G240*C244</f>
        <v>0</v>
      </c>
      <c r="D277" s="232" t="n">
        <f aca="false">'Прайс лист'!G1146</f>
        <v>200</v>
      </c>
      <c r="E277" s="232" t="n">
        <f aca="false">C277*D277</f>
        <v>0</v>
      </c>
      <c r="F277" s="1148"/>
      <c r="G277" s="2155" t="s">
        <v>1544</v>
      </c>
      <c r="H277" s="2156"/>
      <c r="I277" s="232" t="s">
        <v>156</v>
      </c>
      <c r="J277" s="122" t="n">
        <f aca="false">C297*H240</f>
        <v>23.2</v>
      </c>
      <c r="K277" s="2164" t="n">
        <f aca="false">'Прайс лист'!G1747</f>
        <v>300</v>
      </c>
      <c r="L277" s="232" t="n">
        <f aca="false">J277*K277</f>
        <v>6960</v>
      </c>
      <c r="M277" s="1148"/>
      <c r="N277" s="1148"/>
      <c r="O277" s="1148"/>
      <c r="P277" s="1148"/>
      <c r="Q277" s="1148"/>
      <c r="R277" s="1148"/>
      <c r="S277" s="1148"/>
      <c r="T277" s="1148"/>
      <c r="U277" s="1148"/>
    </row>
    <row r="278" customFormat="false" ht="15" hidden="false" customHeight="true" outlineLevel="1" collapsed="false">
      <c r="A278" s="232" t="s">
        <v>2725</v>
      </c>
      <c r="B278" s="232" t="s">
        <v>133</v>
      </c>
      <c r="C278" s="232" t="n">
        <f aca="false">C247*1.1*G240*C245</f>
        <v>0</v>
      </c>
      <c r="D278" s="232" t="n">
        <f aca="false">'Прайс лист'!G1143</f>
        <v>180</v>
      </c>
      <c r="E278" s="232" t="n">
        <f aca="false">C278*D278</f>
        <v>0</v>
      </c>
      <c r="F278" s="1148"/>
      <c r="G278" s="2155" t="s">
        <v>1082</v>
      </c>
      <c r="H278" s="2156"/>
      <c r="I278" s="232" t="s">
        <v>156</v>
      </c>
      <c r="J278" s="122" t="n">
        <f aca="false">C299*H240</f>
        <v>8</v>
      </c>
      <c r="K278" s="2164" t="n">
        <f aca="false">'Прайс лист'!G1748</f>
        <v>300</v>
      </c>
      <c r="L278" s="232" t="n">
        <f aca="false">J278*K278</f>
        <v>2400</v>
      </c>
      <c r="M278" s="1148"/>
      <c r="N278" s="1148"/>
      <c r="O278" s="1148"/>
      <c r="P278" s="1148"/>
      <c r="Q278" s="1148"/>
      <c r="R278" s="1148"/>
      <c r="S278" s="1148"/>
      <c r="T278" s="1148"/>
      <c r="U278" s="1148"/>
    </row>
    <row r="279" customFormat="false" ht="15" hidden="false" customHeight="true" outlineLevel="1" collapsed="false">
      <c r="A279" s="7" t="str">
        <f aca="false">'Прайс лист'!B1144</f>
        <v>Карнизная планка</v>
      </c>
      <c r="B279" s="5" t="s">
        <v>156</v>
      </c>
      <c r="C279" s="5" t="n">
        <f aca="false">C248*2*G240*C245</f>
        <v>0</v>
      </c>
      <c r="D279" s="232" t="n">
        <f aca="false">'Прайс лист'!G1144</f>
        <v>190</v>
      </c>
      <c r="E279" s="232" t="n">
        <f aca="false">C279*D279</f>
        <v>0</v>
      </c>
      <c r="F279" s="1148"/>
      <c r="G279" s="122" t="str">
        <f aca="false">'Прайс лист'!B1751</f>
        <v>Монтаж фанеры/osb</v>
      </c>
      <c r="H279" s="122"/>
      <c r="I279" s="232" t="s">
        <v>133</v>
      </c>
      <c r="J279" s="122" t="n">
        <f aca="false">C286/1.1*IF(A286='Прайс лист'!B1027,0,1)</f>
        <v>179.307020442324</v>
      </c>
      <c r="K279" s="2164" t="n">
        <f aca="false">'Прайс лист'!G1751</f>
        <v>200</v>
      </c>
      <c r="L279" s="232" t="n">
        <f aca="false">J279*K279</f>
        <v>35861.4040884647</v>
      </c>
      <c r="M279" s="1148"/>
      <c r="N279" s="1148"/>
      <c r="O279" s="1148"/>
      <c r="P279" s="1148"/>
      <c r="Q279" s="1148"/>
      <c r="R279" s="1148"/>
      <c r="S279" s="1148"/>
      <c r="T279" s="1148"/>
      <c r="U279" s="1148"/>
    </row>
    <row r="280" customFormat="false" ht="15" hidden="false" customHeight="true" outlineLevel="1" collapsed="false">
      <c r="A280" s="7" t="str">
        <f aca="false">'Прайс лист'!B1145</f>
        <v>Торцевая планка</v>
      </c>
      <c r="B280" s="232" t="s">
        <v>156</v>
      </c>
      <c r="C280" s="232" t="n">
        <f aca="false">C249*4*G240*C245</f>
        <v>0</v>
      </c>
      <c r="D280" s="232" t="n">
        <f aca="false">'Прайс лист'!G1145</f>
        <v>190</v>
      </c>
      <c r="E280" s="232" t="n">
        <f aca="false">C280*D280</f>
        <v>0</v>
      </c>
      <c r="F280" s="1148"/>
      <c r="G280" s="122" t="str">
        <f aca="false">'Прайс лист'!B1752</f>
        <v>монтаж подкладочного ковра</v>
      </c>
      <c r="H280" s="5"/>
      <c r="I280" s="5" t="s">
        <v>133</v>
      </c>
      <c r="J280" s="7" t="n">
        <f aca="false">C289/1.1</f>
        <v>163.006382220294</v>
      </c>
      <c r="K280" s="2164" t="n">
        <f aca="false">'Прайс лист'!G1752</f>
        <v>150</v>
      </c>
      <c r="L280" s="232" t="n">
        <f aca="false">J280*K280</f>
        <v>24450.9573330441</v>
      </c>
      <c r="M280" s="1148"/>
      <c r="N280" s="1148"/>
      <c r="O280" s="1148"/>
      <c r="P280" s="1148"/>
      <c r="Q280" s="1148"/>
      <c r="R280" s="1148"/>
      <c r="S280" s="1148"/>
      <c r="T280" s="1148"/>
      <c r="U280" s="1148"/>
    </row>
    <row r="281" customFormat="false" ht="15" hidden="false" customHeight="true" outlineLevel="1" collapsed="false">
      <c r="A281" s="7" t="str">
        <f aca="false">'Прайс лист'!B1146</f>
        <v>Конек</v>
      </c>
      <c r="B281" s="232" t="s">
        <v>1415</v>
      </c>
      <c r="C281" s="232" t="n">
        <f aca="false">C248*G240*C245</f>
        <v>0</v>
      </c>
      <c r="D281" s="232" t="n">
        <f aca="false">'Прайс лист'!G1146</f>
        <v>200</v>
      </c>
      <c r="E281" s="232" t="n">
        <f aca="false">C281*D281</f>
        <v>0</v>
      </c>
      <c r="F281" s="1148"/>
      <c r="G281" s="122" t="str">
        <f aca="false">'Прайс лист'!B1753</f>
        <v>Монтаж мягкой кровли</v>
      </c>
      <c r="H281" s="5"/>
      <c r="I281" s="5" t="s">
        <v>133</v>
      </c>
      <c r="J281" s="7" t="n">
        <f aca="false">C287/1.1</f>
        <v>158.788200402112</v>
      </c>
      <c r="K281" s="2164" t="n">
        <f aca="false">'Прайс лист'!G1753</f>
        <v>350</v>
      </c>
      <c r="L281" s="232" t="n">
        <f aca="false">J281*K281</f>
        <v>55575.8701407394</v>
      </c>
      <c r="M281" s="1148"/>
      <c r="N281" s="1148"/>
      <c r="O281" s="1148"/>
      <c r="P281" s="1148"/>
      <c r="Q281" s="1148"/>
      <c r="R281" s="1148"/>
      <c r="S281" s="1148"/>
      <c r="T281" s="1148"/>
      <c r="U281" s="1148"/>
    </row>
    <row r="282" customFormat="false" ht="15" hidden="false" customHeight="true" outlineLevel="1" collapsed="false">
      <c r="A282" s="7" t="str">
        <f aca="false">'Прайс лист'!B1147</f>
        <v>Ендова нижняя</v>
      </c>
      <c r="B282" s="232" t="s">
        <v>156</v>
      </c>
      <c r="C282" s="232"/>
      <c r="D282" s="232" t="n">
        <f aca="false">'Прайс лист'!G1147</f>
        <v>160</v>
      </c>
      <c r="E282" s="232" t="n">
        <f aca="false">C282*D282</f>
        <v>0</v>
      </c>
      <c r="F282" s="1148"/>
      <c r="M282" s="1148"/>
      <c r="N282" s="1148"/>
      <c r="O282" s="1148"/>
      <c r="P282" s="1148"/>
      <c r="Q282" s="1148"/>
      <c r="R282" s="1148"/>
      <c r="S282" s="1148"/>
      <c r="T282" s="1148"/>
      <c r="U282" s="1148"/>
    </row>
    <row r="283" customFormat="false" ht="15" hidden="false" customHeight="true" outlineLevel="1" collapsed="false">
      <c r="A283" s="7" t="str">
        <f aca="false">'Прайс лист'!B1148</f>
        <v>Ендова верхняя</v>
      </c>
      <c r="B283" s="232" t="s">
        <v>156</v>
      </c>
      <c r="C283" s="232"/>
      <c r="D283" s="232" t="n">
        <f aca="false">'Прайс лист'!G1148</f>
        <v>190</v>
      </c>
      <c r="E283" s="232" t="n">
        <f aca="false">C283*D283</f>
        <v>0</v>
      </c>
      <c r="F283" s="1148"/>
      <c r="M283" s="1148"/>
      <c r="N283" s="1148"/>
      <c r="O283" s="1148"/>
      <c r="P283" s="1148"/>
      <c r="Q283" s="1148"/>
      <c r="R283" s="1148"/>
      <c r="S283" s="1148"/>
      <c r="T283" s="1148"/>
      <c r="U283" s="1148"/>
    </row>
    <row r="284" customFormat="false" ht="15" hidden="false" customHeight="true" outlineLevel="1" collapsed="false">
      <c r="A284" s="7" t="str">
        <f aca="false">'Прайс лист'!B1149</f>
        <v>Планка примыкания</v>
      </c>
      <c r="B284" s="232" t="s">
        <v>156</v>
      </c>
      <c r="C284" s="232"/>
      <c r="D284" s="232" t="n">
        <f aca="false">'Прайс лист'!G1149</f>
        <v>190</v>
      </c>
      <c r="E284" s="232" t="n">
        <f aca="false">C284*D284</f>
        <v>0</v>
      </c>
      <c r="F284" s="1148"/>
      <c r="M284" s="1148"/>
      <c r="N284" s="1148"/>
      <c r="O284" s="1148"/>
      <c r="P284" s="1148"/>
      <c r="Q284" s="1148"/>
      <c r="R284" s="1148"/>
      <c r="S284" s="1148"/>
      <c r="T284" s="1148"/>
      <c r="U284" s="1148"/>
    </row>
    <row r="285" customFormat="false" ht="15" hidden="false" customHeight="true" outlineLevel="1" collapsed="false">
      <c r="A285" s="7" t="str">
        <f aca="false">'Прайс лист'!B1150</f>
        <v>Крепеж для ондулина</v>
      </c>
      <c r="B285" s="232" t="s">
        <v>159</v>
      </c>
      <c r="C285" s="232" t="n">
        <f aca="false">C247*12*C245*G240</f>
        <v>0</v>
      </c>
      <c r="D285" s="232" t="n">
        <f aca="false">'Прайс лист'!G1150</f>
        <v>4.5</v>
      </c>
      <c r="E285" s="232" t="n">
        <f aca="false">C285*D285</f>
        <v>0</v>
      </c>
      <c r="F285" s="1148"/>
      <c r="M285" s="1148"/>
      <c r="N285" s="1148"/>
      <c r="O285" s="1148"/>
      <c r="P285" s="1148"/>
      <c r="Q285" s="1148"/>
      <c r="R285" s="1148"/>
      <c r="S285" s="1148"/>
      <c r="T285" s="1148"/>
      <c r="U285" s="1148"/>
    </row>
    <row r="286" customFormat="false" ht="15" hidden="false" customHeight="true" outlineLevel="1" collapsed="false">
      <c r="A286" s="7" t="str">
        <f aca="false">'Ввод данных'!A222</f>
        <v>Kronospan - OSB-3, 9мм</v>
      </c>
      <c r="B286" s="232" t="s">
        <v>133</v>
      </c>
      <c r="C286" s="232" t="n">
        <f aca="false">C248*C249*2*1.1*G240</f>
        <v>197.237722486556</v>
      </c>
      <c r="D286" s="232" t="n">
        <f aca="false">VLOOKUP(A286,'Прайс лист'!B1027:G1078,6,0)</f>
        <v>220</v>
      </c>
      <c r="E286" s="232" t="n">
        <f aca="false">C286*D286</f>
        <v>43392.2989470423</v>
      </c>
      <c r="F286" s="1148"/>
      <c r="M286" s="1148"/>
      <c r="N286" s="1148"/>
      <c r="O286" s="1148"/>
      <c r="P286" s="1148"/>
      <c r="Q286" s="1148"/>
      <c r="R286" s="1148"/>
      <c r="S286" s="1148"/>
      <c r="T286" s="1148"/>
      <c r="U286" s="1148"/>
    </row>
    <row r="287" customFormat="false" ht="15" hidden="false" customHeight="true" outlineLevel="1" collapsed="false">
      <c r="A287" s="7" t="str">
        <f aca="false">'Прайс лист'!B1155</f>
        <v>Рядовая черепица</v>
      </c>
      <c r="B287" s="7" t="str">
        <f aca="false">'Прайс лист'!C1155</f>
        <v>м2</v>
      </c>
      <c r="C287" s="232" t="n">
        <f aca="false">(C247-C248*2*0.2)*G240*C246</f>
        <v>174.667020442324</v>
      </c>
      <c r="D287" s="232" t="n">
        <f aca="false">'Прайс лист'!G1155</f>
        <v>360</v>
      </c>
      <c r="E287" s="232" t="n">
        <f aca="false">C287*D287</f>
        <v>62880.1273592365</v>
      </c>
      <c r="F287" s="1148"/>
      <c r="M287" s="1148"/>
      <c r="N287" s="1148"/>
      <c r="O287" s="1148"/>
      <c r="P287" s="1148"/>
      <c r="Q287" s="1148"/>
      <c r="R287" s="1148"/>
      <c r="S287" s="1148"/>
      <c r="T287" s="1148"/>
      <c r="U287" s="1148"/>
    </row>
    <row r="288" customFormat="false" ht="15" hidden="false" customHeight="true" outlineLevel="1" collapsed="false">
      <c r="A288" s="7" t="str">
        <f aca="false">'Прайс лист'!B1156</f>
        <v>Металл оцинк защита (карниз)</v>
      </c>
      <c r="B288" s="7" t="str">
        <f aca="false">'Прайс лист'!C1156</f>
        <v>м.п.</v>
      </c>
      <c r="C288" s="232" t="n">
        <f aca="false">(C248+C248+C249*4)*C246*G240</f>
        <v>54.1150035245386</v>
      </c>
      <c r="D288" s="232" t="n">
        <f aca="false">'Прайс лист'!G1156</f>
        <v>200</v>
      </c>
      <c r="E288" s="232" t="n">
        <f aca="false">C288*D288</f>
        <v>10823.0007049077</v>
      </c>
      <c r="F288" s="1148"/>
      <c r="M288" s="1148"/>
      <c r="N288" s="1148"/>
      <c r="O288" s="1148"/>
      <c r="P288" s="1148"/>
      <c r="Q288" s="1148"/>
      <c r="R288" s="1148"/>
      <c r="S288" s="1148"/>
      <c r="T288" s="1148"/>
      <c r="U288" s="1148"/>
    </row>
    <row r="289" customFormat="false" ht="15" hidden="false" customHeight="true" outlineLevel="1" collapsed="false">
      <c r="A289" s="7" t="str">
        <f aca="false">'Прайс лист'!B1157</f>
        <v>Подкладочный ковер</v>
      </c>
      <c r="B289" s="7" t="str">
        <f aca="false">'Прайс лист'!C1157</f>
        <v>м.п.</v>
      </c>
      <c r="C289" s="232" t="n">
        <f aca="false">C247*G240*C246</f>
        <v>179.307020442324</v>
      </c>
      <c r="D289" s="232" t="n">
        <f aca="false">'Прайс лист'!G1157</f>
        <v>220</v>
      </c>
      <c r="E289" s="232" t="n">
        <f aca="false">C289*D289</f>
        <v>39447.5444973112</v>
      </c>
      <c r="F289" s="1148"/>
      <c r="M289" s="1148"/>
      <c r="N289" s="1148"/>
      <c r="O289" s="1148"/>
      <c r="P289" s="1148"/>
      <c r="Q289" s="1148"/>
      <c r="R289" s="1148"/>
      <c r="S289" s="1148"/>
      <c r="T289" s="1148"/>
      <c r="U289" s="1148"/>
    </row>
    <row r="290" customFormat="false" ht="15" hidden="false" customHeight="true" outlineLevel="1" collapsed="false">
      <c r="A290" s="7" t="str">
        <f aca="false">'Прайс лист'!B1158</f>
        <v>Карнизная самоклеющаяся черепица</v>
      </c>
      <c r="B290" s="7" t="str">
        <f aca="false">'Прайс лист'!C1158</f>
        <v>м.п.</v>
      </c>
      <c r="C290" s="232" t="n">
        <f aca="false">C248*2*C246*G240</f>
        <v>23.2</v>
      </c>
      <c r="D290" s="232" t="n">
        <f aca="false">'Прайс лист'!G1158</f>
        <v>220</v>
      </c>
      <c r="E290" s="232" t="n">
        <f aca="false">C290*D290</f>
        <v>5104</v>
      </c>
      <c r="F290" s="1148"/>
      <c r="M290" s="1148"/>
      <c r="N290" s="1148"/>
      <c r="O290" s="1148"/>
      <c r="P290" s="1148"/>
      <c r="Q290" s="1148"/>
      <c r="R290" s="1148"/>
      <c r="S290" s="1148"/>
      <c r="T290" s="1148"/>
      <c r="U290" s="1148"/>
    </row>
    <row r="291" customFormat="false" ht="15" hidden="false" customHeight="true" outlineLevel="1" collapsed="false">
      <c r="A291" s="7" t="str">
        <f aca="false">'Прайс лист'!B1159</f>
        <v>Спец ковер ендова нижняя</v>
      </c>
      <c r="B291" s="7" t="str">
        <f aca="false">'Прайс лист'!C1159</f>
        <v>м.п.</v>
      </c>
      <c r="C291" s="232"/>
      <c r="D291" s="232" t="n">
        <f aca="false">'Прайс лист'!G1159</f>
        <v>200</v>
      </c>
      <c r="E291" s="232" t="n">
        <f aca="false">C291*D291</f>
        <v>0</v>
      </c>
      <c r="F291" s="1148"/>
      <c r="M291" s="1148"/>
      <c r="N291" s="1148"/>
      <c r="O291" s="1148"/>
      <c r="P291" s="1148"/>
      <c r="Q291" s="1148"/>
      <c r="R291" s="1148"/>
      <c r="S291" s="1148"/>
      <c r="T291" s="1148"/>
      <c r="U291" s="1148"/>
    </row>
    <row r="292" customFormat="false" ht="15" hidden="false" customHeight="true" outlineLevel="1" collapsed="false">
      <c r="A292" s="7" t="str">
        <f aca="false">'Прайс лист'!B1160</f>
        <v>Коньковой элемент</v>
      </c>
      <c r="B292" s="7" t="str">
        <f aca="false">'Прайс лист'!C1160</f>
        <v>м.п.</v>
      </c>
      <c r="C292" s="232" t="n">
        <f aca="false">C248*1.05*C246*G240</f>
        <v>12.18</v>
      </c>
      <c r="D292" s="232" t="n">
        <f aca="false">'Прайс лист'!G1160</f>
        <v>250</v>
      </c>
      <c r="E292" s="232" t="n">
        <f aca="false">C292*D292</f>
        <v>3045</v>
      </c>
      <c r="F292" s="1148"/>
      <c r="M292" s="1148"/>
      <c r="N292" s="1148"/>
      <c r="O292" s="1148"/>
      <c r="P292" s="1148"/>
      <c r="Q292" s="1148"/>
      <c r="R292" s="1148"/>
      <c r="S292" s="1148"/>
      <c r="T292" s="1148"/>
      <c r="U292" s="1148"/>
    </row>
    <row r="293" customFormat="false" ht="15" hidden="false" customHeight="true" outlineLevel="1" collapsed="false">
      <c r="A293" s="7" t="str">
        <f aca="false">'Прайс лист'!B1161</f>
        <v>Планка премыкания</v>
      </c>
      <c r="B293" s="7" t="str">
        <f aca="false">'Прайс лист'!C1161</f>
        <v>м.п.</v>
      </c>
      <c r="C293" s="232"/>
      <c r="D293" s="232" t="n">
        <f aca="false">'Прайс лист'!G1161</f>
        <v>200</v>
      </c>
      <c r="E293" s="232" t="n">
        <f aca="false">C293*D293</f>
        <v>0</v>
      </c>
      <c r="F293" s="1148"/>
      <c r="M293" s="1148"/>
      <c r="N293" s="1148"/>
      <c r="O293" s="1148"/>
      <c r="P293" s="1148"/>
      <c r="Q293" s="1148"/>
      <c r="R293" s="1148"/>
      <c r="S293" s="1148"/>
      <c r="T293" s="1148"/>
      <c r="U293" s="1148"/>
    </row>
    <row r="294" customFormat="false" ht="15" hidden="false" customHeight="true" outlineLevel="1" collapsed="false">
      <c r="A294" s="7" t="str">
        <f aca="false">'Прайс лист'!B1162</f>
        <v>Гвозди для крепления подкладочного ковра</v>
      </c>
      <c r="B294" s="7" t="str">
        <f aca="false">'Прайс лист'!C1162</f>
        <v>шт</v>
      </c>
      <c r="C294" s="232" t="n">
        <f aca="false">C289*10*G240</f>
        <v>1793.07020442324</v>
      </c>
      <c r="D294" s="232" t="n">
        <f aca="false">'Прайс лист'!G1162</f>
        <v>0.012</v>
      </c>
      <c r="E294" s="232" t="n">
        <f aca="false">C294*D294</f>
        <v>21.5168424530788</v>
      </c>
      <c r="F294" s="1148"/>
      <c r="M294" s="1148"/>
      <c r="N294" s="1148"/>
      <c r="O294" s="1148"/>
      <c r="P294" s="1148"/>
      <c r="Q294" s="1148"/>
      <c r="R294" s="1148"/>
      <c r="S294" s="1148"/>
      <c r="T294" s="1148"/>
      <c r="U294" s="1148"/>
    </row>
    <row r="295" customFormat="false" ht="15" hidden="false" customHeight="true" outlineLevel="1" collapsed="false">
      <c r="A295" s="7" t="str">
        <f aca="false">'Прайс лист'!B1163</f>
        <v>Гвозди для крепления черепицы</v>
      </c>
      <c r="B295" s="7" t="str">
        <f aca="false">'Прайс лист'!C1163</f>
        <v>шт</v>
      </c>
      <c r="C295" s="232" t="n">
        <f aca="false">C287*50*G240</f>
        <v>8733.35102211619</v>
      </c>
      <c r="D295" s="232" t="n">
        <f aca="false">'Прайс лист'!G1163</f>
        <v>0.25</v>
      </c>
      <c r="E295" s="232" t="n">
        <f aca="false">C295*D295</f>
        <v>2183.33775552905</v>
      </c>
      <c r="F295" s="1148"/>
      <c r="M295" s="1148"/>
      <c r="N295" s="1148"/>
      <c r="O295" s="1148"/>
      <c r="P295" s="1148"/>
      <c r="Q295" s="1148"/>
      <c r="R295" s="1148"/>
      <c r="S295" s="1148"/>
      <c r="T295" s="1148"/>
      <c r="U295" s="1148"/>
    </row>
    <row r="296" customFormat="false" ht="15" hidden="false" customHeight="true" outlineLevel="1" collapsed="false">
      <c r="A296" s="7" t="str">
        <f aca="false">'Прайс лист'!B1164</f>
        <v>Клей для монтажа черепицы</v>
      </c>
      <c r="B296" s="7" t="str">
        <f aca="false">'Прайс лист'!C1164</f>
        <v>кг</v>
      </c>
      <c r="C296" s="232" t="n">
        <f aca="false">C289*G240</f>
        <v>179.307020442324</v>
      </c>
      <c r="D296" s="232" t="n">
        <f aca="false">'Прайс лист'!G1164</f>
        <v>250</v>
      </c>
      <c r="E296" s="232" t="n">
        <f aca="false">C296*D296</f>
        <v>44826.7551105809</v>
      </c>
      <c r="F296" s="1148"/>
      <c r="M296" s="1148"/>
      <c r="N296" s="1148"/>
      <c r="O296" s="1148"/>
      <c r="P296" s="1148"/>
      <c r="Q296" s="1148"/>
      <c r="R296" s="1148"/>
      <c r="S296" s="1148"/>
      <c r="T296" s="1148"/>
      <c r="U296" s="1148"/>
    </row>
    <row r="297" customFormat="false" ht="15" hidden="false" customHeight="true" outlineLevel="1" collapsed="false">
      <c r="A297" s="232" t="str">
        <f aca="false">'Прайс лист'!B1169</f>
        <v>желоб</v>
      </c>
      <c r="B297" s="232" t="s">
        <v>1415</v>
      </c>
      <c r="C297" s="232" t="n">
        <f aca="false">C248*2*G240</f>
        <v>23.2</v>
      </c>
      <c r="D297" s="232" t="n">
        <f aca="false">'Прайс лист'!G1169</f>
        <v>300</v>
      </c>
      <c r="E297" s="232" t="n">
        <f aca="false">C297*D297</f>
        <v>6960</v>
      </c>
      <c r="F297" s="1148"/>
      <c r="G297" s="88"/>
      <c r="H297" s="88"/>
      <c r="I297" s="232"/>
      <c r="J297" s="122"/>
      <c r="K297" s="2164"/>
      <c r="L297" s="232"/>
      <c r="M297" s="1148"/>
      <c r="N297" s="1148"/>
      <c r="O297" s="1148"/>
      <c r="P297" s="1148"/>
      <c r="Q297" s="1148"/>
      <c r="R297" s="1148"/>
      <c r="S297" s="1148"/>
      <c r="T297" s="1148"/>
      <c r="U297" s="1148"/>
    </row>
    <row r="298" customFormat="false" ht="15" hidden="false" customHeight="true" outlineLevel="1" collapsed="false">
      <c r="A298" s="232" t="str">
        <f aca="false">'Прайс лист'!B1170</f>
        <v>отвод</v>
      </c>
      <c r="B298" s="232" t="s">
        <v>159</v>
      </c>
      <c r="C298" s="232" t="n">
        <v>4</v>
      </c>
      <c r="D298" s="232" t="n">
        <f aca="false">'Прайс лист'!G1170</f>
        <v>250</v>
      </c>
      <c r="E298" s="232" t="n">
        <f aca="false">C298*D298</f>
        <v>1000</v>
      </c>
      <c r="F298" s="1148"/>
      <c r="G298" s="88"/>
      <c r="H298" s="88"/>
      <c r="I298" s="232"/>
      <c r="J298" s="122"/>
      <c r="K298" s="2164"/>
      <c r="L298" s="232"/>
      <c r="M298" s="1148"/>
      <c r="N298" s="1148"/>
      <c r="O298" s="1148"/>
      <c r="P298" s="1148"/>
      <c r="Q298" s="1148"/>
      <c r="R298" s="1148"/>
      <c r="S298" s="1148"/>
      <c r="T298" s="1148"/>
      <c r="U298" s="1148"/>
    </row>
    <row r="299" customFormat="false" ht="15" hidden="false" customHeight="true" outlineLevel="1" collapsed="false">
      <c r="A299" s="232" t="str">
        <f aca="false">'Прайс лист'!B1171</f>
        <v>труба водосточная</v>
      </c>
      <c r="B299" s="232" t="s">
        <v>156</v>
      </c>
      <c r="C299" s="232" t="n">
        <f aca="false">(E236+F236+1)*2*G240</f>
        <v>8</v>
      </c>
      <c r="D299" s="232" t="n">
        <f aca="false">'Прайс лист'!G1171</f>
        <v>300</v>
      </c>
      <c r="E299" s="232" t="n">
        <f aca="false">C299*D299</f>
        <v>2400</v>
      </c>
      <c r="F299" s="1148"/>
      <c r="G299" s="88"/>
      <c r="H299" s="88"/>
      <c r="I299" s="232"/>
      <c r="J299" s="122"/>
      <c r="K299" s="2164"/>
      <c r="L299" s="232"/>
      <c r="M299" s="1148"/>
      <c r="N299" s="1148"/>
      <c r="O299" s="1148"/>
      <c r="P299" s="1148"/>
      <c r="Q299" s="1148"/>
      <c r="R299" s="1148"/>
      <c r="S299" s="1148"/>
      <c r="T299" s="1148"/>
      <c r="U299" s="1148"/>
    </row>
    <row r="300" customFormat="false" ht="15" hidden="false" customHeight="true" outlineLevel="1" collapsed="false">
      <c r="A300" s="232" t="str">
        <f aca="false">'Прайс лист'!B1172</f>
        <v>заглушка для желоба</v>
      </c>
      <c r="B300" s="232" t="s">
        <v>159</v>
      </c>
      <c r="C300" s="232" t="n">
        <v>4</v>
      </c>
      <c r="D300" s="232" t="n">
        <f aca="false">'Прайс лист'!G1172</f>
        <v>190</v>
      </c>
      <c r="E300" s="232" t="n">
        <f aca="false">C300*D300</f>
        <v>760</v>
      </c>
      <c r="F300" s="1148"/>
      <c r="G300" s="88"/>
      <c r="H300" s="88"/>
      <c r="I300" s="122"/>
      <c r="J300" s="122"/>
      <c r="K300" s="2164"/>
      <c r="L300" s="232"/>
      <c r="M300" s="1148"/>
      <c r="N300" s="1148"/>
      <c r="O300" s="1148"/>
      <c r="P300" s="1148"/>
      <c r="Q300" s="1148"/>
      <c r="R300" s="1148"/>
      <c r="S300" s="1148"/>
      <c r="T300" s="1148"/>
      <c r="U300" s="1148"/>
    </row>
    <row r="301" customFormat="false" ht="15" hidden="false" customHeight="true" outlineLevel="1" collapsed="false">
      <c r="A301" s="232" t="str">
        <f aca="false">'Прайс лист'!B1173</f>
        <v>соеденитель для желоба</v>
      </c>
      <c r="B301" s="232" t="s">
        <v>159</v>
      </c>
      <c r="C301" s="232" t="n">
        <f aca="false">(C248/2)*2*G240</f>
        <v>11.6</v>
      </c>
      <c r="D301" s="232" t="n">
        <f aca="false">'Прайс лист'!G1173</f>
        <v>180</v>
      </c>
      <c r="E301" s="232" t="n">
        <f aca="false">C301*D301</f>
        <v>2088</v>
      </c>
      <c r="F301" s="1148"/>
      <c r="G301" s="88"/>
      <c r="H301" s="88"/>
      <c r="I301" s="232"/>
      <c r="J301" s="232"/>
      <c r="K301" s="2164"/>
      <c r="L301" s="232"/>
      <c r="M301" s="1148"/>
      <c r="N301" s="1148"/>
      <c r="O301" s="1148"/>
      <c r="P301" s="1148"/>
      <c r="Q301" s="1148"/>
      <c r="R301" s="1148"/>
      <c r="S301" s="1148"/>
      <c r="T301" s="1148"/>
      <c r="U301" s="1148"/>
    </row>
    <row r="302" customFormat="false" ht="15" hidden="false" customHeight="true" outlineLevel="1" collapsed="false">
      <c r="A302" s="232" t="str">
        <f aca="false">'Прайс лист'!B1174</f>
        <v>кронштейн для желоба</v>
      </c>
      <c r="B302" s="232" t="s">
        <v>159</v>
      </c>
      <c r="C302" s="232" t="n">
        <f aca="false">(C248/0.6)*2*1.2*G240</f>
        <v>46.4</v>
      </c>
      <c r="D302" s="232" t="n">
        <f aca="false">'Прайс лист'!G1174</f>
        <v>130</v>
      </c>
      <c r="E302" s="232" t="n">
        <f aca="false">C302*D302</f>
        <v>6032</v>
      </c>
      <c r="F302" s="1148"/>
      <c r="G302" s="88"/>
      <c r="H302" s="88"/>
      <c r="I302" s="232"/>
      <c r="J302" s="232"/>
      <c r="K302" s="2164"/>
      <c r="L302" s="232"/>
      <c r="M302" s="1148"/>
      <c r="N302" s="1148"/>
      <c r="O302" s="1148"/>
      <c r="P302" s="1148"/>
      <c r="Q302" s="1148"/>
      <c r="R302" s="1148"/>
      <c r="S302" s="1148"/>
      <c r="T302" s="1148"/>
      <c r="U302" s="1148"/>
    </row>
    <row r="303" customFormat="false" ht="15" hidden="false" customHeight="true" outlineLevel="1" collapsed="false">
      <c r="A303" s="232" t="str">
        <f aca="false">'Прайс лист'!B1175</f>
        <v>переход из желоба в трубу</v>
      </c>
      <c r="B303" s="232" t="s">
        <v>159</v>
      </c>
      <c r="C303" s="232" t="n">
        <v>2</v>
      </c>
      <c r="D303" s="232" t="n">
        <f aca="false">'Прайс лист'!G1175</f>
        <v>350</v>
      </c>
      <c r="E303" s="232" t="n">
        <f aca="false">C303*D303</f>
        <v>700</v>
      </c>
      <c r="F303" s="1148"/>
      <c r="G303" s="88"/>
      <c r="H303" s="88"/>
      <c r="I303" s="232"/>
      <c r="J303" s="232"/>
      <c r="K303" s="2164"/>
      <c r="L303" s="232"/>
      <c r="M303" s="1148"/>
      <c r="N303" s="1148"/>
      <c r="O303" s="1148"/>
      <c r="P303" s="1148"/>
      <c r="Q303" s="1148"/>
      <c r="R303" s="1148"/>
      <c r="S303" s="1148"/>
      <c r="T303" s="1148"/>
      <c r="U303" s="1148"/>
    </row>
    <row r="304" customFormat="false" ht="15" hidden="false" customHeight="true" outlineLevel="1" collapsed="false">
      <c r="A304" s="232" t="str">
        <f aca="false">'Прайс лист'!B1176</f>
        <v>лента дельта мульти бэнд</v>
      </c>
      <c r="B304" s="232" t="s">
        <v>159</v>
      </c>
      <c r="C304" s="232" t="n">
        <f aca="false">CEILING(C247/12,1)</f>
        <v>15</v>
      </c>
      <c r="D304" s="232" t="n">
        <f aca="false">'Прайс лист'!G1176</f>
        <v>1200</v>
      </c>
      <c r="E304" s="232" t="n">
        <f aca="false">C304*D304</f>
        <v>18000</v>
      </c>
      <c r="F304" s="1148"/>
      <c r="G304" s="88"/>
      <c r="H304" s="88"/>
      <c r="I304" s="232"/>
      <c r="J304" s="232"/>
      <c r="K304" s="2164"/>
      <c r="L304" s="232"/>
      <c r="M304" s="1148"/>
      <c r="N304" s="1148"/>
      <c r="O304" s="1148"/>
      <c r="P304" s="1148"/>
      <c r="Q304" s="1148"/>
      <c r="R304" s="1148"/>
      <c r="S304" s="1148"/>
      <c r="T304" s="1148"/>
      <c r="U304" s="1148"/>
    </row>
    <row r="305" customFormat="false" ht="15" hidden="false" customHeight="true" outlineLevel="1" collapsed="false">
      <c r="A305" s="232" t="str">
        <f aca="false">'Прайс лист'!B1177</f>
        <v>лента дельта sb-60</v>
      </c>
      <c r="B305" s="232" t="s">
        <v>159</v>
      </c>
      <c r="C305" s="232" t="n">
        <f aca="false">CEILING(C247/25,1)</f>
        <v>8</v>
      </c>
      <c r="D305" s="232" t="n">
        <f aca="false">'Прайс лист'!G1177</f>
        <v>1100</v>
      </c>
      <c r="E305" s="232" t="n">
        <f aca="false">C305*D305</f>
        <v>8800</v>
      </c>
      <c r="F305" s="1148"/>
      <c r="G305" s="88"/>
      <c r="H305" s="88"/>
      <c r="I305" s="232"/>
      <c r="J305" s="232"/>
      <c r="K305" s="2164"/>
      <c r="L305" s="232"/>
      <c r="M305" s="1148"/>
      <c r="N305" s="1148"/>
      <c r="O305" s="1148"/>
      <c r="P305" s="1148"/>
      <c r="Q305" s="1148"/>
      <c r="R305" s="1148"/>
      <c r="S305" s="1148"/>
      <c r="T305" s="1148"/>
      <c r="U305" s="1148"/>
    </row>
    <row r="306" customFormat="false" ht="15" hidden="false" customHeight="true" outlineLevel="1" collapsed="false">
      <c r="A306" s="232" t="str">
        <f aca="false">'Прайс лист'!B1178</f>
        <v>проходка кровельная, канализационная</v>
      </c>
      <c r="B306" s="260" t="s">
        <v>159</v>
      </c>
      <c r="C306" s="232" t="n">
        <f aca="false">C258</f>
        <v>0</v>
      </c>
      <c r="D306" s="232" t="n">
        <f aca="false">'Прайс лист'!G1178</f>
        <v>3500</v>
      </c>
      <c r="E306" s="232" t="n">
        <f aca="false">C306*D306</f>
        <v>0</v>
      </c>
      <c r="F306" s="1148"/>
      <c r="G306" s="88"/>
      <c r="H306" s="88"/>
      <c r="I306" s="232"/>
      <c r="J306" s="232"/>
      <c r="K306" s="2164"/>
      <c r="L306" s="232"/>
      <c r="M306" s="1148"/>
      <c r="N306" s="1148"/>
      <c r="O306" s="1148"/>
      <c r="P306" s="1148"/>
      <c r="Q306" s="1148"/>
      <c r="R306" s="1148"/>
      <c r="S306" s="1148"/>
      <c r="T306" s="1148"/>
      <c r="U306" s="1148"/>
    </row>
    <row r="307" customFormat="false" ht="15" hidden="false" customHeight="true" outlineLevel="1" collapsed="false">
      <c r="A307" s="232" t="str">
        <f aca="false">'Прайс лист'!B1179</f>
        <v>проходка кровельная, вентиляционная</v>
      </c>
      <c r="B307" s="260" t="s">
        <v>159</v>
      </c>
      <c r="C307" s="232" t="n">
        <f aca="false">C259</f>
        <v>0</v>
      </c>
      <c r="D307" s="232" t="n">
        <f aca="false">'Прайс лист'!G1179</f>
        <v>3500</v>
      </c>
      <c r="E307" s="232" t="n">
        <f aca="false">C307*D307</f>
        <v>0</v>
      </c>
      <c r="F307" s="1148"/>
      <c r="G307" s="88"/>
      <c r="H307" s="88"/>
      <c r="I307" s="232"/>
      <c r="J307" s="232"/>
      <c r="K307" s="2164"/>
      <c r="L307" s="232"/>
      <c r="M307" s="1148"/>
      <c r="N307" s="1148"/>
      <c r="O307" s="1148"/>
      <c r="P307" s="1148"/>
      <c r="Q307" s="1148"/>
      <c r="R307" s="1148"/>
      <c r="S307" s="1148"/>
      <c r="T307" s="1148"/>
      <c r="U307" s="1148"/>
    </row>
    <row r="308" customFormat="false" ht="15" hidden="false" customHeight="true" outlineLevel="1" collapsed="false">
      <c r="A308" s="232" t="str">
        <f aca="false">'Прайс лист'!B1180</f>
        <v>проодка кровельная, труба котел</v>
      </c>
      <c r="B308" s="260" t="s">
        <v>159</v>
      </c>
      <c r="C308" s="232" t="n">
        <f aca="false">C260</f>
        <v>0</v>
      </c>
      <c r="D308" s="232" t="n">
        <f aca="false">'Прайс лист'!G1180</f>
        <v>4500</v>
      </c>
      <c r="E308" s="232" t="n">
        <f aca="false">C308*D308</f>
        <v>0</v>
      </c>
      <c r="F308" s="1148"/>
      <c r="G308" s="88"/>
      <c r="H308" s="88"/>
      <c r="I308" s="232"/>
      <c r="J308" s="232"/>
      <c r="K308" s="2164"/>
      <c r="L308" s="232"/>
      <c r="M308" s="1148"/>
      <c r="N308" s="1148"/>
      <c r="O308" s="1148"/>
      <c r="P308" s="1148"/>
      <c r="Q308" s="1148"/>
      <c r="R308" s="1148"/>
      <c r="S308" s="1148"/>
      <c r="T308" s="1148"/>
      <c r="U308" s="1148"/>
    </row>
    <row r="309" customFormat="false" ht="15" hidden="false" customHeight="true" outlineLevel="1" collapsed="false">
      <c r="A309" s="232" t="str">
        <f aca="false">'Прайс лист'!B1138</f>
        <v>Кровельный саморез</v>
      </c>
      <c r="B309" s="232" t="s">
        <v>159</v>
      </c>
      <c r="C309" s="232" t="n">
        <f aca="false">C247*12*C244*G240</f>
        <v>0</v>
      </c>
      <c r="D309" s="232" t="n">
        <f aca="false">'Прайс лист'!G1138</f>
        <v>2</v>
      </c>
      <c r="E309" s="232" t="n">
        <f aca="false">C309*D309</f>
        <v>0</v>
      </c>
      <c r="F309" s="1148"/>
      <c r="G309" s="88"/>
      <c r="H309" s="88"/>
      <c r="I309" s="232"/>
      <c r="J309" s="232"/>
      <c r="K309" s="2164"/>
      <c r="L309" s="232"/>
      <c r="M309" s="1148"/>
      <c r="N309" s="1148"/>
      <c r="O309" s="1148"/>
      <c r="P309" s="1148"/>
      <c r="Q309" s="1148"/>
      <c r="R309" s="1148"/>
      <c r="S309" s="1148"/>
      <c r="T309" s="1148"/>
      <c r="U309" s="1148"/>
    </row>
    <row r="310" customFormat="false" ht="15" hidden="false" customHeight="true" outlineLevel="1" collapsed="false">
      <c r="A310" s="232" t="str">
        <f aca="false">'Прайс лист'!B897</f>
        <v>Гвозди ершоные 3,4 x 60</v>
      </c>
      <c r="B310" s="232" t="s">
        <v>188</v>
      </c>
      <c r="C310" s="232" t="n">
        <f aca="false">C268*15</f>
        <v>5.77530909592786</v>
      </c>
      <c r="D310" s="232" t="n">
        <f aca="false">'Прайс лист'!G897</f>
        <v>75.51</v>
      </c>
      <c r="E310" s="232" t="n">
        <f aca="false">C310*D310</f>
        <v>436.093589833513</v>
      </c>
      <c r="F310" s="1148"/>
      <c r="G310" s="88"/>
      <c r="H310" s="88"/>
      <c r="I310" s="232"/>
      <c r="J310" s="232"/>
      <c r="K310" s="2164"/>
      <c r="L310" s="232"/>
      <c r="M310" s="1148"/>
      <c r="N310" s="1148"/>
      <c r="O310" s="1148"/>
      <c r="P310" s="1148"/>
      <c r="Q310" s="1148"/>
      <c r="R310" s="1148"/>
      <c r="S310" s="1148"/>
      <c r="T310" s="1148"/>
      <c r="U310" s="1148"/>
    </row>
    <row r="311" customFormat="false" ht="15" hidden="false" customHeight="true" outlineLevel="1" collapsed="false">
      <c r="A311" s="232" t="str">
        <f aca="false">'Прайс лист'!B898</f>
        <v>Гвозди ершоные 2,8 х 90</v>
      </c>
      <c r="B311" s="232" t="s">
        <v>188</v>
      </c>
      <c r="C311" s="232" t="n">
        <f aca="false">(C264+C265+C266)*10*G240</f>
        <v>37.465780917535</v>
      </c>
      <c r="D311" s="232" t="n">
        <f aca="false">'Прайс лист'!G898</f>
        <v>76.49</v>
      </c>
      <c r="E311" s="232" t="n">
        <f aca="false">C311*D311</f>
        <v>2865.75758238225</v>
      </c>
      <c r="F311" s="1148"/>
      <c r="G311" s="88"/>
      <c r="H311" s="88"/>
      <c r="I311" s="232"/>
      <c r="J311" s="232"/>
      <c r="K311" s="2164"/>
      <c r="L311" s="232"/>
      <c r="M311" s="1148"/>
      <c r="N311" s="1148"/>
      <c r="O311" s="1148"/>
      <c r="P311" s="1148"/>
      <c r="Q311" s="1148"/>
      <c r="R311" s="1148"/>
      <c r="S311" s="1148"/>
      <c r="T311" s="1148"/>
      <c r="U311" s="1148"/>
    </row>
    <row r="312" customFormat="false" ht="15" hidden="false" customHeight="true" outlineLevel="1" collapsed="false">
      <c r="A312" s="232" t="str">
        <f aca="false">'Прайс лист'!B846</f>
        <v>Пластина соеденительная 100х240х2</v>
      </c>
      <c r="B312" s="232" t="s">
        <v>159</v>
      </c>
      <c r="C312" s="2159" t="n">
        <f aca="false">((C248/0.6)+1)*2</f>
        <v>40.6666666666667</v>
      </c>
      <c r="D312" s="232" t="n">
        <f aca="false">'Прайс лист'!G846</f>
        <v>31.54</v>
      </c>
      <c r="E312" s="232" t="n">
        <f aca="false">C312*D312</f>
        <v>1282.62666666667</v>
      </c>
      <c r="F312" s="1148"/>
      <c r="G312" s="88"/>
      <c r="H312" s="88"/>
      <c r="I312" s="232"/>
      <c r="J312" s="232"/>
      <c r="K312" s="2164"/>
      <c r="L312" s="232"/>
      <c r="M312" s="1148"/>
      <c r="N312" s="1148"/>
      <c r="O312" s="1148"/>
      <c r="P312" s="1148"/>
      <c r="Q312" s="1148"/>
      <c r="R312" s="1148"/>
      <c r="S312" s="1148"/>
      <c r="T312" s="1148"/>
      <c r="U312" s="1148"/>
    </row>
    <row r="313" customFormat="false" ht="15" hidden="false" customHeight="true" outlineLevel="1" collapsed="false">
      <c r="A313" s="232" t="str">
        <f aca="false">'Прайс лист'!B838</f>
        <v>Уголок усиленный 90х70х55х2,5</v>
      </c>
      <c r="B313" s="232" t="s">
        <v>159</v>
      </c>
      <c r="C313" s="2159" t="n">
        <f aca="false">((C248/0.6)+1)*2</f>
        <v>40.6666666666667</v>
      </c>
      <c r="D313" s="232" t="n">
        <f aca="false">'Прайс лист'!G838</f>
        <v>30</v>
      </c>
      <c r="E313" s="232" t="n">
        <f aca="false">C313*D313</f>
        <v>1220</v>
      </c>
      <c r="F313" s="1148"/>
      <c r="G313" s="88"/>
      <c r="H313" s="88"/>
      <c r="I313" s="232"/>
      <c r="J313" s="232"/>
      <c r="K313" s="2164"/>
      <c r="L313" s="232"/>
      <c r="M313" s="1148"/>
      <c r="N313" s="1148"/>
      <c r="O313" s="1148"/>
      <c r="P313" s="1148"/>
      <c r="Q313" s="1148"/>
      <c r="R313" s="1148"/>
      <c r="S313" s="1148"/>
      <c r="T313" s="1148"/>
      <c r="U313" s="1148"/>
    </row>
    <row r="314" customFormat="false" ht="15" hidden="false" customHeight="true" outlineLevel="1" collapsed="false">
      <c r="A314" s="232" t="str">
        <f aca="false">'Ввод данных'!A233</f>
        <v>Нет техники</v>
      </c>
      <c r="B314" s="232" t="s">
        <v>1793</v>
      </c>
      <c r="C314" s="2159" t="n">
        <f aca="false">'Ввод данных'!C233</f>
        <v>4</v>
      </c>
      <c r="D314" s="232" t="n">
        <f aca="false">VLOOKUP(A314,'Прайс лист'!B180:G194,6,0)</f>
        <v>0</v>
      </c>
      <c r="E314" s="232" t="n">
        <f aca="false">C314*D314</f>
        <v>0</v>
      </c>
      <c r="F314" s="1148"/>
      <c r="G314" s="2184"/>
      <c r="H314" s="2184"/>
      <c r="I314" s="2116"/>
      <c r="J314" s="2116"/>
      <c r="K314" s="2165"/>
      <c r="L314" s="232"/>
      <c r="M314" s="1148"/>
      <c r="N314" s="1148"/>
      <c r="O314" s="1148"/>
      <c r="P314" s="1148"/>
      <c r="Q314" s="1148"/>
      <c r="R314" s="1148"/>
      <c r="S314" s="1148"/>
      <c r="T314" s="1148"/>
      <c r="U314" s="1148"/>
    </row>
    <row r="315" customFormat="false" ht="15" hidden="false" customHeight="true" outlineLevel="1" collapsed="false">
      <c r="A315" s="232" t="str">
        <f aca="false">'Ввод данных'!A234</f>
        <v>Нет техники</v>
      </c>
      <c r="B315" s="232" t="s">
        <v>1793</v>
      </c>
      <c r="C315" s="2159" t="n">
        <f aca="false">'Ввод данных'!C234</f>
        <v>0</v>
      </c>
      <c r="D315" s="232" t="n">
        <f aca="false">VLOOKUP(A315,'Прайс лист'!B180:G194,6,0)</f>
        <v>0</v>
      </c>
      <c r="E315" s="232" t="n">
        <f aca="false">C315*D315</f>
        <v>0</v>
      </c>
      <c r="F315" s="1148"/>
      <c r="G315" s="2184"/>
      <c r="H315" s="2184"/>
      <c r="I315" s="2116"/>
      <c r="J315" s="2116"/>
      <c r="K315" s="2165"/>
      <c r="L315" s="232"/>
      <c r="M315" s="1148"/>
      <c r="N315" s="1148"/>
      <c r="O315" s="1148"/>
      <c r="P315" s="1148"/>
      <c r="Q315" s="1148"/>
      <c r="R315" s="1148"/>
      <c r="S315" s="1148"/>
      <c r="T315" s="1148"/>
      <c r="U315" s="1148"/>
    </row>
    <row r="316" customFormat="false" ht="15" hidden="false" customHeight="true" outlineLevel="1" collapsed="false">
      <c r="A316" s="232" t="str">
        <f aca="false">'Ввод данных'!A236</f>
        <v>расходные материалы двускатная кровля</v>
      </c>
      <c r="B316" s="232" t="s">
        <v>1796</v>
      </c>
      <c r="C316" s="2159" t="n">
        <f aca="false">1</f>
        <v>1</v>
      </c>
      <c r="D316" s="232" t="n">
        <f aca="false">'Ввод данных'!C236</f>
        <v>0</v>
      </c>
      <c r="E316" s="232" t="n">
        <f aca="false">C316*D316</f>
        <v>0</v>
      </c>
      <c r="F316" s="1148"/>
      <c r="G316" s="2184"/>
      <c r="H316" s="2184"/>
      <c r="I316" s="2116"/>
      <c r="J316" s="2116"/>
      <c r="K316" s="2165"/>
      <c r="L316" s="232"/>
      <c r="M316" s="1148"/>
      <c r="N316" s="1148"/>
      <c r="O316" s="1148"/>
      <c r="P316" s="1148"/>
      <c r="Q316" s="1148"/>
      <c r="R316" s="1148"/>
      <c r="S316" s="1148"/>
      <c r="T316" s="1148"/>
      <c r="U316" s="1148"/>
    </row>
    <row r="317" customFormat="false" ht="15" hidden="false" customHeight="true" outlineLevel="1" collapsed="false">
      <c r="A317" s="1148"/>
      <c r="B317" s="1148"/>
      <c r="C317" s="1148"/>
      <c r="D317" s="1148"/>
      <c r="E317" s="232" t="n">
        <f aca="false">SUM(E264:E316)</f>
        <v>394809.903339096</v>
      </c>
      <c r="F317" s="1148"/>
      <c r="G317" s="1148"/>
      <c r="H317" s="1148"/>
      <c r="I317" s="1148"/>
      <c r="J317" s="1148"/>
      <c r="K317" s="1149"/>
      <c r="L317" s="232" t="n">
        <f aca="false">SUM(L264:L313)</f>
        <v>299069.900982456</v>
      </c>
      <c r="M317" s="1148"/>
      <c r="N317" s="1148"/>
      <c r="O317" s="1148"/>
      <c r="P317" s="1148"/>
      <c r="Q317" s="1148"/>
      <c r="R317" s="1148"/>
      <c r="S317" s="1148"/>
      <c r="T317" s="1148"/>
      <c r="U317" s="1148"/>
    </row>
    <row r="318" customFormat="false" ht="15" hidden="false" customHeight="true" outlineLevel="1" collapsed="false">
      <c r="A318" s="232" t="s">
        <v>2726</v>
      </c>
      <c r="B318" s="2159" t="n">
        <f aca="false">E317</f>
        <v>394809.903339096</v>
      </c>
      <c r="C318" s="1148"/>
      <c r="D318" s="1148"/>
      <c r="E318" s="1148"/>
      <c r="F318" s="1148"/>
      <c r="G318" s="1148"/>
      <c r="H318" s="1148"/>
      <c r="I318" s="1148"/>
      <c r="J318" s="1148"/>
      <c r="K318" s="1149"/>
      <c r="L318" s="1148"/>
      <c r="M318" s="1148"/>
      <c r="N318" s="1148"/>
      <c r="O318" s="1148"/>
      <c r="P318" s="1148"/>
      <c r="Q318" s="1148"/>
      <c r="R318" s="1148"/>
      <c r="S318" s="1148"/>
      <c r="T318" s="1148"/>
      <c r="U318" s="1148"/>
    </row>
    <row r="319" customFormat="false" ht="15" hidden="false" customHeight="true" outlineLevel="1" collapsed="false">
      <c r="A319" s="232" t="s">
        <v>2727</v>
      </c>
      <c r="B319" s="2159" t="n">
        <f aca="false">L317</f>
        <v>299069.900982456</v>
      </c>
      <c r="C319" s="1148"/>
      <c r="D319" s="1148"/>
      <c r="E319" s="1148"/>
      <c r="F319" s="1148"/>
      <c r="G319" s="1148"/>
      <c r="H319" s="1148"/>
      <c r="I319" s="1148"/>
      <c r="J319" s="1148"/>
      <c r="K319" s="1149"/>
      <c r="L319" s="1148"/>
      <c r="M319" s="1148"/>
      <c r="N319" s="1148"/>
      <c r="O319" s="1148"/>
      <c r="P319" s="1148"/>
      <c r="Q319" s="1148"/>
      <c r="R319" s="1148"/>
      <c r="S319" s="1148"/>
      <c r="T319" s="1148"/>
      <c r="U319" s="1148"/>
    </row>
    <row r="320" customFormat="false" ht="15" hidden="false" customHeight="true" outlineLevel="1" collapsed="false">
      <c r="A320" s="260" t="s">
        <v>2728</v>
      </c>
      <c r="B320" s="2515" t="n">
        <f aca="false">SUM(B318:B319)</f>
        <v>693879.804321551</v>
      </c>
      <c r="C320" s="1148"/>
      <c r="D320" s="1148"/>
      <c r="E320" s="1148"/>
      <c r="F320" s="1148"/>
      <c r="G320" s="1148"/>
      <c r="H320" s="1148"/>
      <c r="I320" s="1148"/>
      <c r="J320" s="1148"/>
      <c r="K320" s="1149"/>
      <c r="L320" s="1148"/>
      <c r="M320" s="1148"/>
      <c r="N320" s="1148"/>
      <c r="O320" s="1148"/>
      <c r="P320" s="1148"/>
      <c r="Q320" s="1148"/>
      <c r="R320" s="1148"/>
      <c r="S320" s="1148"/>
      <c r="T320" s="1148"/>
      <c r="U320" s="1148"/>
    </row>
    <row r="321" s="71" customFormat="true" ht="15" hidden="false" customHeight="true" outlineLevel="0" collapsed="false">
      <c r="A321" s="905" t="s">
        <v>1941</v>
      </c>
      <c r="B321" s="2466"/>
      <c r="C321" s="2511"/>
      <c r="D321" s="2511"/>
      <c r="E321" s="2511"/>
      <c r="F321" s="2511"/>
      <c r="G321" s="2173"/>
      <c r="H321" s="2116"/>
      <c r="I321" s="2116"/>
      <c r="J321" s="2116"/>
      <c r="K321" s="2165"/>
      <c r="L321" s="2116"/>
      <c r="M321" s="2116"/>
      <c r="N321" s="2116"/>
      <c r="O321" s="2116"/>
      <c r="P321" s="2116"/>
      <c r="Q321" s="2116"/>
      <c r="R321" s="2116"/>
      <c r="S321" s="2116"/>
      <c r="T321" s="2116"/>
      <c r="U321" s="2116"/>
    </row>
    <row r="322" customFormat="false" ht="15" hidden="false" customHeight="true" outlineLevel="0" collapsed="false">
      <c r="A322" s="2160"/>
      <c r="B322" s="1148"/>
      <c r="C322" s="2149"/>
      <c r="D322" s="2149"/>
      <c r="E322" s="1148"/>
      <c r="F322" s="2149"/>
      <c r="G322" s="2149"/>
      <c r="H322" s="1148"/>
      <c r="I322" s="1148"/>
      <c r="J322" s="1148"/>
      <c r="K322" s="1149"/>
      <c r="L322" s="1148"/>
      <c r="M322" s="1148"/>
      <c r="N322" s="1148"/>
      <c r="O322" s="1148"/>
      <c r="P322" s="1148"/>
      <c r="Q322" s="1148"/>
      <c r="R322" s="1148"/>
      <c r="S322" s="1148"/>
      <c r="T322" s="1148"/>
      <c r="U322" s="1148"/>
    </row>
    <row r="323" customFormat="false" ht="15" hidden="false" customHeight="true" outlineLevel="1" collapsed="false">
      <c r="A323" s="2516" t="s">
        <v>4132</v>
      </c>
      <c r="B323" s="2516"/>
      <c r="C323" s="2516"/>
      <c r="D323" s="2516"/>
      <c r="E323" s="2516"/>
      <c r="F323" s="2516"/>
      <c r="G323" s="2516"/>
      <c r="H323" s="2516"/>
      <c r="I323" s="2516"/>
      <c r="J323" s="2516"/>
      <c r="K323" s="2516"/>
      <c r="L323" s="2516"/>
      <c r="M323" s="1148"/>
      <c r="N323" s="1148"/>
      <c r="O323" s="1148"/>
      <c r="P323" s="1148"/>
      <c r="Q323" s="1148"/>
      <c r="R323" s="1148"/>
      <c r="S323" s="1148"/>
      <c r="T323" s="1148"/>
      <c r="U323" s="1148"/>
    </row>
    <row r="324" customFormat="false" ht="15" hidden="false" customHeight="true" outlineLevel="1" collapsed="false">
      <c r="A324" s="2516"/>
      <c r="B324" s="2516"/>
      <c r="C324" s="2516"/>
      <c r="D324" s="2516"/>
      <c r="E324" s="2516"/>
      <c r="F324" s="2516"/>
      <c r="G324" s="2516"/>
      <c r="H324" s="2516"/>
      <c r="I324" s="2516"/>
      <c r="J324" s="2516"/>
      <c r="K324" s="2516"/>
      <c r="L324" s="2516"/>
      <c r="M324" s="1148"/>
      <c r="N324" s="1148"/>
      <c r="O324" s="1148"/>
      <c r="P324" s="1148"/>
      <c r="Q324" s="1148"/>
      <c r="R324" s="1148"/>
      <c r="S324" s="1148"/>
      <c r="T324" s="1148"/>
      <c r="U324" s="1148"/>
    </row>
    <row r="325" customFormat="false" ht="15" hidden="false" customHeight="true" outlineLevel="1" collapsed="false">
      <c r="A325" s="1096" t="s">
        <v>1806</v>
      </c>
      <c r="B325" s="1096"/>
      <c r="C325" s="1096"/>
      <c r="D325" s="1096"/>
      <c r="E325" s="1096"/>
      <c r="F325" s="1096"/>
      <c r="G325" s="2503" t="n">
        <f aca="false">'Ввод данных'!E240</f>
        <v>1</v>
      </c>
      <c r="H325" s="1097"/>
      <c r="I325" s="1097"/>
      <c r="J325" s="1097"/>
      <c r="K325" s="1097"/>
      <c r="L325" s="1097"/>
      <c r="M325" s="1148"/>
      <c r="N325" s="1148"/>
      <c r="O325" s="1148"/>
      <c r="P325" s="1148"/>
      <c r="Q325" s="1148"/>
      <c r="R325" s="1148"/>
      <c r="S325" s="1148"/>
      <c r="T325" s="1148"/>
      <c r="U325" s="1148"/>
    </row>
    <row r="326" customFormat="false" ht="15" hidden="false" customHeight="true" outlineLevel="1" collapsed="false">
      <c r="A326" s="1096"/>
      <c r="B326" s="1096"/>
      <c r="C326" s="1096"/>
      <c r="D326" s="1096"/>
      <c r="E326" s="1096"/>
      <c r="F326" s="1096"/>
      <c r="G326" s="2517"/>
      <c r="H326" s="1097" t="n">
        <f aca="false">'Ввод данных'!E241</f>
        <v>1</v>
      </c>
      <c r="I326" s="1097"/>
      <c r="J326" s="1097"/>
      <c r="K326" s="1097"/>
      <c r="L326" s="1097"/>
      <c r="M326" s="1148"/>
      <c r="N326" s="1148"/>
      <c r="O326" s="1148"/>
      <c r="P326" s="1148"/>
      <c r="Q326" s="1148"/>
      <c r="R326" s="1148"/>
      <c r="S326" s="1148"/>
      <c r="T326" s="1148"/>
      <c r="U326" s="1148"/>
    </row>
    <row r="327" customFormat="false" ht="15" hidden="false" customHeight="true" outlineLevel="1" collapsed="false">
      <c r="A327" s="2518" t="s">
        <v>3831</v>
      </c>
      <c r="B327" s="1124" t="s">
        <v>159</v>
      </c>
      <c r="C327" s="2519" t="n">
        <f aca="false">IF('Ввод данных'!A245=связи1!A6,1,0)</f>
        <v>1</v>
      </c>
      <c r="D327" s="2520" t="s">
        <v>4133</v>
      </c>
      <c r="E327" s="2521"/>
      <c r="F327" s="2521"/>
      <c r="G327" s="2522"/>
      <c r="H327" s="2522"/>
      <c r="I327" s="2523"/>
      <c r="J327" s="2116"/>
      <c r="K327" s="2165"/>
      <c r="L327" s="2116"/>
      <c r="M327" s="1148"/>
      <c r="N327" s="1148"/>
      <c r="O327" s="1148"/>
      <c r="P327" s="1148"/>
      <c r="Q327" s="1148"/>
      <c r="R327" s="1148"/>
      <c r="S327" s="1148"/>
      <c r="T327" s="1148"/>
      <c r="U327" s="1148"/>
    </row>
    <row r="328" customFormat="false" ht="15" hidden="false" customHeight="true" outlineLevel="1" collapsed="false">
      <c r="A328" s="2512" t="s">
        <v>3832</v>
      </c>
      <c r="B328" s="232" t="s">
        <v>159</v>
      </c>
      <c r="C328" s="2519" t="n">
        <f aca="false">IF('Ввод данных'!A245=связи1!A7,1,0)</f>
        <v>0</v>
      </c>
      <c r="D328" s="2520" t="s">
        <v>4134</v>
      </c>
      <c r="E328" s="2521"/>
      <c r="F328" s="2521"/>
      <c r="G328" s="2522"/>
      <c r="H328" s="2522"/>
      <c r="I328" s="2523"/>
      <c r="J328" s="2116"/>
      <c r="K328" s="2165"/>
      <c r="L328" s="2116"/>
      <c r="M328" s="1148"/>
      <c r="N328" s="1148"/>
      <c r="O328" s="1148"/>
      <c r="P328" s="1148"/>
      <c r="Q328" s="1148"/>
      <c r="R328" s="1148"/>
      <c r="S328" s="1148"/>
      <c r="T328" s="1148"/>
      <c r="U328" s="1148"/>
    </row>
    <row r="329" customFormat="false" ht="15" hidden="false" customHeight="true" outlineLevel="1" collapsed="false">
      <c r="A329" s="2512" t="s">
        <v>4135</v>
      </c>
      <c r="B329" s="232"/>
      <c r="C329" s="2519" t="n">
        <f aca="false">IF('Ввод данных'!A245=связи1!A8,1,0)</f>
        <v>0</v>
      </c>
      <c r="D329" s="2520"/>
      <c r="E329" s="2521"/>
      <c r="F329" s="2521"/>
      <c r="G329" s="2522"/>
      <c r="H329" s="2522"/>
      <c r="I329" s="2523"/>
      <c r="J329" s="2116"/>
      <c r="K329" s="2165"/>
      <c r="L329" s="2116"/>
      <c r="M329" s="1148"/>
      <c r="N329" s="1148"/>
      <c r="O329" s="1148"/>
      <c r="P329" s="1148"/>
      <c r="Q329" s="1148"/>
      <c r="R329" s="1148"/>
      <c r="S329" s="1148"/>
      <c r="T329" s="1148"/>
      <c r="U329" s="1148"/>
    </row>
    <row r="330" customFormat="false" ht="15" hidden="false" customHeight="true" outlineLevel="1" collapsed="false">
      <c r="A330" s="2512" t="s">
        <v>4136</v>
      </c>
      <c r="B330" s="232" t="s">
        <v>156</v>
      </c>
      <c r="C330" s="2524" t="n">
        <f aca="false">'Ввод данных'!C252</f>
        <v>0</v>
      </c>
      <c r="D330" s="2520" t="s">
        <v>4137</v>
      </c>
      <c r="E330" s="2521"/>
      <c r="F330" s="2521"/>
      <c r="G330" s="2522"/>
      <c r="H330" s="2522"/>
      <c r="I330" s="2523"/>
      <c r="J330" s="2116"/>
      <c r="K330" s="2165"/>
      <c r="L330" s="2116"/>
      <c r="M330" s="1148"/>
      <c r="N330" s="1148"/>
      <c r="O330" s="1148"/>
      <c r="P330" s="1148"/>
      <c r="Q330" s="1148"/>
      <c r="R330" s="1148"/>
      <c r="S330" s="1148"/>
      <c r="T330" s="1148"/>
      <c r="U330" s="1148"/>
    </row>
    <row r="331" customFormat="false" ht="15" hidden="false" customHeight="true" outlineLevel="1" collapsed="false">
      <c r="A331" s="2512" t="s">
        <v>4138</v>
      </c>
      <c r="B331" s="232" t="s">
        <v>156</v>
      </c>
      <c r="C331" s="2524" t="n">
        <v>0.05</v>
      </c>
      <c r="D331" s="2520" t="s">
        <v>4139</v>
      </c>
      <c r="E331" s="2521"/>
      <c r="F331" s="2521"/>
      <c r="G331" s="2522"/>
      <c r="H331" s="2522"/>
      <c r="I331" s="2523"/>
      <c r="J331" s="2116"/>
      <c r="K331" s="2165"/>
      <c r="L331" s="2116"/>
      <c r="M331" s="1148"/>
      <c r="N331" s="1148"/>
      <c r="O331" s="1148"/>
      <c r="P331" s="1148"/>
      <c r="Q331" s="1148"/>
      <c r="R331" s="1148"/>
      <c r="S331" s="1148"/>
      <c r="T331" s="1148"/>
      <c r="U331" s="1148"/>
    </row>
    <row r="332" customFormat="false" ht="15" hidden="false" customHeight="true" outlineLevel="1" collapsed="false">
      <c r="A332" s="2512" t="s">
        <v>4140</v>
      </c>
      <c r="B332" s="232" t="s">
        <v>156</v>
      </c>
      <c r="C332" s="2524" t="n">
        <f aca="false">'Ввод данных'!C248</f>
        <v>5</v>
      </c>
      <c r="D332" s="2520" t="s">
        <v>4141</v>
      </c>
      <c r="E332" s="2521"/>
      <c r="F332" s="2521"/>
      <c r="G332" s="2522"/>
      <c r="H332" s="2522"/>
      <c r="I332" s="2523"/>
      <c r="J332" s="2116"/>
      <c r="K332" s="2165"/>
      <c r="L332" s="2116"/>
      <c r="M332" s="1148"/>
      <c r="N332" s="1148"/>
      <c r="O332" s="1148"/>
      <c r="P332" s="1148"/>
      <c r="Q332" s="1148"/>
      <c r="R332" s="1148"/>
      <c r="S332" s="1148"/>
      <c r="T332" s="1148"/>
      <c r="U332" s="1148"/>
    </row>
    <row r="333" customFormat="false" ht="15" hidden="false" customHeight="true" outlineLevel="1" collapsed="false">
      <c r="A333" s="2512" t="s">
        <v>4142</v>
      </c>
      <c r="B333" s="232" t="s">
        <v>156</v>
      </c>
      <c r="C333" s="2525" t="n">
        <f aca="false">дома!F1135*дома!J1113+дома!G1135*дома!J1112</f>
        <v>5</v>
      </c>
      <c r="D333" s="2520" t="s">
        <v>4143</v>
      </c>
      <c r="E333" s="2521"/>
      <c r="F333" s="2521"/>
      <c r="G333" s="2522"/>
      <c r="H333" s="2522"/>
      <c r="I333" s="2523"/>
      <c r="J333" s="2116"/>
      <c r="K333" s="2165"/>
      <c r="L333" s="2116"/>
      <c r="M333" s="1148"/>
      <c r="N333" s="1148"/>
      <c r="O333" s="1148"/>
      <c r="P333" s="1148"/>
      <c r="Q333" s="1148"/>
      <c r="R333" s="1148"/>
      <c r="S333" s="1148"/>
      <c r="T333" s="1148"/>
      <c r="U333" s="1148"/>
    </row>
    <row r="334" customFormat="false" ht="15" hidden="false" customHeight="true" outlineLevel="1" collapsed="false">
      <c r="A334" s="2512" t="s">
        <v>4144</v>
      </c>
      <c r="B334" s="232"/>
      <c r="C334" s="2526" t="n">
        <f aca="false">'Ввод данных'!C12</f>
        <v>10</v>
      </c>
      <c r="D334" s="2520"/>
      <c r="E334" s="2521"/>
      <c r="F334" s="2521"/>
      <c r="G334" s="2522"/>
      <c r="H334" s="2522"/>
      <c r="I334" s="2523"/>
      <c r="J334" s="2116"/>
      <c r="K334" s="2165"/>
      <c r="L334" s="2116"/>
      <c r="M334" s="1148"/>
      <c r="N334" s="1148"/>
      <c r="O334" s="1148"/>
      <c r="P334" s="1148"/>
      <c r="Q334" s="1148"/>
      <c r="R334" s="1148"/>
      <c r="S334" s="1148"/>
      <c r="T334" s="1148"/>
      <c r="U334" s="1148"/>
    </row>
    <row r="335" customFormat="false" ht="15" hidden="false" customHeight="true" outlineLevel="1" collapsed="false">
      <c r="A335" s="2512" t="s">
        <v>1903</v>
      </c>
      <c r="B335" s="232"/>
      <c r="C335" s="2526" t="n">
        <f aca="false">'Ввод данных'!C11</f>
        <v>10</v>
      </c>
      <c r="D335" s="2520"/>
      <c r="E335" s="2521"/>
      <c r="F335" s="2521"/>
      <c r="G335" s="2522"/>
      <c r="H335" s="2522"/>
      <c r="I335" s="2523"/>
      <c r="J335" s="2116"/>
      <c r="K335" s="2165"/>
      <c r="L335" s="2116"/>
      <c r="M335" s="1148"/>
      <c r="N335" s="1148"/>
      <c r="O335" s="1148"/>
      <c r="P335" s="1148"/>
      <c r="Q335" s="1148"/>
      <c r="R335" s="1148"/>
      <c r="S335" s="1148"/>
      <c r="T335" s="1148"/>
      <c r="U335" s="1148"/>
    </row>
    <row r="336" customFormat="false" ht="15" hidden="false" customHeight="true" outlineLevel="1" collapsed="false">
      <c r="A336" s="232" t="s">
        <v>1972</v>
      </c>
      <c r="B336" s="232" t="s">
        <v>156</v>
      </c>
      <c r="C336" s="2524" t="n">
        <f aca="false">E104</f>
        <v>0.5</v>
      </c>
      <c r="D336" s="2520" t="s">
        <v>4145</v>
      </c>
      <c r="E336" s="2521"/>
      <c r="F336" s="2521"/>
      <c r="G336" s="2522"/>
      <c r="H336" s="2522"/>
      <c r="I336" s="2523"/>
      <c r="J336" s="2116"/>
      <c r="K336" s="2165"/>
      <c r="L336" s="2116"/>
      <c r="M336" s="1148"/>
      <c r="N336" s="1148"/>
      <c r="O336" s="1148"/>
      <c r="P336" s="1148"/>
      <c r="Q336" s="1148"/>
      <c r="R336" s="1148"/>
      <c r="S336" s="1148"/>
      <c r="T336" s="1148"/>
      <c r="U336" s="1148"/>
    </row>
    <row r="337" customFormat="false" ht="15" hidden="false" customHeight="true" outlineLevel="1" collapsed="false">
      <c r="A337" s="260" t="s">
        <v>1975</v>
      </c>
      <c r="B337" s="260" t="s">
        <v>156</v>
      </c>
      <c r="C337" s="2524" t="n">
        <f aca="false">E105</f>
        <v>0.5</v>
      </c>
      <c r="D337" s="2520" t="s">
        <v>4146</v>
      </c>
      <c r="E337" s="2521"/>
      <c r="F337" s="2521"/>
      <c r="G337" s="2522"/>
      <c r="H337" s="2522"/>
      <c r="I337" s="2523"/>
      <c r="J337" s="2116"/>
      <c r="K337" s="2165"/>
      <c r="L337" s="2116"/>
      <c r="M337" s="1148"/>
      <c r="N337" s="1148"/>
      <c r="O337" s="1148"/>
      <c r="P337" s="1148"/>
      <c r="Q337" s="1148"/>
      <c r="R337" s="1148"/>
      <c r="S337" s="1148"/>
      <c r="T337" s="1148"/>
      <c r="U337" s="1148"/>
    </row>
    <row r="338" customFormat="false" ht="15" hidden="false" customHeight="true" outlineLevel="1" collapsed="false">
      <c r="A338" s="2512" t="s">
        <v>4147</v>
      </c>
      <c r="B338" s="232"/>
      <c r="C338" s="2525" t="n">
        <f aca="false">дома!I1170</f>
        <v>8.58750020072825</v>
      </c>
      <c r="D338" s="2510"/>
      <c r="E338" s="2521"/>
      <c r="F338" s="2521"/>
      <c r="G338" s="2522"/>
      <c r="H338" s="2522"/>
      <c r="I338" s="2523"/>
      <c r="J338" s="2116"/>
      <c r="K338" s="2165"/>
      <c r="L338" s="2116"/>
      <c r="M338" s="1148"/>
      <c r="N338" s="1148"/>
      <c r="O338" s="1148"/>
      <c r="P338" s="1148"/>
      <c r="Q338" s="1148"/>
      <c r="R338" s="1148"/>
      <c r="S338" s="1148"/>
      <c r="T338" s="1148"/>
      <c r="U338" s="1148"/>
    </row>
    <row r="339" customFormat="false" ht="15" hidden="false" customHeight="true" outlineLevel="1" collapsed="false">
      <c r="A339" s="2512" t="s">
        <v>4148</v>
      </c>
      <c r="B339" s="232"/>
      <c r="C339" s="2525" t="n">
        <f aca="false">дома!F1167</f>
        <v>7.43303437365925</v>
      </c>
      <c r="D339" s="2510"/>
      <c r="E339" s="2521"/>
      <c r="F339" s="2521"/>
      <c r="G339" s="2522"/>
      <c r="H339" s="2522"/>
      <c r="I339" s="2523"/>
      <c r="J339" s="2116"/>
      <c r="K339" s="2165"/>
      <c r="L339" s="2116"/>
      <c r="M339" s="1148"/>
      <c r="N339" s="1148"/>
      <c r="O339" s="1148"/>
      <c r="P339" s="1148"/>
      <c r="Q339" s="1148"/>
      <c r="R339" s="1148"/>
      <c r="S339" s="1148"/>
      <c r="T339" s="1148"/>
      <c r="U339" s="1148"/>
    </row>
    <row r="340" customFormat="false" ht="15" hidden="false" customHeight="true" outlineLevel="1" collapsed="false">
      <c r="A340" s="2512" t="s">
        <v>1546</v>
      </c>
      <c r="B340" s="232"/>
      <c r="C340" s="2525" t="n">
        <f aca="false">дома!I1164</f>
        <v>5</v>
      </c>
      <c r="D340" s="2510"/>
      <c r="E340" s="2521"/>
      <c r="F340" s="2521"/>
      <c r="G340" s="2522"/>
      <c r="H340" s="2522"/>
      <c r="I340" s="2523"/>
      <c r="J340" s="2116"/>
      <c r="K340" s="2165"/>
      <c r="L340" s="2116"/>
      <c r="M340" s="1148"/>
      <c r="N340" s="1148"/>
      <c r="O340" s="1148"/>
      <c r="P340" s="1148"/>
      <c r="Q340" s="1148"/>
      <c r="R340" s="1148"/>
      <c r="S340" s="1148"/>
      <c r="T340" s="1148"/>
      <c r="U340" s="1148"/>
    </row>
    <row r="341" customFormat="false" ht="15" hidden="false" customHeight="true" outlineLevel="1" collapsed="false">
      <c r="A341" s="232" t="s">
        <v>2769</v>
      </c>
      <c r="B341" s="232" t="s">
        <v>133</v>
      </c>
      <c r="C341" s="232" t="n">
        <f aca="false">дома!I1181</f>
        <v>191.474496270525</v>
      </c>
      <c r="D341" s="2511"/>
      <c r="E341" s="2521"/>
      <c r="F341" s="2521"/>
      <c r="G341" s="2522"/>
      <c r="H341" s="2522"/>
      <c r="I341" s="2523"/>
      <c r="J341" s="2116"/>
      <c r="K341" s="2165"/>
      <c r="L341" s="2116"/>
      <c r="M341" s="1148"/>
      <c r="N341" s="1148"/>
      <c r="O341" s="1148"/>
      <c r="P341" s="1148"/>
      <c r="Q341" s="1148"/>
      <c r="R341" s="1148"/>
      <c r="S341" s="1148"/>
      <c r="T341" s="1148"/>
      <c r="U341" s="1148"/>
    </row>
    <row r="342" customFormat="false" ht="15" hidden="false" customHeight="true" outlineLevel="1" collapsed="false">
      <c r="A342" s="232" t="s">
        <v>4036</v>
      </c>
      <c r="B342" s="232" t="s">
        <v>133</v>
      </c>
      <c r="C342" s="232" t="n">
        <f aca="false">дома!I1183</f>
        <v>268.064294778735</v>
      </c>
      <c r="D342" s="2330" t="n">
        <v>1</v>
      </c>
      <c r="E342" s="2511"/>
      <c r="F342" s="2511"/>
      <c r="G342" s="2116"/>
      <c r="H342" s="2116"/>
      <c r="I342" s="2124"/>
      <c r="J342" s="2116"/>
      <c r="K342" s="2165"/>
      <c r="L342" s="2116"/>
      <c r="M342" s="1148"/>
      <c r="N342" s="1148"/>
      <c r="O342" s="1148"/>
      <c r="P342" s="1148"/>
      <c r="Q342" s="1148"/>
      <c r="R342" s="1148"/>
      <c r="S342" s="1148"/>
      <c r="T342" s="1148"/>
      <c r="U342" s="1148"/>
    </row>
    <row r="343" customFormat="false" ht="15" hidden="false" customHeight="true" outlineLevel="1" collapsed="false">
      <c r="A343" s="2162" t="s">
        <v>1089</v>
      </c>
      <c r="B343" s="260" t="s">
        <v>159</v>
      </c>
      <c r="C343" s="1130" t="n">
        <f aca="false">'Ввод данных'!C261</f>
        <v>0</v>
      </c>
      <c r="D343" s="2511"/>
      <c r="E343" s="2511"/>
      <c r="F343" s="2511"/>
      <c r="G343" s="2116"/>
      <c r="H343" s="2116"/>
      <c r="I343" s="2124"/>
      <c r="J343" s="2116"/>
      <c r="K343" s="2165"/>
      <c r="L343" s="2116"/>
      <c r="M343" s="1148"/>
      <c r="N343" s="1148"/>
      <c r="O343" s="1148"/>
      <c r="P343" s="1148"/>
      <c r="Q343" s="1148"/>
      <c r="R343" s="1148"/>
      <c r="S343" s="1148"/>
      <c r="T343" s="1148"/>
      <c r="U343" s="1148"/>
    </row>
    <row r="344" customFormat="false" ht="15" hidden="false" customHeight="true" outlineLevel="1" collapsed="false">
      <c r="A344" s="2162" t="s">
        <v>1090</v>
      </c>
      <c r="B344" s="260" t="s">
        <v>159</v>
      </c>
      <c r="C344" s="1130" t="n">
        <f aca="false">'Ввод данных'!C262</f>
        <v>0</v>
      </c>
      <c r="D344" s="2511"/>
      <c r="E344" s="2511"/>
      <c r="F344" s="2511"/>
      <c r="G344" s="2116"/>
      <c r="H344" s="2116"/>
      <c r="I344" s="2124"/>
      <c r="J344" s="2116"/>
      <c r="K344" s="2165"/>
      <c r="L344" s="2116"/>
      <c r="M344" s="1148"/>
      <c r="N344" s="1148"/>
      <c r="O344" s="1148"/>
      <c r="P344" s="1148"/>
      <c r="Q344" s="1148"/>
      <c r="R344" s="1148"/>
      <c r="S344" s="1148"/>
      <c r="T344" s="1148"/>
      <c r="U344" s="1148"/>
    </row>
    <row r="345" customFormat="false" ht="15" hidden="false" customHeight="true" outlineLevel="1" collapsed="false">
      <c r="A345" s="2162" t="s">
        <v>1091</v>
      </c>
      <c r="B345" s="260" t="s">
        <v>159</v>
      </c>
      <c r="C345" s="1130" t="n">
        <f aca="false">'Ввод данных'!C263</f>
        <v>0</v>
      </c>
      <c r="D345" s="2511"/>
      <c r="E345" s="2511"/>
      <c r="F345" s="2511"/>
      <c r="G345" s="2116"/>
      <c r="H345" s="2116"/>
      <c r="I345" s="2124"/>
      <c r="J345" s="2116"/>
      <c r="K345" s="2165"/>
      <c r="L345" s="2116"/>
      <c r="M345" s="1148"/>
      <c r="N345" s="1148"/>
      <c r="O345" s="1148"/>
      <c r="P345" s="1148"/>
      <c r="Q345" s="1148"/>
      <c r="R345" s="1148"/>
      <c r="S345" s="1148"/>
      <c r="T345" s="1148"/>
      <c r="U345" s="1148"/>
    </row>
    <row r="346" customFormat="false" ht="15" hidden="false" customHeight="true" outlineLevel="1" collapsed="false">
      <c r="A346" s="2527" t="s">
        <v>2720</v>
      </c>
      <c r="B346" s="2527" t="s">
        <v>1094</v>
      </c>
      <c r="C346" s="2527" t="s">
        <v>1802</v>
      </c>
      <c r="D346" s="2527" t="s">
        <v>2721</v>
      </c>
      <c r="E346" s="2527" t="s">
        <v>2722</v>
      </c>
      <c r="F346" s="1148"/>
      <c r="G346" s="2528" t="s">
        <v>1409</v>
      </c>
      <c r="H346" s="2528"/>
      <c r="I346" s="2527" t="s">
        <v>1094</v>
      </c>
      <c r="J346" s="2527" t="s">
        <v>1802</v>
      </c>
      <c r="K346" s="2529" t="s">
        <v>1601</v>
      </c>
      <c r="L346" s="2527" t="s">
        <v>2722</v>
      </c>
      <c r="M346" s="1148"/>
      <c r="N346" s="1148"/>
      <c r="O346" s="1148"/>
      <c r="P346" s="1148"/>
      <c r="Q346" s="1148"/>
      <c r="R346" s="1148"/>
      <c r="S346" s="1148"/>
      <c r="T346" s="1148"/>
      <c r="U346" s="1148"/>
    </row>
    <row r="347" customFormat="false" ht="15" hidden="false" customHeight="true" outlineLevel="1" collapsed="false">
      <c r="A347" s="232" t="str">
        <f aca="false">'Ввод данных'!A247</f>
        <v>нет</v>
      </c>
      <c r="B347" s="232" t="s">
        <v>135</v>
      </c>
      <c r="C347" s="232" t="n">
        <f aca="false">('Ввод данных'!C11+'Ввод данных'!C11+'Ввод данных'!C12+'Ввод данных'!C12)*G325*VLOOKUP(A347,связи1!F203:H213,3,0)</f>
        <v>0</v>
      </c>
      <c r="D347" s="232" t="n">
        <f aca="false">VLOOKUP(A347,связи1!F203:H213,2,0)</f>
        <v>0</v>
      </c>
      <c r="E347" s="232" t="n">
        <f aca="false">C347*D347</f>
        <v>0</v>
      </c>
      <c r="F347" s="1148"/>
      <c r="G347" s="88"/>
      <c r="H347" s="88"/>
      <c r="I347" s="232"/>
      <c r="J347" s="232"/>
      <c r="K347" s="2164"/>
      <c r="L347" s="232"/>
      <c r="M347" s="1148"/>
      <c r="N347" s="1148"/>
      <c r="O347" s="1148"/>
      <c r="P347" s="1148"/>
      <c r="Q347" s="1148"/>
      <c r="R347" s="1148"/>
      <c r="S347" s="1148"/>
      <c r="T347" s="1148"/>
      <c r="U347" s="1148"/>
    </row>
    <row r="348" customFormat="false" ht="15" hidden="false" customHeight="true" outlineLevel="1" collapsed="false">
      <c r="A348" s="232" t="str">
        <f aca="false">'Прайс лист'!B864</f>
        <v>Болты анкерные с гайкой 12,0 х 280</v>
      </c>
      <c r="B348" s="232" t="s">
        <v>159</v>
      </c>
      <c r="C348" s="232" t="n">
        <f aca="false">('Ввод данных'!C11+'Ввод данных'!C11+'Ввод данных'!C12+'Ввод данных'!C12)*G325*1.1</f>
        <v>44</v>
      </c>
      <c r="D348" s="232" t="n">
        <f aca="false">'Прайс лист'!G864</f>
        <v>27.1</v>
      </c>
      <c r="E348" s="232" t="n">
        <f aca="false">C348*D348</f>
        <v>1192.4</v>
      </c>
      <c r="F348" s="1148"/>
      <c r="G348" s="2182" t="str">
        <f aca="false">'Прайс лист'!B1735</f>
        <v>монтаж мауэрлат</v>
      </c>
      <c r="H348" s="2183"/>
      <c r="I348" s="232" t="s">
        <v>156</v>
      </c>
      <c r="J348" s="232" t="n">
        <f aca="false">('Ввод данных'!C11+'Ввод данных'!C11+'Ввод данных'!C12+'Ввод данных'!C12)</f>
        <v>40</v>
      </c>
      <c r="K348" s="2164" t="n">
        <f aca="false">'Прайс лист'!G1735</f>
        <v>250</v>
      </c>
      <c r="L348" s="2159" t="n">
        <f aca="false">J348*K348</f>
        <v>10000</v>
      </c>
      <c r="M348" s="1148"/>
      <c r="N348" s="1148"/>
      <c r="O348" s="1148"/>
      <c r="P348" s="1148"/>
      <c r="Q348" s="1148"/>
      <c r="R348" s="1148"/>
      <c r="S348" s="1148"/>
      <c r="T348" s="1148"/>
      <c r="U348" s="1148"/>
    </row>
    <row r="349" customFormat="false" ht="15" hidden="false" customHeight="true" outlineLevel="1" collapsed="false">
      <c r="A349" s="232" t="str">
        <f aca="false">'Ввод данных'!A252</f>
        <v>Доска сухая, 200*50мм</v>
      </c>
      <c r="B349" s="232" t="s">
        <v>135</v>
      </c>
      <c r="C349" s="232" t="n">
        <f aca="false">((C338*8+C332+(((C332/0.6)+1)*C339)*2)+(C236*C340*2+C339*3)+C334+C334+C335+C335+C336*4+C337*4)*1.1*G325*VLOOKUP(A349,связи1!A407:E416,5,0)</f>
        <v>4.16623987671954</v>
      </c>
      <c r="D349" s="232" t="n">
        <f aca="false">VLOOKUP(A349,связи1!A407:E416,2,0)</f>
        <v>9000</v>
      </c>
      <c r="E349" s="232" t="n">
        <f aca="false">C349*D349</f>
        <v>37496.1588904759</v>
      </c>
      <c r="F349" s="1148"/>
      <c r="G349" s="2182" t="str">
        <f aca="false">'Прайс лист'!B1736</f>
        <v>монтаж стропил</v>
      </c>
      <c r="H349" s="2183"/>
      <c r="I349" s="232" t="s">
        <v>133</v>
      </c>
      <c r="J349" s="232" t="n">
        <f aca="false">C341*H326*IF(A349=связи1!A407,0,1)</f>
        <v>191.474496270525</v>
      </c>
      <c r="K349" s="2164" t="n">
        <f aca="false">'Прайс лист'!G1736</f>
        <v>450</v>
      </c>
      <c r="L349" s="2159" t="n">
        <f aca="false">J349*K349</f>
        <v>86163.5233217363</v>
      </c>
      <c r="M349" s="1148"/>
      <c r="N349" s="1148"/>
      <c r="O349" s="1148"/>
      <c r="P349" s="1148"/>
      <c r="Q349" s="1148"/>
      <c r="R349" s="1148"/>
      <c r="S349" s="1148"/>
      <c r="T349" s="1148"/>
      <c r="U349" s="1148"/>
    </row>
    <row r="350" customFormat="false" ht="15" hidden="false" customHeight="true" outlineLevel="1" collapsed="false">
      <c r="A350" s="232" t="s">
        <v>2723</v>
      </c>
      <c r="B350" s="232" t="s">
        <v>135</v>
      </c>
      <c r="C350" s="232" t="n">
        <f aca="false">(((C332/0.6)+1)*3)*VLOOKUP(A349,связи1!A407:E416,5,0)*G325</f>
        <v>0.28</v>
      </c>
      <c r="D350" s="232" t="n">
        <f aca="false">VLOOKUP(A349,связи1!A407:E416,2,0)</f>
        <v>9000</v>
      </c>
      <c r="E350" s="232" t="n">
        <f aca="false">C350*D350</f>
        <v>2520</v>
      </c>
      <c r="F350" s="1148"/>
      <c r="G350" s="2182" t="str">
        <f aca="false">'Прайс лист'!B1737</f>
        <v>обрешетка</v>
      </c>
      <c r="H350" s="2183"/>
      <c r="I350" s="232" t="s">
        <v>133</v>
      </c>
      <c r="J350" s="232" t="n">
        <f aca="false">J349*H326*IF(A352=связи1!A432,0,1)</f>
        <v>191.474496270525</v>
      </c>
      <c r="K350" s="2164" t="n">
        <f aca="false">'Прайс лист'!G1737</f>
        <v>100</v>
      </c>
      <c r="L350" s="2159" t="n">
        <f aca="false">J350*K350</f>
        <v>19147.4496270525</v>
      </c>
      <c r="M350" s="1148"/>
      <c r="N350" s="1148"/>
      <c r="O350" s="1148"/>
      <c r="P350" s="1148"/>
      <c r="Q350" s="1148"/>
      <c r="R350" s="1148"/>
      <c r="S350" s="1148"/>
      <c r="T350" s="1148"/>
      <c r="U350" s="1148"/>
    </row>
    <row r="351" customFormat="false" ht="15" hidden="false" customHeight="true" outlineLevel="1" collapsed="false">
      <c r="A351" s="232" t="s">
        <v>4131</v>
      </c>
      <c r="B351" s="232" t="s">
        <v>135</v>
      </c>
      <c r="C351" s="232" t="n">
        <f aca="false">(((C332/2)+1)*C333)*VLOOKUP(A349,связи1!A407:E416,5,0)*G325</f>
        <v>0.175</v>
      </c>
      <c r="D351" s="232" t="n">
        <f aca="false">VLOOKUP(A349,связи1!A407:E416,2,0)</f>
        <v>9000</v>
      </c>
      <c r="E351" s="232" t="n">
        <f aca="false">C351*D351</f>
        <v>1575</v>
      </c>
      <c r="F351" s="1148"/>
      <c r="G351" s="2182" t="str">
        <f aca="false">'Прайс лист'!B1738</f>
        <v>контробеш</v>
      </c>
      <c r="H351" s="2183"/>
      <c r="I351" s="232" t="s">
        <v>133</v>
      </c>
      <c r="J351" s="232" t="n">
        <f aca="false">J349*H326*IF(A353=связи1!A418,0,1)</f>
        <v>191.474496270525</v>
      </c>
      <c r="K351" s="2164" t="n">
        <f aca="false">'Прайс лист'!G1738</f>
        <v>100</v>
      </c>
      <c r="L351" s="2159" t="n">
        <f aca="false">J351*K351</f>
        <v>19147.4496270525</v>
      </c>
      <c r="M351" s="1148"/>
      <c r="N351" s="1148"/>
      <c r="O351" s="1148"/>
      <c r="P351" s="1148"/>
      <c r="Q351" s="1148"/>
      <c r="R351" s="1148"/>
      <c r="S351" s="1148"/>
      <c r="T351" s="1148"/>
      <c r="U351" s="1148"/>
    </row>
    <row r="352" customFormat="false" ht="15" hidden="false" customHeight="true" outlineLevel="1" collapsed="false">
      <c r="A352" s="232" t="str">
        <f aca="false">'Ввод данных'!A254</f>
        <v>Сосна влаж,180*25мм</v>
      </c>
      <c r="B352" s="232" t="s">
        <v>135</v>
      </c>
      <c r="C352" s="232" t="n">
        <f aca="false">C342*3*G325*VLOOKUP(A352,связи1!A432:F440,5,0)</f>
        <v>3.61886797951293</v>
      </c>
      <c r="D352" s="232" t="n">
        <f aca="false">VLOOKUP(A352,связи1!A432:F440,6,0)</f>
        <v>6500</v>
      </c>
      <c r="E352" s="232" t="n">
        <f aca="false">C352*D352</f>
        <v>23522.641866834</v>
      </c>
      <c r="F352" s="1148"/>
      <c r="G352" s="2182" t="str">
        <f aca="false">'Прайс лист'!B1739</f>
        <v>мембрана</v>
      </c>
      <c r="H352" s="2183"/>
      <c r="I352" s="232" t="s">
        <v>133</v>
      </c>
      <c r="J352" s="232" t="n">
        <f aca="false">J349*H326*IF(A354='Прайс лист'!B793,0,1)</f>
        <v>191.474496270525</v>
      </c>
      <c r="K352" s="2164" t="n">
        <f aca="false">'Прайс лист'!G1739</f>
        <v>100</v>
      </c>
      <c r="L352" s="2159" t="n">
        <f aca="false">J352*K352</f>
        <v>19147.4496270525</v>
      </c>
      <c r="M352" s="1148"/>
      <c r="N352" s="1148"/>
      <c r="O352" s="1148"/>
      <c r="P352" s="1148"/>
      <c r="Q352" s="1148"/>
      <c r="R352" s="1148"/>
      <c r="S352" s="1148"/>
      <c r="T352" s="1148"/>
      <c r="U352" s="1148"/>
    </row>
    <row r="353" customFormat="false" ht="15" hidden="false" customHeight="true" outlineLevel="1" collapsed="false">
      <c r="A353" s="232" t="str">
        <f aca="false">'Ввод данных'!A256</f>
        <v>Сосна влаж, 50*50мм</v>
      </c>
      <c r="B353" s="232" t="s">
        <v>135</v>
      </c>
      <c r="C353" s="232" t="n">
        <f aca="false">C342*3*G325*VLOOKUP(A353,связи1!A418:E421,5,0)</f>
        <v>2.01048221084052</v>
      </c>
      <c r="D353" s="232" t="n">
        <f aca="false">VLOOKUP(A353,связи1!A418:D421,2,0)</f>
        <v>6500</v>
      </c>
      <c r="E353" s="232" t="n">
        <f aca="false">C353*D353</f>
        <v>13068.1343704634</v>
      </c>
      <c r="F353" s="1148"/>
      <c r="G353" s="2182" t="str">
        <f aca="false">'Прайс лист'!B1740</f>
        <v>пароизоляц</v>
      </c>
      <c r="H353" s="2183"/>
      <c r="I353" s="232" t="s">
        <v>133</v>
      </c>
      <c r="J353" s="232" t="n">
        <f aca="false">J349*H326*IF(A355='Прайс лист'!B820,0,1)</f>
        <v>191.474496270525</v>
      </c>
      <c r="K353" s="2164" t="n">
        <f aca="false">'Прайс лист'!G1740</f>
        <v>100</v>
      </c>
      <c r="L353" s="2159" t="n">
        <f aca="false">J353*K353</f>
        <v>19147.4496270525</v>
      </c>
      <c r="M353" s="1148"/>
      <c r="N353" s="1148"/>
      <c r="O353" s="1148"/>
      <c r="P353" s="1148"/>
      <c r="Q353" s="1148"/>
      <c r="R353" s="1148"/>
      <c r="S353" s="1148"/>
      <c r="T353" s="1148"/>
      <c r="U353" s="1148"/>
    </row>
    <row r="354" customFormat="false" ht="15" hidden="false" customHeight="true" outlineLevel="1" collapsed="false">
      <c r="A354" s="232" t="str">
        <f aca="false">'Ввод данных'!A265</f>
        <v>Мембрана MD90</v>
      </c>
      <c r="B354" s="232" t="s">
        <v>133</v>
      </c>
      <c r="C354" s="232" t="n">
        <f aca="false">C342*G325</f>
        <v>268.064294778735</v>
      </c>
      <c r="D354" s="232" t="n">
        <f aca="false">VLOOKUP(A354,'Прайс лист'!B793:G819,6,0)</f>
        <v>34</v>
      </c>
      <c r="E354" s="232" t="n">
        <f aca="false">C354*D354</f>
        <v>9114.186022477</v>
      </c>
      <c r="F354" s="1148"/>
      <c r="G354" s="2182" t="str">
        <f aca="false">'Прайс лист'!B1741</f>
        <v>утеплитель</v>
      </c>
      <c r="H354" s="2183"/>
      <c r="I354" s="232" t="s">
        <v>133</v>
      </c>
      <c r="J354" s="232" t="n">
        <f aca="false">C341*H326*IF(A356='Прайс лист'!B744,0,1)</f>
        <v>191.474496270525</v>
      </c>
      <c r="K354" s="2164" t="n">
        <f aca="false">'Прайс лист'!G1741</f>
        <v>200</v>
      </c>
      <c r="L354" s="2159" t="n">
        <f aca="false">J354*K354</f>
        <v>38294.899254105</v>
      </c>
      <c r="M354" s="1148"/>
      <c r="N354" s="1148"/>
      <c r="O354" s="1148"/>
      <c r="P354" s="1148"/>
      <c r="Q354" s="1148"/>
      <c r="R354" s="1148"/>
      <c r="S354" s="1148"/>
      <c r="T354" s="1148"/>
      <c r="U354" s="1148"/>
    </row>
    <row r="355" customFormat="false" ht="15" hidden="false" customHeight="true" outlineLevel="1" collapsed="false">
      <c r="A355" s="232" t="str">
        <f aca="false">'Ввод данных'!A267</f>
        <v>Мембрана Tyvek AirGuard Reflective</v>
      </c>
      <c r="B355" s="232" t="s">
        <v>133</v>
      </c>
      <c r="C355" s="232" t="n">
        <f aca="false">C342*D342*G325</f>
        <v>268.064294778735</v>
      </c>
      <c r="D355" s="232" t="n">
        <f aca="false">VLOOKUP(A355,'Прайс лист'!B820:G831,6,0)</f>
        <v>174</v>
      </c>
      <c r="E355" s="232" t="n">
        <f aca="false">C355*D355</f>
        <v>46643.1872914999</v>
      </c>
      <c r="F355" s="1148"/>
      <c r="G355" s="2182" t="str">
        <f aca="false">'Прайс лист'!B1742</f>
        <v>Монтаж металлочерепицы</v>
      </c>
      <c r="H355" s="2183"/>
      <c r="I355" s="232" t="s">
        <v>133</v>
      </c>
      <c r="J355" s="232" t="n">
        <f aca="false">C341*H326*C327/1.1</f>
        <v>174.067723882296</v>
      </c>
      <c r="K355" s="2164" t="n">
        <f aca="false">'Прайс лист'!G1742</f>
        <v>300</v>
      </c>
      <c r="L355" s="2159" t="n">
        <f aca="false">J355*K355</f>
        <v>52220.3171646887</v>
      </c>
      <c r="M355" s="1148"/>
      <c r="N355" s="1148"/>
      <c r="O355" s="1148"/>
      <c r="P355" s="1148"/>
      <c r="Q355" s="1148"/>
      <c r="R355" s="1148"/>
      <c r="S355" s="1148"/>
      <c r="T355" s="1148"/>
      <c r="U355" s="1148"/>
    </row>
    <row r="356" customFormat="false" ht="15" hidden="false" customHeight="true" outlineLevel="1" collapsed="false">
      <c r="A356" s="232" t="str">
        <f aca="false">'Ввод данных'!A260</f>
        <v>Плитный,28кг/м3, технониколь, 200мм</v>
      </c>
      <c r="B356" s="232" t="s">
        <v>135</v>
      </c>
      <c r="C356" s="232" t="n">
        <f aca="false">C341*G325*VLOOKUP(A356,'Прайс лист'!B744:G782,3,0)</f>
        <v>38.294899254105</v>
      </c>
      <c r="D356" s="232" t="n">
        <f aca="false">VLOOKUP(A356,'Прайс лист'!B744:G782,6,0)</f>
        <v>1700</v>
      </c>
      <c r="E356" s="232" t="n">
        <f aca="false">C356*D356</f>
        <v>65101.3287319786</v>
      </c>
      <c r="F356" s="1148"/>
      <c r="G356" s="2182" t="str">
        <f aca="false">'Прайс лист'!B1743</f>
        <v>Монтаж ондулина</v>
      </c>
      <c r="I356" s="4" t="s">
        <v>133</v>
      </c>
      <c r="J356" s="4" t="n">
        <f aca="false">C342*C328/1.1</f>
        <v>0</v>
      </c>
      <c r="K356" s="2164" t="n">
        <f aca="false">'Прайс лист'!G1743</f>
        <v>300</v>
      </c>
      <c r="L356" s="2159" t="n">
        <f aca="false">J356*K356</f>
        <v>0</v>
      </c>
      <c r="M356" s="1148"/>
      <c r="N356" s="1148"/>
      <c r="O356" s="1148"/>
      <c r="P356" s="1148"/>
      <c r="Q356" s="1148"/>
      <c r="R356" s="1148"/>
      <c r="S356" s="1148"/>
      <c r="T356" s="1148"/>
      <c r="U356" s="1148"/>
    </row>
    <row r="357" customFormat="false" ht="15" hidden="false" customHeight="true" outlineLevel="1" collapsed="false">
      <c r="A357" s="232" t="s">
        <v>2724</v>
      </c>
      <c r="B357" s="232" t="s">
        <v>133</v>
      </c>
      <c r="C357" s="232" t="n">
        <f aca="false">C342*C327*G325</f>
        <v>268.064294778735</v>
      </c>
      <c r="D357" s="232" t="n">
        <f aca="false">'Прайс лист'!G1131</f>
        <v>250</v>
      </c>
      <c r="E357" s="232" t="n">
        <f aca="false">C357*D357</f>
        <v>67016.0736946838</v>
      </c>
      <c r="F357" s="1148"/>
      <c r="G357" s="2182" t="s">
        <v>4149</v>
      </c>
      <c r="H357" s="2183"/>
      <c r="I357" s="232" t="s">
        <v>156</v>
      </c>
      <c r="J357" s="122" t="n">
        <f aca="false">C359*H326</f>
        <v>88</v>
      </c>
      <c r="K357" s="2164" t="n">
        <f aca="false">'Прайс лист'!G1745</f>
        <v>100</v>
      </c>
      <c r="L357" s="2159" t="n">
        <f aca="false">J357*K357</f>
        <v>8800</v>
      </c>
      <c r="M357" s="1148"/>
      <c r="N357" s="1148"/>
      <c r="O357" s="1148"/>
      <c r="P357" s="1148"/>
      <c r="Q357" s="1148"/>
      <c r="R357" s="1148"/>
      <c r="S357" s="1148"/>
      <c r="T357" s="1148"/>
      <c r="U357" s="1148"/>
    </row>
    <row r="358" customFormat="false" ht="15" hidden="false" customHeight="true" outlineLevel="1" collapsed="false">
      <c r="A358" s="232" t="str">
        <f aca="false">'Прайс лист'!B1134</f>
        <v>Конек</v>
      </c>
      <c r="B358" s="232" t="s">
        <v>156</v>
      </c>
      <c r="C358" s="232" t="n">
        <f aca="false">(C338*4+C340)*C327*G325</f>
        <v>39.350000802913</v>
      </c>
      <c r="D358" s="232" t="n">
        <f aca="false">'Прайс лист'!G1146</f>
        <v>200</v>
      </c>
      <c r="E358" s="232" t="n">
        <f aca="false">C358*D358</f>
        <v>7870.0001605826</v>
      </c>
      <c r="F358" s="1148"/>
      <c r="G358" s="2155" t="s">
        <v>1544</v>
      </c>
      <c r="H358" s="2156"/>
      <c r="I358" s="232" t="s">
        <v>156</v>
      </c>
      <c r="J358" s="122" t="n">
        <f aca="false">C375*H326</f>
        <v>42</v>
      </c>
      <c r="K358" s="2164" t="n">
        <f aca="false">'Прайс лист'!G1747</f>
        <v>300</v>
      </c>
      <c r="L358" s="2159" t="n">
        <f aca="false">J358*K358</f>
        <v>12600</v>
      </c>
      <c r="M358" s="1148"/>
      <c r="N358" s="1148"/>
      <c r="O358" s="1148"/>
      <c r="P358" s="1148"/>
      <c r="Q358" s="1148"/>
      <c r="R358" s="1148"/>
      <c r="S358" s="1148"/>
      <c r="T358" s="1148"/>
      <c r="U358" s="1148"/>
    </row>
    <row r="359" customFormat="false" ht="15" hidden="false" customHeight="true" outlineLevel="1" collapsed="false">
      <c r="A359" s="232" t="str">
        <f aca="false">'Прайс лист'!B1144</f>
        <v>Карнизная планка</v>
      </c>
      <c r="B359" s="232" t="s">
        <v>156</v>
      </c>
      <c r="C359" s="232" t="n">
        <f aca="false">(C236+C336+C336+D236+C337+C337)*4*G325*C327</f>
        <v>88</v>
      </c>
      <c r="D359" s="232" t="n">
        <f aca="false">'Прайс лист'!G1144</f>
        <v>190</v>
      </c>
      <c r="E359" s="232" t="n">
        <f aca="false">C359*D359</f>
        <v>16720</v>
      </c>
      <c r="F359" s="1148"/>
      <c r="G359" s="2182" t="s">
        <v>1082</v>
      </c>
      <c r="H359" s="2183"/>
      <c r="I359" s="232" t="s">
        <v>156</v>
      </c>
      <c r="J359" s="122" t="n">
        <f aca="false">C377*H326</f>
        <v>6.6</v>
      </c>
      <c r="K359" s="2164" t="n">
        <f aca="false">'Прайс лист'!G1748</f>
        <v>300</v>
      </c>
      <c r="L359" s="2159" t="n">
        <f aca="false">J359*K359</f>
        <v>1980</v>
      </c>
      <c r="M359" s="1148"/>
      <c r="N359" s="1148"/>
      <c r="O359" s="1148"/>
      <c r="P359" s="1148"/>
      <c r="Q359" s="1148"/>
      <c r="R359" s="1148"/>
      <c r="S359" s="1148"/>
      <c r="T359" s="1148"/>
      <c r="U359" s="1148"/>
    </row>
    <row r="360" customFormat="false" ht="15" hidden="false" customHeight="true" outlineLevel="1" collapsed="false">
      <c r="A360" s="232" t="s">
        <v>2725</v>
      </c>
      <c r="B360" s="232" t="s">
        <v>133</v>
      </c>
      <c r="C360" s="232" t="n">
        <f aca="false">C342*C328*G325</f>
        <v>0</v>
      </c>
      <c r="D360" s="232" t="n">
        <f aca="false">'Прайс лист'!G1143</f>
        <v>180</v>
      </c>
      <c r="E360" s="232" t="n">
        <f aca="false">C360*D360</f>
        <v>0</v>
      </c>
      <c r="F360" s="1148"/>
      <c r="G360" s="2182" t="s">
        <v>1546</v>
      </c>
      <c r="H360" s="2183"/>
      <c r="I360" s="232" t="s">
        <v>156</v>
      </c>
      <c r="J360" s="122" t="n">
        <f aca="false">C358+C362+C370</f>
        <v>39.350000802913</v>
      </c>
      <c r="K360" s="2164" t="n">
        <f aca="false">'Прайс лист'!G1750</f>
        <v>300</v>
      </c>
      <c r="L360" s="2159" t="n">
        <f aca="false">J360*K360</f>
        <v>11805.0002408739</v>
      </c>
      <c r="M360" s="1148"/>
      <c r="N360" s="1148"/>
      <c r="O360" s="1148"/>
      <c r="P360" s="1148"/>
      <c r="Q360" s="1148"/>
      <c r="R360" s="1148"/>
      <c r="S360" s="1148"/>
      <c r="T360" s="1148"/>
      <c r="U360" s="1148"/>
    </row>
    <row r="361" customFormat="false" ht="15" hidden="false" customHeight="true" outlineLevel="1" collapsed="false">
      <c r="A361" s="232" t="str">
        <f aca="false">'Прайс лист'!B1144</f>
        <v>Карнизная планка</v>
      </c>
      <c r="B361" s="232" t="s">
        <v>156</v>
      </c>
      <c r="C361" s="232" t="n">
        <f aca="false">(C236+C336+C336+D236+C337+C337)*4*G325*C328</f>
        <v>0</v>
      </c>
      <c r="D361" s="232" t="n">
        <f aca="false">'Прайс лист'!G1144</f>
        <v>190</v>
      </c>
      <c r="E361" s="232" t="n">
        <f aca="false">C361*D361</f>
        <v>0</v>
      </c>
      <c r="F361" s="1148"/>
      <c r="G361" s="2155" t="str">
        <f aca="false">'Прайс лист'!B1751</f>
        <v>Монтаж фанеры/osb</v>
      </c>
      <c r="H361" s="2156"/>
      <c r="I361" s="232" t="s">
        <v>133</v>
      </c>
      <c r="J361" s="122" t="n">
        <f aca="false">C364*C329/1.1*IF(A364='Прайс лист'!B1027,0,1)</f>
        <v>0</v>
      </c>
      <c r="K361" s="2164" t="n">
        <f aca="false">'Прайс лист'!G1751</f>
        <v>200</v>
      </c>
      <c r="L361" s="2159" t="n">
        <f aca="false">J361*K361</f>
        <v>0</v>
      </c>
      <c r="M361" s="1148"/>
      <c r="N361" s="1148"/>
      <c r="O361" s="1148"/>
      <c r="P361" s="1148"/>
      <c r="Q361" s="1148"/>
      <c r="R361" s="1148"/>
      <c r="S361" s="1148"/>
      <c r="T361" s="1148"/>
      <c r="U361" s="1148"/>
    </row>
    <row r="362" customFormat="false" ht="15" hidden="false" customHeight="true" outlineLevel="1" collapsed="false">
      <c r="A362" s="232" t="str">
        <f aca="false">'Прайс лист'!B1146</f>
        <v>Конек</v>
      </c>
      <c r="B362" s="232" t="s">
        <v>156</v>
      </c>
      <c r="C362" s="232" t="n">
        <f aca="false">(C338*4+C340)*C328*G325</f>
        <v>0</v>
      </c>
      <c r="D362" s="232" t="n">
        <f aca="false">'Прайс лист'!G1146</f>
        <v>200</v>
      </c>
      <c r="E362" s="232" t="n">
        <f aca="false">C362*D362</f>
        <v>0</v>
      </c>
      <c r="F362" s="1148"/>
      <c r="G362" s="2155" t="str">
        <f aca="false">'Прайс лист'!B1752</f>
        <v>монтаж подкладочного ковра</v>
      </c>
      <c r="H362" s="2156"/>
      <c r="I362" s="232" t="s">
        <v>133</v>
      </c>
      <c r="J362" s="122" t="n">
        <f aca="false">C367*C329/1.1</f>
        <v>0</v>
      </c>
      <c r="K362" s="2164" t="n">
        <f aca="false">'Прайс лист'!G1752</f>
        <v>150</v>
      </c>
      <c r="L362" s="2159" t="n">
        <f aca="false">J362*K362</f>
        <v>0</v>
      </c>
      <c r="M362" s="1148"/>
      <c r="N362" s="1148"/>
      <c r="O362" s="1148"/>
      <c r="P362" s="1148"/>
      <c r="Q362" s="1148"/>
      <c r="R362" s="1148"/>
      <c r="S362" s="1148"/>
      <c r="T362" s="1148"/>
      <c r="U362" s="1148"/>
    </row>
    <row r="363" customFormat="false" ht="15" hidden="false" customHeight="true" outlineLevel="1" collapsed="false">
      <c r="A363" s="7" t="str">
        <f aca="false">'Прайс лист'!B1150</f>
        <v>Крепеж для ондулина</v>
      </c>
      <c r="B363" s="5" t="s">
        <v>159</v>
      </c>
      <c r="C363" s="5" t="n">
        <f aca="false">C341*12*C328*G325</f>
        <v>0</v>
      </c>
      <c r="D363" s="7" t="n">
        <f aca="false">'Прайс лист'!G1150</f>
        <v>4.5</v>
      </c>
      <c r="E363" s="232" t="n">
        <f aca="false">C363*D363</f>
        <v>0</v>
      </c>
      <c r="F363" s="1148"/>
      <c r="G363" s="2155" t="str">
        <f aca="false">'Прайс лист'!B1753</f>
        <v>Монтаж мягкой кровли</v>
      </c>
      <c r="H363" s="2156"/>
      <c r="I363" s="232" t="s">
        <v>133</v>
      </c>
      <c r="J363" s="122" t="n">
        <f aca="false">C342*C329/1.1</f>
        <v>0</v>
      </c>
      <c r="K363" s="2164" t="n">
        <f aca="false">'Прайс лист'!G1753</f>
        <v>350</v>
      </c>
      <c r="L363" s="2159" t="n">
        <f aca="false">J363*K363</f>
        <v>0</v>
      </c>
      <c r="M363" s="1148"/>
      <c r="N363" s="1148"/>
      <c r="O363" s="1148"/>
      <c r="P363" s="1148"/>
      <c r="Q363" s="1148"/>
      <c r="R363" s="1148"/>
      <c r="S363" s="1148"/>
      <c r="T363" s="1148"/>
      <c r="U363" s="1148"/>
    </row>
    <row r="364" customFormat="false" ht="15" hidden="false" customHeight="true" outlineLevel="1" collapsed="false">
      <c r="A364" s="7" t="str">
        <f aca="false">'Ввод данных'!A258</f>
        <v>нет</v>
      </c>
      <c r="B364" s="5"/>
      <c r="C364" s="5" t="n">
        <f aca="false">C342*G325</f>
        <v>268.064294778735</v>
      </c>
      <c r="D364" s="7" t="n">
        <f aca="false">VLOOKUP(A364,'Прайс лист'!B1027:G1078,6,0)</f>
        <v>0</v>
      </c>
      <c r="E364" s="232" t="n">
        <f aca="false">C364*D364</f>
        <v>0</v>
      </c>
      <c r="F364" s="1148"/>
      <c r="M364" s="1148"/>
      <c r="N364" s="1148"/>
      <c r="O364" s="1148"/>
      <c r="P364" s="1148"/>
      <c r="Q364" s="1148"/>
      <c r="R364" s="1148"/>
      <c r="S364" s="1148"/>
      <c r="T364" s="1148"/>
      <c r="U364" s="1148"/>
    </row>
    <row r="365" customFormat="false" ht="15" hidden="false" customHeight="true" outlineLevel="1" collapsed="false">
      <c r="A365" s="232" t="str">
        <f aca="false">'Прайс лист'!B1155</f>
        <v>Рядовая черепица</v>
      </c>
      <c r="B365" s="5" t="s">
        <v>156</v>
      </c>
      <c r="C365" s="5" t="n">
        <f aca="false">C342*C329*G325</f>
        <v>0</v>
      </c>
      <c r="D365" s="7" t="n">
        <f aca="false">'Прайс лист'!G1155</f>
        <v>360</v>
      </c>
      <c r="E365" s="232" t="n">
        <f aca="false">C365*D365</f>
        <v>0</v>
      </c>
      <c r="F365" s="1148"/>
      <c r="G365" s="2155"/>
      <c r="H365" s="2156"/>
      <c r="I365" s="232"/>
      <c r="J365" s="122"/>
      <c r="K365" s="2164"/>
      <c r="L365" s="2159"/>
      <c r="M365" s="1148"/>
      <c r="N365" s="1148"/>
      <c r="O365" s="1148"/>
      <c r="P365" s="1148"/>
      <c r="Q365" s="1148"/>
      <c r="R365" s="1148"/>
      <c r="S365" s="1148"/>
      <c r="T365" s="1148"/>
      <c r="U365" s="1148"/>
    </row>
    <row r="366" customFormat="false" ht="15" hidden="false" customHeight="true" outlineLevel="1" collapsed="false">
      <c r="A366" s="232" t="str">
        <f aca="false">'Прайс лист'!B1156</f>
        <v>Металл оцинк защита (карниз)</v>
      </c>
      <c r="B366" s="5" t="s">
        <v>156</v>
      </c>
      <c r="C366" s="5" t="n">
        <f aca="false">((C334+C336*2)*2+(C335+C337*2)*2)*C329*G325</f>
        <v>0</v>
      </c>
      <c r="D366" s="7" t="n">
        <f aca="false">'Прайс лист'!G1156</f>
        <v>200</v>
      </c>
      <c r="E366" s="232" t="n">
        <f aca="false">C366*D366</f>
        <v>0</v>
      </c>
      <c r="F366" s="1148"/>
      <c r="M366" s="1148"/>
      <c r="N366" s="1148"/>
      <c r="O366" s="1148"/>
      <c r="P366" s="1148"/>
      <c r="Q366" s="1148"/>
      <c r="R366" s="1148"/>
      <c r="S366" s="1148"/>
      <c r="T366" s="1148"/>
      <c r="U366" s="1148"/>
    </row>
    <row r="367" customFormat="false" ht="15" hidden="false" customHeight="true" outlineLevel="1" collapsed="false">
      <c r="A367" s="232" t="str">
        <f aca="false">'Прайс лист'!B1157</f>
        <v>Подкладочный ковер</v>
      </c>
      <c r="B367" s="5" t="s">
        <v>133</v>
      </c>
      <c r="C367" s="5" t="n">
        <f aca="false">C342*C329*G325</f>
        <v>0</v>
      </c>
      <c r="D367" s="7" t="n">
        <f aca="false">'Прайс лист'!G1157</f>
        <v>220</v>
      </c>
      <c r="E367" s="232" t="n">
        <f aca="false">C367*D367</f>
        <v>0</v>
      </c>
      <c r="F367" s="1148"/>
      <c r="M367" s="1148"/>
      <c r="N367" s="1148"/>
      <c r="O367" s="1148"/>
      <c r="P367" s="1148"/>
      <c r="Q367" s="1148"/>
      <c r="R367" s="1148"/>
      <c r="S367" s="1148"/>
      <c r="T367" s="1148"/>
      <c r="U367" s="1148"/>
    </row>
    <row r="368" customFormat="false" ht="15" hidden="false" customHeight="true" outlineLevel="1" collapsed="false">
      <c r="A368" s="232" t="str">
        <f aca="false">'Прайс лист'!B1158</f>
        <v>Карнизная самоклеющаяся черепица</v>
      </c>
      <c r="B368" s="5" t="s">
        <v>133</v>
      </c>
      <c r="C368" s="5" t="n">
        <f aca="false">((C334+C336*2)*2+(C335+C337*2)*2)*C329*G325</f>
        <v>0</v>
      </c>
      <c r="D368" s="7" t="n">
        <f aca="false">'Прайс лист'!G1158</f>
        <v>220</v>
      </c>
      <c r="E368" s="232" t="n">
        <f aca="false">C368*D368</f>
        <v>0</v>
      </c>
      <c r="F368" s="1148"/>
      <c r="M368" s="1148"/>
      <c r="N368" s="1148"/>
      <c r="O368" s="1148"/>
      <c r="P368" s="1148"/>
      <c r="Q368" s="1148"/>
      <c r="R368" s="1148"/>
      <c r="S368" s="1148"/>
      <c r="T368" s="1148"/>
      <c r="U368" s="1148"/>
    </row>
    <row r="369" customFormat="false" ht="15" hidden="false" customHeight="true" outlineLevel="1" collapsed="false">
      <c r="A369" s="232" t="str">
        <f aca="false">'Прайс лист'!B1159</f>
        <v>Спец ковер ендова нижняя</v>
      </c>
      <c r="B369" s="5" t="s">
        <v>1415</v>
      </c>
      <c r="C369" s="5"/>
      <c r="D369" s="7" t="n">
        <f aca="false">'Прайс лист'!G1159</f>
        <v>200</v>
      </c>
      <c r="E369" s="232" t="n">
        <f aca="false">C369*D369</f>
        <v>0</v>
      </c>
      <c r="F369" s="1148"/>
      <c r="G369" s="2155"/>
      <c r="H369" s="2156"/>
      <c r="I369" s="232"/>
      <c r="J369" s="122"/>
      <c r="K369" s="2164"/>
      <c r="L369" s="2159"/>
      <c r="M369" s="1148"/>
      <c r="N369" s="1148"/>
      <c r="O369" s="1148"/>
      <c r="P369" s="1148"/>
      <c r="Q369" s="1148"/>
      <c r="R369" s="1148"/>
      <c r="S369" s="1148"/>
      <c r="T369" s="1148"/>
      <c r="U369" s="1148"/>
    </row>
    <row r="370" customFormat="false" ht="15" hidden="false" customHeight="true" outlineLevel="1" collapsed="false">
      <c r="A370" s="232" t="str">
        <f aca="false">'Прайс лист'!B1160</f>
        <v>Коньковой элемент</v>
      </c>
      <c r="B370" s="5" t="s">
        <v>1415</v>
      </c>
      <c r="C370" s="5" t="n">
        <f aca="false">(C338*4+C340)*C329*G325</f>
        <v>0</v>
      </c>
      <c r="D370" s="7" t="n">
        <f aca="false">'Прайс лист'!G1160</f>
        <v>250</v>
      </c>
      <c r="E370" s="232" t="n">
        <f aca="false">C370*D370</f>
        <v>0</v>
      </c>
      <c r="F370" s="1148"/>
      <c r="G370" s="2155"/>
      <c r="H370" s="2156"/>
      <c r="I370" s="232"/>
      <c r="J370" s="122"/>
      <c r="K370" s="2164"/>
      <c r="L370" s="2159"/>
      <c r="M370" s="1148"/>
      <c r="N370" s="1148"/>
      <c r="O370" s="1148"/>
      <c r="P370" s="1148"/>
      <c r="Q370" s="1148"/>
      <c r="R370" s="1148"/>
      <c r="S370" s="1148"/>
      <c r="T370" s="1148"/>
      <c r="U370" s="1148"/>
    </row>
    <row r="371" customFormat="false" ht="15" hidden="false" customHeight="true" outlineLevel="1" collapsed="false">
      <c r="A371" s="232" t="str">
        <f aca="false">'Прайс лист'!B1161</f>
        <v>Планка премыкания</v>
      </c>
      <c r="B371" s="5"/>
      <c r="C371" s="5"/>
      <c r="D371" s="7" t="n">
        <f aca="false">'Прайс лист'!G1161</f>
        <v>200</v>
      </c>
      <c r="E371" s="232" t="n">
        <f aca="false">C371*D371</f>
        <v>0</v>
      </c>
      <c r="F371" s="1148"/>
      <c r="G371" s="2155"/>
      <c r="H371" s="2156"/>
      <c r="I371" s="232"/>
      <c r="J371" s="122"/>
      <c r="K371" s="2164"/>
      <c r="L371" s="2159"/>
      <c r="M371" s="1148"/>
      <c r="N371" s="1148"/>
      <c r="O371" s="1148"/>
      <c r="P371" s="1148"/>
      <c r="Q371" s="1148"/>
      <c r="R371" s="1148"/>
      <c r="S371" s="1148"/>
      <c r="T371" s="1148"/>
      <c r="U371" s="1148"/>
    </row>
    <row r="372" customFormat="false" ht="15" hidden="false" customHeight="true" outlineLevel="1" collapsed="false">
      <c r="A372" s="232" t="str">
        <f aca="false">'Прайс лист'!B1162</f>
        <v>Гвозди для крепления подкладочного ковра</v>
      </c>
      <c r="B372" s="5" t="s">
        <v>159</v>
      </c>
      <c r="C372" s="5" t="n">
        <f aca="false">C342*10*C329*G325</f>
        <v>0</v>
      </c>
      <c r="D372" s="7" t="n">
        <f aca="false">'Прайс лист'!G1162</f>
        <v>0.012</v>
      </c>
      <c r="E372" s="232" t="n">
        <f aca="false">C372*D372</f>
        <v>0</v>
      </c>
      <c r="F372" s="1148"/>
      <c r="G372" s="2155"/>
      <c r="H372" s="2156"/>
      <c r="I372" s="232"/>
      <c r="J372" s="122"/>
      <c r="K372" s="2164"/>
      <c r="L372" s="2159"/>
      <c r="M372" s="1148"/>
      <c r="N372" s="1148"/>
      <c r="O372" s="1148"/>
      <c r="P372" s="1148"/>
      <c r="Q372" s="1148"/>
      <c r="R372" s="1148"/>
      <c r="S372" s="1148"/>
      <c r="T372" s="1148"/>
      <c r="U372" s="1148"/>
    </row>
    <row r="373" customFormat="false" ht="15" hidden="false" customHeight="true" outlineLevel="1" collapsed="false">
      <c r="A373" s="232" t="str">
        <f aca="false">'Прайс лист'!B1163</f>
        <v>Гвозди для крепления черепицы</v>
      </c>
      <c r="B373" s="5" t="s">
        <v>159</v>
      </c>
      <c r="C373" s="5" t="n">
        <f aca="false">C342*C329*20*G325</f>
        <v>0</v>
      </c>
      <c r="D373" s="7" t="n">
        <f aca="false">'Прайс лист'!G1163</f>
        <v>0.25</v>
      </c>
      <c r="E373" s="232" t="n">
        <f aca="false">C373*D373</f>
        <v>0</v>
      </c>
      <c r="F373" s="1148"/>
      <c r="G373" s="2155"/>
      <c r="H373" s="2156"/>
      <c r="I373" s="232"/>
      <c r="J373" s="122"/>
      <c r="K373" s="2164"/>
      <c r="L373" s="2159"/>
      <c r="M373" s="1148"/>
      <c r="N373" s="1148"/>
      <c r="O373" s="1148"/>
      <c r="P373" s="1148"/>
      <c r="Q373" s="1148"/>
      <c r="R373" s="1148"/>
      <c r="S373" s="1148"/>
      <c r="T373" s="1148"/>
      <c r="U373" s="1148"/>
    </row>
    <row r="374" customFormat="false" ht="15" hidden="false" customHeight="true" outlineLevel="1" collapsed="false">
      <c r="A374" s="232" t="str">
        <f aca="false">'Прайс лист'!B1164</f>
        <v>Клей для монтажа черепицы</v>
      </c>
      <c r="B374" s="5" t="s">
        <v>188</v>
      </c>
      <c r="C374" s="5" t="n">
        <f aca="false">C341*C329*G325</f>
        <v>0</v>
      </c>
      <c r="D374" s="7" t="n">
        <f aca="false">'Прайс лист'!G1164</f>
        <v>250</v>
      </c>
      <c r="E374" s="232" t="n">
        <f aca="false">C374*D374</f>
        <v>0</v>
      </c>
      <c r="F374" s="1148"/>
      <c r="G374" s="2155"/>
      <c r="H374" s="2156"/>
      <c r="I374" s="232"/>
      <c r="J374" s="122"/>
      <c r="K374" s="2164"/>
      <c r="L374" s="2159"/>
      <c r="M374" s="1148"/>
      <c r="N374" s="1148"/>
      <c r="O374" s="1148"/>
      <c r="P374" s="1148"/>
      <c r="Q374" s="1148"/>
      <c r="R374" s="1148"/>
      <c r="S374" s="1148"/>
      <c r="T374" s="1148"/>
      <c r="U374" s="1148"/>
    </row>
    <row r="375" customFormat="false" ht="15" hidden="false" customHeight="true" outlineLevel="1" collapsed="false">
      <c r="A375" s="232" t="str">
        <f aca="false">'Прайс лист'!B1169</f>
        <v>желоб</v>
      </c>
      <c r="B375" s="232" t="s">
        <v>1415</v>
      </c>
      <c r="C375" s="232" t="n">
        <f aca="false">дома!I1195*G325</f>
        <v>42</v>
      </c>
      <c r="D375" s="232" t="n">
        <f aca="false">'Прайс лист'!G1169</f>
        <v>300</v>
      </c>
      <c r="E375" s="232" t="n">
        <f aca="false">C375*D375</f>
        <v>12600</v>
      </c>
      <c r="F375" s="1148"/>
      <c r="G375" s="2155"/>
      <c r="H375" s="2156"/>
      <c r="I375" s="232"/>
      <c r="J375" s="122"/>
      <c r="K375" s="2164"/>
      <c r="L375" s="2159"/>
      <c r="M375" s="1148"/>
      <c r="N375" s="1148"/>
      <c r="O375" s="1148"/>
      <c r="P375" s="1148"/>
      <c r="Q375" s="1148"/>
      <c r="R375" s="1148"/>
      <c r="S375" s="1148"/>
      <c r="T375" s="1148"/>
      <c r="U375" s="1148"/>
    </row>
    <row r="376" customFormat="false" ht="15" hidden="false" customHeight="true" outlineLevel="1" collapsed="false">
      <c r="A376" s="232" t="str">
        <f aca="false">'Прайс лист'!B1170</f>
        <v>отвод</v>
      </c>
      <c r="B376" s="232" t="s">
        <v>159</v>
      </c>
      <c r="C376" s="232" t="n">
        <v>4</v>
      </c>
      <c r="D376" s="232" t="n">
        <f aca="false">'Прайс лист'!G1170</f>
        <v>250</v>
      </c>
      <c r="E376" s="232" t="n">
        <f aca="false">C376*D376</f>
        <v>1000</v>
      </c>
      <c r="F376" s="1148"/>
      <c r="G376" s="2155"/>
      <c r="H376" s="2156"/>
      <c r="I376" s="232"/>
      <c r="J376" s="122"/>
      <c r="K376" s="2164"/>
      <c r="L376" s="2159"/>
      <c r="M376" s="1148"/>
      <c r="N376" s="1148"/>
      <c r="O376" s="1148"/>
      <c r="P376" s="1148"/>
      <c r="Q376" s="1148"/>
      <c r="R376" s="1148"/>
      <c r="S376" s="1148"/>
      <c r="T376" s="1148"/>
      <c r="U376" s="1148"/>
    </row>
    <row r="377" customFormat="false" ht="15" hidden="false" customHeight="true" outlineLevel="1" collapsed="false">
      <c r="A377" s="232" t="str">
        <f aca="false">'Прайс лист'!B1171</f>
        <v>труба водосточная</v>
      </c>
      <c r="B377" s="232" t="s">
        <v>156</v>
      </c>
      <c r="C377" s="232" t="n">
        <f aca="false">(E236+F236)*2*G325*1.1</f>
        <v>6.6</v>
      </c>
      <c r="D377" s="232" t="n">
        <f aca="false">'Прайс лист'!G1171</f>
        <v>300</v>
      </c>
      <c r="E377" s="232" t="n">
        <f aca="false">C377*D377</f>
        <v>1980</v>
      </c>
      <c r="F377" s="1148"/>
      <c r="G377" s="88"/>
      <c r="H377" s="88"/>
      <c r="I377" s="232"/>
      <c r="J377" s="122"/>
      <c r="K377" s="2164"/>
      <c r="L377" s="2159"/>
      <c r="M377" s="1148"/>
      <c r="N377" s="1148"/>
      <c r="O377" s="1148"/>
      <c r="P377" s="1148"/>
      <c r="Q377" s="1148"/>
      <c r="R377" s="1148"/>
      <c r="S377" s="1148"/>
      <c r="T377" s="1148"/>
      <c r="U377" s="1148"/>
    </row>
    <row r="378" customFormat="false" ht="15" hidden="false" customHeight="true" outlineLevel="1" collapsed="false">
      <c r="A378" s="232" t="str">
        <f aca="false">'Прайс лист'!B1172</f>
        <v>заглушка для желоба</v>
      </c>
      <c r="B378" s="232" t="s">
        <v>159</v>
      </c>
      <c r="C378" s="232" t="n">
        <f aca="false">4</f>
        <v>4</v>
      </c>
      <c r="D378" s="232" t="n">
        <f aca="false">'Прайс лист'!G1172</f>
        <v>190</v>
      </c>
      <c r="E378" s="232" t="n">
        <f aca="false">C378*D378</f>
        <v>760</v>
      </c>
      <c r="F378" s="1148"/>
      <c r="G378" s="88"/>
      <c r="H378" s="88"/>
      <c r="I378" s="232"/>
      <c r="J378" s="122"/>
      <c r="K378" s="2164"/>
      <c r="L378" s="2159"/>
      <c r="M378" s="1148"/>
      <c r="N378" s="1148"/>
      <c r="O378" s="1148"/>
      <c r="P378" s="1148"/>
      <c r="Q378" s="1148"/>
      <c r="R378" s="1148"/>
      <c r="S378" s="1148"/>
      <c r="T378" s="1148"/>
      <c r="U378" s="1148"/>
    </row>
    <row r="379" customFormat="false" ht="15" hidden="false" customHeight="true" outlineLevel="1" collapsed="false">
      <c r="A379" s="232" t="str">
        <f aca="false">'Прайс лист'!B1173</f>
        <v>соеденитель для желоба</v>
      </c>
      <c r="B379" s="232" t="s">
        <v>159</v>
      </c>
      <c r="C379" s="232" t="n">
        <f aca="false">(C375/3)+1</f>
        <v>15</v>
      </c>
      <c r="D379" s="232" t="n">
        <f aca="false">'Прайс лист'!G1173</f>
        <v>180</v>
      </c>
      <c r="E379" s="232" t="n">
        <f aca="false">C379*D379</f>
        <v>2700</v>
      </c>
      <c r="F379" s="1148"/>
      <c r="G379" s="88"/>
      <c r="H379" s="88"/>
      <c r="I379" s="232"/>
      <c r="J379" s="122"/>
      <c r="K379" s="2164"/>
      <c r="L379" s="2159"/>
      <c r="M379" s="1148"/>
      <c r="N379" s="1148"/>
      <c r="O379" s="1148"/>
      <c r="P379" s="1148"/>
      <c r="Q379" s="1148"/>
      <c r="R379" s="1148"/>
      <c r="S379" s="1148"/>
      <c r="T379" s="1148"/>
      <c r="U379" s="1148"/>
    </row>
    <row r="380" customFormat="false" ht="15" hidden="false" customHeight="true" outlineLevel="1" collapsed="false">
      <c r="A380" s="232" t="str">
        <f aca="false">'Прайс лист'!B1174</f>
        <v>кронштейн для желоба</v>
      </c>
      <c r="B380" s="232" t="s">
        <v>159</v>
      </c>
      <c r="C380" s="232" t="n">
        <f aca="false">C375/0.3</f>
        <v>140</v>
      </c>
      <c r="D380" s="232" t="n">
        <f aca="false">'Прайс лист'!G1174</f>
        <v>130</v>
      </c>
      <c r="E380" s="232" t="n">
        <f aca="false">C380*D380</f>
        <v>18200</v>
      </c>
      <c r="F380" s="1148"/>
      <c r="G380" s="88"/>
      <c r="H380" s="88"/>
      <c r="I380" s="122"/>
      <c r="J380" s="122"/>
      <c r="K380" s="2164"/>
      <c r="L380" s="2159"/>
      <c r="M380" s="1148"/>
      <c r="N380" s="1148"/>
      <c r="O380" s="1148"/>
      <c r="P380" s="1148"/>
      <c r="Q380" s="1148"/>
      <c r="R380" s="1148"/>
      <c r="S380" s="1148"/>
      <c r="T380" s="1148"/>
      <c r="U380" s="1148"/>
    </row>
    <row r="381" customFormat="false" ht="15" hidden="false" customHeight="true" outlineLevel="1" collapsed="false">
      <c r="A381" s="232" t="str">
        <f aca="false">'Прайс лист'!B1175</f>
        <v>переход из желоба в трубу</v>
      </c>
      <c r="B381" s="232" t="s">
        <v>159</v>
      </c>
      <c r="C381" s="232" t="n">
        <v>2</v>
      </c>
      <c r="D381" s="232" t="n">
        <f aca="false">'Прайс лист'!G1175</f>
        <v>350</v>
      </c>
      <c r="E381" s="232" t="n">
        <f aca="false">C381*D381</f>
        <v>700</v>
      </c>
      <c r="F381" s="1148"/>
      <c r="G381" s="88"/>
      <c r="H381" s="88"/>
      <c r="I381" s="232"/>
      <c r="J381" s="232"/>
      <c r="K381" s="2164"/>
      <c r="L381" s="2159"/>
      <c r="M381" s="1148"/>
      <c r="N381" s="1148"/>
      <c r="O381" s="1148"/>
      <c r="P381" s="1148"/>
      <c r="Q381" s="1148"/>
      <c r="R381" s="1148"/>
      <c r="S381" s="1148"/>
      <c r="T381" s="1148"/>
      <c r="U381" s="1148"/>
    </row>
    <row r="382" customFormat="false" ht="15" hidden="false" customHeight="true" outlineLevel="1" collapsed="false">
      <c r="A382" s="232" t="str">
        <f aca="false">'Прайс лист'!B1176</f>
        <v>лента дельта мульти бэнд</v>
      </c>
      <c r="B382" s="232" t="s">
        <v>159</v>
      </c>
      <c r="C382" s="232" t="n">
        <v>1</v>
      </c>
      <c r="D382" s="232" t="n">
        <f aca="false">'Прайс лист'!G1176</f>
        <v>1200</v>
      </c>
      <c r="E382" s="232" t="n">
        <f aca="false">C382*D382</f>
        <v>1200</v>
      </c>
      <c r="F382" s="1148"/>
      <c r="G382" s="88"/>
      <c r="H382" s="88"/>
      <c r="I382" s="232"/>
      <c r="J382" s="232"/>
      <c r="K382" s="2164"/>
      <c r="L382" s="2159"/>
      <c r="M382" s="1148"/>
      <c r="N382" s="1148"/>
      <c r="O382" s="1148"/>
      <c r="P382" s="1148"/>
      <c r="Q382" s="1148"/>
      <c r="R382" s="1148"/>
      <c r="S382" s="1148"/>
      <c r="T382" s="1148"/>
      <c r="U382" s="1148"/>
    </row>
    <row r="383" customFormat="false" ht="15" hidden="false" customHeight="true" outlineLevel="1" collapsed="false">
      <c r="A383" s="232" t="str">
        <f aca="false">'Прайс лист'!B1177</f>
        <v>лента дельта sb-60</v>
      </c>
      <c r="B383" s="232" t="s">
        <v>159</v>
      </c>
      <c r="C383" s="232" t="n">
        <f aca="false">C341/15</f>
        <v>12.764966418035</v>
      </c>
      <c r="D383" s="232" t="n">
        <f aca="false">'Прайс лист'!G1177</f>
        <v>1100</v>
      </c>
      <c r="E383" s="232" t="n">
        <f aca="false">C383*D383</f>
        <v>14041.4630598385</v>
      </c>
      <c r="F383" s="1148"/>
      <c r="G383" s="88"/>
      <c r="H383" s="88"/>
      <c r="I383" s="232"/>
      <c r="J383" s="232"/>
      <c r="K383" s="2164"/>
      <c r="L383" s="2159"/>
      <c r="M383" s="1148"/>
      <c r="N383" s="1148"/>
      <c r="O383" s="1148"/>
      <c r="P383" s="1148"/>
      <c r="Q383" s="1148"/>
      <c r="R383" s="1148"/>
      <c r="S383" s="1148"/>
      <c r="T383" s="1148"/>
      <c r="U383" s="1148"/>
    </row>
    <row r="384" customFormat="false" ht="15" hidden="false" customHeight="true" outlineLevel="1" collapsed="false">
      <c r="A384" s="232" t="str">
        <f aca="false">'Прайс лист'!B1178</f>
        <v>проходка кровельная, канализационная</v>
      </c>
      <c r="B384" s="260" t="s">
        <v>159</v>
      </c>
      <c r="C384" s="232" t="n">
        <f aca="false">C343</f>
        <v>0</v>
      </c>
      <c r="D384" s="232" t="n">
        <f aca="false">'Прайс лист'!G1178</f>
        <v>3500</v>
      </c>
      <c r="E384" s="232" t="n">
        <f aca="false">C384*D384</f>
        <v>0</v>
      </c>
      <c r="F384" s="1148"/>
      <c r="G384" s="88"/>
      <c r="H384" s="88"/>
      <c r="I384" s="232"/>
      <c r="J384" s="232"/>
      <c r="K384" s="2164"/>
      <c r="L384" s="2159"/>
      <c r="M384" s="1148"/>
      <c r="N384" s="1148"/>
      <c r="O384" s="1148"/>
      <c r="P384" s="1148"/>
      <c r="Q384" s="1148"/>
      <c r="R384" s="1148"/>
      <c r="S384" s="1148"/>
      <c r="T384" s="1148"/>
      <c r="U384" s="1148"/>
    </row>
    <row r="385" customFormat="false" ht="15" hidden="false" customHeight="true" outlineLevel="1" collapsed="false">
      <c r="A385" s="232" t="str">
        <f aca="false">'Прайс лист'!B1179</f>
        <v>проходка кровельная, вентиляционная</v>
      </c>
      <c r="B385" s="260" t="s">
        <v>159</v>
      </c>
      <c r="C385" s="232" t="n">
        <f aca="false">C344</f>
        <v>0</v>
      </c>
      <c r="D385" s="232" t="n">
        <f aca="false">'Прайс лист'!G1179</f>
        <v>3500</v>
      </c>
      <c r="E385" s="232" t="n">
        <f aca="false">C385*D385</f>
        <v>0</v>
      </c>
      <c r="F385" s="1148"/>
      <c r="G385" s="88"/>
      <c r="H385" s="88"/>
      <c r="I385" s="232"/>
      <c r="J385" s="232"/>
      <c r="K385" s="2164"/>
      <c r="L385" s="2159"/>
      <c r="M385" s="1148"/>
      <c r="N385" s="1148"/>
      <c r="O385" s="1148"/>
      <c r="P385" s="1148"/>
      <c r="Q385" s="1148"/>
      <c r="R385" s="1148"/>
      <c r="S385" s="1148"/>
      <c r="T385" s="1148"/>
      <c r="U385" s="1148"/>
    </row>
    <row r="386" customFormat="false" ht="15" hidden="false" customHeight="true" outlineLevel="1" collapsed="false">
      <c r="A386" s="232" t="str">
        <f aca="false">'Прайс лист'!B1180</f>
        <v>проодка кровельная, труба котел</v>
      </c>
      <c r="B386" s="260" t="s">
        <v>159</v>
      </c>
      <c r="C386" s="232" t="n">
        <f aca="false">C345</f>
        <v>0</v>
      </c>
      <c r="D386" s="232" t="n">
        <f aca="false">'Прайс лист'!G1180</f>
        <v>4500</v>
      </c>
      <c r="E386" s="232" t="n">
        <f aca="false">C386*D386</f>
        <v>0</v>
      </c>
      <c r="F386" s="1148"/>
      <c r="G386" s="88"/>
      <c r="H386" s="88"/>
      <c r="I386" s="232"/>
      <c r="J386" s="232"/>
      <c r="K386" s="2164"/>
      <c r="L386" s="2159"/>
      <c r="M386" s="1148"/>
      <c r="N386" s="1148"/>
      <c r="O386" s="1148"/>
      <c r="P386" s="1148"/>
      <c r="Q386" s="1148"/>
      <c r="R386" s="1148"/>
      <c r="S386" s="1148"/>
      <c r="T386" s="1148"/>
      <c r="U386" s="1148"/>
    </row>
    <row r="387" customFormat="false" ht="15" hidden="false" customHeight="true" outlineLevel="1" collapsed="false">
      <c r="A387" s="232" t="str">
        <f aca="false">'Прайс лист'!B1138</f>
        <v>Кровельный саморез</v>
      </c>
      <c r="B387" s="232" t="s">
        <v>159</v>
      </c>
      <c r="C387" s="232" t="n">
        <f aca="false">C341*12*C327</f>
        <v>2297.6939552463</v>
      </c>
      <c r="D387" s="232" t="n">
        <f aca="false">'Прайс лист'!G1138</f>
        <v>2</v>
      </c>
      <c r="E387" s="232" t="n">
        <f aca="false">C387*D387</f>
        <v>4595.38791049261</v>
      </c>
      <c r="F387" s="1148"/>
      <c r="G387" s="88"/>
      <c r="H387" s="88"/>
      <c r="I387" s="232"/>
      <c r="J387" s="232"/>
      <c r="K387" s="2164"/>
      <c r="L387" s="2159"/>
      <c r="M387" s="1148"/>
      <c r="N387" s="1148"/>
      <c r="O387" s="1148"/>
      <c r="P387" s="1148"/>
      <c r="Q387" s="1148"/>
      <c r="R387" s="1148"/>
      <c r="S387" s="1148"/>
      <c r="T387" s="1148"/>
      <c r="U387" s="1148"/>
    </row>
    <row r="388" customFormat="false" ht="15" hidden="false" customHeight="true" outlineLevel="1" collapsed="false">
      <c r="A388" s="232" t="str">
        <f aca="false">'Прайс лист'!B897</f>
        <v>Гвозди ершоные 3,4 x 60</v>
      </c>
      <c r="B388" s="232" t="s">
        <v>188</v>
      </c>
      <c r="C388" s="232" t="n">
        <f aca="false">C352*10</f>
        <v>36.1886797951293</v>
      </c>
      <c r="D388" s="232" t="n">
        <f aca="false">'Прайс лист'!G897</f>
        <v>75.51</v>
      </c>
      <c r="E388" s="232" t="n">
        <f aca="false">C388*D388</f>
        <v>2732.60721133021</v>
      </c>
      <c r="F388" s="1148"/>
      <c r="G388" s="88"/>
      <c r="H388" s="88"/>
      <c r="I388" s="232"/>
      <c r="J388" s="232"/>
      <c r="K388" s="2164"/>
      <c r="L388" s="2159"/>
      <c r="M388" s="1148"/>
      <c r="N388" s="1148"/>
      <c r="O388" s="1148"/>
      <c r="P388" s="1148"/>
      <c r="Q388" s="1148"/>
      <c r="R388" s="1148"/>
      <c r="S388" s="1148"/>
      <c r="T388" s="1148"/>
      <c r="U388" s="1148"/>
    </row>
    <row r="389" customFormat="false" ht="15" hidden="false" customHeight="true" outlineLevel="1" collapsed="false">
      <c r="A389" s="232" t="str">
        <f aca="false">'Прайс лист'!B890</f>
        <v>Гвозди строительные 3,5 x 90</v>
      </c>
      <c r="B389" s="232" t="s">
        <v>188</v>
      </c>
      <c r="C389" s="232" t="n">
        <f aca="false">(C349+C350+C351)*6</f>
        <v>27.7274392603173</v>
      </c>
      <c r="D389" s="232" t="n">
        <f aca="false">'Прайс лист'!G898</f>
        <v>76.49</v>
      </c>
      <c r="E389" s="232" t="n">
        <f aca="false">C389*D389</f>
        <v>2120.87182902167</v>
      </c>
      <c r="F389" s="1148"/>
      <c r="G389" s="88"/>
      <c r="H389" s="88"/>
      <c r="I389" s="232"/>
      <c r="J389" s="232"/>
      <c r="K389" s="2164"/>
      <c r="L389" s="2159"/>
      <c r="M389" s="1148"/>
      <c r="N389" s="1148"/>
      <c r="O389" s="1148"/>
      <c r="P389" s="1148"/>
      <c r="Q389" s="1148"/>
      <c r="R389" s="1148"/>
      <c r="S389" s="1148"/>
      <c r="T389" s="1148"/>
      <c r="U389" s="1148"/>
    </row>
    <row r="390" customFormat="false" ht="15" hidden="false" customHeight="true" outlineLevel="1" collapsed="false">
      <c r="A390" s="232" t="str">
        <f aca="false">'Прайс лист'!B846</f>
        <v>Пластина соеденительная 100х240х2</v>
      </c>
      <c r="B390" s="232" t="s">
        <v>159</v>
      </c>
      <c r="C390" s="2159" t="n">
        <f aca="false">C341/7</f>
        <v>27.3534994672179</v>
      </c>
      <c r="D390" s="232" t="n">
        <f aca="false">'Прайс лист'!G846</f>
        <v>31.54</v>
      </c>
      <c r="E390" s="232" t="n">
        <f aca="false">C390*D390</f>
        <v>862.729373196052</v>
      </c>
      <c r="F390" s="1148"/>
      <c r="G390" s="88"/>
      <c r="H390" s="88"/>
      <c r="I390" s="232"/>
      <c r="J390" s="232"/>
      <c r="K390" s="2164"/>
      <c r="L390" s="2159"/>
      <c r="M390" s="1148"/>
      <c r="N390" s="1148"/>
      <c r="O390" s="1148"/>
      <c r="P390" s="1148"/>
      <c r="Q390" s="1148"/>
      <c r="R390" s="1148"/>
      <c r="S390" s="1148"/>
      <c r="T390" s="1148"/>
      <c r="U390" s="1148"/>
    </row>
    <row r="391" customFormat="false" ht="15" hidden="false" customHeight="true" outlineLevel="1" collapsed="false">
      <c r="A391" s="232" t="str">
        <f aca="false">'Прайс лист'!B838</f>
        <v>Уголок усиленный 90х70х55х2,5</v>
      </c>
      <c r="B391" s="232" t="s">
        <v>159</v>
      </c>
      <c r="C391" s="2159" t="n">
        <f aca="false">C341*2</f>
        <v>382.94899254105</v>
      </c>
      <c r="D391" s="232" t="n">
        <f aca="false">'Прайс лист'!G838</f>
        <v>30</v>
      </c>
      <c r="E391" s="232" t="n">
        <f aca="false">C391*D391</f>
        <v>11488.4697762315</v>
      </c>
      <c r="F391" s="1148"/>
      <c r="G391" s="88"/>
      <c r="H391" s="88"/>
      <c r="I391" s="232"/>
      <c r="J391" s="232"/>
      <c r="K391" s="2164"/>
      <c r="L391" s="2159"/>
      <c r="M391" s="1148"/>
      <c r="N391" s="1148"/>
      <c r="O391" s="1148"/>
      <c r="P391" s="1148"/>
      <c r="Q391" s="1148"/>
      <c r="R391" s="1148"/>
      <c r="S391" s="1148"/>
      <c r="T391" s="1148"/>
      <c r="U391" s="1148"/>
    </row>
    <row r="392" customFormat="false" ht="15" hidden="false" customHeight="true" outlineLevel="1" collapsed="false">
      <c r="A392" s="232" t="str">
        <f aca="false">'Ввод данных'!A269</f>
        <v>Нет техники</v>
      </c>
      <c r="B392" s="232" t="str">
        <f aca="false">'Ввод данных'!B269</f>
        <v>ед.</v>
      </c>
      <c r="C392" s="232" t="n">
        <f aca="false">'Ввод данных'!C269</f>
        <v>4</v>
      </c>
      <c r="D392" s="232" t="n">
        <f aca="false">VLOOKUP(A392,'Прайс лист'!B180:G194,6,0)</f>
        <v>0</v>
      </c>
      <c r="E392" s="232" t="n">
        <f aca="false">C392*D392</f>
        <v>0</v>
      </c>
      <c r="F392" s="1148"/>
      <c r="G392" s="88"/>
      <c r="H392" s="88"/>
      <c r="I392" s="232"/>
      <c r="J392" s="232"/>
      <c r="K392" s="2164"/>
      <c r="L392" s="2159"/>
      <c r="M392" s="1148"/>
      <c r="N392" s="1148"/>
      <c r="O392" s="1148"/>
      <c r="P392" s="1148"/>
      <c r="Q392" s="1148"/>
      <c r="R392" s="1148"/>
      <c r="S392" s="1148"/>
      <c r="T392" s="1148"/>
      <c r="U392" s="1148"/>
    </row>
    <row r="393" customFormat="false" ht="15" hidden="false" customHeight="true" outlineLevel="1" collapsed="false">
      <c r="A393" s="232" t="str">
        <f aca="false">'Ввод данных'!A270</f>
        <v>Нет техники</v>
      </c>
      <c r="B393" s="232" t="str">
        <f aca="false">'Ввод данных'!B270</f>
        <v>ед.</v>
      </c>
      <c r="C393" s="232" t="n">
        <f aca="false">'Ввод данных'!C270</f>
        <v>0</v>
      </c>
      <c r="D393" s="232" t="n">
        <f aca="false">VLOOKUP(A393,'Прайс лист'!B180:G194,6,0)</f>
        <v>0</v>
      </c>
      <c r="E393" s="232" t="n">
        <f aca="false">C393*D393</f>
        <v>0</v>
      </c>
      <c r="F393" s="1148"/>
      <c r="G393" s="5"/>
      <c r="H393" s="5"/>
      <c r="I393" s="5"/>
      <c r="J393" s="5"/>
      <c r="K393" s="5"/>
      <c r="L393" s="5"/>
      <c r="M393" s="1148"/>
      <c r="N393" s="1148"/>
      <c r="O393" s="1148"/>
      <c r="P393" s="1148"/>
      <c r="Q393" s="1148"/>
      <c r="R393" s="1148"/>
      <c r="S393" s="1148"/>
      <c r="T393" s="1148"/>
      <c r="U393" s="1148"/>
    </row>
    <row r="394" customFormat="false" ht="15" hidden="false" customHeight="true" outlineLevel="1" collapsed="false">
      <c r="A394" s="232" t="str">
        <f aca="false">'Ввод данных'!A272</f>
        <v>расходные материалы вальмовая кровля</v>
      </c>
      <c r="B394" s="232" t="str">
        <f aca="false">'Ввод данных'!B272</f>
        <v>рублей</v>
      </c>
      <c r="C394" s="2159" t="n">
        <f aca="false">1</f>
        <v>1</v>
      </c>
      <c r="D394" s="232" t="n">
        <f aca="false">'Ввод данных'!C272</f>
        <v>10000</v>
      </c>
      <c r="E394" s="232" t="n">
        <f aca="false">C394*D394</f>
        <v>10000</v>
      </c>
      <c r="F394" s="1148"/>
      <c r="G394" s="88"/>
      <c r="H394" s="88"/>
      <c r="I394" s="232"/>
      <c r="J394" s="232"/>
      <c r="K394" s="2164"/>
      <c r="L394" s="2159"/>
      <c r="M394" s="1148"/>
      <c r="N394" s="1148"/>
      <c r="O394" s="1148"/>
      <c r="P394" s="1148"/>
      <c r="Q394" s="1148"/>
      <c r="R394" s="1148"/>
      <c r="S394" s="1148"/>
      <c r="T394" s="1148"/>
      <c r="U394" s="1148"/>
    </row>
    <row r="395" customFormat="false" ht="15" hidden="false" customHeight="true" outlineLevel="1" collapsed="false">
      <c r="A395" s="1148"/>
      <c r="B395" s="1148"/>
      <c r="C395" s="1148"/>
      <c r="D395" s="1148"/>
      <c r="E395" s="232" t="n">
        <f aca="false">SUM(E349:E394)</f>
        <v>375628.240189106</v>
      </c>
      <c r="F395" s="1148"/>
      <c r="G395" s="1148"/>
      <c r="H395" s="1148"/>
      <c r="I395" s="1148"/>
      <c r="J395" s="1148"/>
      <c r="K395" s="1149"/>
      <c r="L395" s="2159" t="n">
        <f aca="false">SUM(L349:L394)</f>
        <v>288453.538489614</v>
      </c>
      <c r="M395" s="1148"/>
      <c r="N395" s="1148"/>
      <c r="O395" s="1148"/>
      <c r="P395" s="1148"/>
      <c r="Q395" s="1148"/>
      <c r="R395" s="1148"/>
      <c r="S395" s="1148"/>
      <c r="T395" s="1148"/>
      <c r="U395" s="1148"/>
    </row>
    <row r="396" customFormat="false" ht="15" hidden="false" customHeight="true" outlineLevel="1" collapsed="false">
      <c r="F396" s="1148"/>
      <c r="M396" s="1148"/>
      <c r="N396" s="1148"/>
      <c r="O396" s="1148"/>
      <c r="P396" s="1148"/>
      <c r="Q396" s="1148"/>
      <c r="R396" s="1148"/>
      <c r="S396" s="1148"/>
      <c r="T396" s="1148"/>
      <c r="U396" s="1148"/>
    </row>
    <row r="397" customFormat="false" ht="15" hidden="false" customHeight="true" outlineLevel="1" collapsed="false">
      <c r="F397" s="1148"/>
      <c r="M397" s="1148"/>
      <c r="N397" s="1148"/>
      <c r="O397" s="1148"/>
      <c r="P397" s="1148"/>
      <c r="Q397" s="1148"/>
      <c r="R397" s="1148"/>
      <c r="S397" s="1148"/>
      <c r="T397" s="1148"/>
      <c r="U397" s="1148"/>
    </row>
    <row r="398" customFormat="false" ht="15" hidden="false" customHeight="true" outlineLevel="1" collapsed="false">
      <c r="A398" s="232" t="s">
        <v>2726</v>
      </c>
      <c r="B398" s="2159" t="n">
        <f aca="false">E395</f>
        <v>375628.240189106</v>
      </c>
      <c r="C398" s="1148"/>
      <c r="D398" s="1148"/>
      <c r="E398" s="1148"/>
      <c r="F398" s="1148"/>
      <c r="G398" s="1148"/>
      <c r="H398" s="1148"/>
      <c r="I398" s="1148"/>
      <c r="J398" s="1148"/>
      <c r="K398" s="1149"/>
      <c r="L398" s="1148"/>
      <c r="M398" s="1148"/>
      <c r="N398" s="1148"/>
      <c r="O398" s="1148"/>
      <c r="P398" s="1148"/>
      <c r="Q398" s="1148"/>
      <c r="R398" s="1148"/>
      <c r="S398" s="1148"/>
      <c r="T398" s="1148"/>
      <c r="U398" s="1148"/>
    </row>
    <row r="399" customFormat="false" ht="15" hidden="false" customHeight="true" outlineLevel="1" collapsed="false">
      <c r="A399" s="232" t="s">
        <v>2727</v>
      </c>
      <c r="B399" s="2159" t="n">
        <f aca="false">L395</f>
        <v>288453.538489614</v>
      </c>
      <c r="C399" s="1148"/>
      <c r="D399" s="1148"/>
      <c r="E399" s="1148"/>
      <c r="F399" s="1148"/>
      <c r="G399" s="1148"/>
      <c r="H399" s="1148"/>
      <c r="I399" s="1148"/>
      <c r="J399" s="1148"/>
      <c r="K399" s="1149"/>
      <c r="L399" s="1148"/>
      <c r="M399" s="1148"/>
      <c r="N399" s="1148"/>
      <c r="O399" s="1148"/>
      <c r="P399" s="1148"/>
      <c r="Q399" s="1148"/>
      <c r="R399" s="1148"/>
      <c r="S399" s="1148"/>
      <c r="T399" s="1148"/>
      <c r="U399" s="1148"/>
    </row>
    <row r="400" customFormat="false" ht="15" hidden="false" customHeight="true" outlineLevel="1" collapsed="false">
      <c r="A400" s="232" t="s">
        <v>2728</v>
      </c>
      <c r="B400" s="2159" t="n">
        <f aca="false">SUM(B398:B399)</f>
        <v>664081.77867872</v>
      </c>
      <c r="C400" s="1148"/>
      <c r="D400" s="1148"/>
      <c r="E400" s="1148"/>
      <c r="F400" s="1148"/>
      <c r="G400" s="1148"/>
      <c r="H400" s="1148"/>
      <c r="I400" s="1148"/>
      <c r="J400" s="1148"/>
      <c r="K400" s="1149"/>
      <c r="L400" s="1148"/>
      <c r="M400" s="1148"/>
      <c r="N400" s="1148"/>
      <c r="O400" s="1148"/>
      <c r="P400" s="1148"/>
      <c r="Q400" s="1148"/>
      <c r="R400" s="1148"/>
      <c r="S400" s="1148"/>
      <c r="T400" s="1148"/>
      <c r="U400" s="1148"/>
    </row>
    <row r="401" s="71" customFormat="true" ht="15" hidden="false" customHeight="true" outlineLevel="0" collapsed="false">
      <c r="A401" s="905" t="s">
        <v>4150</v>
      </c>
      <c r="B401" s="2466"/>
      <c r="C401" s="2511"/>
      <c r="D401" s="2511"/>
      <c r="E401" s="2511"/>
      <c r="F401" s="2511"/>
      <c r="G401" s="2173"/>
      <c r="H401" s="2116"/>
      <c r="I401" s="2116"/>
      <c r="J401" s="2116"/>
      <c r="K401" s="2165"/>
      <c r="L401" s="2116"/>
      <c r="M401" s="2116"/>
      <c r="N401" s="2116"/>
      <c r="O401" s="2116"/>
      <c r="P401" s="2116"/>
      <c r="Q401" s="2116"/>
      <c r="R401" s="2116"/>
      <c r="S401" s="2116"/>
      <c r="T401" s="2116"/>
      <c r="U401" s="2116"/>
    </row>
    <row r="402" customFormat="false" ht="15" hidden="false" customHeight="true" outlineLevel="0" collapsed="false">
      <c r="A402" s="2160"/>
      <c r="B402" s="1148"/>
      <c r="C402" s="2149"/>
      <c r="D402" s="2149"/>
      <c r="E402" s="1148"/>
      <c r="F402" s="2149"/>
      <c r="G402" s="2149"/>
      <c r="H402" s="1148"/>
      <c r="I402" s="1148"/>
      <c r="J402" s="1148"/>
      <c r="K402" s="1149"/>
      <c r="L402" s="1148"/>
      <c r="M402" s="1148"/>
      <c r="N402" s="1148"/>
      <c r="O402" s="1148"/>
      <c r="P402" s="1148"/>
      <c r="Q402" s="1148"/>
      <c r="R402" s="1148"/>
      <c r="S402" s="1148"/>
      <c r="T402" s="1148"/>
      <c r="U402" s="1148"/>
    </row>
    <row r="403" customFormat="false" ht="15" hidden="false" customHeight="true" outlineLevel="1" collapsed="false">
      <c r="A403" s="2516" t="s">
        <v>4151</v>
      </c>
      <c r="B403" s="2516"/>
      <c r="C403" s="2516"/>
      <c r="D403" s="2516"/>
      <c r="E403" s="2516"/>
      <c r="F403" s="2516"/>
      <c r="G403" s="2516"/>
      <c r="H403" s="2516"/>
      <c r="I403" s="2516"/>
      <c r="J403" s="2516"/>
      <c r="K403" s="2516"/>
      <c r="L403" s="2516"/>
      <c r="M403" s="1148"/>
      <c r="N403" s="1148"/>
      <c r="O403" s="1148"/>
      <c r="P403" s="1148"/>
      <c r="Q403" s="1148"/>
      <c r="R403" s="1148"/>
      <c r="S403" s="1148"/>
      <c r="T403" s="1148"/>
      <c r="U403" s="1148"/>
    </row>
    <row r="404" customFormat="false" ht="15" hidden="false" customHeight="true" outlineLevel="1" collapsed="false">
      <c r="A404" s="2516"/>
      <c r="B404" s="2516"/>
      <c r="C404" s="2516"/>
      <c r="D404" s="2516"/>
      <c r="E404" s="2516"/>
      <c r="F404" s="2516"/>
      <c r="G404" s="2516"/>
      <c r="H404" s="2516"/>
      <c r="I404" s="2516"/>
      <c r="J404" s="2516"/>
      <c r="K404" s="2516"/>
      <c r="L404" s="2516"/>
      <c r="M404" s="1148"/>
      <c r="N404" s="1148"/>
      <c r="O404" s="1148"/>
      <c r="P404" s="1148"/>
      <c r="Q404" s="1148"/>
      <c r="R404" s="1148"/>
      <c r="S404" s="1148"/>
      <c r="T404" s="1148"/>
      <c r="U404" s="1148"/>
    </row>
    <row r="405" customFormat="false" ht="15" hidden="false" customHeight="true" outlineLevel="1" collapsed="false">
      <c r="A405" s="1096" t="s">
        <v>1806</v>
      </c>
      <c r="B405" s="1096"/>
      <c r="C405" s="1096"/>
      <c r="D405" s="1096"/>
      <c r="E405" s="1096"/>
      <c r="F405" s="1096"/>
      <c r="G405" s="2503" t="n">
        <f aca="false">'Ввод данных'!E277</f>
        <v>1</v>
      </c>
      <c r="H405" s="1097"/>
      <c r="I405" s="1097"/>
      <c r="J405" s="1097"/>
      <c r="K405" s="1097"/>
      <c r="L405" s="1097"/>
      <c r="M405" s="1148"/>
      <c r="N405" s="1148"/>
      <c r="O405" s="1148"/>
      <c r="P405" s="1148"/>
      <c r="Q405" s="1148"/>
      <c r="R405" s="1148"/>
      <c r="S405" s="1148"/>
      <c r="T405" s="1148"/>
      <c r="U405" s="1148"/>
    </row>
    <row r="406" customFormat="false" ht="15" hidden="false" customHeight="true" outlineLevel="1" collapsed="false">
      <c r="A406" s="1096"/>
      <c r="B406" s="1096"/>
      <c r="C406" s="1096"/>
      <c r="D406" s="1096"/>
      <c r="E406" s="1096"/>
      <c r="F406" s="1096"/>
      <c r="G406" s="2517"/>
      <c r="H406" s="1097" t="n">
        <f aca="false">'Ввод данных'!E278</f>
        <v>1</v>
      </c>
      <c r="I406" s="1097"/>
      <c r="J406" s="1097"/>
      <c r="K406" s="1097"/>
      <c r="L406" s="1097"/>
      <c r="M406" s="1148"/>
      <c r="N406" s="1148"/>
      <c r="O406" s="1148"/>
      <c r="P406" s="1148"/>
      <c r="Q406" s="1148"/>
      <c r="R406" s="1148"/>
      <c r="S406" s="1148"/>
      <c r="T406" s="1148"/>
      <c r="U406" s="1148"/>
    </row>
    <row r="407" customFormat="false" ht="15" hidden="false" customHeight="true" outlineLevel="1" collapsed="false">
      <c r="A407" s="2504" t="s">
        <v>2705</v>
      </c>
      <c r="B407" s="2505" t="s">
        <v>156</v>
      </c>
      <c r="C407" s="2505" t="n">
        <f aca="false">дома!K1130+дома!L1130*(1-дома!Q1112)</f>
        <v>139.092651273109</v>
      </c>
      <c r="D407" s="2530" t="n">
        <v>1</v>
      </c>
      <c r="E407" s="1097"/>
      <c r="F407" s="1097"/>
      <c r="G407" s="1097"/>
      <c r="H407" s="1097"/>
      <c r="I407" s="1097"/>
      <c r="J407" s="1097"/>
      <c r="K407" s="1097"/>
      <c r="L407" s="1097"/>
      <c r="M407" s="1148"/>
      <c r="N407" s="1148"/>
      <c r="O407" s="1148"/>
      <c r="P407" s="1148"/>
      <c r="Q407" s="1148"/>
      <c r="R407" s="1148"/>
      <c r="S407" s="1148"/>
      <c r="T407" s="1148"/>
      <c r="U407" s="1148"/>
    </row>
    <row r="408" customFormat="false" ht="15" hidden="false" customHeight="true" outlineLevel="1" collapsed="false">
      <c r="A408" s="2504" t="s">
        <v>3829</v>
      </c>
      <c r="B408" s="2505" t="s">
        <v>156</v>
      </c>
      <c r="C408" s="2505" t="n">
        <f aca="false">'Ввод данных'!C283</f>
        <v>0</v>
      </c>
      <c r="D408" s="1097"/>
      <c r="E408" s="1097"/>
      <c r="F408" s="1097"/>
      <c r="G408" s="1097"/>
      <c r="H408" s="1097"/>
      <c r="I408" s="1097"/>
      <c r="J408" s="1097"/>
      <c r="K408" s="1097"/>
      <c r="L408" s="1097"/>
      <c r="M408" s="1148"/>
      <c r="N408" s="1148"/>
      <c r="O408" s="1148"/>
      <c r="P408" s="1148"/>
      <c r="Q408" s="1148"/>
      <c r="R408" s="1148"/>
      <c r="S408" s="1148"/>
      <c r="T408" s="1148"/>
      <c r="U408" s="1148"/>
    </row>
    <row r="409" customFormat="false" ht="15" hidden="false" customHeight="true" outlineLevel="1" collapsed="false">
      <c r="A409" s="2504" t="s">
        <v>3830</v>
      </c>
      <c r="B409" s="2505" t="s">
        <v>156</v>
      </c>
      <c r="C409" s="2505" t="n">
        <f aca="false">'Ввод данных'!C284</f>
        <v>0</v>
      </c>
      <c r="D409" s="1097"/>
      <c r="E409" s="1097"/>
      <c r="F409" s="1097"/>
      <c r="G409" s="1097"/>
      <c r="H409" s="1097"/>
      <c r="I409" s="1097"/>
      <c r="J409" s="1097"/>
      <c r="K409" s="1097"/>
      <c r="L409" s="1097"/>
      <c r="M409" s="1148"/>
      <c r="N409" s="1148"/>
      <c r="O409" s="1148"/>
      <c r="P409" s="1148"/>
      <c r="Q409" s="1148"/>
      <c r="R409" s="1148"/>
      <c r="S409" s="1148"/>
      <c r="T409" s="1148"/>
      <c r="U409" s="1148"/>
    </row>
    <row r="410" customFormat="false" ht="15" hidden="false" customHeight="true" outlineLevel="1" collapsed="false">
      <c r="A410" s="2518" t="s">
        <v>3831</v>
      </c>
      <c r="B410" s="1124" t="s">
        <v>159</v>
      </c>
      <c r="C410" s="2531" t="n">
        <f aca="false">IF('Ввод данных'!A282=связи1!A6,1,0)</f>
        <v>1</v>
      </c>
      <c r="D410" s="2532" t="s">
        <v>4133</v>
      </c>
      <c r="E410" s="2533"/>
      <c r="F410" s="2533" t="s">
        <v>853</v>
      </c>
      <c r="G410" s="2522" t="n">
        <f aca="false">дома!J1132</f>
        <v>10</v>
      </c>
      <c r="H410" s="2522"/>
      <c r="I410" s="2523"/>
      <c r="J410" s="2116"/>
      <c r="K410" s="2116"/>
      <c r="L410" s="2116"/>
      <c r="M410" s="1148"/>
      <c r="N410" s="1148"/>
      <c r="O410" s="1148"/>
      <c r="P410" s="1148"/>
      <c r="Q410" s="1148"/>
      <c r="R410" s="1148"/>
      <c r="S410" s="1148"/>
      <c r="T410" s="1148"/>
      <c r="U410" s="1148"/>
    </row>
    <row r="411" customFormat="false" ht="15" hidden="false" customHeight="true" outlineLevel="1" collapsed="false">
      <c r="A411" s="2512" t="s">
        <v>3832</v>
      </c>
      <c r="B411" s="232" t="s">
        <v>159</v>
      </c>
      <c r="C411" s="2531" t="n">
        <f aca="false">IF('Ввод данных'!A282=связи1!A7,1,0)</f>
        <v>0</v>
      </c>
      <c r="D411" s="2532" t="s">
        <v>4134</v>
      </c>
      <c r="E411" s="2533"/>
      <c r="F411" s="2533" t="s">
        <v>1800</v>
      </c>
      <c r="G411" s="2522" t="n">
        <f aca="false">дома!J1133</f>
        <v>10</v>
      </c>
      <c r="H411" s="2522"/>
      <c r="I411" s="2523"/>
      <c r="J411" s="2116"/>
      <c r="K411" s="2116"/>
      <c r="L411" s="2116"/>
      <c r="M411" s="1148"/>
      <c r="N411" s="1148"/>
      <c r="O411" s="1148"/>
      <c r="P411" s="1148"/>
      <c r="Q411" s="1148"/>
      <c r="R411" s="1148"/>
      <c r="S411" s="1148"/>
      <c r="T411" s="1148"/>
      <c r="U411" s="1148"/>
    </row>
    <row r="412" customFormat="false" ht="15" hidden="false" customHeight="true" outlineLevel="1" collapsed="false">
      <c r="A412" s="2512" t="s">
        <v>3868</v>
      </c>
      <c r="B412" s="232" t="s">
        <v>4152</v>
      </c>
      <c r="C412" s="2531" t="n">
        <f aca="false">IF('Ввод данных'!A282=связи1!A8,1,0)</f>
        <v>0</v>
      </c>
      <c r="D412" s="2532"/>
      <c r="E412" s="2533"/>
      <c r="F412" s="2533"/>
      <c r="G412" s="2522"/>
      <c r="H412" s="2522"/>
      <c r="I412" s="2523"/>
      <c r="J412" s="2116"/>
      <c r="K412" s="2116"/>
      <c r="L412" s="2116"/>
      <c r="M412" s="1148"/>
      <c r="N412" s="1148"/>
      <c r="O412" s="1148"/>
      <c r="P412" s="1148"/>
      <c r="Q412" s="1148"/>
      <c r="R412" s="1148"/>
      <c r="S412" s="1148"/>
      <c r="T412" s="1148"/>
      <c r="U412" s="1148"/>
    </row>
    <row r="413" customFormat="false" ht="15" hidden="false" customHeight="true" outlineLevel="1" collapsed="false">
      <c r="A413" s="2512" t="s">
        <v>4136</v>
      </c>
      <c r="B413" s="232" t="s">
        <v>156</v>
      </c>
      <c r="C413" s="2534" t="n">
        <f aca="false">'Ввод данных'!C290</f>
        <v>0</v>
      </c>
      <c r="D413" s="2532" t="s">
        <v>4137</v>
      </c>
      <c r="E413" s="2533"/>
      <c r="F413" s="2533"/>
      <c r="G413" s="2522" t="n">
        <f aca="false">дома!J1138</f>
        <v>0.5</v>
      </c>
      <c r="H413" s="2522"/>
      <c r="I413" s="2523"/>
      <c r="J413" s="2116"/>
      <c r="K413" s="2116"/>
      <c r="L413" s="2116"/>
      <c r="M413" s="1148"/>
      <c r="N413" s="1148"/>
      <c r="O413" s="1148"/>
      <c r="P413" s="1148"/>
      <c r="Q413" s="1148"/>
      <c r="R413" s="1148"/>
      <c r="S413" s="1148"/>
      <c r="T413" s="1148"/>
      <c r="U413" s="1148"/>
    </row>
    <row r="414" customFormat="false" ht="15" hidden="false" customHeight="true" outlineLevel="1" collapsed="false">
      <c r="A414" s="2512" t="s">
        <v>4138</v>
      </c>
      <c r="B414" s="232" t="s">
        <v>156</v>
      </c>
      <c r="C414" s="2534" t="n">
        <v>0.05</v>
      </c>
      <c r="D414" s="2532" t="s">
        <v>4139</v>
      </c>
      <c r="E414" s="2533"/>
      <c r="F414" s="2533"/>
      <c r="G414" s="2522" t="n">
        <f aca="false">дома!J1135</f>
        <v>5</v>
      </c>
      <c r="H414" s="2522"/>
      <c r="I414" s="2523"/>
      <c r="J414" s="2116"/>
      <c r="K414" s="2116"/>
      <c r="L414" s="2116"/>
      <c r="M414" s="1148"/>
      <c r="N414" s="1148"/>
      <c r="O414" s="1148"/>
      <c r="P414" s="1148"/>
      <c r="Q414" s="1148"/>
      <c r="R414" s="1148"/>
      <c r="S414" s="1148"/>
      <c r="T414" s="1148"/>
      <c r="U414" s="1148"/>
    </row>
    <row r="415" customFormat="false" ht="15" hidden="false" customHeight="true" outlineLevel="1" collapsed="false">
      <c r="A415" s="2512" t="s">
        <v>4140</v>
      </c>
      <c r="B415" s="232" t="s">
        <v>156</v>
      </c>
      <c r="C415" s="2138" t="n">
        <f aca="false">дома!L1164</f>
        <v>6</v>
      </c>
      <c r="D415" s="2532" t="s">
        <v>4141</v>
      </c>
      <c r="E415" s="2533"/>
      <c r="F415" s="2533"/>
      <c r="G415" s="2522" t="n">
        <f aca="false">дома!J1164</f>
        <v>6</v>
      </c>
      <c r="H415" s="2522"/>
      <c r="I415" s="2523"/>
      <c r="J415" s="2116"/>
      <c r="K415" s="2116"/>
      <c r="L415" s="2116"/>
      <c r="M415" s="1148"/>
      <c r="N415" s="1148"/>
      <c r="O415" s="1148"/>
      <c r="P415" s="1148"/>
      <c r="Q415" s="1148"/>
      <c r="R415" s="1148"/>
      <c r="S415" s="1148"/>
      <c r="T415" s="1148"/>
      <c r="U415" s="1148"/>
    </row>
    <row r="416" customFormat="false" ht="15" hidden="false" customHeight="true" outlineLevel="1" collapsed="false">
      <c r="A416" s="2512" t="s">
        <v>4142</v>
      </c>
      <c r="B416" s="232" t="s">
        <v>156</v>
      </c>
      <c r="C416" s="2119" t="n">
        <f aca="false">дома!J1137</f>
        <v>5</v>
      </c>
      <c r="D416" s="2532" t="s">
        <v>4143</v>
      </c>
      <c r="E416" s="2533"/>
      <c r="F416" s="2533"/>
      <c r="G416" s="2522" t="n">
        <f aca="false">дома!J1167</f>
        <v>5.02493781056045</v>
      </c>
      <c r="H416" s="2522"/>
      <c r="I416" s="2523"/>
      <c r="J416" s="2116"/>
      <c r="K416" s="2116"/>
      <c r="L416" s="2116"/>
      <c r="M416" s="1148"/>
      <c r="N416" s="1148"/>
      <c r="O416" s="1148"/>
      <c r="P416" s="1148"/>
      <c r="Q416" s="1148"/>
      <c r="R416" s="1148"/>
      <c r="S416" s="1148"/>
      <c r="T416" s="1148"/>
      <c r="U416" s="1148"/>
    </row>
    <row r="417" customFormat="false" ht="15" hidden="false" customHeight="true" outlineLevel="1" collapsed="false">
      <c r="A417" s="232" t="s">
        <v>1972</v>
      </c>
      <c r="B417" s="232" t="s">
        <v>156</v>
      </c>
      <c r="C417" s="2534" t="n">
        <f aca="false">дома!J1138</f>
        <v>0.5</v>
      </c>
      <c r="D417" s="2532" t="s">
        <v>4145</v>
      </c>
      <c r="E417" s="2533"/>
      <c r="F417" s="2533"/>
      <c r="G417" s="2522"/>
      <c r="H417" s="2522"/>
      <c r="I417" s="2523"/>
      <c r="J417" s="2116"/>
      <c r="K417" s="2116"/>
      <c r="L417" s="2116"/>
      <c r="M417" s="1148"/>
      <c r="N417" s="1148"/>
      <c r="O417" s="1148"/>
      <c r="P417" s="1148"/>
      <c r="Q417" s="1148"/>
      <c r="R417" s="1148"/>
      <c r="S417" s="1148"/>
      <c r="T417" s="1148"/>
      <c r="U417" s="1148"/>
    </row>
    <row r="418" customFormat="false" ht="15" hidden="false" customHeight="true" outlineLevel="1" collapsed="false">
      <c r="A418" s="260" t="s">
        <v>1975</v>
      </c>
      <c r="B418" s="260" t="s">
        <v>156</v>
      </c>
      <c r="C418" s="2534" t="n">
        <f aca="false">дома!J1152</f>
        <v>0.5</v>
      </c>
      <c r="D418" s="2532" t="s">
        <v>4146</v>
      </c>
      <c r="E418" s="2533"/>
      <c r="F418" s="2533"/>
      <c r="G418" s="2522"/>
      <c r="H418" s="2522"/>
      <c r="I418" s="2523"/>
      <c r="J418" s="2116"/>
      <c r="K418" s="2116"/>
      <c r="L418" s="2116"/>
      <c r="M418" s="1148"/>
      <c r="N418" s="1148"/>
      <c r="O418" s="1148"/>
      <c r="P418" s="1148"/>
      <c r="Q418" s="1148"/>
      <c r="R418" s="1148"/>
      <c r="S418" s="1148"/>
      <c r="T418" s="1148"/>
      <c r="U418" s="1148"/>
    </row>
    <row r="419" customFormat="false" ht="15" hidden="false" customHeight="true" outlineLevel="1" collapsed="false">
      <c r="A419" s="2512" t="s">
        <v>4153</v>
      </c>
      <c r="B419" s="232"/>
      <c r="C419" s="2119" t="n">
        <f aca="false">дома!L1170</f>
        <v>7.67698381549583</v>
      </c>
      <c r="D419" s="1148"/>
      <c r="E419" s="2533"/>
      <c r="F419" s="2533"/>
      <c r="G419" s="2522"/>
      <c r="H419" s="2522"/>
      <c r="I419" s="2523"/>
      <c r="J419" s="2116"/>
      <c r="K419" s="2116"/>
      <c r="L419" s="2116"/>
      <c r="M419" s="1148"/>
      <c r="N419" s="1148"/>
      <c r="O419" s="1148"/>
      <c r="P419" s="1148"/>
      <c r="Q419" s="1148"/>
      <c r="R419" s="1148"/>
      <c r="S419" s="1148"/>
      <c r="T419" s="1148"/>
      <c r="U419" s="1148"/>
    </row>
    <row r="420" customFormat="false" ht="15" hidden="false" customHeight="true" outlineLevel="1" collapsed="false">
      <c r="A420" s="2512" t="s">
        <v>4154</v>
      </c>
      <c r="B420" s="232"/>
      <c r="C420" s="2119" t="n">
        <f aca="false">дома!L1169</f>
        <v>6.72681202353686</v>
      </c>
      <c r="D420" s="1148"/>
      <c r="E420" s="2533"/>
      <c r="F420" s="2533"/>
      <c r="G420" s="2522"/>
      <c r="H420" s="2522"/>
      <c r="I420" s="2523"/>
      <c r="J420" s="2116"/>
      <c r="K420" s="2116"/>
      <c r="L420" s="2116"/>
      <c r="M420" s="1148"/>
      <c r="N420" s="1148"/>
      <c r="O420" s="1148"/>
      <c r="P420" s="1148"/>
      <c r="Q420" s="1148"/>
      <c r="R420" s="1148"/>
      <c r="S420" s="1148"/>
      <c r="T420" s="1148"/>
      <c r="U420" s="1148"/>
    </row>
    <row r="421" customFormat="false" ht="15" hidden="false" customHeight="true" outlineLevel="1" collapsed="false">
      <c r="A421" s="2512" t="s">
        <v>4148</v>
      </c>
      <c r="B421" s="232"/>
      <c r="C421" s="2119" t="n">
        <f aca="false">дома!L1167</f>
        <v>5.02493781056045</v>
      </c>
      <c r="D421" s="1148"/>
      <c r="E421" s="2533"/>
      <c r="F421" s="2533"/>
      <c r="G421" s="2522"/>
      <c r="H421" s="2522"/>
      <c r="I421" s="2523"/>
      <c r="J421" s="2116"/>
      <c r="K421" s="2116"/>
      <c r="L421" s="2116"/>
      <c r="M421" s="1148"/>
      <c r="N421" s="1148"/>
      <c r="O421" s="1148"/>
      <c r="P421" s="1148"/>
      <c r="Q421" s="1148"/>
      <c r="R421" s="1148"/>
      <c r="S421" s="1148"/>
      <c r="T421" s="1148"/>
      <c r="U421" s="1148"/>
    </row>
    <row r="422" customFormat="false" ht="15" hidden="false" customHeight="true" outlineLevel="1" collapsed="false">
      <c r="A422" s="2512" t="s">
        <v>4155</v>
      </c>
      <c r="B422" s="232"/>
      <c r="C422" s="2119" t="n">
        <f aca="false">дома!L1159</f>
        <v>5.3851648071345</v>
      </c>
      <c r="D422" s="1148"/>
      <c r="E422" s="2533"/>
      <c r="F422" s="2533"/>
      <c r="G422" s="2522"/>
      <c r="H422" s="2522"/>
      <c r="I422" s="2523"/>
      <c r="J422" s="2116"/>
      <c r="K422" s="2116"/>
      <c r="L422" s="2116"/>
      <c r="M422" s="1148"/>
      <c r="N422" s="1148"/>
      <c r="O422" s="1148"/>
      <c r="P422" s="1148"/>
      <c r="Q422" s="1148"/>
      <c r="R422" s="1148"/>
      <c r="S422" s="1148"/>
      <c r="T422" s="1148"/>
      <c r="U422" s="1148"/>
    </row>
    <row r="423" customFormat="false" ht="15" hidden="false" customHeight="true" outlineLevel="1" collapsed="false">
      <c r="A423" s="232" t="s">
        <v>2769</v>
      </c>
      <c r="B423" s="232" t="s">
        <v>133</v>
      </c>
      <c r="C423" s="232" t="n">
        <f aca="false">дома!L1181</f>
        <v>237.835254222269</v>
      </c>
      <c r="D423" s="2184"/>
      <c r="E423" s="2533"/>
      <c r="F423" s="2533"/>
      <c r="G423" s="2522"/>
      <c r="H423" s="2522"/>
      <c r="I423" s="2523"/>
      <c r="J423" s="2116"/>
      <c r="K423" s="2116"/>
      <c r="L423" s="2116"/>
      <c r="M423" s="1148"/>
      <c r="N423" s="1148"/>
      <c r="O423" s="1148"/>
      <c r="P423" s="1148"/>
      <c r="Q423" s="1148"/>
      <c r="R423" s="1148"/>
      <c r="S423" s="1148"/>
      <c r="T423" s="1148"/>
      <c r="U423" s="1148"/>
    </row>
    <row r="424" customFormat="false" ht="15" hidden="false" customHeight="true" outlineLevel="1" collapsed="false">
      <c r="A424" s="232" t="s">
        <v>4036</v>
      </c>
      <c r="B424" s="232" t="s">
        <v>133</v>
      </c>
      <c r="C424" s="232" t="n">
        <f aca="false">C423*1.4</f>
        <v>332.969355911177</v>
      </c>
      <c r="D424" s="2330" t="n">
        <v>1</v>
      </c>
      <c r="E424" s="2184"/>
      <c r="F424" s="2184"/>
      <c r="G424" s="2116"/>
      <c r="H424" s="2116"/>
      <c r="I424" s="2124"/>
      <c r="J424" s="2116"/>
      <c r="K424" s="2116"/>
      <c r="L424" s="2116"/>
      <c r="M424" s="1148"/>
      <c r="N424" s="1148"/>
      <c r="O424" s="1148"/>
      <c r="P424" s="1148"/>
      <c r="Q424" s="1148"/>
      <c r="R424" s="1148"/>
      <c r="S424" s="1148"/>
      <c r="T424" s="1148"/>
      <c r="U424" s="1148"/>
    </row>
    <row r="425" customFormat="false" ht="15" hidden="false" customHeight="true" outlineLevel="1" collapsed="false">
      <c r="A425" s="261" t="s">
        <v>2632</v>
      </c>
      <c r="B425" s="260" t="s">
        <v>156</v>
      </c>
      <c r="C425" s="260" t="n">
        <f aca="false">'Ввод данных'!C291</f>
        <v>0</v>
      </c>
      <c r="D425" s="2330" t="n">
        <v>1</v>
      </c>
      <c r="E425" s="2184"/>
      <c r="F425" s="2184"/>
      <c r="G425" s="2116"/>
      <c r="H425" s="2116"/>
      <c r="I425" s="2124"/>
      <c r="J425" s="2116"/>
      <c r="K425" s="2116"/>
      <c r="L425" s="2116"/>
      <c r="M425" s="1148"/>
      <c r="N425" s="1148"/>
      <c r="O425" s="1148"/>
      <c r="P425" s="1148"/>
      <c r="Q425" s="1148"/>
      <c r="R425" s="1148"/>
      <c r="S425" s="1148"/>
      <c r="T425" s="1148"/>
      <c r="U425" s="1148"/>
    </row>
    <row r="426" customFormat="false" ht="15" hidden="false" customHeight="true" outlineLevel="1" collapsed="false">
      <c r="A426" s="261"/>
      <c r="B426" s="260" t="s">
        <v>156</v>
      </c>
      <c r="C426" s="260" t="n">
        <v>0</v>
      </c>
      <c r="D426" s="2330" t="e">
        <f aca="false">'ввод данных'!#ref!</f>
        <v>#VALUE!</v>
      </c>
      <c r="E426" s="2184"/>
      <c r="F426" s="2184"/>
      <c r="G426" s="2116"/>
      <c r="H426" s="2116"/>
      <c r="I426" s="2124"/>
      <c r="J426" s="2116"/>
      <c r="K426" s="2116"/>
      <c r="L426" s="2116"/>
      <c r="M426" s="1148"/>
      <c r="N426" s="1148"/>
      <c r="O426" s="1148"/>
      <c r="P426" s="1148"/>
      <c r="Q426" s="1148"/>
      <c r="R426" s="1148"/>
      <c r="S426" s="1148"/>
      <c r="T426" s="1148"/>
      <c r="U426" s="1148"/>
    </row>
    <row r="427" customFormat="false" ht="15" hidden="false" customHeight="true" outlineLevel="1" collapsed="false">
      <c r="A427" s="2162" t="s">
        <v>1089</v>
      </c>
      <c r="B427" s="260" t="s">
        <v>159</v>
      </c>
      <c r="C427" s="2118" t="n">
        <f aca="false">'Ввод данных'!C300</f>
        <v>0</v>
      </c>
      <c r="D427" s="2184"/>
      <c r="E427" s="2184"/>
      <c r="F427" s="2184"/>
      <c r="G427" s="2116"/>
      <c r="H427" s="2116"/>
      <c r="I427" s="2124"/>
      <c r="J427" s="2116"/>
      <c r="K427" s="2116"/>
      <c r="L427" s="2116"/>
      <c r="M427" s="1148"/>
      <c r="N427" s="1148"/>
      <c r="O427" s="1148"/>
      <c r="P427" s="1148"/>
      <c r="Q427" s="1148"/>
      <c r="R427" s="1148"/>
      <c r="S427" s="1148"/>
      <c r="T427" s="1148"/>
      <c r="U427" s="1148"/>
    </row>
    <row r="428" customFormat="false" ht="15" hidden="false" customHeight="true" outlineLevel="1" collapsed="false">
      <c r="A428" s="2162" t="s">
        <v>1090</v>
      </c>
      <c r="B428" s="260" t="s">
        <v>159</v>
      </c>
      <c r="C428" s="2118" t="n">
        <f aca="false">'Ввод данных'!C301</f>
        <v>0</v>
      </c>
      <c r="D428" s="2184"/>
      <c r="E428" s="2184"/>
      <c r="F428" s="2184"/>
      <c r="G428" s="2116"/>
      <c r="H428" s="2116"/>
      <c r="I428" s="2124"/>
      <c r="J428" s="2116"/>
      <c r="K428" s="2116"/>
      <c r="L428" s="2116"/>
      <c r="M428" s="1148"/>
      <c r="N428" s="1148"/>
      <c r="O428" s="1148"/>
      <c r="P428" s="1148"/>
      <c r="Q428" s="1148"/>
      <c r="R428" s="1148"/>
      <c r="S428" s="1148"/>
      <c r="T428" s="1148"/>
      <c r="U428" s="1148"/>
    </row>
    <row r="429" customFormat="false" ht="15" hidden="false" customHeight="true" outlineLevel="1" collapsed="false">
      <c r="A429" s="2162" t="s">
        <v>1091</v>
      </c>
      <c r="B429" s="260" t="s">
        <v>159</v>
      </c>
      <c r="C429" s="2118" t="n">
        <f aca="false">'Ввод данных'!C302</f>
        <v>0</v>
      </c>
      <c r="D429" s="2184"/>
      <c r="E429" s="2184"/>
      <c r="F429" s="2184"/>
      <c r="G429" s="2116"/>
      <c r="H429" s="2116"/>
      <c r="I429" s="2124"/>
      <c r="J429" s="2116"/>
      <c r="K429" s="2116"/>
      <c r="L429" s="2116"/>
      <c r="M429" s="1148"/>
      <c r="N429" s="1148"/>
      <c r="O429" s="1148"/>
      <c r="P429" s="1148"/>
      <c r="Q429" s="1148"/>
      <c r="R429" s="1148"/>
      <c r="S429" s="1148"/>
      <c r="T429" s="1148"/>
      <c r="U429" s="1148"/>
    </row>
    <row r="430" customFormat="false" ht="15" hidden="false" customHeight="true" outlineLevel="1" collapsed="false">
      <c r="A430" s="2527" t="s">
        <v>2720</v>
      </c>
      <c r="B430" s="2527" t="s">
        <v>1094</v>
      </c>
      <c r="C430" s="2527" t="s">
        <v>1802</v>
      </c>
      <c r="D430" s="2527" t="s">
        <v>2721</v>
      </c>
      <c r="E430" s="2527" t="s">
        <v>2722</v>
      </c>
      <c r="F430" s="1148"/>
      <c r="G430" s="2535" t="s">
        <v>1409</v>
      </c>
      <c r="H430" s="2536"/>
      <c r="I430" s="2527" t="s">
        <v>1094</v>
      </c>
      <c r="J430" s="2527" t="s">
        <v>1802</v>
      </c>
      <c r="K430" s="2527" t="s">
        <v>1601</v>
      </c>
      <c r="L430" s="2527" t="s">
        <v>2722</v>
      </c>
      <c r="M430" s="1148"/>
      <c r="N430" s="1148"/>
      <c r="O430" s="1148"/>
      <c r="P430" s="1148"/>
      <c r="Q430" s="1148"/>
      <c r="R430" s="1148"/>
      <c r="S430" s="1148"/>
      <c r="T430" s="1148"/>
      <c r="U430" s="1148"/>
    </row>
    <row r="431" customFormat="false" ht="15" hidden="false" customHeight="true" outlineLevel="1" collapsed="false">
      <c r="A431" s="232" t="str">
        <f aca="false">'Ввод данных'!A284</f>
        <v>нет</v>
      </c>
      <c r="B431" s="232" t="s">
        <v>135</v>
      </c>
      <c r="C431" s="232" t="n">
        <f aca="false">C407*D407*VLOOKUP(A431,связи1!F203:H213,3,0)*G405</f>
        <v>0</v>
      </c>
      <c r="D431" s="232" t="n">
        <f aca="false">VLOOKUP(A431,связи1!F203:H213,2,0)</f>
        <v>0</v>
      </c>
      <c r="E431" s="232" t="n">
        <f aca="false">C431*D431</f>
        <v>0</v>
      </c>
      <c r="F431" s="1148"/>
      <c r="G431" s="2157"/>
      <c r="H431" s="2158"/>
      <c r="I431" s="232"/>
      <c r="J431" s="232"/>
      <c r="K431" s="232"/>
      <c r="L431" s="232"/>
      <c r="M431" s="1148"/>
      <c r="N431" s="1148"/>
      <c r="O431" s="1148"/>
      <c r="P431" s="1148"/>
      <c r="Q431" s="1148"/>
      <c r="R431" s="1148"/>
      <c r="S431" s="1148"/>
      <c r="T431" s="1148"/>
      <c r="U431" s="1148"/>
    </row>
    <row r="432" customFormat="false" ht="15" hidden="false" customHeight="true" outlineLevel="1" collapsed="false">
      <c r="A432" s="232" t="str">
        <f aca="false">'Прайс лист'!B864</f>
        <v>Болты анкерные с гайкой 12,0 х 280</v>
      </c>
      <c r="B432" s="232" t="s">
        <v>159</v>
      </c>
      <c r="C432" s="232" t="n">
        <f aca="false">C407*D407*G405</f>
        <v>139.092651273109</v>
      </c>
      <c r="D432" s="232" t="n">
        <f aca="false">'Прайс лист'!G864</f>
        <v>27.1</v>
      </c>
      <c r="E432" s="232" t="n">
        <f aca="false">C432*D432</f>
        <v>3769.41084950126</v>
      </c>
      <c r="F432" s="1148"/>
      <c r="G432" s="2155" t="s">
        <v>1532</v>
      </c>
      <c r="H432" s="2156"/>
      <c r="I432" s="232" t="s">
        <v>156</v>
      </c>
      <c r="J432" s="232" t="n">
        <f aca="false">C407*D407*H406</f>
        <v>139.092651273109</v>
      </c>
      <c r="K432" s="232" t="n">
        <f aca="false">'Прайс лист'!G1735</f>
        <v>250</v>
      </c>
      <c r="L432" s="232" t="n">
        <f aca="false">J432*K432</f>
        <v>34773.1628182773</v>
      </c>
      <c r="M432" s="1148"/>
      <c r="N432" s="1148"/>
      <c r="O432" s="1148"/>
      <c r="P432" s="1148"/>
      <c r="Q432" s="1148"/>
      <c r="R432" s="1148"/>
      <c r="S432" s="1148"/>
      <c r="T432" s="1148"/>
      <c r="U432" s="1148"/>
    </row>
    <row r="433" customFormat="false" ht="15" hidden="false" customHeight="true" outlineLevel="1" collapsed="false">
      <c r="A433" s="232" t="str">
        <f aca="false">'Ввод данных'!A291</f>
        <v>Доска сырая, 150*50мм</v>
      </c>
      <c r="B433" s="232" t="s">
        <v>135</v>
      </c>
      <c r="C433" s="232" t="n">
        <f aca="false">((C419*8+C415+(((C415/0.6)+3)*C421)*2)+C415*2+(G411/0.6+1)*C422*2+G411*2+(G410-C415)/0.6*3+G410+G410+G411+G411)*G405*VLOOKUP(A433,связи1!A407:E416,5,0)*1.3</f>
        <v>4.68331574864359</v>
      </c>
      <c r="D433" s="232" t="n">
        <f aca="false">VLOOKUP(A433,связи1!A407:E416,2,0)</f>
        <v>6500</v>
      </c>
      <c r="E433" s="232" t="n">
        <f aca="false">C433*D433</f>
        <v>30441.5523661833</v>
      </c>
      <c r="F433" s="1148"/>
      <c r="G433" s="2155" t="s">
        <v>1533</v>
      </c>
      <c r="H433" s="2156"/>
      <c r="I433" s="232" t="s">
        <v>133</v>
      </c>
      <c r="J433" s="232" t="n">
        <f aca="false">C423*H406*IF(A433=связи1!A407,0,1)</f>
        <v>237.835254222269</v>
      </c>
      <c r="K433" s="232" t="n">
        <f aca="false">'Прайс лист'!G1736</f>
        <v>450</v>
      </c>
      <c r="L433" s="232" t="n">
        <f aca="false">J433*K433</f>
        <v>107025.864400021</v>
      </c>
      <c r="M433" s="1148"/>
      <c r="N433" s="1148"/>
      <c r="O433" s="1148"/>
      <c r="P433" s="1148"/>
      <c r="Q433" s="1148"/>
      <c r="R433" s="1148"/>
      <c r="S433" s="1148"/>
      <c r="T433" s="1148"/>
      <c r="U433" s="1148"/>
    </row>
    <row r="434" customFormat="false" ht="15" hidden="false" customHeight="true" outlineLevel="1" collapsed="false">
      <c r="A434" s="232" t="s">
        <v>2723</v>
      </c>
      <c r="B434" s="232" t="s">
        <v>135</v>
      </c>
      <c r="C434" s="232" t="n">
        <f aca="false">(((C415/0.6)+1)*3*2)*VLOOKUP(A433,связи1!A407:E416,5,0)*G405</f>
        <v>0.495</v>
      </c>
      <c r="D434" s="232" t="n">
        <f aca="false">VLOOKUP(A433,связи1!A407:E416,2,0)</f>
        <v>6500</v>
      </c>
      <c r="E434" s="232" t="n">
        <f aca="false">C434*D434</f>
        <v>3217.5</v>
      </c>
      <c r="F434" s="1148"/>
      <c r="G434" s="2155" t="s">
        <v>1534</v>
      </c>
      <c r="H434" s="2156"/>
      <c r="I434" s="232" t="s">
        <v>133</v>
      </c>
      <c r="J434" s="232" t="n">
        <f aca="false">J433*H406*IF(A436=связи1!A432,0,1)</f>
        <v>237.835254222269</v>
      </c>
      <c r="K434" s="232" t="n">
        <f aca="false">'Прайс лист'!G1737</f>
        <v>100</v>
      </c>
      <c r="L434" s="232" t="n">
        <f aca="false">J434*K434</f>
        <v>23783.5254222269</v>
      </c>
      <c r="M434" s="1148"/>
      <c r="N434" s="1148"/>
      <c r="O434" s="1148"/>
      <c r="P434" s="1148"/>
      <c r="Q434" s="1148"/>
      <c r="R434" s="1148"/>
      <c r="S434" s="1148"/>
      <c r="T434" s="1148"/>
      <c r="U434" s="1148"/>
    </row>
    <row r="435" customFormat="false" ht="15" hidden="false" customHeight="true" outlineLevel="1" collapsed="false">
      <c r="A435" s="232" t="s">
        <v>4131</v>
      </c>
      <c r="B435" s="232" t="s">
        <v>135</v>
      </c>
      <c r="C435" s="232" t="n">
        <f aca="false">(((C415/2)+1)*C416)*VLOOKUP(A433,связи1!A407:E416,5,0)*G405</f>
        <v>0.15</v>
      </c>
      <c r="D435" s="232" t="n">
        <f aca="false">VLOOKUP(A433,связи1!A407:E416,2,0)</f>
        <v>6500</v>
      </c>
      <c r="E435" s="232" t="n">
        <f aca="false">C435*D435</f>
        <v>975</v>
      </c>
      <c r="F435" s="1148"/>
      <c r="G435" s="2155" t="s">
        <v>1535</v>
      </c>
      <c r="H435" s="2156"/>
      <c r="I435" s="232" t="s">
        <v>133</v>
      </c>
      <c r="J435" s="232" t="n">
        <f aca="false">J433*H406*IF(A437=связи1!A418,0,1)</f>
        <v>237.835254222269</v>
      </c>
      <c r="K435" s="232" t="n">
        <f aca="false">'Прайс лист'!G1738</f>
        <v>100</v>
      </c>
      <c r="L435" s="232" t="n">
        <f aca="false">J435*K435</f>
        <v>23783.5254222269</v>
      </c>
      <c r="M435" s="1148"/>
      <c r="N435" s="1148"/>
      <c r="O435" s="1148"/>
      <c r="P435" s="1148"/>
      <c r="Q435" s="1148"/>
      <c r="R435" s="1148"/>
      <c r="S435" s="1148"/>
      <c r="T435" s="1148"/>
      <c r="U435" s="1148"/>
    </row>
    <row r="436" customFormat="false" ht="15" hidden="false" customHeight="true" outlineLevel="1" collapsed="false">
      <c r="A436" s="232" t="str">
        <f aca="false">'Ввод данных'!A293</f>
        <v>Сосна влаж,100*25мм</v>
      </c>
      <c r="B436" s="232" t="s">
        <v>135</v>
      </c>
      <c r="C436" s="232" t="n">
        <f aca="false">C423*3*G405*VLOOKUP(A436,связи1!A432:F440,5,0)*1.3</f>
        <v>2.31889372866713</v>
      </c>
      <c r="D436" s="232" t="n">
        <f aca="false">VLOOKUP(A436,связи1!A432:F440,6,0)</f>
        <v>6500</v>
      </c>
      <c r="E436" s="232" t="n">
        <f aca="false">C436*D436</f>
        <v>15072.8092363363</v>
      </c>
      <c r="F436" s="1148"/>
      <c r="G436" s="2155" t="s">
        <v>1536</v>
      </c>
      <c r="H436" s="2156"/>
      <c r="I436" s="232" t="s">
        <v>133</v>
      </c>
      <c r="J436" s="232" t="n">
        <f aca="false">J433*H406*IF(A438='Прайс лист'!B793,0,1)</f>
        <v>237.835254222269</v>
      </c>
      <c r="K436" s="232" t="n">
        <f aca="false">'Прайс лист'!G1739</f>
        <v>100</v>
      </c>
      <c r="L436" s="232" t="n">
        <f aca="false">J436*K436</f>
        <v>23783.5254222269</v>
      </c>
      <c r="M436" s="1148"/>
      <c r="N436" s="1148"/>
      <c r="O436" s="1148"/>
      <c r="P436" s="1148"/>
      <c r="Q436" s="1148"/>
      <c r="R436" s="1148"/>
      <c r="S436" s="1148"/>
      <c r="T436" s="1148"/>
      <c r="U436" s="1148"/>
    </row>
    <row r="437" customFormat="false" ht="15" hidden="false" customHeight="true" outlineLevel="1" collapsed="false">
      <c r="A437" s="232" t="str">
        <f aca="false">'Ввод данных'!A295</f>
        <v>Доска сухая, калибр., 35*45мм</v>
      </c>
      <c r="B437" s="232" t="s">
        <v>135</v>
      </c>
      <c r="C437" s="232" t="n">
        <f aca="false">C423*3*G405*VLOOKUP(A437,связи1!A418:E421,5,0)</f>
        <v>0.87404455926684</v>
      </c>
      <c r="D437" s="232" t="n">
        <f aca="false">VLOOKUP(A437,связи1!A418:D421,2,0)</f>
        <v>12500</v>
      </c>
      <c r="E437" s="232" t="n">
        <f aca="false">C437*D437</f>
        <v>10925.5569908355</v>
      </c>
      <c r="F437" s="1148"/>
      <c r="G437" s="2155" t="s">
        <v>1537</v>
      </c>
      <c r="H437" s="2156"/>
      <c r="I437" s="232" t="s">
        <v>133</v>
      </c>
      <c r="J437" s="232" t="n">
        <f aca="false">J433*H406*IF(A439='Прайс лист'!B820,0,1)</f>
        <v>237.835254222269</v>
      </c>
      <c r="K437" s="232" t="n">
        <f aca="false">'Прайс лист'!G1740</f>
        <v>100</v>
      </c>
      <c r="L437" s="232" t="n">
        <f aca="false">J437*K437</f>
        <v>23783.5254222269</v>
      </c>
      <c r="M437" s="1148"/>
      <c r="N437" s="1148"/>
      <c r="O437" s="1148"/>
      <c r="P437" s="1148"/>
      <c r="Q437" s="1148"/>
      <c r="R437" s="1148"/>
      <c r="S437" s="1148"/>
      <c r="T437" s="1148"/>
      <c r="U437" s="1148"/>
    </row>
    <row r="438" customFormat="false" ht="15" hidden="false" customHeight="true" outlineLevel="1" collapsed="false">
      <c r="A438" s="232" t="str">
        <f aca="false">'Ввод данных'!A304</f>
        <v>Мембраны  Tyvek Housewrap</v>
      </c>
      <c r="B438" s="232" t="s">
        <v>133</v>
      </c>
      <c r="C438" s="232" t="n">
        <f aca="false">C424*G405</f>
        <v>332.969355911177</v>
      </c>
      <c r="D438" s="232" t="n">
        <f aca="false">VLOOKUP(A438,'Прайс лист'!B793:G819,6,0)</f>
        <v>90</v>
      </c>
      <c r="E438" s="232" t="n">
        <f aca="false">C438*D438</f>
        <v>29967.2420320059</v>
      </c>
      <c r="F438" s="1148"/>
      <c r="G438" s="2155" t="s">
        <v>1538</v>
      </c>
      <c r="H438" s="2156"/>
      <c r="I438" s="232" t="s">
        <v>133</v>
      </c>
      <c r="J438" s="232" t="n">
        <f aca="false">C423*H406*IF(A440='Прайс лист'!B744,0,1)</f>
        <v>237.835254222269</v>
      </c>
      <c r="K438" s="232" t="n">
        <f aca="false">'Прайс лист'!G1741</f>
        <v>200</v>
      </c>
      <c r="L438" s="232" t="n">
        <f aca="false">J438*K438</f>
        <v>47567.0508444539</v>
      </c>
      <c r="M438" s="1148"/>
      <c r="N438" s="1148"/>
      <c r="O438" s="1148"/>
      <c r="P438" s="1148"/>
      <c r="Q438" s="1148"/>
      <c r="R438" s="1148"/>
      <c r="S438" s="1148"/>
      <c r="T438" s="1148"/>
      <c r="U438" s="1148"/>
    </row>
    <row r="439" customFormat="false" ht="15" hidden="false" customHeight="true" outlineLevel="1" collapsed="false">
      <c r="A439" s="232" t="str">
        <f aca="false">'Ввод данных'!A306</f>
        <v>Мембрана Tyvek AirGuard Reflective</v>
      </c>
      <c r="B439" s="232" t="s">
        <v>133</v>
      </c>
      <c r="C439" s="232" t="n">
        <f aca="false">C424*D424*G405</f>
        <v>332.969355911177</v>
      </c>
      <c r="D439" s="232" t="n">
        <f aca="false">VLOOKUP(A439,'Прайс лист'!B820:G831,6,0)</f>
        <v>174</v>
      </c>
      <c r="E439" s="232" t="n">
        <f aca="false">C439*D439</f>
        <v>57936.6679285448</v>
      </c>
      <c r="F439" s="1148"/>
      <c r="G439" s="2155" t="str">
        <f aca="false">'Прайс лист'!B1742</f>
        <v>Монтаж металлочерепицы</v>
      </c>
      <c r="H439" s="2156"/>
      <c r="I439" s="232" t="s">
        <v>133</v>
      </c>
      <c r="J439" s="232" t="n">
        <f aca="false">C423*H406</f>
        <v>237.835254222269</v>
      </c>
      <c r="K439" s="232" t="n">
        <f aca="false">'Прайс лист'!G1742</f>
        <v>300</v>
      </c>
      <c r="L439" s="232" t="n">
        <f aca="false">J439*K439</f>
        <v>71350.5762666808</v>
      </c>
      <c r="M439" s="1148"/>
      <c r="N439" s="1148"/>
      <c r="O439" s="1148"/>
      <c r="P439" s="1148"/>
      <c r="Q439" s="1148"/>
      <c r="R439" s="1148"/>
      <c r="S439" s="1148"/>
      <c r="T439" s="1148"/>
      <c r="U439" s="1148"/>
    </row>
    <row r="440" customFormat="false" ht="15" hidden="false" customHeight="true" outlineLevel="1" collapsed="false">
      <c r="A440" s="232" t="str">
        <f aca="false">'Ввод данных'!A299</f>
        <v>Плитный,28кг/м3, технониколь, 50мм</v>
      </c>
      <c r="B440" s="232" t="s">
        <v>135</v>
      </c>
      <c r="C440" s="232" t="n">
        <f aca="false">C423*G405*VLOOKUP(A440,'Прайс лист'!B744:G782,3,0)</f>
        <v>11.8917627111135</v>
      </c>
      <c r="D440" s="232" t="n">
        <f aca="false">VLOOKUP(A440,'Прайс лист'!B744:G782,6,0)</f>
        <v>1700</v>
      </c>
      <c r="E440" s="232" t="n">
        <f aca="false">C440*D440</f>
        <v>20215.9966088929</v>
      </c>
      <c r="F440" s="1148"/>
      <c r="G440" s="2155" t="s">
        <v>4156</v>
      </c>
      <c r="H440" s="2156"/>
      <c r="I440" s="232" t="s">
        <v>156</v>
      </c>
      <c r="J440" s="122" t="n">
        <f aca="false">C448*H406</f>
        <v>0</v>
      </c>
      <c r="K440" s="232" t="n">
        <f aca="false">'Прайс лист'!G1744</f>
        <v>100</v>
      </c>
      <c r="L440" s="232" t="n">
        <f aca="false">J440*K440</f>
        <v>0</v>
      </c>
      <c r="M440" s="1148"/>
      <c r="N440" s="1148"/>
      <c r="O440" s="1148"/>
      <c r="P440" s="1148"/>
      <c r="Q440" s="1148"/>
      <c r="R440" s="1148"/>
      <c r="S440" s="1148"/>
      <c r="T440" s="1148"/>
      <c r="U440" s="1148"/>
    </row>
    <row r="441" customFormat="false" ht="15" hidden="false" customHeight="true" outlineLevel="1" collapsed="false">
      <c r="A441" s="232" t="s">
        <v>2724</v>
      </c>
      <c r="B441" s="232" t="s">
        <v>133</v>
      </c>
      <c r="C441" s="232" t="n">
        <f aca="false">C424*C410*G405</f>
        <v>332.969355911177</v>
      </c>
      <c r="D441" s="232" t="n">
        <f aca="false">'Прайс лист'!G1131</f>
        <v>250</v>
      </c>
      <c r="E441" s="232" t="n">
        <f aca="false">C441*D441</f>
        <v>83242.3389777943</v>
      </c>
      <c r="F441" s="1148"/>
      <c r="G441" s="2155" t="s">
        <v>4149</v>
      </c>
      <c r="H441" s="2156"/>
      <c r="I441" s="232" t="s">
        <v>156</v>
      </c>
      <c r="J441" s="122" t="n">
        <f aca="false">C442*H406</f>
        <v>62</v>
      </c>
      <c r="K441" s="232" t="n">
        <f aca="false">'Прайс лист'!G1745</f>
        <v>100</v>
      </c>
      <c r="L441" s="232" t="n">
        <f aca="false">J441*K441</f>
        <v>6200</v>
      </c>
      <c r="M441" s="1148"/>
      <c r="N441" s="1148"/>
      <c r="O441" s="1148"/>
      <c r="P441" s="1148"/>
      <c r="Q441" s="1148"/>
      <c r="R441" s="1148"/>
      <c r="S441" s="1148"/>
      <c r="T441" s="1148"/>
      <c r="U441" s="1148"/>
    </row>
    <row r="442" customFormat="false" ht="15" hidden="false" customHeight="true" outlineLevel="1" collapsed="false">
      <c r="A442" s="232" t="str">
        <f aca="false">'Прайс лист'!B1132</f>
        <v>Карнизная планка</v>
      </c>
      <c r="B442" s="232" t="s">
        <v>156</v>
      </c>
      <c r="C442" s="232" t="n">
        <f aca="false">(G410+C418+C418+G411+G411)*2*G405*C410</f>
        <v>62</v>
      </c>
      <c r="D442" s="232" t="n">
        <f aca="false">'Прайс лист'!G1132</f>
        <v>200</v>
      </c>
      <c r="E442" s="232" t="n">
        <f aca="false">C442*D442</f>
        <v>12400</v>
      </c>
      <c r="F442" s="1148"/>
      <c r="G442" s="2155" t="s">
        <v>1544</v>
      </c>
      <c r="H442" s="2156"/>
      <c r="I442" s="232" t="s">
        <v>156</v>
      </c>
      <c r="J442" s="122" t="n">
        <f aca="false">C464*H406</f>
        <v>51.6666666666667</v>
      </c>
      <c r="K442" s="232" t="n">
        <f aca="false">'Прайс лист'!G1747</f>
        <v>300</v>
      </c>
      <c r="L442" s="232" t="n">
        <f aca="false">J442*K442</f>
        <v>15500</v>
      </c>
      <c r="M442" s="1148"/>
      <c r="N442" s="1148"/>
      <c r="O442" s="1148"/>
      <c r="P442" s="1148"/>
      <c r="Q442" s="1148"/>
      <c r="R442" s="1148"/>
      <c r="S442" s="1148"/>
      <c r="T442" s="1148"/>
      <c r="U442" s="1148"/>
    </row>
    <row r="443" customFormat="false" ht="15" hidden="false" customHeight="true" outlineLevel="1" collapsed="false">
      <c r="A443" s="232" t="str">
        <f aca="false">'Прайс лист'!B1133</f>
        <v>Торцевая планка</v>
      </c>
      <c r="B443" s="232" t="s">
        <v>156</v>
      </c>
      <c r="C443" s="232" t="n">
        <f aca="false">C420*4*G405*C410</f>
        <v>26.9072480941474</v>
      </c>
      <c r="D443" s="232" t="n">
        <f aca="false">'Прайс лист'!G1133</f>
        <v>200</v>
      </c>
      <c r="E443" s="232" t="n">
        <f aca="false">C443*D443</f>
        <v>5381.44961882948</v>
      </c>
      <c r="F443" s="1148"/>
      <c r="G443" s="2155" t="s">
        <v>1082</v>
      </c>
      <c r="H443" s="2156"/>
      <c r="I443" s="232" t="s">
        <v>156</v>
      </c>
      <c r="J443" s="122" t="n">
        <f aca="false">C466*H406</f>
        <v>62</v>
      </c>
      <c r="K443" s="232" t="n">
        <f aca="false">'Прайс лист'!G1748</f>
        <v>300</v>
      </c>
      <c r="L443" s="232" t="n">
        <f aca="false">J443*K443</f>
        <v>18600</v>
      </c>
      <c r="M443" s="1148"/>
      <c r="N443" s="1148"/>
      <c r="O443" s="1148"/>
      <c r="P443" s="1148"/>
      <c r="Q443" s="1148"/>
      <c r="R443" s="1148"/>
      <c r="S443" s="1148"/>
      <c r="T443" s="1148"/>
      <c r="U443" s="1148"/>
    </row>
    <row r="444" customFormat="false" ht="15" hidden="false" customHeight="true" outlineLevel="1" collapsed="false">
      <c r="A444" s="232" t="str">
        <f aca="false">'Прайс лист'!B1134</f>
        <v>Конек</v>
      </c>
      <c r="B444" s="232" t="s">
        <v>156</v>
      </c>
      <c r="C444" s="232" t="n">
        <f aca="false">C415*G405*C410+C419*4*G405*1.1*C410</f>
        <v>39.7787287881817</v>
      </c>
      <c r="D444" s="232" t="n">
        <f aca="false">'Прайс лист'!G1134</f>
        <v>230</v>
      </c>
      <c r="E444" s="232" t="n">
        <f aca="false">C444*D444</f>
        <v>9149.10762128178</v>
      </c>
      <c r="F444" s="1148"/>
      <c r="G444" s="2155" t="s">
        <v>1541</v>
      </c>
      <c r="H444" s="2156"/>
      <c r="I444" s="232" t="s">
        <v>156</v>
      </c>
      <c r="J444" s="122" t="n">
        <f aca="false">C443*H406</f>
        <v>26.9072480941474</v>
      </c>
      <c r="K444" s="232" t="n">
        <f aca="false">'Прайс лист'!G1749</f>
        <v>300</v>
      </c>
      <c r="L444" s="232" t="n">
        <f aca="false">J444*K444</f>
        <v>8072.17442824423</v>
      </c>
      <c r="M444" s="1148"/>
      <c r="N444" s="1148"/>
      <c r="O444" s="1148"/>
      <c r="P444" s="1148"/>
      <c r="Q444" s="1148"/>
      <c r="R444" s="1148"/>
      <c r="S444" s="1148"/>
      <c r="T444" s="1148"/>
      <c r="U444" s="1148"/>
    </row>
    <row r="445" customFormat="false" ht="15" hidden="false" customHeight="true" outlineLevel="1" collapsed="false">
      <c r="A445" s="232" t="s">
        <v>2725</v>
      </c>
      <c r="B445" s="232" t="s">
        <v>133</v>
      </c>
      <c r="C445" s="232" t="n">
        <f aca="false">C424*C411*G405</f>
        <v>0</v>
      </c>
      <c r="D445" s="232" t="n">
        <f aca="false">'Прайс лист'!G1143</f>
        <v>180</v>
      </c>
      <c r="E445" s="232" t="n">
        <f aca="false">C445*D445</f>
        <v>0</v>
      </c>
      <c r="F445" s="1148"/>
      <c r="G445" s="2155" t="s">
        <v>1546</v>
      </c>
      <c r="H445" s="2156"/>
      <c r="I445" s="232" t="s">
        <v>156</v>
      </c>
      <c r="J445" s="122" t="n">
        <f aca="false">C415*H406</f>
        <v>6</v>
      </c>
      <c r="K445" s="232" t="n">
        <f aca="false">'Прайс лист'!G1750</f>
        <v>300</v>
      </c>
      <c r="L445" s="232" t="n">
        <f aca="false">J445*K445</f>
        <v>1800</v>
      </c>
      <c r="M445" s="1148"/>
      <c r="N445" s="1148"/>
      <c r="O445" s="1148"/>
      <c r="P445" s="1148"/>
      <c r="Q445" s="1148"/>
      <c r="R445" s="1148"/>
      <c r="S445" s="1148"/>
      <c r="T445" s="1148"/>
      <c r="U445" s="1148"/>
    </row>
    <row r="446" customFormat="false" ht="15" hidden="false" customHeight="true" outlineLevel="1" collapsed="false">
      <c r="A446" s="232" t="str">
        <f aca="false">'Прайс лист'!B1144</f>
        <v>Карнизная планка</v>
      </c>
      <c r="B446" s="232" t="str">
        <f aca="false">'Прайс лист'!C1144</f>
        <v>м.п.</v>
      </c>
      <c r="C446" s="232" t="n">
        <f aca="false">(G410+C418+C418+G411+G411)*2*G405*C411</f>
        <v>0</v>
      </c>
      <c r="D446" s="232" t="n">
        <f aca="false">'Прайс лист'!G1144</f>
        <v>190</v>
      </c>
      <c r="E446" s="232" t="n">
        <f aca="false">C446*D446</f>
        <v>0</v>
      </c>
      <c r="F446" s="1148"/>
      <c r="G446" s="2155" t="str">
        <f aca="false">'Прайс лист'!B1743</f>
        <v>Монтаж ондулина</v>
      </c>
      <c r="H446" s="2156"/>
      <c r="I446" s="232" t="s">
        <v>133</v>
      </c>
      <c r="J446" s="122" t="n">
        <f aca="false">C423*C411</f>
        <v>0</v>
      </c>
      <c r="K446" s="232" t="n">
        <f aca="false">'Прайс лист'!G1743</f>
        <v>300</v>
      </c>
      <c r="L446" s="232" t="n">
        <f aca="false">J446*K446</f>
        <v>0</v>
      </c>
      <c r="M446" s="1148"/>
      <c r="N446" s="1148"/>
      <c r="O446" s="1148"/>
      <c r="P446" s="1148"/>
      <c r="Q446" s="1148"/>
      <c r="R446" s="1148"/>
      <c r="S446" s="1148"/>
      <c r="T446" s="1148"/>
      <c r="U446" s="1148"/>
    </row>
    <row r="447" customFormat="false" ht="15" hidden="false" customHeight="true" outlineLevel="1" collapsed="false">
      <c r="A447" s="232" t="str">
        <f aca="false">'Прайс лист'!B1145</f>
        <v>Торцевая планка</v>
      </c>
      <c r="B447" s="232" t="str">
        <f aca="false">'Прайс лист'!C1145</f>
        <v>м.п.</v>
      </c>
      <c r="C447" s="5" t="n">
        <f aca="false">C420*4*G405*C411</f>
        <v>0</v>
      </c>
      <c r="D447" s="232" t="n">
        <f aca="false">'Прайс лист'!G1145</f>
        <v>190</v>
      </c>
      <c r="E447" s="232" t="n">
        <f aca="false">C447*D447</f>
        <v>0</v>
      </c>
      <c r="F447" s="1148"/>
      <c r="G447" s="87" t="str">
        <f aca="false">'Прайс лист'!B1751</f>
        <v>Монтаж фанеры/osb</v>
      </c>
      <c r="H447" s="87"/>
      <c r="I447" s="232" t="s">
        <v>133</v>
      </c>
      <c r="J447" s="122" t="n">
        <f aca="false">C423*H406*IF(A453='Прайс лист'!B1027,0,1)</f>
        <v>0</v>
      </c>
      <c r="K447" s="232" t="n">
        <f aca="false">'Прайс лист'!G1751</f>
        <v>200</v>
      </c>
      <c r="L447" s="232" t="n">
        <f aca="false">J447*K447</f>
        <v>0</v>
      </c>
      <c r="M447" s="1148"/>
      <c r="N447" s="1148"/>
      <c r="O447" s="1148"/>
      <c r="P447" s="1148"/>
      <c r="Q447" s="1148"/>
      <c r="R447" s="1148"/>
      <c r="S447" s="1148"/>
      <c r="T447" s="1148"/>
      <c r="U447" s="1148"/>
    </row>
    <row r="448" customFormat="false" ht="15" hidden="false" customHeight="true" outlineLevel="1" collapsed="false">
      <c r="A448" s="232" t="str">
        <f aca="false">'Прайс лист'!B1146</f>
        <v>Конек</v>
      </c>
      <c r="B448" s="232" t="str">
        <f aca="false">'Прайс лист'!C1146</f>
        <v>м.п.</v>
      </c>
      <c r="C448" s="232" t="n">
        <f aca="false">C415*G405*C411+C419*4*G405*1.1*C411</f>
        <v>0</v>
      </c>
      <c r="D448" s="232" t="n">
        <f aca="false">'Прайс лист'!G1146</f>
        <v>200</v>
      </c>
      <c r="E448" s="232" t="n">
        <f aca="false">C448*D448</f>
        <v>0</v>
      </c>
      <c r="F448" s="1148"/>
      <c r="G448" s="87" t="str">
        <f aca="false">'Прайс лист'!B1752</f>
        <v>монтаж подкладочного ковра</v>
      </c>
      <c r="H448" s="5"/>
      <c r="I448" s="232" t="s">
        <v>133</v>
      </c>
      <c r="J448" s="5" t="n">
        <f aca="false">C456</f>
        <v>0</v>
      </c>
      <c r="K448" s="232" t="n">
        <f aca="false">'Прайс лист'!G1752</f>
        <v>150</v>
      </c>
      <c r="L448" s="232" t="n">
        <f aca="false">J448*K448</f>
        <v>0</v>
      </c>
      <c r="M448" s="1148"/>
      <c r="N448" s="1148"/>
      <c r="O448" s="1148"/>
      <c r="P448" s="1148"/>
      <c r="Q448" s="1148"/>
      <c r="R448" s="1148"/>
      <c r="S448" s="1148"/>
      <c r="T448" s="1148"/>
      <c r="U448" s="1148"/>
    </row>
    <row r="449" customFormat="false" ht="15" hidden="false" customHeight="true" outlineLevel="1" collapsed="false">
      <c r="A449" s="232" t="str">
        <f aca="false">'Прайс лист'!B1147</f>
        <v>Ендова нижняя</v>
      </c>
      <c r="B449" s="232" t="str">
        <f aca="false">'Прайс лист'!C1147</f>
        <v>м.п.</v>
      </c>
      <c r="C449" s="5"/>
      <c r="D449" s="232" t="n">
        <f aca="false">'Прайс лист'!G1147</f>
        <v>160</v>
      </c>
      <c r="E449" s="232" t="n">
        <f aca="false">C449*D449</f>
        <v>0</v>
      </c>
      <c r="F449" s="1148"/>
      <c r="G449" s="87" t="str">
        <f aca="false">'Прайс лист'!B1753</f>
        <v>Монтаж мягкой кровли</v>
      </c>
      <c r="H449" s="5"/>
      <c r="I449" s="232" t="s">
        <v>133</v>
      </c>
      <c r="J449" s="5" t="n">
        <f aca="false">C423*C412</f>
        <v>0</v>
      </c>
      <c r="K449" s="232" t="n">
        <f aca="false">'Прайс лист'!G1753</f>
        <v>350</v>
      </c>
      <c r="L449" s="232" t="n">
        <f aca="false">J449*K449</f>
        <v>0</v>
      </c>
      <c r="M449" s="1148"/>
      <c r="N449" s="1148"/>
      <c r="O449" s="1148"/>
      <c r="P449" s="1148"/>
      <c r="Q449" s="1148"/>
      <c r="R449" s="1148"/>
      <c r="S449" s="1148"/>
      <c r="T449" s="1148"/>
      <c r="U449" s="1148"/>
    </row>
    <row r="450" customFormat="false" ht="15" hidden="false" customHeight="true" outlineLevel="1" collapsed="false">
      <c r="A450" s="232" t="str">
        <f aca="false">'Прайс лист'!B1148</f>
        <v>Ендова верхняя</v>
      </c>
      <c r="B450" s="232" t="str">
        <f aca="false">'Прайс лист'!C1148</f>
        <v>м.п.</v>
      </c>
      <c r="C450" s="5"/>
      <c r="D450" s="232" t="n">
        <f aca="false">'Прайс лист'!G1148</f>
        <v>190</v>
      </c>
      <c r="E450" s="232" t="n">
        <f aca="false">C450*D450</f>
        <v>0</v>
      </c>
      <c r="F450" s="1148"/>
      <c r="M450" s="1148"/>
      <c r="N450" s="1148"/>
      <c r="O450" s="1148"/>
      <c r="P450" s="1148"/>
      <c r="Q450" s="1148"/>
      <c r="R450" s="1148"/>
      <c r="S450" s="1148"/>
      <c r="T450" s="1148"/>
      <c r="U450" s="1148"/>
    </row>
    <row r="451" customFormat="false" ht="15" hidden="false" customHeight="true" outlineLevel="1" collapsed="false">
      <c r="A451" s="232" t="str">
        <f aca="false">'Прайс лист'!B1149</f>
        <v>Планка примыкания</v>
      </c>
      <c r="B451" s="232" t="str">
        <f aca="false">'Прайс лист'!C1149</f>
        <v>м.п.</v>
      </c>
      <c r="C451" s="5"/>
      <c r="D451" s="232" t="n">
        <f aca="false">'Прайс лист'!G1149</f>
        <v>190</v>
      </c>
      <c r="E451" s="232" t="n">
        <f aca="false">C451*D451</f>
        <v>0</v>
      </c>
      <c r="F451" s="1148"/>
      <c r="M451" s="1148"/>
      <c r="N451" s="1148"/>
      <c r="O451" s="1148"/>
      <c r="P451" s="1148"/>
      <c r="Q451" s="1148"/>
      <c r="R451" s="1148"/>
      <c r="S451" s="1148"/>
      <c r="T451" s="1148"/>
      <c r="U451" s="1148"/>
    </row>
    <row r="452" customFormat="false" ht="15" hidden="false" customHeight="true" outlineLevel="1" collapsed="false">
      <c r="A452" s="232" t="str">
        <f aca="false">'Прайс лист'!B1150</f>
        <v>Крепеж для ондулина</v>
      </c>
      <c r="B452" s="232" t="str">
        <f aca="false">'Прайс лист'!C1150</f>
        <v>шт</v>
      </c>
      <c r="C452" s="5" t="n">
        <f aca="false">C423*12*G405*C411</f>
        <v>0</v>
      </c>
      <c r="D452" s="232" t="n">
        <f aca="false">'Прайс лист'!G1150</f>
        <v>4.5</v>
      </c>
      <c r="E452" s="232" t="n">
        <f aca="false">C452*D452</f>
        <v>0</v>
      </c>
      <c r="F452" s="1148"/>
      <c r="G452" s="2155"/>
      <c r="H452" s="2156"/>
      <c r="I452" s="232"/>
      <c r="J452" s="122"/>
      <c r="K452" s="232"/>
      <c r="L452" s="232"/>
      <c r="M452" s="1148"/>
      <c r="N452" s="1148"/>
      <c r="O452" s="1148"/>
      <c r="P452" s="1148"/>
      <c r="Q452" s="1148"/>
      <c r="R452" s="1148"/>
      <c r="S452" s="1148"/>
      <c r="T452" s="1148"/>
      <c r="U452" s="1148"/>
    </row>
    <row r="453" customFormat="false" ht="15" hidden="false" customHeight="true" outlineLevel="1" collapsed="false">
      <c r="A453" s="232" t="str">
        <f aca="false">'Ввод данных'!A297</f>
        <v>нет</v>
      </c>
      <c r="B453" s="232" t="s">
        <v>133</v>
      </c>
      <c r="C453" s="5" t="n">
        <f aca="false">C423*G405*1.15</f>
        <v>273.51054235561</v>
      </c>
      <c r="D453" s="232" t="n">
        <f aca="false">VLOOKUP(A453,'Прайс лист'!B1027:G1078,6,0)</f>
        <v>0</v>
      </c>
      <c r="E453" s="232" t="n">
        <f aca="false">C453*D453</f>
        <v>0</v>
      </c>
      <c r="F453" s="1148"/>
      <c r="G453" s="2155"/>
      <c r="H453" s="2156"/>
      <c r="I453" s="232"/>
      <c r="J453" s="122"/>
      <c r="K453" s="232"/>
      <c r="L453" s="232"/>
      <c r="M453" s="1148"/>
      <c r="N453" s="1148"/>
      <c r="O453" s="1148"/>
      <c r="P453" s="1148"/>
      <c r="Q453" s="1148"/>
      <c r="R453" s="1148"/>
      <c r="S453" s="1148"/>
      <c r="T453" s="1148"/>
      <c r="U453" s="1148"/>
    </row>
    <row r="454" customFormat="false" ht="15" hidden="false" customHeight="true" outlineLevel="1" collapsed="false">
      <c r="A454" s="232" t="str">
        <f aca="false">'Прайс лист'!B1155</f>
        <v>Рядовая черепица</v>
      </c>
      <c r="B454" s="232" t="str">
        <f aca="false">'Прайс лист'!C1155</f>
        <v>м2</v>
      </c>
      <c r="C454" s="5" t="n">
        <f aca="false">C423*C412*G405*1.1-(G410+G410+C418*4+G411+G411)*C412*0.2</f>
        <v>0</v>
      </c>
      <c r="D454" s="232" t="n">
        <f aca="false">'Прайс лист'!G1155</f>
        <v>360</v>
      </c>
      <c r="E454" s="232" t="n">
        <f aca="false">C454*D454</f>
        <v>0</v>
      </c>
      <c r="F454" s="1148"/>
      <c r="G454" s="2155"/>
      <c r="H454" s="2156"/>
      <c r="I454" s="232"/>
      <c r="J454" s="122"/>
      <c r="K454" s="232"/>
      <c r="L454" s="232"/>
      <c r="M454" s="1148"/>
      <c r="N454" s="1148"/>
      <c r="O454" s="1148"/>
      <c r="P454" s="1148"/>
      <c r="Q454" s="1148"/>
      <c r="R454" s="1148"/>
      <c r="S454" s="1148"/>
      <c r="T454" s="1148"/>
      <c r="U454" s="1148"/>
    </row>
    <row r="455" customFormat="false" ht="15" hidden="false" customHeight="true" outlineLevel="1" collapsed="false">
      <c r="A455" s="232" t="str">
        <f aca="false">'Прайс лист'!B1156</f>
        <v>Металл оцинк защита (карниз)</v>
      </c>
      <c r="B455" s="232" t="str">
        <f aca="false">'Прайс лист'!C1156</f>
        <v>м.п.</v>
      </c>
      <c r="C455" s="5" t="n">
        <f aca="false">(G410+G410+C418*4+G411+G411)*C412</f>
        <v>0</v>
      </c>
      <c r="D455" s="232" t="n">
        <f aca="false">'Прайс лист'!G1156</f>
        <v>200</v>
      </c>
      <c r="E455" s="232" t="n">
        <f aca="false">C455*D455</f>
        <v>0</v>
      </c>
      <c r="F455" s="1148"/>
      <c r="G455" s="2155"/>
      <c r="H455" s="2156"/>
      <c r="I455" s="232"/>
      <c r="J455" s="122"/>
      <c r="K455" s="232"/>
      <c r="L455" s="232"/>
      <c r="M455" s="1148"/>
      <c r="N455" s="1148"/>
      <c r="O455" s="1148"/>
      <c r="P455" s="1148"/>
      <c r="Q455" s="1148"/>
      <c r="R455" s="1148"/>
      <c r="S455" s="1148"/>
      <c r="T455" s="1148"/>
      <c r="U455" s="1148"/>
    </row>
    <row r="456" customFormat="false" ht="15" hidden="false" customHeight="true" outlineLevel="1" collapsed="false">
      <c r="A456" s="232" t="str">
        <f aca="false">'Прайс лист'!B1157</f>
        <v>Подкладочный ковер</v>
      </c>
      <c r="B456" s="232" t="str">
        <f aca="false">'Прайс лист'!C1157</f>
        <v>м.п.</v>
      </c>
      <c r="C456" s="5" t="n">
        <f aca="false">C424*C412</f>
        <v>0</v>
      </c>
      <c r="D456" s="232" t="n">
        <f aca="false">'Прайс лист'!G1157</f>
        <v>220</v>
      </c>
      <c r="E456" s="232" t="n">
        <f aca="false">C456*D456</f>
        <v>0</v>
      </c>
      <c r="F456" s="1148"/>
      <c r="G456" s="2155"/>
      <c r="H456" s="2156"/>
      <c r="I456" s="232"/>
      <c r="J456" s="122"/>
      <c r="K456" s="232"/>
      <c r="L456" s="232"/>
      <c r="M456" s="1148"/>
      <c r="N456" s="1148"/>
      <c r="O456" s="1148"/>
      <c r="P456" s="1148"/>
      <c r="Q456" s="1148"/>
      <c r="R456" s="1148"/>
      <c r="S456" s="1148"/>
      <c r="T456" s="1148"/>
      <c r="U456" s="1148"/>
    </row>
    <row r="457" customFormat="false" ht="15" hidden="false" customHeight="true" outlineLevel="1" collapsed="false">
      <c r="A457" s="232" t="str">
        <f aca="false">'Прайс лист'!B1158</f>
        <v>Карнизная самоклеющаяся черепица</v>
      </c>
      <c r="B457" s="232" t="str">
        <f aca="false">'Прайс лист'!C1158</f>
        <v>м.п.</v>
      </c>
      <c r="C457" s="5" t="n">
        <f aca="false">(G410+G410+C418*4+G411+G411)*C412</f>
        <v>0</v>
      </c>
      <c r="D457" s="232" t="n">
        <f aca="false">'Прайс лист'!G1158</f>
        <v>220</v>
      </c>
      <c r="E457" s="232" t="n">
        <f aca="false">C457*D457</f>
        <v>0</v>
      </c>
      <c r="F457" s="1148"/>
      <c r="G457" s="2155"/>
      <c r="H457" s="2156"/>
      <c r="I457" s="232"/>
      <c r="J457" s="122"/>
      <c r="K457" s="232"/>
      <c r="L457" s="232"/>
      <c r="M457" s="1148"/>
      <c r="N457" s="1148"/>
      <c r="O457" s="1148"/>
      <c r="P457" s="1148"/>
      <c r="Q457" s="1148"/>
      <c r="R457" s="1148"/>
      <c r="S457" s="1148"/>
      <c r="T457" s="1148"/>
      <c r="U457" s="1148"/>
    </row>
    <row r="458" customFormat="false" ht="15" hidden="false" customHeight="true" outlineLevel="1" collapsed="false">
      <c r="A458" s="232" t="str">
        <f aca="false">'Прайс лист'!B1159</f>
        <v>Спец ковер ендова нижняя</v>
      </c>
      <c r="B458" s="232" t="str">
        <f aca="false">'Прайс лист'!C1159</f>
        <v>м.п.</v>
      </c>
      <c r="C458" s="5"/>
      <c r="D458" s="232" t="n">
        <f aca="false">'Прайс лист'!G1159</f>
        <v>200</v>
      </c>
      <c r="E458" s="232" t="n">
        <f aca="false">C458*D458</f>
        <v>0</v>
      </c>
      <c r="F458" s="1148"/>
      <c r="G458" s="2155"/>
      <c r="H458" s="2156"/>
      <c r="I458" s="232"/>
      <c r="J458" s="122"/>
      <c r="K458" s="232"/>
      <c r="L458" s="232"/>
      <c r="M458" s="1148"/>
      <c r="N458" s="1148"/>
      <c r="O458" s="1148"/>
      <c r="P458" s="1148"/>
      <c r="Q458" s="1148"/>
      <c r="R458" s="1148"/>
      <c r="S458" s="1148"/>
      <c r="T458" s="1148"/>
      <c r="U458" s="1148"/>
    </row>
    <row r="459" customFormat="false" ht="15" hidden="false" customHeight="true" outlineLevel="1" collapsed="false">
      <c r="A459" s="232" t="str">
        <f aca="false">'Прайс лист'!B1160</f>
        <v>Коньковой элемент</v>
      </c>
      <c r="B459" s="232" t="str">
        <f aca="false">'Прайс лист'!C1160</f>
        <v>м.п.</v>
      </c>
      <c r="C459" s="5" t="n">
        <f aca="false">C415*G405*C412+C419*4*G405*1.1*C412</f>
        <v>0</v>
      </c>
      <c r="D459" s="232" t="n">
        <f aca="false">'Прайс лист'!G1160</f>
        <v>250</v>
      </c>
      <c r="E459" s="232" t="n">
        <f aca="false">C459*D459</f>
        <v>0</v>
      </c>
      <c r="F459" s="1148"/>
      <c r="G459" s="2155"/>
      <c r="H459" s="2156"/>
      <c r="I459" s="232"/>
      <c r="J459" s="122"/>
      <c r="K459" s="232"/>
      <c r="L459" s="232"/>
      <c r="M459" s="1148"/>
      <c r="N459" s="1148"/>
      <c r="O459" s="1148"/>
      <c r="P459" s="1148"/>
      <c r="Q459" s="1148"/>
      <c r="R459" s="1148"/>
      <c r="S459" s="1148"/>
      <c r="T459" s="1148"/>
      <c r="U459" s="1148"/>
    </row>
    <row r="460" customFormat="false" ht="15" hidden="false" customHeight="true" outlineLevel="1" collapsed="false">
      <c r="A460" s="232" t="str">
        <f aca="false">'Прайс лист'!B1161</f>
        <v>Планка премыкания</v>
      </c>
      <c r="B460" s="232" t="str">
        <f aca="false">'Прайс лист'!C1161</f>
        <v>м.п.</v>
      </c>
      <c r="C460" s="5"/>
      <c r="D460" s="232" t="n">
        <f aca="false">'Прайс лист'!G1161</f>
        <v>200</v>
      </c>
      <c r="E460" s="232" t="n">
        <f aca="false">C460*D460</f>
        <v>0</v>
      </c>
      <c r="F460" s="1148"/>
      <c r="G460" s="2155"/>
      <c r="H460" s="2156"/>
      <c r="I460" s="232"/>
      <c r="J460" s="122"/>
      <c r="K460" s="232"/>
      <c r="L460" s="232"/>
      <c r="M460" s="1148"/>
      <c r="N460" s="1148"/>
      <c r="O460" s="1148"/>
      <c r="P460" s="1148"/>
      <c r="Q460" s="1148"/>
      <c r="R460" s="1148"/>
      <c r="S460" s="1148"/>
      <c r="T460" s="1148"/>
      <c r="U460" s="1148"/>
    </row>
    <row r="461" customFormat="false" ht="15" hidden="false" customHeight="true" outlineLevel="1" collapsed="false">
      <c r="A461" s="232" t="str">
        <f aca="false">'Прайс лист'!B1162</f>
        <v>Гвозди для крепления подкладочного ковра</v>
      </c>
      <c r="B461" s="232" t="str">
        <f aca="false">'Прайс лист'!C1162</f>
        <v>шт</v>
      </c>
      <c r="C461" s="5" t="n">
        <f aca="false">C456*12</f>
        <v>0</v>
      </c>
      <c r="D461" s="232" t="n">
        <f aca="false">'Прайс лист'!G1162</f>
        <v>0.012</v>
      </c>
      <c r="E461" s="232" t="n">
        <f aca="false">C461*D461</f>
        <v>0</v>
      </c>
      <c r="F461" s="1148"/>
      <c r="G461" s="2155"/>
      <c r="H461" s="2156"/>
      <c r="I461" s="232"/>
      <c r="J461" s="122"/>
      <c r="K461" s="232"/>
      <c r="L461" s="232"/>
      <c r="M461" s="1148"/>
      <c r="N461" s="1148"/>
      <c r="O461" s="1148"/>
      <c r="P461" s="1148"/>
      <c r="Q461" s="1148"/>
      <c r="R461" s="1148"/>
      <c r="S461" s="1148"/>
      <c r="T461" s="1148"/>
      <c r="U461" s="1148"/>
    </row>
    <row r="462" customFormat="false" ht="15" hidden="false" customHeight="true" outlineLevel="1" collapsed="false">
      <c r="A462" s="232" t="str">
        <f aca="false">'Прайс лист'!B1163</f>
        <v>Гвозди для крепления черепицы</v>
      </c>
      <c r="B462" s="232" t="str">
        <f aca="false">'Прайс лист'!C1163</f>
        <v>шт</v>
      </c>
      <c r="C462" s="5" t="n">
        <f aca="false">C424*C412*20</f>
        <v>0</v>
      </c>
      <c r="D462" s="232" t="n">
        <f aca="false">'Прайс лист'!G1163</f>
        <v>0.25</v>
      </c>
      <c r="E462" s="232" t="n">
        <f aca="false">C462*D462</f>
        <v>0</v>
      </c>
      <c r="F462" s="1148"/>
      <c r="G462" s="2155"/>
      <c r="H462" s="2156"/>
      <c r="I462" s="232"/>
      <c r="J462" s="122"/>
      <c r="K462" s="232"/>
      <c r="L462" s="232"/>
      <c r="M462" s="1148"/>
      <c r="N462" s="1148"/>
      <c r="O462" s="1148"/>
      <c r="P462" s="1148"/>
      <c r="Q462" s="1148"/>
      <c r="R462" s="1148"/>
      <c r="S462" s="1148"/>
      <c r="T462" s="1148"/>
      <c r="U462" s="1148"/>
    </row>
    <row r="463" customFormat="false" ht="15" hidden="false" customHeight="true" outlineLevel="1" collapsed="false">
      <c r="A463" s="232" t="str">
        <f aca="false">'Прайс лист'!B1164</f>
        <v>Клей для монтажа черепицы</v>
      </c>
      <c r="B463" s="232" t="str">
        <f aca="false">'Прайс лист'!C1164</f>
        <v>кг</v>
      </c>
      <c r="C463" s="5" t="n">
        <f aca="false">C424*C412</f>
        <v>0</v>
      </c>
      <c r="D463" s="232" t="n">
        <f aca="false">'Прайс лист'!G1164</f>
        <v>250</v>
      </c>
      <c r="E463" s="232" t="n">
        <f aca="false">C463*D463</f>
        <v>0</v>
      </c>
      <c r="F463" s="1148"/>
      <c r="G463" s="2155"/>
      <c r="H463" s="2156"/>
      <c r="I463" s="232"/>
      <c r="J463" s="122"/>
      <c r="K463" s="232"/>
      <c r="L463" s="232"/>
      <c r="M463" s="1148"/>
      <c r="N463" s="1148"/>
      <c r="O463" s="1148"/>
      <c r="P463" s="1148"/>
      <c r="Q463" s="1148"/>
      <c r="R463" s="1148"/>
      <c r="S463" s="1148"/>
      <c r="T463" s="1148"/>
      <c r="U463" s="1148"/>
    </row>
    <row r="464" customFormat="false" ht="15" hidden="false" customHeight="true" outlineLevel="1" collapsed="false">
      <c r="A464" s="232" t="str">
        <f aca="false">'Прайс лист'!B1169</f>
        <v>желоб</v>
      </c>
      <c r="B464" s="232" t="s">
        <v>1415</v>
      </c>
      <c r="C464" s="232" t="n">
        <f aca="false">C442/1.2*G405</f>
        <v>51.6666666666667</v>
      </c>
      <c r="D464" s="232" t="n">
        <f aca="false">'Прайс лист'!G1169</f>
        <v>300</v>
      </c>
      <c r="E464" s="232" t="n">
        <f aca="false">C464*D464</f>
        <v>15500</v>
      </c>
      <c r="F464" s="1148"/>
      <c r="G464" s="2155"/>
      <c r="H464" s="2156"/>
      <c r="I464" s="232"/>
      <c r="J464" s="122"/>
      <c r="K464" s="232"/>
      <c r="L464" s="232"/>
      <c r="M464" s="1148"/>
      <c r="N464" s="1148"/>
      <c r="O464" s="1148"/>
      <c r="P464" s="1148"/>
      <c r="Q464" s="1148"/>
      <c r="R464" s="1148"/>
      <c r="S464" s="1148"/>
      <c r="T464" s="1148"/>
      <c r="U464" s="1148"/>
    </row>
    <row r="465" customFormat="false" ht="15" hidden="false" customHeight="true" outlineLevel="1" collapsed="false">
      <c r="A465" s="232" t="str">
        <f aca="false">'Прайс лист'!B1170</f>
        <v>отвод</v>
      </c>
      <c r="B465" s="232" t="s">
        <v>159</v>
      </c>
      <c r="C465" s="232" t="n">
        <v>4</v>
      </c>
      <c r="D465" s="232" t="n">
        <f aca="false">'Прайс лист'!G1170</f>
        <v>250</v>
      </c>
      <c r="E465" s="232" t="n">
        <f aca="false">C465*D465</f>
        <v>1000</v>
      </c>
      <c r="F465" s="1148"/>
      <c r="G465" s="2157"/>
      <c r="H465" s="2158"/>
      <c r="I465" s="232"/>
      <c r="J465" s="122"/>
      <c r="K465" s="232"/>
      <c r="L465" s="232"/>
      <c r="M465" s="1148"/>
      <c r="N465" s="1148"/>
      <c r="O465" s="1148"/>
      <c r="P465" s="1148"/>
      <c r="Q465" s="1148"/>
      <c r="R465" s="1148"/>
      <c r="S465" s="1148"/>
      <c r="T465" s="1148"/>
      <c r="U465" s="1148"/>
    </row>
    <row r="466" customFormat="false" ht="15" hidden="false" customHeight="true" outlineLevel="1" collapsed="false">
      <c r="A466" s="232" t="str">
        <f aca="false">'Прайс лист'!B1171</f>
        <v>труба водосточная</v>
      </c>
      <c r="B466" s="232" t="s">
        <v>156</v>
      </c>
      <c r="C466" s="232" t="n">
        <f aca="false">C442*G405</f>
        <v>62</v>
      </c>
      <c r="D466" s="232" t="n">
        <f aca="false">'Прайс лист'!G1171</f>
        <v>300</v>
      </c>
      <c r="E466" s="232" t="n">
        <f aca="false">C466*D466</f>
        <v>18600</v>
      </c>
      <c r="F466" s="1148"/>
      <c r="G466" s="2157"/>
      <c r="H466" s="2158"/>
      <c r="I466" s="232"/>
      <c r="J466" s="122"/>
      <c r="K466" s="232"/>
      <c r="L466" s="232"/>
      <c r="M466" s="1148"/>
      <c r="N466" s="1148"/>
      <c r="O466" s="1148"/>
      <c r="P466" s="1148"/>
      <c r="Q466" s="1148"/>
      <c r="R466" s="1148"/>
      <c r="S466" s="1148"/>
      <c r="T466" s="1148"/>
      <c r="U466" s="1148"/>
    </row>
    <row r="467" customFormat="false" ht="15" hidden="false" customHeight="true" outlineLevel="1" collapsed="false">
      <c r="A467" s="232" t="str">
        <f aca="false">'Прайс лист'!B1172</f>
        <v>заглушка для желоба</v>
      </c>
      <c r="B467" s="232" t="s">
        <v>159</v>
      </c>
      <c r="C467" s="232" t="n">
        <v>4</v>
      </c>
      <c r="D467" s="232" t="n">
        <f aca="false">'Прайс лист'!G1172</f>
        <v>190</v>
      </c>
      <c r="E467" s="232" t="n">
        <f aca="false">C467*D467</f>
        <v>760</v>
      </c>
      <c r="F467" s="1148"/>
      <c r="G467" s="2157"/>
      <c r="H467" s="2158"/>
      <c r="I467" s="232"/>
      <c r="J467" s="122"/>
      <c r="K467" s="232"/>
      <c r="L467" s="232"/>
      <c r="M467" s="1148"/>
      <c r="N467" s="1148"/>
      <c r="O467" s="1148"/>
      <c r="P467" s="1148"/>
      <c r="Q467" s="1148"/>
      <c r="R467" s="1148"/>
      <c r="S467" s="1148"/>
      <c r="T467" s="1148"/>
      <c r="U467" s="1148"/>
    </row>
    <row r="468" customFormat="false" ht="15" hidden="false" customHeight="true" outlineLevel="1" collapsed="false">
      <c r="A468" s="232" t="str">
        <f aca="false">'Прайс лист'!B1173</f>
        <v>соеденитель для желоба</v>
      </c>
      <c r="B468" s="232" t="s">
        <v>159</v>
      </c>
      <c r="C468" s="232" t="n">
        <f aca="false">((C464/3)+1)*G405</f>
        <v>18.2222222222222</v>
      </c>
      <c r="D468" s="232" t="n">
        <f aca="false">'Прайс лист'!G1173</f>
        <v>180</v>
      </c>
      <c r="E468" s="232" t="n">
        <f aca="false">C468*D468</f>
        <v>3280</v>
      </c>
      <c r="F468" s="1148"/>
      <c r="G468" s="2157"/>
      <c r="H468" s="2158"/>
      <c r="I468" s="122"/>
      <c r="J468" s="122"/>
      <c r="K468" s="232"/>
      <c r="L468" s="232"/>
      <c r="M468" s="1148"/>
      <c r="N468" s="1148"/>
      <c r="O468" s="1148"/>
      <c r="P468" s="1148"/>
      <c r="Q468" s="1148"/>
      <c r="R468" s="1148"/>
      <c r="S468" s="1148"/>
      <c r="T468" s="1148"/>
      <c r="U468" s="1148"/>
    </row>
    <row r="469" customFormat="false" ht="15" hidden="false" customHeight="true" outlineLevel="1" collapsed="false">
      <c r="A469" s="232" t="str">
        <f aca="false">'Прайс лист'!B1174</f>
        <v>кронштейн для желоба</v>
      </c>
      <c r="B469" s="232" t="s">
        <v>159</v>
      </c>
      <c r="C469" s="232" t="n">
        <f aca="false">C464/0.4*G405</f>
        <v>129.166666666667</v>
      </c>
      <c r="D469" s="232" t="n">
        <f aca="false">'Прайс лист'!G1174</f>
        <v>130</v>
      </c>
      <c r="E469" s="232" t="n">
        <f aca="false">C469*D469</f>
        <v>16791.6666666667</v>
      </c>
      <c r="F469" s="1148"/>
      <c r="G469" s="2157"/>
      <c r="H469" s="2158"/>
      <c r="I469" s="232"/>
      <c r="J469" s="232"/>
      <c r="K469" s="232"/>
      <c r="L469" s="232"/>
      <c r="M469" s="1148"/>
      <c r="N469" s="1148"/>
      <c r="O469" s="1148"/>
      <c r="P469" s="1148"/>
      <c r="Q469" s="1148"/>
      <c r="R469" s="1148"/>
      <c r="S469" s="1148"/>
      <c r="T469" s="1148"/>
      <c r="U469" s="1148"/>
    </row>
    <row r="470" customFormat="false" ht="15" hidden="false" customHeight="true" outlineLevel="1" collapsed="false">
      <c r="A470" s="232" t="str">
        <f aca="false">'Прайс лист'!B1175</f>
        <v>переход из желоба в трубу</v>
      </c>
      <c r="B470" s="232" t="s">
        <v>159</v>
      </c>
      <c r="C470" s="232" t="n">
        <v>4</v>
      </c>
      <c r="D470" s="232" t="n">
        <f aca="false">'Прайс лист'!G1175</f>
        <v>350</v>
      </c>
      <c r="E470" s="232" t="n">
        <f aca="false">C470*D470</f>
        <v>1400</v>
      </c>
      <c r="F470" s="1148"/>
      <c r="G470" s="2157"/>
      <c r="H470" s="2158"/>
      <c r="I470" s="232"/>
      <c r="J470" s="232"/>
      <c r="K470" s="232"/>
      <c r="L470" s="232"/>
      <c r="M470" s="1148"/>
      <c r="N470" s="1148"/>
      <c r="O470" s="1148"/>
      <c r="P470" s="1148"/>
      <c r="Q470" s="1148"/>
      <c r="R470" s="1148"/>
      <c r="S470" s="1148"/>
      <c r="T470" s="1148"/>
      <c r="U470" s="1148"/>
    </row>
    <row r="471" customFormat="false" ht="15" hidden="false" customHeight="true" outlineLevel="1" collapsed="false">
      <c r="A471" s="232" t="str">
        <f aca="false">'Прайс лист'!B1176</f>
        <v>лента дельта мульти бэнд</v>
      </c>
      <c r="B471" s="232" t="s">
        <v>159</v>
      </c>
      <c r="C471" s="232" t="n">
        <v>1</v>
      </c>
      <c r="D471" s="232" t="n">
        <f aca="false">'Прайс лист'!G1176</f>
        <v>1200</v>
      </c>
      <c r="E471" s="232" t="n">
        <f aca="false">C471*D471</f>
        <v>1200</v>
      </c>
      <c r="F471" s="1148"/>
      <c r="G471" s="2157"/>
      <c r="H471" s="2158"/>
      <c r="I471" s="232"/>
      <c r="J471" s="232"/>
      <c r="K471" s="232"/>
      <c r="L471" s="232"/>
      <c r="M471" s="1148"/>
      <c r="N471" s="1148"/>
      <c r="O471" s="1148"/>
      <c r="P471" s="1148"/>
      <c r="Q471" s="1148"/>
      <c r="R471" s="1148"/>
      <c r="S471" s="1148"/>
      <c r="T471" s="1148"/>
      <c r="U471" s="1148"/>
    </row>
    <row r="472" customFormat="false" ht="15" hidden="false" customHeight="true" outlineLevel="1" collapsed="false">
      <c r="A472" s="232" t="str">
        <f aca="false">'Прайс лист'!B1177</f>
        <v>лента дельта sb-60</v>
      </c>
      <c r="B472" s="232" t="s">
        <v>159</v>
      </c>
      <c r="C472" s="232" t="n">
        <f aca="false">C423/15*G405</f>
        <v>15.855683614818</v>
      </c>
      <c r="D472" s="232" t="n">
        <f aca="false">'Прайс лист'!G1177</f>
        <v>1100</v>
      </c>
      <c r="E472" s="232" t="n">
        <f aca="false">C472*D472</f>
        <v>17441.2519762998</v>
      </c>
      <c r="F472" s="1148"/>
      <c r="G472" s="2157"/>
      <c r="H472" s="2158"/>
      <c r="I472" s="232"/>
      <c r="J472" s="232"/>
      <c r="K472" s="232"/>
      <c r="L472" s="232"/>
      <c r="M472" s="1148"/>
      <c r="N472" s="1148"/>
      <c r="O472" s="1148"/>
      <c r="P472" s="1148"/>
      <c r="Q472" s="1148"/>
      <c r="R472" s="1148"/>
      <c r="S472" s="1148"/>
      <c r="T472" s="1148"/>
      <c r="U472" s="1148"/>
    </row>
    <row r="473" customFormat="false" ht="15" hidden="false" customHeight="true" outlineLevel="1" collapsed="false">
      <c r="A473" s="232" t="str">
        <f aca="false">'Прайс лист'!B1178</f>
        <v>проходка кровельная, канализационная</v>
      </c>
      <c r="B473" s="260" t="s">
        <v>159</v>
      </c>
      <c r="C473" s="232" t="n">
        <f aca="false">C427</f>
        <v>0</v>
      </c>
      <c r="D473" s="232" t="n">
        <f aca="false">'Прайс лист'!G1178</f>
        <v>3500</v>
      </c>
      <c r="E473" s="232" t="n">
        <f aca="false">C473*D473</f>
        <v>0</v>
      </c>
      <c r="F473" s="1148"/>
      <c r="G473" s="2157"/>
      <c r="H473" s="2158"/>
      <c r="I473" s="232"/>
      <c r="J473" s="232"/>
      <c r="K473" s="232"/>
      <c r="L473" s="232"/>
      <c r="M473" s="1148"/>
      <c r="N473" s="1148"/>
      <c r="O473" s="1148"/>
      <c r="P473" s="1148"/>
      <c r="Q473" s="1148"/>
      <c r="R473" s="1148"/>
      <c r="S473" s="1148"/>
      <c r="T473" s="1148"/>
      <c r="U473" s="1148"/>
    </row>
    <row r="474" customFormat="false" ht="15" hidden="false" customHeight="true" outlineLevel="1" collapsed="false">
      <c r="A474" s="232" t="str">
        <f aca="false">'Прайс лист'!B1179</f>
        <v>проходка кровельная, вентиляционная</v>
      </c>
      <c r="B474" s="260" t="s">
        <v>159</v>
      </c>
      <c r="C474" s="232" t="n">
        <f aca="false">C428</f>
        <v>0</v>
      </c>
      <c r="D474" s="232" t="n">
        <f aca="false">'Прайс лист'!G1179</f>
        <v>3500</v>
      </c>
      <c r="E474" s="232" t="n">
        <f aca="false">C474*D474</f>
        <v>0</v>
      </c>
      <c r="F474" s="1148"/>
      <c r="G474" s="2157"/>
      <c r="H474" s="2158"/>
      <c r="I474" s="232"/>
      <c r="J474" s="232"/>
      <c r="K474" s="232"/>
      <c r="L474" s="232"/>
      <c r="M474" s="1148"/>
      <c r="N474" s="1148"/>
      <c r="O474" s="1148"/>
      <c r="P474" s="1148"/>
      <c r="Q474" s="1148"/>
      <c r="R474" s="1148"/>
      <c r="S474" s="1148"/>
      <c r="T474" s="1148"/>
      <c r="U474" s="1148"/>
    </row>
    <row r="475" customFormat="false" ht="15" hidden="false" customHeight="true" outlineLevel="1" collapsed="false">
      <c r="A475" s="232" t="str">
        <f aca="false">'Прайс лист'!B1180</f>
        <v>проодка кровельная, труба котел</v>
      </c>
      <c r="B475" s="260" t="s">
        <v>159</v>
      </c>
      <c r="C475" s="232" t="n">
        <f aca="false">C429</f>
        <v>0</v>
      </c>
      <c r="D475" s="232" t="n">
        <f aca="false">'Прайс лист'!G1180</f>
        <v>4500</v>
      </c>
      <c r="E475" s="232" t="n">
        <f aca="false">C475*D475</f>
        <v>0</v>
      </c>
      <c r="F475" s="1148"/>
      <c r="G475" s="2157"/>
      <c r="H475" s="2158"/>
      <c r="I475" s="232"/>
      <c r="J475" s="232"/>
      <c r="K475" s="232"/>
      <c r="L475" s="232"/>
      <c r="M475" s="1148"/>
      <c r="N475" s="1148"/>
      <c r="O475" s="1148"/>
      <c r="P475" s="1148"/>
      <c r="Q475" s="1148"/>
      <c r="R475" s="1148"/>
      <c r="S475" s="1148"/>
      <c r="T475" s="1148"/>
      <c r="U475" s="1148"/>
    </row>
    <row r="476" customFormat="false" ht="15" hidden="false" customHeight="true" outlineLevel="1" collapsed="false">
      <c r="A476" s="232" t="str">
        <f aca="false">'Прайс лист'!B1138</f>
        <v>Кровельный саморез</v>
      </c>
      <c r="B476" s="232" t="s">
        <v>159</v>
      </c>
      <c r="C476" s="232" t="n">
        <f aca="false">C423*12*G405*C410</f>
        <v>2854.02305066723</v>
      </c>
      <c r="D476" s="232" t="n">
        <f aca="false">'Прайс лист'!G1138</f>
        <v>2</v>
      </c>
      <c r="E476" s="232" t="n">
        <f aca="false">C476*D476</f>
        <v>5708.04610133447</v>
      </c>
      <c r="F476" s="1148"/>
      <c r="G476" s="2157"/>
      <c r="H476" s="2158"/>
      <c r="I476" s="232"/>
      <c r="J476" s="232"/>
      <c r="K476" s="232"/>
      <c r="L476" s="232"/>
      <c r="M476" s="1148"/>
      <c r="N476" s="1148"/>
      <c r="O476" s="1148"/>
      <c r="P476" s="1148"/>
      <c r="Q476" s="1148"/>
      <c r="R476" s="1148"/>
      <c r="S476" s="1148"/>
      <c r="T476" s="1148"/>
      <c r="U476" s="1148"/>
    </row>
    <row r="477" customFormat="false" ht="15" hidden="false" customHeight="true" outlineLevel="1" collapsed="false">
      <c r="A477" s="232" t="str">
        <f aca="false">'Прайс лист'!B897</f>
        <v>Гвозди ершоные 3,4 x 60</v>
      </c>
      <c r="B477" s="232" t="s">
        <v>188</v>
      </c>
      <c r="C477" s="232" t="n">
        <f aca="false">C436*10*G405</f>
        <v>23.1889372866713</v>
      </c>
      <c r="D477" s="232" t="n">
        <f aca="false">'Прайс лист'!G897</f>
        <v>75.51</v>
      </c>
      <c r="E477" s="232" t="n">
        <f aca="false">C477*D477</f>
        <v>1750.99665451655</v>
      </c>
      <c r="F477" s="1148"/>
      <c r="G477" s="2157"/>
      <c r="H477" s="2158"/>
      <c r="I477" s="232"/>
      <c r="J477" s="232"/>
      <c r="K477" s="232"/>
      <c r="L477" s="232"/>
      <c r="M477" s="1148"/>
      <c r="N477" s="1148"/>
      <c r="O477" s="1148"/>
      <c r="P477" s="1148"/>
      <c r="Q477" s="1148"/>
      <c r="R477" s="1148"/>
      <c r="S477" s="1148"/>
      <c r="T477" s="1148"/>
      <c r="U477" s="1148"/>
    </row>
    <row r="478" customFormat="false" ht="15" hidden="false" customHeight="true" outlineLevel="1" collapsed="false">
      <c r="A478" s="232" t="str">
        <f aca="false">'Прайс лист'!B898</f>
        <v>Гвозди ершоные 2,8 х 90</v>
      </c>
      <c r="B478" s="232" t="s">
        <v>188</v>
      </c>
      <c r="C478" s="232" t="n">
        <f aca="false">(C433+C434+C435)*6*G405</f>
        <v>31.9698944918615</v>
      </c>
      <c r="D478" s="232" t="n">
        <f aca="false">'Прайс лист'!G898</f>
        <v>76.49</v>
      </c>
      <c r="E478" s="232" t="n">
        <f aca="false">C478*D478</f>
        <v>2445.37722968249</v>
      </c>
      <c r="F478" s="1148"/>
      <c r="G478" s="2157"/>
      <c r="H478" s="2158"/>
      <c r="I478" s="232"/>
      <c r="J478" s="232"/>
      <c r="K478" s="232"/>
      <c r="L478" s="232"/>
      <c r="M478" s="1148"/>
      <c r="N478" s="1148"/>
      <c r="O478" s="1148"/>
      <c r="P478" s="1148"/>
      <c r="Q478" s="1148"/>
      <c r="R478" s="1148"/>
      <c r="S478" s="1148"/>
      <c r="T478" s="1148"/>
      <c r="U478" s="1148"/>
    </row>
    <row r="479" customFormat="false" ht="15" hidden="false" customHeight="true" outlineLevel="1" collapsed="false">
      <c r="A479" s="232" t="str">
        <f aca="false">'Прайс лист'!B846</f>
        <v>Пластина соеденительная 100х240х2</v>
      </c>
      <c r="B479" s="232" t="s">
        <v>159</v>
      </c>
      <c r="C479" s="232" t="n">
        <f aca="false">C423/7*G405</f>
        <v>33.9764648888956</v>
      </c>
      <c r="D479" s="232" t="n">
        <f aca="false">'Прайс лист'!G846</f>
        <v>31.54</v>
      </c>
      <c r="E479" s="232" t="n">
        <f aca="false">C479*D479</f>
        <v>1071.61770259577</v>
      </c>
      <c r="F479" s="1148"/>
      <c r="G479" s="2157"/>
      <c r="H479" s="2158"/>
      <c r="I479" s="232"/>
      <c r="J479" s="232"/>
      <c r="K479" s="232"/>
      <c r="L479" s="232"/>
      <c r="M479" s="1148"/>
      <c r="N479" s="1148"/>
      <c r="O479" s="1148"/>
      <c r="P479" s="1148"/>
      <c r="Q479" s="1148"/>
      <c r="R479" s="1148"/>
      <c r="S479" s="1148"/>
      <c r="T479" s="1148"/>
      <c r="U479" s="1148"/>
    </row>
    <row r="480" customFormat="false" ht="15" hidden="false" customHeight="true" outlineLevel="1" collapsed="false">
      <c r="A480" s="232" t="str">
        <f aca="false">'Прайс лист'!B838</f>
        <v>Уголок усиленный 90х70х55х2,5</v>
      </c>
      <c r="B480" s="232" t="s">
        <v>159</v>
      </c>
      <c r="C480" s="232" t="n">
        <f aca="false">C423*2*G405</f>
        <v>475.670508444539</v>
      </c>
      <c r="D480" s="232" t="n">
        <f aca="false">'Прайс лист'!G838</f>
        <v>30</v>
      </c>
      <c r="E480" s="232" t="n">
        <f aca="false">C480*D480</f>
        <v>14270.1152533362</v>
      </c>
      <c r="F480" s="1148"/>
      <c r="G480" s="2157"/>
      <c r="H480" s="2158"/>
      <c r="I480" s="232"/>
      <c r="J480" s="232"/>
      <c r="K480" s="232"/>
      <c r="L480" s="232"/>
      <c r="M480" s="1148"/>
      <c r="N480" s="1148"/>
      <c r="O480" s="1148"/>
      <c r="P480" s="1148"/>
      <c r="Q480" s="1148"/>
      <c r="R480" s="1148"/>
      <c r="S480" s="1148"/>
      <c r="T480" s="1148"/>
      <c r="U480" s="1148"/>
    </row>
    <row r="481" customFormat="false" ht="15" hidden="false" customHeight="true" outlineLevel="1" collapsed="false">
      <c r="A481" s="232" t="str">
        <f aca="false">'Ввод данных'!A308</f>
        <v>Манипулятор 5т</v>
      </c>
      <c r="B481" s="232" t="str">
        <f aca="false">'Ввод данных'!B308</f>
        <v>ед.</v>
      </c>
      <c r="C481" s="232" t="n">
        <f aca="false">'Ввод данных'!C308</f>
        <v>4</v>
      </c>
      <c r="D481" s="232" t="n">
        <f aca="false">VLOOKUP(A481,'Прайс лист'!B180:G194,6,0)</f>
        <v>2500</v>
      </c>
      <c r="E481" s="232" t="n">
        <f aca="false">C481*D481</f>
        <v>10000</v>
      </c>
      <c r="F481" s="1148"/>
      <c r="G481" s="2157"/>
      <c r="H481" s="2158"/>
      <c r="I481" s="232"/>
      <c r="J481" s="232"/>
      <c r="K481" s="232"/>
      <c r="L481" s="232"/>
      <c r="M481" s="1148"/>
      <c r="N481" s="1148"/>
      <c r="O481" s="1148"/>
      <c r="P481" s="1148"/>
      <c r="Q481" s="1148"/>
      <c r="R481" s="1148"/>
      <c r="S481" s="1148"/>
      <c r="T481" s="1148"/>
      <c r="U481" s="1148"/>
    </row>
    <row r="482" customFormat="false" ht="15" hidden="false" customHeight="true" outlineLevel="1" collapsed="false">
      <c r="A482" s="232" t="str">
        <f aca="false">'Ввод данных'!A309</f>
        <v>Нет техники</v>
      </c>
      <c r="B482" s="232" t="str">
        <f aca="false">'Ввод данных'!B309</f>
        <v>ед.</v>
      </c>
      <c r="C482" s="232" t="n">
        <f aca="false">'Ввод данных'!C309</f>
        <v>0</v>
      </c>
      <c r="D482" s="5" t="n">
        <f aca="false">VLOOKUP(A482,'Прайс лист'!B180:G194,6,0)</f>
        <v>0</v>
      </c>
      <c r="E482" s="232" t="n">
        <f aca="false">C482*D482</f>
        <v>0</v>
      </c>
      <c r="F482" s="1148"/>
      <c r="G482" s="2157"/>
      <c r="H482" s="2158"/>
      <c r="I482" s="232"/>
      <c r="J482" s="232"/>
      <c r="K482" s="232"/>
      <c r="L482" s="232"/>
      <c r="M482" s="1148"/>
      <c r="N482" s="1148"/>
      <c r="O482" s="1148"/>
      <c r="P482" s="1148"/>
      <c r="Q482" s="1148"/>
      <c r="R482" s="1148"/>
      <c r="S482" s="1148"/>
      <c r="T482" s="1148"/>
      <c r="U482" s="1148"/>
    </row>
    <row r="483" customFormat="false" ht="15" hidden="false" customHeight="true" outlineLevel="1" collapsed="false">
      <c r="A483" s="232" t="str">
        <f aca="false">'Ввод данных'!A311</f>
        <v>расходные материалы полувальмовая кровля</v>
      </c>
      <c r="B483" s="232" t="str">
        <f aca="false">'Ввод данных'!B311</f>
        <v>рублей</v>
      </c>
      <c r="C483" s="232" t="n">
        <f aca="false">1</f>
        <v>1</v>
      </c>
      <c r="D483" s="232" t="n">
        <f aca="false">'Ввод данных'!C311</f>
        <v>10000</v>
      </c>
      <c r="E483" s="232" t="n">
        <f aca="false">C483*D483</f>
        <v>10000</v>
      </c>
      <c r="F483" s="1148"/>
      <c r="G483" s="2184"/>
      <c r="H483" s="2184"/>
      <c r="I483" s="2116"/>
      <c r="J483" s="2116"/>
      <c r="K483" s="2116"/>
      <c r="L483" s="232"/>
      <c r="M483" s="1148"/>
      <c r="N483" s="1148"/>
      <c r="O483" s="1148"/>
      <c r="P483" s="1148"/>
      <c r="Q483" s="1148"/>
      <c r="R483" s="1148"/>
      <c r="S483" s="1148"/>
      <c r="T483" s="1148"/>
      <c r="U483" s="1148"/>
    </row>
    <row r="484" customFormat="false" ht="15" hidden="false" customHeight="true" outlineLevel="1" collapsed="false">
      <c r="A484" s="1148"/>
      <c r="B484" s="1148"/>
      <c r="C484" s="1148"/>
      <c r="D484" s="1148"/>
      <c r="E484" s="2159" t="n">
        <f aca="false">SUM(E431:E483)</f>
        <v>403913.703814637</v>
      </c>
      <c r="F484" s="1148"/>
      <c r="G484" s="1148"/>
      <c r="H484" s="1148"/>
      <c r="I484" s="1148"/>
      <c r="J484" s="1148"/>
      <c r="K484" s="1148"/>
      <c r="L484" s="232" t="n">
        <f aca="false">SUM(L433:L482)</f>
        <v>371249.767628308</v>
      </c>
      <c r="M484" s="1148"/>
      <c r="N484" s="1148"/>
      <c r="O484" s="1148"/>
      <c r="P484" s="1148"/>
      <c r="Q484" s="1148"/>
      <c r="R484" s="1148"/>
      <c r="S484" s="1148"/>
      <c r="T484" s="1148"/>
      <c r="U484" s="1148"/>
    </row>
    <row r="485" customFormat="false" ht="15" hidden="false" customHeight="true" outlineLevel="1" collapsed="false">
      <c r="A485" s="232" t="s">
        <v>2726</v>
      </c>
      <c r="B485" s="2159" t="n">
        <f aca="false">E484</f>
        <v>403913.703814637</v>
      </c>
      <c r="C485" s="1148"/>
      <c r="D485" s="1148"/>
      <c r="E485" s="1148"/>
      <c r="F485" s="1148"/>
      <c r="G485" s="1148"/>
      <c r="H485" s="1148"/>
      <c r="I485" s="1148"/>
      <c r="J485" s="1148"/>
      <c r="K485" s="1148"/>
      <c r="L485" s="1148"/>
      <c r="M485" s="1148"/>
      <c r="N485" s="1148"/>
      <c r="O485" s="1148"/>
      <c r="P485" s="1148"/>
      <c r="Q485" s="1148"/>
      <c r="R485" s="1148"/>
      <c r="S485" s="1148"/>
      <c r="T485" s="1148"/>
      <c r="U485" s="1148"/>
    </row>
    <row r="486" customFormat="false" ht="15" hidden="false" customHeight="true" outlineLevel="1" collapsed="false">
      <c r="A486" s="232" t="s">
        <v>2727</v>
      </c>
      <c r="B486" s="2159" t="n">
        <f aca="false">L484</f>
        <v>371249.767628308</v>
      </c>
      <c r="C486" s="1148"/>
      <c r="D486" s="1148"/>
      <c r="E486" s="1148"/>
      <c r="F486" s="1148"/>
      <c r="G486" s="1148"/>
      <c r="H486" s="1148"/>
      <c r="I486" s="1148"/>
      <c r="J486" s="1148"/>
      <c r="K486" s="1148"/>
      <c r="L486" s="1148"/>
      <c r="M486" s="1148"/>
      <c r="N486" s="1148"/>
      <c r="O486" s="1148"/>
      <c r="P486" s="1148"/>
      <c r="Q486" s="1148"/>
      <c r="R486" s="1148"/>
      <c r="S486" s="1148"/>
      <c r="T486" s="1148"/>
      <c r="U486" s="1148"/>
    </row>
    <row r="487" customFormat="false" ht="15" hidden="false" customHeight="true" outlineLevel="1" collapsed="false">
      <c r="A487" s="260" t="s">
        <v>2728</v>
      </c>
      <c r="B487" s="2515" t="n">
        <f aca="false">(SUM(B485:B486))</f>
        <v>775163.471442945</v>
      </c>
      <c r="C487" s="1148"/>
      <c r="D487" s="1148"/>
      <c r="E487" s="1148"/>
      <c r="F487" s="1148"/>
      <c r="G487" s="1148"/>
      <c r="H487" s="1148"/>
      <c r="I487" s="1148"/>
      <c r="J487" s="1148"/>
      <c r="K487" s="1148"/>
      <c r="L487" s="1148"/>
      <c r="M487" s="1148"/>
      <c r="N487" s="1148"/>
      <c r="O487" s="1148"/>
      <c r="P487" s="1148"/>
      <c r="Q487" s="1148"/>
      <c r="R487" s="1148"/>
      <c r="S487" s="1148"/>
      <c r="T487" s="1148"/>
      <c r="U487" s="1148"/>
    </row>
    <row r="488" customFormat="false" ht="15" hidden="false" customHeight="true" outlineLevel="0" collapsed="false">
      <c r="A488" s="905" t="s">
        <v>4151</v>
      </c>
      <c r="B488" s="2466"/>
      <c r="C488" s="2511"/>
      <c r="D488" s="2511"/>
      <c r="E488" s="2511"/>
      <c r="F488" s="2511"/>
      <c r="G488" s="2149"/>
      <c r="H488" s="1148"/>
      <c r="I488" s="1148"/>
      <c r="J488" s="1148"/>
      <c r="K488" s="1149"/>
      <c r="L488" s="1148"/>
      <c r="M488" s="1148"/>
      <c r="N488" s="1148"/>
      <c r="O488" s="1148"/>
      <c r="P488" s="1148"/>
      <c r="Q488" s="1148"/>
      <c r="R488" s="1148"/>
      <c r="S488" s="1148"/>
      <c r="T488" s="1148"/>
      <c r="U488" s="1148"/>
    </row>
    <row r="489" customFormat="false" ht="15" hidden="false" customHeight="true" outlineLevel="0" collapsed="false">
      <c r="A489" s="2160"/>
      <c r="B489" s="1148"/>
      <c r="C489" s="2149"/>
      <c r="D489" s="2149"/>
      <c r="E489" s="1148"/>
      <c r="F489" s="2149"/>
      <c r="G489" s="2149"/>
      <c r="H489" s="1148"/>
      <c r="I489" s="1148"/>
      <c r="J489" s="1148"/>
      <c r="K489" s="1149"/>
      <c r="L489" s="1148"/>
      <c r="M489" s="1148"/>
      <c r="N489" s="1148"/>
      <c r="O489" s="1148"/>
      <c r="P489" s="1148"/>
      <c r="Q489" s="1148"/>
      <c r="R489" s="1148"/>
      <c r="S489" s="1148"/>
      <c r="T489" s="1148"/>
      <c r="U489" s="1148"/>
    </row>
    <row r="490" customFormat="false" ht="15" hidden="false" customHeight="true" outlineLevel="1" collapsed="false">
      <c r="A490" s="1094" t="s">
        <v>4157</v>
      </c>
      <c r="B490" s="1094"/>
      <c r="C490" s="1094"/>
      <c r="D490" s="1094"/>
      <c r="E490" s="1094"/>
      <c r="F490" s="1094"/>
      <c r="G490" s="1094"/>
      <c r="H490" s="1094"/>
      <c r="I490" s="1094"/>
      <c r="J490" s="1094"/>
      <c r="K490" s="1094"/>
      <c r="L490" s="1094"/>
      <c r="M490" s="1148"/>
      <c r="N490" s="1148"/>
      <c r="O490" s="1148"/>
      <c r="P490" s="1148"/>
      <c r="Q490" s="1148"/>
      <c r="R490" s="1148"/>
      <c r="S490" s="1148"/>
      <c r="T490" s="1148"/>
      <c r="U490" s="1148"/>
    </row>
    <row r="491" customFormat="false" ht="15" hidden="false" customHeight="true" outlineLevel="1" collapsed="false">
      <c r="A491" s="1094"/>
      <c r="B491" s="1094"/>
      <c r="C491" s="1094"/>
      <c r="D491" s="1094"/>
      <c r="E491" s="1094"/>
      <c r="F491" s="1094"/>
      <c r="G491" s="1094"/>
      <c r="H491" s="1094"/>
      <c r="I491" s="1094"/>
      <c r="J491" s="1094"/>
      <c r="K491" s="1094"/>
      <c r="L491" s="1094"/>
      <c r="M491" s="1148"/>
      <c r="N491" s="1148"/>
      <c r="O491" s="1148"/>
      <c r="P491" s="1148"/>
      <c r="Q491" s="1148"/>
      <c r="R491" s="1148"/>
      <c r="S491" s="1148"/>
      <c r="T491" s="1148"/>
      <c r="U491" s="1148"/>
    </row>
    <row r="492" customFormat="false" ht="15" hidden="false" customHeight="true" outlineLevel="1" collapsed="false">
      <c r="A492" s="1096" t="s">
        <v>1806</v>
      </c>
      <c r="B492" s="1096"/>
      <c r="C492" s="1096"/>
      <c r="D492" s="1096"/>
      <c r="E492" s="1096"/>
      <c r="F492" s="1096"/>
      <c r="G492" s="2537" t="n">
        <f aca="false">'Ввод данных'!E316</f>
        <v>1</v>
      </c>
      <c r="H492" s="1097"/>
      <c r="I492" s="1097"/>
      <c r="J492" s="1097"/>
      <c r="K492" s="1097"/>
      <c r="L492" s="1097"/>
      <c r="M492" s="1148"/>
      <c r="N492" s="1148"/>
      <c r="O492" s="1148"/>
      <c r="P492" s="1148"/>
      <c r="Q492" s="1148"/>
      <c r="R492" s="1148"/>
      <c r="S492" s="1148"/>
      <c r="T492" s="1148"/>
      <c r="U492" s="1148"/>
    </row>
    <row r="493" customFormat="false" ht="15" hidden="false" customHeight="true" outlineLevel="1" collapsed="false">
      <c r="A493" s="1096"/>
      <c r="B493" s="1096"/>
      <c r="C493" s="1096"/>
      <c r="D493" s="1096"/>
      <c r="E493" s="1096"/>
      <c r="F493" s="1096"/>
      <c r="G493" s="2517"/>
      <c r="H493" s="1097" t="n">
        <f aca="false">'Ввод данных'!E317</f>
        <v>1</v>
      </c>
      <c r="I493" s="1097"/>
      <c r="J493" s="1097"/>
      <c r="K493" s="1097"/>
      <c r="L493" s="1097"/>
      <c r="M493" s="1148"/>
      <c r="N493" s="1148"/>
      <c r="O493" s="1148"/>
      <c r="P493" s="1148"/>
      <c r="Q493" s="1148"/>
      <c r="R493" s="1148"/>
      <c r="S493" s="1148"/>
      <c r="T493" s="1148"/>
      <c r="U493" s="1148"/>
    </row>
    <row r="494" customFormat="false" ht="15" hidden="false" customHeight="true" outlineLevel="1" collapsed="false">
      <c r="A494" s="265" t="s">
        <v>3831</v>
      </c>
      <c r="B494" s="1124" t="s">
        <v>159</v>
      </c>
      <c r="C494" s="2538" t="n">
        <f aca="false">IF('Ввод данных'!A320=связи1!A6,1,0)</f>
        <v>1</v>
      </c>
      <c r="D494" s="2510"/>
      <c r="E494" s="2511"/>
      <c r="F494" s="2511"/>
      <c r="G494" s="2116"/>
      <c r="H494" s="2116"/>
      <c r="I494" s="2124"/>
      <c r="J494" s="2116"/>
      <c r="K494" s="2165"/>
      <c r="L494" s="2116"/>
      <c r="M494" s="1148"/>
      <c r="N494" s="1148"/>
      <c r="O494" s="1148"/>
      <c r="P494" s="1148"/>
      <c r="Q494" s="1148"/>
      <c r="R494" s="1148"/>
      <c r="S494" s="1148"/>
      <c r="T494" s="1148"/>
      <c r="U494" s="1148"/>
    </row>
    <row r="495" customFormat="false" ht="15" hidden="false" customHeight="true" outlineLevel="1" collapsed="false">
      <c r="A495" s="2512" t="s">
        <v>3832</v>
      </c>
      <c r="B495" s="232" t="s">
        <v>159</v>
      </c>
      <c r="C495" s="2538" t="n">
        <f aca="false">IF('Ввод данных'!A320=связи1!A7,1,0)</f>
        <v>0</v>
      </c>
      <c r="D495" s="2510"/>
      <c r="E495" s="2511"/>
      <c r="F495" s="2511"/>
      <c r="G495" s="2116"/>
      <c r="H495" s="2116"/>
      <c r="I495" s="2124"/>
      <c r="J495" s="2116"/>
      <c r="K495" s="2165"/>
      <c r="L495" s="2116"/>
      <c r="M495" s="1148"/>
      <c r="N495" s="1148"/>
      <c r="O495" s="1148"/>
      <c r="P495" s="1148"/>
      <c r="Q495" s="1148"/>
      <c r="R495" s="1148"/>
      <c r="S495" s="1148"/>
      <c r="T495" s="1148"/>
      <c r="U495" s="1148"/>
    </row>
    <row r="496" customFormat="false" ht="15" hidden="false" customHeight="true" outlineLevel="1" collapsed="false">
      <c r="A496" s="2512" t="s">
        <v>3833</v>
      </c>
      <c r="B496" s="232" t="s">
        <v>159</v>
      </c>
      <c r="C496" s="2538" t="n">
        <f aca="false">IF('Ввод данных'!A320=связи1!A8,1,0)</f>
        <v>0</v>
      </c>
      <c r="D496" s="2510"/>
      <c r="E496" s="2511"/>
      <c r="F496" s="2511"/>
      <c r="G496" s="2116"/>
      <c r="H496" s="2116"/>
      <c r="I496" s="2124"/>
      <c r="J496" s="2116"/>
      <c r="K496" s="2165"/>
      <c r="L496" s="2116"/>
      <c r="M496" s="1148"/>
      <c r="N496" s="1148"/>
      <c r="O496" s="1148"/>
      <c r="P496" s="1148"/>
      <c r="Q496" s="1148"/>
      <c r="R496" s="1148"/>
      <c r="S496" s="1148"/>
      <c r="T496" s="1148"/>
      <c r="U496" s="1148"/>
    </row>
    <row r="497" customFormat="false" ht="15" hidden="false" customHeight="true" outlineLevel="1" collapsed="false">
      <c r="A497" s="232" t="s">
        <v>2623</v>
      </c>
      <c r="B497" s="232" t="s">
        <v>133</v>
      </c>
      <c r="C497" s="2539" t="n">
        <f aca="false">дома!J1215+дома!K1215</f>
        <v>20.0341166289984</v>
      </c>
      <c r="D497" s="2511"/>
      <c r="E497" s="2511"/>
      <c r="F497" s="2511"/>
      <c r="G497" s="2116"/>
      <c r="H497" s="2116"/>
      <c r="I497" s="2124"/>
      <c r="J497" s="2116"/>
      <c r="K497" s="2165"/>
      <c r="L497" s="2116"/>
      <c r="M497" s="1148"/>
      <c r="N497" s="1148"/>
      <c r="O497" s="1148"/>
      <c r="P497" s="1148"/>
      <c r="Q497" s="1148"/>
      <c r="R497" s="1148"/>
      <c r="S497" s="1148"/>
      <c r="T497" s="1148"/>
      <c r="U497" s="1148"/>
    </row>
    <row r="498" customFormat="false" ht="15" hidden="false" customHeight="true" outlineLevel="1" collapsed="false">
      <c r="A498" s="232" t="s">
        <v>1546</v>
      </c>
      <c r="B498" s="232" t="s">
        <v>156</v>
      </c>
      <c r="C498" s="2539" t="n">
        <f aca="false">дома!J1216+дома!K1216</f>
        <v>4.8</v>
      </c>
      <c r="D498" s="2511"/>
      <c r="E498" s="2511"/>
      <c r="F498" s="2511"/>
      <c r="G498" s="2116"/>
      <c r="H498" s="2116"/>
      <c r="I498" s="2124"/>
      <c r="J498" s="2116"/>
      <c r="K498" s="2165"/>
      <c r="L498" s="2116"/>
      <c r="M498" s="1148"/>
      <c r="N498" s="1148"/>
      <c r="O498" s="1148"/>
      <c r="P498" s="1148"/>
      <c r="Q498" s="1148"/>
      <c r="R498" s="1148"/>
      <c r="S498" s="1148"/>
      <c r="T498" s="1148"/>
      <c r="U498" s="1148"/>
    </row>
    <row r="499" customFormat="false" ht="15" hidden="false" customHeight="true" outlineLevel="1" collapsed="false">
      <c r="A499" s="232" t="s">
        <v>3502</v>
      </c>
      <c r="B499" s="232" t="s">
        <v>156</v>
      </c>
      <c r="C499" s="2539" t="n">
        <f aca="false">дома!J1213+дома!K1213</f>
        <v>5.27213595499958</v>
      </c>
      <c r="D499" s="2511"/>
      <c r="E499" s="2511"/>
      <c r="F499" s="2511"/>
      <c r="G499" s="2116"/>
      <c r="H499" s="2116"/>
      <c r="I499" s="2124"/>
      <c r="J499" s="2116"/>
      <c r="K499" s="2165"/>
      <c r="L499" s="2116"/>
      <c r="M499" s="1148"/>
      <c r="N499" s="1148"/>
      <c r="O499" s="1148"/>
      <c r="P499" s="1148"/>
      <c r="Q499" s="1148"/>
      <c r="R499" s="1148"/>
      <c r="S499" s="1148"/>
      <c r="T499" s="1148"/>
      <c r="U499" s="1148"/>
    </row>
    <row r="500" customFormat="false" ht="15" hidden="false" customHeight="true" outlineLevel="1" collapsed="false">
      <c r="A500" s="232" t="s">
        <v>1972</v>
      </c>
      <c r="B500" s="232" t="s">
        <v>156</v>
      </c>
      <c r="C500" s="2540" t="n">
        <f aca="false">'Ввод данных'!C327</f>
        <v>0.4</v>
      </c>
      <c r="D500" s="2511"/>
      <c r="E500" s="2511"/>
      <c r="F500" s="2511"/>
      <c r="G500" s="2116"/>
      <c r="H500" s="2116"/>
      <c r="I500" s="2124"/>
      <c r="J500" s="2116"/>
      <c r="K500" s="2165"/>
      <c r="L500" s="2116"/>
      <c r="M500" s="1148"/>
      <c r="N500" s="1148"/>
      <c r="O500" s="1148"/>
      <c r="P500" s="1148"/>
      <c r="Q500" s="1148"/>
      <c r="R500" s="1148"/>
      <c r="S500" s="1148"/>
      <c r="T500" s="1148"/>
      <c r="U500" s="1148"/>
    </row>
    <row r="501" customFormat="false" ht="15" hidden="false" customHeight="true" outlineLevel="1" collapsed="false">
      <c r="A501" s="260" t="s">
        <v>1975</v>
      </c>
      <c r="B501" s="260" t="s">
        <v>156</v>
      </c>
      <c r="C501" s="2540" t="n">
        <f aca="false">'Ввод данных'!C328</f>
        <v>0.4</v>
      </c>
      <c r="D501" s="2511"/>
      <c r="E501" s="2511"/>
      <c r="F501" s="2511"/>
      <c r="G501" s="2116"/>
      <c r="H501" s="2116"/>
      <c r="I501" s="2124"/>
      <c r="J501" s="2116"/>
      <c r="K501" s="2165"/>
      <c r="L501" s="2116"/>
      <c r="M501" s="1148"/>
      <c r="N501" s="1148"/>
      <c r="O501" s="1148"/>
      <c r="P501" s="1148"/>
      <c r="Q501" s="1148"/>
      <c r="R501" s="1148"/>
      <c r="S501" s="1148"/>
      <c r="T501" s="1148"/>
      <c r="U501" s="1148"/>
    </row>
    <row r="502" customFormat="false" ht="15" hidden="false" customHeight="true" outlineLevel="1" collapsed="false">
      <c r="A502" s="232" t="s">
        <v>4158</v>
      </c>
      <c r="B502" s="232" t="s">
        <v>156</v>
      </c>
      <c r="C502" s="2540"/>
      <c r="D502" s="2511"/>
      <c r="E502" s="2511"/>
      <c r="F502" s="2511"/>
      <c r="G502" s="2116"/>
      <c r="H502" s="2116"/>
      <c r="I502" s="2124"/>
      <c r="J502" s="2116"/>
      <c r="K502" s="2165"/>
      <c r="L502" s="2116"/>
      <c r="M502" s="1148"/>
      <c r="N502" s="1148"/>
      <c r="O502" s="1148"/>
      <c r="P502" s="1148"/>
      <c r="Q502" s="1148"/>
      <c r="R502" s="1148"/>
      <c r="S502" s="1148"/>
      <c r="T502" s="1148"/>
      <c r="U502" s="1148"/>
    </row>
    <row r="503" customFormat="false" ht="15" hidden="false" customHeight="true" outlineLevel="1" collapsed="false">
      <c r="A503" s="260" t="s">
        <v>4159</v>
      </c>
      <c r="B503" s="260" t="s">
        <v>156</v>
      </c>
      <c r="C503" s="2540" t="n">
        <f aca="false">(дома!C1216*дома!C1206+дома!D1216*дома!D1206)*(1-дома!B1)+дома!E1216*дома!C1206+дома!F1216*дома!D1206</f>
        <v>17.7040275424933</v>
      </c>
      <c r="D503" s="2511"/>
      <c r="E503" s="2511"/>
      <c r="F503" s="2511"/>
      <c r="G503" s="2116"/>
      <c r="H503" s="2116"/>
      <c r="I503" s="2124"/>
      <c r="J503" s="2116"/>
      <c r="K503" s="2165"/>
      <c r="L503" s="2116"/>
      <c r="M503" s="1148"/>
      <c r="N503" s="1148"/>
      <c r="O503" s="1148"/>
      <c r="P503" s="1148"/>
      <c r="Q503" s="1148"/>
      <c r="R503" s="1148"/>
      <c r="S503" s="1148"/>
      <c r="T503" s="1148"/>
      <c r="U503" s="1148"/>
    </row>
    <row r="504" customFormat="false" ht="15" hidden="false" customHeight="true" outlineLevel="1" collapsed="false">
      <c r="A504" s="2162" t="s">
        <v>1089</v>
      </c>
      <c r="B504" s="260" t="s">
        <v>159</v>
      </c>
      <c r="C504" s="2540" t="n">
        <v>0</v>
      </c>
      <c r="D504" s="2511"/>
      <c r="E504" s="2511"/>
      <c r="F504" s="2511"/>
      <c r="G504" s="2116"/>
      <c r="H504" s="2116"/>
      <c r="I504" s="2124"/>
      <c r="J504" s="2116"/>
      <c r="K504" s="2165"/>
      <c r="L504" s="2116"/>
      <c r="M504" s="1148"/>
      <c r="N504" s="1148"/>
      <c r="O504" s="1148"/>
      <c r="P504" s="1148"/>
      <c r="Q504" s="1148"/>
      <c r="R504" s="1148"/>
      <c r="S504" s="1148"/>
      <c r="T504" s="1148"/>
      <c r="U504" s="1148"/>
    </row>
    <row r="505" customFormat="false" ht="15" hidden="false" customHeight="true" outlineLevel="1" collapsed="false">
      <c r="A505" s="2162" t="s">
        <v>1090</v>
      </c>
      <c r="B505" s="260" t="s">
        <v>159</v>
      </c>
      <c r="C505" s="2540" t="n">
        <v>0</v>
      </c>
      <c r="D505" s="2511"/>
      <c r="E505" s="2511"/>
      <c r="F505" s="2511"/>
      <c r="G505" s="2116"/>
      <c r="H505" s="2116"/>
      <c r="I505" s="2124"/>
      <c r="J505" s="2116"/>
      <c r="K505" s="2165"/>
      <c r="L505" s="2116"/>
      <c r="M505" s="1148"/>
      <c r="N505" s="1148"/>
      <c r="O505" s="1148"/>
      <c r="P505" s="1148"/>
      <c r="Q505" s="1148"/>
      <c r="R505" s="1148"/>
      <c r="S505" s="1148"/>
      <c r="T505" s="1148"/>
      <c r="U505" s="1148"/>
    </row>
    <row r="506" customFormat="false" ht="15" hidden="false" customHeight="true" outlineLevel="1" collapsed="false">
      <c r="A506" s="2162" t="s">
        <v>1091</v>
      </c>
      <c r="B506" s="260" t="s">
        <v>159</v>
      </c>
      <c r="C506" s="2540" t="n">
        <v>0</v>
      </c>
      <c r="D506" s="2511"/>
      <c r="E506" s="2511"/>
      <c r="F506" s="2511"/>
      <c r="G506" s="2116"/>
      <c r="H506" s="2116"/>
      <c r="I506" s="2124"/>
      <c r="J506" s="2116"/>
      <c r="K506" s="2165"/>
      <c r="L506" s="2116"/>
      <c r="M506" s="1148"/>
      <c r="N506" s="1148"/>
      <c r="O506" s="1148"/>
      <c r="P506" s="1148"/>
      <c r="Q506" s="1148"/>
      <c r="R506" s="1148"/>
      <c r="S506" s="1148"/>
      <c r="T506" s="1148"/>
      <c r="U506" s="1148"/>
    </row>
    <row r="507" customFormat="false" ht="15" hidden="false" customHeight="true" outlineLevel="1" collapsed="false">
      <c r="A507" s="2163" t="s">
        <v>2720</v>
      </c>
      <c r="B507" s="2163" t="s">
        <v>1094</v>
      </c>
      <c r="C507" s="2163" t="s">
        <v>1802</v>
      </c>
      <c r="D507" s="2163" t="s">
        <v>2721</v>
      </c>
      <c r="E507" s="2163" t="s">
        <v>2722</v>
      </c>
      <c r="F507" s="1148"/>
      <c r="G507" s="2189" t="s">
        <v>1409</v>
      </c>
      <c r="H507" s="2189"/>
      <c r="I507" s="2163" t="s">
        <v>1094</v>
      </c>
      <c r="J507" s="2163" t="s">
        <v>1802</v>
      </c>
      <c r="K507" s="2513" t="s">
        <v>1601</v>
      </c>
      <c r="L507" s="2163" t="s">
        <v>2722</v>
      </c>
      <c r="M507" s="1148"/>
      <c r="N507" s="1148"/>
      <c r="O507" s="1148"/>
      <c r="P507" s="1148"/>
      <c r="Q507" s="1148"/>
      <c r="R507" s="1148"/>
      <c r="S507" s="1148"/>
      <c r="T507" s="1148"/>
      <c r="U507" s="1148"/>
    </row>
    <row r="508" customFormat="false" ht="15" hidden="false" customHeight="true" outlineLevel="1" collapsed="false">
      <c r="A508" s="232" t="str">
        <f aca="false">'Ввод данных'!A335</f>
        <v>Доска сухая, 200*50мм</v>
      </c>
      <c r="B508" s="232" t="s">
        <v>135</v>
      </c>
      <c r="C508" s="232" t="n">
        <f aca="false">((C498/0.6)+1)*C499*2*VLOOKUP(A508,связи1!A407:E416,5,0)*(C494+C495)+(C498*3+C499*2)*(C494+C495)*VLOOKUP(A508,связи1!A407:E416,5,0)*1.1*G492</f>
        <v>1.22337146290992</v>
      </c>
      <c r="D508" s="232" t="n">
        <f aca="false">VLOOKUP(A508,связи1!A407:E416,2,0)</f>
        <v>9000</v>
      </c>
      <c r="E508" s="232" t="n">
        <f aca="false">C508*D508</f>
        <v>11010.3431661892</v>
      </c>
      <c r="F508" s="1148"/>
      <c r="G508" s="87" t="str">
        <f aca="false">'Прайс лист'!B1736</f>
        <v>монтаж стропил</v>
      </c>
      <c r="H508" s="87"/>
      <c r="I508" s="232" t="s">
        <v>133</v>
      </c>
      <c r="J508" s="232" t="n">
        <f aca="false">C497*(C494+C495+C496)*H493*IF(A508=связи1!A407,0,1)</f>
        <v>20.0341166289984</v>
      </c>
      <c r="K508" s="2164" t="n">
        <f aca="false">'Прайс лист'!G1736</f>
        <v>450</v>
      </c>
      <c r="L508" s="232" t="n">
        <f aca="false">J508*K508</f>
        <v>9015.35248304928</v>
      </c>
      <c r="M508" s="1148"/>
      <c r="N508" s="1148"/>
      <c r="O508" s="1148"/>
      <c r="P508" s="1148"/>
      <c r="Q508" s="1148"/>
      <c r="R508" s="1148"/>
      <c r="S508" s="1148"/>
      <c r="T508" s="1148"/>
      <c r="U508" s="1148"/>
    </row>
    <row r="509" customFormat="false" ht="15" hidden="false" customHeight="true" outlineLevel="1" collapsed="false">
      <c r="A509" s="232" t="s">
        <v>2723</v>
      </c>
      <c r="B509" s="232" t="s">
        <v>135</v>
      </c>
      <c r="C509" s="232" t="n">
        <f aca="false">((C498/0.6)+1)*3*1.1*G492*VLOOKUP(A508,связи1!A407:E416,5,0)*(C494+C495)</f>
        <v>0.297</v>
      </c>
      <c r="D509" s="232" t="n">
        <f aca="false">VLOOKUP(A508,связи1!A407:E416,2,0)</f>
        <v>9000</v>
      </c>
      <c r="E509" s="232" t="n">
        <f aca="false">C509*D509</f>
        <v>2673</v>
      </c>
      <c r="F509" s="1148"/>
      <c r="G509" s="2182" t="str">
        <f aca="false">'Прайс лист'!B1737</f>
        <v>обрешетка</v>
      </c>
      <c r="H509" s="2183"/>
      <c r="I509" s="232" t="s">
        <v>133</v>
      </c>
      <c r="J509" s="232" t="n">
        <f aca="false">C497*(C494+C495+C496)*H493*IF(A511=связи1!A432,0,1)</f>
        <v>20.0341166289984</v>
      </c>
      <c r="K509" s="2164" t="n">
        <f aca="false">'Прайс лист'!G1737</f>
        <v>100</v>
      </c>
      <c r="L509" s="232" t="n">
        <f aca="false">J509*K509</f>
        <v>2003.41166289984</v>
      </c>
      <c r="M509" s="1148"/>
      <c r="N509" s="1148"/>
      <c r="O509" s="1148"/>
      <c r="P509" s="1148"/>
      <c r="Q509" s="1148"/>
      <c r="R509" s="1148"/>
      <c r="S509" s="1148"/>
      <c r="T509" s="1148"/>
      <c r="U509" s="1148"/>
    </row>
    <row r="510" customFormat="false" ht="15" hidden="false" customHeight="true" outlineLevel="1" collapsed="false">
      <c r="A510" s="232" t="s">
        <v>4131</v>
      </c>
      <c r="B510" s="232" t="s">
        <v>135</v>
      </c>
      <c r="C510" s="232" t="n">
        <f aca="false">((C498/0.6)*C499*VLOOKUP(A508,связи1!A407:E416,5,0)*G492)</f>
        <v>0.421770876399966</v>
      </c>
      <c r="D510" s="232" t="n">
        <f aca="false">VLOOKUP(A508,связи1!A407:E416,2,0)</f>
        <v>9000</v>
      </c>
      <c r="E510" s="232" t="n">
        <f aca="false">C510*D510</f>
        <v>3795.9378875997</v>
      </c>
      <c r="F510" s="1148"/>
      <c r="G510" s="2182" t="str">
        <f aca="false">'Прайс лист'!B1738</f>
        <v>контробеш</v>
      </c>
      <c r="H510" s="2183"/>
      <c r="I510" s="232" t="s">
        <v>133</v>
      </c>
      <c r="J510" s="232" t="n">
        <f aca="false">C497*(C494+C495+C496)*H493*IF(A512=связи1!A418,0,1)</f>
        <v>20.0341166289984</v>
      </c>
      <c r="K510" s="2164" t="n">
        <f aca="false">'Прайс лист'!G1738</f>
        <v>100</v>
      </c>
      <c r="L510" s="232" t="n">
        <f aca="false">J510*K510</f>
        <v>2003.41166289984</v>
      </c>
      <c r="M510" s="1148"/>
      <c r="N510" s="1148"/>
      <c r="O510" s="1148"/>
      <c r="P510" s="1148"/>
      <c r="Q510" s="1148"/>
      <c r="R510" s="1148"/>
      <c r="S510" s="1148"/>
      <c r="T510" s="1148"/>
      <c r="U510" s="1148"/>
    </row>
    <row r="511" customFormat="false" ht="15" hidden="false" customHeight="true" outlineLevel="1" collapsed="false">
      <c r="A511" s="232" t="str">
        <f aca="false">'Ввод данных'!A337</f>
        <v>Сосна влаж,100*25мм</v>
      </c>
      <c r="B511" s="232" t="s">
        <v>135</v>
      </c>
      <c r="C511" s="232" t="n">
        <f aca="false">(C499/0.25)*C498*2*G492*VLOOKUP(A511,связи1!A432:F440,5,0)</f>
        <v>0.50612505167996</v>
      </c>
      <c r="D511" s="232" t="n">
        <f aca="false">VLOOKUP(A511,связи1!A432:F440,6,0)</f>
        <v>6500</v>
      </c>
      <c r="E511" s="232" t="n">
        <f aca="false">C511*D511</f>
        <v>3289.81283591974</v>
      </c>
      <c r="F511" s="1148"/>
      <c r="G511" s="2182" t="str">
        <f aca="false">'Прайс лист'!B1739</f>
        <v>мембрана</v>
      </c>
      <c r="H511" s="2183"/>
      <c r="I511" s="232" t="s">
        <v>133</v>
      </c>
      <c r="J511" s="232" t="n">
        <f aca="false">C497*(C494+C495+C496)*H493*IF(A513='Прайс лист'!B793,0,1)</f>
        <v>0</v>
      </c>
      <c r="K511" s="2164" t="n">
        <f aca="false">'Прайс лист'!G1739</f>
        <v>100</v>
      </c>
      <c r="L511" s="232" t="n">
        <f aca="false">J511*K511</f>
        <v>0</v>
      </c>
      <c r="M511" s="1148"/>
      <c r="N511" s="1148"/>
      <c r="O511" s="1148"/>
      <c r="P511" s="1148"/>
      <c r="Q511" s="1148"/>
      <c r="R511" s="1148"/>
      <c r="S511" s="1148"/>
      <c r="T511" s="1148"/>
      <c r="U511" s="1148"/>
    </row>
    <row r="512" customFormat="false" ht="15" hidden="false" customHeight="true" outlineLevel="1" collapsed="false">
      <c r="A512" s="232" t="str">
        <f aca="false">'Ввод данных'!A339</f>
        <v>Доска сухая, калибр., 35*45мм</v>
      </c>
      <c r="B512" s="232" t="s">
        <v>159</v>
      </c>
      <c r="C512" s="232" t="n">
        <f aca="false">((C498/0.6)+1)*C499*2*G492*VLOOKUP(A512,связи1!A418:E421,5,0)</f>
        <v>0.116250597807741</v>
      </c>
      <c r="D512" s="232" t="n">
        <f aca="false">VLOOKUP(A512,связи1!A418:D421,2,0)</f>
        <v>12500</v>
      </c>
      <c r="E512" s="232" t="n">
        <f aca="false">C512*D512</f>
        <v>1453.13247259676</v>
      </c>
      <c r="F512" s="1148"/>
      <c r="G512" s="2182" t="str">
        <f aca="false">'Прайс лист'!B1740</f>
        <v>пароизоляц</v>
      </c>
      <c r="H512" s="2183"/>
      <c r="I512" s="232" t="s">
        <v>133</v>
      </c>
      <c r="J512" s="232" t="n">
        <f aca="false">J508*(C494+C495+C496)*H493*IF(A514='Прайс лист'!B820,0,1)</f>
        <v>0</v>
      </c>
      <c r="K512" s="2164" t="n">
        <f aca="false">'Прайс лист'!G1740</f>
        <v>100</v>
      </c>
      <c r="L512" s="232" t="n">
        <f aca="false">J512*K512</f>
        <v>0</v>
      </c>
      <c r="M512" s="1148"/>
      <c r="N512" s="1148"/>
      <c r="O512" s="1148"/>
      <c r="P512" s="1148"/>
      <c r="Q512" s="1148"/>
      <c r="R512" s="1148"/>
      <c r="S512" s="1148"/>
      <c r="T512" s="1148"/>
      <c r="U512" s="1148"/>
    </row>
    <row r="513" customFormat="false" ht="15" hidden="false" customHeight="true" outlineLevel="1" collapsed="false">
      <c r="A513" s="232" t="str">
        <f aca="false">'Ввод данных'!A345</f>
        <v>нет ветроизоляции</v>
      </c>
      <c r="B513" s="232" t="s">
        <v>133</v>
      </c>
      <c r="C513" s="232" t="n">
        <f aca="false">C497*1.2*G492</f>
        <v>24.0409399547981</v>
      </c>
      <c r="D513" s="232" t="n">
        <f aca="false">VLOOKUP(A513,'Прайс лист'!B793:G819,6,0)</f>
        <v>0</v>
      </c>
      <c r="E513" s="232" t="n">
        <f aca="false">C513*D513</f>
        <v>0</v>
      </c>
      <c r="F513" s="1148"/>
      <c r="G513" s="2182" t="str">
        <f aca="false">'Прайс лист'!B1741</f>
        <v>утеплитель</v>
      </c>
      <c r="H513" s="2183"/>
      <c r="I513" s="232" t="s">
        <v>133</v>
      </c>
      <c r="J513" s="232" t="n">
        <f aca="false">J508*(C494+C495+C496)*H493*IF(A515='Прайс лист'!B744,0,1)</f>
        <v>20.0341166289984</v>
      </c>
      <c r="K513" s="2164" t="n">
        <f aca="false">'Прайс лист'!G1741</f>
        <v>200</v>
      </c>
      <c r="L513" s="232" t="n">
        <f aca="false">J513*K513</f>
        <v>4006.82332579968</v>
      </c>
      <c r="M513" s="1148"/>
      <c r="N513" s="1148"/>
      <c r="O513" s="1148"/>
      <c r="P513" s="1148"/>
      <c r="Q513" s="1148"/>
      <c r="R513" s="1148"/>
      <c r="S513" s="1148"/>
      <c r="T513" s="1148"/>
      <c r="U513" s="1148"/>
    </row>
    <row r="514" customFormat="false" ht="15" hidden="false" customHeight="true" outlineLevel="1" collapsed="false">
      <c r="A514" s="232" t="str">
        <f aca="false">'Ввод данных'!A347</f>
        <v>нет пароизоляции</v>
      </c>
      <c r="B514" s="232" t="s">
        <v>133</v>
      </c>
      <c r="C514" s="232" t="n">
        <f aca="false">C497*1.1*G492*(C494+C495)</f>
        <v>22.0375282918982</v>
      </c>
      <c r="D514" s="232" t="n">
        <f aca="false">VLOOKUP(A514,'Прайс лист'!B820:G831,6,0)</f>
        <v>0</v>
      </c>
      <c r="E514" s="232" t="n">
        <f aca="false">C514*D514</f>
        <v>0</v>
      </c>
      <c r="F514" s="1148"/>
      <c r="G514" s="2182" t="str">
        <f aca="false">'Прайс лист'!B1742</f>
        <v>Монтаж металлочерепицы</v>
      </c>
      <c r="H514" s="2183"/>
      <c r="I514" s="232" t="s">
        <v>133</v>
      </c>
      <c r="J514" s="232" t="n">
        <f aca="false">C497*(C494)*H493</f>
        <v>20.0341166289984</v>
      </c>
      <c r="K514" s="2164" t="n">
        <f aca="false">'Прайс лист'!G1742</f>
        <v>300</v>
      </c>
      <c r="L514" s="232" t="n">
        <f aca="false">J514*K514</f>
        <v>6010.23498869952</v>
      </c>
      <c r="M514" s="1148"/>
      <c r="N514" s="1148"/>
      <c r="O514" s="1148"/>
      <c r="P514" s="1148"/>
      <c r="Q514" s="1148"/>
      <c r="R514" s="1148"/>
      <c r="S514" s="1148"/>
      <c r="T514" s="1148"/>
      <c r="U514" s="1148"/>
    </row>
    <row r="515" customFormat="false" ht="15" hidden="false" customHeight="true" outlineLevel="1" collapsed="false">
      <c r="A515" s="232" t="str">
        <f aca="false">'Ввод данных'!A343</f>
        <v>Плитный,28кг/м3, технониколь, 100мм</v>
      </c>
      <c r="B515" s="232" t="s">
        <v>135</v>
      </c>
      <c r="C515" s="232" t="n">
        <f aca="false">C497*VLOOKUP(A515,'Прайс лист'!B744:G782,3,0)*(C494+C495)*G492</f>
        <v>2.00341166289984</v>
      </c>
      <c r="D515" s="232" t="n">
        <f aca="false">VLOOKUP(A515,'Прайс лист'!B744:G782,6,0)</f>
        <v>1700</v>
      </c>
      <c r="E515" s="232" t="n">
        <f aca="false">C515*D515</f>
        <v>3405.79982692973</v>
      </c>
      <c r="F515" s="1148"/>
      <c r="G515" s="2182" t="str">
        <f aca="false">'Прайс лист'!B1744</f>
        <v>карнизная планка</v>
      </c>
      <c r="H515" s="2183"/>
      <c r="I515" s="232" t="s">
        <v>133</v>
      </c>
      <c r="J515" s="122" t="n">
        <f aca="false">C517*H493</f>
        <v>4</v>
      </c>
      <c r="K515" s="2164" t="n">
        <f aca="false">'Прайс лист'!G1744</f>
        <v>100</v>
      </c>
      <c r="L515" s="232" t="n">
        <f aca="false">J515*K515</f>
        <v>400</v>
      </c>
      <c r="M515" s="1148"/>
      <c r="N515" s="1148"/>
      <c r="O515" s="1148"/>
      <c r="P515" s="1148"/>
      <c r="Q515" s="1148"/>
      <c r="R515" s="1148"/>
      <c r="S515" s="1148"/>
      <c r="T515" s="1148"/>
      <c r="U515" s="1148"/>
    </row>
    <row r="516" customFormat="false" ht="15" hidden="false" customHeight="true" outlineLevel="1" collapsed="false">
      <c r="A516" s="232" t="str">
        <f aca="false">'Прайс лист'!B1131</f>
        <v>Металлочерепица</v>
      </c>
      <c r="B516" s="232" t="s">
        <v>133</v>
      </c>
      <c r="C516" s="232" t="n">
        <f aca="false">C497*1.4*G492*C494</f>
        <v>28.0477632805978</v>
      </c>
      <c r="D516" s="232" t="n">
        <f aca="false">'Прайс лист'!G1131</f>
        <v>250</v>
      </c>
      <c r="E516" s="232" t="n">
        <f aca="false">C516*D516</f>
        <v>7011.94082014944</v>
      </c>
      <c r="F516" s="1148"/>
      <c r="G516" s="2182" t="str">
        <f aca="false">'Прайс лист'!B1745</f>
        <v>торцевая планка</v>
      </c>
      <c r="H516" s="2183"/>
      <c r="I516" s="232" t="s">
        <v>133</v>
      </c>
      <c r="J516" s="122" t="n">
        <f aca="false">C518*H493</f>
        <v>10.5442719099992</v>
      </c>
      <c r="K516" s="2164" t="n">
        <f aca="false">'Прайс лист'!G1745</f>
        <v>100</v>
      </c>
      <c r="L516" s="232" t="n">
        <f aca="false">J516*K516</f>
        <v>1054.42719099992</v>
      </c>
      <c r="M516" s="1148"/>
      <c r="N516" s="1148"/>
      <c r="O516" s="1148"/>
      <c r="P516" s="1148"/>
      <c r="Q516" s="1148"/>
      <c r="R516" s="1148"/>
      <c r="S516" s="1148"/>
      <c r="T516" s="1148"/>
      <c r="U516" s="1148"/>
    </row>
    <row r="517" customFormat="false" ht="15" hidden="false" customHeight="true" outlineLevel="1" collapsed="false">
      <c r="A517" s="232" t="str">
        <f aca="false">'Прайс лист'!B1132</f>
        <v>Карнизная планка</v>
      </c>
      <c r="B517" s="232" t="s">
        <v>156</v>
      </c>
      <c r="C517" s="232" t="n">
        <f aca="false">(дома!C1207*2*дома!C1206)*G492*(C494+C496)</f>
        <v>4</v>
      </c>
      <c r="D517" s="232" t="n">
        <f aca="false">'Прайс лист'!G1132</f>
        <v>200</v>
      </c>
      <c r="E517" s="232" t="n">
        <f aca="false">C517*D517</f>
        <v>800</v>
      </c>
      <c r="F517" s="1148"/>
      <c r="G517" s="2182" t="str">
        <f aca="false">'Прайс лист'!B1743</f>
        <v>Монтаж ондулина</v>
      </c>
      <c r="H517" s="2156"/>
      <c r="I517" s="232" t="s">
        <v>133</v>
      </c>
      <c r="J517" s="122" t="n">
        <f aca="false">C497*C495</f>
        <v>0</v>
      </c>
      <c r="K517" s="2164" t="n">
        <f aca="false">'Прайс лист'!G1743</f>
        <v>300</v>
      </c>
      <c r="L517" s="232" t="n">
        <f aca="false">J517*K517</f>
        <v>0</v>
      </c>
      <c r="M517" s="1148"/>
      <c r="N517" s="1148"/>
      <c r="O517" s="1148"/>
      <c r="P517" s="1148"/>
      <c r="Q517" s="1148"/>
      <c r="R517" s="1148"/>
      <c r="S517" s="1148"/>
      <c r="T517" s="1148"/>
      <c r="U517" s="1148"/>
    </row>
    <row r="518" customFormat="false" ht="15" hidden="false" customHeight="true" outlineLevel="1" collapsed="false">
      <c r="A518" s="232" t="str">
        <f aca="false">'Прайс лист'!B1133</f>
        <v>Торцевая планка</v>
      </c>
      <c r="B518" s="232" t="s">
        <v>156</v>
      </c>
      <c r="C518" s="232" t="n">
        <f aca="false">C499*2*G492*(C494+C496)</f>
        <v>10.5442719099992</v>
      </c>
      <c r="D518" s="232" t="n">
        <f aca="false">'Прайс лист'!G1133</f>
        <v>200</v>
      </c>
      <c r="E518" s="232" t="n">
        <f aca="false">C518*D518</f>
        <v>2108.85438199983</v>
      </c>
      <c r="F518" s="1148"/>
      <c r="G518" s="2182" t="str">
        <f aca="false">'Прайс лист'!B1751</f>
        <v>Монтаж фанеры/osb</v>
      </c>
      <c r="H518" s="2156"/>
      <c r="I518" s="232" t="s">
        <v>133</v>
      </c>
      <c r="J518" s="122" t="n">
        <f aca="false">C497*IF('Ввод данных'!A341='Прайс лист'!B1027,0,1)</f>
        <v>20.0341166289984</v>
      </c>
      <c r="K518" s="2164" t="n">
        <f aca="false">'Прайс лист'!G1751</f>
        <v>200</v>
      </c>
      <c r="L518" s="232" t="n">
        <f aca="false">J518*K518</f>
        <v>4006.82332579968</v>
      </c>
      <c r="M518" s="1148"/>
      <c r="N518" s="1148"/>
      <c r="O518" s="1148"/>
      <c r="P518" s="1148"/>
      <c r="Q518" s="1148"/>
      <c r="R518" s="1148"/>
      <c r="S518" s="1148"/>
      <c r="T518" s="1148"/>
      <c r="U518" s="1148"/>
    </row>
    <row r="519" customFormat="false" ht="15" hidden="false" customHeight="true" outlineLevel="1" collapsed="false">
      <c r="A519" s="232" t="str">
        <f aca="false">'Прайс лист'!B1134</f>
        <v>Конек</v>
      </c>
      <c r="B519" s="232" t="s">
        <v>156</v>
      </c>
      <c r="C519" s="232" t="n">
        <f aca="false">C498*G492*(C494)</f>
        <v>4.8</v>
      </c>
      <c r="D519" s="232" t="n">
        <f aca="false">'Прайс лист'!G1134</f>
        <v>230</v>
      </c>
      <c r="E519" s="232" t="n">
        <f aca="false">C519*D519</f>
        <v>1104</v>
      </c>
      <c r="F519" s="1148"/>
      <c r="G519" s="2182" t="str">
        <f aca="false">'Прайс лист'!B1752</f>
        <v>монтаж подкладочного ковра</v>
      </c>
      <c r="H519" s="2541"/>
      <c r="I519" s="232" t="s">
        <v>133</v>
      </c>
      <c r="J519" s="122" t="n">
        <f aca="false">C497*C496</f>
        <v>0</v>
      </c>
      <c r="K519" s="2164" t="n">
        <f aca="false">'Прайс лист'!G1752</f>
        <v>150</v>
      </c>
      <c r="L519" s="232" t="n">
        <f aca="false">J519*K519</f>
        <v>0</v>
      </c>
      <c r="M519" s="1148"/>
      <c r="N519" s="1148"/>
      <c r="O519" s="1148"/>
      <c r="P519" s="1148"/>
      <c r="Q519" s="1148"/>
      <c r="R519" s="1148"/>
      <c r="S519" s="1148"/>
      <c r="T519" s="1148"/>
      <c r="U519" s="1148"/>
    </row>
    <row r="520" customFormat="false" ht="15" hidden="false" customHeight="true" outlineLevel="1" collapsed="false">
      <c r="A520" s="232" t="str">
        <f aca="false">'Прайс лист'!B1135</f>
        <v>Ендова нижняя</v>
      </c>
      <c r="B520" s="232" t="s">
        <v>156</v>
      </c>
      <c r="C520" s="232" t="n">
        <f aca="false">(дома!J1218+дома!K1218+дома!J1214+дома!K1214)*1.1*G492*C494</f>
        <v>12.1426168033242</v>
      </c>
      <c r="D520" s="232" t="n">
        <f aca="false">'Прайс лист'!G1135</f>
        <v>160</v>
      </c>
      <c r="E520" s="232" t="n">
        <f aca="false">C520*D520</f>
        <v>1942.81868853187</v>
      </c>
      <c r="F520" s="1148"/>
      <c r="G520" s="2182" t="str">
        <f aca="false">'Прайс лист'!B1753</f>
        <v>Монтаж мягкой кровли</v>
      </c>
      <c r="H520" s="2542"/>
      <c r="I520" s="232" t="s">
        <v>133</v>
      </c>
      <c r="J520" s="122" t="n">
        <f aca="false">C497*C496</f>
        <v>0</v>
      </c>
      <c r="K520" s="2164" t="n">
        <f aca="false">'Прайс лист'!G1753</f>
        <v>350</v>
      </c>
      <c r="L520" s="232" t="n">
        <f aca="false">J520*K520</f>
        <v>0</v>
      </c>
      <c r="M520" s="1148"/>
      <c r="N520" s="1148"/>
      <c r="O520" s="1148"/>
      <c r="P520" s="1148"/>
      <c r="Q520" s="1148"/>
      <c r="R520" s="1148"/>
      <c r="S520" s="1148"/>
      <c r="T520" s="1148"/>
      <c r="U520" s="1148"/>
    </row>
    <row r="521" customFormat="false" ht="15" hidden="false" customHeight="true" outlineLevel="1" collapsed="false">
      <c r="A521" s="232" t="str">
        <f aca="false">'Прайс лист'!B1136</f>
        <v>Ендова верхняя</v>
      </c>
      <c r="B521" s="232" t="s">
        <v>156</v>
      </c>
      <c r="C521" s="232" t="n">
        <f aca="false">C520</f>
        <v>12.1426168033242</v>
      </c>
      <c r="D521" s="232" t="n">
        <f aca="false">'Прайс лист'!G1136</f>
        <v>190</v>
      </c>
      <c r="E521" s="232" t="n">
        <f aca="false">C521*D521</f>
        <v>2307.09719263159</v>
      </c>
      <c r="F521" s="1148"/>
      <c r="G521" s="2157"/>
      <c r="H521" s="2158"/>
      <c r="I521" s="232"/>
      <c r="J521" s="122"/>
      <c r="K521" s="2164"/>
      <c r="L521" s="232"/>
      <c r="M521" s="1148"/>
      <c r="N521" s="1148"/>
      <c r="O521" s="1148"/>
      <c r="P521" s="1148"/>
      <c r="Q521" s="1148"/>
      <c r="R521" s="1148"/>
      <c r="S521" s="1148"/>
      <c r="T521" s="1148"/>
      <c r="U521" s="1148"/>
    </row>
    <row r="522" customFormat="false" ht="15" hidden="false" customHeight="true" outlineLevel="1" collapsed="false">
      <c r="A522" s="232" t="s">
        <v>2725</v>
      </c>
      <c r="B522" s="232" t="s">
        <v>133</v>
      </c>
      <c r="C522" s="232" t="n">
        <f aca="false">C497*1.4*G492*C495</f>
        <v>0</v>
      </c>
      <c r="D522" s="232" t="n">
        <f aca="false">'Прайс лист'!G1143</f>
        <v>180</v>
      </c>
      <c r="E522" s="232" t="n">
        <f aca="false">C522*D522</f>
        <v>0</v>
      </c>
      <c r="F522" s="1148"/>
      <c r="G522" s="2157"/>
      <c r="H522" s="2158"/>
      <c r="I522" s="232"/>
      <c r="J522" s="122"/>
      <c r="K522" s="2164"/>
      <c r="L522" s="232"/>
      <c r="M522" s="1148"/>
      <c r="N522" s="1148"/>
      <c r="O522" s="1148"/>
      <c r="P522" s="1148"/>
      <c r="Q522" s="1148"/>
      <c r="R522" s="1148"/>
      <c r="S522" s="1148"/>
      <c r="T522" s="1148"/>
      <c r="U522" s="1148"/>
    </row>
    <row r="523" customFormat="false" ht="15" hidden="false" customHeight="true" outlineLevel="1" collapsed="false">
      <c r="A523" s="7" t="str">
        <f aca="false">'Прайс лист'!B1144</f>
        <v>Карнизная планка</v>
      </c>
      <c r="B523" s="7" t="str">
        <f aca="false">'Прайс лист'!C1144</f>
        <v>м.п.</v>
      </c>
      <c r="C523" s="5" t="n">
        <f aca="false">(дома!C1207*2*дома!C1206)*G492*C495</f>
        <v>0</v>
      </c>
      <c r="D523" s="232" t="n">
        <f aca="false">'Прайс лист'!G1144</f>
        <v>190</v>
      </c>
      <c r="E523" s="232" t="n">
        <f aca="false">C523*D523</f>
        <v>0</v>
      </c>
      <c r="F523" s="1148"/>
      <c r="G523" s="2157"/>
      <c r="H523" s="2158"/>
      <c r="I523" s="232"/>
      <c r="J523" s="122"/>
      <c r="K523" s="2164"/>
      <c r="L523" s="232"/>
      <c r="M523" s="1148"/>
      <c r="N523" s="1148"/>
      <c r="O523" s="1148"/>
      <c r="P523" s="1148"/>
      <c r="Q523" s="1148"/>
      <c r="R523" s="1148"/>
      <c r="S523" s="1148"/>
      <c r="T523" s="1148"/>
      <c r="U523" s="1148"/>
    </row>
    <row r="524" customFormat="false" ht="15" hidden="false" customHeight="true" outlineLevel="1" collapsed="false">
      <c r="A524" s="7" t="str">
        <f aca="false">'Прайс лист'!B1145</f>
        <v>Торцевая планка</v>
      </c>
      <c r="B524" s="7" t="str">
        <f aca="false">'Прайс лист'!C1145</f>
        <v>м.п.</v>
      </c>
      <c r="C524" s="232" t="n">
        <f aca="false">C499*2*G492*C495</f>
        <v>0</v>
      </c>
      <c r="D524" s="232" t="n">
        <f aca="false">'Прайс лист'!G1145</f>
        <v>190</v>
      </c>
      <c r="E524" s="232" t="n">
        <f aca="false">C524*D524</f>
        <v>0</v>
      </c>
      <c r="F524" s="1148"/>
      <c r="G524" s="2157"/>
      <c r="H524" s="2158"/>
      <c r="I524" s="232"/>
      <c r="J524" s="122"/>
      <c r="K524" s="2164"/>
      <c r="L524" s="232"/>
      <c r="M524" s="1148"/>
      <c r="N524" s="1148"/>
      <c r="O524" s="1148"/>
      <c r="P524" s="1148"/>
      <c r="Q524" s="1148"/>
      <c r="R524" s="1148"/>
      <c r="S524" s="1148"/>
      <c r="T524" s="1148"/>
      <c r="U524" s="1148"/>
    </row>
    <row r="525" customFormat="false" ht="15" hidden="false" customHeight="true" outlineLevel="1" collapsed="false">
      <c r="A525" s="7" t="str">
        <f aca="false">'Прайс лист'!B1146</f>
        <v>Конек</v>
      </c>
      <c r="B525" s="7" t="str">
        <f aca="false">'Прайс лист'!C1146</f>
        <v>м.п.</v>
      </c>
      <c r="C525" s="232" t="n">
        <f aca="false">C498*G492*(C495)</f>
        <v>0</v>
      </c>
      <c r="D525" s="232" t="n">
        <f aca="false">'Прайс лист'!G1146</f>
        <v>200</v>
      </c>
      <c r="E525" s="232" t="n">
        <f aca="false">C525*D525</f>
        <v>0</v>
      </c>
      <c r="F525" s="1148"/>
      <c r="G525" s="2157"/>
      <c r="H525" s="2158"/>
      <c r="I525" s="232"/>
      <c r="J525" s="122"/>
      <c r="K525" s="2164"/>
      <c r="L525" s="232"/>
      <c r="M525" s="1148"/>
      <c r="N525" s="1148"/>
      <c r="O525" s="1148"/>
      <c r="P525" s="1148"/>
      <c r="Q525" s="1148"/>
      <c r="R525" s="1148"/>
      <c r="S525" s="1148"/>
      <c r="T525" s="1148"/>
      <c r="U525" s="1148"/>
    </row>
    <row r="526" customFormat="false" ht="15" hidden="false" customHeight="true" outlineLevel="1" collapsed="false">
      <c r="A526" s="7" t="str">
        <f aca="false">'Прайс лист'!B1147</f>
        <v>Ендова нижняя</v>
      </c>
      <c r="B526" s="7" t="str">
        <f aca="false">'Прайс лист'!C1147</f>
        <v>м.п.</v>
      </c>
      <c r="C526" s="232" t="n">
        <f aca="false">(дома!J1218+дома!K1218+дома!J1214+дома!K1214)*1.1*G492*C495</f>
        <v>0</v>
      </c>
      <c r="D526" s="232" t="n">
        <f aca="false">'Прайс лист'!G1147</f>
        <v>160</v>
      </c>
      <c r="E526" s="232" t="n">
        <f aca="false">C526*D526</f>
        <v>0</v>
      </c>
      <c r="F526" s="1148"/>
      <c r="G526" s="2157"/>
      <c r="H526" s="2158"/>
      <c r="I526" s="232"/>
      <c r="J526" s="122"/>
      <c r="K526" s="2164"/>
      <c r="L526" s="232"/>
      <c r="M526" s="1148"/>
      <c r="N526" s="1148"/>
      <c r="O526" s="1148"/>
      <c r="P526" s="1148"/>
      <c r="Q526" s="1148"/>
      <c r="R526" s="1148"/>
      <c r="S526" s="1148"/>
      <c r="T526" s="1148"/>
      <c r="U526" s="1148"/>
    </row>
    <row r="527" customFormat="false" ht="15" hidden="false" customHeight="true" outlineLevel="1" collapsed="false">
      <c r="A527" s="7" t="str">
        <f aca="false">'Прайс лист'!B1148</f>
        <v>Ендова верхняя</v>
      </c>
      <c r="B527" s="7" t="str">
        <f aca="false">'Прайс лист'!C1148</f>
        <v>м.п.</v>
      </c>
      <c r="C527" s="232" t="n">
        <f aca="false">C526</f>
        <v>0</v>
      </c>
      <c r="D527" s="232" t="n">
        <f aca="false">'Прайс лист'!G1148</f>
        <v>190</v>
      </c>
      <c r="E527" s="232" t="n">
        <f aca="false">C527*D527</f>
        <v>0</v>
      </c>
      <c r="F527" s="1148"/>
      <c r="G527" s="2157"/>
      <c r="H527" s="2158"/>
      <c r="I527" s="232"/>
      <c r="J527" s="122"/>
      <c r="K527" s="2164"/>
      <c r="L527" s="232"/>
      <c r="M527" s="1148"/>
      <c r="N527" s="1148"/>
      <c r="O527" s="1148"/>
      <c r="P527" s="1148"/>
      <c r="Q527" s="1148"/>
      <c r="R527" s="1148"/>
      <c r="S527" s="1148"/>
      <c r="T527" s="1148"/>
      <c r="U527" s="1148"/>
    </row>
    <row r="528" customFormat="false" ht="15" hidden="false" customHeight="true" outlineLevel="1" collapsed="false">
      <c r="A528" s="7" t="str">
        <f aca="false">'Прайс лист'!B1149</f>
        <v>Планка примыкания</v>
      </c>
      <c r="B528" s="7" t="str">
        <f aca="false">'Прайс лист'!C1149</f>
        <v>м.п.</v>
      </c>
      <c r="C528" s="232"/>
      <c r="D528" s="232" t="n">
        <f aca="false">'Прайс лист'!G1149</f>
        <v>190</v>
      </c>
      <c r="E528" s="232" t="n">
        <f aca="false">C528*D528</f>
        <v>0</v>
      </c>
      <c r="F528" s="1148"/>
      <c r="G528" s="2157"/>
      <c r="H528" s="2158"/>
      <c r="I528" s="232"/>
      <c r="J528" s="122"/>
      <c r="K528" s="2164"/>
      <c r="L528" s="232"/>
      <c r="M528" s="1148"/>
      <c r="N528" s="1148"/>
      <c r="O528" s="1148"/>
      <c r="P528" s="1148"/>
      <c r="Q528" s="1148"/>
      <c r="R528" s="1148"/>
      <c r="S528" s="1148"/>
      <c r="T528" s="1148"/>
      <c r="U528" s="1148"/>
    </row>
    <row r="529" customFormat="false" ht="15" hidden="false" customHeight="true" outlineLevel="1" collapsed="false">
      <c r="A529" s="7" t="str">
        <f aca="false">'Прайс лист'!B1150</f>
        <v>Крепеж для ондулина</v>
      </c>
      <c r="B529" s="7" t="str">
        <f aca="false">'Прайс лист'!C1150</f>
        <v>шт</v>
      </c>
      <c r="C529" s="232" t="n">
        <f aca="false">C497*12*(C495)*G492</f>
        <v>0</v>
      </c>
      <c r="D529" s="232" t="n">
        <f aca="false">'Прайс лист'!G1150</f>
        <v>4.5</v>
      </c>
      <c r="E529" s="232" t="n">
        <f aca="false">C529*D529</f>
        <v>0</v>
      </c>
      <c r="F529" s="1148"/>
      <c r="G529" s="2157"/>
      <c r="H529" s="2158"/>
      <c r="I529" s="232"/>
      <c r="J529" s="122"/>
      <c r="K529" s="2164"/>
      <c r="L529" s="232"/>
      <c r="M529" s="1148"/>
      <c r="N529" s="1148"/>
      <c r="O529" s="1148"/>
      <c r="P529" s="1148"/>
      <c r="Q529" s="1148"/>
      <c r="R529" s="1148"/>
      <c r="S529" s="1148"/>
      <c r="T529" s="1148"/>
      <c r="U529" s="1148"/>
    </row>
    <row r="530" customFormat="false" ht="15" hidden="false" customHeight="true" outlineLevel="1" collapsed="false">
      <c r="A530" s="7" t="str">
        <f aca="false">'Ввод данных'!A341</f>
        <v>Фанера Березовая марка ФК - влагостойкая,  18 мм</v>
      </c>
      <c r="B530" s="7" t="s">
        <v>133</v>
      </c>
      <c r="C530" s="232" t="n">
        <f aca="false">C497*1.1*G492</f>
        <v>22.0375282918982</v>
      </c>
      <c r="D530" s="232" t="n">
        <f aca="false">VLOOKUP(A530,'Прайс лист'!B1027:G1078,6,0)</f>
        <v>533.333333333333</v>
      </c>
      <c r="E530" s="232" t="n">
        <f aca="false">C530*D530</f>
        <v>11753.3484223457</v>
      </c>
      <c r="F530" s="1148"/>
      <c r="G530" s="2157"/>
      <c r="H530" s="2158"/>
      <c r="I530" s="232"/>
      <c r="J530" s="122"/>
      <c r="K530" s="2164"/>
      <c r="L530" s="232"/>
      <c r="M530" s="1148"/>
      <c r="N530" s="1148"/>
      <c r="O530" s="1148"/>
      <c r="P530" s="1148"/>
      <c r="Q530" s="1148"/>
      <c r="R530" s="1148"/>
      <c r="S530" s="1148"/>
      <c r="T530" s="1148"/>
      <c r="U530" s="1148"/>
    </row>
    <row r="531" customFormat="false" ht="15" hidden="false" customHeight="true" outlineLevel="1" collapsed="false">
      <c r="A531" s="7" t="str">
        <f aca="false">'Прайс лист'!B1155</f>
        <v>Рядовая черепица</v>
      </c>
      <c r="B531" s="7" t="str">
        <f aca="false">'Прайс лист'!C1155</f>
        <v>м2</v>
      </c>
      <c r="C531" s="232" t="n">
        <f aca="false">C497*1.2*G492*C496</f>
        <v>0</v>
      </c>
      <c r="D531" s="232" t="n">
        <f aca="false">'Прайс лист'!G1155</f>
        <v>360</v>
      </c>
      <c r="E531" s="232" t="n">
        <f aca="false">C531*D531</f>
        <v>0</v>
      </c>
      <c r="F531" s="1148"/>
      <c r="G531" s="2157"/>
      <c r="H531" s="2158"/>
      <c r="I531" s="232"/>
      <c r="J531" s="122"/>
      <c r="K531" s="2164"/>
      <c r="L531" s="232"/>
      <c r="M531" s="1148"/>
      <c r="N531" s="1148"/>
      <c r="O531" s="1148"/>
      <c r="P531" s="1148"/>
      <c r="Q531" s="1148"/>
      <c r="R531" s="1148"/>
      <c r="S531" s="1148"/>
      <c r="T531" s="1148"/>
      <c r="U531" s="1148"/>
    </row>
    <row r="532" customFormat="false" ht="15" hidden="false" customHeight="true" outlineLevel="1" collapsed="false">
      <c r="A532" s="7" t="str">
        <f aca="false">'Прайс лист'!B1156</f>
        <v>Металл оцинк защита (карниз)</v>
      </c>
      <c r="B532" s="7" t="str">
        <f aca="false">'Прайс лист'!C1156</f>
        <v>м.п.</v>
      </c>
      <c r="C532" s="232"/>
      <c r="D532" s="232" t="n">
        <f aca="false">'Прайс лист'!G1156</f>
        <v>200</v>
      </c>
      <c r="E532" s="232" t="n">
        <f aca="false">C532*D532</f>
        <v>0</v>
      </c>
      <c r="F532" s="1148"/>
      <c r="G532" s="2157"/>
      <c r="H532" s="2158"/>
      <c r="I532" s="232"/>
      <c r="J532" s="122"/>
      <c r="K532" s="2164"/>
      <c r="L532" s="232"/>
      <c r="M532" s="1148"/>
      <c r="N532" s="1148"/>
      <c r="O532" s="1148"/>
      <c r="P532" s="1148"/>
      <c r="Q532" s="1148"/>
      <c r="R532" s="1148"/>
      <c r="S532" s="1148"/>
      <c r="T532" s="1148"/>
      <c r="U532" s="1148"/>
    </row>
    <row r="533" customFormat="false" ht="15" hidden="false" customHeight="true" outlineLevel="1" collapsed="false">
      <c r="A533" s="7" t="str">
        <f aca="false">'Прайс лист'!B1157</f>
        <v>Подкладочный ковер</v>
      </c>
      <c r="B533" s="7" t="str">
        <f aca="false">'Прайс лист'!C1157</f>
        <v>м.п.</v>
      </c>
      <c r="C533" s="232" t="n">
        <f aca="false">C531</f>
        <v>0</v>
      </c>
      <c r="D533" s="232" t="n">
        <f aca="false">'Прайс лист'!G1157</f>
        <v>220</v>
      </c>
      <c r="E533" s="232" t="n">
        <f aca="false">C533*D533</f>
        <v>0</v>
      </c>
      <c r="F533" s="1148"/>
      <c r="G533" s="2157"/>
      <c r="H533" s="2158"/>
      <c r="I533" s="232"/>
      <c r="J533" s="122"/>
      <c r="K533" s="2164"/>
      <c r="L533" s="232"/>
      <c r="M533" s="1148"/>
      <c r="N533" s="1148"/>
      <c r="O533" s="1148"/>
      <c r="P533" s="1148"/>
      <c r="Q533" s="1148"/>
      <c r="R533" s="1148"/>
      <c r="S533" s="1148"/>
      <c r="T533" s="1148"/>
      <c r="U533" s="1148"/>
    </row>
    <row r="534" customFormat="false" ht="15" hidden="false" customHeight="true" outlineLevel="1" collapsed="false">
      <c r="A534" s="7" t="str">
        <f aca="false">'Прайс лист'!B1158</f>
        <v>Карнизная самоклеющаяся черепица</v>
      </c>
      <c r="B534" s="7" t="str">
        <f aca="false">'Прайс лист'!C1158</f>
        <v>м.п.</v>
      </c>
      <c r="C534" s="232"/>
      <c r="D534" s="232" t="n">
        <f aca="false">'Прайс лист'!G1158</f>
        <v>220</v>
      </c>
      <c r="E534" s="232" t="n">
        <f aca="false">C534*D534</f>
        <v>0</v>
      </c>
      <c r="F534" s="1148"/>
      <c r="G534" s="2157"/>
      <c r="H534" s="2158"/>
      <c r="I534" s="232"/>
      <c r="J534" s="122"/>
      <c r="K534" s="2164"/>
      <c r="L534" s="232"/>
      <c r="M534" s="1148"/>
      <c r="N534" s="1148"/>
      <c r="O534" s="1148"/>
      <c r="P534" s="1148"/>
      <c r="Q534" s="1148"/>
      <c r="R534" s="1148"/>
      <c r="S534" s="1148"/>
      <c r="T534" s="1148"/>
      <c r="U534" s="1148"/>
    </row>
    <row r="535" customFormat="false" ht="15" hidden="false" customHeight="true" outlineLevel="1" collapsed="false">
      <c r="A535" s="7" t="str">
        <f aca="false">'Прайс лист'!B1159</f>
        <v>Спец ковер ендова нижняя</v>
      </c>
      <c r="B535" s="7" t="str">
        <f aca="false">'Прайс лист'!C1159</f>
        <v>м.п.</v>
      </c>
      <c r="C535" s="232" t="n">
        <f aca="false">(дома!J1218+дома!K1218+дома!J1214+дома!K1214)*1.1*G492*C496</f>
        <v>0</v>
      </c>
      <c r="D535" s="232" t="n">
        <f aca="false">'Прайс лист'!G1159</f>
        <v>200</v>
      </c>
      <c r="E535" s="232" t="n">
        <f aca="false">C535*D535</f>
        <v>0</v>
      </c>
      <c r="F535" s="1148"/>
      <c r="G535" s="2157"/>
      <c r="H535" s="2158"/>
      <c r="I535" s="232"/>
      <c r="J535" s="122"/>
      <c r="K535" s="2164"/>
      <c r="L535" s="232"/>
      <c r="M535" s="1148"/>
      <c r="N535" s="1148"/>
      <c r="O535" s="1148"/>
      <c r="P535" s="1148"/>
      <c r="Q535" s="1148"/>
      <c r="R535" s="1148"/>
      <c r="S535" s="1148"/>
      <c r="T535" s="1148"/>
      <c r="U535" s="1148"/>
    </row>
    <row r="536" customFormat="false" ht="15" hidden="false" customHeight="true" outlineLevel="1" collapsed="false">
      <c r="A536" s="7" t="str">
        <f aca="false">'Прайс лист'!B1160</f>
        <v>Коньковой элемент</v>
      </c>
      <c r="B536" s="7" t="str">
        <f aca="false">'Прайс лист'!C1160</f>
        <v>м.п.</v>
      </c>
      <c r="C536" s="232" t="n">
        <f aca="false">C498*G492*(C496)</f>
        <v>0</v>
      </c>
      <c r="D536" s="232" t="n">
        <f aca="false">'Прайс лист'!G1160</f>
        <v>250</v>
      </c>
      <c r="E536" s="232" t="n">
        <f aca="false">C536*D536</f>
        <v>0</v>
      </c>
      <c r="F536" s="1148"/>
      <c r="G536" s="2157"/>
      <c r="H536" s="2158"/>
      <c r="I536" s="232"/>
      <c r="J536" s="122"/>
      <c r="K536" s="2164"/>
      <c r="L536" s="232"/>
      <c r="M536" s="1148"/>
      <c r="N536" s="1148"/>
      <c r="O536" s="1148"/>
      <c r="P536" s="1148"/>
      <c r="Q536" s="1148"/>
      <c r="R536" s="1148"/>
      <c r="S536" s="1148"/>
      <c r="T536" s="1148"/>
      <c r="U536" s="1148"/>
    </row>
    <row r="537" customFormat="false" ht="15" hidden="false" customHeight="true" outlineLevel="1" collapsed="false">
      <c r="A537" s="7" t="str">
        <f aca="false">'Прайс лист'!B1161</f>
        <v>Планка премыкания</v>
      </c>
      <c r="B537" s="7" t="str">
        <f aca="false">'Прайс лист'!C1161</f>
        <v>м.п.</v>
      </c>
      <c r="C537" s="232"/>
      <c r="D537" s="232" t="n">
        <f aca="false">'Прайс лист'!G1161</f>
        <v>200</v>
      </c>
      <c r="E537" s="232" t="n">
        <f aca="false">C537*D537</f>
        <v>0</v>
      </c>
      <c r="F537" s="1148"/>
      <c r="G537" s="2157"/>
      <c r="H537" s="2158"/>
      <c r="I537" s="232"/>
      <c r="J537" s="122"/>
      <c r="K537" s="2164"/>
      <c r="L537" s="232"/>
      <c r="M537" s="1148"/>
      <c r="N537" s="1148"/>
      <c r="O537" s="1148"/>
      <c r="P537" s="1148"/>
      <c r="Q537" s="1148"/>
      <c r="R537" s="1148"/>
      <c r="S537" s="1148"/>
      <c r="T537" s="1148"/>
      <c r="U537" s="1148"/>
    </row>
    <row r="538" customFormat="false" ht="15" hidden="false" customHeight="true" outlineLevel="1" collapsed="false">
      <c r="A538" s="7" t="str">
        <f aca="false">'Прайс лист'!B1162</f>
        <v>Гвозди для крепления подкладочного ковра</v>
      </c>
      <c r="B538" s="7" t="str">
        <f aca="false">'Прайс лист'!C1162</f>
        <v>шт</v>
      </c>
      <c r="C538" s="232" t="n">
        <f aca="false">C533*12</f>
        <v>0</v>
      </c>
      <c r="D538" s="232" t="n">
        <f aca="false">'Прайс лист'!G1162</f>
        <v>0.012</v>
      </c>
      <c r="E538" s="232" t="n">
        <f aca="false">C538*D538</f>
        <v>0</v>
      </c>
      <c r="F538" s="1148"/>
      <c r="G538" s="2157"/>
      <c r="H538" s="2158"/>
      <c r="I538" s="232"/>
      <c r="J538" s="122"/>
      <c r="K538" s="2164"/>
      <c r="L538" s="232"/>
      <c r="M538" s="1148"/>
      <c r="N538" s="1148"/>
      <c r="O538" s="1148"/>
      <c r="P538" s="1148"/>
      <c r="Q538" s="1148"/>
      <c r="R538" s="1148"/>
      <c r="S538" s="1148"/>
      <c r="T538" s="1148"/>
      <c r="U538" s="1148"/>
    </row>
    <row r="539" customFormat="false" ht="15" hidden="false" customHeight="true" outlineLevel="1" collapsed="false">
      <c r="A539" s="7" t="str">
        <f aca="false">'Прайс лист'!B1163</f>
        <v>Гвозди для крепления черепицы</v>
      </c>
      <c r="B539" s="7" t="str">
        <f aca="false">'Прайс лист'!C1163</f>
        <v>шт</v>
      </c>
      <c r="C539" s="232" t="n">
        <f aca="false">C531*20</f>
        <v>0</v>
      </c>
      <c r="D539" s="232" t="n">
        <f aca="false">'Прайс лист'!G1163</f>
        <v>0.25</v>
      </c>
      <c r="E539" s="232" t="n">
        <f aca="false">C539*D539</f>
        <v>0</v>
      </c>
      <c r="F539" s="1148"/>
      <c r="G539" s="2157"/>
      <c r="H539" s="2158"/>
      <c r="I539" s="232"/>
      <c r="J539" s="122"/>
      <c r="K539" s="2164"/>
      <c r="L539" s="232"/>
      <c r="M539" s="1148"/>
      <c r="N539" s="1148"/>
      <c r="O539" s="1148"/>
      <c r="P539" s="1148"/>
      <c r="Q539" s="1148"/>
      <c r="R539" s="1148"/>
      <c r="S539" s="1148"/>
      <c r="T539" s="1148"/>
      <c r="U539" s="1148"/>
    </row>
    <row r="540" customFormat="false" ht="15" hidden="false" customHeight="true" outlineLevel="1" collapsed="false">
      <c r="A540" s="7" t="str">
        <f aca="false">'Прайс лист'!B1164</f>
        <v>Клей для монтажа черепицы</v>
      </c>
      <c r="B540" s="7" t="str">
        <f aca="false">'Прайс лист'!C1164</f>
        <v>кг</v>
      </c>
      <c r="C540" s="232" t="n">
        <f aca="false">C497*C496</f>
        <v>0</v>
      </c>
      <c r="D540" s="232" t="n">
        <f aca="false">'Прайс лист'!G1164</f>
        <v>250</v>
      </c>
      <c r="E540" s="232" t="n">
        <f aca="false">C540*D540</f>
        <v>0</v>
      </c>
      <c r="F540" s="1148"/>
      <c r="G540" s="2157"/>
      <c r="H540" s="2158"/>
      <c r="I540" s="232"/>
      <c r="J540" s="122"/>
      <c r="K540" s="2164"/>
      <c r="L540" s="232"/>
      <c r="M540" s="1148"/>
      <c r="N540" s="1148"/>
      <c r="O540" s="1148"/>
      <c r="P540" s="1148"/>
      <c r="Q540" s="1148"/>
      <c r="R540" s="1148"/>
      <c r="S540" s="1148"/>
      <c r="T540" s="1148"/>
      <c r="U540" s="1148"/>
    </row>
    <row r="541" customFormat="false" ht="15" hidden="false" customHeight="true" outlineLevel="1" collapsed="false">
      <c r="A541" s="232" t="str">
        <f aca="false">'Прайс лист'!B1176</f>
        <v>лента дельта мульти бэнд</v>
      </c>
      <c r="B541" s="232" t="s">
        <v>159</v>
      </c>
      <c r="C541" s="232" t="n">
        <f aca="false">C497/12*G492</f>
        <v>1.6695097190832</v>
      </c>
      <c r="D541" s="232" t="n">
        <f aca="false">'Прайс лист'!G1176</f>
        <v>1200</v>
      </c>
      <c r="E541" s="232" t="n">
        <f aca="false">C541*D541</f>
        <v>2003.41166289984</v>
      </c>
      <c r="F541" s="1148"/>
      <c r="G541" s="88"/>
      <c r="H541" s="88"/>
      <c r="I541" s="232"/>
      <c r="J541" s="232"/>
      <c r="K541" s="2164"/>
      <c r="L541" s="232"/>
      <c r="M541" s="1148"/>
      <c r="N541" s="1148"/>
      <c r="O541" s="1148"/>
      <c r="P541" s="1148"/>
      <c r="Q541" s="1148"/>
      <c r="R541" s="1148"/>
      <c r="S541" s="1148"/>
      <c r="T541" s="1148"/>
      <c r="U541" s="1148"/>
    </row>
    <row r="542" customFormat="false" ht="15" hidden="false" customHeight="true" outlineLevel="1" collapsed="false">
      <c r="A542" s="232" t="str">
        <f aca="false">'Прайс лист'!B1177</f>
        <v>лента дельта sb-60</v>
      </c>
      <c r="B542" s="232" t="s">
        <v>159</v>
      </c>
      <c r="C542" s="232" t="n">
        <f aca="false">C497/25*G492</f>
        <v>0.801364665159936</v>
      </c>
      <c r="D542" s="232" t="n">
        <f aca="false">'Прайс лист'!G1177</f>
        <v>1100</v>
      </c>
      <c r="E542" s="232" t="n">
        <f aca="false">C542*D542</f>
        <v>881.50113167593</v>
      </c>
      <c r="F542" s="1148"/>
      <c r="G542" s="88"/>
      <c r="H542" s="88"/>
      <c r="I542" s="232"/>
      <c r="J542" s="232"/>
      <c r="K542" s="2164"/>
      <c r="L542" s="232"/>
      <c r="M542" s="1148"/>
      <c r="N542" s="1148"/>
      <c r="O542" s="1148"/>
      <c r="P542" s="1148"/>
      <c r="Q542" s="1148"/>
      <c r="R542" s="1148"/>
      <c r="S542" s="1148"/>
      <c r="T542" s="1148"/>
      <c r="U542" s="1148"/>
    </row>
    <row r="543" customFormat="false" ht="15" hidden="false" customHeight="true" outlineLevel="1" collapsed="false">
      <c r="A543" s="232" t="str">
        <f aca="false">'Прайс лист'!B1138</f>
        <v>Кровельный саморез</v>
      </c>
      <c r="B543" s="232" t="s">
        <v>159</v>
      </c>
      <c r="C543" s="232" t="n">
        <f aca="false">C497*12*(C494)*G492</f>
        <v>240.409399547981</v>
      </c>
      <c r="D543" s="232" t="n">
        <f aca="false">'Прайс лист'!G1138</f>
        <v>2</v>
      </c>
      <c r="E543" s="232" t="n">
        <f aca="false">C543*D543</f>
        <v>480.818799095962</v>
      </c>
      <c r="F543" s="1148"/>
      <c r="G543" s="88"/>
      <c r="H543" s="88"/>
      <c r="I543" s="232"/>
      <c r="J543" s="232"/>
      <c r="K543" s="2164"/>
      <c r="L543" s="232"/>
      <c r="M543" s="1148"/>
      <c r="N543" s="1148"/>
      <c r="O543" s="1148"/>
      <c r="P543" s="1148"/>
      <c r="Q543" s="1148"/>
      <c r="R543" s="1148"/>
      <c r="S543" s="1148"/>
      <c r="T543" s="1148"/>
      <c r="U543" s="1148"/>
    </row>
    <row r="544" customFormat="false" ht="15" hidden="false" customHeight="true" outlineLevel="1" collapsed="false">
      <c r="A544" s="232" t="str">
        <f aca="false">'Прайс лист'!B897</f>
        <v>Гвозди ершоные 3,4 x 60</v>
      </c>
      <c r="B544" s="232" t="s">
        <v>188</v>
      </c>
      <c r="C544" s="232" t="n">
        <f aca="false">C511*15*G492</f>
        <v>7.5918757751994</v>
      </c>
      <c r="D544" s="232" t="n">
        <f aca="false">'Прайс лист'!G897</f>
        <v>75.51</v>
      </c>
      <c r="E544" s="232" t="n">
        <f aca="false">C544*D544</f>
        <v>573.262539785306</v>
      </c>
      <c r="F544" s="1148"/>
      <c r="G544" s="88"/>
      <c r="H544" s="88"/>
      <c r="I544" s="232"/>
      <c r="J544" s="232"/>
      <c r="K544" s="2164"/>
      <c r="L544" s="232"/>
      <c r="M544" s="1148"/>
      <c r="N544" s="1148"/>
      <c r="O544" s="1148"/>
      <c r="P544" s="1148"/>
      <c r="Q544" s="1148"/>
      <c r="R544" s="1148"/>
      <c r="S544" s="1148"/>
      <c r="T544" s="1148"/>
      <c r="U544" s="1148"/>
    </row>
    <row r="545" customFormat="false" ht="15" hidden="false" customHeight="true" outlineLevel="1" collapsed="false">
      <c r="A545" s="232" t="str">
        <f aca="false">'Прайс лист'!B898</f>
        <v>Гвозди ершоные 2,8 х 90</v>
      </c>
      <c r="B545" s="232" t="s">
        <v>188</v>
      </c>
      <c r="C545" s="232" t="n">
        <f aca="false">(C508+C509+C510)*10*G492</f>
        <v>19.4214233930988</v>
      </c>
      <c r="D545" s="232" t="n">
        <f aca="false">'Прайс лист'!G898</f>
        <v>76.49</v>
      </c>
      <c r="E545" s="232" t="n">
        <f aca="false">C545*D545</f>
        <v>1485.54467533813</v>
      </c>
      <c r="F545" s="1148"/>
      <c r="G545" s="88"/>
      <c r="H545" s="88"/>
      <c r="I545" s="232"/>
      <c r="J545" s="232"/>
      <c r="K545" s="2164"/>
      <c r="L545" s="232"/>
      <c r="M545" s="1148"/>
      <c r="N545" s="1148"/>
      <c r="O545" s="1148"/>
      <c r="P545" s="1148"/>
      <c r="Q545" s="1148"/>
      <c r="R545" s="1148"/>
      <c r="S545" s="1148"/>
      <c r="T545" s="1148"/>
      <c r="U545" s="1148"/>
    </row>
    <row r="546" customFormat="false" ht="15" hidden="false" customHeight="true" outlineLevel="1" collapsed="false">
      <c r="A546" s="232" t="str">
        <f aca="false">'Прайс лист'!B846</f>
        <v>Пластина соеденительная 100х240х2</v>
      </c>
      <c r="B546" s="232" t="s">
        <v>159</v>
      </c>
      <c r="C546" s="2159" t="n">
        <f aca="false">((C498/0.6)+1)*2*G492</f>
        <v>18</v>
      </c>
      <c r="D546" s="232" t="n">
        <f aca="false">'Прайс лист'!G846</f>
        <v>31.54</v>
      </c>
      <c r="E546" s="232" t="n">
        <f aca="false">C546*D546</f>
        <v>567.72</v>
      </c>
      <c r="F546" s="1148"/>
      <c r="G546" s="88"/>
      <c r="H546" s="88"/>
      <c r="I546" s="232"/>
      <c r="J546" s="232"/>
      <c r="K546" s="2164"/>
      <c r="L546" s="232"/>
      <c r="M546" s="1148"/>
      <c r="N546" s="1148"/>
      <c r="O546" s="1148"/>
      <c r="P546" s="1148"/>
      <c r="Q546" s="1148"/>
      <c r="R546" s="1148"/>
      <c r="S546" s="1148"/>
      <c r="T546" s="1148"/>
      <c r="U546" s="1148"/>
    </row>
    <row r="547" customFormat="false" ht="15" hidden="false" customHeight="true" outlineLevel="1" collapsed="false">
      <c r="A547" s="232" t="str">
        <f aca="false">'Прайс лист'!B838</f>
        <v>Уголок усиленный 90х70х55х2,5</v>
      </c>
      <c r="B547" s="232" t="s">
        <v>159</v>
      </c>
      <c r="C547" s="2159" t="n">
        <f aca="false">((C498/0.6)+1)*2*G492</f>
        <v>18</v>
      </c>
      <c r="D547" s="232" t="n">
        <f aca="false">'Прайс лист'!G838</f>
        <v>30</v>
      </c>
      <c r="E547" s="232" t="n">
        <f aca="false">C547*D547</f>
        <v>540</v>
      </c>
      <c r="F547" s="1148"/>
      <c r="G547" s="88"/>
      <c r="H547" s="88"/>
      <c r="I547" s="232"/>
      <c r="J547" s="232"/>
      <c r="K547" s="2164"/>
      <c r="L547" s="232"/>
      <c r="M547" s="1148"/>
      <c r="N547" s="1148"/>
      <c r="O547" s="1148"/>
      <c r="P547" s="1148"/>
      <c r="Q547" s="1148"/>
      <c r="R547" s="1148"/>
      <c r="S547" s="1148"/>
      <c r="T547" s="1148"/>
      <c r="U547" s="1148"/>
    </row>
    <row r="548" customFormat="false" ht="15" hidden="false" customHeight="true" outlineLevel="1" collapsed="false">
      <c r="A548" s="232" t="str">
        <f aca="false">'Ввод данных'!A349</f>
        <v>Нет техники</v>
      </c>
      <c r="B548" s="232" t="str">
        <f aca="false">'Ввод данных'!B349</f>
        <v>ед.</v>
      </c>
      <c r="C548" s="232" t="n">
        <f aca="false">'Ввод данных'!C349</f>
        <v>4</v>
      </c>
      <c r="D548" s="232" t="n">
        <f aca="false">VLOOKUP(A548,'Прайс лист'!B180:G194,6,0)</f>
        <v>0</v>
      </c>
      <c r="E548" s="232" t="n">
        <f aca="false">C548*D548</f>
        <v>0</v>
      </c>
      <c r="F548" s="1148"/>
      <c r="G548" s="88"/>
      <c r="H548" s="88"/>
      <c r="I548" s="232"/>
      <c r="J548" s="232"/>
      <c r="K548" s="2164"/>
      <c r="L548" s="232"/>
      <c r="M548" s="1148"/>
      <c r="N548" s="1148"/>
      <c r="O548" s="1148"/>
      <c r="P548" s="1148"/>
      <c r="Q548" s="1148"/>
      <c r="R548" s="1148"/>
      <c r="S548" s="1148"/>
      <c r="T548" s="1148"/>
      <c r="U548" s="1148"/>
    </row>
    <row r="549" customFormat="false" ht="15" hidden="false" customHeight="true" outlineLevel="1" collapsed="false">
      <c r="A549" s="232" t="str">
        <f aca="false">'Ввод данных'!A350</f>
        <v>Нет техники</v>
      </c>
      <c r="B549" s="232" t="str">
        <f aca="false">'Ввод данных'!B350</f>
        <v>ед.</v>
      </c>
      <c r="C549" s="232" t="n">
        <f aca="false">'Ввод данных'!C350</f>
        <v>0</v>
      </c>
      <c r="D549" s="232" t="n">
        <f aca="false">VLOOKUP(A549,'Прайс лист'!B180:G194,6,0)</f>
        <v>0</v>
      </c>
      <c r="E549" s="232" t="n">
        <f aca="false">C549*D549</f>
        <v>0</v>
      </c>
      <c r="F549" s="1148"/>
      <c r="G549" s="88"/>
      <c r="H549" s="88"/>
      <c r="I549" s="232"/>
      <c r="J549" s="232"/>
      <c r="K549" s="2164"/>
      <c r="L549" s="232"/>
      <c r="M549" s="1148"/>
      <c r="N549" s="1148"/>
      <c r="O549" s="1148"/>
      <c r="P549" s="1148"/>
      <c r="Q549" s="1148"/>
      <c r="R549" s="1148"/>
      <c r="S549" s="1148"/>
      <c r="T549" s="1148"/>
      <c r="U549" s="1148"/>
    </row>
    <row r="550" customFormat="false" ht="15" hidden="false" customHeight="true" outlineLevel="1" collapsed="false">
      <c r="A550" s="232" t="str">
        <f aca="false">'Ввод данных'!A352</f>
        <v>расходные материалы элементы кровель</v>
      </c>
      <c r="B550" s="232" t="str">
        <f aca="false">'Ввод данных'!B352</f>
        <v>рублей</v>
      </c>
      <c r="C550" s="232" t="n">
        <f aca="false">1</f>
        <v>1</v>
      </c>
      <c r="D550" s="232" t="n">
        <f aca="false">'Ввод данных'!C352</f>
        <v>10000</v>
      </c>
      <c r="E550" s="232" t="n">
        <f aca="false">C550*D550</f>
        <v>10000</v>
      </c>
      <c r="F550" s="1148"/>
      <c r="G550" s="88"/>
      <c r="H550" s="88"/>
      <c r="I550" s="232"/>
      <c r="J550" s="232"/>
      <c r="K550" s="2164"/>
      <c r="L550" s="232"/>
      <c r="M550" s="1148"/>
      <c r="N550" s="1148"/>
      <c r="O550" s="1148"/>
      <c r="P550" s="1148"/>
      <c r="Q550" s="1148"/>
      <c r="R550" s="1148"/>
      <c r="S550" s="1148"/>
      <c r="T550" s="1148"/>
      <c r="U550" s="1148"/>
    </row>
    <row r="551" customFormat="false" ht="15" hidden="false" customHeight="true" outlineLevel="1" collapsed="false">
      <c r="A551" s="1148"/>
      <c r="B551" s="1148"/>
      <c r="C551" s="1148"/>
      <c r="D551" s="1148"/>
      <c r="E551" s="1124" t="n">
        <f aca="false">SUM(E508:E548)</f>
        <v>59188.3445036888</v>
      </c>
      <c r="F551" s="1148"/>
      <c r="G551" s="1148"/>
      <c r="H551" s="1148"/>
      <c r="I551" s="1148"/>
      <c r="J551" s="1148"/>
      <c r="K551" s="1149"/>
      <c r="L551" s="232" t="n">
        <f aca="false">SUM(L508:L548)</f>
        <v>28500.4846401478</v>
      </c>
      <c r="M551" s="1148"/>
      <c r="N551" s="1148"/>
      <c r="O551" s="1148"/>
      <c r="P551" s="1148"/>
      <c r="Q551" s="1148"/>
      <c r="R551" s="1148"/>
      <c r="S551" s="1148"/>
      <c r="T551" s="1148"/>
      <c r="U551" s="1148"/>
    </row>
    <row r="552" customFormat="false" ht="15" hidden="false" customHeight="true" outlineLevel="1" collapsed="false">
      <c r="A552" s="232" t="s">
        <v>2726</v>
      </c>
      <c r="B552" s="2159" t="n">
        <f aca="false">E551</f>
        <v>59188.3445036888</v>
      </c>
      <c r="C552" s="1148"/>
      <c r="D552" s="1148"/>
      <c r="E552" s="1148"/>
      <c r="F552" s="1148"/>
      <c r="G552" s="1148"/>
      <c r="H552" s="1148"/>
      <c r="I552" s="1148"/>
      <c r="J552" s="1148"/>
      <c r="K552" s="1149"/>
      <c r="L552" s="1148"/>
      <c r="M552" s="1148"/>
      <c r="N552" s="1148"/>
      <c r="O552" s="1148"/>
      <c r="P552" s="1148"/>
      <c r="Q552" s="1148"/>
      <c r="R552" s="1148"/>
      <c r="S552" s="1148"/>
      <c r="T552" s="1148"/>
      <c r="U552" s="1148"/>
    </row>
    <row r="553" customFormat="false" ht="15" hidden="false" customHeight="true" outlineLevel="1" collapsed="false">
      <c r="A553" s="232" t="s">
        <v>2727</v>
      </c>
      <c r="B553" s="2159" t="n">
        <f aca="false">L551</f>
        <v>28500.4846401478</v>
      </c>
      <c r="C553" s="1148"/>
      <c r="D553" s="1148"/>
      <c r="E553" s="1148"/>
      <c r="F553" s="1148"/>
      <c r="G553" s="1148"/>
      <c r="H553" s="1148"/>
      <c r="I553" s="1148"/>
      <c r="J553" s="1148"/>
      <c r="K553" s="1149"/>
      <c r="L553" s="1148"/>
      <c r="M553" s="1148"/>
      <c r="N553" s="1148"/>
      <c r="O553" s="1148"/>
      <c r="P553" s="1148"/>
      <c r="Q553" s="1148"/>
      <c r="R553" s="1148"/>
      <c r="S553" s="1148"/>
      <c r="T553" s="1148"/>
      <c r="U553" s="1148"/>
    </row>
    <row r="554" customFormat="false" ht="15" hidden="false" customHeight="true" outlineLevel="1" collapsed="false">
      <c r="A554" s="232" t="s">
        <v>2728</v>
      </c>
      <c r="B554" s="2159" t="n">
        <f aca="false">SUM(B552:B553)</f>
        <v>87688.8291438365</v>
      </c>
      <c r="C554" s="1148"/>
      <c r="D554" s="1148"/>
      <c r="E554" s="1148"/>
      <c r="F554" s="1148"/>
      <c r="G554" s="1148"/>
      <c r="H554" s="1148"/>
      <c r="I554" s="1148"/>
      <c r="J554" s="1148"/>
      <c r="K554" s="1149"/>
      <c r="L554" s="1148"/>
      <c r="M554" s="1148"/>
      <c r="N554" s="1148"/>
      <c r="O554" s="1148"/>
      <c r="P554" s="1148"/>
      <c r="Q554" s="1148"/>
      <c r="R554" s="1148"/>
      <c r="S554" s="1148"/>
      <c r="T554" s="1148"/>
      <c r="U554" s="1148"/>
    </row>
    <row r="555" customFormat="false" ht="15" hidden="false" customHeight="true" outlineLevel="0" collapsed="false">
      <c r="A555" s="2116" t="s">
        <v>4157</v>
      </c>
      <c r="B555" s="2185"/>
      <c r="C555" s="1148"/>
      <c r="D555" s="1148"/>
      <c r="E555" s="1148"/>
      <c r="F555" s="1148"/>
      <c r="G555" s="1148"/>
      <c r="H555" s="1148"/>
      <c r="I555" s="1148"/>
      <c r="J555" s="1148"/>
      <c r="K555" s="1149"/>
      <c r="L555" s="1148"/>
      <c r="M555" s="1148"/>
      <c r="N555" s="1148"/>
      <c r="O555" s="1148"/>
      <c r="P555" s="1148"/>
      <c r="Q555" s="1148"/>
      <c r="R555" s="1148"/>
      <c r="S555" s="1148"/>
      <c r="T555" s="1148"/>
      <c r="U555" s="1148"/>
    </row>
    <row r="556" customFormat="false" ht="15" hidden="false" customHeight="true" outlineLevel="0" collapsed="false">
      <c r="A556" s="2160"/>
      <c r="B556" s="1148"/>
      <c r="C556" s="2149"/>
      <c r="D556" s="2149"/>
      <c r="E556" s="1148"/>
      <c r="F556" s="2149"/>
      <c r="G556" s="2149"/>
      <c r="H556" s="1148"/>
      <c r="I556" s="1148"/>
      <c r="J556" s="1148"/>
      <c r="K556" s="1149"/>
      <c r="L556" s="1148"/>
      <c r="M556" s="1148"/>
      <c r="N556" s="1148"/>
      <c r="O556" s="1148"/>
      <c r="P556" s="1148"/>
      <c r="Q556" s="1148"/>
      <c r="R556" s="1148"/>
      <c r="S556" s="1148"/>
      <c r="T556" s="1148"/>
      <c r="U556" s="1148"/>
    </row>
    <row r="557" customFormat="false" ht="15" hidden="false" customHeight="true" outlineLevel="1" collapsed="false">
      <c r="A557" s="1094" t="s">
        <v>4160</v>
      </c>
      <c r="B557" s="1094"/>
      <c r="C557" s="1094"/>
      <c r="D557" s="1094"/>
      <c r="E557" s="1094"/>
      <c r="F557" s="1094"/>
      <c r="G557" s="1094"/>
      <c r="H557" s="1094"/>
      <c r="I557" s="1094"/>
      <c r="J557" s="1094"/>
      <c r="K557" s="1094"/>
      <c r="L557" s="1094"/>
      <c r="M557" s="1148"/>
      <c r="N557" s="1148"/>
      <c r="O557" s="1148"/>
      <c r="P557" s="1148"/>
      <c r="Q557" s="1148"/>
      <c r="R557" s="1148"/>
      <c r="S557" s="1148"/>
      <c r="T557" s="1148"/>
      <c r="U557" s="1148"/>
    </row>
    <row r="558" customFormat="false" ht="15" hidden="false" customHeight="true" outlineLevel="1" collapsed="false">
      <c r="A558" s="1096" t="s">
        <v>1806</v>
      </c>
      <c r="B558" s="1096"/>
      <c r="C558" s="1096"/>
      <c r="D558" s="1096"/>
      <c r="E558" s="1096"/>
      <c r="F558" s="1096"/>
      <c r="G558" s="2537" t="n">
        <f aca="false">'Ввод данных'!E420</f>
        <v>1.15</v>
      </c>
      <c r="H558" s="1097" t="n">
        <f aca="false">'Ввод данных'!E421</f>
        <v>1</v>
      </c>
      <c r="I558" s="1097"/>
      <c r="J558" s="1097"/>
      <c r="K558" s="1097"/>
      <c r="L558" s="1097"/>
      <c r="M558" s="1148"/>
      <c r="N558" s="1148"/>
      <c r="O558" s="1148"/>
      <c r="P558" s="1148"/>
      <c r="Q558" s="1148"/>
      <c r="R558" s="1148"/>
      <c r="S558" s="1148"/>
      <c r="T558" s="1148"/>
      <c r="U558" s="1148"/>
    </row>
    <row r="559" customFormat="false" ht="15" hidden="false" customHeight="true" outlineLevel="1" collapsed="false">
      <c r="A559" s="2504" t="s">
        <v>2705</v>
      </c>
      <c r="B559" s="2505" t="s">
        <v>156</v>
      </c>
      <c r="C559" s="2505" t="n">
        <f aca="false">дома!D1229*(дома!C1275+дома!C1245)</f>
        <v>0</v>
      </c>
      <c r="D559" s="2506" t="n">
        <v>1</v>
      </c>
      <c r="E559" s="2507"/>
      <c r="F559" s="2507"/>
      <c r="G559" s="2507"/>
      <c r="H559" s="1097"/>
      <c r="I559" s="1097"/>
      <c r="J559" s="1097"/>
      <c r="K559" s="1097"/>
      <c r="L559" s="1097"/>
      <c r="M559" s="1148"/>
      <c r="N559" s="1148"/>
      <c r="O559" s="1148"/>
      <c r="P559" s="1148"/>
      <c r="Q559" s="1148"/>
      <c r="R559" s="1148"/>
      <c r="S559" s="1148"/>
      <c r="T559" s="1148"/>
      <c r="U559" s="1148"/>
    </row>
    <row r="560" customFormat="false" ht="15" hidden="false" customHeight="true" outlineLevel="1" collapsed="false">
      <c r="A560" s="2504" t="s">
        <v>3829</v>
      </c>
      <c r="B560" s="2505" t="s">
        <v>156</v>
      </c>
      <c r="C560" s="2505" t="n">
        <v>0.05</v>
      </c>
      <c r="D560" s="2508"/>
      <c r="E560" s="2507"/>
      <c r="F560" s="2507"/>
      <c r="G560" s="2507"/>
      <c r="H560" s="1097"/>
      <c r="I560" s="1097"/>
      <c r="J560" s="1097"/>
      <c r="K560" s="1097"/>
      <c r="L560" s="1097"/>
      <c r="M560" s="1148"/>
      <c r="N560" s="1148"/>
      <c r="O560" s="1148"/>
      <c r="P560" s="1148"/>
      <c r="Q560" s="1148"/>
      <c r="R560" s="1148"/>
      <c r="S560" s="1148"/>
      <c r="T560" s="1148"/>
      <c r="U560" s="1148"/>
    </row>
    <row r="561" customFormat="false" ht="15" hidden="false" customHeight="true" outlineLevel="1" collapsed="false">
      <c r="A561" s="2504" t="s">
        <v>3830</v>
      </c>
      <c r="B561" s="2505" t="s">
        <v>156</v>
      </c>
      <c r="C561" s="2505" t="n">
        <v>0.15</v>
      </c>
      <c r="D561" s="2508"/>
      <c r="E561" s="2507"/>
      <c r="F561" s="2507"/>
      <c r="G561" s="2507"/>
      <c r="H561" s="1097"/>
      <c r="I561" s="1097"/>
      <c r="J561" s="1097"/>
      <c r="K561" s="1097"/>
      <c r="L561" s="1097"/>
      <c r="M561" s="1148"/>
      <c r="N561" s="1148"/>
      <c r="O561" s="1148"/>
      <c r="P561" s="1148"/>
      <c r="Q561" s="1148"/>
      <c r="R561" s="1148"/>
      <c r="S561" s="1148"/>
      <c r="T561" s="1148"/>
      <c r="U561" s="1148"/>
    </row>
    <row r="562" customFormat="false" ht="15" hidden="false" customHeight="true" outlineLevel="1" collapsed="false">
      <c r="A562" s="265" t="s">
        <v>3831</v>
      </c>
      <c r="B562" s="1124" t="s">
        <v>159</v>
      </c>
      <c r="C562" s="2509" t="n">
        <f aca="false">IF('Ввод данных'!A436=связи1!A6,1,0)</f>
        <v>1</v>
      </c>
      <c r="D562" s="2510"/>
      <c r="E562" s="2511"/>
      <c r="F562" s="2511"/>
      <c r="G562" s="2116"/>
      <c r="H562" s="2116"/>
      <c r="I562" s="2124"/>
      <c r="J562" s="2116"/>
      <c r="K562" s="2165"/>
      <c r="L562" s="2116"/>
      <c r="M562" s="1148"/>
      <c r="N562" s="1148"/>
      <c r="O562" s="1148"/>
      <c r="P562" s="1148"/>
      <c r="Q562" s="1148"/>
      <c r="R562" s="1148"/>
      <c r="S562" s="1148"/>
      <c r="T562" s="1148"/>
      <c r="U562" s="1148"/>
    </row>
    <row r="563" customFormat="false" ht="15" hidden="false" customHeight="true" outlineLevel="1" collapsed="false">
      <c r="A563" s="2512" t="s">
        <v>3832</v>
      </c>
      <c r="B563" s="232" t="s">
        <v>159</v>
      </c>
      <c r="C563" s="2509" t="n">
        <f aca="false">IF('Ввод данных'!A436=связи1!A7,1,0)</f>
        <v>0</v>
      </c>
      <c r="D563" s="2510"/>
      <c r="E563" s="2511"/>
      <c r="F563" s="2511"/>
      <c r="G563" s="2116"/>
      <c r="H563" s="2116"/>
      <c r="I563" s="2124"/>
      <c r="J563" s="2116"/>
      <c r="K563" s="2165"/>
      <c r="L563" s="2116"/>
      <c r="M563" s="1148"/>
      <c r="N563" s="1148"/>
      <c r="O563" s="1148"/>
      <c r="P563" s="1148"/>
      <c r="Q563" s="1148"/>
      <c r="R563" s="1148"/>
      <c r="S563" s="1148"/>
      <c r="T563" s="1148"/>
      <c r="U563" s="1148"/>
    </row>
    <row r="564" customFormat="false" ht="15" hidden="false" customHeight="true" outlineLevel="1" collapsed="false">
      <c r="A564" s="2512" t="s">
        <v>3833</v>
      </c>
      <c r="B564" s="232" t="s">
        <v>159</v>
      </c>
      <c r="C564" s="2509" t="n">
        <f aca="false">IF('Ввод данных'!A436=связи1!A8,1,0)</f>
        <v>0</v>
      </c>
      <c r="D564" s="2510"/>
      <c r="E564" s="1120" t="e">
        <f aca="false">дома!#REF!</f>
        <v>#VALUE!</v>
      </c>
      <c r="F564" s="2511"/>
      <c r="G564" s="2116"/>
      <c r="H564" s="2116"/>
      <c r="I564" s="2124"/>
      <c r="J564" s="2116"/>
      <c r="K564" s="2165"/>
      <c r="L564" s="2116"/>
      <c r="M564" s="1148"/>
      <c r="N564" s="1148"/>
      <c r="O564" s="1148"/>
      <c r="P564" s="1148"/>
      <c r="Q564" s="1148"/>
      <c r="R564" s="1148"/>
      <c r="S564" s="1148"/>
      <c r="T564" s="1148"/>
      <c r="U564" s="1148"/>
    </row>
    <row r="565" customFormat="false" ht="15" hidden="false" customHeight="true" outlineLevel="1" collapsed="false">
      <c r="A565" s="232" t="s">
        <v>2623</v>
      </c>
      <c r="B565" s="232" t="s">
        <v>133</v>
      </c>
      <c r="C565" s="232" t="n">
        <f aca="false">дома!D1229*дома!C1285</f>
        <v>0</v>
      </c>
      <c r="D565" s="2511"/>
      <c r="E565" s="1120" t="e">
        <f aca="false">дома!#REF!</f>
        <v>#VALUE!</v>
      </c>
      <c r="F565" s="2511"/>
      <c r="G565" s="2116"/>
      <c r="H565" s="2116"/>
      <c r="I565" s="2124"/>
      <c r="J565" s="2116"/>
      <c r="K565" s="2165"/>
      <c r="L565" s="2116"/>
      <c r="M565" s="1148"/>
      <c r="N565" s="1148"/>
      <c r="O565" s="1148"/>
      <c r="P565" s="1148"/>
      <c r="Q565" s="1148"/>
      <c r="R565" s="1148"/>
      <c r="S565" s="1148"/>
      <c r="T565" s="1148"/>
      <c r="U565" s="1148"/>
    </row>
    <row r="566" customFormat="false" ht="15" hidden="false" customHeight="true" outlineLevel="1" collapsed="false">
      <c r="A566" s="232" t="s">
        <v>2714</v>
      </c>
      <c r="B566" s="232" t="s">
        <v>133</v>
      </c>
      <c r="C566" s="232" t="n">
        <v>0</v>
      </c>
      <c r="D566" s="2511"/>
      <c r="E566" s="2511"/>
      <c r="F566" s="2511"/>
      <c r="G566" s="2116"/>
      <c r="H566" s="2116"/>
      <c r="I566" s="2124"/>
      <c r="J566" s="2116"/>
      <c r="K566" s="2165"/>
      <c r="L566" s="2116"/>
      <c r="M566" s="1148"/>
      <c r="N566" s="1148"/>
      <c r="O566" s="1148"/>
      <c r="P566" s="1148"/>
      <c r="Q566" s="1148"/>
      <c r="R566" s="1148"/>
      <c r="S566" s="1148"/>
      <c r="T566" s="1148"/>
      <c r="U566" s="1148"/>
    </row>
    <row r="567" customFormat="false" ht="15" hidden="false" customHeight="true" outlineLevel="1" collapsed="false">
      <c r="A567" s="232" t="s">
        <v>4161</v>
      </c>
      <c r="B567" s="232" t="s">
        <v>133</v>
      </c>
      <c r="C567" s="232" t="n">
        <f aca="false">((дома!D1268*2+дома!D1269*2+дома!D1270*2+дома!C1275*1.5+дома!C1245+дома!C1245/0.5*дома!C1238)*дома!D1229)</f>
        <v>0</v>
      </c>
      <c r="D567" s="2511"/>
      <c r="E567" s="2511"/>
      <c r="F567" s="2511"/>
      <c r="G567" s="2116"/>
      <c r="H567" s="2116"/>
      <c r="I567" s="2124"/>
      <c r="J567" s="2116"/>
      <c r="K567" s="2165"/>
      <c r="L567" s="2116"/>
      <c r="M567" s="1148"/>
      <c r="N567" s="1148"/>
      <c r="O567" s="1148"/>
      <c r="P567" s="1148"/>
      <c r="Q567" s="1148"/>
      <c r="R567" s="1148"/>
      <c r="S567" s="1148"/>
      <c r="T567" s="1148"/>
      <c r="U567" s="1148"/>
    </row>
    <row r="568" customFormat="false" ht="15" hidden="false" customHeight="true" outlineLevel="1" collapsed="false">
      <c r="A568" s="232" t="s">
        <v>2716</v>
      </c>
      <c r="B568" s="232" t="s">
        <v>156</v>
      </c>
      <c r="C568" s="232" t="n">
        <f aca="false">дома!D1229*дома!C1275*2.1</f>
        <v>0</v>
      </c>
      <c r="D568" s="2511"/>
      <c r="E568" s="2511"/>
      <c r="F568" s="2511"/>
      <c r="G568" s="2116"/>
      <c r="H568" s="2116"/>
      <c r="I568" s="2124"/>
      <c r="J568" s="2116"/>
      <c r="K568" s="2165"/>
      <c r="L568" s="2116"/>
      <c r="M568" s="1148"/>
      <c r="N568" s="1148"/>
      <c r="O568" s="1148"/>
      <c r="P568" s="1148"/>
      <c r="Q568" s="1148"/>
      <c r="R568" s="1148"/>
      <c r="S568" s="1148"/>
      <c r="T568" s="1148"/>
      <c r="U568" s="1148"/>
    </row>
    <row r="569" customFormat="false" ht="15" hidden="false" customHeight="true" outlineLevel="1" collapsed="false">
      <c r="A569" s="232" t="s">
        <v>4158</v>
      </c>
      <c r="B569" s="232" t="s">
        <v>156</v>
      </c>
      <c r="C569" s="1130" t="n">
        <f aca="false">D569</f>
        <v>0</v>
      </c>
      <c r="D569" s="2511" t="n">
        <f aca="false">дома!D1229*дома!C1281</f>
        <v>0</v>
      </c>
      <c r="E569" s="2511"/>
      <c r="F569" s="2511"/>
      <c r="G569" s="2116"/>
      <c r="H569" s="2116"/>
      <c r="I569" s="2124"/>
      <c r="J569" s="2116"/>
      <c r="K569" s="2165"/>
      <c r="L569" s="2116"/>
      <c r="M569" s="1148"/>
      <c r="N569" s="1148"/>
      <c r="O569" s="1148"/>
      <c r="P569" s="1148"/>
      <c r="Q569" s="1148"/>
      <c r="R569" s="1148"/>
      <c r="S569" s="1148"/>
      <c r="T569" s="1148"/>
      <c r="U569" s="1148"/>
    </row>
    <row r="570" customFormat="false" ht="15" hidden="false" customHeight="true" outlineLevel="1" collapsed="false">
      <c r="A570" s="260" t="s">
        <v>4159</v>
      </c>
      <c r="B570" s="260" t="s">
        <v>156</v>
      </c>
      <c r="C570" s="1130" t="n">
        <f aca="false">дома!C1280*дома!D1229</f>
        <v>0</v>
      </c>
      <c r="D570" s="2511"/>
      <c r="E570" s="2511"/>
      <c r="F570" s="2511"/>
      <c r="G570" s="2116"/>
      <c r="H570" s="2116"/>
      <c r="I570" s="2124"/>
      <c r="J570" s="2116"/>
      <c r="K570" s="2165"/>
      <c r="L570" s="2116"/>
      <c r="M570" s="1148"/>
      <c r="N570" s="1148"/>
      <c r="O570" s="1148"/>
      <c r="P570" s="1148"/>
      <c r="Q570" s="1148"/>
      <c r="R570" s="1148"/>
      <c r="S570" s="1148"/>
      <c r="T570" s="1148"/>
      <c r="U570" s="1148"/>
    </row>
    <row r="571" customFormat="false" ht="15" hidden="false" customHeight="true" outlineLevel="1" collapsed="false">
      <c r="A571" s="2162" t="s">
        <v>1089</v>
      </c>
      <c r="B571" s="260" t="s">
        <v>159</v>
      </c>
      <c r="C571" s="1130" t="n">
        <v>0</v>
      </c>
      <c r="D571" s="2511"/>
      <c r="E571" s="2511"/>
      <c r="F571" s="2511"/>
      <c r="G571" s="2116"/>
      <c r="H571" s="2116"/>
      <c r="I571" s="2124"/>
      <c r="J571" s="2116"/>
      <c r="K571" s="2165"/>
      <c r="L571" s="2116"/>
      <c r="M571" s="1148"/>
      <c r="N571" s="1148"/>
      <c r="O571" s="1148"/>
      <c r="P571" s="1148"/>
      <c r="Q571" s="1148"/>
      <c r="R571" s="1148"/>
      <c r="S571" s="1148"/>
      <c r="T571" s="1148"/>
      <c r="U571" s="1148"/>
    </row>
    <row r="572" customFormat="false" ht="15" hidden="false" customHeight="true" outlineLevel="1" collapsed="false">
      <c r="A572" s="2162" t="s">
        <v>1090</v>
      </c>
      <c r="B572" s="260" t="s">
        <v>159</v>
      </c>
      <c r="C572" s="1130" t="n">
        <v>0</v>
      </c>
      <c r="D572" s="2511"/>
      <c r="E572" s="2511"/>
      <c r="F572" s="2511"/>
      <c r="G572" s="2116"/>
      <c r="H572" s="2116"/>
      <c r="I572" s="2124"/>
      <c r="J572" s="2116"/>
      <c r="K572" s="2165"/>
      <c r="L572" s="2116"/>
      <c r="M572" s="1148"/>
      <c r="N572" s="1148"/>
      <c r="O572" s="1148"/>
      <c r="P572" s="1148"/>
      <c r="Q572" s="1148"/>
      <c r="R572" s="1148"/>
      <c r="S572" s="1148"/>
      <c r="T572" s="1148"/>
      <c r="U572" s="1148"/>
    </row>
    <row r="573" customFormat="false" ht="15" hidden="false" customHeight="true" outlineLevel="1" collapsed="false">
      <c r="A573" s="2162" t="s">
        <v>1091</v>
      </c>
      <c r="B573" s="260" t="s">
        <v>159</v>
      </c>
      <c r="C573" s="1130" t="n">
        <v>0</v>
      </c>
      <c r="D573" s="2511"/>
      <c r="E573" s="2511"/>
      <c r="F573" s="2184" t="n">
        <v>1</v>
      </c>
      <c r="G573" s="2116"/>
      <c r="H573" s="2116"/>
      <c r="I573" s="2124"/>
      <c r="J573" s="2116"/>
      <c r="K573" s="2165"/>
      <c r="L573" s="2116"/>
      <c r="M573" s="1148"/>
      <c r="N573" s="1148"/>
      <c r="O573" s="1148"/>
      <c r="P573" s="1148"/>
      <c r="Q573" s="1148"/>
      <c r="R573" s="1148"/>
      <c r="S573" s="1148"/>
      <c r="T573" s="1148"/>
      <c r="U573" s="1148"/>
    </row>
    <row r="574" customFormat="false" ht="15" hidden="false" customHeight="true" outlineLevel="1" collapsed="false">
      <c r="A574" s="2163" t="s">
        <v>2720</v>
      </c>
      <c r="B574" s="2163" t="s">
        <v>1094</v>
      </c>
      <c r="C574" s="2163" t="s">
        <v>1802</v>
      </c>
      <c r="D574" s="2163" t="s">
        <v>2721</v>
      </c>
      <c r="E574" s="2163" t="s">
        <v>2722</v>
      </c>
      <c r="F574" s="1148" t="n">
        <v>1</v>
      </c>
      <c r="G574" s="2189" t="s">
        <v>1409</v>
      </c>
      <c r="H574" s="2189"/>
      <c r="I574" s="2163" t="s">
        <v>1094</v>
      </c>
      <c r="J574" s="2163" t="s">
        <v>1802</v>
      </c>
      <c r="K574" s="2513" t="s">
        <v>1601</v>
      </c>
      <c r="L574" s="2163" t="s">
        <v>2722</v>
      </c>
      <c r="M574" s="1148"/>
      <c r="N574" s="1148"/>
      <c r="O574" s="1148"/>
      <c r="P574" s="1148"/>
      <c r="Q574" s="1148"/>
      <c r="R574" s="1148"/>
      <c r="S574" s="1148"/>
      <c r="T574" s="1148"/>
      <c r="U574" s="1148"/>
    </row>
    <row r="575" customFormat="false" ht="15" hidden="false" customHeight="true" outlineLevel="1" collapsed="false">
      <c r="A575" s="232" t="str">
        <f aca="false">'Ввод данных'!A438</f>
        <v>Брус естественной влажности, 100*100мм</v>
      </c>
      <c r="B575" s="232" t="s">
        <v>135</v>
      </c>
      <c r="C575" s="232" t="n">
        <f aca="false">C559*D559*G558*VLOOKUP(A575,связи1!F203:H213,3,0)</f>
        <v>0</v>
      </c>
      <c r="D575" s="232" t="n">
        <f aca="false">VLOOKUP(A575,связи1!F203:H213,2,0)</f>
        <v>6500</v>
      </c>
      <c r="E575" s="232" t="n">
        <f aca="false">C575*D575</f>
        <v>0</v>
      </c>
      <c r="F575" s="1148"/>
      <c r="G575" s="2157"/>
      <c r="H575" s="2158"/>
      <c r="I575" s="232"/>
      <c r="J575" s="232"/>
      <c r="K575" s="2164"/>
      <c r="L575" s="232"/>
      <c r="M575" s="1148"/>
      <c r="N575" s="1148"/>
      <c r="O575" s="1148"/>
      <c r="P575" s="1148"/>
      <c r="Q575" s="1148"/>
      <c r="R575" s="1148"/>
      <c r="S575" s="1148"/>
      <c r="T575" s="1148"/>
      <c r="U575" s="1148"/>
    </row>
    <row r="576" customFormat="false" ht="15" hidden="false" customHeight="true" outlineLevel="1" collapsed="false">
      <c r="A576" s="232" t="str">
        <f aca="false">'Прайс лист'!B864</f>
        <v>Болты анкерные с гайкой 12,0 х 280</v>
      </c>
      <c r="B576" s="232" t="s">
        <v>159</v>
      </c>
      <c r="C576" s="2159" t="n">
        <f aca="false">C559*D559*1*G558</f>
        <v>0</v>
      </c>
      <c r="D576" s="232" t="n">
        <f aca="false">'Прайс лист'!G864</f>
        <v>27.1</v>
      </c>
      <c r="E576" s="232" t="n">
        <f aca="false">C576*D576</f>
        <v>0</v>
      </c>
      <c r="F576" s="1148"/>
      <c r="G576" s="2182" t="str">
        <f aca="false">'Прайс лист'!B1735</f>
        <v>монтаж мауэрлат</v>
      </c>
      <c r="H576" s="2183"/>
      <c r="I576" s="232" t="s">
        <v>156</v>
      </c>
      <c r="J576" s="232" t="n">
        <f aca="false">C559*D559*H558</f>
        <v>0</v>
      </c>
      <c r="K576" s="2164" t="n">
        <f aca="false">'Прайс лист'!G1735</f>
        <v>250</v>
      </c>
      <c r="L576" s="232" t="n">
        <f aca="false">J576*K576</f>
        <v>0</v>
      </c>
      <c r="M576" s="1148"/>
      <c r="N576" s="1148"/>
      <c r="O576" s="1148"/>
      <c r="P576" s="1148"/>
      <c r="Q576" s="1148"/>
      <c r="R576" s="1148"/>
      <c r="S576" s="1148"/>
      <c r="T576" s="1148"/>
      <c r="U576" s="1148"/>
    </row>
    <row r="577" customFormat="false" ht="15" hidden="false" customHeight="true" outlineLevel="1" collapsed="false">
      <c r="A577" s="232" t="str">
        <f aca="false">'Ввод данных'!A440</f>
        <v>Доска сухая, 200*50мм</v>
      </c>
      <c r="B577" s="232" t="s">
        <v>135</v>
      </c>
      <c r="C577" s="232" t="n">
        <f aca="false">(C567)*G558*VLOOKUP(A577,связи1!A407:E416,5,0)*1.4</f>
        <v>0</v>
      </c>
      <c r="D577" s="232" t="n">
        <f aca="false">VLOOKUP(A577,связи1!A407:E416,2,0)</f>
        <v>9000</v>
      </c>
      <c r="E577" s="232" t="n">
        <f aca="false">C577*D577</f>
        <v>0</v>
      </c>
      <c r="F577" s="1148"/>
      <c r="G577" s="2182" t="str">
        <f aca="false">'Прайс лист'!B1736</f>
        <v>монтаж стропил</v>
      </c>
      <c r="H577" s="2183"/>
      <c r="I577" s="232" t="s">
        <v>133</v>
      </c>
      <c r="J577" s="232" t="n">
        <f aca="false">C565*(C562+C563+C564)*H558*IF(A577=связи1!A407,0,1)</f>
        <v>0</v>
      </c>
      <c r="K577" s="2164" t="n">
        <f aca="false">'Прайс лист'!G1736</f>
        <v>450</v>
      </c>
      <c r="L577" s="232" t="n">
        <f aca="false">J577*K577</f>
        <v>0</v>
      </c>
      <c r="M577" s="1148"/>
      <c r="N577" s="1148"/>
      <c r="O577" s="1148"/>
      <c r="P577" s="1148"/>
      <c r="Q577" s="1148"/>
      <c r="R577" s="1148"/>
      <c r="S577" s="1148"/>
      <c r="T577" s="1148"/>
      <c r="U577" s="1148"/>
    </row>
    <row r="578" customFormat="false" ht="15" hidden="false" customHeight="true" outlineLevel="1" collapsed="false">
      <c r="A578" s="232" t="str">
        <f aca="false">'Ввод данных'!A442</f>
        <v>Сосна влаж,100*25мм</v>
      </c>
      <c r="B578" s="232" t="s">
        <v>135</v>
      </c>
      <c r="C578" s="232" t="n">
        <f aca="false">C565*3.5*VLOOKUP(A578,связи1!A432:F440,5,0)*G558*F574*F573</f>
        <v>0</v>
      </c>
      <c r="D578" s="232" t="n">
        <f aca="false">VLOOKUP(A578,связи1!A432:F440,6,0)</f>
        <v>6500</v>
      </c>
      <c r="E578" s="232" t="n">
        <f aca="false">C578*D578</f>
        <v>0</v>
      </c>
      <c r="F578" s="1148"/>
      <c r="G578" s="2182" t="str">
        <f aca="false">'Прайс лист'!B1737</f>
        <v>обрешетка</v>
      </c>
      <c r="H578" s="2183"/>
      <c r="I578" s="232" t="s">
        <v>133</v>
      </c>
      <c r="J578" s="232" t="n">
        <f aca="false">C565*(C562+C563+C564)*H558*IF(A578=связи1!A432,0,1)</f>
        <v>0</v>
      </c>
      <c r="K578" s="2164" t="n">
        <f aca="false">'Прайс лист'!G1737</f>
        <v>100</v>
      </c>
      <c r="L578" s="232" t="n">
        <f aca="false">J578*K578</f>
        <v>0</v>
      </c>
      <c r="M578" s="1148"/>
      <c r="N578" s="1148"/>
      <c r="O578" s="1148"/>
      <c r="P578" s="1148"/>
      <c r="Q578" s="1148"/>
      <c r="R578" s="1148"/>
      <c r="S578" s="1148"/>
      <c r="T578" s="1148"/>
      <c r="U578" s="1148"/>
    </row>
    <row r="579" customFormat="false" ht="15" hidden="false" customHeight="true" outlineLevel="1" collapsed="false">
      <c r="A579" s="232" t="str">
        <f aca="false">'Ввод данных'!A444</f>
        <v>Доска сухая, калибр., 35*45мм</v>
      </c>
      <c r="B579" s="232" t="s">
        <v>159</v>
      </c>
      <c r="C579" s="232" t="n">
        <f aca="false">C565*1.7*VLOOKUP(A579,связи1!A418:E421,5,0)*G558*F574*F573</f>
        <v>0</v>
      </c>
      <c r="D579" s="232" t="n">
        <f aca="false">VLOOKUP(A579,связи1!A418:D421,2,0)</f>
        <v>12500</v>
      </c>
      <c r="E579" s="232" t="n">
        <f aca="false">C579*D579</f>
        <v>0</v>
      </c>
      <c r="F579" s="1148"/>
      <c r="G579" s="2182" t="str">
        <f aca="false">'Прайс лист'!B1738</f>
        <v>контробеш</v>
      </c>
      <c r="H579" s="2183"/>
      <c r="I579" s="232" t="s">
        <v>133</v>
      </c>
      <c r="J579" s="232" t="n">
        <f aca="false">C565*(C562+C563+C564)*H558*IF(A579=связи1!A418,0,1)</f>
        <v>0</v>
      </c>
      <c r="K579" s="2164" t="n">
        <f aca="false">'Прайс лист'!G1738</f>
        <v>100</v>
      </c>
      <c r="L579" s="232" t="n">
        <f aca="false">J579*K579</f>
        <v>0</v>
      </c>
      <c r="M579" s="1148"/>
      <c r="N579" s="1148"/>
      <c r="O579" s="1148"/>
      <c r="P579" s="1148"/>
      <c r="Q579" s="1148"/>
      <c r="R579" s="1148"/>
      <c r="S579" s="1148"/>
      <c r="T579" s="1148"/>
      <c r="U579" s="1148"/>
    </row>
    <row r="580" customFormat="false" ht="15" hidden="false" customHeight="true" outlineLevel="1" collapsed="false">
      <c r="A580" s="232" t="str">
        <f aca="false">'Ввод данных'!A450</f>
        <v>нет ветроизоляции</v>
      </c>
      <c r="B580" s="232" t="s">
        <v>133</v>
      </c>
      <c r="C580" s="232" t="n">
        <f aca="false">C565*1.3*G558*F574*F573</f>
        <v>0</v>
      </c>
      <c r="D580" s="232" t="n">
        <f aca="false">VLOOKUP(A580,'Прайс лист'!B793:G819,6,0)</f>
        <v>0</v>
      </c>
      <c r="E580" s="232" t="n">
        <f aca="false">C580*D580</f>
        <v>0</v>
      </c>
      <c r="F580" s="1148"/>
      <c r="G580" s="2182" t="str">
        <f aca="false">'Прайс лист'!B1739</f>
        <v>мембрана</v>
      </c>
      <c r="H580" s="2183"/>
      <c r="I580" s="232" t="s">
        <v>133</v>
      </c>
      <c r="J580" s="232" t="n">
        <f aca="false">C565*(C562+C563+C564)*H558*IF(A580='Прайс лист'!B793,0,1)</f>
        <v>0</v>
      </c>
      <c r="K580" s="2164" t="n">
        <f aca="false">'Прайс лист'!G1739</f>
        <v>100</v>
      </c>
      <c r="L580" s="232" t="n">
        <f aca="false">J580*K580</f>
        <v>0</v>
      </c>
      <c r="M580" s="1148"/>
      <c r="N580" s="1148"/>
      <c r="O580" s="1148"/>
      <c r="P580" s="1148"/>
      <c r="Q580" s="1148"/>
      <c r="R580" s="1148"/>
      <c r="S580" s="1148"/>
      <c r="T580" s="1148"/>
      <c r="U580" s="1148"/>
    </row>
    <row r="581" customFormat="false" ht="15" hidden="false" customHeight="true" outlineLevel="1" collapsed="false">
      <c r="A581" s="232" t="str">
        <f aca="false">'Ввод данных'!A452</f>
        <v>нет пароизоляции</v>
      </c>
      <c r="B581" s="232" t="s">
        <v>133</v>
      </c>
      <c r="C581" s="232" t="n">
        <f aca="false">C580*G558*F574*F573</f>
        <v>0</v>
      </c>
      <c r="D581" s="232" t="n">
        <f aca="false">VLOOKUP(A581,'Прайс лист'!B820:G831,6,0)</f>
        <v>0</v>
      </c>
      <c r="E581" s="232" t="n">
        <f aca="false">C581*D581</f>
        <v>0</v>
      </c>
      <c r="F581" s="1148"/>
      <c r="G581" s="2182" t="str">
        <f aca="false">'Прайс лист'!B1740</f>
        <v>пароизоляц</v>
      </c>
      <c r="H581" s="2183"/>
      <c r="I581" s="232" t="s">
        <v>133</v>
      </c>
      <c r="J581" s="232" t="n">
        <f aca="false">J577*(C562+C563+C564)*H558*IF(A581='Прайс лист'!B820,0,1)</f>
        <v>0</v>
      </c>
      <c r="K581" s="2164" t="n">
        <f aca="false">'Прайс лист'!G1740</f>
        <v>100</v>
      </c>
      <c r="L581" s="232" t="n">
        <f aca="false">J581*K581</f>
        <v>0</v>
      </c>
      <c r="M581" s="1148"/>
      <c r="N581" s="1148"/>
      <c r="O581" s="1148"/>
      <c r="P581" s="1148"/>
      <c r="Q581" s="1148"/>
      <c r="R581" s="1148"/>
      <c r="S581" s="1148"/>
      <c r="T581" s="1148"/>
      <c r="U581" s="1148"/>
    </row>
    <row r="582" customFormat="false" ht="15" hidden="false" customHeight="true" outlineLevel="1" collapsed="false">
      <c r="A582" s="232" t="str">
        <f aca="false">'Ввод данных'!A448</f>
        <v>Плитный,28кг/м3, технониколь, 100мм</v>
      </c>
      <c r="B582" s="232" t="s">
        <v>135</v>
      </c>
      <c r="C582" s="232" t="n">
        <f aca="false">дома!C1284*0.9*G558*VLOOKUP(A582,'Прайс лист'!B744:G782,3,0)</f>
        <v>1.1256598192649</v>
      </c>
      <c r="D582" s="232" t="n">
        <f aca="false">VLOOKUP(A582,'Прайс лист'!B744:G782,6,0)</f>
        <v>1700</v>
      </c>
      <c r="E582" s="232" t="n">
        <f aca="false">C582*D582</f>
        <v>1913.62169275032</v>
      </c>
      <c r="F582" s="1148"/>
      <c r="G582" s="2182" t="str">
        <f aca="false">'Прайс лист'!B1741</f>
        <v>утеплитель</v>
      </c>
      <c r="H582" s="2183"/>
      <c r="I582" s="232" t="s">
        <v>133</v>
      </c>
      <c r="J582" s="232" t="n">
        <f aca="false">J577*(C562+C563+C564)*H558*IF(A582='Прайс лист'!B744,0,1)</f>
        <v>0</v>
      </c>
      <c r="K582" s="2164" t="n">
        <f aca="false">'Прайс лист'!G1741</f>
        <v>200</v>
      </c>
      <c r="L582" s="232" t="n">
        <f aca="false">J582*K582</f>
        <v>0</v>
      </c>
      <c r="M582" s="1148"/>
      <c r="N582" s="1148"/>
      <c r="O582" s="1148"/>
      <c r="P582" s="1148"/>
      <c r="Q582" s="1148"/>
      <c r="R582" s="1148"/>
      <c r="S582" s="1148"/>
      <c r="T582" s="1148"/>
      <c r="U582" s="1148"/>
    </row>
    <row r="583" customFormat="false" ht="15" hidden="false" customHeight="true" outlineLevel="1" collapsed="false">
      <c r="A583" s="232" t="s">
        <v>2724</v>
      </c>
      <c r="B583" s="232" t="s">
        <v>133</v>
      </c>
      <c r="C583" s="232" t="n">
        <f aca="false">C565*1.5*G558*(C562+C564)*F574*F573</f>
        <v>0</v>
      </c>
      <c r="D583" s="232" t="n">
        <f aca="false">'Прайс лист'!G1131</f>
        <v>250</v>
      </c>
      <c r="E583" s="232" t="n">
        <f aca="false">C583*D583</f>
        <v>0</v>
      </c>
      <c r="F583" s="1148"/>
      <c r="G583" s="2182" t="str">
        <f aca="false">'Прайс лист'!B1742</f>
        <v>Монтаж металлочерепицы</v>
      </c>
      <c r="H583" s="2183"/>
      <c r="I583" s="232" t="s">
        <v>133</v>
      </c>
      <c r="J583" s="232" t="n">
        <f aca="false">C565*(C562)*H558</f>
        <v>0</v>
      </c>
      <c r="K583" s="2164" t="n">
        <f aca="false">'Прайс лист'!G1742</f>
        <v>300</v>
      </c>
      <c r="L583" s="232" t="n">
        <f aca="false">J583*K583</f>
        <v>0</v>
      </c>
      <c r="M583" s="1148"/>
      <c r="N583" s="1148"/>
      <c r="O583" s="1148"/>
      <c r="P583" s="1148"/>
      <c r="Q583" s="1148"/>
      <c r="R583" s="1148"/>
      <c r="S583" s="1148"/>
      <c r="T583" s="1148"/>
      <c r="U583" s="1148"/>
    </row>
    <row r="584" customFormat="false" ht="15" hidden="false" customHeight="true" outlineLevel="1" collapsed="false">
      <c r="A584" s="232" t="str">
        <f aca="false">'Прайс лист'!B1132</f>
        <v>Карнизная планка</v>
      </c>
      <c r="B584" s="232" t="s">
        <v>156</v>
      </c>
      <c r="C584" s="232" t="n">
        <f aca="false">C568*G558*(C562+C564)</f>
        <v>0</v>
      </c>
      <c r="D584" s="232" t="n">
        <f aca="false">'Прайс лист'!G1132</f>
        <v>200</v>
      </c>
      <c r="E584" s="232" t="n">
        <f aca="false">C584*D584</f>
        <v>0</v>
      </c>
      <c r="F584" s="1148"/>
      <c r="G584" s="2182" t="str">
        <f aca="false">'Прайс лист'!B1744</f>
        <v>карнизная планка</v>
      </c>
      <c r="H584" s="2183"/>
      <c r="I584" s="232" t="s">
        <v>133</v>
      </c>
      <c r="J584" s="122" t="n">
        <f aca="false">C584*H558+C589*H558</f>
        <v>0</v>
      </c>
      <c r="K584" s="2164" t="n">
        <f aca="false">'Прайс лист'!G1744</f>
        <v>100</v>
      </c>
      <c r="L584" s="232" t="n">
        <f aca="false">J584*K584</f>
        <v>0</v>
      </c>
      <c r="M584" s="1148"/>
      <c r="N584" s="1148"/>
      <c r="O584" s="1148"/>
      <c r="P584" s="1148"/>
      <c r="Q584" s="1148"/>
      <c r="R584" s="1148"/>
      <c r="S584" s="1148"/>
      <c r="T584" s="1148"/>
      <c r="U584" s="1148"/>
    </row>
    <row r="585" customFormat="false" ht="15" hidden="false" customHeight="true" outlineLevel="1" collapsed="false">
      <c r="A585" s="232" t="str">
        <f aca="false">'Прайс лист'!B1134</f>
        <v>Конек</v>
      </c>
      <c r="B585" s="232" t="s">
        <v>156</v>
      </c>
      <c r="C585" s="232" t="n">
        <f aca="false">C569*1.1*G558*C562</f>
        <v>0</v>
      </c>
      <c r="D585" s="232" t="n">
        <f aca="false">'Прайс лист'!G1134</f>
        <v>230</v>
      </c>
      <c r="E585" s="232" t="n">
        <f aca="false">C585*D585</f>
        <v>0</v>
      </c>
      <c r="F585" s="1148"/>
      <c r="G585" s="2182" t="str">
        <f aca="false">'Прайс лист'!B1747</f>
        <v>желоб водосточный</v>
      </c>
      <c r="H585" s="2156"/>
      <c r="I585" s="232" t="s">
        <v>156</v>
      </c>
      <c r="J585" s="122" t="n">
        <f aca="false">C607*H558</f>
        <v>0</v>
      </c>
      <c r="K585" s="2164" t="n">
        <f aca="false">'Прайс лист'!G1747</f>
        <v>300</v>
      </c>
      <c r="L585" s="232" t="n">
        <f aca="false">J585*K585</f>
        <v>0</v>
      </c>
      <c r="M585" s="1148"/>
      <c r="N585" s="1148"/>
      <c r="O585" s="1148"/>
      <c r="P585" s="1148"/>
      <c r="Q585" s="1148"/>
      <c r="R585" s="1148"/>
      <c r="S585" s="1148"/>
      <c r="T585" s="1148"/>
      <c r="U585" s="1148"/>
    </row>
    <row r="586" customFormat="false" ht="15" hidden="false" customHeight="true" outlineLevel="1" collapsed="false">
      <c r="A586" s="232" t="str">
        <f aca="false">'Прайс лист'!B1135</f>
        <v>Ендова нижняя</v>
      </c>
      <c r="B586" s="232" t="s">
        <v>1415</v>
      </c>
      <c r="C586" s="232" t="n">
        <f aca="false">C570*1.1*G558*C562</f>
        <v>0</v>
      </c>
      <c r="D586" s="232" t="n">
        <f aca="false">'Прайс лист'!G1135</f>
        <v>160</v>
      </c>
      <c r="E586" s="232" t="n">
        <f aca="false">C586*D586</f>
        <v>0</v>
      </c>
      <c r="F586" s="1148"/>
      <c r="G586" s="2182" t="str">
        <f aca="false">'Прайс лист'!B1748</f>
        <v>труба водосточная</v>
      </c>
      <c r="H586" s="2183"/>
      <c r="I586" s="232" t="s">
        <v>156</v>
      </c>
      <c r="J586" s="122" t="n">
        <f aca="false">C609*H558</f>
        <v>0</v>
      </c>
      <c r="K586" s="2164" t="n">
        <f aca="false">'Прайс лист'!G1748</f>
        <v>300</v>
      </c>
      <c r="L586" s="232" t="n">
        <f aca="false">J586*K586</f>
        <v>0</v>
      </c>
      <c r="M586" s="1148"/>
      <c r="N586" s="1148"/>
      <c r="O586" s="1148"/>
      <c r="P586" s="1148"/>
      <c r="Q586" s="1148"/>
      <c r="R586" s="1148"/>
      <c r="S586" s="1148"/>
      <c r="T586" s="1148"/>
      <c r="U586" s="1148"/>
    </row>
    <row r="587" customFormat="false" ht="15" hidden="false" customHeight="true" outlineLevel="1" collapsed="false">
      <c r="A587" s="2193" t="str">
        <f aca="false">'Прайс лист'!B1137</f>
        <v>Планка примыкания</v>
      </c>
      <c r="B587" s="232" t="s">
        <v>1415</v>
      </c>
      <c r="C587" s="7" t="n">
        <f aca="false">C586</f>
        <v>0</v>
      </c>
      <c r="D587" s="7" t="n">
        <f aca="false">'Прайс лист'!G1137</f>
        <v>190</v>
      </c>
      <c r="E587" s="232" t="n">
        <f aca="false">C587*D587</f>
        <v>0</v>
      </c>
      <c r="F587" s="1148"/>
      <c r="G587" s="2182" t="str">
        <f aca="false">'Прайс лист'!B1749</f>
        <v>ендова внутр/наружн</v>
      </c>
      <c r="H587" s="2183"/>
      <c r="I587" s="232" t="s">
        <v>156</v>
      </c>
      <c r="J587" s="122" t="n">
        <f aca="false">(C585+C586+C587+C589+C592+C594+C603+C600)*H558</f>
        <v>0</v>
      </c>
      <c r="K587" s="2164" t="n">
        <f aca="false">'Прайс лист'!G1749</f>
        <v>300</v>
      </c>
      <c r="L587" s="232" t="n">
        <f aca="false">J587*K587</f>
        <v>0</v>
      </c>
      <c r="M587" s="1148"/>
      <c r="N587" s="1148"/>
      <c r="O587" s="1148"/>
      <c r="P587" s="1148"/>
      <c r="Q587" s="1148"/>
      <c r="R587" s="1148"/>
      <c r="S587" s="1148"/>
      <c r="T587" s="1148"/>
      <c r="U587" s="1148"/>
    </row>
    <row r="588" customFormat="false" ht="15" hidden="false" customHeight="true" outlineLevel="1" collapsed="false">
      <c r="A588" s="232" t="s">
        <v>2725</v>
      </c>
      <c r="B588" s="232" t="s">
        <v>133</v>
      </c>
      <c r="C588" s="232" t="n">
        <f aca="false">C565*1.5*G558*(C563+C564)*F574*F573</f>
        <v>0</v>
      </c>
      <c r="D588" s="232" t="n">
        <f aca="false">'Прайс лист'!G1143</f>
        <v>180</v>
      </c>
      <c r="E588" s="232" t="n">
        <f aca="false">C588*D588</f>
        <v>0</v>
      </c>
      <c r="F588" s="1148"/>
      <c r="G588" s="2155" t="str">
        <f aca="false">'Прайс лист'!B1751</f>
        <v>Монтаж фанеры/osb</v>
      </c>
      <c r="H588" s="2158"/>
      <c r="I588" s="232" t="s">
        <v>133</v>
      </c>
      <c r="J588" s="122" t="n">
        <f aca="false">C596*IF(A596='Прайс лист'!B1027,0,1)</f>
        <v>0</v>
      </c>
      <c r="K588" s="2164" t="n">
        <f aca="false">'Прайс лист'!G1751</f>
        <v>200</v>
      </c>
      <c r="L588" s="232" t="n">
        <f aca="false">J588*K588</f>
        <v>0</v>
      </c>
      <c r="M588" s="1148"/>
      <c r="N588" s="1148"/>
      <c r="O588" s="1148"/>
      <c r="P588" s="1148"/>
      <c r="Q588" s="1148"/>
      <c r="R588" s="1148"/>
      <c r="S588" s="1148"/>
      <c r="T588" s="1148"/>
      <c r="U588" s="1148"/>
    </row>
    <row r="589" customFormat="false" ht="15" hidden="false" customHeight="true" outlineLevel="1" collapsed="false">
      <c r="A589" s="232" t="str">
        <f aca="false">'Прайс лист'!B1144</f>
        <v>Карнизная планка</v>
      </c>
      <c r="B589" s="232" t="str">
        <f aca="false">'Прайс лист'!C1144</f>
        <v>м.п.</v>
      </c>
      <c r="C589" s="232" t="n">
        <f aca="false">C568*G558*C563</f>
        <v>0</v>
      </c>
      <c r="D589" s="232" t="n">
        <f aca="false">'Прайс лист'!G1144</f>
        <v>190</v>
      </c>
      <c r="E589" s="232" t="n">
        <f aca="false">C589*D589</f>
        <v>0</v>
      </c>
      <c r="F589" s="1148"/>
      <c r="G589" s="2155" t="str">
        <f aca="false">'Прайс лист'!B1752</f>
        <v>монтаж подкладочного ковра</v>
      </c>
      <c r="H589" s="2183"/>
      <c r="I589" s="232" t="s">
        <v>133</v>
      </c>
      <c r="J589" s="122" t="n">
        <f aca="false">C599</f>
        <v>0</v>
      </c>
      <c r="K589" s="2164" t="n">
        <f aca="false">'Прайс лист'!G1752</f>
        <v>150</v>
      </c>
      <c r="L589" s="232" t="n">
        <f aca="false">J589*K589</f>
        <v>0</v>
      </c>
      <c r="M589" s="1148"/>
      <c r="N589" s="1148"/>
      <c r="O589" s="1148"/>
      <c r="P589" s="1148"/>
      <c r="Q589" s="1148"/>
      <c r="R589" s="1148"/>
      <c r="S589" s="1148"/>
      <c r="T589" s="1148"/>
      <c r="U589" s="1148"/>
    </row>
    <row r="590" customFormat="false" ht="15" hidden="false" customHeight="true" outlineLevel="1" collapsed="false">
      <c r="A590" s="232" t="str">
        <f aca="false">'Прайс лист'!B1145</f>
        <v>Торцевая планка</v>
      </c>
      <c r="B590" s="2181" t="str">
        <f aca="false">'Прайс лист'!C1145</f>
        <v>м.п.</v>
      </c>
      <c r="C590" s="5"/>
      <c r="D590" s="232" t="n">
        <f aca="false">'Прайс лист'!G1145</f>
        <v>190</v>
      </c>
      <c r="E590" s="232" t="n">
        <f aca="false">C590*D590</f>
        <v>0</v>
      </c>
      <c r="F590" s="1148"/>
      <c r="G590" s="2155" t="str">
        <f aca="false">'Прайс лист'!B1753</f>
        <v>Монтаж мягкой кровли</v>
      </c>
      <c r="H590" s="2183"/>
      <c r="I590" s="232" t="s">
        <v>133</v>
      </c>
      <c r="J590" s="122" t="n">
        <f aca="false">C565*C564</f>
        <v>0</v>
      </c>
      <c r="K590" s="2164" t="n">
        <f aca="false">'Прайс лист'!G1753</f>
        <v>350</v>
      </c>
      <c r="L590" s="232" t="n">
        <f aca="false">J590*K590</f>
        <v>0</v>
      </c>
      <c r="M590" s="1148"/>
      <c r="N590" s="1148"/>
      <c r="O590" s="1148"/>
      <c r="P590" s="1148"/>
      <c r="Q590" s="1148"/>
      <c r="R590" s="1148"/>
      <c r="S590" s="1148"/>
      <c r="T590" s="1148"/>
      <c r="U590" s="1148"/>
    </row>
    <row r="591" customFormat="false" ht="15" hidden="false" customHeight="true" outlineLevel="1" collapsed="false">
      <c r="A591" s="232" t="str">
        <f aca="false">'Прайс лист'!B1146</f>
        <v>Конек</v>
      </c>
      <c r="B591" s="2181" t="str">
        <f aca="false">'Прайс лист'!C1146</f>
        <v>м.п.</v>
      </c>
      <c r="C591" s="5" t="n">
        <f aca="false">C569*1.1*G558*C563</f>
        <v>0</v>
      </c>
      <c r="D591" s="232" t="n">
        <f aca="false">'Прайс лист'!G1146</f>
        <v>200</v>
      </c>
      <c r="E591" s="232" t="n">
        <f aca="false">C591*D591</f>
        <v>0</v>
      </c>
      <c r="F591" s="1148"/>
      <c r="G591" s="5"/>
      <c r="H591" s="5"/>
      <c r="I591" s="5"/>
      <c r="J591" s="5"/>
      <c r="K591" s="5"/>
      <c r="L591" s="5"/>
      <c r="M591" s="1148"/>
      <c r="N591" s="1148"/>
      <c r="O591" s="1148"/>
      <c r="P591" s="1148"/>
      <c r="Q591" s="1148"/>
      <c r="R591" s="1148"/>
      <c r="S591" s="1148"/>
      <c r="T591" s="1148"/>
      <c r="U591" s="1148"/>
    </row>
    <row r="592" customFormat="false" ht="15" hidden="false" customHeight="true" outlineLevel="1" collapsed="false">
      <c r="A592" s="232" t="str">
        <f aca="false">'Прайс лист'!B1147</f>
        <v>Ендова нижняя</v>
      </c>
      <c r="B592" s="2181" t="str">
        <f aca="false">'Прайс лист'!C1147</f>
        <v>м.п.</v>
      </c>
      <c r="C592" s="5" t="n">
        <f aca="false">C570*1.1*G558*C563</f>
        <v>0</v>
      </c>
      <c r="D592" s="232" t="n">
        <f aca="false">'Прайс лист'!G1147</f>
        <v>160</v>
      </c>
      <c r="E592" s="232" t="n">
        <f aca="false">C592*D592</f>
        <v>0</v>
      </c>
      <c r="F592" s="1148"/>
      <c r="G592" s="5"/>
      <c r="H592" s="5"/>
      <c r="I592" s="5"/>
      <c r="J592" s="5"/>
      <c r="K592" s="5"/>
      <c r="L592" s="5"/>
      <c r="M592" s="1148"/>
      <c r="N592" s="1148"/>
      <c r="O592" s="1148"/>
      <c r="P592" s="1148"/>
      <c r="Q592" s="1148"/>
      <c r="R592" s="1148"/>
      <c r="S592" s="1148"/>
      <c r="T592" s="1148"/>
      <c r="U592" s="1148"/>
    </row>
    <row r="593" customFormat="false" ht="15" hidden="false" customHeight="true" outlineLevel="1" collapsed="false">
      <c r="A593" s="232" t="str">
        <f aca="false">'Прайс лист'!B1148</f>
        <v>Ендова верхняя</v>
      </c>
      <c r="B593" s="2181" t="str">
        <f aca="false">'Прайс лист'!C1148</f>
        <v>м.п.</v>
      </c>
      <c r="C593" s="5"/>
      <c r="D593" s="232" t="n">
        <f aca="false">'Прайс лист'!G1148</f>
        <v>190</v>
      </c>
      <c r="E593" s="232" t="n">
        <f aca="false">C593*D593</f>
        <v>0</v>
      </c>
      <c r="F593" s="1148"/>
      <c r="G593" s="2157"/>
      <c r="H593" s="2158"/>
      <c r="I593" s="232"/>
      <c r="J593" s="122"/>
      <c r="K593" s="2164"/>
      <c r="L593" s="232"/>
      <c r="M593" s="1148"/>
      <c r="N593" s="1148"/>
      <c r="O593" s="1148"/>
      <c r="P593" s="1148"/>
      <c r="Q593" s="1148"/>
      <c r="R593" s="1148"/>
      <c r="S593" s="1148"/>
      <c r="T593" s="1148"/>
      <c r="U593" s="1148"/>
    </row>
    <row r="594" customFormat="false" ht="15" hidden="false" customHeight="true" outlineLevel="1" collapsed="false">
      <c r="A594" s="232" t="str">
        <f aca="false">'Прайс лист'!B1149</f>
        <v>Планка примыкания</v>
      </c>
      <c r="B594" s="2181" t="str">
        <f aca="false">'Прайс лист'!C1149</f>
        <v>м.п.</v>
      </c>
      <c r="C594" s="5" t="n">
        <f aca="false">C592</f>
        <v>0</v>
      </c>
      <c r="D594" s="232" t="n">
        <f aca="false">'Прайс лист'!G1149</f>
        <v>190</v>
      </c>
      <c r="E594" s="232" t="n">
        <f aca="false">C594*D594</f>
        <v>0</v>
      </c>
      <c r="F594" s="1148"/>
      <c r="G594" s="2157"/>
      <c r="H594" s="2158"/>
      <c r="I594" s="232"/>
      <c r="J594" s="122"/>
      <c r="K594" s="2164"/>
      <c r="L594" s="232"/>
      <c r="M594" s="1148"/>
      <c r="N594" s="1148"/>
      <c r="O594" s="1148"/>
      <c r="P594" s="1148"/>
      <c r="Q594" s="1148"/>
      <c r="R594" s="1148"/>
      <c r="S594" s="1148"/>
      <c r="T594" s="1148"/>
      <c r="U594" s="1148"/>
    </row>
    <row r="595" customFormat="false" ht="15" hidden="false" customHeight="true" outlineLevel="1" collapsed="false">
      <c r="A595" s="232" t="str">
        <f aca="false">'Прайс лист'!B1150</f>
        <v>Крепеж для ондулина</v>
      </c>
      <c r="B595" s="2181" t="str">
        <f aca="false">'Прайс лист'!C1150</f>
        <v>шт</v>
      </c>
      <c r="C595" s="5"/>
      <c r="D595" s="232" t="n">
        <f aca="false">'Прайс лист'!G1150</f>
        <v>4.5</v>
      </c>
      <c r="E595" s="232" t="n">
        <f aca="false">C595*D595</f>
        <v>0</v>
      </c>
      <c r="F595" s="1148"/>
      <c r="G595" s="2157"/>
      <c r="H595" s="2158"/>
      <c r="I595" s="232"/>
      <c r="J595" s="122"/>
      <c r="K595" s="2164"/>
      <c r="L595" s="232"/>
      <c r="M595" s="1148"/>
      <c r="N595" s="1148"/>
      <c r="O595" s="1148"/>
      <c r="P595" s="1148"/>
      <c r="Q595" s="1148"/>
      <c r="R595" s="1148"/>
      <c r="S595" s="1148"/>
      <c r="T595" s="1148"/>
      <c r="U595" s="1148"/>
    </row>
    <row r="596" customFormat="false" ht="15" hidden="false" customHeight="true" outlineLevel="1" collapsed="false">
      <c r="A596" s="232" t="str">
        <f aca="false">'Ввод данных'!A446</f>
        <v>нет</v>
      </c>
      <c r="B596" s="4" t="s">
        <v>133</v>
      </c>
      <c r="C596" s="5" t="n">
        <f aca="false">C565*1.1*G558</f>
        <v>0</v>
      </c>
      <c r="D596" s="232" t="n">
        <f aca="false">VLOOKUP(A596,'Прайс лист'!B1027:G1078,6,0)</f>
        <v>0</v>
      </c>
      <c r="E596" s="232" t="n">
        <f aca="false">C596*D596</f>
        <v>0</v>
      </c>
      <c r="F596" s="1148"/>
      <c r="G596" s="2157"/>
      <c r="H596" s="2158"/>
      <c r="I596" s="232"/>
      <c r="J596" s="122"/>
      <c r="K596" s="2164"/>
      <c r="L596" s="232"/>
      <c r="M596" s="1148"/>
      <c r="N596" s="1148"/>
      <c r="O596" s="1148"/>
      <c r="P596" s="1148"/>
      <c r="Q596" s="1148"/>
      <c r="R596" s="1148"/>
      <c r="S596" s="1148"/>
      <c r="T596" s="1148"/>
      <c r="U596" s="1148"/>
    </row>
    <row r="597" customFormat="false" ht="15" hidden="false" customHeight="true" outlineLevel="1" collapsed="false">
      <c r="A597" s="232" t="str">
        <f aca="false">'Прайс лист'!B1155</f>
        <v>Рядовая черепица</v>
      </c>
      <c r="B597" s="2181" t="str">
        <f aca="false">'Прайс лист'!C1155</f>
        <v>м2</v>
      </c>
      <c r="C597" s="5" t="n">
        <f aca="false">C565*C564</f>
        <v>0</v>
      </c>
      <c r="D597" s="232" t="n">
        <f aca="false">'Прайс лист'!G1155</f>
        <v>360</v>
      </c>
      <c r="E597" s="232" t="n">
        <f aca="false">C597*D597</f>
        <v>0</v>
      </c>
      <c r="F597" s="1148"/>
      <c r="G597" s="2157"/>
      <c r="H597" s="2158"/>
      <c r="I597" s="232"/>
      <c r="J597" s="122"/>
      <c r="K597" s="2164"/>
      <c r="L597" s="232"/>
      <c r="M597" s="1148"/>
      <c r="N597" s="1148"/>
      <c r="O597" s="1148"/>
      <c r="P597" s="1148"/>
      <c r="Q597" s="1148"/>
      <c r="R597" s="1148"/>
      <c r="S597" s="1148"/>
      <c r="T597" s="1148"/>
      <c r="U597" s="1148"/>
    </row>
    <row r="598" customFormat="false" ht="15" hidden="false" customHeight="true" outlineLevel="1" collapsed="false">
      <c r="A598" s="232" t="str">
        <f aca="false">'Прайс лист'!B1156</f>
        <v>Металл оцинк защита (карниз)</v>
      </c>
      <c r="B598" s="2181" t="str">
        <f aca="false">'Прайс лист'!C1156</f>
        <v>м.п.</v>
      </c>
      <c r="C598" s="5" t="n">
        <f aca="false">C559*C564</f>
        <v>0</v>
      </c>
      <c r="D598" s="232" t="n">
        <f aca="false">'Прайс лист'!G1156</f>
        <v>200</v>
      </c>
      <c r="E598" s="232" t="n">
        <f aca="false">C598*D598</f>
        <v>0</v>
      </c>
      <c r="F598" s="1148"/>
      <c r="G598" s="2157"/>
      <c r="H598" s="2158"/>
      <c r="I598" s="232"/>
      <c r="J598" s="122"/>
      <c r="K598" s="2164"/>
      <c r="L598" s="232"/>
      <c r="M598" s="1148"/>
      <c r="N598" s="1148"/>
      <c r="O598" s="1148"/>
      <c r="P598" s="1148"/>
      <c r="Q598" s="1148"/>
      <c r="R598" s="1148"/>
      <c r="S598" s="1148"/>
      <c r="T598" s="1148"/>
      <c r="U598" s="1148"/>
    </row>
    <row r="599" customFormat="false" ht="15" hidden="false" customHeight="true" outlineLevel="1" collapsed="false">
      <c r="A599" s="232" t="str">
        <f aca="false">'Прайс лист'!B1157</f>
        <v>Подкладочный ковер</v>
      </c>
      <c r="B599" s="2181" t="str">
        <f aca="false">'Прайс лист'!C1157</f>
        <v>м.п.</v>
      </c>
      <c r="C599" s="5" t="n">
        <f aca="false">C565*C564</f>
        <v>0</v>
      </c>
      <c r="D599" s="232" t="n">
        <f aca="false">'Прайс лист'!G1157</f>
        <v>220</v>
      </c>
      <c r="E599" s="232" t="n">
        <f aca="false">C599*D599</f>
        <v>0</v>
      </c>
      <c r="F599" s="1148"/>
      <c r="G599" s="2157"/>
      <c r="H599" s="2158"/>
      <c r="I599" s="232"/>
      <c r="J599" s="122"/>
      <c r="K599" s="2164"/>
      <c r="L599" s="232"/>
      <c r="M599" s="1148"/>
      <c r="N599" s="1148"/>
      <c r="O599" s="1148"/>
      <c r="P599" s="1148"/>
      <c r="Q599" s="1148"/>
      <c r="R599" s="1148"/>
      <c r="S599" s="1148"/>
      <c r="T599" s="1148"/>
      <c r="U599" s="1148"/>
    </row>
    <row r="600" customFormat="false" ht="15" hidden="false" customHeight="true" outlineLevel="1" collapsed="false">
      <c r="A600" s="232" t="str">
        <f aca="false">'Прайс лист'!B1158</f>
        <v>Карнизная самоклеющаяся черепица</v>
      </c>
      <c r="B600" s="2181" t="str">
        <f aca="false">'Прайс лист'!C1158</f>
        <v>м.п.</v>
      </c>
      <c r="C600" s="5" t="n">
        <f aca="false">C559*C564</f>
        <v>0</v>
      </c>
      <c r="D600" s="232" t="n">
        <f aca="false">'Прайс лист'!G1158</f>
        <v>220</v>
      </c>
      <c r="E600" s="232" t="n">
        <f aca="false">C600*D600</f>
        <v>0</v>
      </c>
      <c r="F600" s="1148"/>
      <c r="G600" s="2157"/>
      <c r="H600" s="2158"/>
      <c r="I600" s="232"/>
      <c r="J600" s="122"/>
      <c r="K600" s="2164"/>
      <c r="L600" s="232"/>
      <c r="M600" s="1148"/>
      <c r="N600" s="1148"/>
      <c r="O600" s="1148"/>
      <c r="P600" s="1148"/>
      <c r="Q600" s="1148"/>
      <c r="R600" s="1148"/>
      <c r="S600" s="1148"/>
      <c r="T600" s="1148"/>
      <c r="U600" s="1148"/>
    </row>
    <row r="601" customFormat="false" ht="15" hidden="false" customHeight="true" outlineLevel="1" collapsed="false">
      <c r="A601" s="232" t="str">
        <f aca="false">'Прайс лист'!B1159</f>
        <v>Спец ковер ендова нижняя</v>
      </c>
      <c r="B601" s="2181" t="str">
        <f aca="false">'Прайс лист'!C1159</f>
        <v>м.п.</v>
      </c>
      <c r="C601" s="5" t="n">
        <f aca="false">C570*1.1*G558*C564</f>
        <v>0</v>
      </c>
      <c r="D601" s="232" t="n">
        <f aca="false">'Прайс лист'!G1159</f>
        <v>200</v>
      </c>
      <c r="E601" s="232" t="n">
        <f aca="false">C601*D601</f>
        <v>0</v>
      </c>
      <c r="F601" s="1148"/>
      <c r="G601" s="2157"/>
      <c r="H601" s="2158"/>
      <c r="I601" s="232"/>
      <c r="J601" s="122"/>
      <c r="K601" s="2164"/>
      <c r="L601" s="232"/>
      <c r="M601" s="1148"/>
      <c r="N601" s="1148"/>
      <c r="O601" s="1148"/>
      <c r="P601" s="1148"/>
      <c r="Q601" s="1148"/>
      <c r="R601" s="1148"/>
      <c r="S601" s="1148"/>
      <c r="T601" s="1148"/>
      <c r="U601" s="1148"/>
    </row>
    <row r="602" customFormat="false" ht="15" hidden="false" customHeight="true" outlineLevel="1" collapsed="false">
      <c r="A602" s="232" t="str">
        <f aca="false">'Прайс лист'!B1160</f>
        <v>Коньковой элемент</v>
      </c>
      <c r="B602" s="2181" t="str">
        <f aca="false">'Прайс лист'!C1160</f>
        <v>м.п.</v>
      </c>
      <c r="C602" s="5" t="n">
        <f aca="false">C569*1.1*G558*C564</f>
        <v>0</v>
      </c>
      <c r="D602" s="232" t="n">
        <f aca="false">'Прайс лист'!G1160</f>
        <v>250</v>
      </c>
      <c r="E602" s="232" t="n">
        <f aca="false">C602*D602</f>
        <v>0</v>
      </c>
      <c r="F602" s="1148"/>
      <c r="G602" s="2157"/>
      <c r="H602" s="2158"/>
      <c r="I602" s="232"/>
      <c r="J602" s="122"/>
      <c r="K602" s="2164"/>
      <c r="L602" s="232"/>
      <c r="M602" s="1148"/>
      <c r="N602" s="1148"/>
      <c r="O602" s="1148"/>
      <c r="P602" s="1148"/>
      <c r="Q602" s="1148"/>
      <c r="R602" s="1148"/>
      <c r="S602" s="1148"/>
      <c r="T602" s="1148"/>
      <c r="U602" s="1148"/>
    </row>
    <row r="603" customFormat="false" ht="15" hidden="false" customHeight="true" outlineLevel="1" collapsed="false">
      <c r="A603" s="232" t="str">
        <f aca="false">'Прайс лист'!B1161</f>
        <v>Планка премыкания</v>
      </c>
      <c r="B603" s="2181" t="str">
        <f aca="false">'Прайс лист'!C1161</f>
        <v>м.п.</v>
      </c>
      <c r="C603" s="5" t="n">
        <f aca="false">C601</f>
        <v>0</v>
      </c>
      <c r="D603" s="232" t="n">
        <f aca="false">'Прайс лист'!G1161</f>
        <v>200</v>
      </c>
      <c r="E603" s="232" t="n">
        <f aca="false">C603*D603</f>
        <v>0</v>
      </c>
      <c r="F603" s="1148"/>
      <c r="G603" s="2157"/>
      <c r="H603" s="2158"/>
      <c r="I603" s="232"/>
      <c r="J603" s="122"/>
      <c r="K603" s="2164"/>
      <c r="L603" s="232"/>
      <c r="M603" s="1148"/>
      <c r="N603" s="1148"/>
      <c r="O603" s="1148"/>
      <c r="P603" s="1148"/>
      <c r="Q603" s="1148"/>
      <c r="R603" s="1148"/>
      <c r="S603" s="1148"/>
      <c r="T603" s="1148"/>
      <c r="U603" s="1148"/>
    </row>
    <row r="604" customFormat="false" ht="15" hidden="false" customHeight="true" outlineLevel="1" collapsed="false">
      <c r="A604" s="232" t="str">
        <f aca="false">'Прайс лист'!B1162</f>
        <v>Гвозди для крепления подкладочного ковра</v>
      </c>
      <c r="B604" s="2181" t="str">
        <f aca="false">'Прайс лист'!C1162</f>
        <v>шт</v>
      </c>
      <c r="C604" s="5" t="n">
        <f aca="false">C599*12</f>
        <v>0</v>
      </c>
      <c r="D604" s="232" t="n">
        <f aca="false">'Прайс лист'!G1162</f>
        <v>0.012</v>
      </c>
      <c r="E604" s="232" t="n">
        <f aca="false">C604*D604</f>
        <v>0</v>
      </c>
      <c r="F604" s="1148"/>
      <c r="G604" s="2157"/>
      <c r="H604" s="2158"/>
      <c r="I604" s="232"/>
      <c r="J604" s="122"/>
      <c r="K604" s="2164"/>
      <c r="L604" s="232"/>
      <c r="M604" s="1148"/>
      <c r="N604" s="1148"/>
      <c r="O604" s="1148"/>
      <c r="P604" s="1148"/>
      <c r="Q604" s="1148"/>
      <c r="R604" s="1148"/>
      <c r="S604" s="1148"/>
      <c r="T604" s="1148"/>
      <c r="U604" s="1148"/>
    </row>
    <row r="605" customFormat="false" ht="15" hidden="false" customHeight="true" outlineLevel="1" collapsed="false">
      <c r="A605" s="232" t="str">
        <f aca="false">'Прайс лист'!B1163</f>
        <v>Гвозди для крепления черепицы</v>
      </c>
      <c r="B605" s="2181" t="str">
        <f aca="false">'Прайс лист'!C1163</f>
        <v>шт</v>
      </c>
      <c r="C605" s="5" t="n">
        <f aca="false">C565*C564*20</f>
        <v>0</v>
      </c>
      <c r="D605" s="232" t="n">
        <f aca="false">'Прайс лист'!G1163</f>
        <v>0.25</v>
      </c>
      <c r="E605" s="232" t="n">
        <f aca="false">C605*D605</f>
        <v>0</v>
      </c>
      <c r="F605" s="1148"/>
      <c r="G605" s="2157"/>
      <c r="H605" s="2158"/>
      <c r="I605" s="232"/>
      <c r="J605" s="122"/>
      <c r="K605" s="2164"/>
      <c r="L605" s="232"/>
      <c r="M605" s="1148"/>
      <c r="N605" s="1148"/>
      <c r="O605" s="1148"/>
      <c r="P605" s="1148"/>
      <c r="Q605" s="1148"/>
      <c r="R605" s="1148"/>
      <c r="S605" s="1148"/>
      <c r="T605" s="1148"/>
      <c r="U605" s="1148"/>
    </row>
    <row r="606" customFormat="false" ht="15" hidden="false" customHeight="true" outlineLevel="1" collapsed="false">
      <c r="A606" s="232" t="str">
        <f aca="false">'Прайс лист'!B1164</f>
        <v>Клей для монтажа черепицы</v>
      </c>
      <c r="B606" s="2181" t="str">
        <f aca="false">'Прайс лист'!C1164</f>
        <v>кг</v>
      </c>
      <c r="C606" s="5"/>
      <c r="D606" s="232" t="n">
        <f aca="false">'Прайс лист'!G1164</f>
        <v>250</v>
      </c>
      <c r="E606" s="232" t="n">
        <f aca="false">C606*D606</f>
        <v>0</v>
      </c>
      <c r="F606" s="1148"/>
      <c r="G606" s="2157"/>
      <c r="H606" s="2158"/>
      <c r="I606" s="232"/>
      <c r="J606" s="122"/>
      <c r="K606" s="2164"/>
      <c r="L606" s="232"/>
      <c r="M606" s="1148"/>
      <c r="N606" s="1148"/>
      <c r="O606" s="1148"/>
      <c r="P606" s="1148"/>
      <c r="Q606" s="1148"/>
      <c r="R606" s="1148"/>
      <c r="S606" s="1148"/>
      <c r="T606" s="1148"/>
      <c r="U606" s="1148"/>
    </row>
    <row r="607" customFormat="false" ht="15" hidden="false" customHeight="true" outlineLevel="1" collapsed="false">
      <c r="A607" s="232" t="str">
        <f aca="false">'Прайс лист'!B1169</f>
        <v>желоб</v>
      </c>
      <c r="B607" s="232" t="s">
        <v>1415</v>
      </c>
      <c r="C607" s="232" t="n">
        <f aca="false">дома!C1283*дома!D1229</f>
        <v>0</v>
      </c>
      <c r="D607" s="232" t="n">
        <f aca="false">'Прайс лист'!G1169</f>
        <v>300</v>
      </c>
      <c r="E607" s="232" t="n">
        <f aca="false">C607*D607</f>
        <v>0</v>
      </c>
      <c r="F607" s="1148"/>
      <c r="G607" s="88"/>
      <c r="H607" s="88"/>
      <c r="I607" s="232"/>
      <c r="J607" s="122"/>
      <c r="K607" s="2164"/>
      <c r="L607" s="232"/>
      <c r="M607" s="1148"/>
      <c r="N607" s="1148"/>
      <c r="O607" s="1148"/>
      <c r="P607" s="1148"/>
      <c r="Q607" s="1148"/>
      <c r="R607" s="1148"/>
      <c r="S607" s="1148"/>
      <c r="T607" s="1148"/>
      <c r="U607" s="1148"/>
    </row>
    <row r="608" customFormat="false" ht="15" hidden="false" customHeight="true" outlineLevel="1" collapsed="false">
      <c r="A608" s="232" t="str">
        <f aca="false">'Прайс лист'!B1170</f>
        <v>отвод</v>
      </c>
      <c r="B608" s="232" t="s">
        <v>159</v>
      </c>
      <c r="C608" s="232" t="n">
        <v>4</v>
      </c>
      <c r="D608" s="232" t="n">
        <f aca="false">'Прайс лист'!G1170</f>
        <v>250</v>
      </c>
      <c r="E608" s="232" t="n">
        <f aca="false">C608*D608</f>
        <v>1000</v>
      </c>
      <c r="F608" s="1148"/>
      <c r="G608" s="88"/>
      <c r="H608" s="88"/>
      <c r="I608" s="122"/>
      <c r="J608" s="122"/>
      <c r="K608" s="2164"/>
      <c r="L608" s="232"/>
      <c r="M608" s="1148"/>
      <c r="N608" s="1148"/>
      <c r="O608" s="1148"/>
      <c r="P608" s="1148"/>
      <c r="Q608" s="1148"/>
      <c r="R608" s="1148"/>
      <c r="S608" s="1148"/>
      <c r="T608" s="1148"/>
      <c r="U608" s="1148"/>
    </row>
    <row r="609" customFormat="false" ht="15" hidden="false" customHeight="true" outlineLevel="1" collapsed="false">
      <c r="A609" s="232" t="str">
        <f aca="false">'Прайс лист'!B1171</f>
        <v>труба водосточная</v>
      </c>
      <c r="B609" s="232" t="s">
        <v>156</v>
      </c>
      <c r="C609" s="232" t="n">
        <f aca="false">дома!D1229*(дома!C1232*дома!C1241+дома!C1233)</f>
        <v>0</v>
      </c>
      <c r="D609" s="232" t="n">
        <f aca="false">'Прайс лист'!G1171</f>
        <v>300</v>
      </c>
      <c r="E609" s="232" t="n">
        <f aca="false">C609*D609</f>
        <v>0</v>
      </c>
      <c r="F609" s="1148"/>
      <c r="G609" s="88"/>
      <c r="H609" s="88"/>
      <c r="I609" s="232"/>
      <c r="J609" s="232"/>
      <c r="K609" s="2164"/>
      <c r="L609" s="232"/>
      <c r="M609" s="1148"/>
      <c r="N609" s="1148"/>
      <c r="O609" s="1148"/>
      <c r="P609" s="1148"/>
      <c r="Q609" s="1148"/>
      <c r="R609" s="1148"/>
      <c r="S609" s="1148"/>
      <c r="T609" s="1148"/>
      <c r="U609" s="1148"/>
    </row>
    <row r="610" customFormat="false" ht="15" hidden="false" customHeight="true" outlineLevel="1" collapsed="false">
      <c r="A610" s="232" t="str">
        <f aca="false">'Прайс лист'!B1172</f>
        <v>заглушка для желоба</v>
      </c>
      <c r="B610" s="232" t="s">
        <v>159</v>
      </c>
      <c r="C610" s="232" t="n">
        <f aca="false">2*дома!D1229</f>
        <v>0</v>
      </c>
      <c r="D610" s="232" t="n">
        <f aca="false">'Прайс лист'!G1172</f>
        <v>190</v>
      </c>
      <c r="E610" s="232" t="n">
        <f aca="false">C610*D610</f>
        <v>0</v>
      </c>
      <c r="F610" s="1148"/>
      <c r="G610" s="88"/>
      <c r="H610" s="88"/>
      <c r="I610" s="232"/>
      <c r="J610" s="232"/>
      <c r="K610" s="2164"/>
      <c r="L610" s="232"/>
      <c r="M610" s="1148"/>
      <c r="N610" s="1148"/>
      <c r="O610" s="1148"/>
      <c r="P610" s="1148"/>
      <c r="Q610" s="1148"/>
      <c r="R610" s="1148"/>
      <c r="S610" s="1148"/>
      <c r="T610" s="1148"/>
      <c r="U610" s="1148"/>
    </row>
    <row r="611" customFormat="false" ht="15" hidden="false" customHeight="true" outlineLevel="1" collapsed="false">
      <c r="A611" s="232" t="str">
        <f aca="false">'Прайс лист'!B1173</f>
        <v>соеденитель для желоба</v>
      </c>
      <c r="B611" s="232" t="s">
        <v>159</v>
      </c>
      <c r="C611" s="232" t="n">
        <f aca="false">C607/2*G558*F573</f>
        <v>0</v>
      </c>
      <c r="D611" s="232" t="n">
        <f aca="false">'Прайс лист'!G1173</f>
        <v>180</v>
      </c>
      <c r="E611" s="232" t="n">
        <f aca="false">C611*D611</f>
        <v>0</v>
      </c>
      <c r="F611" s="1148"/>
      <c r="G611" s="88"/>
      <c r="H611" s="88"/>
      <c r="I611" s="232"/>
      <c r="J611" s="232"/>
      <c r="K611" s="2164"/>
      <c r="L611" s="232"/>
      <c r="M611" s="1148"/>
      <c r="N611" s="1148"/>
      <c r="O611" s="1148"/>
      <c r="P611" s="1148"/>
      <c r="Q611" s="1148"/>
      <c r="R611" s="1148"/>
      <c r="S611" s="1148"/>
      <c r="T611" s="1148"/>
      <c r="U611" s="1148"/>
    </row>
    <row r="612" customFormat="false" ht="15" hidden="false" customHeight="true" outlineLevel="1" collapsed="false">
      <c r="A612" s="232" t="str">
        <f aca="false">'Прайс лист'!B1174</f>
        <v>кронштейн для желоба</v>
      </c>
      <c r="B612" s="232" t="s">
        <v>159</v>
      </c>
      <c r="C612" s="232" t="n">
        <f aca="false">C607/0.3*G558*F574*F573</f>
        <v>0</v>
      </c>
      <c r="D612" s="232" t="n">
        <f aca="false">'Прайс лист'!G1174</f>
        <v>130</v>
      </c>
      <c r="E612" s="232" t="n">
        <f aca="false">C612*D612</f>
        <v>0</v>
      </c>
      <c r="F612" s="1148"/>
      <c r="G612" s="88"/>
      <c r="H612" s="88"/>
      <c r="I612" s="232"/>
      <c r="J612" s="232"/>
      <c r="K612" s="2164"/>
      <c r="L612" s="232"/>
      <c r="M612" s="1148"/>
      <c r="N612" s="1148"/>
      <c r="O612" s="1148"/>
      <c r="P612" s="1148"/>
      <c r="Q612" s="1148"/>
      <c r="R612" s="1148"/>
      <c r="S612" s="1148"/>
      <c r="T612" s="1148"/>
      <c r="U612" s="1148"/>
    </row>
    <row r="613" customFormat="false" ht="15" hidden="false" customHeight="true" outlineLevel="1" collapsed="false">
      <c r="A613" s="232" t="str">
        <f aca="false">'Прайс лист'!B1175</f>
        <v>переход из желоба в трубу</v>
      </c>
      <c r="B613" s="232" t="s">
        <v>159</v>
      </c>
      <c r="C613" s="232" t="n">
        <f aca="false">2</f>
        <v>2</v>
      </c>
      <c r="D613" s="232" t="n">
        <f aca="false">'Прайс лист'!G1175</f>
        <v>350</v>
      </c>
      <c r="E613" s="232" t="n">
        <f aca="false">C613*D613</f>
        <v>700</v>
      </c>
      <c r="F613" s="1148"/>
      <c r="G613" s="88"/>
      <c r="H613" s="88"/>
      <c r="I613" s="232"/>
      <c r="J613" s="232"/>
      <c r="K613" s="2164"/>
      <c r="L613" s="232"/>
      <c r="M613" s="1148"/>
      <c r="N613" s="1148"/>
      <c r="O613" s="1148"/>
      <c r="P613" s="1148"/>
      <c r="Q613" s="1148"/>
      <c r="R613" s="1148"/>
      <c r="S613" s="1148"/>
      <c r="T613" s="1148"/>
      <c r="U613" s="1148"/>
    </row>
    <row r="614" customFormat="false" ht="15" hidden="false" customHeight="true" outlineLevel="1" collapsed="false">
      <c r="A614" s="232" t="str">
        <f aca="false">'Прайс лист'!B1176</f>
        <v>лента дельта мульти бэнд</v>
      </c>
      <c r="B614" s="232" t="s">
        <v>159</v>
      </c>
      <c r="C614" s="232" t="n">
        <f aca="false">C565/12*G558*F573</f>
        <v>0</v>
      </c>
      <c r="D614" s="232" t="n">
        <f aca="false">'Прайс лист'!G1176</f>
        <v>1200</v>
      </c>
      <c r="E614" s="232" t="n">
        <f aca="false">C614*D614</f>
        <v>0</v>
      </c>
      <c r="F614" s="1148"/>
      <c r="G614" s="88"/>
      <c r="H614" s="88"/>
      <c r="I614" s="232"/>
      <c r="J614" s="232"/>
      <c r="K614" s="2164"/>
      <c r="L614" s="232"/>
      <c r="M614" s="1148"/>
      <c r="N614" s="1148"/>
      <c r="O614" s="1148"/>
      <c r="P614" s="1148"/>
      <c r="Q614" s="1148"/>
      <c r="R614" s="1148"/>
      <c r="S614" s="1148"/>
      <c r="T614" s="1148"/>
      <c r="U614" s="1148"/>
    </row>
    <row r="615" customFormat="false" ht="15" hidden="false" customHeight="true" outlineLevel="1" collapsed="false">
      <c r="A615" s="232" t="str">
        <f aca="false">'Прайс лист'!B1177</f>
        <v>лента дельта sb-60</v>
      </c>
      <c r="B615" s="232" t="s">
        <v>159</v>
      </c>
      <c r="C615" s="232" t="n">
        <f aca="false">C565/25*G558</f>
        <v>0</v>
      </c>
      <c r="D615" s="232" t="n">
        <f aca="false">'Прайс лист'!G1177</f>
        <v>1100</v>
      </c>
      <c r="E615" s="232" t="n">
        <f aca="false">C615*D615</f>
        <v>0</v>
      </c>
      <c r="F615" s="1148"/>
      <c r="G615" s="88"/>
      <c r="H615" s="88"/>
      <c r="I615" s="232"/>
      <c r="J615" s="232"/>
      <c r="K615" s="2164"/>
      <c r="L615" s="232"/>
      <c r="M615" s="1148"/>
      <c r="N615" s="1148"/>
      <c r="O615" s="1148"/>
      <c r="P615" s="1148"/>
      <c r="Q615" s="1148"/>
      <c r="R615" s="1148"/>
      <c r="S615" s="1148"/>
      <c r="T615" s="1148"/>
      <c r="U615" s="1148"/>
    </row>
    <row r="616" customFormat="false" ht="15" hidden="false" customHeight="true" outlineLevel="1" collapsed="false">
      <c r="A616" s="232" t="str">
        <f aca="false">'Прайс лист'!B1138</f>
        <v>Кровельный саморез</v>
      </c>
      <c r="B616" s="232" t="s">
        <v>159</v>
      </c>
      <c r="C616" s="232" t="n">
        <f aca="false">C565*12*(C562+C564)*G558*F574*F573</f>
        <v>0</v>
      </c>
      <c r="D616" s="232" t="n">
        <f aca="false">'Прайс лист'!G1138</f>
        <v>2</v>
      </c>
      <c r="E616" s="232" t="n">
        <f aca="false">C616*D616</f>
        <v>0</v>
      </c>
      <c r="F616" s="1148"/>
      <c r="G616" s="88"/>
      <c r="H616" s="88"/>
      <c r="I616" s="232"/>
      <c r="J616" s="232"/>
      <c r="K616" s="2164"/>
      <c r="L616" s="232"/>
      <c r="M616" s="1148"/>
      <c r="N616" s="1148"/>
      <c r="O616" s="1148"/>
      <c r="P616" s="1148"/>
      <c r="Q616" s="1148"/>
      <c r="R616" s="1148"/>
      <c r="S616" s="1148"/>
      <c r="T616" s="1148"/>
      <c r="U616" s="1148"/>
    </row>
    <row r="617" customFormat="false" ht="15" hidden="false" customHeight="true" outlineLevel="1" collapsed="false">
      <c r="A617" s="232" t="str">
        <f aca="false">'Прайс лист'!B897</f>
        <v>Гвозди ершоные 3,4 x 60</v>
      </c>
      <c r="B617" s="232" t="s">
        <v>188</v>
      </c>
      <c r="C617" s="232" t="n">
        <f aca="false">C578*15*G558*F574*F573</f>
        <v>0</v>
      </c>
      <c r="D617" s="232" t="n">
        <f aca="false">'Прайс лист'!G897</f>
        <v>75.51</v>
      </c>
      <c r="E617" s="232" t="n">
        <f aca="false">C617*D617</f>
        <v>0</v>
      </c>
      <c r="F617" s="1148"/>
      <c r="G617" s="88"/>
      <c r="H617" s="88"/>
      <c r="I617" s="232"/>
      <c r="J617" s="232"/>
      <c r="K617" s="2164"/>
      <c r="L617" s="232"/>
      <c r="M617" s="1148"/>
      <c r="N617" s="1148"/>
      <c r="O617" s="1148"/>
      <c r="P617" s="1148"/>
      <c r="Q617" s="1148"/>
      <c r="R617" s="1148"/>
      <c r="S617" s="1148"/>
      <c r="T617" s="1148"/>
      <c r="U617" s="1148"/>
    </row>
    <row r="618" customFormat="false" ht="15" hidden="false" customHeight="true" outlineLevel="1" collapsed="false">
      <c r="A618" s="232" t="str">
        <f aca="false">'Прайс лист'!B898</f>
        <v>Гвозди ершоные 2,8 х 90</v>
      </c>
      <c r="B618" s="232" t="s">
        <v>188</v>
      </c>
      <c r="C618" s="232" t="n">
        <f aca="false">(C577)*10*G558</f>
        <v>0</v>
      </c>
      <c r="D618" s="232" t="n">
        <f aca="false">'Прайс лист'!G898</f>
        <v>76.49</v>
      </c>
      <c r="E618" s="232" t="n">
        <f aca="false">C618*D618</f>
        <v>0</v>
      </c>
      <c r="F618" s="1148"/>
      <c r="G618" s="88"/>
      <c r="H618" s="88"/>
      <c r="I618" s="232"/>
      <c r="J618" s="232"/>
      <c r="K618" s="2164"/>
      <c r="L618" s="232"/>
      <c r="M618" s="1148"/>
      <c r="N618" s="1148"/>
      <c r="O618" s="1148"/>
      <c r="P618" s="1148"/>
      <c r="Q618" s="1148"/>
      <c r="R618" s="1148"/>
      <c r="S618" s="1148"/>
      <c r="T618" s="1148"/>
      <c r="U618" s="1148"/>
    </row>
    <row r="619" customFormat="false" ht="15" hidden="false" customHeight="true" outlineLevel="1" collapsed="false">
      <c r="A619" s="232" t="str">
        <f aca="false">'Прайс лист'!B846</f>
        <v>Пластина соеденительная 100х240х2</v>
      </c>
      <c r="B619" s="232" t="s">
        <v>159</v>
      </c>
      <c r="C619" s="2159" t="n">
        <f aca="false">(((C566+C567)/0.6)+1)*2*G558*F574*F573</f>
        <v>2.3</v>
      </c>
      <c r="D619" s="232" t="n">
        <f aca="false">'Прайс лист'!G846</f>
        <v>31.54</v>
      </c>
      <c r="E619" s="232" t="n">
        <f aca="false">C619*D619</f>
        <v>72.542</v>
      </c>
      <c r="F619" s="1148"/>
      <c r="G619" s="88"/>
      <c r="H619" s="88"/>
      <c r="I619" s="232"/>
      <c r="J619" s="232"/>
      <c r="K619" s="2164"/>
      <c r="L619" s="232"/>
      <c r="M619" s="1148"/>
      <c r="N619" s="1148"/>
      <c r="O619" s="1148"/>
      <c r="P619" s="1148"/>
      <c r="Q619" s="1148"/>
      <c r="R619" s="1148"/>
      <c r="S619" s="1148"/>
      <c r="T619" s="1148"/>
      <c r="U619" s="1148"/>
    </row>
    <row r="620" customFormat="false" ht="15" hidden="false" customHeight="true" outlineLevel="1" collapsed="false">
      <c r="A620" s="232" t="str">
        <f aca="false">'Прайс лист'!B838</f>
        <v>Уголок усиленный 90х70х55х2,5</v>
      </c>
      <c r="B620" s="232" t="s">
        <v>159</v>
      </c>
      <c r="C620" s="2159" t="n">
        <f aca="false">(((C566+C567)/0.6)+1)*3*G558*F574*F573</f>
        <v>3.45</v>
      </c>
      <c r="D620" s="232" t="n">
        <f aca="false">'Прайс лист'!G838</f>
        <v>30</v>
      </c>
      <c r="E620" s="232" t="n">
        <f aca="false">C620*D620</f>
        <v>103.5</v>
      </c>
      <c r="F620" s="1148"/>
      <c r="G620" s="2184"/>
      <c r="H620" s="2184"/>
      <c r="I620" s="2116"/>
      <c r="J620" s="2116"/>
      <c r="K620" s="2165"/>
      <c r="L620" s="232"/>
      <c r="M620" s="1148"/>
      <c r="N620" s="1148"/>
      <c r="O620" s="1148"/>
      <c r="P620" s="1148"/>
      <c r="Q620" s="1148"/>
      <c r="R620" s="1148"/>
      <c r="S620" s="1148"/>
      <c r="T620" s="1148"/>
      <c r="U620" s="1148"/>
    </row>
    <row r="621" customFormat="false" ht="15" hidden="false" customHeight="true" outlineLevel="1" collapsed="false">
      <c r="A621" s="232" t="str">
        <f aca="false">'Ввод данных'!A454</f>
        <v>Нет техники</v>
      </c>
      <c r="B621" s="232" t="str">
        <f aca="false">'Ввод данных'!B454</f>
        <v>ед.</v>
      </c>
      <c r="C621" s="232" t="n">
        <f aca="false">'Ввод данных'!C454</f>
        <v>1</v>
      </c>
      <c r="D621" s="232" t="n">
        <f aca="false">VLOOKUP(A621,'Прайс лист'!B180:G194,6,0)</f>
        <v>0</v>
      </c>
      <c r="E621" s="232" t="n">
        <f aca="false">C621*D621</f>
        <v>0</v>
      </c>
      <c r="F621" s="1148"/>
      <c r="G621" s="2184"/>
      <c r="H621" s="2184"/>
      <c r="I621" s="2116"/>
      <c r="J621" s="2116"/>
      <c r="K621" s="2165"/>
      <c r="L621" s="232"/>
      <c r="M621" s="1148"/>
      <c r="N621" s="1148"/>
      <c r="O621" s="1148"/>
      <c r="P621" s="1148"/>
      <c r="Q621" s="1148"/>
      <c r="R621" s="1148"/>
      <c r="S621" s="1148"/>
      <c r="T621" s="1148"/>
      <c r="U621" s="1148"/>
    </row>
    <row r="622" customFormat="false" ht="15" hidden="false" customHeight="true" outlineLevel="1" collapsed="false">
      <c r="A622" s="232" t="str">
        <f aca="false">'Ввод данных'!A455</f>
        <v>Нет техники</v>
      </c>
      <c r="B622" s="232" t="str">
        <f aca="false">'Ввод данных'!B455</f>
        <v>ед.</v>
      </c>
      <c r="C622" s="232" t="n">
        <f aca="false">'Ввод данных'!C455</f>
        <v>0</v>
      </c>
      <c r="D622" s="232" t="n">
        <f aca="false">VLOOKUP(A622,'Прайс лист'!B180:G194,6,0)</f>
        <v>0</v>
      </c>
      <c r="E622" s="232" t="n">
        <f aca="false">C622*D622</f>
        <v>0</v>
      </c>
      <c r="F622" s="1148"/>
      <c r="G622" s="2184"/>
      <c r="H622" s="2184"/>
      <c r="I622" s="2116"/>
      <c r="J622" s="2116"/>
      <c r="K622" s="2165"/>
      <c r="L622" s="232"/>
      <c r="M622" s="1148"/>
      <c r="N622" s="1148"/>
      <c r="O622" s="1148"/>
      <c r="P622" s="1148"/>
      <c r="Q622" s="1148"/>
      <c r="R622" s="1148"/>
      <c r="S622" s="1148"/>
      <c r="T622" s="1148"/>
      <c r="U622" s="1148"/>
    </row>
    <row r="623" customFormat="false" ht="15" hidden="false" customHeight="true" outlineLevel="1" collapsed="false">
      <c r="A623" s="232" t="str">
        <f aca="false">'Ввод данных'!A457</f>
        <v>расходные материалы эркер</v>
      </c>
      <c r="B623" s="232" t="str">
        <f aca="false">'Ввод данных'!B457</f>
        <v>рублей</v>
      </c>
      <c r="C623" s="232" t="n">
        <f aca="false">1</f>
        <v>1</v>
      </c>
      <c r="D623" s="232" t="n">
        <f aca="false">'Ввод данных'!C457</f>
        <v>3000</v>
      </c>
      <c r="E623" s="232" t="n">
        <f aca="false">C623*D623</f>
        <v>3000</v>
      </c>
      <c r="F623" s="1148"/>
      <c r="G623" s="2184"/>
      <c r="H623" s="2184"/>
      <c r="I623" s="2116"/>
      <c r="J623" s="2116"/>
      <c r="K623" s="2165"/>
      <c r="L623" s="232"/>
      <c r="M623" s="1148"/>
      <c r="N623" s="1148"/>
      <c r="O623" s="1148"/>
      <c r="P623" s="1148"/>
      <c r="Q623" s="1148"/>
      <c r="R623" s="1148"/>
      <c r="S623" s="1148"/>
      <c r="T623" s="1148"/>
      <c r="U623" s="1148"/>
    </row>
    <row r="624" customFormat="false" ht="15" hidden="false" customHeight="true" outlineLevel="1" collapsed="false">
      <c r="A624" s="1148"/>
      <c r="B624" s="1148"/>
      <c r="C624" s="1148"/>
      <c r="D624" s="1148"/>
      <c r="E624" s="232" t="n">
        <f aca="false">SUM(E577:E621)</f>
        <v>3789.66369275032</v>
      </c>
      <c r="F624" s="1148"/>
      <c r="G624" s="2184"/>
      <c r="H624" s="2184"/>
      <c r="I624" s="2116"/>
      <c r="J624" s="2116"/>
      <c r="K624" s="2165"/>
      <c r="L624" s="232" t="n">
        <f aca="false">SUM(L577:L619)</f>
        <v>0</v>
      </c>
      <c r="M624" s="1148"/>
      <c r="N624" s="1148"/>
      <c r="O624" s="1148"/>
      <c r="P624" s="1148"/>
      <c r="Q624" s="1148"/>
      <c r="R624" s="1148"/>
      <c r="S624" s="1148"/>
      <c r="T624" s="1148"/>
      <c r="U624" s="1148"/>
    </row>
    <row r="625" customFormat="false" ht="15" hidden="false" customHeight="true" outlineLevel="1" collapsed="false">
      <c r="F625" s="1148"/>
      <c r="G625" s="1148"/>
      <c r="H625" s="1148"/>
      <c r="I625" s="1148"/>
      <c r="J625" s="1148"/>
      <c r="K625" s="1149"/>
      <c r="M625" s="1148"/>
      <c r="N625" s="1148"/>
      <c r="O625" s="1148"/>
      <c r="P625" s="1148"/>
      <c r="Q625" s="1148"/>
      <c r="R625" s="1148"/>
      <c r="S625" s="1148"/>
      <c r="T625" s="1148"/>
      <c r="U625" s="1148"/>
    </row>
    <row r="626" customFormat="false" ht="15" hidden="false" customHeight="true" outlineLevel="1" collapsed="false">
      <c r="A626" s="232" t="s">
        <v>2726</v>
      </c>
      <c r="B626" s="2159" t="n">
        <f aca="false">E624</f>
        <v>3789.66369275032</v>
      </c>
      <c r="C626" s="1148"/>
      <c r="D626" s="1148"/>
      <c r="E626" s="1148"/>
      <c r="F626" s="1148"/>
      <c r="G626" s="1148"/>
      <c r="H626" s="1148"/>
      <c r="I626" s="1148"/>
      <c r="J626" s="1148"/>
      <c r="K626" s="1149"/>
      <c r="L626" s="1148"/>
      <c r="M626" s="1148"/>
      <c r="N626" s="1148"/>
      <c r="O626" s="1148"/>
      <c r="P626" s="1148"/>
      <c r="Q626" s="1148"/>
      <c r="R626" s="1148"/>
      <c r="S626" s="1148"/>
      <c r="T626" s="1148"/>
      <c r="U626" s="1148"/>
    </row>
    <row r="627" customFormat="false" ht="15" hidden="false" customHeight="true" outlineLevel="1" collapsed="false">
      <c r="A627" s="232" t="s">
        <v>2727</v>
      </c>
      <c r="B627" s="2159" t="n">
        <f aca="false">L624</f>
        <v>0</v>
      </c>
      <c r="C627" s="1148"/>
      <c r="D627" s="1148"/>
      <c r="E627" s="1148"/>
      <c r="F627" s="1148"/>
      <c r="G627" s="1148"/>
      <c r="H627" s="1148"/>
      <c r="I627" s="1148"/>
      <c r="J627" s="1148"/>
      <c r="K627" s="1149"/>
      <c r="L627" s="1148"/>
      <c r="M627" s="1148"/>
      <c r="N627" s="1148"/>
      <c r="O627" s="1148"/>
      <c r="P627" s="1148"/>
      <c r="Q627" s="1148"/>
      <c r="R627" s="1148"/>
      <c r="S627" s="1148"/>
      <c r="T627" s="1148"/>
      <c r="U627" s="1148"/>
    </row>
    <row r="628" customFormat="false" ht="15" hidden="false" customHeight="true" outlineLevel="1" collapsed="false">
      <c r="A628" s="232" t="s">
        <v>2728</v>
      </c>
      <c r="B628" s="2159" t="n">
        <f aca="false">SUM(B626:B627)</f>
        <v>3789.66369275032</v>
      </c>
      <c r="C628" s="1148"/>
      <c r="D628" s="1148"/>
      <c r="E628" s="1148"/>
      <c r="F628" s="1148"/>
      <c r="G628" s="1148"/>
      <c r="H628" s="1148"/>
      <c r="I628" s="1148"/>
      <c r="J628" s="1148"/>
      <c r="K628" s="1149"/>
      <c r="L628" s="1148"/>
      <c r="M628" s="1148"/>
      <c r="N628" s="1148"/>
      <c r="O628" s="1148"/>
      <c r="P628" s="1148"/>
      <c r="Q628" s="1148"/>
      <c r="R628" s="1148"/>
      <c r="S628" s="1148"/>
      <c r="T628" s="1148"/>
      <c r="U628" s="1148"/>
    </row>
    <row r="629" customFormat="false" ht="15" hidden="false" customHeight="true" outlineLevel="0" collapsed="false">
      <c r="A629" s="2160" t="s">
        <v>4160</v>
      </c>
      <c r="B629" s="1148"/>
      <c r="C629" s="2149"/>
      <c r="D629" s="2149"/>
      <c r="E629" s="1148"/>
      <c r="F629" s="2149"/>
      <c r="G629" s="2149"/>
      <c r="H629" s="1148"/>
      <c r="I629" s="1148"/>
      <c r="J629" s="1148"/>
      <c r="K629" s="1149"/>
      <c r="L629" s="1148"/>
      <c r="M629" s="1148"/>
      <c r="N629" s="1148"/>
      <c r="O629" s="1148"/>
      <c r="P629" s="1148"/>
      <c r="Q629" s="1148"/>
      <c r="R629" s="1148"/>
      <c r="S629" s="1148"/>
      <c r="T629" s="1148"/>
      <c r="U629" s="1148"/>
    </row>
    <row r="630" customFormat="false" ht="15" hidden="false" customHeight="true" outlineLevel="0" collapsed="false">
      <c r="A630" s="2160"/>
      <c r="B630" s="1148"/>
      <c r="C630" s="2149"/>
      <c r="D630" s="2149"/>
      <c r="E630" s="1148"/>
      <c r="F630" s="2149"/>
      <c r="G630" s="2149"/>
      <c r="H630" s="1148"/>
      <c r="I630" s="1148"/>
      <c r="J630" s="1148"/>
      <c r="K630" s="1149"/>
      <c r="L630" s="1148"/>
      <c r="M630" s="1148"/>
      <c r="N630" s="1148"/>
      <c r="O630" s="1148"/>
      <c r="P630" s="1148"/>
      <c r="Q630" s="1148"/>
      <c r="R630" s="1148"/>
      <c r="S630" s="1148"/>
      <c r="T630" s="1148"/>
      <c r="U630" s="1148"/>
    </row>
    <row r="631" customFormat="false" ht="15" hidden="false" customHeight="true" outlineLevel="0" collapsed="false">
      <c r="A631" s="2500" t="s">
        <v>1883</v>
      </c>
      <c r="B631" s="2500"/>
      <c r="C631" s="2500"/>
      <c r="D631" s="2500"/>
      <c r="E631" s="2500"/>
      <c r="F631" s="2500"/>
      <c r="G631" s="2500"/>
      <c r="H631" s="2500"/>
      <c r="I631" s="2500"/>
      <c r="J631" s="2501"/>
      <c r="K631" s="2501"/>
      <c r="L631" s="2502"/>
      <c r="M631" s="1148"/>
      <c r="N631" s="1148"/>
      <c r="O631" s="1148"/>
      <c r="P631" s="1148"/>
      <c r="Q631" s="1148"/>
      <c r="R631" s="1148"/>
      <c r="S631" s="1148"/>
      <c r="T631" s="1148"/>
      <c r="U631" s="1148"/>
    </row>
    <row r="632" customFormat="false" ht="15" hidden="false" customHeight="true" outlineLevel="0" collapsed="false">
      <c r="A632" s="1096" t="s">
        <v>1806</v>
      </c>
      <c r="B632" s="1096"/>
      <c r="C632" s="1096"/>
      <c r="D632" s="1096"/>
      <c r="E632" s="1096"/>
      <c r="F632" s="1096"/>
      <c r="G632" s="2503" t="n">
        <f aca="false">'Ввод данных'!E150</f>
        <v>1</v>
      </c>
      <c r="H632" s="1097" t="n">
        <f aca="false">'Ввод данных'!E151</f>
        <v>1</v>
      </c>
      <c r="I632" s="1097"/>
      <c r="J632" s="1097"/>
      <c r="K632" s="1097"/>
      <c r="L632" s="1097"/>
      <c r="M632" s="1148"/>
      <c r="N632" s="1148"/>
      <c r="O632" s="1148"/>
      <c r="P632" s="1148"/>
      <c r="Q632" s="1148"/>
      <c r="R632" s="1148"/>
      <c r="S632" s="1148"/>
      <c r="T632" s="1148"/>
      <c r="U632" s="1148"/>
    </row>
    <row r="633" customFormat="false" ht="15" hidden="false" customHeight="true" outlineLevel="0" collapsed="false">
      <c r="A633" s="2504" t="s">
        <v>2705</v>
      </c>
      <c r="B633" s="2505" t="s">
        <v>156</v>
      </c>
      <c r="C633" s="2505" t="n">
        <f aca="false">дома!P1130+дома!Q1131</f>
        <v>42.3606797749979</v>
      </c>
      <c r="D633" s="2506"/>
      <c r="E633" s="2507"/>
      <c r="F633" s="2507"/>
      <c r="G633" s="2507"/>
      <c r="H633" s="1097"/>
      <c r="I633" s="1097"/>
      <c r="J633" s="1097"/>
      <c r="K633" s="1097"/>
      <c r="L633" s="1097"/>
      <c r="M633" s="1148"/>
      <c r="N633" s="1148"/>
      <c r="O633" s="1148"/>
      <c r="P633" s="1148"/>
      <c r="Q633" s="1148"/>
      <c r="R633" s="1148"/>
      <c r="S633" s="1148"/>
      <c r="T633" s="1148"/>
      <c r="U633" s="1148"/>
    </row>
    <row r="634" customFormat="false" ht="15" hidden="false" customHeight="true" outlineLevel="0" collapsed="false">
      <c r="A634" s="265" t="s">
        <v>3831</v>
      </c>
      <c r="B634" s="1124" t="s">
        <v>159</v>
      </c>
      <c r="C634" s="2509" t="n">
        <f aca="false">IF('Ввод данных'!A157=связи1!A6,1,0)</f>
        <v>1</v>
      </c>
      <c r="D634" s="2510"/>
      <c r="E634" s="2511"/>
      <c r="F634" s="2511"/>
      <c r="G634" s="2116"/>
      <c r="H634" s="2116"/>
      <c r="I634" s="2124"/>
      <c r="J634" s="2116"/>
      <c r="K634" s="2165"/>
      <c r="L634" s="2116"/>
      <c r="M634" s="1148"/>
      <c r="N634" s="1148"/>
      <c r="O634" s="1148"/>
      <c r="P634" s="1148"/>
      <c r="Q634" s="1148"/>
      <c r="R634" s="1148"/>
      <c r="S634" s="1148"/>
      <c r="T634" s="1148"/>
      <c r="U634" s="1148"/>
    </row>
    <row r="635" customFormat="false" ht="15" hidden="false" customHeight="true" outlineLevel="0" collapsed="false">
      <c r="A635" s="2512" t="s">
        <v>3832</v>
      </c>
      <c r="B635" s="232" t="s">
        <v>159</v>
      </c>
      <c r="C635" s="2509" t="n">
        <f aca="false">IF('Ввод данных'!A157=связи1!A7,1,0)</f>
        <v>0</v>
      </c>
      <c r="D635" s="2510"/>
      <c r="E635" s="2511"/>
      <c r="F635" s="2511"/>
      <c r="G635" s="2116"/>
      <c r="H635" s="2116"/>
      <c r="I635" s="2124"/>
      <c r="J635" s="2116"/>
      <c r="K635" s="2165"/>
      <c r="L635" s="2116"/>
      <c r="M635" s="1148"/>
      <c r="N635" s="1148"/>
      <c r="O635" s="1148"/>
      <c r="P635" s="1148"/>
      <c r="Q635" s="1148"/>
      <c r="R635" s="1148"/>
      <c r="S635" s="1148"/>
      <c r="T635" s="1148"/>
      <c r="U635" s="1148"/>
    </row>
    <row r="636" customFormat="false" ht="15" hidden="false" customHeight="true" outlineLevel="0" collapsed="false">
      <c r="A636" s="2512" t="s">
        <v>3833</v>
      </c>
      <c r="B636" s="232" t="s">
        <v>159</v>
      </c>
      <c r="C636" s="2509" t="n">
        <f aca="false">IF('Ввод данных'!A157=связи1!A8,1,0)</f>
        <v>0</v>
      </c>
      <c r="D636" s="2510"/>
      <c r="E636" s="2511"/>
      <c r="F636" s="2511"/>
      <c r="G636" s="2116"/>
      <c r="H636" s="2116"/>
      <c r="I636" s="2124"/>
      <c r="J636" s="2116"/>
      <c r="K636" s="2165"/>
      <c r="L636" s="2116"/>
      <c r="M636" s="1148"/>
      <c r="N636" s="1148"/>
      <c r="O636" s="1148"/>
      <c r="P636" s="1148"/>
      <c r="Q636" s="1148"/>
      <c r="R636" s="1148"/>
      <c r="S636" s="1148"/>
      <c r="T636" s="1148"/>
      <c r="U636" s="1148"/>
    </row>
    <row r="637" customFormat="false" ht="15" hidden="false" customHeight="true" outlineLevel="0" collapsed="false">
      <c r="A637" s="232" t="s">
        <v>2623</v>
      </c>
      <c r="B637" s="232" t="s">
        <v>133</v>
      </c>
      <c r="C637" s="232" t="n">
        <f aca="false">дома!P1181+дома!Q1182+'Ввод данных'!C166*'Ввод данных'!D166</f>
        <v>160.786258854618</v>
      </c>
      <c r="D637" s="2511"/>
      <c r="E637" s="2511"/>
      <c r="F637" s="2511"/>
      <c r="G637" s="2116"/>
      <c r="H637" s="2116"/>
      <c r="I637" s="2124"/>
      <c r="J637" s="2116"/>
      <c r="K637" s="2165"/>
      <c r="L637" s="2116"/>
      <c r="M637" s="1148"/>
      <c r="N637" s="1148"/>
      <c r="O637" s="1148"/>
      <c r="P637" s="1148"/>
      <c r="Q637" s="1148"/>
      <c r="R637" s="1148"/>
      <c r="S637" s="1148"/>
      <c r="T637" s="1148"/>
      <c r="U637" s="1148"/>
    </row>
    <row r="638" customFormat="false" ht="15" hidden="false" customHeight="true" outlineLevel="0" collapsed="false">
      <c r="A638" s="232" t="s">
        <v>2773</v>
      </c>
      <c r="B638" s="232"/>
      <c r="C638" s="232" t="n">
        <f aca="false">дома!P1177+дома!Q1178</f>
        <v>111.80339887499</v>
      </c>
      <c r="D638" s="2511"/>
      <c r="E638" s="2511"/>
      <c r="F638" s="2511"/>
      <c r="G638" s="2116"/>
      <c r="H638" s="2116"/>
      <c r="I638" s="2124"/>
      <c r="J638" s="2116"/>
      <c r="K638" s="2165"/>
      <c r="L638" s="2116"/>
      <c r="M638" s="1148"/>
      <c r="N638" s="1148"/>
      <c r="O638" s="1148"/>
      <c r="P638" s="1148"/>
      <c r="Q638" s="1148"/>
      <c r="R638" s="1148"/>
      <c r="S638" s="1148"/>
      <c r="T638" s="1148"/>
      <c r="U638" s="1148"/>
    </row>
    <row r="639" customFormat="false" ht="15" hidden="false" customHeight="true" outlineLevel="0" collapsed="false">
      <c r="A639" s="232" t="s">
        <v>1546</v>
      </c>
      <c r="B639" s="232" t="s">
        <v>156</v>
      </c>
      <c r="C639" s="232" t="n">
        <f aca="false">дома!P1164+дома!Q1165</f>
        <v>11.8</v>
      </c>
      <c r="D639" s="2511"/>
      <c r="E639" s="2511"/>
      <c r="F639" s="2511"/>
      <c r="G639" s="2116"/>
      <c r="H639" s="2116"/>
      <c r="I639" s="2124"/>
      <c r="J639" s="2116"/>
      <c r="K639" s="2165"/>
      <c r="L639" s="2116"/>
      <c r="M639" s="1148"/>
      <c r="N639" s="1148"/>
      <c r="O639" s="1148"/>
      <c r="P639" s="1148"/>
      <c r="Q639" s="1148"/>
      <c r="R639" s="1148"/>
      <c r="S639" s="1148"/>
      <c r="T639" s="1148"/>
      <c r="U639" s="1148"/>
    </row>
    <row r="640" customFormat="false" ht="15" hidden="false" customHeight="true" outlineLevel="0" collapsed="false">
      <c r="A640" s="232" t="s">
        <v>3502</v>
      </c>
      <c r="B640" s="232" t="s">
        <v>156</v>
      </c>
      <c r="C640" s="232" t="n">
        <f aca="false">дома!P1168+дома!Q1169</f>
        <v>13.1174795639507</v>
      </c>
      <c r="D640" s="2511"/>
      <c r="E640" s="2511"/>
      <c r="F640" s="2511"/>
      <c r="G640" s="2116"/>
      <c r="H640" s="2116"/>
      <c r="I640" s="2124"/>
      <c r="J640" s="2116"/>
      <c r="K640" s="2165"/>
      <c r="L640" s="2116"/>
      <c r="M640" s="1148"/>
      <c r="N640" s="1148"/>
      <c r="O640" s="1148"/>
      <c r="P640" s="1148"/>
      <c r="Q640" s="1148"/>
      <c r="R640" s="1148"/>
      <c r="S640" s="1148"/>
      <c r="T640" s="1148"/>
      <c r="U640" s="1148"/>
    </row>
    <row r="641" customFormat="false" ht="15" hidden="false" customHeight="true" outlineLevel="0" collapsed="false">
      <c r="A641" s="1124" t="s">
        <v>1906</v>
      </c>
      <c r="B641" s="260"/>
      <c r="C641" s="232" t="n">
        <f aca="false">дома!P1132+дома!Q1133</f>
        <v>10</v>
      </c>
      <c r="D641" s="2511"/>
      <c r="E641" s="2511"/>
      <c r="F641" s="2511"/>
      <c r="G641" s="2116"/>
      <c r="H641" s="2116"/>
      <c r="I641" s="2124"/>
      <c r="J641" s="2116"/>
      <c r="K641" s="2165"/>
      <c r="L641" s="2116"/>
      <c r="M641" s="1148"/>
      <c r="N641" s="1148"/>
      <c r="O641" s="1148"/>
      <c r="P641" s="1148"/>
      <c r="Q641" s="1148"/>
      <c r="R641" s="1148"/>
      <c r="S641" s="1148"/>
      <c r="T641" s="1148"/>
      <c r="U641" s="1148"/>
    </row>
    <row r="642" customFormat="false" ht="15" hidden="false" customHeight="true" outlineLevel="0" collapsed="false">
      <c r="A642" s="1124" t="s">
        <v>4162</v>
      </c>
      <c r="B642" s="260"/>
      <c r="C642" s="232" t="n">
        <f aca="false">дома!O1135</f>
        <v>5</v>
      </c>
      <c r="D642" s="2511"/>
      <c r="E642" s="2511"/>
      <c r="F642" s="2511"/>
      <c r="G642" s="2116"/>
      <c r="H642" s="2116"/>
      <c r="I642" s="2124"/>
      <c r="J642" s="2116"/>
      <c r="K642" s="2165"/>
      <c r="L642" s="2116"/>
      <c r="M642" s="1148"/>
      <c r="N642" s="1148"/>
      <c r="O642" s="1148"/>
      <c r="P642" s="1148"/>
      <c r="Q642" s="1148"/>
      <c r="R642" s="1148"/>
      <c r="S642" s="1148"/>
      <c r="T642" s="1148"/>
      <c r="U642" s="1148"/>
    </row>
    <row r="643" customFormat="false" ht="15" hidden="false" customHeight="true" outlineLevel="0" collapsed="false">
      <c r="A643" s="2162" t="s">
        <v>1089</v>
      </c>
      <c r="B643" s="260" t="s">
        <v>159</v>
      </c>
      <c r="C643" s="1130" t="n">
        <f aca="false">'Ввод данных'!C181</f>
        <v>0</v>
      </c>
      <c r="D643" s="2511"/>
      <c r="E643" s="2511"/>
      <c r="F643" s="2511"/>
      <c r="G643" s="2116"/>
      <c r="H643" s="2116"/>
      <c r="I643" s="2124"/>
      <c r="J643" s="2116"/>
      <c r="K643" s="2165"/>
      <c r="L643" s="2116"/>
      <c r="M643" s="1148"/>
      <c r="N643" s="1148"/>
      <c r="O643" s="1148"/>
      <c r="P643" s="1148"/>
      <c r="Q643" s="1148"/>
      <c r="R643" s="1148"/>
      <c r="S643" s="1148"/>
      <c r="T643" s="1148"/>
      <c r="U643" s="1148"/>
    </row>
    <row r="644" customFormat="false" ht="15" hidden="false" customHeight="true" outlineLevel="0" collapsed="false">
      <c r="A644" s="2162" t="s">
        <v>1090</v>
      </c>
      <c r="B644" s="260" t="s">
        <v>159</v>
      </c>
      <c r="C644" s="1130" t="n">
        <f aca="false">'Ввод данных'!C182</f>
        <v>0</v>
      </c>
      <c r="D644" s="2511"/>
      <c r="E644" s="2511"/>
      <c r="F644" s="2511"/>
      <c r="G644" s="2116"/>
      <c r="H644" s="2116"/>
      <c r="I644" s="2124"/>
      <c r="J644" s="2116"/>
      <c r="K644" s="2165"/>
      <c r="L644" s="2116"/>
      <c r="M644" s="1148"/>
      <c r="N644" s="1148"/>
      <c r="O644" s="1148"/>
      <c r="P644" s="1148"/>
      <c r="Q644" s="1148"/>
      <c r="R644" s="1148"/>
      <c r="S644" s="1148"/>
      <c r="T644" s="1148"/>
      <c r="U644" s="1148"/>
    </row>
    <row r="645" customFormat="false" ht="15" hidden="false" customHeight="true" outlineLevel="0" collapsed="false">
      <c r="A645" s="2162" t="s">
        <v>1091</v>
      </c>
      <c r="B645" s="260" t="s">
        <v>159</v>
      </c>
      <c r="C645" s="1130" t="n">
        <f aca="false">'Ввод данных'!C183</f>
        <v>0</v>
      </c>
      <c r="D645" s="2511"/>
      <c r="E645" s="2511"/>
      <c r="F645" s="2511"/>
      <c r="G645" s="2116"/>
      <c r="H645" s="2116"/>
      <c r="I645" s="2124"/>
      <c r="J645" s="2116"/>
      <c r="K645" s="2165"/>
      <c r="L645" s="2116"/>
      <c r="M645" s="1148"/>
      <c r="N645" s="1148"/>
      <c r="O645" s="1148"/>
      <c r="P645" s="1148"/>
      <c r="Q645" s="1148"/>
      <c r="R645" s="1148"/>
      <c r="S645" s="1148"/>
      <c r="T645" s="1148"/>
      <c r="U645" s="1148"/>
    </row>
    <row r="646" customFormat="false" ht="15" hidden="false" customHeight="true" outlineLevel="0" collapsed="false">
      <c r="A646" s="2163" t="s">
        <v>2720</v>
      </c>
      <c r="B646" s="2163" t="s">
        <v>1094</v>
      </c>
      <c r="C646" s="2163" t="s">
        <v>1802</v>
      </c>
      <c r="D646" s="2163" t="s">
        <v>2721</v>
      </c>
      <c r="E646" s="2163" t="s">
        <v>2722</v>
      </c>
      <c r="F646" s="1148"/>
      <c r="G646" s="2543" t="s">
        <v>1409</v>
      </c>
      <c r="H646" s="2163" t="s">
        <v>1094</v>
      </c>
      <c r="I646" s="2163" t="s">
        <v>1802</v>
      </c>
      <c r="J646" s="2513" t="s">
        <v>1601</v>
      </c>
      <c r="K646" s="2163" t="s">
        <v>2722</v>
      </c>
      <c r="M646" s="1148"/>
      <c r="N646" s="1148"/>
      <c r="O646" s="1148"/>
      <c r="P646" s="1148"/>
      <c r="Q646" s="1148"/>
      <c r="R646" s="1148"/>
      <c r="S646" s="1148"/>
      <c r="T646" s="1148"/>
      <c r="U646" s="1148"/>
    </row>
    <row r="647" customFormat="false" ht="15" hidden="false" customHeight="true" outlineLevel="0" collapsed="false">
      <c r="A647" s="232" t="str">
        <f aca="false">'Ввод данных'!A159</f>
        <v>нет</v>
      </c>
      <c r="B647" s="232" t="str">
        <f aca="false">B262</f>
        <v>м3</v>
      </c>
      <c r="C647" s="232" t="n">
        <f aca="false">VLOOKUP(A647,связи1!F203:H213,3,0)*C633*G632</f>
        <v>0</v>
      </c>
      <c r="D647" s="232" t="n">
        <f aca="false">VLOOKUP(A647,связи1!F203:H213,2,0)</f>
        <v>0</v>
      </c>
      <c r="E647" s="232" t="n">
        <f aca="false">C647*D647</f>
        <v>0</v>
      </c>
      <c r="F647" s="1148"/>
      <c r="G647" s="2157"/>
      <c r="H647" s="232"/>
      <c r="I647" s="232"/>
      <c r="J647" s="2164"/>
      <c r="K647" s="232"/>
      <c r="M647" s="1148"/>
      <c r="N647" s="1148"/>
      <c r="O647" s="1148"/>
      <c r="P647" s="1148"/>
      <c r="Q647" s="1148"/>
      <c r="R647" s="1148"/>
      <c r="S647" s="1148"/>
      <c r="T647" s="1148"/>
      <c r="U647" s="1148"/>
    </row>
    <row r="648" customFormat="false" ht="15" hidden="false" customHeight="true" outlineLevel="0" collapsed="false">
      <c r="A648" s="232" t="str">
        <f aca="false">A263</f>
        <v>Болты анкерные с гайкой 12,0 х 280</v>
      </c>
      <c r="B648" s="232" t="str">
        <f aca="false">B263</f>
        <v>шт</v>
      </c>
      <c r="C648" s="232" t="n">
        <f aca="false">C263*G632</f>
        <v>48.2842712474619</v>
      </c>
      <c r="D648" s="232" t="n">
        <f aca="false">D263</f>
        <v>27.1</v>
      </c>
      <c r="E648" s="232" t="n">
        <f aca="false">C648*D648</f>
        <v>1308.50375080622</v>
      </c>
      <c r="F648" s="1148"/>
      <c r="G648" s="2182" t="str">
        <f aca="false">G263</f>
        <v>монтаж мауэрлата</v>
      </c>
      <c r="H648" s="2182" t="str">
        <f aca="false">I263</f>
        <v>м.п.</v>
      </c>
      <c r="I648" s="2182" t="n">
        <f aca="false">C633*H632</f>
        <v>42.3606797749979</v>
      </c>
      <c r="J648" s="2182" t="n">
        <f aca="false">K263</f>
        <v>250</v>
      </c>
      <c r="K648" s="122" t="n">
        <f aca="false">I648*J648</f>
        <v>10590.1699437495</v>
      </c>
      <c r="M648" s="1148"/>
      <c r="N648" s="1148"/>
      <c r="O648" s="1148"/>
      <c r="P648" s="1148"/>
      <c r="Q648" s="1148"/>
      <c r="R648" s="1148"/>
      <c r="S648" s="1148"/>
      <c r="T648" s="1148"/>
      <c r="U648" s="1148"/>
    </row>
    <row r="649" customFormat="false" ht="15" hidden="false" customHeight="true" outlineLevel="0" collapsed="false">
      <c r="A649" s="232" t="str">
        <f aca="false">'Ввод данных'!A172</f>
        <v>Доска сухая, 200*50мм</v>
      </c>
      <c r="B649" s="232" t="str">
        <f aca="false">B264</f>
        <v>м3</v>
      </c>
      <c r="C649" s="232" t="n">
        <f aca="false">(C639/0.6+2+C639+C639)*C640*VLOOKUP(A649,связи1!A407:E416,5,0)*1.2*G632+('Ввод данных'!C166/0.6+1)*'Ввод данных'!D166*VLOOKUP(A649,связи1!A407:E416,5,0)*G632</f>
        <v>7.24541489913801</v>
      </c>
      <c r="D649" s="232" t="n">
        <f aca="false">VLOOKUP(A649,связи1!A407:E416,2,0)</f>
        <v>9000</v>
      </c>
      <c r="E649" s="232" t="n">
        <f aca="false">C649*D649</f>
        <v>65208.7340922421</v>
      </c>
      <c r="F649" s="1148"/>
      <c r="G649" s="2182" t="str">
        <f aca="false">G264</f>
        <v>монтаж стропил</v>
      </c>
      <c r="H649" s="2182" t="str">
        <f aca="false">I264</f>
        <v>м2</v>
      </c>
      <c r="I649" s="2182" t="n">
        <f aca="false">C637*IF(A649=связи1!A407,0,1)*H632</f>
        <v>160.786258854618</v>
      </c>
      <c r="J649" s="2182" t="n">
        <f aca="false">K264</f>
        <v>450</v>
      </c>
      <c r="K649" s="122" t="n">
        <f aca="false">I649*J649</f>
        <v>72353.8164845781</v>
      </c>
      <c r="M649" s="1148"/>
      <c r="N649" s="1148"/>
      <c r="O649" s="1148"/>
      <c r="P649" s="1148"/>
      <c r="Q649" s="1148"/>
      <c r="R649" s="1148"/>
      <c r="S649" s="1148"/>
      <c r="T649" s="1148"/>
      <c r="U649" s="1148"/>
    </row>
    <row r="650" customFormat="false" ht="15" hidden="false" customHeight="true" outlineLevel="0" collapsed="false">
      <c r="A650" s="232" t="str">
        <f aca="false">A265</f>
        <v>бугель, доска</v>
      </c>
      <c r="B650" s="232" t="str">
        <f aca="false">B265</f>
        <v>м3</v>
      </c>
      <c r="C650" s="232" t="n">
        <f aca="false">(C639/0.6+2)*C641*VLOOKUP(A649,связи1!A407:E416,5,0)*1.2*G632</f>
        <v>2.6</v>
      </c>
      <c r="D650" s="232" t="n">
        <f aca="false">VLOOKUP(A649,связи1!A407:E416,2,0)</f>
        <v>9000</v>
      </c>
      <c r="E650" s="232" t="n">
        <f aca="false">C650*D650</f>
        <v>23400</v>
      </c>
      <c r="F650" s="1148"/>
      <c r="G650" s="2182" t="str">
        <f aca="false">G265</f>
        <v>обрешетка</v>
      </c>
      <c r="H650" s="2182" t="str">
        <f aca="false">I265</f>
        <v>м2</v>
      </c>
      <c r="I650" s="2182" t="n">
        <f aca="false">C637*IF(A652=связи1!A432,0,1)*H632</f>
        <v>160.786258854618</v>
      </c>
      <c r="J650" s="2182" t="n">
        <f aca="false">K265</f>
        <v>100</v>
      </c>
      <c r="K650" s="122" t="n">
        <f aca="false">I650*J650</f>
        <v>16078.6258854618</v>
      </c>
      <c r="M650" s="1148"/>
      <c r="N650" s="1148"/>
      <c r="O650" s="1148"/>
      <c r="P650" s="1148"/>
      <c r="Q650" s="1148"/>
      <c r="R650" s="1148"/>
      <c r="S650" s="1148"/>
      <c r="T650" s="1148"/>
      <c r="U650" s="1148"/>
    </row>
    <row r="651" customFormat="false" ht="15" hidden="false" customHeight="true" outlineLevel="0" collapsed="false">
      <c r="A651" s="232" t="str">
        <f aca="false">A266</f>
        <v>стойка под конек</v>
      </c>
      <c r="B651" s="232" t="str">
        <f aca="false">B266</f>
        <v>м3</v>
      </c>
      <c r="C651" s="232" t="n">
        <f aca="false">(C639/0.6+2)*C642*VLOOKUP(A649,связи1!A407:E416,5,0)*1.2*G632</f>
        <v>1.3</v>
      </c>
      <c r="D651" s="232" t="n">
        <f aca="false">VLOOKUP(A649,связи1!A407:E416,2,0)</f>
        <v>9000</v>
      </c>
      <c r="E651" s="232" t="n">
        <f aca="false">C651*D651</f>
        <v>11700</v>
      </c>
      <c r="F651" s="1148"/>
      <c r="G651" s="2182" t="str">
        <f aca="false">G266</f>
        <v>контробеш</v>
      </c>
      <c r="H651" s="2182" t="str">
        <f aca="false">I266</f>
        <v>м2</v>
      </c>
      <c r="I651" s="2182" t="n">
        <f aca="false">C637*IF(A653=связи1!A418,0,1)*H632</f>
        <v>160.786258854618</v>
      </c>
      <c r="J651" s="2182" t="n">
        <f aca="false">K266</f>
        <v>100</v>
      </c>
      <c r="K651" s="122" t="n">
        <f aca="false">I651*J651</f>
        <v>16078.6258854618</v>
      </c>
      <c r="M651" s="1148"/>
      <c r="N651" s="1148"/>
      <c r="O651" s="1148"/>
      <c r="P651" s="1148"/>
      <c r="Q651" s="1148"/>
      <c r="R651" s="1148"/>
      <c r="S651" s="1148"/>
      <c r="T651" s="1148"/>
      <c r="U651" s="1148"/>
    </row>
    <row r="652" customFormat="false" ht="15" hidden="false" customHeight="true" outlineLevel="0" collapsed="false">
      <c r="A652" s="232" t="str">
        <f aca="false">'Ввод данных'!A174</f>
        <v>Сосна влаж,100*25мм</v>
      </c>
      <c r="B652" s="232" t="str">
        <f aca="false">B267</f>
        <v>м3</v>
      </c>
      <c r="C652" s="232" t="n">
        <f aca="false">C637*3*VLOOKUP(A652,связи1!A432:F440,5,0)*G632</f>
        <v>1.20589694140964</v>
      </c>
      <c r="D652" s="232" t="n">
        <f aca="false">VLOOKUP(A652,связи1!A432:F440,6,0)</f>
        <v>6500</v>
      </c>
      <c r="E652" s="232" t="n">
        <f aca="false">C652*D652</f>
        <v>7838.33011916263</v>
      </c>
      <c r="F652" s="1148"/>
      <c r="G652" s="2182" t="str">
        <f aca="false">G267</f>
        <v>Монтаж металлочерепицы</v>
      </c>
      <c r="H652" s="2182" t="str">
        <f aca="false">I267</f>
        <v>м2</v>
      </c>
      <c r="I652" s="2182" t="n">
        <f aca="false">C637*C634*H632</f>
        <v>160.786258854618</v>
      </c>
      <c r="J652" s="2182" t="n">
        <f aca="false">K267</f>
        <v>300</v>
      </c>
      <c r="K652" s="122" t="n">
        <f aca="false">I652*J652</f>
        <v>48235.8776563854</v>
      </c>
      <c r="M652" s="1148"/>
      <c r="N652" s="1148"/>
      <c r="O652" s="1148"/>
      <c r="P652" s="1148"/>
      <c r="Q652" s="1148"/>
      <c r="R652" s="1148"/>
      <c r="S652" s="1148"/>
      <c r="T652" s="1148"/>
      <c r="U652" s="1148"/>
    </row>
    <row r="653" customFormat="false" ht="15" hidden="false" customHeight="true" outlineLevel="0" collapsed="false">
      <c r="A653" s="232" t="str">
        <f aca="false">'Ввод данных'!A176</f>
        <v>Сосна влаж, 50*50мм</v>
      </c>
      <c r="B653" s="232" t="s">
        <v>135</v>
      </c>
      <c r="C653" s="232" t="n">
        <f aca="false">C637*2.5*VLOOKUP(A653,связи1!A418:E421,5,0)*G632</f>
        <v>1.00491411784136</v>
      </c>
      <c r="D653" s="232" t="n">
        <f aca="false">VLOOKUP(A653,связи1!A418:D421,2,0)</f>
        <v>6500</v>
      </c>
      <c r="E653" s="232" t="n">
        <f aca="false">C653*D653</f>
        <v>6531.94176596886</v>
      </c>
      <c r="F653" s="1148"/>
      <c r="G653" s="2182" t="str">
        <f aca="false">G268</f>
        <v>Монтаж ондулина</v>
      </c>
      <c r="H653" s="2182" t="str">
        <f aca="false">I268</f>
        <v>м2</v>
      </c>
      <c r="I653" s="2182" t="n">
        <f aca="false">C637*C635*H632</f>
        <v>0</v>
      </c>
      <c r="J653" s="2182" t="n">
        <f aca="false">K268</f>
        <v>300</v>
      </c>
      <c r="K653" s="122" t="n">
        <f aca="false">I653*J653</f>
        <v>0</v>
      </c>
      <c r="M653" s="1148"/>
      <c r="N653" s="1148"/>
      <c r="O653" s="1148"/>
      <c r="P653" s="1148"/>
      <c r="Q653" s="1148"/>
      <c r="R653" s="1148"/>
      <c r="S653" s="1148"/>
      <c r="T653" s="1148"/>
      <c r="U653" s="1148"/>
    </row>
    <row r="654" customFormat="false" ht="15" hidden="false" customHeight="true" outlineLevel="0" collapsed="false">
      <c r="A654" s="232" t="str">
        <f aca="false">'Ввод данных'!A170</f>
        <v>Нет</v>
      </c>
      <c r="B654" s="232" t="s">
        <v>135</v>
      </c>
      <c r="C654" s="232" t="n">
        <f aca="false">VLOOKUP(A654,'Прайс лист'!B333:G419,5,0)*'Ввод данных'!C170*'Ввод данных'!D170</f>
        <v>0</v>
      </c>
      <c r="D654" s="232" t="n">
        <f aca="false">VLOOKUP(A654,'Прайс лист'!B333:G419,6,0)</f>
        <v>0</v>
      </c>
      <c r="E654" s="232" t="n">
        <f aca="false">C654*D654</f>
        <v>0</v>
      </c>
      <c r="F654" s="1148"/>
      <c r="G654" s="2182"/>
      <c r="H654" s="2182"/>
      <c r="I654" s="2182"/>
      <c r="J654" s="2182"/>
      <c r="K654" s="122"/>
      <c r="M654" s="1148"/>
      <c r="N654" s="1148"/>
      <c r="O654" s="1148"/>
      <c r="P654" s="1148"/>
      <c r="Q654" s="1148"/>
      <c r="R654" s="1148"/>
      <c r="S654" s="1148"/>
      <c r="T654" s="1148"/>
      <c r="U654" s="1148"/>
    </row>
    <row r="655" customFormat="false" ht="15" hidden="false" customHeight="true" outlineLevel="0" collapsed="false">
      <c r="A655" s="232" t="str">
        <f aca="false">'Прайс лист'!B530</f>
        <v>Гидрокомпенсатор</v>
      </c>
      <c r="B655" s="232" t="s">
        <v>159</v>
      </c>
      <c r="C655" s="232" t="n">
        <f aca="false">'Ввод данных'!D170</f>
        <v>0</v>
      </c>
      <c r="D655" s="232" t="n">
        <f aca="false">'Прайс лист'!G530</f>
        <v>450</v>
      </c>
      <c r="E655" s="232" t="n">
        <f aca="false">C655*D655</f>
        <v>0</v>
      </c>
      <c r="F655" s="1148"/>
      <c r="G655" s="2182"/>
      <c r="H655" s="2182"/>
      <c r="I655" s="2182"/>
      <c r="J655" s="2182"/>
      <c r="K655" s="122"/>
      <c r="M655" s="1148"/>
      <c r="N655" s="1148"/>
      <c r="O655" s="1148"/>
      <c r="P655" s="1148"/>
      <c r="Q655" s="1148"/>
      <c r="R655" s="1148"/>
      <c r="S655" s="1148"/>
      <c r="T655" s="1148"/>
      <c r="U655" s="1148"/>
    </row>
    <row r="656" customFormat="false" ht="15" hidden="false" customHeight="true" outlineLevel="0" collapsed="false">
      <c r="A656" s="232" t="str">
        <f aca="false">'Ввод данных'!A185</f>
        <v>Мембрана MD90</v>
      </c>
      <c r="B656" s="232" t="str">
        <f aca="false">B271</f>
        <v>м2</v>
      </c>
      <c r="C656" s="232" t="n">
        <f aca="false">C637*1.2*G632</f>
        <v>192.943510625542</v>
      </c>
      <c r="D656" s="232" t="n">
        <f aca="false">VLOOKUP(A656,'Прайс лист'!B793:G819,6,0)</f>
        <v>34</v>
      </c>
      <c r="E656" s="232" t="n">
        <f aca="false">C656*D656</f>
        <v>6560.07936126842</v>
      </c>
      <c r="F656" s="1148"/>
      <c r="G656" s="2182" t="str">
        <f aca="false">G271</f>
        <v>мембрана</v>
      </c>
      <c r="H656" s="2182" t="str">
        <f aca="false">I271</f>
        <v>м2</v>
      </c>
      <c r="I656" s="2182" t="n">
        <f aca="false">C637*H632*IF(A656='Прайс лист'!B793,0,1)</f>
        <v>160.786258854618</v>
      </c>
      <c r="J656" s="2182" t="n">
        <f aca="false">K271</f>
        <v>100</v>
      </c>
      <c r="K656" s="122" t="n">
        <f aca="false">I656*J656</f>
        <v>16078.6258854618</v>
      </c>
      <c r="M656" s="1148"/>
      <c r="N656" s="1148"/>
      <c r="O656" s="1148"/>
      <c r="P656" s="1148"/>
      <c r="Q656" s="1148"/>
      <c r="R656" s="1148"/>
      <c r="S656" s="1148"/>
      <c r="T656" s="1148"/>
      <c r="U656" s="1148"/>
    </row>
    <row r="657" customFormat="false" ht="15" hidden="false" customHeight="true" outlineLevel="0" collapsed="false">
      <c r="A657" s="232" t="str">
        <f aca="false">'Ввод данных'!A187</f>
        <v>Мембрана Tyvek AirGuard Reflective</v>
      </c>
      <c r="B657" s="232" t="str">
        <f aca="false">B272</f>
        <v>м2</v>
      </c>
      <c r="C657" s="232" t="n">
        <f aca="false">C638*1.25*G632</f>
        <v>139.754248593737</v>
      </c>
      <c r="D657" s="232" t="n">
        <f aca="false">VLOOKUP(A657,'Прайс лист'!B820:G831,6,0)</f>
        <v>174</v>
      </c>
      <c r="E657" s="232" t="n">
        <f aca="false">C657*D657</f>
        <v>24317.2392553102</v>
      </c>
      <c r="F657" s="1148"/>
      <c r="G657" s="2182" t="str">
        <f aca="false">G272</f>
        <v>пароизоляц</v>
      </c>
      <c r="H657" s="2182" t="str">
        <f aca="false">I272</f>
        <v>м2</v>
      </c>
      <c r="I657" s="2182" t="n">
        <f aca="false">C637*H632*IF(A657='Прайс лист'!B820,0,1)</f>
        <v>160.786258854618</v>
      </c>
      <c r="J657" s="2182" t="n">
        <f aca="false">K272</f>
        <v>100</v>
      </c>
      <c r="K657" s="122" t="n">
        <f aca="false">I657*J657</f>
        <v>16078.6258854618</v>
      </c>
      <c r="M657" s="1148"/>
      <c r="N657" s="1148"/>
      <c r="O657" s="1148"/>
      <c r="P657" s="1148"/>
      <c r="Q657" s="1148"/>
      <c r="R657" s="1148"/>
      <c r="S657" s="1148"/>
      <c r="T657" s="1148"/>
      <c r="U657" s="1148"/>
    </row>
    <row r="658" customFormat="false" ht="15" hidden="false" customHeight="true" outlineLevel="0" collapsed="false">
      <c r="A658" s="232" t="str">
        <f aca="false">'Ввод данных'!A180</f>
        <v>Плитный,28кг/м3, технониколь, 200мм</v>
      </c>
      <c r="B658" s="232" t="str">
        <f aca="false">B273</f>
        <v>м3</v>
      </c>
      <c r="C658" s="232" t="n">
        <f aca="false">VLOOKUP(A658,'Прайс лист'!B744:G782,3,0)*C638*G632</f>
        <v>22.3606797749979</v>
      </c>
      <c r="D658" s="232" t="n">
        <f aca="false">VLOOKUP(A658,'Прайс лист'!B744:G782,6,0)</f>
        <v>1700</v>
      </c>
      <c r="E658" s="232" t="n">
        <f aca="false">C658*D658</f>
        <v>38013.1556174964</v>
      </c>
      <c r="F658" s="1148"/>
      <c r="G658" s="2182" t="str">
        <f aca="false">G273</f>
        <v>утеплитель</v>
      </c>
      <c r="H658" s="2182" t="str">
        <f aca="false">I273</f>
        <v>м2</v>
      </c>
      <c r="I658" s="2182" t="n">
        <f aca="false">C638*IF(A658='Прайс лист'!B744,0,1)*H632</f>
        <v>111.80339887499</v>
      </c>
      <c r="J658" s="2182" t="n">
        <f aca="false">K273</f>
        <v>200</v>
      </c>
      <c r="K658" s="122" t="n">
        <f aca="false">I658*J658</f>
        <v>22360.6797749979</v>
      </c>
      <c r="M658" s="1148"/>
      <c r="N658" s="1148"/>
      <c r="O658" s="1148"/>
      <c r="P658" s="1148"/>
      <c r="Q658" s="1148"/>
      <c r="R658" s="1148"/>
      <c r="S658" s="1148"/>
      <c r="T658" s="1148"/>
      <c r="U658" s="1148"/>
    </row>
    <row r="659" customFormat="false" ht="15" hidden="false" customHeight="true" outlineLevel="0" collapsed="false">
      <c r="A659" s="232" t="str">
        <f aca="false">A274</f>
        <v>Металлочерепица</v>
      </c>
      <c r="B659" s="232" t="str">
        <f aca="false">B274</f>
        <v>м2</v>
      </c>
      <c r="C659" s="232" t="n">
        <f aca="false">C637*1.2*C634*G632</f>
        <v>192.943510625542</v>
      </c>
      <c r="D659" s="232" t="n">
        <f aca="false">D274</f>
        <v>250</v>
      </c>
      <c r="E659" s="232" t="n">
        <f aca="false">C659*D659</f>
        <v>48235.8776563854</v>
      </c>
      <c r="F659" s="1148"/>
      <c r="G659" s="2182" t="str">
        <f aca="false">G274</f>
        <v>карнизная планка</v>
      </c>
      <c r="H659" s="2182" t="str">
        <f aca="false">I274</f>
        <v>м2</v>
      </c>
      <c r="I659" s="2182" t="n">
        <f aca="false">C660*H632+C664*H632</f>
        <v>14.278</v>
      </c>
      <c r="J659" s="2182" t="n">
        <f aca="false">K274</f>
        <v>100</v>
      </c>
      <c r="K659" s="122" t="n">
        <f aca="false">I659*J659</f>
        <v>1427.8</v>
      </c>
    </row>
    <row r="660" customFormat="false" ht="15" hidden="false" customHeight="true" outlineLevel="0" collapsed="false">
      <c r="A660" s="232" t="str">
        <f aca="false">A275</f>
        <v>Карнизная планка</v>
      </c>
      <c r="B660" s="232" t="str">
        <f aca="false">B275</f>
        <v>м.п.</v>
      </c>
      <c r="C660" s="232" t="n">
        <f aca="false">(дома!P1197+дома!Q1198)*1.1*(C634+C636)*G632</f>
        <v>14.278</v>
      </c>
      <c r="D660" s="232" t="n">
        <f aca="false">D275</f>
        <v>190</v>
      </c>
      <c r="E660" s="232" t="n">
        <f aca="false">C660*D660</f>
        <v>2712.82</v>
      </c>
      <c r="F660" s="1148"/>
      <c r="G660" s="2182" t="str">
        <f aca="false">G275</f>
        <v>торцевая планка</v>
      </c>
      <c r="H660" s="2182" t="str">
        <f aca="false">I275</f>
        <v>м2</v>
      </c>
      <c r="I660" s="2182" t="n">
        <f aca="false">C661*H632+C665*H632</f>
        <v>41.8384550406915</v>
      </c>
      <c r="J660" s="2182" t="n">
        <f aca="false">K275</f>
        <v>100</v>
      </c>
      <c r="K660" s="122" t="n">
        <f aca="false">I660*J660</f>
        <v>4183.84550406915</v>
      </c>
    </row>
    <row r="661" customFormat="false" ht="15" hidden="false" customHeight="true" outlineLevel="0" collapsed="false">
      <c r="A661" s="232" t="str">
        <f aca="false">A276</f>
        <v>Торцевая планка</v>
      </c>
      <c r="B661" s="232" t="str">
        <f aca="false">B276</f>
        <v>м.п.</v>
      </c>
      <c r="C661" s="232" t="n">
        <f aca="false">(дома!P1199+дома!Q1200)*1.1*(C634+C636)*G632</f>
        <v>41.8384550406915</v>
      </c>
      <c r="D661" s="232" t="n">
        <f aca="false">D276</f>
        <v>190</v>
      </c>
      <c r="E661" s="232" t="n">
        <f aca="false">C661*D661</f>
        <v>7949.30645773139</v>
      </c>
      <c r="F661" s="1148"/>
      <c r="G661" s="2182" t="str">
        <f aca="false">G276</f>
        <v>конек</v>
      </c>
      <c r="H661" s="2182" t="str">
        <f aca="false">I276</f>
        <v>м.п.</v>
      </c>
      <c r="I661" s="2182" t="n">
        <f aca="false">C662*H632+C666*H632</f>
        <v>12.98</v>
      </c>
      <c r="J661" s="2182" t="n">
        <f aca="false">K276</f>
        <v>300</v>
      </c>
      <c r="K661" s="122" t="n">
        <f aca="false">I661*J661</f>
        <v>3894</v>
      </c>
    </row>
    <row r="662" customFormat="false" ht="15" hidden="false" customHeight="true" outlineLevel="0" collapsed="false">
      <c r="A662" s="232" t="str">
        <f aca="false">A277</f>
        <v>Конек</v>
      </c>
      <c r="B662" s="232" t="str">
        <f aca="false">B277</f>
        <v>м.п.</v>
      </c>
      <c r="C662" s="232" t="n">
        <f aca="false">C639*1.1*(C634)*G632</f>
        <v>12.98</v>
      </c>
      <c r="D662" s="232" t="n">
        <f aca="false">D277</f>
        <v>200</v>
      </c>
      <c r="E662" s="232" t="n">
        <f aca="false">C662*D662</f>
        <v>2596</v>
      </c>
      <c r="F662" s="1148"/>
      <c r="G662" s="2182" t="str">
        <f aca="false">G277</f>
        <v>желоб водосточный</v>
      </c>
      <c r="H662" s="2182" t="str">
        <f aca="false">I277</f>
        <v>м.п.</v>
      </c>
      <c r="I662" s="2182" t="n">
        <f aca="false">C682*H632</f>
        <v>11.8</v>
      </c>
      <c r="J662" s="2182" t="n">
        <f aca="false">K277</f>
        <v>300</v>
      </c>
      <c r="K662" s="122" t="n">
        <f aca="false">I662*J662</f>
        <v>3540</v>
      </c>
    </row>
    <row r="663" customFormat="false" ht="15" hidden="false" customHeight="true" outlineLevel="0" collapsed="false">
      <c r="A663" s="232" t="str">
        <f aca="false">A278</f>
        <v>ондулин</v>
      </c>
      <c r="B663" s="232" t="str">
        <f aca="false">B278</f>
        <v>м2</v>
      </c>
      <c r="C663" s="232" t="n">
        <f aca="false">C637*1.2*C635*G632</f>
        <v>0</v>
      </c>
      <c r="D663" s="232" t="n">
        <f aca="false">D278</f>
        <v>180</v>
      </c>
      <c r="E663" s="232" t="n">
        <f aca="false">C663*D663</f>
        <v>0</v>
      </c>
      <c r="F663" s="1148"/>
      <c r="G663" s="2182" t="str">
        <f aca="false">G278</f>
        <v>труба водосточная</v>
      </c>
      <c r="H663" s="2182" t="str">
        <f aca="false">I278</f>
        <v>м.п.</v>
      </c>
      <c r="I663" s="2182" t="n">
        <f aca="false">C684*H632</f>
        <v>8.4</v>
      </c>
      <c r="J663" s="2182" t="n">
        <f aca="false">K278</f>
        <v>300</v>
      </c>
      <c r="K663" s="122" t="n">
        <f aca="false">I663*J663</f>
        <v>2520</v>
      </c>
    </row>
    <row r="664" customFormat="false" ht="15" hidden="false" customHeight="true" outlineLevel="0" collapsed="false">
      <c r="A664" s="232" t="str">
        <f aca="false">A279</f>
        <v>Карнизная планка</v>
      </c>
      <c r="B664" s="232" t="str">
        <f aca="false">B279</f>
        <v>м.п.</v>
      </c>
      <c r="C664" s="232" t="n">
        <f aca="false">(дома!P1197+дома!Q1198)*1.1*(C635)*G632</f>
        <v>0</v>
      </c>
      <c r="D664" s="232" t="n">
        <f aca="false">D279</f>
        <v>190</v>
      </c>
      <c r="E664" s="232" t="n">
        <f aca="false">C664*D664</f>
        <v>0</v>
      </c>
      <c r="F664" s="1148"/>
      <c r="G664" s="2182" t="str">
        <f aca="false">G279</f>
        <v>Монтаж фанеры/osb</v>
      </c>
      <c r="H664" s="2182" t="str">
        <f aca="false">I279</f>
        <v>м2</v>
      </c>
      <c r="I664" s="2182" t="n">
        <f aca="false">C637*IF(A671='Прайс лист'!B1027,0,1)*H632</f>
        <v>0</v>
      </c>
      <c r="J664" s="2182" t="n">
        <f aca="false">K279</f>
        <v>200</v>
      </c>
      <c r="K664" s="122" t="n">
        <f aca="false">I664*J664</f>
        <v>0</v>
      </c>
    </row>
    <row r="665" customFormat="false" ht="15" hidden="false" customHeight="true" outlineLevel="0" collapsed="false">
      <c r="A665" s="232" t="str">
        <f aca="false">A280</f>
        <v>Торцевая планка</v>
      </c>
      <c r="B665" s="232" t="str">
        <f aca="false">B280</f>
        <v>м.п.</v>
      </c>
      <c r="C665" s="232" t="n">
        <f aca="false">(дома!P1199+дома!Q1200)*1.1*(C635)*G632</f>
        <v>0</v>
      </c>
      <c r="D665" s="232" t="n">
        <f aca="false">D280</f>
        <v>190</v>
      </c>
      <c r="E665" s="232" t="n">
        <f aca="false">C665*D665</f>
        <v>0</v>
      </c>
      <c r="F665" s="1148"/>
      <c r="G665" s="2182" t="str">
        <f aca="false">G280</f>
        <v>монтаж подкладочного ковра</v>
      </c>
      <c r="H665" s="2182" t="str">
        <f aca="false">I280</f>
        <v>м2</v>
      </c>
      <c r="I665" s="2182" t="n">
        <f aca="false">C637*C636*H632</f>
        <v>0</v>
      </c>
      <c r="J665" s="2182" t="n">
        <f aca="false">K280</f>
        <v>150</v>
      </c>
      <c r="K665" s="122" t="n">
        <f aca="false">I665*J665</f>
        <v>0</v>
      </c>
    </row>
    <row r="666" customFormat="false" ht="15" hidden="false" customHeight="true" outlineLevel="0" collapsed="false">
      <c r="A666" s="232" t="str">
        <f aca="false">A281</f>
        <v>Конек</v>
      </c>
      <c r="B666" s="232" t="str">
        <f aca="false">B281</f>
        <v>м.п</v>
      </c>
      <c r="C666" s="232" t="n">
        <f aca="false">C639*1.1*C635*G632</f>
        <v>0</v>
      </c>
      <c r="D666" s="232" t="n">
        <f aca="false">D281</f>
        <v>200</v>
      </c>
      <c r="E666" s="232" t="n">
        <f aca="false">C666*D666</f>
        <v>0</v>
      </c>
      <c r="F666" s="1148"/>
      <c r="G666" s="2182" t="str">
        <f aca="false">G281</f>
        <v>Монтаж мягкой кровли</v>
      </c>
      <c r="H666" s="2182" t="str">
        <f aca="false">I281</f>
        <v>м2</v>
      </c>
      <c r="I666" s="2182" t="n">
        <f aca="false">C637*C636*H632</f>
        <v>0</v>
      </c>
      <c r="J666" s="2182" t="n">
        <f aca="false">K281</f>
        <v>350</v>
      </c>
      <c r="K666" s="122" t="n">
        <f aca="false">I666*J666</f>
        <v>0</v>
      </c>
    </row>
    <row r="667" customFormat="false" ht="15" hidden="false" customHeight="true" outlineLevel="0" collapsed="false">
      <c r="A667" s="232" t="str">
        <f aca="false">A282</f>
        <v>Ендова нижняя</v>
      </c>
      <c r="B667" s="232" t="str">
        <f aca="false">B282</f>
        <v>м.п.</v>
      </c>
      <c r="C667" s="232" t="n">
        <v>0</v>
      </c>
      <c r="D667" s="232" t="n">
        <f aca="false">D282</f>
        <v>160</v>
      </c>
      <c r="E667" s="232" t="n">
        <f aca="false">C667*D667</f>
        <v>0</v>
      </c>
      <c r="F667" s="1148"/>
    </row>
    <row r="668" customFormat="false" ht="15" hidden="false" customHeight="true" outlineLevel="0" collapsed="false">
      <c r="A668" s="232" t="str">
        <f aca="false">A283</f>
        <v>Ендова верхняя</v>
      </c>
      <c r="B668" s="232" t="str">
        <f aca="false">B283</f>
        <v>м.п.</v>
      </c>
      <c r="C668" s="232" t="n">
        <v>0</v>
      </c>
      <c r="D668" s="232" t="n">
        <f aca="false">D283</f>
        <v>190</v>
      </c>
      <c r="E668" s="232" t="n">
        <f aca="false">C668*D668</f>
        <v>0</v>
      </c>
      <c r="F668" s="1148"/>
      <c r="G668" s="2182"/>
      <c r="H668" s="2182"/>
      <c r="I668" s="2182"/>
      <c r="J668" s="2182"/>
      <c r="K668" s="122"/>
    </row>
    <row r="669" customFormat="false" ht="15" hidden="false" customHeight="true" outlineLevel="0" collapsed="false">
      <c r="A669" s="232" t="str">
        <f aca="false">A284</f>
        <v>Планка примыкания</v>
      </c>
      <c r="B669" s="232" t="str">
        <f aca="false">B284</f>
        <v>м.п.</v>
      </c>
      <c r="C669" s="232" t="n">
        <v>0</v>
      </c>
      <c r="D669" s="232" t="n">
        <f aca="false">D284</f>
        <v>190</v>
      </c>
      <c r="E669" s="232" t="n">
        <f aca="false">C669*D669</f>
        <v>0</v>
      </c>
      <c r="F669" s="1148"/>
      <c r="G669" s="2182"/>
      <c r="H669" s="2182"/>
      <c r="I669" s="2182"/>
      <c r="J669" s="2182"/>
      <c r="K669" s="122"/>
    </row>
    <row r="670" customFormat="false" ht="15" hidden="false" customHeight="true" outlineLevel="0" collapsed="false">
      <c r="A670" s="232" t="str">
        <f aca="false">A285</f>
        <v>Крепеж для ондулина</v>
      </c>
      <c r="B670" s="232" t="str">
        <f aca="false">B285</f>
        <v>шт</v>
      </c>
      <c r="C670" s="232" t="n">
        <f aca="false">C663*12*G632</f>
        <v>0</v>
      </c>
      <c r="D670" s="232" t="n">
        <f aca="false">D285</f>
        <v>4.5</v>
      </c>
      <c r="E670" s="232" t="n">
        <f aca="false">C670*D670</f>
        <v>0</v>
      </c>
      <c r="F670" s="1148"/>
      <c r="G670" s="2182"/>
      <c r="H670" s="2182"/>
      <c r="I670" s="2182"/>
      <c r="J670" s="2182"/>
      <c r="K670" s="122"/>
    </row>
    <row r="671" customFormat="false" ht="15" hidden="false" customHeight="true" outlineLevel="0" collapsed="false">
      <c r="A671" s="232" t="str">
        <f aca="false">'Ввод данных'!A178</f>
        <v>нет</v>
      </c>
      <c r="B671" s="232" t="str">
        <f aca="false">B286</f>
        <v>м2</v>
      </c>
      <c r="C671" s="232" t="n">
        <f aca="false">C286*G632</f>
        <v>197.237722486556</v>
      </c>
      <c r="D671" s="232" t="n">
        <f aca="false">VLOOKUP(A671,'Прайс лист'!B1027:G1078,6,0)</f>
        <v>0</v>
      </c>
      <c r="E671" s="232" t="n">
        <f aca="false">C671*D671</f>
        <v>0</v>
      </c>
      <c r="F671" s="1148"/>
    </row>
    <row r="672" customFormat="false" ht="15" hidden="false" customHeight="true" outlineLevel="0" collapsed="false">
      <c r="A672" s="232" t="str">
        <f aca="false">A287</f>
        <v>Рядовая черепица</v>
      </c>
      <c r="B672" s="232" t="str">
        <f aca="false">B287</f>
        <v>м2</v>
      </c>
      <c r="C672" s="232" t="n">
        <f aca="false">C637*1.05*C636*G632-C675*0.2*G632</f>
        <v>0</v>
      </c>
      <c r="D672" s="232" t="n">
        <f aca="false">D287</f>
        <v>360</v>
      </c>
      <c r="E672" s="232" t="n">
        <f aca="false">C672*D672</f>
        <v>0</v>
      </c>
      <c r="F672" s="1148"/>
    </row>
    <row r="673" customFormat="false" ht="15" hidden="false" customHeight="true" outlineLevel="0" collapsed="false">
      <c r="A673" s="232" t="str">
        <f aca="false">A288</f>
        <v>Металл оцинк защита (карниз)</v>
      </c>
      <c r="B673" s="232" t="str">
        <f aca="false">B288</f>
        <v>м.п.</v>
      </c>
      <c r="C673" s="232" t="n">
        <f aca="false">C639*C636*G632</f>
        <v>0</v>
      </c>
      <c r="D673" s="232" t="n">
        <f aca="false">D288</f>
        <v>200</v>
      </c>
      <c r="E673" s="232" t="n">
        <f aca="false">C673*D673</f>
        <v>0</v>
      </c>
      <c r="F673" s="1148"/>
    </row>
    <row r="674" customFormat="false" ht="15" hidden="false" customHeight="true" outlineLevel="0" collapsed="false">
      <c r="A674" s="232" t="str">
        <f aca="false">A289</f>
        <v>Подкладочный ковер</v>
      </c>
      <c r="B674" s="232" t="str">
        <f aca="false">B289</f>
        <v>м.п.</v>
      </c>
      <c r="C674" s="232" t="n">
        <f aca="false">C637*1.2*C636*G632</f>
        <v>0</v>
      </c>
      <c r="D674" s="232" t="n">
        <f aca="false">D289</f>
        <v>220</v>
      </c>
      <c r="E674" s="232" t="n">
        <f aca="false">C674*D674</f>
        <v>0</v>
      </c>
      <c r="F674" s="1148"/>
    </row>
    <row r="675" customFormat="false" ht="15" hidden="false" customHeight="true" outlineLevel="0" collapsed="false">
      <c r="A675" s="232" t="str">
        <f aca="false">A290</f>
        <v>Карнизная самоклеющаяся черепица</v>
      </c>
      <c r="B675" s="232" t="str">
        <f aca="false">B290</f>
        <v>м.п.</v>
      </c>
      <c r="C675" s="232" t="n">
        <f aca="false">C673*G632</f>
        <v>0</v>
      </c>
      <c r="D675" s="232" t="n">
        <f aca="false">D290</f>
        <v>220</v>
      </c>
      <c r="E675" s="232" t="n">
        <f aca="false">C675*D675</f>
        <v>0</v>
      </c>
      <c r="F675" s="1148"/>
    </row>
    <row r="676" customFormat="false" ht="15" hidden="false" customHeight="true" outlineLevel="0" collapsed="false">
      <c r="A676" s="232" t="str">
        <f aca="false">A291</f>
        <v>Спец ковер ендова нижняя</v>
      </c>
      <c r="B676" s="232" t="str">
        <f aca="false">B291</f>
        <v>м.п.</v>
      </c>
      <c r="C676" s="232" t="n">
        <v>0</v>
      </c>
      <c r="D676" s="232" t="n">
        <f aca="false">D291</f>
        <v>200</v>
      </c>
      <c r="E676" s="232" t="n">
        <f aca="false">C676*D676</f>
        <v>0</v>
      </c>
      <c r="F676" s="1148"/>
    </row>
    <row r="677" customFormat="false" ht="15" hidden="false" customHeight="true" outlineLevel="0" collapsed="false">
      <c r="A677" s="232" t="str">
        <f aca="false">A292</f>
        <v>Коньковой элемент</v>
      </c>
      <c r="B677" s="232" t="str">
        <f aca="false">B292</f>
        <v>м.п.</v>
      </c>
      <c r="C677" s="232" t="n">
        <f aca="false">C639*1.1*C636*G632</f>
        <v>0</v>
      </c>
      <c r="D677" s="232" t="n">
        <f aca="false">D292</f>
        <v>250</v>
      </c>
      <c r="E677" s="232" t="n">
        <f aca="false">C677*D677</f>
        <v>0</v>
      </c>
      <c r="F677" s="1148"/>
    </row>
    <row r="678" customFormat="false" ht="15" hidden="false" customHeight="true" outlineLevel="0" collapsed="false">
      <c r="A678" s="232" t="str">
        <f aca="false">A293</f>
        <v>Планка премыкания</v>
      </c>
      <c r="B678" s="232" t="str">
        <f aca="false">B293</f>
        <v>м.п.</v>
      </c>
      <c r="C678" s="232" t="n">
        <v>0</v>
      </c>
      <c r="D678" s="232" t="n">
        <f aca="false">D293</f>
        <v>200</v>
      </c>
      <c r="E678" s="232" t="n">
        <f aca="false">C678*D678</f>
        <v>0</v>
      </c>
      <c r="F678" s="1148"/>
    </row>
    <row r="679" customFormat="false" ht="15" hidden="false" customHeight="true" outlineLevel="0" collapsed="false">
      <c r="A679" s="232" t="str">
        <f aca="false">A294</f>
        <v>Гвозди для крепления подкладочного ковра</v>
      </c>
      <c r="B679" s="232" t="str">
        <f aca="false">B294</f>
        <v>шт</v>
      </c>
      <c r="C679" s="232" t="n">
        <f aca="false">C674*12*G632</f>
        <v>0</v>
      </c>
      <c r="D679" s="232" t="n">
        <f aca="false">D294</f>
        <v>0.012</v>
      </c>
      <c r="E679" s="232" t="n">
        <f aca="false">C679*D679</f>
        <v>0</v>
      </c>
      <c r="F679" s="1148"/>
    </row>
    <row r="680" customFormat="false" ht="15" hidden="false" customHeight="true" outlineLevel="0" collapsed="false">
      <c r="A680" s="232" t="str">
        <f aca="false">A295</f>
        <v>Гвозди для крепления черепицы</v>
      </c>
      <c r="B680" s="232" t="str">
        <f aca="false">B295</f>
        <v>шт</v>
      </c>
      <c r="C680" s="232" t="n">
        <f aca="false">C637*1.2*22*C636*G632</f>
        <v>0</v>
      </c>
      <c r="D680" s="232" t="n">
        <f aca="false">D295</f>
        <v>0.25</v>
      </c>
      <c r="E680" s="232" t="n">
        <f aca="false">C680*D680</f>
        <v>0</v>
      </c>
      <c r="F680" s="1148"/>
    </row>
    <row r="681" customFormat="false" ht="15" hidden="false" customHeight="true" outlineLevel="0" collapsed="false">
      <c r="A681" s="232" t="str">
        <f aca="false">A296</f>
        <v>Клей для монтажа черепицы</v>
      </c>
      <c r="B681" s="232" t="str">
        <f aca="false">B296</f>
        <v>кг</v>
      </c>
      <c r="C681" s="232" t="n">
        <f aca="false">C637*C636*G632</f>
        <v>0</v>
      </c>
      <c r="D681" s="232" t="n">
        <f aca="false">D296</f>
        <v>250</v>
      </c>
      <c r="E681" s="232" t="n">
        <f aca="false">C681*D681</f>
        <v>0</v>
      </c>
      <c r="F681" s="1148"/>
    </row>
    <row r="682" customFormat="false" ht="15" hidden="false" customHeight="true" outlineLevel="0" collapsed="false">
      <c r="A682" s="232" t="str">
        <f aca="false">A297</f>
        <v>желоб</v>
      </c>
      <c r="B682" s="232" t="str">
        <f aca="false">B297</f>
        <v>м.п</v>
      </c>
      <c r="C682" s="232" t="n">
        <f aca="false">(дома!P1195+дома!Q1196)*G632</f>
        <v>11.8</v>
      </c>
      <c r="D682" s="232" t="n">
        <f aca="false">D297</f>
        <v>300</v>
      </c>
      <c r="E682" s="232" t="n">
        <f aca="false">C682*D682</f>
        <v>3540</v>
      </c>
      <c r="F682" s="1148"/>
      <c r="G682" s="88"/>
      <c r="H682" s="88"/>
      <c r="I682" s="232"/>
      <c r="J682" s="122"/>
      <c r="K682" s="2164"/>
      <c r="L682" s="232"/>
    </row>
    <row r="683" customFormat="false" ht="15" hidden="false" customHeight="true" outlineLevel="0" collapsed="false">
      <c r="A683" s="232" t="str">
        <f aca="false">A298</f>
        <v>отвод</v>
      </c>
      <c r="B683" s="232" t="str">
        <f aca="false">B298</f>
        <v>шт</v>
      </c>
      <c r="C683" s="232" t="n">
        <f aca="false">IF(AND(C639&lt;6,C639=6),1,2)*G632</f>
        <v>2</v>
      </c>
      <c r="D683" s="232" t="n">
        <f aca="false">D298</f>
        <v>250</v>
      </c>
      <c r="E683" s="232" t="n">
        <f aca="false">C683*D683</f>
        <v>500</v>
      </c>
      <c r="F683" s="1148"/>
      <c r="G683" s="88"/>
      <c r="H683" s="88"/>
      <c r="I683" s="232"/>
      <c r="J683" s="122"/>
      <c r="K683" s="2164"/>
      <c r="L683" s="232"/>
    </row>
    <row r="684" customFormat="false" ht="15" hidden="false" customHeight="true" outlineLevel="0" collapsed="false">
      <c r="A684" s="232" t="str">
        <f aca="false">A299</f>
        <v>труба водосточная</v>
      </c>
      <c r="B684" s="232" t="str">
        <f aca="false">B299</f>
        <v>м.п.</v>
      </c>
      <c r="C684" s="232" t="n">
        <f aca="false">IF(C683=1,(E236+F236+1)*1.1,(E236+F236+1)*2.1)*G632</f>
        <v>8.4</v>
      </c>
      <c r="D684" s="232" t="n">
        <f aca="false">D299</f>
        <v>300</v>
      </c>
      <c r="E684" s="232" t="n">
        <f aca="false">C684*D684</f>
        <v>2520</v>
      </c>
      <c r="F684" s="1148"/>
      <c r="G684" s="88"/>
      <c r="H684" s="88"/>
      <c r="I684" s="232"/>
      <c r="J684" s="122"/>
      <c r="K684" s="2164"/>
      <c r="L684" s="232"/>
    </row>
    <row r="685" customFormat="false" ht="15" hidden="false" customHeight="true" outlineLevel="0" collapsed="false">
      <c r="A685" s="232" t="str">
        <f aca="false">A300</f>
        <v>заглушка для желоба</v>
      </c>
      <c r="B685" s="232" t="str">
        <f aca="false">B300</f>
        <v>шт</v>
      </c>
      <c r="C685" s="232" t="n">
        <f aca="false">2</f>
        <v>2</v>
      </c>
      <c r="D685" s="232" t="n">
        <f aca="false">D300</f>
        <v>190</v>
      </c>
      <c r="E685" s="232" t="n">
        <f aca="false">C685*D685</f>
        <v>380</v>
      </c>
      <c r="F685" s="1148"/>
      <c r="G685" s="88"/>
      <c r="H685" s="88"/>
      <c r="I685" s="122"/>
      <c r="J685" s="122"/>
      <c r="K685" s="2164"/>
      <c r="L685" s="232"/>
    </row>
    <row r="686" customFormat="false" ht="15" hidden="false" customHeight="true" outlineLevel="0" collapsed="false">
      <c r="A686" s="232" t="str">
        <f aca="false">A301</f>
        <v>соеденитель для желоба</v>
      </c>
      <c r="B686" s="232" t="str">
        <f aca="false">B301</f>
        <v>шт</v>
      </c>
      <c r="C686" s="232" t="n">
        <f aca="false">CEILING(C682/2+1,1)</f>
        <v>7</v>
      </c>
      <c r="D686" s="232" t="n">
        <f aca="false">D301</f>
        <v>180</v>
      </c>
      <c r="E686" s="232" t="n">
        <f aca="false">C686*D686</f>
        <v>1260</v>
      </c>
      <c r="F686" s="1148"/>
      <c r="G686" s="88"/>
      <c r="H686" s="88"/>
      <c r="I686" s="232"/>
      <c r="J686" s="232"/>
      <c r="K686" s="2164"/>
      <c r="L686" s="232"/>
    </row>
    <row r="687" customFormat="false" ht="15" hidden="false" customHeight="true" outlineLevel="0" collapsed="false">
      <c r="A687" s="232" t="str">
        <f aca="false">A302</f>
        <v>кронштейн для желоба</v>
      </c>
      <c r="B687" s="232" t="str">
        <f aca="false">B302</f>
        <v>шт</v>
      </c>
      <c r="C687" s="232" t="n">
        <f aca="false">(C682/0.4+4)*G632</f>
        <v>33.5</v>
      </c>
      <c r="D687" s="232" t="n">
        <f aca="false">D302</f>
        <v>130</v>
      </c>
      <c r="E687" s="232" t="n">
        <f aca="false">C687*D687</f>
        <v>4355</v>
      </c>
      <c r="F687" s="1148"/>
      <c r="G687" s="88"/>
      <c r="H687" s="88"/>
      <c r="I687" s="232"/>
      <c r="J687" s="232"/>
      <c r="K687" s="2164"/>
      <c r="L687" s="232"/>
    </row>
    <row r="688" customFormat="false" ht="15" hidden="false" customHeight="true" outlineLevel="0" collapsed="false">
      <c r="A688" s="232" t="str">
        <f aca="false">A303</f>
        <v>переход из желоба в трубу</v>
      </c>
      <c r="B688" s="232" t="str">
        <f aca="false">B303</f>
        <v>шт</v>
      </c>
      <c r="C688" s="232" t="n">
        <f aca="false">C683</f>
        <v>2</v>
      </c>
      <c r="D688" s="232" t="n">
        <f aca="false">D303</f>
        <v>350</v>
      </c>
      <c r="E688" s="232" t="n">
        <f aca="false">C688*D688</f>
        <v>700</v>
      </c>
      <c r="F688" s="1148"/>
      <c r="G688" s="88"/>
      <c r="H688" s="88"/>
      <c r="I688" s="232"/>
      <c r="J688" s="232"/>
      <c r="K688" s="2164"/>
      <c r="L688" s="232"/>
    </row>
    <row r="689" customFormat="false" ht="15" hidden="false" customHeight="true" outlineLevel="0" collapsed="false">
      <c r="A689" s="232" t="str">
        <f aca="false">A304</f>
        <v>лента дельта мульти бэнд</v>
      </c>
      <c r="B689" s="232" t="str">
        <f aca="false">B304</f>
        <v>шт</v>
      </c>
      <c r="C689" s="232" t="n">
        <f aca="false">CEILING(C633/20*1.1,1)</f>
        <v>3</v>
      </c>
      <c r="D689" s="232" t="n">
        <f aca="false">D304</f>
        <v>1200</v>
      </c>
      <c r="E689" s="232" t="n">
        <f aca="false">C689*D689</f>
        <v>3600</v>
      </c>
      <c r="F689" s="1148"/>
      <c r="G689" s="88"/>
      <c r="H689" s="88"/>
      <c r="I689" s="232"/>
      <c r="J689" s="232"/>
      <c r="K689" s="2164"/>
      <c r="L689" s="232"/>
    </row>
    <row r="690" customFormat="false" ht="15" hidden="false" customHeight="true" outlineLevel="0" collapsed="false">
      <c r="A690" s="232" t="str">
        <f aca="false">A305</f>
        <v>лента дельта sb-60</v>
      </c>
      <c r="B690" s="232" t="str">
        <f aca="false">B305</f>
        <v>шт</v>
      </c>
      <c r="C690" s="232" t="n">
        <f aca="false">CEILING(C637/17,1)</f>
        <v>10</v>
      </c>
      <c r="D690" s="232" t="n">
        <f aca="false">D305</f>
        <v>1100</v>
      </c>
      <c r="E690" s="232" t="n">
        <f aca="false">C690*D690</f>
        <v>11000</v>
      </c>
      <c r="F690" s="1148"/>
      <c r="G690" s="88"/>
      <c r="H690" s="88"/>
      <c r="I690" s="232"/>
      <c r="J690" s="232"/>
      <c r="K690" s="2164"/>
      <c r="L690" s="232"/>
    </row>
    <row r="691" customFormat="false" ht="15" hidden="false" customHeight="true" outlineLevel="0" collapsed="false">
      <c r="A691" s="232" t="str">
        <f aca="false">A306</f>
        <v>проходка кровельная, канализационная</v>
      </c>
      <c r="B691" s="232" t="str">
        <f aca="false">B306</f>
        <v>шт</v>
      </c>
      <c r="C691" s="232" t="n">
        <f aca="false">C643</f>
        <v>0</v>
      </c>
      <c r="D691" s="232" t="n">
        <f aca="false">D306</f>
        <v>3500</v>
      </c>
      <c r="E691" s="232" t="n">
        <f aca="false">C691*D691</f>
        <v>0</v>
      </c>
      <c r="F691" s="1148"/>
      <c r="G691" s="88"/>
      <c r="H691" s="88"/>
      <c r="I691" s="232"/>
      <c r="J691" s="232"/>
      <c r="K691" s="2164"/>
      <c r="L691" s="232"/>
    </row>
    <row r="692" customFormat="false" ht="15" hidden="false" customHeight="true" outlineLevel="0" collapsed="false">
      <c r="A692" s="232" t="str">
        <f aca="false">A307</f>
        <v>проходка кровельная, вентиляционная</v>
      </c>
      <c r="B692" s="232" t="str">
        <f aca="false">B307</f>
        <v>шт</v>
      </c>
      <c r="C692" s="232" t="n">
        <f aca="false">C644</f>
        <v>0</v>
      </c>
      <c r="D692" s="232" t="n">
        <f aca="false">D307</f>
        <v>3500</v>
      </c>
      <c r="E692" s="232" t="n">
        <f aca="false">C692*D692</f>
        <v>0</v>
      </c>
      <c r="F692" s="1148"/>
      <c r="G692" s="88"/>
      <c r="H692" s="88"/>
      <c r="I692" s="232"/>
      <c r="J692" s="232"/>
      <c r="K692" s="2164"/>
      <c r="L692" s="232"/>
    </row>
    <row r="693" customFormat="false" ht="15" hidden="false" customHeight="true" outlineLevel="0" collapsed="false">
      <c r="A693" s="232" t="str">
        <f aca="false">A308</f>
        <v>проодка кровельная, труба котел</v>
      </c>
      <c r="B693" s="232" t="str">
        <f aca="false">B308</f>
        <v>шт</v>
      </c>
      <c r="C693" s="232" t="n">
        <f aca="false">C645</f>
        <v>0</v>
      </c>
      <c r="D693" s="232" t="n">
        <f aca="false">D308</f>
        <v>4500</v>
      </c>
      <c r="E693" s="232" t="n">
        <f aca="false">C693*D693</f>
        <v>0</v>
      </c>
      <c r="F693" s="1148"/>
      <c r="G693" s="88"/>
      <c r="H693" s="88"/>
      <c r="I693" s="232"/>
      <c r="J693" s="232"/>
      <c r="K693" s="2164"/>
      <c r="L693" s="232"/>
    </row>
    <row r="694" customFormat="false" ht="15" hidden="false" customHeight="true" outlineLevel="0" collapsed="false">
      <c r="A694" s="232" t="str">
        <f aca="false">A309</f>
        <v>Кровельный саморез</v>
      </c>
      <c r="B694" s="232" t="str">
        <f aca="false">B309</f>
        <v>шт</v>
      </c>
      <c r="C694" s="232" t="n">
        <f aca="false">C659*12*G632</f>
        <v>2315.3221275065</v>
      </c>
      <c r="D694" s="232" t="n">
        <f aca="false">D309</f>
        <v>2</v>
      </c>
      <c r="E694" s="232" t="n">
        <f aca="false">C694*D694</f>
        <v>4630.644255013</v>
      </c>
      <c r="F694" s="1148"/>
      <c r="G694" s="88"/>
      <c r="H694" s="88"/>
      <c r="I694" s="232"/>
      <c r="J694" s="232"/>
      <c r="K694" s="2164"/>
      <c r="L694" s="232"/>
    </row>
    <row r="695" customFormat="false" ht="15" hidden="false" customHeight="true" outlineLevel="0" collapsed="false">
      <c r="A695" s="232" t="str">
        <f aca="false">A310</f>
        <v>Гвозди ершоные 3,4 x 60</v>
      </c>
      <c r="B695" s="232" t="str">
        <f aca="false">B310</f>
        <v>кг</v>
      </c>
      <c r="C695" s="232" t="n">
        <f aca="false">C637*0.1*G632</f>
        <v>16.0786258854618</v>
      </c>
      <c r="D695" s="232" t="n">
        <f aca="false">D310</f>
        <v>75.51</v>
      </c>
      <c r="E695" s="232" t="n">
        <f aca="false">C695*D695</f>
        <v>1214.09704061122</v>
      </c>
      <c r="F695" s="1148"/>
      <c r="G695" s="88"/>
      <c r="H695" s="88"/>
      <c r="I695" s="232"/>
      <c r="J695" s="232"/>
      <c r="K695" s="2164"/>
      <c r="L695" s="232"/>
    </row>
    <row r="696" customFormat="false" ht="15" hidden="false" customHeight="true" outlineLevel="0" collapsed="false">
      <c r="A696" s="232" t="str">
        <f aca="false">A311</f>
        <v>Гвозди ершоные 2,8 х 90</v>
      </c>
      <c r="B696" s="232" t="str">
        <f aca="false">B311</f>
        <v>кг</v>
      </c>
      <c r="C696" s="232" t="n">
        <f aca="false">(C649+C650+C651+C653)*3*G632</f>
        <v>36.4509870509381</v>
      </c>
      <c r="D696" s="232" t="n">
        <f aca="false">D311</f>
        <v>76.49</v>
      </c>
      <c r="E696" s="232" t="n">
        <f aca="false">C696*D696</f>
        <v>2788.13599952626</v>
      </c>
      <c r="F696" s="1148"/>
      <c r="G696" s="88"/>
      <c r="H696" s="88"/>
      <c r="I696" s="232"/>
      <c r="J696" s="232"/>
      <c r="K696" s="2164"/>
      <c r="L696" s="232"/>
    </row>
    <row r="697" customFormat="false" ht="15" hidden="false" customHeight="true" outlineLevel="0" collapsed="false">
      <c r="A697" s="232" t="str">
        <f aca="false">A312</f>
        <v>Пластина соеденительная 100х240х2</v>
      </c>
      <c r="B697" s="232" t="str">
        <f aca="false">B312</f>
        <v>шт</v>
      </c>
      <c r="C697" s="232" t="n">
        <v>0</v>
      </c>
      <c r="D697" s="232" t="n">
        <f aca="false">D312</f>
        <v>31.54</v>
      </c>
      <c r="E697" s="232" t="n">
        <f aca="false">C697*D697</f>
        <v>0</v>
      </c>
      <c r="F697" s="1148"/>
      <c r="G697" s="88"/>
      <c r="H697" s="88"/>
      <c r="I697" s="232"/>
      <c r="J697" s="232"/>
      <c r="K697" s="2164"/>
      <c r="L697" s="232"/>
    </row>
    <row r="698" customFormat="false" ht="15" hidden="false" customHeight="true" outlineLevel="0" collapsed="false">
      <c r="A698" s="232" t="str">
        <f aca="false">A313</f>
        <v>Уголок усиленный 90х70х55х2,5</v>
      </c>
      <c r="B698" s="232" t="str">
        <f aca="false">B313</f>
        <v>шт</v>
      </c>
      <c r="C698" s="232" t="n">
        <f aca="false">CEILING((C639/0.6+2)*3,1)</f>
        <v>65</v>
      </c>
      <c r="D698" s="232" t="n">
        <f aca="false">D313</f>
        <v>30</v>
      </c>
      <c r="E698" s="232" t="n">
        <f aca="false">C698*D698</f>
        <v>1950</v>
      </c>
      <c r="F698" s="1148"/>
      <c r="G698" s="88"/>
      <c r="H698" s="88"/>
      <c r="I698" s="232"/>
      <c r="J698" s="232"/>
      <c r="K698" s="2164"/>
      <c r="L698" s="232"/>
    </row>
    <row r="699" customFormat="false" ht="15" hidden="false" customHeight="true" outlineLevel="0" collapsed="false">
      <c r="A699" s="232" t="str">
        <f aca="false">'Ввод данных'!A190</f>
        <v>Нет техники</v>
      </c>
      <c r="B699" s="232" t="str">
        <f aca="false">'Ввод данных'!B190</f>
        <v>ед.</v>
      </c>
      <c r="C699" s="232" t="n">
        <f aca="false">'Ввод данных'!C190</f>
        <v>4</v>
      </c>
      <c r="D699" s="232" t="n">
        <f aca="false">VLOOKUP(A699,'Прайс лист'!B180:G194,6,0)</f>
        <v>0</v>
      </c>
      <c r="E699" s="232" t="n">
        <f aca="false">C699*D699</f>
        <v>0</v>
      </c>
      <c r="F699" s="1148"/>
      <c r="G699" s="2184"/>
      <c r="H699" s="2184"/>
      <c r="I699" s="2116"/>
      <c r="J699" s="2116"/>
      <c r="K699" s="2165"/>
      <c r="L699" s="232"/>
    </row>
    <row r="700" customFormat="false" ht="15" hidden="false" customHeight="true" outlineLevel="0" collapsed="false">
      <c r="A700" s="232" t="str">
        <f aca="false">'Ввод данных'!A191</f>
        <v>Нет техники</v>
      </c>
      <c r="B700" s="232" t="str">
        <f aca="false">'Ввод данных'!B191</f>
        <v>ед.</v>
      </c>
      <c r="C700" s="232" t="n">
        <f aca="false">'Ввод данных'!C191</f>
        <v>0</v>
      </c>
      <c r="D700" s="232" t="n">
        <f aca="false">VLOOKUP(A700,'Прайс лист'!B180:G194,6,0)</f>
        <v>0</v>
      </c>
      <c r="E700" s="232" t="n">
        <f aca="false">C700*D700</f>
        <v>0</v>
      </c>
      <c r="F700" s="1148"/>
      <c r="G700" s="2184"/>
      <c r="H700" s="2184"/>
      <c r="I700" s="2116"/>
      <c r="J700" s="2116"/>
      <c r="K700" s="2165"/>
      <c r="L700" s="232"/>
    </row>
    <row r="701" customFormat="false" ht="15" hidden="false" customHeight="true" outlineLevel="0" collapsed="false">
      <c r="A701" s="232" t="str">
        <f aca="false">'Ввод данных'!A193</f>
        <v>расходные материалы односкатная кровля</v>
      </c>
      <c r="B701" s="232" t="str">
        <f aca="false">'Ввод данных'!B193</f>
        <v>рублей</v>
      </c>
      <c r="C701" s="232" t="n">
        <f aca="false">1</f>
        <v>1</v>
      </c>
      <c r="D701" s="232" t="n">
        <f aca="false">'Ввод данных'!C193</f>
        <v>10000</v>
      </c>
      <c r="E701" s="232" t="n">
        <f aca="false">C701*D701</f>
        <v>10000</v>
      </c>
      <c r="F701" s="1148"/>
      <c r="G701" s="2184"/>
      <c r="H701" s="2184"/>
      <c r="I701" s="2116"/>
      <c r="J701" s="2116"/>
      <c r="K701" s="2165"/>
      <c r="L701" s="232"/>
    </row>
    <row r="702" customFormat="false" ht="15" hidden="false" customHeight="true" outlineLevel="0" collapsed="false">
      <c r="A702" s="1148"/>
      <c r="B702" s="1148"/>
      <c r="C702" s="1148"/>
      <c r="D702" s="1148"/>
      <c r="E702" s="232" t="n">
        <f aca="false">SUM(E649:E701)</f>
        <v>293501.361620716</v>
      </c>
      <c r="F702" s="1148"/>
      <c r="G702" s="1148"/>
      <c r="H702" s="1148"/>
      <c r="I702" s="1148"/>
      <c r="J702" s="1148"/>
      <c r="K702" s="1149"/>
      <c r="L702" s="232"/>
    </row>
    <row r="703" customFormat="false" ht="15" hidden="false" customHeight="true" outlineLevel="0" collapsed="false">
      <c r="A703" s="232" t="s">
        <v>2726</v>
      </c>
      <c r="B703" s="2159" t="n">
        <f aca="false">E702</f>
        <v>293501.361620716</v>
      </c>
      <c r="C703" s="1148"/>
      <c r="D703" s="1148"/>
      <c r="E703" s="1148"/>
      <c r="F703" s="1148"/>
      <c r="G703" s="1148"/>
      <c r="H703" s="1148"/>
      <c r="I703" s="1148"/>
      <c r="J703" s="1148"/>
      <c r="K703" s="1149"/>
      <c r="L703" s="1148"/>
    </row>
    <row r="704" customFormat="false" ht="15" hidden="false" customHeight="true" outlineLevel="0" collapsed="false">
      <c r="A704" s="232" t="s">
        <v>2727</v>
      </c>
      <c r="B704" s="2159" t="n">
        <f aca="false">L702</f>
        <v>0</v>
      </c>
      <c r="C704" s="1148"/>
      <c r="D704" s="1148"/>
      <c r="E704" s="1148"/>
      <c r="F704" s="1148"/>
      <c r="G704" s="1148"/>
      <c r="H704" s="1148"/>
      <c r="I704" s="1148"/>
      <c r="J704" s="1148"/>
      <c r="K704" s="1149"/>
      <c r="L704" s="1148"/>
    </row>
    <row r="705" customFormat="false" ht="15" hidden="false" customHeight="true" outlineLevel="0" collapsed="false">
      <c r="A705" s="260" t="s">
        <v>2728</v>
      </c>
      <c r="B705" s="2515" t="n">
        <f aca="false">SUM(B703:B704)</f>
        <v>293501.361620716</v>
      </c>
      <c r="C705" s="1148"/>
      <c r="D705" s="1148"/>
      <c r="E705" s="1148"/>
      <c r="F705" s="1148"/>
      <c r="G705" s="1148"/>
      <c r="H705" s="1148"/>
      <c r="I705" s="1148"/>
      <c r="J705" s="1148"/>
      <c r="K705" s="1149"/>
      <c r="L705" s="1148"/>
    </row>
    <row r="706" customFormat="false" ht="15" hidden="false" customHeight="true" outlineLevel="0" collapsed="false">
      <c r="A706" s="122" t="s">
        <v>1883</v>
      </c>
      <c r="B706" s="2466"/>
      <c r="C706" s="2511"/>
      <c r="D706" s="2511"/>
      <c r="E706" s="2511"/>
      <c r="F706" s="2511"/>
      <c r="G706" s="2173"/>
      <c r="H706" s="2116"/>
      <c r="I706" s="2116"/>
      <c r="J706" s="2116"/>
      <c r="K706" s="2165"/>
      <c r="L706" s="2116"/>
    </row>
  </sheetData>
  <mergeCells count="237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A234:I234"/>
    <mergeCell ref="H235:I235"/>
    <mergeCell ref="C237:D237"/>
    <mergeCell ref="G237:H237"/>
    <mergeCell ref="A239:I239"/>
    <mergeCell ref="A240:F240"/>
    <mergeCell ref="A250:A251"/>
    <mergeCell ref="A254:A255"/>
    <mergeCell ref="A256:A257"/>
    <mergeCell ref="G261:H261"/>
    <mergeCell ref="G263:H263"/>
    <mergeCell ref="G264:H264"/>
    <mergeCell ref="G265:H265"/>
    <mergeCell ref="G266:H26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C321:F321"/>
    <mergeCell ref="A323:L324"/>
    <mergeCell ref="A325:F326"/>
    <mergeCell ref="G346:H346"/>
    <mergeCell ref="G347:H347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4:H394"/>
    <mergeCell ref="C401:F401"/>
    <mergeCell ref="A403:L404"/>
    <mergeCell ref="A405:F406"/>
    <mergeCell ref="A425:A426"/>
    <mergeCell ref="C488:F488"/>
    <mergeCell ref="A490:L491"/>
    <mergeCell ref="A492:F493"/>
    <mergeCell ref="G507:H507"/>
    <mergeCell ref="G508:H508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A557:L557"/>
    <mergeCell ref="A558:F558"/>
    <mergeCell ref="G574:H574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A631:I631"/>
    <mergeCell ref="A632:F632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C706:F70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H872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C696" activeCellId="0" sqref="C696"/>
    </sheetView>
  </sheetViews>
  <sheetFormatPr defaultColWidth="9.19140625" defaultRowHeight="14.5" zeroHeight="false" outlineLevelRow="0" outlineLevelCol="0"/>
  <cols>
    <col collapsed="false" customWidth="true" hidden="false" outlineLevel="0" max="1" min="1" style="968" width="63.44"/>
    <col collapsed="false" customWidth="true" hidden="false" outlineLevel="0" max="2" min="2" style="1876" width="8.27"/>
    <col collapsed="false" customWidth="false" hidden="false" outlineLevel="0" max="5" min="3" style="2544" width="9.18"/>
    <col collapsed="false" customWidth="true" hidden="false" outlineLevel="0" max="6" min="6" style="2544" width="10.46"/>
    <col collapsed="false" customWidth="false" hidden="false" outlineLevel="0" max="8" min="7" style="2544" width="9.18"/>
    <col collapsed="false" customWidth="false" hidden="false" outlineLevel="0" max="1024" min="9" style="968" width="9.18"/>
  </cols>
  <sheetData>
    <row r="1" customFormat="false" ht="18.75" hidden="false" customHeight="true" outlineLevel="0" collapsed="false">
      <c r="A1" s="2545" t="s">
        <v>4163</v>
      </c>
      <c r="B1" s="2545"/>
      <c r="C1" s="2545"/>
      <c r="D1" s="2545"/>
      <c r="E1" s="2546" t="s">
        <v>4164</v>
      </c>
      <c r="F1" s="2546"/>
      <c r="G1" s="2546"/>
      <c r="H1" s="2547" t="n">
        <f aca="false">'Смета Внутр'!H5</f>
        <v>100</v>
      </c>
    </row>
    <row r="2" customFormat="false" ht="18.75" hidden="false" customHeight="true" outlineLevel="0" collapsed="false">
      <c r="A2" s="2545"/>
      <c r="B2" s="2545"/>
      <c r="C2" s="2545"/>
      <c r="D2" s="2545"/>
      <c r="E2" s="2548" t="s">
        <v>4165</v>
      </c>
      <c r="F2" s="2548"/>
      <c r="G2" s="2548"/>
      <c r="H2" s="2549" t="n">
        <f aca="false">'Смета Внутр'!H6</f>
        <v>100</v>
      </c>
    </row>
    <row r="3" s="2553" customFormat="true" ht="18.75" hidden="false" customHeight="true" outlineLevel="0" collapsed="false">
      <c r="A3" s="2550"/>
      <c r="B3" s="2550"/>
      <c r="C3" s="2550"/>
      <c r="D3" s="2550"/>
      <c r="E3" s="2551"/>
      <c r="F3" s="2551"/>
      <c r="G3" s="2551"/>
      <c r="H3" s="2552"/>
    </row>
    <row r="4" customFormat="false" ht="15.5" hidden="false" customHeight="false" outlineLevel="0" collapsed="false">
      <c r="A4" s="2554" t="s">
        <v>1093</v>
      </c>
      <c r="B4" s="2555" t="s">
        <v>120</v>
      </c>
      <c r="C4" s="2556" t="s">
        <v>1800</v>
      </c>
      <c r="D4" s="2556" t="s">
        <v>2975</v>
      </c>
      <c r="E4" s="2554" t="s">
        <v>3006</v>
      </c>
      <c r="F4" s="2554" t="s">
        <v>1802</v>
      </c>
      <c r="G4" s="2554" t="s">
        <v>4166</v>
      </c>
      <c r="H4" s="2557" t="n">
        <f aca="false">H5</f>
        <v>0</v>
      </c>
    </row>
    <row r="5" customFormat="false" ht="21" hidden="false" customHeight="false" outlineLevel="0" collapsed="false">
      <c r="A5" s="2558" t="s">
        <v>4167</v>
      </c>
      <c r="B5" s="2558"/>
      <c r="C5" s="2558"/>
      <c r="D5" s="2558"/>
      <c r="E5" s="2558"/>
      <c r="F5" s="2558"/>
      <c r="G5" s="2559"/>
      <c r="H5" s="2560" t="n">
        <f aca="false">SUM(H6:H209)</f>
        <v>0</v>
      </c>
    </row>
    <row r="6" customFormat="false" ht="14.5" hidden="false" customHeight="false" outlineLevel="0" collapsed="false">
      <c r="A6" s="2561" t="str">
        <f aca="false">дома!A143</f>
        <v>Стойки каркаса передней/задней стены 1 эт</v>
      </c>
      <c r="B6" s="2562" t="str">
        <f aca="false">дома!B143</f>
        <v>м.п.</v>
      </c>
      <c r="C6" s="2563" t="n">
        <f aca="false">дома!C143</f>
        <v>0.15</v>
      </c>
      <c r="D6" s="2563" t="n">
        <f aca="false">дома!D143</f>
        <v>0.05</v>
      </c>
      <c r="E6" s="2563" t="n">
        <f aca="false">дома!E143</f>
        <v>0</v>
      </c>
      <c r="F6" s="2563" t="n">
        <f aca="false">дома!F143</f>
        <v>0</v>
      </c>
      <c r="G6" s="2563" t="n">
        <f aca="false">E6*F6*IF('Ввод данных'!$A$8=связи1!$A$150,1,0)</f>
        <v>0</v>
      </c>
      <c r="H6" s="2563" t="n">
        <f aca="false">дома!G143*IF('Ввод данных'!$A$8=связи1!$A$150,1,0)</f>
        <v>0</v>
      </c>
    </row>
    <row r="7" customFormat="false" ht="14.5" hidden="false" customHeight="false" outlineLevel="0" collapsed="false">
      <c r="A7" s="2561" t="str">
        <f aca="false">дома!A144</f>
        <v>Стойки каркаса, левая сторона 1 эт</v>
      </c>
      <c r="B7" s="2562" t="str">
        <f aca="false">дома!B144</f>
        <v>м.п.</v>
      </c>
      <c r="C7" s="2563" t="n">
        <f aca="false">дома!C144</f>
        <v>0.15</v>
      </c>
      <c r="D7" s="2563" t="n">
        <f aca="false">дома!D144</f>
        <v>0.05</v>
      </c>
      <c r="E7" s="2563" t="n">
        <f aca="false">дома!E144</f>
        <v>0</v>
      </c>
      <c r="F7" s="2563" t="n">
        <f aca="false">дома!F144</f>
        <v>0</v>
      </c>
      <c r="G7" s="2563" t="n">
        <f aca="false">E7*F7*IF('Ввод данных'!$A$8=связи1!$A$150,1,0)</f>
        <v>0</v>
      </c>
      <c r="H7" s="2563" t="n">
        <f aca="false">дома!G144*IF('Ввод данных'!$A$8=связи1!$A$150,1,0)</f>
        <v>0</v>
      </c>
    </row>
    <row r="8" customFormat="false" ht="14.5" hidden="false" customHeight="false" outlineLevel="0" collapsed="false">
      <c r="A8" s="2561" t="str">
        <f aca="false">дома!A145</f>
        <v>Стойки каркаса, правая сторона, 1 эт</v>
      </c>
      <c r="B8" s="2562" t="str">
        <f aca="false">дома!B145</f>
        <v>м.п.</v>
      </c>
      <c r="C8" s="2563" t="n">
        <f aca="false">дома!C145</f>
        <v>0.15</v>
      </c>
      <c r="D8" s="2563" t="n">
        <f aca="false">дома!D145</f>
        <v>0.05</v>
      </c>
      <c r="E8" s="2563" t="n">
        <f aca="false">дома!E145</f>
        <v>0</v>
      </c>
      <c r="F8" s="2563" t="n">
        <f aca="false">дома!F145</f>
        <v>0</v>
      </c>
      <c r="G8" s="2563" t="n">
        <f aca="false">E8*F8*IF('Ввод данных'!$A$8=связи1!$A$150,1,0)</f>
        <v>0</v>
      </c>
      <c r="H8" s="2563" t="n">
        <f aca="false">дома!G145*IF('Ввод данных'!$A$8=связи1!$A$150,1,0)</f>
        <v>0</v>
      </c>
    </row>
    <row r="9" customFormat="false" ht="14.5" hidden="false" customHeight="false" outlineLevel="0" collapsed="false">
      <c r="A9" s="2561" t="str">
        <f aca="false">дома!A146</f>
        <v>Стойки каркаса левой боковой стены 1 эт</v>
      </c>
      <c r="B9" s="2562" t="str">
        <f aca="false">дома!B146</f>
        <v>м.п.</v>
      </c>
      <c r="C9" s="2563" t="n">
        <f aca="false">дома!C146</f>
        <v>0.15</v>
      </c>
      <c r="D9" s="2563" t="n">
        <f aca="false">дома!D146</f>
        <v>0.05</v>
      </c>
      <c r="E9" s="2563" t="n">
        <f aca="false">дома!E146</f>
        <v>0</v>
      </c>
      <c r="F9" s="2563" t="n">
        <f aca="false">дома!F146</f>
        <v>0</v>
      </c>
      <c r="G9" s="2563" t="n">
        <f aca="false">E9*F9*IF('Ввод данных'!$A$8=связи1!$A$150,1,0)</f>
        <v>0</v>
      </c>
      <c r="H9" s="2563" t="n">
        <f aca="false">дома!G146*IF('Ввод данных'!$A$8=связи1!$A$150,1,0)</f>
        <v>0</v>
      </c>
    </row>
    <row r="10" customFormat="false" ht="14.5" hidden="false" customHeight="false" outlineLevel="0" collapsed="false">
      <c r="A10" s="2561" t="str">
        <f aca="false">дома!A147</f>
        <v>Стойки каркаса правой боковой стены 1 эт</v>
      </c>
      <c r="B10" s="2562" t="str">
        <f aca="false">дома!B147</f>
        <v>м.п.</v>
      </c>
      <c r="C10" s="2563" t="n">
        <f aca="false">дома!C147</f>
        <v>0.15</v>
      </c>
      <c r="D10" s="2563" t="n">
        <f aca="false">дома!D147</f>
        <v>0.05</v>
      </c>
      <c r="E10" s="2563" t="n">
        <f aca="false">дома!E147</f>
        <v>0</v>
      </c>
      <c r="F10" s="2563" t="n">
        <f aca="false">дома!F147</f>
        <v>0</v>
      </c>
      <c r="G10" s="2563" t="n">
        <f aca="false">E10*F10*IF('Ввод данных'!$A$8=связи1!$A$150,1,0)</f>
        <v>0</v>
      </c>
      <c r="H10" s="2563" t="n">
        <f aca="false">дома!G147*IF('Ввод данных'!$A$8=связи1!$A$150,1,0)</f>
        <v>0</v>
      </c>
    </row>
    <row r="11" customFormat="false" ht="14.5" hidden="false" customHeight="false" outlineLevel="0" collapsed="false">
      <c r="A11" s="2561" t="str">
        <f aca="false">дома!A149</f>
        <v>Обвязка каркаса верхняя/нижняя наружние стены 1 эт</v>
      </c>
      <c r="B11" s="2562" t="str">
        <f aca="false">дома!B149</f>
        <v>м.п.</v>
      </c>
      <c r="C11" s="2563" t="n">
        <f aca="false">дома!C149</f>
        <v>0.15</v>
      </c>
      <c r="D11" s="2563" t="n">
        <f aca="false">дома!D149</f>
        <v>0.05</v>
      </c>
      <c r="E11" s="2563" t="n">
        <f aca="false">дома!E149</f>
        <v>0</v>
      </c>
      <c r="F11" s="2563" t="n">
        <f aca="false">дома!F149</f>
        <v>1</v>
      </c>
      <c r="G11" s="2563" t="n">
        <f aca="false">E11*F11*IF('Ввод данных'!$A$8=связи1!$A$150,1,0)</f>
        <v>0</v>
      </c>
      <c r="H11" s="2563" t="n">
        <f aca="false">дома!G148*IF('Ввод данных'!$A$8=связи1!$A$150,1,0)</f>
        <v>0</v>
      </c>
    </row>
    <row r="12" customFormat="false" ht="14.5" hidden="false" customHeight="false" outlineLevel="0" collapsed="false">
      <c r="A12" s="2561" t="str">
        <f aca="false">дома!A150</f>
        <v>Ригель каркаса наружние стены 1 эт</v>
      </c>
      <c r="B12" s="2562" t="str">
        <f aca="false">дома!B150</f>
        <v>м.п.</v>
      </c>
      <c r="C12" s="2563" t="n">
        <f aca="false">дома!C150</f>
        <v>0.15</v>
      </c>
      <c r="D12" s="2563" t="n">
        <f aca="false">дома!D150</f>
        <v>0.05</v>
      </c>
      <c r="E12" s="2563" t="n">
        <f aca="false">дома!E150</f>
        <v>0</v>
      </c>
      <c r="F12" s="2563" t="n">
        <f aca="false">дома!F150</f>
        <v>1</v>
      </c>
      <c r="G12" s="2563" t="n">
        <f aca="false">E12*F12*IF('Ввод данных'!$A$8=связи1!$A$150,1,0)</f>
        <v>0</v>
      </c>
      <c r="H12" s="2563" t="n">
        <f aca="false">дома!G149*IF('Ввод данных'!$A$8=связи1!$A$150,1,0)</f>
        <v>0</v>
      </c>
    </row>
    <row r="13" customFormat="false" ht="14.5" hidden="false" customHeight="false" outlineLevel="0" collapsed="false">
      <c r="A13" s="2561" t="str">
        <f aca="false">дома!A151</f>
        <v>Стойка каркаса, несущие перегородки, 1 этаж, №1</v>
      </c>
      <c r="B13" s="2562" t="str">
        <f aca="false">дома!B151</f>
        <v>м.п.</v>
      </c>
      <c r="C13" s="2563" t="n">
        <f aca="false">дома!C151</f>
        <v>0.12</v>
      </c>
      <c r="D13" s="2563" t="n">
        <f aca="false">дома!D151</f>
        <v>0.05</v>
      </c>
      <c r="E13" s="2563" t="n">
        <f aca="false">дома!E151</f>
        <v>0</v>
      </c>
      <c r="F13" s="2563" t="n">
        <f aca="false">дома!F151</f>
        <v>0</v>
      </c>
      <c r="G13" s="2563" t="n">
        <f aca="false">E13*F13*IF('Ввод данных'!$A$8=связи1!$A$150,1,0)</f>
        <v>0</v>
      </c>
      <c r="H13" s="2563" t="n">
        <f aca="false">дома!G150*IF('Ввод данных'!$A$8=связи1!$A$150,1,0)</f>
        <v>0</v>
      </c>
    </row>
    <row r="14" customFormat="false" ht="14.5" hidden="false" customHeight="false" outlineLevel="0" collapsed="false">
      <c r="A14" s="2561" t="str">
        <f aca="false">дома!A178</f>
        <v>Обвязка несущих перегородок верх/низ, 1 этаж</v>
      </c>
      <c r="B14" s="2562" t="str">
        <f aca="false">дома!B178</f>
        <v>м.п.</v>
      </c>
      <c r="C14" s="2563" t="n">
        <f aca="false">дома!C178</f>
        <v>0.12</v>
      </c>
      <c r="D14" s="2563" t="n">
        <f aca="false">дома!D178</f>
        <v>0.05</v>
      </c>
      <c r="E14" s="2563" t="n">
        <f aca="false">дома!E178</f>
        <v>0</v>
      </c>
      <c r="F14" s="2563" t="n">
        <f aca="false">дома!F178</f>
        <v>1</v>
      </c>
      <c r="G14" s="2563" t="n">
        <f aca="false">E14*F14*IF('Ввод данных'!$A$8=связи1!$A$150,1,0)</f>
        <v>0</v>
      </c>
      <c r="H14" s="2563" t="n">
        <f aca="false">дома!G151*IF('Ввод данных'!$A$8=связи1!$A$150,1,0)</f>
        <v>0</v>
      </c>
    </row>
    <row r="15" customFormat="false" ht="14.5" hidden="false" customHeight="false" outlineLevel="0" collapsed="false">
      <c r="A15" s="2561" t="str">
        <f aca="false">дома!A179</f>
        <v>Ригель несущих перегородок, 1 этаж</v>
      </c>
      <c r="B15" s="2562" t="str">
        <f aca="false">дома!B179</f>
        <v>м.п.</v>
      </c>
      <c r="C15" s="2563" t="n">
        <f aca="false">дома!C179</f>
        <v>0.12</v>
      </c>
      <c r="D15" s="2563" t="n">
        <f aca="false">дома!D179</f>
        <v>0.05</v>
      </c>
      <c r="E15" s="2563" t="n">
        <f aca="false">дома!E179</f>
        <v>0</v>
      </c>
      <c r="F15" s="2563" t="n">
        <f aca="false">дома!F179</f>
        <v>1</v>
      </c>
      <c r="G15" s="2563" t="n">
        <f aca="false">E15*F15*IF('Ввод данных'!$A$8=связи1!$A$150,1,0)</f>
        <v>0</v>
      </c>
      <c r="H15" s="2563" t="n">
        <f aca="false">дома!G152*IF('Ввод данных'!$A$8=связи1!$A$150,1,0)</f>
        <v>0</v>
      </c>
    </row>
    <row r="16" customFormat="false" ht="14.5" hidden="false" customHeight="false" outlineLevel="0" collapsed="false">
      <c r="A16" s="2561" t="str">
        <f aca="false">дома!A180</f>
        <v>Стойка каркаса, перегородки, 1 этаж</v>
      </c>
      <c r="B16" s="2562" t="str">
        <f aca="false">дома!B180</f>
        <v>м.п.</v>
      </c>
      <c r="C16" s="2563" t="n">
        <f aca="false">дома!C180</f>
        <v>0.17</v>
      </c>
      <c r="D16" s="2563" t="n">
        <f aca="false">дома!D180</f>
        <v>0.05</v>
      </c>
      <c r="E16" s="2563" t="n">
        <f aca="false">дома!E180</f>
        <v>3</v>
      </c>
      <c r="F16" s="2563" t="n">
        <f aca="false">дома!F180</f>
        <v>0</v>
      </c>
      <c r="G16" s="2563" t="n">
        <f aca="false">E16*F16*IF('Ввод данных'!$A$8=связи1!$A$150,1,0)</f>
        <v>0</v>
      </c>
      <c r="H16" s="2563" t="n">
        <f aca="false">дома!G153*IF('Ввод данных'!$A$8=связи1!$A$150,1,0)</f>
        <v>0</v>
      </c>
    </row>
    <row r="17" customFormat="false" ht="14.5" hidden="false" customHeight="false" outlineLevel="0" collapsed="false">
      <c r="A17" s="2561" t="str">
        <f aca="false">дома!A181</f>
        <v>Обвязка перегородок верх/низ, 1 этаж</v>
      </c>
      <c r="B17" s="2562" t="str">
        <f aca="false">дома!B181</f>
        <v>м.п.</v>
      </c>
      <c r="C17" s="2563" t="n">
        <f aca="false">дома!C181</f>
        <v>0.17</v>
      </c>
      <c r="D17" s="2563" t="n">
        <f aca="false">дома!D181</f>
        <v>0.05</v>
      </c>
      <c r="E17" s="2563" t="n">
        <f aca="false">дома!E181</f>
        <v>0</v>
      </c>
      <c r="F17" s="2563" t="n">
        <f aca="false">дома!F181</f>
        <v>1</v>
      </c>
      <c r="G17" s="2563" t="n">
        <f aca="false">E17*F17*IF('Ввод данных'!$A$8=связи1!$A$150,1,0)</f>
        <v>0</v>
      </c>
      <c r="H17" s="2563" t="n">
        <f aca="false">дома!G154*IF('Ввод данных'!$A$8=связи1!$A$150,1,0)</f>
        <v>0</v>
      </c>
    </row>
    <row r="18" customFormat="false" ht="14.5" hidden="false" customHeight="false" outlineLevel="0" collapsed="false">
      <c r="A18" s="2561" t="str">
        <f aca="false">дома!A182</f>
        <v>Укосина наружних стен, усиление 1 этаж</v>
      </c>
      <c r="B18" s="2562" t="str">
        <f aca="false">дома!B182</f>
        <v>м.п.</v>
      </c>
      <c r="C18" s="2563" t="n">
        <f aca="false">дома!C182</f>
        <v>0.15</v>
      </c>
      <c r="D18" s="2563" t="n">
        <f aca="false">дома!D182</f>
        <v>0.05</v>
      </c>
      <c r="E18" s="2563" t="n">
        <f aca="false">дома!E182</f>
        <v>2</v>
      </c>
      <c r="F18" s="2563" t="n">
        <f aca="false">дома!F182</f>
        <v>28</v>
      </c>
      <c r="G18" s="2563" t="n">
        <f aca="false">E18*F18*IF('Ввод данных'!$A$8=связи1!$A$150,1,0)</f>
        <v>0</v>
      </c>
      <c r="H18" s="2563" t="n">
        <f aca="false">дома!G155*IF('Ввод данных'!$A$8=связи1!$A$150,1,0)</f>
        <v>0</v>
      </c>
    </row>
    <row r="19" customFormat="false" ht="14.5" hidden="false" customHeight="false" outlineLevel="0" collapsed="false">
      <c r="A19" s="2561" t="str">
        <f aca="false">дома!A183</f>
        <v>Стойка каркаса по фронтону, левая сторона 1</v>
      </c>
      <c r="B19" s="2562" t="str">
        <f aca="false">дома!B183</f>
        <v>м.п.</v>
      </c>
      <c r="C19" s="2563" t="n">
        <f aca="false">дома!C183</f>
        <v>0.15</v>
      </c>
      <c r="D19" s="2563" t="n">
        <f aca="false">дома!D183</f>
        <v>0.05</v>
      </c>
      <c r="E19" s="2563" t="n">
        <f aca="false">дома!E183</f>
        <v>8.1</v>
      </c>
      <c r="F19" s="2563" t="n">
        <f aca="false">дома!F183</f>
        <v>0</v>
      </c>
      <c r="G19" s="2563" t="n">
        <f aca="false">E19*F19*IF('Ввод данных'!$A$8=связи1!$A$150,1,0)</f>
        <v>0</v>
      </c>
      <c r="H19" s="2563" t="n">
        <f aca="false">дома!G156*IF('Ввод данных'!$A$8=связи1!$A$150,1,0)</f>
        <v>0</v>
      </c>
    </row>
    <row r="20" customFormat="false" ht="14.5" hidden="false" customHeight="false" outlineLevel="0" collapsed="false">
      <c r="A20" s="2561" t="str">
        <f aca="false">дома!A184</f>
        <v>Стойка каркаса по фронтону, левая сторона 2</v>
      </c>
      <c r="B20" s="2562" t="str">
        <f aca="false">дома!B184</f>
        <v>м.п.</v>
      </c>
      <c r="C20" s="2563" t="n">
        <f aca="false">дома!C184</f>
        <v>0.15</v>
      </c>
      <c r="D20" s="2563" t="n">
        <f aca="false">дома!D184</f>
        <v>0.05</v>
      </c>
      <c r="E20" s="2563" t="n">
        <f aca="false">дома!E184</f>
        <v>7.26111111111111</v>
      </c>
      <c r="F20" s="2563" t="n">
        <f aca="false">дома!F184</f>
        <v>0</v>
      </c>
      <c r="G20" s="2563" t="n">
        <f aca="false">E20*F20*IF('Ввод данных'!$A$8=связи1!$A$150,1,0)</f>
        <v>0</v>
      </c>
      <c r="H20" s="2563" t="n">
        <f aca="false">дома!G157*IF('Ввод данных'!$A$8=связи1!$A$150,1,0)</f>
        <v>0</v>
      </c>
    </row>
    <row r="21" customFormat="false" ht="14.5" hidden="false" customHeight="false" outlineLevel="0" collapsed="false">
      <c r="A21" s="2561" t="str">
        <f aca="false">дома!A185</f>
        <v>Стойка каркаса по фронтону, левая сторона 3</v>
      </c>
      <c r="B21" s="2562" t="str">
        <f aca="false">дома!B185</f>
        <v>м.п.</v>
      </c>
      <c r="C21" s="2563" t="n">
        <f aca="false">дома!C185</f>
        <v>0.15</v>
      </c>
      <c r="D21" s="2563" t="n">
        <f aca="false">дома!D185</f>
        <v>0.05</v>
      </c>
      <c r="E21" s="2563" t="n">
        <f aca="false">дома!E185</f>
        <v>6.42222222222222</v>
      </c>
      <c r="F21" s="2563" t="n">
        <f aca="false">дома!F185</f>
        <v>0</v>
      </c>
      <c r="G21" s="2563" t="n">
        <f aca="false">E21*F21*IF('Ввод данных'!$A$8=связи1!$A$150,1,0)</f>
        <v>0</v>
      </c>
      <c r="H21" s="2563" t="n">
        <f aca="false">дома!G158*IF('Ввод данных'!$A$8=связи1!$A$150,1,0)</f>
        <v>0</v>
      </c>
    </row>
    <row r="22" customFormat="false" ht="14.5" hidden="false" customHeight="false" outlineLevel="0" collapsed="false">
      <c r="A22" s="2561" t="str">
        <f aca="false">дома!A186</f>
        <v>Стойка каркаса по фронтону, левая сторона 4</v>
      </c>
      <c r="B22" s="2562" t="str">
        <f aca="false">дома!B186</f>
        <v>м.п.</v>
      </c>
      <c r="C22" s="2563" t="n">
        <f aca="false">дома!C186</f>
        <v>0.15</v>
      </c>
      <c r="D22" s="2563" t="n">
        <f aca="false">дома!D186</f>
        <v>0.05</v>
      </c>
      <c r="E22" s="2563" t="n">
        <f aca="false">дома!E186</f>
        <v>5.58333333333333</v>
      </c>
      <c r="F22" s="2563" t="n">
        <f aca="false">дома!F186</f>
        <v>0</v>
      </c>
      <c r="G22" s="2563" t="n">
        <f aca="false">E22*F22*IF('Ввод данных'!$A$8=связи1!$A$150,1,0)</f>
        <v>0</v>
      </c>
      <c r="H22" s="2563" t="n">
        <f aca="false">дома!G159*IF('Ввод данных'!$A$8=связи1!$A$150,1,0)</f>
        <v>0</v>
      </c>
    </row>
    <row r="23" customFormat="false" ht="14.5" hidden="false" customHeight="false" outlineLevel="0" collapsed="false">
      <c r="A23" s="2561" t="str">
        <f aca="false">дома!A187</f>
        <v>Стойка каркаса по фронтону, левая сторона 5</v>
      </c>
      <c r="B23" s="2562" t="str">
        <f aca="false">дома!B187</f>
        <v>м.п.</v>
      </c>
      <c r="C23" s="2563" t="n">
        <f aca="false">дома!C187</f>
        <v>0.15</v>
      </c>
      <c r="D23" s="2563" t="n">
        <f aca="false">дома!D187</f>
        <v>0.05</v>
      </c>
      <c r="E23" s="2563" t="n">
        <f aca="false">дома!E187</f>
        <v>4.74444444444445</v>
      </c>
      <c r="F23" s="2563" t="n">
        <f aca="false">дома!F187</f>
        <v>0</v>
      </c>
      <c r="G23" s="2563" t="n">
        <f aca="false">E23*F23*IF('Ввод данных'!$A$8=связи1!$A$150,1,0)</f>
        <v>0</v>
      </c>
      <c r="H23" s="2563" t="n">
        <f aca="false">дома!G160*IF('Ввод данных'!$A$8=связи1!$A$150,1,0)</f>
        <v>0</v>
      </c>
    </row>
    <row r="24" customFormat="false" ht="14.5" hidden="false" customHeight="false" outlineLevel="0" collapsed="false">
      <c r="A24" s="2561" t="str">
        <f aca="false">дома!A188</f>
        <v>Стойка каркаса по фронтону, левая сторона 6</v>
      </c>
      <c r="B24" s="2562" t="str">
        <f aca="false">дома!B188</f>
        <v>м.п.</v>
      </c>
      <c r="C24" s="2563" t="n">
        <f aca="false">дома!C188</f>
        <v>0.15</v>
      </c>
      <c r="D24" s="2563" t="n">
        <f aca="false">дома!D188</f>
        <v>0.05</v>
      </c>
      <c r="E24" s="2563" t="n">
        <f aca="false">дома!E188</f>
        <v>3.90555555555556</v>
      </c>
      <c r="F24" s="2563" t="n">
        <f aca="false">дома!F188</f>
        <v>0</v>
      </c>
      <c r="G24" s="2563" t="n">
        <f aca="false">E24*F24*IF('Ввод данных'!$A$8=связи1!$A$150,1,0)</f>
        <v>0</v>
      </c>
      <c r="H24" s="2563" t="n">
        <f aca="false">дома!G161*IF('Ввод данных'!$A$8=связи1!$A$150,1,0)</f>
        <v>0</v>
      </c>
    </row>
    <row r="25" customFormat="false" ht="14.5" hidden="false" customHeight="false" outlineLevel="0" collapsed="false">
      <c r="A25" s="2561" t="str">
        <f aca="false">дома!A189</f>
        <v>Стойка каркаса по фронтону, левая сторона 7</v>
      </c>
      <c r="B25" s="2562" t="str">
        <f aca="false">дома!B189</f>
        <v>м.п.</v>
      </c>
      <c r="C25" s="2563" t="n">
        <f aca="false">дома!C189</f>
        <v>0.15</v>
      </c>
      <c r="D25" s="2563" t="n">
        <f aca="false">дома!D189</f>
        <v>0.05</v>
      </c>
      <c r="E25" s="2563" t="n">
        <f aca="false">дома!E189</f>
        <v>3.06666666666667</v>
      </c>
      <c r="F25" s="2563" t="n">
        <f aca="false">дома!F189</f>
        <v>0</v>
      </c>
      <c r="G25" s="2563" t="n">
        <f aca="false">E25*F25*IF('Ввод данных'!$A$8=связи1!$A$150,1,0)</f>
        <v>0</v>
      </c>
      <c r="H25" s="2563" t="n">
        <f aca="false">дома!G162*IF('Ввод данных'!$A$8=связи1!$A$150,1,0)</f>
        <v>0</v>
      </c>
    </row>
    <row r="26" customFormat="false" ht="14.5" hidden="false" customHeight="false" outlineLevel="0" collapsed="false">
      <c r="A26" s="2561" t="str">
        <f aca="false">дома!A190</f>
        <v>Стойка каркаса по фронтону, левая сторона 8</v>
      </c>
      <c r="B26" s="2562" t="str">
        <f aca="false">дома!B190</f>
        <v>м.п.</v>
      </c>
      <c r="C26" s="2563" t="n">
        <f aca="false">дома!C190</f>
        <v>0.15</v>
      </c>
      <c r="D26" s="2563" t="n">
        <f aca="false">дома!D190</f>
        <v>0.05</v>
      </c>
      <c r="E26" s="2563" t="n">
        <f aca="false">дома!E190</f>
        <v>2.22777777777778</v>
      </c>
      <c r="F26" s="2563" t="n">
        <f aca="false">дома!F190</f>
        <v>0</v>
      </c>
      <c r="G26" s="2563" t="n">
        <f aca="false">E26*F26*IF('Ввод данных'!$A$8=связи1!$A$150,1,0)</f>
        <v>0</v>
      </c>
      <c r="H26" s="2563" t="n">
        <f aca="false">дома!G163*IF('Ввод данных'!$A$8=связи1!$A$150,1,0)</f>
        <v>0</v>
      </c>
    </row>
    <row r="27" customFormat="false" ht="14.5" hidden="false" customHeight="false" outlineLevel="0" collapsed="false">
      <c r="A27" s="2561" t="str">
        <f aca="false">дома!A191</f>
        <v>Стойка каркаса по фронтону, левая сторона 9</v>
      </c>
      <c r="B27" s="2562" t="str">
        <f aca="false">дома!B191</f>
        <v>м.п.</v>
      </c>
      <c r="C27" s="2563" t="n">
        <f aca="false">дома!C191</f>
        <v>0.15</v>
      </c>
      <c r="D27" s="2563" t="n">
        <f aca="false">дома!D191</f>
        <v>0.05</v>
      </c>
      <c r="E27" s="2563" t="n">
        <f aca="false">дома!E191</f>
        <v>1.38888888888889</v>
      </c>
      <c r="F27" s="2563" t="n">
        <f aca="false">дома!F191</f>
        <v>0</v>
      </c>
      <c r="G27" s="2563" t="n">
        <f aca="false">E27*F27*IF('Ввод данных'!$A$8=связи1!$A$150,1,0)</f>
        <v>0</v>
      </c>
      <c r="H27" s="2563" t="n">
        <f aca="false">дома!G164*IF('Ввод данных'!$A$8=связи1!$A$150,1,0)</f>
        <v>0</v>
      </c>
    </row>
    <row r="28" customFormat="false" ht="14.5" hidden="false" customHeight="false" outlineLevel="0" collapsed="false">
      <c r="A28" s="2561" t="str">
        <f aca="false">дома!A192</f>
        <v>Стойка каркаса по фронтону, левая сторона 10</v>
      </c>
      <c r="B28" s="2562" t="str">
        <f aca="false">дома!B192</f>
        <v>м.п.</v>
      </c>
      <c r="C28" s="2563" t="n">
        <f aca="false">дома!C192</f>
        <v>0.15</v>
      </c>
      <c r="D28" s="2563" t="n">
        <f aca="false">дома!D192</f>
        <v>0.05</v>
      </c>
      <c r="E28" s="2563" t="n">
        <f aca="false">дома!E192</f>
        <v>0.55</v>
      </c>
      <c r="F28" s="2563" t="n">
        <f aca="false">дома!F192</f>
        <v>0</v>
      </c>
      <c r="G28" s="2563" t="n">
        <f aca="false">E28*F28*IF('Ввод данных'!$A$8=связи1!$A$150,1,0)</f>
        <v>0</v>
      </c>
      <c r="H28" s="2563" t="n">
        <f aca="false">дома!G165*IF('Ввод данных'!$A$8=связи1!$A$150,1,0)</f>
        <v>0</v>
      </c>
    </row>
    <row r="29" customFormat="false" ht="14.5" hidden="false" customHeight="false" outlineLevel="0" collapsed="false">
      <c r="A29" s="2561" t="str">
        <f aca="false">дома!A193</f>
        <v>Стойка каркаса по фронтону, левая сторона 11</v>
      </c>
      <c r="B29" s="2562" t="str">
        <f aca="false">дома!B193</f>
        <v>м.п.</v>
      </c>
      <c r="C29" s="2563" t="n">
        <f aca="false">дома!C193</f>
        <v>0.15</v>
      </c>
      <c r="D29" s="2563" t="n">
        <f aca="false">дома!D193</f>
        <v>0.05</v>
      </c>
      <c r="E29" s="2563" t="n">
        <f aca="false">дома!E193</f>
        <v>0</v>
      </c>
      <c r="F29" s="2563" t="n">
        <f aca="false">дома!F193</f>
        <v>0</v>
      </c>
      <c r="G29" s="2563" t="n">
        <f aca="false">E29*F29*IF('Ввод данных'!$A$8=связи1!$A$150,1,0)</f>
        <v>0</v>
      </c>
      <c r="H29" s="2563" t="n">
        <f aca="false">дома!G166*IF('Ввод данных'!$A$8=связи1!$A$150,1,0)</f>
        <v>0</v>
      </c>
    </row>
    <row r="30" customFormat="false" ht="14.5" hidden="false" customHeight="false" outlineLevel="0" collapsed="false">
      <c r="A30" s="2561" t="str">
        <f aca="false">дома!A194</f>
        <v>Стойка каркаса по фронтону, левая сторона 12</v>
      </c>
      <c r="B30" s="2562" t="str">
        <f aca="false">дома!B194</f>
        <v>м.п.</v>
      </c>
      <c r="C30" s="2563" t="n">
        <f aca="false">дома!C194</f>
        <v>0.15</v>
      </c>
      <c r="D30" s="2563" t="n">
        <f aca="false">дома!D194</f>
        <v>0.05</v>
      </c>
      <c r="E30" s="2563" t="n">
        <f aca="false">дома!E194</f>
        <v>0</v>
      </c>
      <c r="F30" s="2563" t="n">
        <f aca="false">дома!F194</f>
        <v>0</v>
      </c>
      <c r="G30" s="2563" t="n">
        <f aca="false">E30*F30*IF('Ввод данных'!$A$8=связи1!$A$150,1,0)</f>
        <v>0</v>
      </c>
      <c r="H30" s="2563" t="n">
        <f aca="false">дома!G167*IF('Ввод данных'!$A$8=связи1!$A$150,1,0)</f>
        <v>0</v>
      </c>
    </row>
    <row r="31" customFormat="false" ht="14.5" hidden="false" customHeight="false" outlineLevel="0" collapsed="false">
      <c r="A31" s="2561" t="str">
        <f aca="false">дома!A195</f>
        <v>Стойка каркаса по фронтону, левая сторона 13</v>
      </c>
      <c r="B31" s="2562" t="str">
        <f aca="false">дома!B195</f>
        <v>м.п.</v>
      </c>
      <c r="C31" s="2563" t="n">
        <f aca="false">дома!C195</f>
        <v>0.15</v>
      </c>
      <c r="D31" s="2563" t="n">
        <f aca="false">дома!D195</f>
        <v>0.05</v>
      </c>
      <c r="E31" s="2563" t="n">
        <f aca="false">дома!E195</f>
        <v>0</v>
      </c>
      <c r="F31" s="2563" t="n">
        <f aca="false">дома!F195</f>
        <v>0</v>
      </c>
      <c r="G31" s="2563" t="n">
        <f aca="false">E31*F31*IF('Ввод данных'!$A$8=связи1!$A$150,1,0)</f>
        <v>0</v>
      </c>
      <c r="H31" s="2563" t="n">
        <f aca="false">дома!G168*IF('Ввод данных'!$A$8=связи1!$A$150,1,0)</f>
        <v>0</v>
      </c>
    </row>
    <row r="32" customFormat="false" ht="14.5" hidden="false" customHeight="false" outlineLevel="0" collapsed="false">
      <c r="A32" s="2561" t="str">
        <f aca="false">дома!A196</f>
        <v>Стойка каркаса по фронтону, левая сторона 14</v>
      </c>
      <c r="B32" s="2562" t="str">
        <f aca="false">дома!B196</f>
        <v>м.п.</v>
      </c>
      <c r="C32" s="2563" t="n">
        <f aca="false">дома!C196</f>
        <v>0.15</v>
      </c>
      <c r="D32" s="2563" t="n">
        <f aca="false">дома!D196</f>
        <v>0.05</v>
      </c>
      <c r="E32" s="2563" t="n">
        <f aca="false">дома!E196</f>
        <v>0</v>
      </c>
      <c r="F32" s="2563" t="n">
        <f aca="false">дома!F196</f>
        <v>0</v>
      </c>
      <c r="G32" s="2563" t="n">
        <f aca="false">E32*F32*IF('Ввод данных'!$A$8=связи1!$A$150,1,0)</f>
        <v>0</v>
      </c>
      <c r="H32" s="2563" t="n">
        <f aca="false">дома!G169*IF('Ввод данных'!$A$8=связи1!$A$150,1,0)</f>
        <v>0</v>
      </c>
    </row>
    <row r="33" customFormat="false" ht="14.5" hidden="false" customHeight="false" outlineLevel="0" collapsed="false">
      <c r="A33" s="2561" t="str">
        <f aca="false">дома!A197</f>
        <v>Стойка каркаса по фронтону, левая сторона 15</v>
      </c>
      <c r="B33" s="2562" t="str">
        <f aca="false">дома!B197</f>
        <v>м.п.</v>
      </c>
      <c r="C33" s="2563" t="n">
        <f aca="false">дома!C197</f>
        <v>0.15</v>
      </c>
      <c r="D33" s="2563" t="n">
        <f aca="false">дома!D197</f>
        <v>0.05</v>
      </c>
      <c r="E33" s="2563" t="n">
        <f aca="false">дома!E197</f>
        <v>0</v>
      </c>
      <c r="F33" s="2563" t="n">
        <f aca="false">дома!F197</f>
        <v>0</v>
      </c>
      <c r="G33" s="2563" t="n">
        <f aca="false">E33*F33*IF('Ввод данных'!$A$8=связи1!$A$150,1,0)</f>
        <v>0</v>
      </c>
      <c r="H33" s="2563" t="n">
        <f aca="false">дома!G170*IF('Ввод данных'!$A$8=связи1!$A$150,1,0)</f>
        <v>0</v>
      </c>
    </row>
    <row r="34" customFormat="false" ht="14.5" hidden="false" customHeight="false" outlineLevel="0" collapsed="false">
      <c r="A34" s="2561" t="str">
        <f aca="false">дома!A198</f>
        <v>Стойка каркаса по фронтону, левая сторона 16</v>
      </c>
      <c r="B34" s="2562" t="str">
        <f aca="false">дома!B198</f>
        <v>м.п.</v>
      </c>
      <c r="C34" s="2563" t="n">
        <f aca="false">дома!C198</f>
        <v>0.15</v>
      </c>
      <c r="D34" s="2563" t="n">
        <f aca="false">дома!D198</f>
        <v>0.05</v>
      </c>
      <c r="E34" s="2563" t="n">
        <f aca="false">дома!E198</f>
        <v>0</v>
      </c>
      <c r="F34" s="2563" t="n">
        <f aca="false">дома!F198</f>
        <v>0</v>
      </c>
      <c r="G34" s="2563" t="n">
        <f aca="false">E34*F34*IF('Ввод данных'!$A$8=связи1!$A$150,1,0)</f>
        <v>0</v>
      </c>
      <c r="H34" s="2563" t="n">
        <f aca="false">дома!G171*IF('Ввод данных'!$A$8=связи1!$A$150,1,0)</f>
        <v>0</v>
      </c>
    </row>
    <row r="35" customFormat="false" ht="14.5" hidden="false" customHeight="false" outlineLevel="0" collapsed="false">
      <c r="A35" s="2561" t="str">
        <f aca="false">дома!A199</f>
        <v>Стойка каркаса по фронтону, левая сторона 17</v>
      </c>
      <c r="B35" s="2562" t="str">
        <f aca="false">дома!B199</f>
        <v>м.п.</v>
      </c>
      <c r="C35" s="2563" t="n">
        <f aca="false">дома!C199</f>
        <v>0.15</v>
      </c>
      <c r="D35" s="2563" t="n">
        <f aca="false">дома!D199</f>
        <v>0.05</v>
      </c>
      <c r="E35" s="2563" t="n">
        <f aca="false">дома!E199</f>
        <v>0</v>
      </c>
      <c r="F35" s="2563" t="n">
        <f aca="false">дома!F199</f>
        <v>0</v>
      </c>
      <c r="G35" s="2563" t="n">
        <f aca="false">E35*F35*IF('Ввод данных'!$A$8=связи1!$A$150,1,0)</f>
        <v>0</v>
      </c>
      <c r="H35" s="2563" t="n">
        <f aca="false">дома!G172*IF('Ввод данных'!$A$8=связи1!$A$150,1,0)</f>
        <v>0</v>
      </c>
    </row>
    <row r="36" customFormat="false" ht="14.5" hidden="false" customHeight="false" outlineLevel="0" collapsed="false">
      <c r="A36" s="2561" t="str">
        <f aca="false">дома!A200</f>
        <v>Стойка каркаса по фронтону, левая сторона 18</v>
      </c>
      <c r="B36" s="2562" t="str">
        <f aca="false">дома!B200</f>
        <v>м.п.</v>
      </c>
      <c r="C36" s="2563" t="n">
        <f aca="false">дома!C200</f>
        <v>0.15</v>
      </c>
      <c r="D36" s="2563" t="n">
        <f aca="false">дома!D200</f>
        <v>0.05</v>
      </c>
      <c r="E36" s="2563" t="n">
        <f aca="false">дома!E200</f>
        <v>0</v>
      </c>
      <c r="F36" s="2563" t="n">
        <f aca="false">дома!F200</f>
        <v>0</v>
      </c>
      <c r="G36" s="2563" t="n">
        <f aca="false">E36*F36*IF('Ввод данных'!$A$8=связи1!$A$150,1,0)</f>
        <v>0</v>
      </c>
      <c r="H36" s="2563" t="n">
        <f aca="false">дома!G173*IF('Ввод данных'!$A$8=связи1!$A$150,1,0)</f>
        <v>0</v>
      </c>
    </row>
    <row r="37" customFormat="false" ht="14.5" hidden="false" customHeight="false" outlineLevel="0" collapsed="false">
      <c r="A37" s="2561" t="str">
        <f aca="false">дома!A201</f>
        <v>Стойка каркаса по фронтону, левая сторона 19</v>
      </c>
      <c r="B37" s="2562" t="str">
        <f aca="false">дома!B201</f>
        <v>м.п.</v>
      </c>
      <c r="C37" s="2563" t="n">
        <f aca="false">дома!C201</f>
        <v>0.15</v>
      </c>
      <c r="D37" s="2563" t="n">
        <f aca="false">дома!D201</f>
        <v>0.05</v>
      </c>
      <c r="E37" s="2563" t="n">
        <f aca="false">дома!E201</f>
        <v>0</v>
      </c>
      <c r="F37" s="2563" t="n">
        <f aca="false">дома!F201</f>
        <v>0</v>
      </c>
      <c r="G37" s="2563" t="n">
        <f aca="false">E37*F37*IF('Ввод данных'!$A$8=связи1!$A$150,1,0)</f>
        <v>0</v>
      </c>
      <c r="H37" s="2563" t="n">
        <f aca="false">дома!G174*IF('Ввод данных'!$A$8=связи1!$A$150,1,0)</f>
        <v>0</v>
      </c>
    </row>
    <row r="38" customFormat="false" ht="14.5" hidden="false" customHeight="false" outlineLevel="0" collapsed="false">
      <c r="A38" s="2561" t="str">
        <f aca="false">дома!A202</f>
        <v>Стойка каркаса по фронтону, левая сторона 20</v>
      </c>
      <c r="B38" s="2562" t="str">
        <f aca="false">дома!B202</f>
        <v>м.п.</v>
      </c>
      <c r="C38" s="2563" t="n">
        <f aca="false">дома!C202</f>
        <v>0.15</v>
      </c>
      <c r="D38" s="2563" t="n">
        <f aca="false">дома!D202</f>
        <v>0.05</v>
      </c>
      <c r="E38" s="2563" t="n">
        <f aca="false">дома!E202</f>
        <v>0</v>
      </c>
      <c r="F38" s="2563" t="n">
        <f aca="false">дома!F202</f>
        <v>0</v>
      </c>
      <c r="G38" s="2563" t="n">
        <f aca="false">E38*F38*IF('Ввод данных'!$A$8=связи1!$A$150,1,0)</f>
        <v>0</v>
      </c>
      <c r="H38" s="2563" t="n">
        <f aca="false">дома!G175*IF('Ввод данных'!$A$8=связи1!$A$150,1,0)</f>
        <v>0</v>
      </c>
    </row>
    <row r="39" customFormat="false" ht="14.5" hidden="false" customHeight="false" outlineLevel="0" collapsed="false">
      <c r="A39" s="2561" t="str">
        <f aca="false">дома!A203</f>
        <v>Стойка каркаса по фронтону, левая сторона 21</v>
      </c>
      <c r="B39" s="2562" t="str">
        <f aca="false">дома!B203</f>
        <v>м.п.</v>
      </c>
      <c r="C39" s="2563" t="n">
        <f aca="false">дома!C203</f>
        <v>0.15</v>
      </c>
      <c r="D39" s="2563" t="n">
        <f aca="false">дома!D203</f>
        <v>0.05</v>
      </c>
      <c r="E39" s="2563" t="n">
        <f aca="false">дома!E203</f>
        <v>0</v>
      </c>
      <c r="F39" s="2563" t="n">
        <f aca="false">дома!F203</f>
        <v>0</v>
      </c>
      <c r="G39" s="2563" t="n">
        <f aca="false">E39*F39*IF('Ввод данных'!$A$8=связи1!$A$150,1,0)</f>
        <v>0</v>
      </c>
      <c r="H39" s="2563" t="n">
        <f aca="false">дома!G176*IF('Ввод данных'!$A$8=связи1!$A$150,1,0)</f>
        <v>0</v>
      </c>
    </row>
    <row r="40" customFormat="false" ht="14.5" hidden="false" customHeight="false" outlineLevel="0" collapsed="false">
      <c r="A40" s="2561" t="str">
        <f aca="false">дома!A204</f>
        <v>Стойка каркаса по фронтону, левая сторона 22</v>
      </c>
      <c r="B40" s="2562" t="str">
        <f aca="false">дома!B204</f>
        <v>м.п.</v>
      </c>
      <c r="C40" s="2563" t="n">
        <f aca="false">дома!C204</f>
        <v>0.15</v>
      </c>
      <c r="D40" s="2563" t="n">
        <f aca="false">дома!D204</f>
        <v>0.05</v>
      </c>
      <c r="E40" s="2563" t="n">
        <f aca="false">дома!E204</f>
        <v>0</v>
      </c>
      <c r="F40" s="2563" t="n">
        <f aca="false">дома!F204</f>
        <v>0</v>
      </c>
      <c r="G40" s="2563" t="n">
        <f aca="false">E40*F40*IF('Ввод данных'!$A$8=связи1!$A$150,1,0)</f>
        <v>0</v>
      </c>
      <c r="H40" s="2563" t="n">
        <f aca="false">дома!G177*IF('Ввод данных'!$A$8=связи1!$A$150,1,0)</f>
        <v>0</v>
      </c>
    </row>
    <row r="41" customFormat="false" ht="14.5" hidden="false" customHeight="false" outlineLevel="0" collapsed="false">
      <c r="A41" s="2561" t="str">
        <f aca="false">дома!A205</f>
        <v>Стойка каркаса по фронтону, левая сторона 23</v>
      </c>
      <c r="B41" s="2562" t="str">
        <f aca="false">дома!B205</f>
        <v>м.п.</v>
      </c>
      <c r="C41" s="2563" t="n">
        <f aca="false">дома!C205</f>
        <v>0.15</v>
      </c>
      <c r="D41" s="2563" t="n">
        <f aca="false">дома!D205</f>
        <v>0.05</v>
      </c>
      <c r="E41" s="2563" t="n">
        <f aca="false">дома!E205</f>
        <v>0</v>
      </c>
      <c r="F41" s="2563" t="n">
        <f aca="false">дома!F205</f>
        <v>0</v>
      </c>
      <c r="G41" s="2563" t="n">
        <f aca="false">E41*F41*IF('Ввод данных'!$A$8=связи1!$A$150,1,0)</f>
        <v>0</v>
      </c>
      <c r="H41" s="2563" t="n">
        <f aca="false">дома!G178*IF('Ввод данных'!$A$8=связи1!$A$150,1,0)</f>
        <v>0</v>
      </c>
    </row>
    <row r="42" customFormat="false" ht="14.5" hidden="false" customHeight="false" outlineLevel="0" collapsed="false">
      <c r="A42" s="2561" t="str">
        <f aca="false">дома!A206</f>
        <v>Стойка каркаса по фронтону, левая сторона 24</v>
      </c>
      <c r="B42" s="2562" t="str">
        <f aca="false">дома!B206</f>
        <v>м.п.</v>
      </c>
      <c r="C42" s="2563" t="n">
        <f aca="false">дома!C206</f>
        <v>0.15</v>
      </c>
      <c r="D42" s="2563" t="n">
        <f aca="false">дома!D206</f>
        <v>0.05</v>
      </c>
      <c r="E42" s="2563" t="n">
        <f aca="false">дома!E206</f>
        <v>0</v>
      </c>
      <c r="F42" s="2563" t="n">
        <f aca="false">дома!F206</f>
        <v>0</v>
      </c>
      <c r="G42" s="2563" t="n">
        <f aca="false">E42*F42*IF('Ввод данных'!$A$8=связи1!$A$150,1,0)</f>
        <v>0</v>
      </c>
      <c r="H42" s="2563" t="n">
        <f aca="false">дома!G179*IF('Ввод данных'!$A$8=связи1!$A$150,1,0)</f>
        <v>0</v>
      </c>
    </row>
    <row r="43" customFormat="false" ht="14.5" hidden="false" customHeight="false" outlineLevel="0" collapsed="false">
      <c r="A43" s="2561" t="str">
        <f aca="false">дома!A207</f>
        <v>Стойка каркаса по фронтону, левая сторона 25</v>
      </c>
      <c r="B43" s="2562" t="str">
        <f aca="false">дома!B207</f>
        <v>м.п.</v>
      </c>
      <c r="C43" s="2563" t="n">
        <f aca="false">дома!C207</f>
        <v>0.15</v>
      </c>
      <c r="D43" s="2563" t="n">
        <f aca="false">дома!D207</f>
        <v>0.05</v>
      </c>
      <c r="E43" s="2563" t="n">
        <f aca="false">дома!E207</f>
        <v>0</v>
      </c>
      <c r="F43" s="2563" t="n">
        <f aca="false">дома!F207</f>
        <v>0</v>
      </c>
      <c r="G43" s="2563" t="n">
        <f aca="false">E43*F43*IF('Ввод данных'!$A$8=связи1!$A$150,1,0)</f>
        <v>0</v>
      </c>
      <c r="H43" s="2563" t="n">
        <f aca="false">дома!G180*IF('Ввод данных'!$A$8=связи1!$A$150,1,0)</f>
        <v>0</v>
      </c>
    </row>
    <row r="44" customFormat="false" ht="14.5" hidden="false" customHeight="false" outlineLevel="0" collapsed="false">
      <c r="A44" s="2561" t="str">
        <f aca="false">дома!A208</f>
        <v>Стойка каркаса по фронтону, левая сторона 26</v>
      </c>
      <c r="B44" s="2562" t="str">
        <f aca="false">дома!B208</f>
        <v>м.п.</v>
      </c>
      <c r="C44" s="2563" t="n">
        <f aca="false">дома!C208</f>
        <v>0.15</v>
      </c>
      <c r="D44" s="2563" t="n">
        <f aca="false">дома!D208</f>
        <v>0.05</v>
      </c>
      <c r="E44" s="2563" t="n">
        <f aca="false">дома!E208</f>
        <v>0</v>
      </c>
      <c r="F44" s="2563" t="n">
        <f aca="false">дома!F208</f>
        <v>0</v>
      </c>
      <c r="G44" s="2563" t="n">
        <f aca="false">E44*F44*IF('Ввод данных'!$A$8=связи1!$A$150,1,0)</f>
        <v>0</v>
      </c>
      <c r="H44" s="2563" t="n">
        <f aca="false">дома!G181*IF('Ввод данных'!$A$8=связи1!$A$150,1,0)</f>
        <v>0</v>
      </c>
    </row>
    <row r="45" customFormat="false" ht="14.5" hidden="false" customHeight="false" outlineLevel="0" collapsed="false">
      <c r="A45" s="2561" t="str">
        <f aca="false">дома!A209</f>
        <v>Стойка каркаса по фронтону, левая сторона 27</v>
      </c>
      <c r="B45" s="2562" t="str">
        <f aca="false">дома!B209</f>
        <v>м.п.</v>
      </c>
      <c r="C45" s="2563" t="n">
        <f aca="false">дома!C209</f>
        <v>0.15</v>
      </c>
      <c r="D45" s="2563" t="n">
        <f aca="false">дома!D209</f>
        <v>0.05</v>
      </c>
      <c r="E45" s="2563" t="n">
        <f aca="false">дома!E209</f>
        <v>0</v>
      </c>
      <c r="F45" s="2563" t="n">
        <f aca="false">дома!F209</f>
        <v>0</v>
      </c>
      <c r="G45" s="2563" t="n">
        <f aca="false">E45*F45*IF('Ввод данных'!$A$8=связи1!$A$150,1,0)</f>
        <v>0</v>
      </c>
      <c r="H45" s="2563" t="n">
        <f aca="false">дома!G182*IF('Ввод данных'!$A$8=связи1!$A$150,1,0)</f>
        <v>0</v>
      </c>
    </row>
    <row r="46" customFormat="false" ht="14.5" hidden="false" customHeight="false" outlineLevel="0" collapsed="false">
      <c r="A46" s="2561" t="str">
        <f aca="false">дома!A210</f>
        <v>Стойка каркаса по фронтону, левая сторона 28</v>
      </c>
      <c r="B46" s="2562" t="str">
        <f aca="false">дома!B210</f>
        <v>м.п.</v>
      </c>
      <c r="C46" s="2563" t="n">
        <f aca="false">дома!C210</f>
        <v>0.15</v>
      </c>
      <c r="D46" s="2563" t="n">
        <f aca="false">дома!D210</f>
        <v>0.05</v>
      </c>
      <c r="E46" s="2563" t="n">
        <f aca="false">дома!E210</f>
        <v>0</v>
      </c>
      <c r="F46" s="2563" t="n">
        <f aca="false">дома!F210</f>
        <v>0</v>
      </c>
      <c r="G46" s="2563" t="n">
        <f aca="false">E46*F46*IF('Ввод данных'!$A$8=связи1!$A$150,1,0)</f>
        <v>0</v>
      </c>
      <c r="H46" s="2563" t="n">
        <f aca="false">дома!G183*IF('Ввод данных'!$A$8=связи1!$A$150,1,0)</f>
        <v>0</v>
      </c>
    </row>
    <row r="47" customFormat="false" ht="14.5" hidden="false" customHeight="false" outlineLevel="0" collapsed="false">
      <c r="A47" s="2561" t="str">
        <f aca="false">дома!A211</f>
        <v>Стойка каркаса по фронтону, левая сторона 29</v>
      </c>
      <c r="B47" s="2562" t="str">
        <f aca="false">дома!B211</f>
        <v>м.п.</v>
      </c>
      <c r="C47" s="2563" t="n">
        <f aca="false">дома!C211</f>
        <v>0.15</v>
      </c>
      <c r="D47" s="2563" t="n">
        <f aca="false">дома!D211</f>
        <v>0.05</v>
      </c>
      <c r="E47" s="2563" t="n">
        <f aca="false">дома!E211</f>
        <v>0</v>
      </c>
      <c r="F47" s="2563" t="n">
        <f aca="false">дома!F211</f>
        <v>0</v>
      </c>
      <c r="G47" s="2563" t="n">
        <f aca="false">E47*F47*IF('Ввод данных'!$A$8=связи1!$A$150,1,0)</f>
        <v>0</v>
      </c>
      <c r="H47" s="2563" t="n">
        <f aca="false">дома!G184*IF('Ввод данных'!$A$8=связи1!$A$150,1,0)</f>
        <v>0</v>
      </c>
    </row>
    <row r="48" customFormat="false" ht="14.5" hidden="false" customHeight="false" outlineLevel="0" collapsed="false">
      <c r="A48" s="2561" t="str">
        <f aca="false">дома!A212</f>
        <v>Стойка каркаса по фронтону, левая сторона 30</v>
      </c>
      <c r="B48" s="2562" t="str">
        <f aca="false">дома!B212</f>
        <v>м.п.</v>
      </c>
      <c r="C48" s="2563" t="n">
        <f aca="false">дома!C212</f>
        <v>0.15</v>
      </c>
      <c r="D48" s="2563" t="n">
        <f aca="false">дома!D212</f>
        <v>0.05</v>
      </c>
      <c r="E48" s="2563" t="n">
        <f aca="false">дома!E212</f>
        <v>0</v>
      </c>
      <c r="F48" s="2563" t="n">
        <f aca="false">дома!F212</f>
        <v>0</v>
      </c>
      <c r="G48" s="2563" t="n">
        <f aca="false">E48*F48*IF('Ввод данных'!$A$8=связи1!$A$150,1,0)</f>
        <v>0</v>
      </c>
      <c r="H48" s="2563" t="n">
        <f aca="false">дома!G185*IF('Ввод данных'!$A$8=связи1!$A$150,1,0)</f>
        <v>0</v>
      </c>
    </row>
    <row r="49" customFormat="false" ht="14.5" hidden="false" customHeight="false" outlineLevel="0" collapsed="false">
      <c r="A49" s="2561" t="str">
        <f aca="false">дома!A213</f>
        <v>Стойка каркаса по фронтону, левая сторона 31</v>
      </c>
      <c r="B49" s="2562" t="str">
        <f aca="false">дома!B213</f>
        <v>м.п.</v>
      </c>
      <c r="C49" s="2563" t="n">
        <f aca="false">дома!C213</f>
        <v>0.15</v>
      </c>
      <c r="D49" s="2563" t="n">
        <f aca="false">дома!D213</f>
        <v>0.05</v>
      </c>
      <c r="E49" s="2563" t="n">
        <f aca="false">дома!E213</f>
        <v>0</v>
      </c>
      <c r="F49" s="2563" t="n">
        <f aca="false">дома!F213</f>
        <v>0</v>
      </c>
      <c r="G49" s="2563" t="n">
        <f aca="false">E49*F49*IF('Ввод данных'!$A$8=связи1!$A$150,1,0)</f>
        <v>0</v>
      </c>
      <c r="H49" s="2563" t="n">
        <f aca="false">дома!G186*IF('Ввод данных'!$A$8=связи1!$A$150,1,0)</f>
        <v>0</v>
      </c>
    </row>
    <row r="50" customFormat="false" ht="14.5" hidden="false" customHeight="false" outlineLevel="0" collapsed="false">
      <c r="A50" s="2561" t="str">
        <f aca="false">дома!A214</f>
        <v>Обвязка каркаса фронтона верхняя</v>
      </c>
      <c r="B50" s="2562" t="str">
        <f aca="false">дома!B214</f>
        <v>м.п.</v>
      </c>
      <c r="C50" s="2563" t="n">
        <f aca="false">дома!C214</f>
        <v>0.15</v>
      </c>
      <c r="D50" s="2563" t="n">
        <f aca="false">дома!D214</f>
        <v>0.05</v>
      </c>
      <c r="E50" s="2563" t="n">
        <f aca="false">дома!E214</f>
        <v>7.42462120245875</v>
      </c>
      <c r="F50" s="2563" t="n">
        <f aca="false">дома!F214</f>
        <v>0</v>
      </c>
      <c r="G50" s="2563" t="n">
        <f aca="false">E50*F50*IF('Ввод данных'!$A$8=связи1!$A$150,1,0)</f>
        <v>0</v>
      </c>
      <c r="H50" s="2563" t="n">
        <f aca="false">дома!G187*IF('Ввод данных'!$A$8=связи1!$A$150,1,0)</f>
        <v>0</v>
      </c>
    </row>
    <row r="51" customFormat="false" ht="14.5" hidden="false" customHeight="false" outlineLevel="0" collapsed="false">
      <c r="A51" s="2561" t="str">
        <f aca="false">дома!A215</f>
        <v>Обвязка каркаса фронтона нижняя</v>
      </c>
      <c r="B51" s="2562" t="str">
        <f aca="false">дома!B215</f>
        <v>м.п.</v>
      </c>
      <c r="C51" s="2563" t="n">
        <f aca="false">дома!C215</f>
        <v>0.15</v>
      </c>
      <c r="D51" s="2563" t="n">
        <f aca="false">дома!D215</f>
        <v>0.05</v>
      </c>
      <c r="E51" s="2563" t="n">
        <f aca="false">дома!E215</f>
        <v>5</v>
      </c>
      <c r="F51" s="2563" t="n">
        <f aca="false">дома!F215</f>
        <v>0</v>
      </c>
      <c r="G51" s="2563" t="n">
        <f aca="false">E51*F51*IF('Ввод данных'!$A$8=связи1!$A$150,1,0)</f>
        <v>0</v>
      </c>
      <c r="H51" s="2563" t="n">
        <f aca="false">дома!G188*IF('Ввод данных'!$A$8=связи1!$A$150,1,0)</f>
        <v>0</v>
      </c>
    </row>
    <row r="52" customFormat="false" ht="14.5" hidden="false" customHeight="false" outlineLevel="0" collapsed="false">
      <c r="A52" s="2561" t="str">
        <f aca="false">дома!A216</f>
        <v>Ригель каркаса фронтона</v>
      </c>
      <c r="B52" s="2562" t="str">
        <f aca="false">дома!B216</f>
        <v>м.п.</v>
      </c>
      <c r="C52" s="2563" t="n">
        <f aca="false">дома!C216</f>
        <v>0.15</v>
      </c>
      <c r="D52" s="2563" t="n">
        <f aca="false">дома!D216</f>
        <v>0.05</v>
      </c>
      <c r="E52" s="2563" t="n">
        <f aca="false">дома!E216</f>
        <v>7.42462120245875</v>
      </c>
      <c r="F52" s="2563" t="n">
        <f aca="false">дома!F216</f>
        <v>0</v>
      </c>
      <c r="G52" s="2563" t="n">
        <f aca="false">E52*F52*IF('Ввод данных'!$A$8=связи1!$A$150,1,0)</f>
        <v>0</v>
      </c>
      <c r="H52" s="2563" t="n">
        <f aca="false">дома!G189*IF('Ввод данных'!$A$8=связи1!$A$150,1,0)</f>
        <v>0</v>
      </c>
    </row>
    <row r="53" customFormat="false" ht="14.5" hidden="false" customHeight="false" outlineLevel="0" collapsed="false">
      <c r="A53" s="2561" t="str">
        <f aca="false">дома!A217</f>
        <v>Стойка каркаса по фронтону правая сторона 32</v>
      </c>
      <c r="B53" s="2562" t="str">
        <f aca="false">дома!B217</f>
        <v>м.п.</v>
      </c>
      <c r="C53" s="2563" t="n">
        <f aca="false">дома!C217</f>
        <v>0.15</v>
      </c>
      <c r="D53" s="2563" t="n">
        <f aca="false">дома!D217</f>
        <v>0.05</v>
      </c>
      <c r="E53" s="2563" t="n">
        <f aca="false">дома!E217</f>
        <v>8.1</v>
      </c>
      <c r="F53" s="2563" t="n">
        <f aca="false">дома!F217</f>
        <v>0</v>
      </c>
      <c r="G53" s="2563" t="n">
        <f aca="false">E53*F53*IF('Ввод данных'!$A$8=связи1!$A$150,1,0)</f>
        <v>0</v>
      </c>
      <c r="H53" s="2563" t="n">
        <f aca="false">дома!G190*IF('Ввод данных'!$A$8=связи1!$A$150,1,0)</f>
        <v>0</v>
      </c>
    </row>
    <row r="54" customFormat="false" ht="14.5" hidden="false" customHeight="false" outlineLevel="0" collapsed="false">
      <c r="A54" s="2561" t="str">
        <f aca="false">дома!A218</f>
        <v>Стойка каркаса по фронтону правая сторона 33</v>
      </c>
      <c r="B54" s="2562" t="str">
        <f aca="false">дома!B218</f>
        <v>м.п.</v>
      </c>
      <c r="C54" s="2563" t="n">
        <f aca="false">дома!C218</f>
        <v>0.15</v>
      </c>
      <c r="D54" s="2563" t="n">
        <f aca="false">дома!D218</f>
        <v>0.05</v>
      </c>
      <c r="E54" s="2563" t="n">
        <f aca="false">дома!E218</f>
        <v>7.26111111111111</v>
      </c>
      <c r="F54" s="2563" t="n">
        <f aca="false">дома!F218</f>
        <v>0</v>
      </c>
      <c r="G54" s="2563" t="n">
        <f aca="false">E54*F54*IF('Ввод данных'!$A$8=связи1!$A$150,1,0)</f>
        <v>0</v>
      </c>
      <c r="H54" s="2563" t="n">
        <f aca="false">дома!G191*IF('Ввод данных'!$A$8=связи1!$A$150,1,0)</f>
        <v>0</v>
      </c>
    </row>
    <row r="55" customFormat="false" ht="14.5" hidden="false" customHeight="false" outlineLevel="0" collapsed="false">
      <c r="A55" s="2561" t="str">
        <f aca="false">дома!A219</f>
        <v>Стойка каркаса по фронтону правая сторона 34</v>
      </c>
      <c r="B55" s="2562" t="str">
        <f aca="false">дома!B219</f>
        <v>м.п.</v>
      </c>
      <c r="C55" s="2563" t="n">
        <f aca="false">дома!C219</f>
        <v>0.15</v>
      </c>
      <c r="D55" s="2563" t="n">
        <f aca="false">дома!D219</f>
        <v>0.05</v>
      </c>
      <c r="E55" s="2563" t="n">
        <f aca="false">дома!E219</f>
        <v>6.42222222222222</v>
      </c>
      <c r="F55" s="2563" t="n">
        <f aca="false">дома!F219</f>
        <v>0</v>
      </c>
      <c r="G55" s="2563" t="n">
        <f aca="false">E55*F55*IF('Ввод данных'!$A$8=связи1!$A$150,1,0)</f>
        <v>0</v>
      </c>
      <c r="H55" s="2563" t="n">
        <f aca="false">дома!G192*IF('Ввод данных'!$A$8=связи1!$A$150,1,0)</f>
        <v>0</v>
      </c>
    </row>
    <row r="56" customFormat="false" ht="14.5" hidden="false" customHeight="false" outlineLevel="0" collapsed="false">
      <c r="A56" s="2561" t="str">
        <f aca="false">дома!A220</f>
        <v>Стойка каркаса по фронтону правая сторона 35</v>
      </c>
      <c r="B56" s="2562" t="str">
        <f aca="false">дома!B220</f>
        <v>м.п.</v>
      </c>
      <c r="C56" s="2563" t="n">
        <f aca="false">дома!C220</f>
        <v>0.15</v>
      </c>
      <c r="D56" s="2563" t="n">
        <f aca="false">дома!D220</f>
        <v>0.05</v>
      </c>
      <c r="E56" s="2563" t="n">
        <f aca="false">дома!E220</f>
        <v>5.58333333333333</v>
      </c>
      <c r="F56" s="2563" t="n">
        <f aca="false">дома!F220</f>
        <v>0</v>
      </c>
      <c r="G56" s="2563" t="n">
        <f aca="false">E56*F56*IF('Ввод данных'!$A$8=связи1!$A$150,1,0)</f>
        <v>0</v>
      </c>
      <c r="H56" s="2563" t="n">
        <f aca="false">дома!G193*IF('Ввод данных'!$A$8=связи1!$A$150,1,0)</f>
        <v>0</v>
      </c>
    </row>
    <row r="57" customFormat="false" ht="14.5" hidden="false" customHeight="false" outlineLevel="0" collapsed="false">
      <c r="A57" s="2561" t="str">
        <f aca="false">дома!A221</f>
        <v>Стойка каркаса по фронтону правая сторона 36</v>
      </c>
      <c r="B57" s="2562" t="str">
        <f aca="false">дома!B221</f>
        <v>м.п.</v>
      </c>
      <c r="C57" s="2563" t="n">
        <f aca="false">дома!C221</f>
        <v>0.15</v>
      </c>
      <c r="D57" s="2563" t="n">
        <f aca="false">дома!D221</f>
        <v>0.05</v>
      </c>
      <c r="E57" s="2563" t="n">
        <f aca="false">дома!E221</f>
        <v>4.74444444444445</v>
      </c>
      <c r="F57" s="2563" t="n">
        <f aca="false">дома!F221</f>
        <v>0</v>
      </c>
      <c r="G57" s="2563" t="n">
        <f aca="false">E57*F57*IF('Ввод данных'!$A$8=связи1!$A$150,1,0)</f>
        <v>0</v>
      </c>
      <c r="H57" s="2563" t="n">
        <f aca="false">дома!G194*IF('Ввод данных'!$A$8=связи1!$A$150,1,0)</f>
        <v>0</v>
      </c>
    </row>
    <row r="58" customFormat="false" ht="14.5" hidden="false" customHeight="false" outlineLevel="0" collapsed="false">
      <c r="A58" s="2561" t="str">
        <f aca="false">дома!A222</f>
        <v>Стойка каркаса по фронтону правая сторона 37</v>
      </c>
      <c r="B58" s="2562" t="str">
        <f aca="false">дома!B222</f>
        <v>м.п.</v>
      </c>
      <c r="C58" s="2563" t="n">
        <f aca="false">дома!C222</f>
        <v>0.15</v>
      </c>
      <c r="D58" s="2563" t="n">
        <f aca="false">дома!D222</f>
        <v>0.05</v>
      </c>
      <c r="E58" s="2563" t="n">
        <f aca="false">дома!E222</f>
        <v>3.90555555555556</v>
      </c>
      <c r="F58" s="2563" t="n">
        <f aca="false">дома!F222</f>
        <v>0</v>
      </c>
      <c r="G58" s="2563" t="n">
        <f aca="false">E58*F58*IF('Ввод данных'!$A$8=связи1!$A$150,1,0)</f>
        <v>0</v>
      </c>
      <c r="H58" s="2563" t="n">
        <f aca="false">дома!G195*IF('Ввод данных'!$A$8=связи1!$A$150,1,0)</f>
        <v>0</v>
      </c>
    </row>
    <row r="59" customFormat="false" ht="14.5" hidden="false" customHeight="false" outlineLevel="0" collapsed="false">
      <c r="A59" s="2561" t="str">
        <f aca="false">дома!A223</f>
        <v>Стойка каркаса по фронтону правая сторона 38</v>
      </c>
      <c r="B59" s="2562" t="str">
        <f aca="false">дома!B223</f>
        <v>м.п.</v>
      </c>
      <c r="C59" s="2563" t="n">
        <f aca="false">дома!C223</f>
        <v>0.15</v>
      </c>
      <c r="D59" s="2563" t="n">
        <f aca="false">дома!D223</f>
        <v>0.05</v>
      </c>
      <c r="E59" s="2563" t="n">
        <f aca="false">дома!E223</f>
        <v>3.06666666666667</v>
      </c>
      <c r="F59" s="2563" t="n">
        <f aca="false">дома!F223</f>
        <v>0</v>
      </c>
      <c r="G59" s="2563" t="n">
        <f aca="false">E59*F59*IF('Ввод данных'!$A$8=связи1!$A$150,1,0)</f>
        <v>0</v>
      </c>
      <c r="H59" s="2563" t="n">
        <f aca="false">дома!G196*IF('Ввод данных'!$A$8=связи1!$A$150,1,0)</f>
        <v>0</v>
      </c>
    </row>
    <row r="60" customFormat="false" ht="14.5" hidden="false" customHeight="false" outlineLevel="0" collapsed="false">
      <c r="A60" s="2561" t="str">
        <f aca="false">дома!A224</f>
        <v>Стойка каркаса по фронтону правая сторона 39</v>
      </c>
      <c r="B60" s="2562" t="str">
        <f aca="false">дома!B224</f>
        <v>м.п.</v>
      </c>
      <c r="C60" s="2563" t="n">
        <f aca="false">дома!C224</f>
        <v>0.15</v>
      </c>
      <c r="D60" s="2563" t="n">
        <f aca="false">дома!D224</f>
        <v>0.05</v>
      </c>
      <c r="E60" s="2563" t="n">
        <f aca="false">дома!E224</f>
        <v>2.22777777777778</v>
      </c>
      <c r="F60" s="2563" t="n">
        <f aca="false">дома!F224</f>
        <v>0</v>
      </c>
      <c r="G60" s="2563" t="n">
        <f aca="false">E60*F60*IF('Ввод данных'!$A$8=связи1!$A$150,1,0)</f>
        <v>0</v>
      </c>
      <c r="H60" s="2563" t="n">
        <f aca="false">дома!G197*IF('Ввод данных'!$A$8=связи1!$A$150,1,0)</f>
        <v>0</v>
      </c>
    </row>
    <row r="61" customFormat="false" ht="14.5" hidden="false" customHeight="false" outlineLevel="0" collapsed="false">
      <c r="A61" s="2561" t="str">
        <f aca="false">дома!A225</f>
        <v>Стойка каркаса по фронтону правая сторона 40</v>
      </c>
      <c r="B61" s="2562" t="str">
        <f aca="false">дома!B225</f>
        <v>м.п.</v>
      </c>
      <c r="C61" s="2563" t="n">
        <f aca="false">дома!C225</f>
        <v>0.15</v>
      </c>
      <c r="D61" s="2563" t="n">
        <f aca="false">дома!D225</f>
        <v>0.05</v>
      </c>
      <c r="E61" s="2563" t="n">
        <f aca="false">дома!E225</f>
        <v>1.38888888888889</v>
      </c>
      <c r="F61" s="2563" t="n">
        <f aca="false">дома!F225</f>
        <v>0</v>
      </c>
      <c r="G61" s="2563" t="n">
        <f aca="false">E61*F61*IF('Ввод данных'!$A$8=связи1!$A$150,1,0)</f>
        <v>0</v>
      </c>
      <c r="H61" s="2563" t="n">
        <f aca="false">дома!G198*IF('Ввод данных'!$A$8=связи1!$A$150,1,0)</f>
        <v>0</v>
      </c>
    </row>
    <row r="62" customFormat="false" ht="14.5" hidden="false" customHeight="false" outlineLevel="0" collapsed="false">
      <c r="A62" s="2561" t="str">
        <f aca="false">дома!A226</f>
        <v>Стойка каркаса по фронтону правая сторона 41</v>
      </c>
      <c r="B62" s="2562" t="str">
        <f aca="false">дома!B226</f>
        <v>м.п.</v>
      </c>
      <c r="C62" s="2563" t="n">
        <f aca="false">дома!C226</f>
        <v>0.15</v>
      </c>
      <c r="D62" s="2563" t="n">
        <f aca="false">дома!D226</f>
        <v>0.05</v>
      </c>
      <c r="E62" s="2563" t="n">
        <f aca="false">дома!E226</f>
        <v>0.55</v>
      </c>
      <c r="F62" s="2563" t="n">
        <f aca="false">дома!F226</f>
        <v>0</v>
      </c>
      <c r="G62" s="2563" t="n">
        <f aca="false">E62*F62*IF('Ввод данных'!$A$8=связи1!$A$150,1,0)</f>
        <v>0</v>
      </c>
      <c r="H62" s="2563" t="n">
        <f aca="false">дома!G199*IF('Ввод данных'!$A$8=связи1!$A$150,1,0)</f>
        <v>0</v>
      </c>
    </row>
    <row r="63" customFormat="false" ht="14.5" hidden="false" customHeight="false" outlineLevel="0" collapsed="false">
      <c r="A63" s="2561" t="str">
        <f aca="false">дома!A227</f>
        <v>Стойка каркаса по фронтону правая сторона 42</v>
      </c>
      <c r="B63" s="2562" t="str">
        <f aca="false">дома!B227</f>
        <v>м.п.</v>
      </c>
      <c r="C63" s="2563" t="n">
        <f aca="false">дома!C227</f>
        <v>0.15</v>
      </c>
      <c r="D63" s="2563" t="n">
        <f aca="false">дома!D227</f>
        <v>0.05</v>
      </c>
      <c r="E63" s="2563" t="n">
        <f aca="false">дома!E227</f>
        <v>0</v>
      </c>
      <c r="F63" s="2563" t="n">
        <f aca="false">дома!F227</f>
        <v>0</v>
      </c>
      <c r="G63" s="2563" t="n">
        <f aca="false">E63*F63*IF('Ввод данных'!$A$8=связи1!$A$150,1,0)</f>
        <v>0</v>
      </c>
      <c r="H63" s="2563" t="n">
        <f aca="false">дома!G200*IF('Ввод данных'!$A$8=связи1!$A$150,1,0)</f>
        <v>0</v>
      </c>
    </row>
    <row r="64" customFormat="false" ht="14.5" hidden="false" customHeight="false" outlineLevel="0" collapsed="false">
      <c r="A64" s="2561" t="str">
        <f aca="false">дома!A228</f>
        <v>Стойка каркаса по фронтону правая сторона 43</v>
      </c>
      <c r="B64" s="2562" t="str">
        <f aca="false">дома!B228</f>
        <v>м.п.</v>
      </c>
      <c r="C64" s="2563" t="n">
        <f aca="false">дома!C228</f>
        <v>0.15</v>
      </c>
      <c r="D64" s="2563" t="n">
        <f aca="false">дома!D228</f>
        <v>0.05</v>
      </c>
      <c r="E64" s="2563" t="n">
        <f aca="false">дома!E228</f>
        <v>0</v>
      </c>
      <c r="F64" s="2563" t="n">
        <f aca="false">дома!F228</f>
        <v>0</v>
      </c>
      <c r="G64" s="2563" t="n">
        <f aca="false">E64*F64*IF('Ввод данных'!$A$8=связи1!$A$150,1,0)</f>
        <v>0</v>
      </c>
      <c r="H64" s="2563" t="n">
        <f aca="false">дома!G201*IF('Ввод данных'!$A$8=связи1!$A$150,1,0)</f>
        <v>0</v>
      </c>
    </row>
    <row r="65" customFormat="false" ht="14.5" hidden="false" customHeight="false" outlineLevel="0" collapsed="false">
      <c r="A65" s="2561" t="str">
        <f aca="false">дома!A229</f>
        <v>Стойка каркаса по фронтону правая сторона 44</v>
      </c>
      <c r="B65" s="2562" t="str">
        <f aca="false">дома!B229</f>
        <v>м.п.</v>
      </c>
      <c r="C65" s="2563" t="n">
        <f aca="false">дома!C229</f>
        <v>0.15</v>
      </c>
      <c r="D65" s="2563" t="n">
        <f aca="false">дома!D229</f>
        <v>0.05</v>
      </c>
      <c r="E65" s="2563" t="n">
        <f aca="false">дома!E229</f>
        <v>0</v>
      </c>
      <c r="F65" s="2563" t="n">
        <f aca="false">дома!F229</f>
        <v>0</v>
      </c>
      <c r="G65" s="2563" t="n">
        <f aca="false">E65*F65*IF('Ввод данных'!$A$8=связи1!$A$150,1,0)</f>
        <v>0</v>
      </c>
      <c r="H65" s="2563" t="n">
        <f aca="false">дома!G202*IF('Ввод данных'!$A$8=связи1!$A$150,1,0)</f>
        <v>0</v>
      </c>
    </row>
    <row r="66" customFormat="false" ht="14.5" hidden="false" customHeight="false" outlineLevel="0" collapsed="false">
      <c r="A66" s="2561" t="str">
        <f aca="false">дома!A230</f>
        <v>Стойка каркаса по фронтону правая сторона 45</v>
      </c>
      <c r="B66" s="2562" t="str">
        <f aca="false">дома!B230</f>
        <v>м.п.</v>
      </c>
      <c r="C66" s="2563" t="n">
        <f aca="false">дома!C230</f>
        <v>0.15</v>
      </c>
      <c r="D66" s="2563" t="n">
        <f aca="false">дома!D230</f>
        <v>0.05</v>
      </c>
      <c r="E66" s="2563" t="n">
        <f aca="false">дома!E230</f>
        <v>0</v>
      </c>
      <c r="F66" s="2563" t="n">
        <f aca="false">дома!F230</f>
        <v>0</v>
      </c>
      <c r="G66" s="2563" t="n">
        <f aca="false">E66*F66*IF('Ввод данных'!$A$8=связи1!$A$150,1,0)</f>
        <v>0</v>
      </c>
      <c r="H66" s="2563" t="n">
        <f aca="false">дома!G203*IF('Ввод данных'!$A$8=связи1!$A$150,1,0)</f>
        <v>0</v>
      </c>
    </row>
    <row r="67" customFormat="false" ht="14.5" hidden="false" customHeight="false" outlineLevel="0" collapsed="false">
      <c r="A67" s="2561" t="str">
        <f aca="false">дома!A231</f>
        <v>Стойка каркаса по фронтону правая сторона 46</v>
      </c>
      <c r="B67" s="2562" t="str">
        <f aca="false">дома!B231</f>
        <v>м.п.</v>
      </c>
      <c r="C67" s="2563" t="n">
        <f aca="false">дома!C231</f>
        <v>0.15</v>
      </c>
      <c r="D67" s="2563" t="n">
        <f aca="false">дома!D231</f>
        <v>0.05</v>
      </c>
      <c r="E67" s="2563" t="n">
        <f aca="false">дома!E231</f>
        <v>0</v>
      </c>
      <c r="F67" s="2563" t="n">
        <f aca="false">дома!F231</f>
        <v>0</v>
      </c>
      <c r="G67" s="2563" t="n">
        <f aca="false">E67*F67*IF('Ввод данных'!$A$8=связи1!$A$150,1,0)</f>
        <v>0</v>
      </c>
      <c r="H67" s="2563" t="n">
        <f aca="false">дома!G204*IF('Ввод данных'!$A$8=связи1!$A$150,1,0)</f>
        <v>0</v>
      </c>
    </row>
    <row r="68" customFormat="false" ht="14.5" hidden="false" customHeight="false" outlineLevel="0" collapsed="false">
      <c r="A68" s="2561" t="str">
        <f aca="false">дома!A232</f>
        <v>Стойка каркаса по фронтону правая сторона 47</v>
      </c>
      <c r="B68" s="2562" t="str">
        <f aca="false">дома!B232</f>
        <v>м.п.</v>
      </c>
      <c r="C68" s="2563" t="n">
        <f aca="false">дома!C232</f>
        <v>0.15</v>
      </c>
      <c r="D68" s="2563" t="n">
        <f aca="false">дома!D232</f>
        <v>0.05</v>
      </c>
      <c r="E68" s="2563" t="n">
        <f aca="false">дома!E232</f>
        <v>0</v>
      </c>
      <c r="F68" s="2563" t="n">
        <f aca="false">дома!F232</f>
        <v>0</v>
      </c>
      <c r="G68" s="2563" t="n">
        <f aca="false">E68*F68*IF('Ввод данных'!$A$8=связи1!$A$150,1,0)</f>
        <v>0</v>
      </c>
      <c r="H68" s="2563" t="n">
        <f aca="false">дома!G205*IF('Ввод данных'!$A$8=связи1!$A$150,1,0)</f>
        <v>0</v>
      </c>
    </row>
    <row r="69" customFormat="false" ht="14.5" hidden="false" customHeight="false" outlineLevel="0" collapsed="false">
      <c r="A69" s="2561" t="str">
        <f aca="false">дома!A233</f>
        <v>Стойка каркаса по фронтону правая сторона 48</v>
      </c>
      <c r="B69" s="2562" t="str">
        <f aca="false">дома!B233</f>
        <v>м.п.</v>
      </c>
      <c r="C69" s="2563" t="n">
        <f aca="false">дома!C233</f>
        <v>0.15</v>
      </c>
      <c r="D69" s="2563" t="n">
        <f aca="false">дома!D233</f>
        <v>0.05</v>
      </c>
      <c r="E69" s="2563" t="n">
        <f aca="false">дома!E233</f>
        <v>0</v>
      </c>
      <c r="F69" s="2563" t="n">
        <f aca="false">дома!F233</f>
        <v>0</v>
      </c>
      <c r="G69" s="2563" t="n">
        <f aca="false">E69*F69*IF('Ввод данных'!$A$8=связи1!$A$150,1,0)</f>
        <v>0</v>
      </c>
      <c r="H69" s="2563" t="n">
        <f aca="false">дома!G206*IF('Ввод данных'!$A$8=связи1!$A$150,1,0)</f>
        <v>0</v>
      </c>
    </row>
    <row r="70" customFormat="false" ht="14.5" hidden="false" customHeight="false" outlineLevel="0" collapsed="false">
      <c r="A70" s="2561" t="str">
        <f aca="false">дома!A234</f>
        <v>Стойка каркаса по фронтону правая сторона 49</v>
      </c>
      <c r="B70" s="2562" t="str">
        <f aca="false">дома!B234</f>
        <v>м.п.</v>
      </c>
      <c r="C70" s="2563" t="n">
        <f aca="false">дома!C234</f>
        <v>0.15</v>
      </c>
      <c r="D70" s="2563" t="n">
        <f aca="false">дома!D234</f>
        <v>0.05</v>
      </c>
      <c r="E70" s="2563" t="n">
        <f aca="false">дома!E234</f>
        <v>0</v>
      </c>
      <c r="F70" s="2563" t="n">
        <f aca="false">дома!F234</f>
        <v>0</v>
      </c>
      <c r="G70" s="2563" t="n">
        <f aca="false">E70*F70*IF('Ввод данных'!$A$8=связи1!$A$150,1,0)</f>
        <v>0</v>
      </c>
      <c r="H70" s="2563" t="n">
        <f aca="false">дома!G207*IF('Ввод данных'!$A$8=связи1!$A$150,1,0)</f>
        <v>0</v>
      </c>
    </row>
    <row r="71" customFormat="false" ht="14.5" hidden="false" customHeight="false" outlineLevel="0" collapsed="false">
      <c r="A71" s="2561" t="str">
        <f aca="false">дома!A235</f>
        <v>Стойка каркаса по фронтону правая сторона 50</v>
      </c>
      <c r="B71" s="2562" t="str">
        <f aca="false">дома!B235</f>
        <v>м.п.</v>
      </c>
      <c r="C71" s="2563" t="n">
        <f aca="false">дома!C235</f>
        <v>0.15</v>
      </c>
      <c r="D71" s="2563" t="n">
        <f aca="false">дома!D235</f>
        <v>0.05</v>
      </c>
      <c r="E71" s="2563" t="n">
        <f aca="false">дома!E235</f>
        <v>0</v>
      </c>
      <c r="F71" s="2563" t="n">
        <f aca="false">дома!F235</f>
        <v>0</v>
      </c>
      <c r="G71" s="2563" t="n">
        <f aca="false">E71*F71*IF('Ввод данных'!$A$8=связи1!$A$150,1,0)</f>
        <v>0</v>
      </c>
      <c r="H71" s="2563" t="n">
        <f aca="false">дома!G208*IF('Ввод данных'!$A$8=связи1!$A$150,1,0)</f>
        <v>0</v>
      </c>
    </row>
    <row r="72" customFormat="false" ht="14.5" hidden="false" customHeight="false" outlineLevel="0" collapsed="false">
      <c r="A72" s="2561" t="str">
        <f aca="false">дома!A236</f>
        <v>Стойка каркаса по фронтону правая сторона 51</v>
      </c>
      <c r="B72" s="2562" t="str">
        <f aca="false">дома!B236</f>
        <v>м.п.</v>
      </c>
      <c r="C72" s="2563" t="n">
        <f aca="false">дома!C236</f>
        <v>0.15</v>
      </c>
      <c r="D72" s="2563" t="n">
        <f aca="false">дома!D236</f>
        <v>0.05</v>
      </c>
      <c r="E72" s="2563" t="n">
        <f aca="false">дома!E236</f>
        <v>0</v>
      </c>
      <c r="F72" s="2563" t="n">
        <f aca="false">дома!F236</f>
        <v>0</v>
      </c>
      <c r="G72" s="2563" t="n">
        <f aca="false">E72*F72*IF('Ввод данных'!$A$8=связи1!$A$150,1,0)</f>
        <v>0</v>
      </c>
      <c r="H72" s="2563" t="n">
        <f aca="false">дома!G209*IF('Ввод данных'!$A$8=связи1!$A$150,1,0)</f>
        <v>0</v>
      </c>
    </row>
    <row r="73" customFormat="false" ht="14.5" hidden="false" customHeight="false" outlineLevel="0" collapsed="false">
      <c r="A73" s="2561" t="str">
        <f aca="false">дома!A237</f>
        <v>Стойка каркаса по фронтону правая сторона 52</v>
      </c>
      <c r="B73" s="2562" t="str">
        <f aca="false">дома!B237</f>
        <v>м.п.</v>
      </c>
      <c r="C73" s="2563" t="n">
        <f aca="false">дома!C237</f>
        <v>0.15</v>
      </c>
      <c r="D73" s="2563" t="n">
        <f aca="false">дома!D237</f>
        <v>0.05</v>
      </c>
      <c r="E73" s="2563" t="n">
        <f aca="false">дома!E237</f>
        <v>0</v>
      </c>
      <c r="F73" s="2563" t="n">
        <f aca="false">дома!F237</f>
        <v>0</v>
      </c>
      <c r="G73" s="2563" t="n">
        <f aca="false">E73*F73*IF('Ввод данных'!$A$8=связи1!$A$150,1,0)</f>
        <v>0</v>
      </c>
      <c r="H73" s="2563" t="n">
        <f aca="false">дома!G210*IF('Ввод данных'!$A$8=связи1!$A$150,1,0)</f>
        <v>0</v>
      </c>
    </row>
    <row r="74" customFormat="false" ht="14.5" hidden="false" customHeight="false" outlineLevel="0" collapsed="false">
      <c r="A74" s="2561" t="str">
        <f aca="false">дома!A238</f>
        <v>Стойка каркаса по фронтону правая сторона 53</v>
      </c>
      <c r="B74" s="2562" t="str">
        <f aca="false">дома!B238</f>
        <v>м.п.</v>
      </c>
      <c r="C74" s="2563" t="n">
        <f aca="false">дома!C238</f>
        <v>0.15</v>
      </c>
      <c r="D74" s="2563" t="n">
        <f aca="false">дома!D238</f>
        <v>0.05</v>
      </c>
      <c r="E74" s="2563" t="n">
        <f aca="false">дома!E238</f>
        <v>0</v>
      </c>
      <c r="F74" s="2563" t="n">
        <f aca="false">дома!F238</f>
        <v>0</v>
      </c>
      <c r="G74" s="2563" t="n">
        <f aca="false">E74*F74*IF('Ввод данных'!$A$8=связи1!$A$150,1,0)</f>
        <v>0</v>
      </c>
      <c r="H74" s="2563" t="n">
        <f aca="false">дома!G211*IF('Ввод данных'!$A$8=связи1!$A$150,1,0)</f>
        <v>0</v>
      </c>
    </row>
    <row r="75" customFormat="false" ht="14.5" hidden="false" customHeight="false" outlineLevel="0" collapsed="false">
      <c r="A75" s="2561" t="str">
        <f aca="false">дома!A239</f>
        <v>Стойка каркаса по фронтону правая сторона 54</v>
      </c>
      <c r="B75" s="2562" t="str">
        <f aca="false">дома!B239</f>
        <v>м.п.</v>
      </c>
      <c r="C75" s="2563" t="n">
        <f aca="false">дома!C239</f>
        <v>0.15</v>
      </c>
      <c r="D75" s="2563" t="n">
        <f aca="false">дома!D239</f>
        <v>0.05</v>
      </c>
      <c r="E75" s="2563" t="n">
        <f aca="false">дома!E239</f>
        <v>0</v>
      </c>
      <c r="F75" s="2563" t="n">
        <f aca="false">дома!F239</f>
        <v>0</v>
      </c>
      <c r="G75" s="2563" t="n">
        <f aca="false">E75*F75*IF('Ввод данных'!$A$8=связи1!$A$150,1,0)</f>
        <v>0</v>
      </c>
      <c r="H75" s="2563" t="n">
        <f aca="false">дома!G212*IF('Ввод данных'!$A$8=связи1!$A$150,1,0)</f>
        <v>0</v>
      </c>
    </row>
    <row r="76" customFormat="false" ht="14.5" hidden="false" customHeight="false" outlineLevel="0" collapsed="false">
      <c r="A76" s="2561" t="str">
        <f aca="false">дома!A240</f>
        <v>Стойка каркаса по фронтону правая сторона 55</v>
      </c>
      <c r="B76" s="2562" t="str">
        <f aca="false">дома!B240</f>
        <v>м.п.</v>
      </c>
      <c r="C76" s="2563" t="n">
        <f aca="false">дома!C240</f>
        <v>0.15</v>
      </c>
      <c r="D76" s="2563" t="n">
        <f aca="false">дома!D240</f>
        <v>0.05</v>
      </c>
      <c r="E76" s="2563" t="n">
        <f aca="false">дома!E240</f>
        <v>0</v>
      </c>
      <c r="F76" s="2563" t="n">
        <f aca="false">дома!F240</f>
        <v>0</v>
      </c>
      <c r="G76" s="2563" t="n">
        <f aca="false">E76*F76*IF('Ввод данных'!$A$8=связи1!$A$150,1,0)</f>
        <v>0</v>
      </c>
      <c r="H76" s="2563" t="n">
        <f aca="false">дома!G213*IF('Ввод данных'!$A$8=связи1!$A$150,1,0)</f>
        <v>0</v>
      </c>
    </row>
    <row r="77" customFormat="false" ht="14.5" hidden="false" customHeight="false" outlineLevel="0" collapsed="false">
      <c r="A77" s="2561" t="str">
        <f aca="false">дома!A241</f>
        <v>Стойка каркаса по фронтону правая сторона 56</v>
      </c>
      <c r="B77" s="2562" t="str">
        <f aca="false">дома!B241</f>
        <v>м.п.</v>
      </c>
      <c r="C77" s="2563" t="n">
        <f aca="false">дома!C241</f>
        <v>0.15</v>
      </c>
      <c r="D77" s="2563" t="n">
        <f aca="false">дома!D241</f>
        <v>0.05</v>
      </c>
      <c r="E77" s="2563" t="n">
        <f aca="false">дома!E241</f>
        <v>0</v>
      </c>
      <c r="F77" s="2563" t="n">
        <f aca="false">дома!F241</f>
        <v>0</v>
      </c>
      <c r="G77" s="2563" t="n">
        <f aca="false">E77*F77*IF('Ввод данных'!$A$8=связи1!$A$150,1,0)</f>
        <v>0</v>
      </c>
      <c r="H77" s="2563" t="n">
        <f aca="false">дома!G214*IF('Ввод данных'!$A$8=связи1!$A$150,1,0)</f>
        <v>0</v>
      </c>
    </row>
    <row r="78" customFormat="false" ht="14.5" hidden="false" customHeight="false" outlineLevel="0" collapsed="false">
      <c r="A78" s="2561" t="str">
        <f aca="false">дома!A242</f>
        <v>Стойка каркаса по фронтону правая сторона 57</v>
      </c>
      <c r="B78" s="2562" t="str">
        <f aca="false">дома!B242</f>
        <v>м.п.</v>
      </c>
      <c r="C78" s="2563" t="n">
        <f aca="false">дома!C242</f>
        <v>0.15</v>
      </c>
      <c r="D78" s="2563" t="n">
        <f aca="false">дома!D242</f>
        <v>0.05</v>
      </c>
      <c r="E78" s="2563" t="n">
        <f aca="false">дома!E242</f>
        <v>0</v>
      </c>
      <c r="F78" s="2563" t="n">
        <f aca="false">дома!F242</f>
        <v>0</v>
      </c>
      <c r="G78" s="2563" t="n">
        <f aca="false">E78*F78*IF('Ввод данных'!$A$8=связи1!$A$150,1,0)</f>
        <v>0</v>
      </c>
      <c r="H78" s="2563" t="n">
        <f aca="false">дома!G215*IF('Ввод данных'!$A$8=связи1!$A$150,1,0)</f>
        <v>0</v>
      </c>
    </row>
    <row r="79" customFormat="false" ht="14.5" hidden="false" customHeight="false" outlineLevel="0" collapsed="false">
      <c r="A79" s="2561" t="str">
        <f aca="false">дома!A243</f>
        <v>Стойка каркаса по фронтону правая сторона 58</v>
      </c>
      <c r="B79" s="2562" t="str">
        <f aca="false">дома!B243</f>
        <v>м.п.</v>
      </c>
      <c r="C79" s="2563" t="n">
        <f aca="false">дома!C243</f>
        <v>0.15</v>
      </c>
      <c r="D79" s="2563" t="n">
        <f aca="false">дома!D243</f>
        <v>0.05</v>
      </c>
      <c r="E79" s="2563" t="n">
        <f aca="false">дома!E243</f>
        <v>0</v>
      </c>
      <c r="F79" s="2563" t="n">
        <f aca="false">дома!F243</f>
        <v>0</v>
      </c>
      <c r="G79" s="2563" t="n">
        <f aca="false">E79*F79*IF('Ввод данных'!$A$8=связи1!$A$150,1,0)</f>
        <v>0</v>
      </c>
      <c r="H79" s="2563" t="n">
        <f aca="false">дома!G216*IF('Ввод данных'!$A$8=связи1!$A$150,1,0)</f>
        <v>0</v>
      </c>
    </row>
    <row r="80" customFormat="false" ht="14.5" hidden="false" customHeight="false" outlineLevel="0" collapsed="false">
      <c r="A80" s="2561" t="str">
        <f aca="false">дома!A244</f>
        <v>Стойка каркаса по фронтону правая сторона 59</v>
      </c>
      <c r="B80" s="2562" t="str">
        <f aca="false">дома!B244</f>
        <v>м.п.</v>
      </c>
      <c r="C80" s="2563" t="n">
        <f aca="false">дома!C244</f>
        <v>0.15</v>
      </c>
      <c r="D80" s="2563" t="n">
        <f aca="false">дома!D244</f>
        <v>0.05</v>
      </c>
      <c r="E80" s="2563" t="n">
        <f aca="false">дома!E244</f>
        <v>0</v>
      </c>
      <c r="F80" s="2563" t="n">
        <f aca="false">дома!F244</f>
        <v>0</v>
      </c>
      <c r="G80" s="2563" t="n">
        <f aca="false">E80*F80*IF('Ввод данных'!$A$8=связи1!$A$150,1,0)</f>
        <v>0</v>
      </c>
      <c r="H80" s="2563" t="n">
        <f aca="false">дома!G217*IF('Ввод данных'!$A$8=связи1!$A$150,1,0)</f>
        <v>0</v>
      </c>
    </row>
    <row r="81" customFormat="false" ht="14.5" hidden="false" customHeight="false" outlineLevel="0" collapsed="false">
      <c r="A81" s="2561" t="str">
        <f aca="false">дома!A245</f>
        <v>Стойка каркаса по фронтону правая сторона 60</v>
      </c>
      <c r="B81" s="2562" t="str">
        <f aca="false">дома!B245</f>
        <v>м.п.</v>
      </c>
      <c r="C81" s="2563" t="n">
        <f aca="false">дома!C245</f>
        <v>0.15</v>
      </c>
      <c r="D81" s="2563" t="n">
        <f aca="false">дома!D245</f>
        <v>0.05</v>
      </c>
      <c r="E81" s="2563" t="n">
        <f aca="false">дома!E245</f>
        <v>0</v>
      </c>
      <c r="F81" s="2563" t="n">
        <f aca="false">дома!F245</f>
        <v>0</v>
      </c>
      <c r="G81" s="2563" t="n">
        <f aca="false">E81*F81*IF('Ввод данных'!$A$8=связи1!$A$150,1,0)</f>
        <v>0</v>
      </c>
      <c r="H81" s="2563" t="n">
        <f aca="false">дома!G218*IF('Ввод данных'!$A$8=связи1!$A$150,1,0)</f>
        <v>0</v>
      </c>
    </row>
    <row r="82" customFormat="false" ht="14.5" hidden="false" customHeight="false" outlineLevel="0" collapsed="false">
      <c r="A82" s="2561" t="str">
        <f aca="false">дома!A246</f>
        <v>Стойка каркаса по фронтону правая сторона 61</v>
      </c>
      <c r="B82" s="2562" t="str">
        <f aca="false">дома!B246</f>
        <v>м.п.</v>
      </c>
      <c r="C82" s="2563" t="n">
        <f aca="false">дома!C246</f>
        <v>0.15</v>
      </c>
      <c r="D82" s="2563" t="n">
        <f aca="false">дома!D246</f>
        <v>0.05</v>
      </c>
      <c r="E82" s="2563" t="n">
        <f aca="false">дома!E246</f>
        <v>0</v>
      </c>
      <c r="F82" s="2563" t="n">
        <f aca="false">дома!F246</f>
        <v>0</v>
      </c>
      <c r="G82" s="2563" t="n">
        <f aca="false">E82*F82*IF('Ввод данных'!$A$8=связи1!$A$150,1,0)</f>
        <v>0</v>
      </c>
      <c r="H82" s="2563" t="n">
        <f aca="false">дома!G219*IF('Ввод данных'!$A$8=связи1!$A$150,1,0)</f>
        <v>0</v>
      </c>
    </row>
    <row r="83" customFormat="false" ht="14.5" hidden="false" customHeight="false" outlineLevel="0" collapsed="false">
      <c r="A83" s="2561" t="str">
        <f aca="false">дома!A247</f>
        <v>Стойка каркаса по фронтону правая сторона 62</v>
      </c>
      <c r="B83" s="2562" t="str">
        <f aca="false">дома!B247</f>
        <v>м.п.</v>
      </c>
      <c r="C83" s="2563" t="n">
        <f aca="false">дома!C247</f>
        <v>0.15</v>
      </c>
      <c r="D83" s="2563" t="n">
        <f aca="false">дома!D247</f>
        <v>0.05</v>
      </c>
      <c r="E83" s="2563" t="n">
        <f aca="false">дома!E247</f>
        <v>0</v>
      </c>
      <c r="F83" s="2563" t="n">
        <f aca="false">дома!F247</f>
        <v>0</v>
      </c>
      <c r="G83" s="2563" t="n">
        <f aca="false">E83*F83*IF('Ввод данных'!$A$8=связи1!$A$150,1,0)</f>
        <v>0</v>
      </c>
      <c r="H83" s="2563" t="n">
        <f aca="false">дома!G220*IF('Ввод данных'!$A$8=связи1!$A$150,1,0)</f>
        <v>0</v>
      </c>
    </row>
    <row r="84" customFormat="false" ht="14.5" hidden="false" customHeight="false" outlineLevel="0" collapsed="false">
      <c r="A84" s="2561" t="str">
        <f aca="false">дома!A248</f>
        <v>Обвязка каркаса фронтона верхняя</v>
      </c>
      <c r="B84" s="2562" t="str">
        <f aca="false">дома!B248</f>
        <v>м.п.</v>
      </c>
      <c r="C84" s="2563" t="n">
        <f aca="false">дома!C248</f>
        <v>0.15</v>
      </c>
      <c r="D84" s="2563" t="n">
        <f aca="false">дома!D248</f>
        <v>0.05</v>
      </c>
      <c r="E84" s="2563" t="n">
        <f aca="false">дома!E248</f>
        <v>7.42462120245875</v>
      </c>
      <c r="F84" s="2563" t="n">
        <f aca="false">дома!F248</f>
        <v>0</v>
      </c>
      <c r="G84" s="2563" t="n">
        <f aca="false">E84*F84*IF('Ввод данных'!$A$8=связи1!$A$150,1,0)</f>
        <v>0</v>
      </c>
      <c r="H84" s="2563" t="n">
        <f aca="false">дома!G221*IF('Ввод данных'!$A$8=связи1!$A$150,1,0)</f>
        <v>0</v>
      </c>
    </row>
    <row r="85" customFormat="false" ht="14.5" hidden="false" customHeight="false" outlineLevel="0" collapsed="false">
      <c r="A85" s="2561" t="str">
        <f aca="false">дома!A249</f>
        <v>Обвязка каркаса фронтона нижняя</v>
      </c>
      <c r="B85" s="2562" t="str">
        <f aca="false">дома!B249</f>
        <v>м.п.</v>
      </c>
      <c r="C85" s="2563" t="n">
        <f aca="false">дома!C249</f>
        <v>0.15</v>
      </c>
      <c r="D85" s="2563" t="n">
        <f aca="false">дома!D249</f>
        <v>0.05</v>
      </c>
      <c r="E85" s="2563" t="n">
        <f aca="false">дома!E249</f>
        <v>5</v>
      </c>
      <c r="F85" s="2563" t="n">
        <f aca="false">дома!F249</f>
        <v>0</v>
      </c>
      <c r="G85" s="2563" t="n">
        <f aca="false">E85*F85*IF('Ввод данных'!$A$8=связи1!$A$150,1,0)</f>
        <v>0</v>
      </c>
      <c r="H85" s="2563" t="n">
        <f aca="false">дома!G222*IF('Ввод данных'!$A$8=связи1!$A$150,1,0)</f>
        <v>0</v>
      </c>
    </row>
    <row r="86" customFormat="false" ht="14.5" hidden="false" customHeight="false" outlineLevel="0" collapsed="false">
      <c r="A86" s="2561" t="str">
        <f aca="false">дома!A250</f>
        <v>Ригель каркаса фронтона</v>
      </c>
      <c r="B86" s="2562" t="str">
        <f aca="false">дома!B250</f>
        <v>м.п.</v>
      </c>
      <c r="C86" s="2563" t="n">
        <f aca="false">дома!C250</f>
        <v>0.15</v>
      </c>
      <c r="D86" s="2563" t="n">
        <f aca="false">дома!D250</f>
        <v>0.05</v>
      </c>
      <c r="E86" s="2563" t="n">
        <f aca="false">дома!E250</f>
        <v>7.42462120245875</v>
      </c>
      <c r="F86" s="2563" t="n">
        <f aca="false">дома!F250</f>
        <v>0</v>
      </c>
      <c r="G86" s="2563" t="n">
        <f aca="false">E86*F86*IF('Ввод данных'!$A$8=связи1!$A$150,1,0)</f>
        <v>0</v>
      </c>
      <c r="H86" s="2563" t="n">
        <f aca="false">дома!G223*IF('Ввод данных'!$A$8=связи1!$A$150,1,0)</f>
        <v>0</v>
      </c>
    </row>
    <row r="87" customFormat="false" ht="14.5" hidden="false" customHeight="false" outlineLevel="0" collapsed="false">
      <c r="A87" s="2561" t="str">
        <f aca="false">дома!A251</f>
        <v>Стойки каркаса левой боковой стены 1 этаж</v>
      </c>
      <c r="B87" s="2562" t="str">
        <f aca="false">дома!B251</f>
        <v>м.п.</v>
      </c>
      <c r="C87" s="2563" t="n">
        <f aca="false">дома!C251</f>
        <v>0.15</v>
      </c>
      <c r="D87" s="2563" t="n">
        <f aca="false">дома!D251</f>
        <v>0.05</v>
      </c>
      <c r="E87" s="2563" t="n">
        <f aca="false">дома!E251</f>
        <v>3</v>
      </c>
      <c r="F87" s="2563" t="n">
        <f aca="false">дома!F251</f>
        <v>0</v>
      </c>
      <c r="G87" s="2563" t="n">
        <f aca="false">E87*F87*IF('Ввод данных'!$A$8=связи1!$A$150,1,0)</f>
        <v>0</v>
      </c>
      <c r="H87" s="2563" t="n">
        <f aca="false">дома!G224*IF('Ввод данных'!$A$8=связи1!$A$150,1,0)</f>
        <v>0</v>
      </c>
    </row>
    <row r="88" customFormat="false" ht="14.5" hidden="false" customHeight="false" outlineLevel="0" collapsed="false">
      <c r="A88" s="2561" t="str">
        <f aca="false">дома!A252</f>
        <v>Стойки каркаса правой боковой стены 1 этаж</v>
      </c>
      <c r="B88" s="2562" t="str">
        <f aca="false">дома!B252</f>
        <v>м.п.</v>
      </c>
      <c r="C88" s="2563" t="n">
        <f aca="false">дома!C252</f>
        <v>0.15</v>
      </c>
      <c r="D88" s="2563" t="n">
        <f aca="false">дома!D252</f>
        <v>0.05</v>
      </c>
      <c r="E88" s="2563" t="n">
        <f aca="false">дома!E252</f>
        <v>3</v>
      </c>
      <c r="F88" s="2563" t="n">
        <f aca="false">дома!F252</f>
        <v>0</v>
      </c>
      <c r="G88" s="2563" t="n">
        <f aca="false">E88*F88*IF('Ввод данных'!$A$8=связи1!$A$150,1,0)</f>
        <v>0</v>
      </c>
      <c r="H88" s="2563" t="n">
        <f aca="false">дома!G225*IF('Ввод данных'!$A$8=связи1!$A$150,1,0)</f>
        <v>0</v>
      </c>
    </row>
    <row r="89" customFormat="false" ht="14.5" hidden="false" customHeight="false" outlineLevel="0" collapsed="false">
      <c r="A89" s="2561" t="str">
        <f aca="false">дома!A253</f>
        <v>Стойка каркаса по фронтону, полувальмовая кровля №1</v>
      </c>
      <c r="B89" s="2562" t="str">
        <f aca="false">дома!B253</f>
        <v>м.п.</v>
      </c>
      <c r="C89" s="2563" t="n">
        <f aca="false">дома!C253</f>
        <v>0.15</v>
      </c>
      <c r="D89" s="2563" t="n">
        <f aca="false">дома!D253</f>
        <v>0.05</v>
      </c>
      <c r="E89" s="2563" t="n">
        <f aca="false">дома!E253</f>
        <v>3</v>
      </c>
      <c r="F89" s="2563" t="n">
        <f aca="false">дома!F253</f>
        <v>0</v>
      </c>
      <c r="G89" s="2563" t="n">
        <f aca="false">E89*F89*IF('Ввод данных'!$A$8=связи1!$A$150,1,0)</f>
        <v>0</v>
      </c>
      <c r="H89" s="2563" t="n">
        <f aca="false">дома!G226*IF('Ввод данных'!$A$8=связи1!$A$150,1,0)</f>
        <v>0</v>
      </c>
    </row>
    <row r="90" customFormat="false" ht="14.5" hidden="false" customHeight="false" outlineLevel="0" collapsed="false">
      <c r="A90" s="2561" t="str">
        <f aca="false">дома!A254</f>
        <v>Стойка каркаса по фронтону, полувальмовая кровля №2</v>
      </c>
      <c r="B90" s="2562" t="str">
        <f aca="false">дома!B254</f>
        <v>м.п.</v>
      </c>
      <c r="C90" s="2563" t="n">
        <f aca="false">дома!C254</f>
        <v>0.15</v>
      </c>
      <c r="D90" s="2563" t="n">
        <f aca="false">дома!D254</f>
        <v>0.05</v>
      </c>
      <c r="E90" s="2563" t="n">
        <f aca="false">дома!E254</f>
        <v>3</v>
      </c>
      <c r="F90" s="2563" t="n">
        <f aca="false">дома!F254</f>
        <v>0</v>
      </c>
      <c r="G90" s="2563" t="n">
        <f aca="false">E90*F90*IF('Ввод данных'!$A$8=связи1!$A$150,1,0)</f>
        <v>0</v>
      </c>
      <c r="H90" s="2563" t="n">
        <f aca="false">дома!G227*IF('Ввод данных'!$A$8=связи1!$A$150,1,0)</f>
        <v>0</v>
      </c>
    </row>
    <row r="91" customFormat="false" ht="14.5" hidden="false" customHeight="false" outlineLevel="0" collapsed="false">
      <c r="A91" s="2561" t="str">
        <f aca="false">дома!A255</f>
        <v>Обвязка каркаса нижняя 1 этаж</v>
      </c>
      <c r="B91" s="2562" t="str">
        <f aca="false">дома!B255</f>
        <v>м.п.</v>
      </c>
      <c r="C91" s="2563" t="n">
        <f aca="false">дома!C255</f>
        <v>0.15</v>
      </c>
      <c r="D91" s="2563" t="n">
        <f aca="false">дома!D255</f>
        <v>0.05</v>
      </c>
      <c r="E91" s="2563" t="n">
        <f aca="false">дома!E255</f>
        <v>0</v>
      </c>
      <c r="F91" s="2563" t="n">
        <f aca="false">дома!F255</f>
        <v>0</v>
      </c>
      <c r="G91" s="2563" t="n">
        <f aca="false">E91*F91*IF('Ввод данных'!$A$8=связи1!$A$150,1,0)</f>
        <v>0</v>
      </c>
      <c r="H91" s="2563" t="n">
        <f aca="false">дома!G228*IF('Ввод данных'!$A$8=связи1!$A$150,1,0)</f>
        <v>0</v>
      </c>
    </row>
    <row r="92" customFormat="false" ht="14.5" hidden="false" customHeight="false" outlineLevel="0" collapsed="false">
      <c r="A92" s="2561" t="str">
        <f aca="false">дома!A256</f>
        <v>Обвязка каркаса верхняя 1 этаж</v>
      </c>
      <c r="B92" s="2562" t="str">
        <f aca="false">дома!B256</f>
        <v>м.п.</v>
      </c>
      <c r="C92" s="2563" t="n">
        <f aca="false">дома!C256</f>
        <v>0.15</v>
      </c>
      <c r="D92" s="2563" t="n">
        <f aca="false">дома!D256</f>
        <v>0.05</v>
      </c>
      <c r="E92" s="2563" t="n">
        <f aca="false">дома!E256</f>
        <v>20.954863183233</v>
      </c>
      <c r="F92" s="2563" t="n">
        <f aca="false">дома!F256</f>
        <v>0</v>
      </c>
      <c r="G92" s="2563" t="n">
        <f aca="false">E92*F92*IF('Ввод данных'!$A$8=связи1!$A$150,1,0)</f>
        <v>0</v>
      </c>
      <c r="H92" s="2563" t="n">
        <f aca="false">дома!G229*IF('Ввод данных'!$A$8=связи1!$A$150,1,0)</f>
        <v>0</v>
      </c>
    </row>
    <row r="93" customFormat="false" ht="14.5" hidden="false" customHeight="false" outlineLevel="0" collapsed="false">
      <c r="A93" s="2561" t="str">
        <f aca="false">дома!A257</f>
        <v>Ригель каркаса фронтона 1 этаж</v>
      </c>
      <c r="B93" s="2562" t="str">
        <f aca="false">дома!B257</f>
        <v>м.п.</v>
      </c>
      <c r="C93" s="2563" t="n">
        <f aca="false">дома!C257</f>
        <v>0.15</v>
      </c>
      <c r="D93" s="2563" t="n">
        <f aca="false">дома!D257</f>
        <v>0.05</v>
      </c>
      <c r="E93" s="2563" t="n">
        <f aca="false">дома!E257</f>
        <v>20.954863183233</v>
      </c>
      <c r="F93" s="2563" t="n">
        <f aca="false">дома!F257</f>
        <v>0</v>
      </c>
      <c r="G93" s="2563" t="n">
        <f aca="false">E93*F93*IF('Ввод данных'!$A$8=связи1!$A$150,1,0)</f>
        <v>0</v>
      </c>
      <c r="H93" s="2563" t="n">
        <f aca="false">дома!G230*IF('Ввод данных'!$A$8=связи1!$A$150,1,0)</f>
        <v>0</v>
      </c>
    </row>
    <row r="94" customFormat="false" ht="14.5" hidden="false" customHeight="false" outlineLevel="0" collapsed="false">
      <c r="A94" s="2561" t="str">
        <f aca="false">дома!A258</f>
        <v>Обвязка каркаса нижняя, односкатная кровля</v>
      </c>
      <c r="B94" s="2562" t="str">
        <f aca="false">дома!B258</f>
        <v>м.п.</v>
      </c>
      <c r="C94" s="2563" t="n">
        <f aca="false">дома!C258</f>
        <v>0.15</v>
      </c>
      <c r="D94" s="2563" t="n">
        <f aca="false">дома!D258</f>
        <v>0.05</v>
      </c>
      <c r="E94" s="2563" t="n">
        <f aca="false">дома!E258</f>
        <v>0</v>
      </c>
      <c r="F94" s="2563" t="n">
        <f aca="false">дома!F258</f>
        <v>0</v>
      </c>
      <c r="G94" s="2563" t="n">
        <f aca="false">E94*F94*IF('Ввод данных'!$A$8=связи1!$A$150,1,0)</f>
        <v>0</v>
      </c>
      <c r="H94" s="2563" t="n">
        <f aca="false">дома!G231*IF('Ввод данных'!$A$8=связи1!$A$150,1,0)</f>
        <v>0</v>
      </c>
    </row>
    <row r="95" customFormat="false" ht="14.5" hidden="false" customHeight="false" outlineLevel="0" collapsed="false">
      <c r="A95" s="2561" t="str">
        <f aca="false">дома!A259</f>
        <v>Обвязка каркаса верхняя, односкатная кровля</v>
      </c>
      <c r="B95" s="2562" t="str">
        <f aca="false">дома!B259</f>
        <v>м.п.</v>
      </c>
      <c r="C95" s="2563" t="n">
        <f aca="false">дома!C259</f>
        <v>0.15</v>
      </c>
      <c r="D95" s="2563" t="n">
        <f aca="false">дома!D259</f>
        <v>0.05</v>
      </c>
      <c r="E95" s="2563" t="n">
        <f aca="false">дома!E259</f>
        <v>24.5967477524977</v>
      </c>
      <c r="F95" s="2563" t="n">
        <f aca="false">дома!F259</f>
        <v>0</v>
      </c>
      <c r="G95" s="2563" t="n">
        <f aca="false">E95*F95*IF('Ввод данных'!$A$8=связи1!$A$150,1,0)</f>
        <v>0</v>
      </c>
      <c r="H95" s="2563" t="n">
        <f aca="false">дома!G232*IF('Ввод данных'!$A$8=связи1!$A$150,1,0)</f>
        <v>0</v>
      </c>
    </row>
    <row r="96" customFormat="false" ht="14.5" hidden="false" customHeight="false" outlineLevel="0" collapsed="false">
      <c r="A96" s="2561" t="str">
        <f aca="false">дома!A260</f>
        <v>Ригель каркаса фронтона, односкатная кровля</v>
      </c>
      <c r="B96" s="2562" t="str">
        <f aca="false">дома!B260</f>
        <v>м.п.</v>
      </c>
      <c r="C96" s="2563" t="n">
        <f aca="false">дома!C260</f>
        <v>0.15</v>
      </c>
      <c r="D96" s="2563" t="n">
        <f aca="false">дома!D260</f>
        <v>0.05</v>
      </c>
      <c r="E96" s="2563" t="n">
        <f aca="false">дома!E260</f>
        <v>24.5967477524977</v>
      </c>
      <c r="F96" s="2563" t="n">
        <f aca="false">дома!F260</f>
        <v>0</v>
      </c>
      <c r="G96" s="2563" t="n">
        <f aca="false">E96*F96*IF('Ввод данных'!$A$8=связи1!$A$150,1,0)</f>
        <v>0</v>
      </c>
      <c r="H96" s="2563" t="n">
        <f aca="false">дома!G233*IF('Ввод данных'!$A$8=связи1!$A$150,1,0)</f>
        <v>0</v>
      </c>
    </row>
    <row r="97" customFormat="false" ht="14.5" hidden="false" customHeight="false" outlineLevel="0" collapsed="false">
      <c r="A97" s="2561" t="str">
        <f aca="false">дома!A261</f>
        <v>Стойки каркаса передней стены 1 этаж</v>
      </c>
      <c r="B97" s="2562" t="str">
        <f aca="false">дома!B261</f>
        <v>м.п.</v>
      </c>
      <c r="C97" s="2563" t="n">
        <f aca="false">дома!C261</f>
        <v>0.15</v>
      </c>
      <c r="D97" s="2563" t="n">
        <f aca="false">дома!D261</f>
        <v>0.05</v>
      </c>
      <c r="E97" s="2563" t="n">
        <f aca="false">дома!E261</f>
        <v>3</v>
      </c>
      <c r="F97" s="2563" t="n">
        <f aca="false">дома!F261</f>
        <v>0</v>
      </c>
      <c r="G97" s="2563" t="n">
        <f aca="false">E97*F97*IF('Ввод данных'!$A$8=связи1!$A$150,1,0)</f>
        <v>0</v>
      </c>
      <c r="H97" s="2563" t="n">
        <f aca="false">дома!G234*IF('Ввод данных'!$A$8=связи1!$A$150,1,0)</f>
        <v>0</v>
      </c>
    </row>
    <row r="98" customFormat="false" ht="14.5" hidden="false" customHeight="false" outlineLevel="0" collapsed="false">
      <c r="A98" s="2561" t="str">
        <f aca="false">дома!A262</f>
        <v>Стойки каркаса задней стены 1 этаж</v>
      </c>
      <c r="B98" s="2562" t="str">
        <f aca="false">дома!B262</f>
        <v>м.п.</v>
      </c>
      <c r="C98" s="2563" t="n">
        <f aca="false">дома!C262</f>
        <v>0.15</v>
      </c>
      <c r="D98" s="2563" t="n">
        <f aca="false">дома!D262</f>
        <v>0.05</v>
      </c>
      <c r="E98" s="2563" t="n">
        <f aca="false">дома!E262</f>
        <v>3</v>
      </c>
      <c r="F98" s="2563" t="n">
        <f aca="false">дома!F262</f>
        <v>0</v>
      </c>
      <c r="G98" s="2563" t="n">
        <f aca="false">E98*F98*IF('Ввод данных'!$A$8=связи1!$A$150,1,0)</f>
        <v>0</v>
      </c>
      <c r="H98" s="2563" t="n">
        <f aca="false">дома!G235*IF('Ввод данных'!$A$8=связи1!$A$150,1,0)</f>
        <v>0</v>
      </c>
    </row>
    <row r="99" customFormat="false" ht="14.5" hidden="false" customHeight="false" outlineLevel="0" collapsed="false">
      <c r="A99" s="2561" t="str">
        <f aca="false">дома!A263</f>
        <v>Стойки каркаса, левая/правая сторона 1 этаж</v>
      </c>
      <c r="B99" s="2562" t="str">
        <f aca="false">дома!B263</f>
        <v>м.п.</v>
      </c>
      <c r="C99" s="2563" t="n">
        <f aca="false">дома!C263</f>
        <v>0.15</v>
      </c>
      <c r="D99" s="2563" t="n">
        <f aca="false">дома!D263</f>
        <v>0.05</v>
      </c>
      <c r="E99" s="2563" t="n">
        <f aca="false">дома!E263</f>
        <v>3</v>
      </c>
      <c r="F99" s="2563" t="n">
        <f aca="false">дома!F263</f>
        <v>0</v>
      </c>
      <c r="G99" s="2563" t="n">
        <f aca="false">E99*F99*IF('Ввод данных'!$A$8=связи1!$A$150,1,0)</f>
        <v>0</v>
      </c>
      <c r="H99" s="2563" t="n">
        <f aca="false">дома!G236*IF('Ввод данных'!$A$8=связи1!$A$150,1,0)</f>
        <v>0</v>
      </c>
    </row>
    <row r="100" customFormat="false" ht="14.5" hidden="false" customHeight="false" outlineLevel="0" collapsed="false">
      <c r="A100" s="2561" t="str">
        <f aca="false">дома!A264</f>
        <v>Стойка каркаса по фронтону, односкатная кровля №0</v>
      </c>
      <c r="B100" s="2562" t="str">
        <f aca="false">дома!B264</f>
        <v>м.п.</v>
      </c>
      <c r="C100" s="2563" t="n">
        <f aca="false">дома!C264</f>
        <v>0.15</v>
      </c>
      <c r="D100" s="2563" t="n">
        <f aca="false">дома!D264</f>
        <v>0.05</v>
      </c>
      <c r="E100" s="2563" t="n">
        <f aca="false">дома!E264</f>
        <v>5</v>
      </c>
      <c r="F100" s="2563" t="n">
        <f aca="false">дома!F264</f>
        <v>0</v>
      </c>
      <c r="G100" s="2563" t="n">
        <f aca="false">E100*F100*IF('Ввод данных'!$A$8=связи1!$A$150,1,0)</f>
        <v>0</v>
      </c>
      <c r="H100" s="2563" t="n">
        <f aca="false">дома!G237*IF('Ввод данных'!$A$8=связи1!$A$150,1,0)</f>
        <v>0</v>
      </c>
    </row>
    <row r="101" customFormat="false" ht="14.5" hidden="false" customHeight="false" outlineLevel="0" collapsed="false">
      <c r="A101" s="2561" t="str">
        <f aca="false">дома!A265</f>
        <v>Стойка каркаса по фронтону, односкатная кровля №1</v>
      </c>
      <c r="B101" s="2562" t="str">
        <f aca="false">дома!B265</f>
        <v>м.п.</v>
      </c>
      <c r="C101" s="2563" t="n">
        <f aca="false">дома!C265</f>
        <v>0.15</v>
      </c>
      <c r="D101" s="2563" t="n">
        <f aca="false">дома!D265</f>
        <v>0.05</v>
      </c>
      <c r="E101" s="2563" t="n">
        <f aca="false">дома!E265</f>
        <v>4.8</v>
      </c>
      <c r="F101" s="2563" t="n">
        <f aca="false">дома!F265</f>
        <v>0</v>
      </c>
      <c r="G101" s="2563" t="n">
        <f aca="false">E101*F101*IF('Ввод данных'!$A$8=связи1!$A$150,1,0)</f>
        <v>0</v>
      </c>
      <c r="H101" s="2563" t="n">
        <f aca="false">дома!G238*IF('Ввод данных'!$A$8=связи1!$A$150,1,0)</f>
        <v>0</v>
      </c>
    </row>
    <row r="102" customFormat="false" ht="14.5" hidden="false" customHeight="false" outlineLevel="0" collapsed="false">
      <c r="A102" s="2561" t="str">
        <f aca="false">дома!A266</f>
        <v>Стойка каркаса по фронтону, односкатная кровля №2</v>
      </c>
      <c r="B102" s="2562" t="str">
        <f aca="false">дома!B266</f>
        <v>м.п.</v>
      </c>
      <c r="C102" s="2563" t="n">
        <f aca="false">дома!C266</f>
        <v>0.15</v>
      </c>
      <c r="D102" s="2563" t="n">
        <f aca="false">дома!D266</f>
        <v>0.05</v>
      </c>
      <c r="E102" s="2563" t="n">
        <f aca="false">дома!E266</f>
        <v>4.6</v>
      </c>
      <c r="F102" s="2563" t="n">
        <f aca="false">дома!F266</f>
        <v>0</v>
      </c>
      <c r="G102" s="2563" t="n">
        <f aca="false">E102*F102*IF('Ввод данных'!$A$8=связи1!$A$150,1,0)</f>
        <v>0</v>
      </c>
      <c r="H102" s="2563" t="n">
        <f aca="false">дома!G239*IF('Ввод данных'!$A$8=связи1!$A$150,1,0)</f>
        <v>0</v>
      </c>
    </row>
    <row r="103" customFormat="false" ht="14.5" hidden="false" customHeight="false" outlineLevel="0" collapsed="false">
      <c r="A103" s="2561" t="str">
        <f aca="false">дома!A267</f>
        <v>Стойка каркаса по фронтону, односкатная кровля №3</v>
      </c>
      <c r="B103" s="2562" t="str">
        <f aca="false">дома!B267</f>
        <v>м.п.</v>
      </c>
      <c r="C103" s="2563" t="n">
        <f aca="false">дома!C267</f>
        <v>0.15</v>
      </c>
      <c r="D103" s="2563" t="n">
        <f aca="false">дома!D267</f>
        <v>0.05</v>
      </c>
      <c r="E103" s="2563" t="n">
        <f aca="false">дома!E267</f>
        <v>4.4</v>
      </c>
      <c r="F103" s="2563" t="n">
        <f aca="false">дома!F267</f>
        <v>0</v>
      </c>
      <c r="G103" s="2563" t="n">
        <f aca="false">E103*F103*IF('Ввод данных'!$A$8=связи1!$A$150,1,0)</f>
        <v>0</v>
      </c>
      <c r="H103" s="2563" t="n">
        <f aca="false">дома!G240*IF('Ввод данных'!$A$8=связи1!$A$150,1,0)</f>
        <v>0</v>
      </c>
    </row>
    <row r="104" customFormat="false" ht="14.5" hidden="false" customHeight="false" outlineLevel="0" collapsed="false">
      <c r="A104" s="2561" t="str">
        <f aca="false">дома!A268</f>
        <v>Стойка каркаса по фронтону, односкатная кровля №4</v>
      </c>
      <c r="B104" s="2562" t="str">
        <f aca="false">дома!B268</f>
        <v>м.п.</v>
      </c>
      <c r="C104" s="2563" t="n">
        <f aca="false">дома!C268</f>
        <v>0.15</v>
      </c>
      <c r="D104" s="2563" t="n">
        <f aca="false">дома!D268</f>
        <v>0.05</v>
      </c>
      <c r="E104" s="2563" t="n">
        <f aca="false">дома!E268</f>
        <v>4.2</v>
      </c>
      <c r="F104" s="2563" t="n">
        <f aca="false">дома!F268</f>
        <v>0</v>
      </c>
      <c r="G104" s="2563" t="n">
        <f aca="false">E104*F104*IF('Ввод данных'!$A$8=связи1!$A$150,1,0)</f>
        <v>0</v>
      </c>
      <c r="H104" s="2563" t="n">
        <f aca="false">дома!G241*IF('Ввод данных'!$A$8=связи1!$A$150,1,0)</f>
        <v>0</v>
      </c>
    </row>
    <row r="105" customFormat="false" ht="14.5" hidden="false" customHeight="false" outlineLevel="0" collapsed="false">
      <c r="A105" s="2561" t="str">
        <f aca="false">дома!A269</f>
        <v>Стойка каркаса по фронтону, односкатная кровля №5</v>
      </c>
      <c r="B105" s="2562" t="str">
        <f aca="false">дома!B269</f>
        <v>м.п.</v>
      </c>
      <c r="C105" s="2563" t="n">
        <f aca="false">дома!C269</f>
        <v>0.15</v>
      </c>
      <c r="D105" s="2563" t="n">
        <f aca="false">дома!D269</f>
        <v>0.05</v>
      </c>
      <c r="E105" s="2563" t="n">
        <f aca="false">дома!E269</f>
        <v>4</v>
      </c>
      <c r="F105" s="2563" t="n">
        <f aca="false">дома!F269</f>
        <v>0</v>
      </c>
      <c r="G105" s="2563" t="n">
        <f aca="false">E105*F105*IF('Ввод данных'!$A$8=связи1!$A$150,1,0)</f>
        <v>0</v>
      </c>
      <c r="H105" s="2563" t="n">
        <f aca="false">дома!G242*IF('Ввод данных'!$A$8=связи1!$A$150,1,0)</f>
        <v>0</v>
      </c>
    </row>
    <row r="106" customFormat="false" ht="14.5" hidden="false" customHeight="false" outlineLevel="0" collapsed="false">
      <c r="A106" s="2561" t="str">
        <f aca="false">дома!A270</f>
        <v>Стойка каркаса по фронтону, односкатная кровля №6</v>
      </c>
      <c r="B106" s="2562" t="str">
        <f aca="false">дома!B270</f>
        <v>м.п.</v>
      </c>
      <c r="C106" s="2563" t="n">
        <f aca="false">дома!C270</f>
        <v>0.15</v>
      </c>
      <c r="D106" s="2563" t="n">
        <f aca="false">дома!D270</f>
        <v>0.05</v>
      </c>
      <c r="E106" s="2563" t="n">
        <f aca="false">дома!E270</f>
        <v>3.8</v>
      </c>
      <c r="F106" s="2563" t="n">
        <f aca="false">дома!F270</f>
        <v>0</v>
      </c>
      <c r="G106" s="2563" t="n">
        <f aca="false">E106*F106*IF('Ввод данных'!$A$8=связи1!$A$150,1,0)</f>
        <v>0</v>
      </c>
      <c r="H106" s="2563" t="n">
        <f aca="false">дома!G243*IF('Ввод данных'!$A$8=связи1!$A$150,1,0)</f>
        <v>0</v>
      </c>
    </row>
    <row r="107" customFormat="false" ht="14.5" hidden="false" customHeight="false" outlineLevel="0" collapsed="false">
      <c r="A107" s="2561" t="str">
        <f aca="false">дома!A271</f>
        <v>Стойка каркаса по фронтону, односкатная кровля №7</v>
      </c>
      <c r="B107" s="2562" t="str">
        <f aca="false">дома!B271</f>
        <v>м.п.</v>
      </c>
      <c r="C107" s="2563" t="n">
        <f aca="false">дома!C271</f>
        <v>0.15</v>
      </c>
      <c r="D107" s="2563" t="n">
        <f aca="false">дома!D271</f>
        <v>0.05</v>
      </c>
      <c r="E107" s="2563" t="n">
        <f aca="false">дома!E271</f>
        <v>3.6</v>
      </c>
      <c r="F107" s="2563" t="n">
        <f aca="false">дома!F271</f>
        <v>0</v>
      </c>
      <c r="G107" s="2563" t="n">
        <f aca="false">E107*F107*IF('Ввод данных'!$A$8=связи1!$A$150,1,0)</f>
        <v>0</v>
      </c>
      <c r="H107" s="2563" t="n">
        <f aca="false">дома!G244*IF('Ввод данных'!$A$8=связи1!$A$150,1,0)</f>
        <v>0</v>
      </c>
    </row>
    <row r="108" customFormat="false" ht="14.5" hidden="false" customHeight="false" outlineLevel="0" collapsed="false">
      <c r="A108" s="2561" t="str">
        <f aca="false">дома!A272</f>
        <v>Стойка каркаса по фронтону, односкатная кровля №8</v>
      </c>
      <c r="B108" s="2562" t="str">
        <f aca="false">дома!B272</f>
        <v>м.п.</v>
      </c>
      <c r="C108" s="2563" t="n">
        <f aca="false">дома!C272</f>
        <v>0.15</v>
      </c>
      <c r="D108" s="2563" t="n">
        <f aca="false">дома!D272</f>
        <v>0.05</v>
      </c>
      <c r="E108" s="2563" t="n">
        <f aca="false">дома!E272</f>
        <v>3.4</v>
      </c>
      <c r="F108" s="2563" t="n">
        <f aca="false">дома!F272</f>
        <v>0</v>
      </c>
      <c r="G108" s="2563" t="n">
        <f aca="false">E108*F108*IF('Ввод данных'!$A$8=связи1!$A$150,1,0)</f>
        <v>0</v>
      </c>
      <c r="H108" s="2563" t="n">
        <f aca="false">дома!G245*IF('Ввод данных'!$A$8=связи1!$A$150,1,0)</f>
        <v>0</v>
      </c>
    </row>
    <row r="109" customFormat="false" ht="14.5" hidden="false" customHeight="false" outlineLevel="0" collapsed="false">
      <c r="A109" s="2561" t="str">
        <f aca="false">дома!A273</f>
        <v>Стойка каркаса по фронтону, односкатная кровля №9</v>
      </c>
      <c r="B109" s="2562" t="str">
        <f aca="false">дома!B273</f>
        <v>м.п.</v>
      </c>
      <c r="C109" s="2563" t="n">
        <f aca="false">дома!C273</f>
        <v>0.15</v>
      </c>
      <c r="D109" s="2563" t="n">
        <f aca="false">дома!D273</f>
        <v>0.05</v>
      </c>
      <c r="E109" s="2563" t="n">
        <f aca="false">дома!E273</f>
        <v>3.2</v>
      </c>
      <c r="F109" s="2563" t="n">
        <f aca="false">дома!F273</f>
        <v>0</v>
      </c>
      <c r="G109" s="2563" t="n">
        <f aca="false">E109*F109*IF('Ввод данных'!$A$8=связи1!$A$150,1,0)</f>
        <v>0</v>
      </c>
      <c r="H109" s="2563" t="n">
        <f aca="false">дома!G246*IF('Ввод данных'!$A$8=связи1!$A$150,1,0)</f>
        <v>0</v>
      </c>
    </row>
    <row r="110" customFormat="false" ht="14.5" hidden="false" customHeight="false" outlineLevel="0" collapsed="false">
      <c r="A110" s="2561" t="str">
        <f aca="false">дома!A274</f>
        <v>Стойка каркаса по фронтону, односкатная кровля №10</v>
      </c>
      <c r="B110" s="2562" t="str">
        <f aca="false">дома!B274</f>
        <v>м.п.</v>
      </c>
      <c r="C110" s="2563" t="n">
        <f aca="false">дома!C274</f>
        <v>0.15</v>
      </c>
      <c r="D110" s="2563" t="n">
        <f aca="false">дома!D274</f>
        <v>0.05</v>
      </c>
      <c r="E110" s="2563" t="n">
        <f aca="false">дома!E274</f>
        <v>3</v>
      </c>
      <c r="F110" s="2563" t="n">
        <f aca="false">дома!F274</f>
        <v>0</v>
      </c>
      <c r="G110" s="2563" t="n">
        <f aca="false">E110*F110*IF('Ввод данных'!$A$8=связи1!$A$150,1,0)</f>
        <v>0</v>
      </c>
      <c r="H110" s="2563" t="n">
        <f aca="false">дома!G247*IF('Ввод данных'!$A$8=связи1!$A$150,1,0)</f>
        <v>0</v>
      </c>
    </row>
    <row r="111" customFormat="false" ht="14.5" hidden="false" customHeight="false" outlineLevel="0" collapsed="false">
      <c r="A111" s="2561" t="str">
        <f aca="false">дома!A275</f>
        <v>Стойка каркаса по фронтону, односкатная кровля №11</v>
      </c>
      <c r="B111" s="2562" t="str">
        <f aca="false">дома!B275</f>
        <v>м.п.</v>
      </c>
      <c r="C111" s="2563" t="n">
        <f aca="false">дома!C275</f>
        <v>0.15</v>
      </c>
      <c r="D111" s="2563" t="n">
        <f aca="false">дома!D275</f>
        <v>0.05</v>
      </c>
      <c r="E111" s="2563" t="n">
        <f aca="false">дома!E275</f>
        <v>2.8</v>
      </c>
      <c r="F111" s="2563" t="n">
        <f aca="false">дома!F275</f>
        <v>0</v>
      </c>
      <c r="G111" s="2563" t="n">
        <f aca="false">E111*F111*IF('Ввод данных'!$A$8=связи1!$A$150,1,0)</f>
        <v>0</v>
      </c>
      <c r="H111" s="2563" t="n">
        <f aca="false">дома!G248*IF('Ввод данных'!$A$8=связи1!$A$150,1,0)</f>
        <v>0</v>
      </c>
    </row>
    <row r="112" customFormat="false" ht="14.5" hidden="false" customHeight="false" outlineLevel="0" collapsed="false">
      <c r="A112" s="2561" t="str">
        <f aca="false">дома!A276</f>
        <v>Стойка каркаса по фронтону, односкатная кровля №12</v>
      </c>
      <c r="B112" s="2562" t="str">
        <f aca="false">дома!B276</f>
        <v>м.п.</v>
      </c>
      <c r="C112" s="2563" t="n">
        <f aca="false">дома!C276</f>
        <v>0.15</v>
      </c>
      <c r="D112" s="2563" t="n">
        <f aca="false">дома!D276</f>
        <v>0.05</v>
      </c>
      <c r="E112" s="2563" t="n">
        <f aca="false">дома!E276</f>
        <v>2.6</v>
      </c>
      <c r="F112" s="2563" t="n">
        <f aca="false">дома!F276</f>
        <v>0</v>
      </c>
      <c r="G112" s="2563" t="n">
        <f aca="false">E112*F112*IF('Ввод данных'!$A$8=связи1!$A$150,1,0)</f>
        <v>0</v>
      </c>
      <c r="H112" s="2563" t="n">
        <f aca="false">дома!G249*IF('Ввод данных'!$A$8=связи1!$A$150,1,0)</f>
        <v>0</v>
      </c>
    </row>
    <row r="113" customFormat="false" ht="14.5" hidden="false" customHeight="false" outlineLevel="0" collapsed="false">
      <c r="A113" s="2561" t="str">
        <f aca="false">дома!A277</f>
        <v>Стойка каркаса по фронтону, односкатная кровля №13</v>
      </c>
      <c r="B113" s="2562" t="str">
        <f aca="false">дома!B277</f>
        <v>м.п.</v>
      </c>
      <c r="C113" s="2563" t="n">
        <f aca="false">дома!C277</f>
        <v>0.15</v>
      </c>
      <c r="D113" s="2563" t="n">
        <f aca="false">дома!D277</f>
        <v>0.05</v>
      </c>
      <c r="E113" s="2563" t="n">
        <f aca="false">дома!E277</f>
        <v>2.4</v>
      </c>
      <c r="F113" s="2563" t="n">
        <f aca="false">дома!F277</f>
        <v>0</v>
      </c>
      <c r="G113" s="2563" t="n">
        <f aca="false">E113*F113*IF('Ввод данных'!$A$8=связи1!$A$150,1,0)</f>
        <v>0</v>
      </c>
      <c r="H113" s="2563" t="n">
        <f aca="false">дома!G250*IF('Ввод данных'!$A$8=связи1!$A$150,1,0)</f>
        <v>0</v>
      </c>
    </row>
    <row r="114" customFormat="false" ht="14.5" hidden="false" customHeight="false" outlineLevel="0" collapsed="false">
      <c r="A114" s="2561" t="str">
        <f aca="false">дома!A278</f>
        <v>Стойка каркаса по фронтону, односкатная кровля №14</v>
      </c>
      <c r="B114" s="2562" t="str">
        <f aca="false">дома!B278</f>
        <v>м.п.</v>
      </c>
      <c r="C114" s="2563" t="n">
        <f aca="false">дома!C278</f>
        <v>0.15</v>
      </c>
      <c r="D114" s="2563" t="n">
        <f aca="false">дома!D278</f>
        <v>0.05</v>
      </c>
      <c r="E114" s="2563" t="n">
        <f aca="false">дома!E278</f>
        <v>2.2</v>
      </c>
      <c r="F114" s="2563" t="n">
        <f aca="false">дома!F278</f>
        <v>0</v>
      </c>
      <c r="G114" s="2563" t="n">
        <f aca="false">E114*F114*IF('Ввод данных'!$A$8=связи1!$A$150,1,0)</f>
        <v>0</v>
      </c>
      <c r="H114" s="2563" t="n">
        <f aca="false">дома!G251*IF('Ввод данных'!$A$8=связи1!$A$150,1,0)</f>
        <v>0</v>
      </c>
    </row>
    <row r="115" customFormat="false" ht="14.5" hidden="false" customHeight="false" outlineLevel="0" collapsed="false">
      <c r="A115" s="2561" t="str">
        <f aca="false">дома!A279</f>
        <v>Стойка каркаса по фронтону, односкатная кровля №15</v>
      </c>
      <c r="B115" s="2562" t="str">
        <f aca="false">дома!B279</f>
        <v>м.п.</v>
      </c>
      <c r="C115" s="2563" t="n">
        <f aca="false">дома!C279</f>
        <v>0.15</v>
      </c>
      <c r="D115" s="2563" t="n">
        <f aca="false">дома!D279</f>
        <v>0.05</v>
      </c>
      <c r="E115" s="2563" t="n">
        <f aca="false">дома!E279</f>
        <v>2</v>
      </c>
      <c r="F115" s="2563" t="n">
        <f aca="false">дома!F279</f>
        <v>0</v>
      </c>
      <c r="G115" s="2563" t="n">
        <f aca="false">E115*F115*IF('Ввод данных'!$A$8=связи1!$A$150,1,0)</f>
        <v>0</v>
      </c>
      <c r="H115" s="2563" t="n">
        <f aca="false">дома!G252*IF('Ввод данных'!$A$8=связи1!$A$150,1,0)</f>
        <v>0</v>
      </c>
    </row>
    <row r="116" customFormat="false" ht="14.5" hidden="false" customHeight="false" outlineLevel="0" collapsed="false">
      <c r="A116" s="2561" t="str">
        <f aca="false">дома!A280</f>
        <v>Стойка каркаса по фронтону, односкатная кровля №16</v>
      </c>
      <c r="B116" s="2562" t="str">
        <f aca="false">дома!B280</f>
        <v>м.п.</v>
      </c>
      <c r="C116" s="2563" t="n">
        <f aca="false">дома!C280</f>
        <v>0.15</v>
      </c>
      <c r="D116" s="2563" t="n">
        <f aca="false">дома!D280</f>
        <v>0.05</v>
      </c>
      <c r="E116" s="2563" t="n">
        <f aca="false">дома!E280</f>
        <v>1.8</v>
      </c>
      <c r="F116" s="2563" t="n">
        <f aca="false">дома!F280</f>
        <v>0</v>
      </c>
      <c r="G116" s="2563" t="n">
        <f aca="false">E116*F116*IF('Ввод данных'!$A$8=связи1!$A$150,1,0)</f>
        <v>0</v>
      </c>
      <c r="H116" s="2563" t="n">
        <f aca="false">дома!G253*IF('Ввод данных'!$A$8=связи1!$A$150,1,0)</f>
        <v>0</v>
      </c>
    </row>
    <row r="117" customFormat="false" ht="14.5" hidden="false" customHeight="false" outlineLevel="0" collapsed="false">
      <c r="A117" s="2561" t="str">
        <f aca="false">дома!A281</f>
        <v>Стойка каркаса по фронтону, односкатная кровля №17</v>
      </c>
      <c r="B117" s="2562" t="str">
        <f aca="false">дома!B281</f>
        <v>м.п.</v>
      </c>
      <c r="C117" s="2563" t="n">
        <f aca="false">дома!C281</f>
        <v>0.15</v>
      </c>
      <c r="D117" s="2563" t="n">
        <f aca="false">дома!D281</f>
        <v>0.05</v>
      </c>
      <c r="E117" s="2563" t="n">
        <f aca="false">дома!E281</f>
        <v>1.6</v>
      </c>
      <c r="F117" s="2563" t="n">
        <f aca="false">дома!F281</f>
        <v>0</v>
      </c>
      <c r="G117" s="2563" t="n">
        <f aca="false">E117*F117*IF('Ввод данных'!$A$8=связи1!$A$150,1,0)</f>
        <v>0</v>
      </c>
      <c r="H117" s="2563" t="n">
        <f aca="false">дома!G254*IF('Ввод данных'!$A$8=связи1!$A$150,1,0)</f>
        <v>0</v>
      </c>
    </row>
    <row r="118" customFormat="false" ht="14.5" hidden="false" customHeight="false" outlineLevel="0" collapsed="false">
      <c r="A118" s="2561" t="str">
        <f aca="false">дома!A282</f>
        <v>Стойка каркаса по фронтону, односкатная кровля №18</v>
      </c>
      <c r="B118" s="2562" t="str">
        <f aca="false">дома!B282</f>
        <v>м.п.</v>
      </c>
      <c r="C118" s="2563" t="n">
        <f aca="false">дома!C282</f>
        <v>0.15</v>
      </c>
      <c r="D118" s="2563" t="n">
        <f aca="false">дома!D282</f>
        <v>0.05</v>
      </c>
      <c r="E118" s="2563" t="n">
        <f aca="false">дома!E282</f>
        <v>1.4</v>
      </c>
      <c r="F118" s="2563" t="n">
        <f aca="false">дома!F282</f>
        <v>0</v>
      </c>
      <c r="G118" s="2563" t="n">
        <f aca="false">E118*F118*IF('Ввод данных'!$A$8=связи1!$A$150,1,0)</f>
        <v>0</v>
      </c>
      <c r="H118" s="2563" t="n">
        <f aca="false">дома!G255*IF('Ввод данных'!$A$8=связи1!$A$150,1,0)</f>
        <v>0</v>
      </c>
    </row>
    <row r="119" customFormat="false" ht="14.5" hidden="false" customHeight="false" outlineLevel="0" collapsed="false">
      <c r="A119" s="2561" t="str">
        <f aca="false">дома!A283</f>
        <v>Стойка каркаса по фронтону, односкатная кровля №19</v>
      </c>
      <c r="B119" s="2562" t="str">
        <f aca="false">дома!B283</f>
        <v>м.п.</v>
      </c>
      <c r="C119" s="2563" t="n">
        <f aca="false">дома!C283</f>
        <v>0.15</v>
      </c>
      <c r="D119" s="2563" t="n">
        <f aca="false">дома!D283</f>
        <v>0.05</v>
      </c>
      <c r="E119" s="2563" t="n">
        <f aca="false">дома!E283</f>
        <v>1.2</v>
      </c>
      <c r="F119" s="2563" t="n">
        <f aca="false">дома!F283</f>
        <v>0</v>
      </c>
      <c r="G119" s="2563" t="n">
        <f aca="false">E119*F119*IF('Ввод данных'!$A$8=связи1!$A$150,1,0)</f>
        <v>0</v>
      </c>
      <c r="H119" s="2563" t="n">
        <f aca="false">дома!G256*IF('Ввод данных'!$A$8=связи1!$A$150,1,0)</f>
        <v>0</v>
      </c>
    </row>
    <row r="120" customFormat="false" ht="14.5" hidden="false" customHeight="false" outlineLevel="0" collapsed="false">
      <c r="A120" s="2561" t="str">
        <f aca="false">дома!A284</f>
        <v>Стойка каркаса по фронтону, односкатная кровля №20</v>
      </c>
      <c r="B120" s="2562" t="str">
        <f aca="false">дома!B284</f>
        <v>м.п.</v>
      </c>
      <c r="C120" s="2563" t="n">
        <f aca="false">дома!C284</f>
        <v>0.15</v>
      </c>
      <c r="D120" s="2563" t="n">
        <f aca="false">дома!D284</f>
        <v>0.05</v>
      </c>
      <c r="E120" s="2563" t="n">
        <f aca="false">дома!E284</f>
        <v>0.999999999999998</v>
      </c>
      <c r="F120" s="2563" t="n">
        <f aca="false">дома!F284</f>
        <v>0</v>
      </c>
      <c r="G120" s="2563" t="n">
        <f aca="false">E120*F120*IF('Ввод данных'!$A$8=связи1!$A$150,1,0)</f>
        <v>0</v>
      </c>
      <c r="H120" s="2563" t="n">
        <f aca="false">дома!G257*IF('Ввод данных'!$A$8=связи1!$A$150,1,0)</f>
        <v>0</v>
      </c>
    </row>
    <row r="121" customFormat="false" ht="14.5" hidden="false" customHeight="false" outlineLevel="0" collapsed="false">
      <c r="A121" s="2561" t="str">
        <f aca="false">дома!A285</f>
        <v>Стойка каркаса по фронтону, односкатная кровля №21</v>
      </c>
      <c r="B121" s="2562" t="str">
        <f aca="false">дома!B285</f>
        <v>м.п.</v>
      </c>
      <c r="C121" s="2563" t="n">
        <f aca="false">дома!C285</f>
        <v>0.15</v>
      </c>
      <c r="D121" s="2563" t="n">
        <f aca="false">дома!D285</f>
        <v>0.05</v>
      </c>
      <c r="E121" s="2563" t="n">
        <f aca="false">дома!E285</f>
        <v>0.799999999999998</v>
      </c>
      <c r="F121" s="2563" t="n">
        <f aca="false">дома!F285</f>
        <v>0</v>
      </c>
      <c r="G121" s="2563" t="n">
        <f aca="false">E121*F121*IF('Ввод данных'!$A$8=связи1!$A$150,1,0)</f>
        <v>0</v>
      </c>
      <c r="H121" s="2563" t="n">
        <f aca="false">дома!G258*IF('Ввод данных'!$A$8=связи1!$A$150,1,0)</f>
        <v>0</v>
      </c>
    </row>
    <row r="122" customFormat="false" ht="14.5" hidden="false" customHeight="false" outlineLevel="0" collapsed="false">
      <c r="A122" s="2561" t="str">
        <f aca="false">дома!A286</f>
        <v>Стойка каркаса по фронтону, односкатная кровля №22</v>
      </c>
      <c r="B122" s="2562" t="str">
        <f aca="false">дома!B286</f>
        <v>м.п.</v>
      </c>
      <c r="C122" s="2563" t="n">
        <f aca="false">дома!C286</f>
        <v>0.15</v>
      </c>
      <c r="D122" s="2563" t="n">
        <f aca="false">дома!D286</f>
        <v>0.05</v>
      </c>
      <c r="E122" s="2563" t="n">
        <f aca="false">дома!E286</f>
        <v>0.599999999999998</v>
      </c>
      <c r="F122" s="2563" t="n">
        <f aca="false">дома!F286</f>
        <v>0</v>
      </c>
      <c r="G122" s="2563" t="n">
        <f aca="false">E122*F122*IF('Ввод данных'!$A$8=связи1!$A$150,1,0)</f>
        <v>0</v>
      </c>
      <c r="H122" s="2563" t="n">
        <f aca="false">дома!G259*IF('Ввод данных'!$A$8=связи1!$A$150,1,0)</f>
        <v>0</v>
      </c>
    </row>
    <row r="123" customFormat="false" ht="14.5" hidden="false" customHeight="false" outlineLevel="0" collapsed="false">
      <c r="A123" s="2561" t="str">
        <f aca="false">дома!A287</f>
        <v>Стойка каркаса по фронтону, односкатная кровля №23</v>
      </c>
      <c r="B123" s="2562" t="str">
        <f aca="false">дома!B287</f>
        <v>м.п.</v>
      </c>
      <c r="C123" s="2563" t="n">
        <f aca="false">дома!C287</f>
        <v>0.15</v>
      </c>
      <c r="D123" s="2563" t="n">
        <f aca="false">дома!D287</f>
        <v>0.05</v>
      </c>
      <c r="E123" s="2563" t="n">
        <f aca="false">дома!E287</f>
        <v>0.399999999999998</v>
      </c>
      <c r="F123" s="2563" t="n">
        <f aca="false">дома!F287</f>
        <v>0</v>
      </c>
      <c r="G123" s="2563" t="n">
        <f aca="false">E123*F123*IF('Ввод данных'!$A$8=связи1!$A$150,1,0)</f>
        <v>0</v>
      </c>
      <c r="H123" s="2563" t="n">
        <f aca="false">дома!G260*IF('Ввод данных'!$A$8=связи1!$A$150,1,0)</f>
        <v>0</v>
      </c>
    </row>
    <row r="124" customFormat="false" ht="14.5" hidden="false" customHeight="false" outlineLevel="0" collapsed="false">
      <c r="A124" s="2561" t="str">
        <f aca="false">дома!A288</f>
        <v>Стойка каркаса по фронтону, односкатная кровля №24</v>
      </c>
      <c r="B124" s="2562" t="str">
        <f aca="false">дома!B288</f>
        <v>м.п.</v>
      </c>
      <c r="C124" s="2563" t="n">
        <f aca="false">дома!C288</f>
        <v>0.15</v>
      </c>
      <c r="D124" s="2563" t="n">
        <f aca="false">дома!D288</f>
        <v>0.05</v>
      </c>
      <c r="E124" s="2563" t="n">
        <f aca="false">дома!E288</f>
        <v>0.199999999999998</v>
      </c>
      <c r="F124" s="2563" t="n">
        <f aca="false">дома!F288</f>
        <v>0</v>
      </c>
      <c r="G124" s="2563" t="n">
        <f aca="false">E124*F124*IF('Ввод данных'!$A$8=связи1!$A$150,1,0)</f>
        <v>0</v>
      </c>
      <c r="H124" s="2563" t="n">
        <f aca="false">дома!G261*IF('Ввод данных'!$A$8=связи1!$A$150,1,0)</f>
        <v>0</v>
      </c>
    </row>
    <row r="125" customFormat="false" ht="14.5" hidden="false" customHeight="false" outlineLevel="0" collapsed="false">
      <c r="A125" s="2561" t="str">
        <f aca="false">дома!A289</f>
        <v>Стойка каркаса по фронтону, односкатная кровля №25</v>
      </c>
      <c r="B125" s="2562" t="str">
        <f aca="false">дома!B289</f>
        <v>м.п.</v>
      </c>
      <c r="C125" s="2563" t="n">
        <f aca="false">дома!C289</f>
        <v>0.15</v>
      </c>
      <c r="D125" s="2563" t="n">
        <f aca="false">дома!D289</f>
        <v>0.05</v>
      </c>
      <c r="E125" s="2563" t="n">
        <f aca="false">дома!E289</f>
        <v>-2.05391259555654E-015</v>
      </c>
      <c r="F125" s="2563" t="n">
        <f aca="false">дома!F289</f>
        <v>0</v>
      </c>
      <c r="G125" s="2563" t="n">
        <f aca="false">E125*F125*IF('Ввод данных'!$A$8=связи1!$A$150,1,0)</f>
        <v>0</v>
      </c>
      <c r="H125" s="2563" t="n">
        <f aca="false">дома!G262*IF('Ввод данных'!$A$8=связи1!$A$150,1,0)</f>
        <v>0</v>
      </c>
    </row>
    <row r="126" customFormat="false" ht="14.5" hidden="false" customHeight="false" outlineLevel="0" collapsed="false">
      <c r="A126" s="2561" t="str">
        <f aca="false">дома!A290</f>
        <v>Стойка каркаса по фронтону, односкатная кровля №26</v>
      </c>
      <c r="B126" s="2562" t="str">
        <f aca="false">дома!B290</f>
        <v>м.п.</v>
      </c>
      <c r="C126" s="2563" t="n">
        <f aca="false">дома!C290</f>
        <v>0.15</v>
      </c>
      <c r="D126" s="2563" t="n">
        <f aca="false">дома!D290</f>
        <v>0.05</v>
      </c>
      <c r="E126" s="2563" t="n">
        <f aca="false">дома!E290</f>
        <v>0</v>
      </c>
      <c r="F126" s="2563" t="n">
        <f aca="false">дома!F290</f>
        <v>0</v>
      </c>
      <c r="G126" s="2563" t="n">
        <f aca="false">E126*F126*IF('Ввод данных'!$A$8=связи1!$A$150,1,0)</f>
        <v>0</v>
      </c>
      <c r="H126" s="2563" t="n">
        <f aca="false">дома!G263*IF('Ввод данных'!$A$8=связи1!$A$150,1,0)</f>
        <v>0</v>
      </c>
    </row>
    <row r="127" customFormat="false" ht="14.5" hidden="false" customHeight="false" outlineLevel="0" collapsed="false">
      <c r="A127" s="2561" t="str">
        <f aca="false">дома!A291</f>
        <v>Стойка каркаса по фронтону, односкатная кровля №27</v>
      </c>
      <c r="B127" s="2562" t="str">
        <f aca="false">дома!B291</f>
        <v>м.п.</v>
      </c>
      <c r="C127" s="2563" t="n">
        <f aca="false">дома!C291</f>
        <v>0.15</v>
      </c>
      <c r="D127" s="2563" t="n">
        <f aca="false">дома!D291</f>
        <v>0.05</v>
      </c>
      <c r="E127" s="2563" t="n">
        <f aca="false">дома!E291</f>
        <v>0</v>
      </c>
      <c r="F127" s="2563" t="n">
        <f aca="false">дома!F291</f>
        <v>0</v>
      </c>
      <c r="G127" s="2563" t="n">
        <f aca="false">E127*F127*IF('Ввод данных'!$A$8=связи1!$A$150,1,0)</f>
        <v>0</v>
      </c>
      <c r="H127" s="2563" t="n">
        <f aca="false">дома!G264*IF('Ввод данных'!$A$8=связи1!$A$150,1,0)</f>
        <v>0</v>
      </c>
    </row>
    <row r="128" customFormat="false" ht="14.5" hidden="false" customHeight="false" outlineLevel="0" collapsed="false">
      <c r="A128" s="2561" t="str">
        <f aca="false">дома!A292</f>
        <v>Стойка каркаса по фронтону, односкатная кровля №28</v>
      </c>
      <c r="B128" s="2562" t="str">
        <f aca="false">дома!B292</f>
        <v>м.п.</v>
      </c>
      <c r="C128" s="2563" t="n">
        <f aca="false">дома!C292</f>
        <v>0.15</v>
      </c>
      <c r="D128" s="2563" t="n">
        <f aca="false">дома!D292</f>
        <v>0.05</v>
      </c>
      <c r="E128" s="2563" t="n">
        <f aca="false">дома!E292</f>
        <v>0</v>
      </c>
      <c r="F128" s="2563" t="n">
        <f aca="false">дома!F292</f>
        <v>0</v>
      </c>
      <c r="G128" s="2563" t="n">
        <f aca="false">E128*F128*IF('Ввод данных'!$A$8=связи1!$A$150,1,0)</f>
        <v>0</v>
      </c>
      <c r="H128" s="2563" t="n">
        <f aca="false">дома!G265*IF('Ввод данных'!$A$8=связи1!$A$150,1,0)</f>
        <v>0</v>
      </c>
    </row>
    <row r="129" customFormat="false" ht="14.5" hidden="false" customHeight="false" outlineLevel="0" collapsed="false">
      <c r="A129" s="2561" t="str">
        <f aca="false">дома!A293</f>
        <v>Стойка каркаса по фронтону, односкатная кровля №29</v>
      </c>
      <c r="B129" s="2562" t="str">
        <f aca="false">дома!B293</f>
        <v>м.п.</v>
      </c>
      <c r="C129" s="2563" t="n">
        <f aca="false">дома!C293</f>
        <v>0.15</v>
      </c>
      <c r="D129" s="2563" t="n">
        <f aca="false">дома!D293</f>
        <v>0.05</v>
      </c>
      <c r="E129" s="2563" t="n">
        <f aca="false">дома!E293</f>
        <v>0</v>
      </c>
      <c r="F129" s="2563" t="n">
        <f aca="false">дома!F293</f>
        <v>0</v>
      </c>
      <c r="G129" s="2563" t="n">
        <f aca="false">E129*F129*IF('Ввод данных'!$A$8=связи1!$A$150,1,0)</f>
        <v>0</v>
      </c>
      <c r="H129" s="2563" t="n">
        <f aca="false">дома!G266*IF('Ввод данных'!$A$8=связи1!$A$150,1,0)</f>
        <v>0</v>
      </c>
    </row>
    <row r="130" customFormat="false" ht="14.5" hidden="false" customHeight="false" outlineLevel="0" collapsed="false">
      <c r="A130" s="2561" t="str">
        <f aca="false">дома!A294</f>
        <v>Стойка каркаса по фронтону, односкатная кровля №30</v>
      </c>
      <c r="B130" s="2562" t="str">
        <f aca="false">дома!B294</f>
        <v>м.п.</v>
      </c>
      <c r="C130" s="2563" t="n">
        <f aca="false">дома!C294</f>
        <v>0.15</v>
      </c>
      <c r="D130" s="2563" t="n">
        <f aca="false">дома!D294</f>
        <v>0.05</v>
      </c>
      <c r="E130" s="2563" t="n">
        <f aca="false">дома!E294</f>
        <v>0</v>
      </c>
      <c r="F130" s="2563" t="n">
        <f aca="false">дома!F294</f>
        <v>0</v>
      </c>
      <c r="G130" s="2563" t="n">
        <f aca="false">E130*F130*IF('Ввод данных'!$A$8=связи1!$A$150,1,0)</f>
        <v>0</v>
      </c>
      <c r="H130" s="2563" t="n">
        <f aca="false">дома!G267*IF('Ввод данных'!$A$8=связи1!$A$150,1,0)</f>
        <v>0</v>
      </c>
    </row>
    <row r="131" customFormat="false" ht="14.5" hidden="false" customHeight="false" outlineLevel="0" collapsed="false">
      <c r="A131" s="2561" t="str">
        <f aca="false">дома!A295</f>
        <v>Стойка каркаса по фронтону, односкатная кровля №31</v>
      </c>
      <c r="B131" s="2562" t="str">
        <f aca="false">дома!B295</f>
        <v>м.п.</v>
      </c>
      <c r="C131" s="2563" t="n">
        <f aca="false">дома!C295</f>
        <v>0.15</v>
      </c>
      <c r="D131" s="2563" t="n">
        <f aca="false">дома!D295</f>
        <v>0.05</v>
      </c>
      <c r="E131" s="2563" t="n">
        <f aca="false">дома!E295</f>
        <v>0</v>
      </c>
      <c r="F131" s="2563" t="n">
        <f aca="false">дома!F295</f>
        <v>0</v>
      </c>
      <c r="G131" s="2563" t="n">
        <f aca="false">E131*F131*IF('Ввод данных'!$A$8=связи1!$A$150,1,0)</f>
        <v>0</v>
      </c>
      <c r="H131" s="2563" t="n">
        <f aca="false">дома!G268*IF('Ввод данных'!$A$8=связи1!$A$150,1,0)</f>
        <v>0</v>
      </c>
    </row>
    <row r="132" customFormat="false" ht="14.5" hidden="false" customHeight="false" outlineLevel="0" collapsed="false">
      <c r="A132" s="2561" t="str">
        <f aca="false">дома!A296</f>
        <v>Стойка каркаса по фронтону, односкатная кровля №32</v>
      </c>
      <c r="B132" s="2562" t="str">
        <f aca="false">дома!B296</f>
        <v>м.п.</v>
      </c>
      <c r="C132" s="2563" t="n">
        <f aca="false">дома!C296</f>
        <v>0.15</v>
      </c>
      <c r="D132" s="2563" t="n">
        <f aca="false">дома!D296</f>
        <v>0.05</v>
      </c>
      <c r="E132" s="2563" t="n">
        <f aca="false">дома!E296</f>
        <v>0</v>
      </c>
      <c r="F132" s="2563" t="n">
        <f aca="false">дома!F296</f>
        <v>0</v>
      </c>
      <c r="G132" s="2563" t="n">
        <f aca="false">E132*F132*IF('Ввод данных'!$A$8=связи1!$A$150,1,0)</f>
        <v>0</v>
      </c>
      <c r="H132" s="2563" t="n">
        <f aca="false">дома!G269*IF('Ввод данных'!$A$8=связи1!$A$150,1,0)</f>
        <v>0</v>
      </c>
    </row>
    <row r="133" customFormat="false" ht="14.5" hidden="false" customHeight="false" outlineLevel="0" collapsed="false">
      <c r="A133" s="2561" t="str">
        <f aca="false">дома!A297</f>
        <v>Стойка каркаса по фронтону, односкатная кровля №33</v>
      </c>
      <c r="B133" s="2562" t="str">
        <f aca="false">дома!B297</f>
        <v>м.п.</v>
      </c>
      <c r="C133" s="2563" t="n">
        <f aca="false">дома!C297</f>
        <v>0.15</v>
      </c>
      <c r="D133" s="2563" t="n">
        <f aca="false">дома!D297</f>
        <v>0.05</v>
      </c>
      <c r="E133" s="2563" t="n">
        <f aca="false">дома!E297</f>
        <v>0</v>
      </c>
      <c r="F133" s="2563" t="n">
        <f aca="false">дома!F297</f>
        <v>0</v>
      </c>
      <c r="G133" s="2563" t="n">
        <f aca="false">E133*F133*IF('Ввод данных'!$A$8=связи1!$A$150,1,0)</f>
        <v>0</v>
      </c>
      <c r="H133" s="2563" t="n">
        <f aca="false">дома!G270*IF('Ввод данных'!$A$8=связи1!$A$150,1,0)</f>
        <v>0</v>
      </c>
    </row>
    <row r="134" customFormat="false" ht="14.5" hidden="false" customHeight="false" outlineLevel="0" collapsed="false">
      <c r="A134" s="2561" t="str">
        <f aca="false">дома!A298</f>
        <v>Стойка каркаса по фронтону, односкатная кровля №34</v>
      </c>
      <c r="B134" s="2562" t="str">
        <f aca="false">дома!B298</f>
        <v>м.п.</v>
      </c>
      <c r="C134" s="2563" t="n">
        <f aca="false">дома!C298</f>
        <v>0.15</v>
      </c>
      <c r="D134" s="2563" t="n">
        <f aca="false">дома!D298</f>
        <v>0.05</v>
      </c>
      <c r="E134" s="2563" t="n">
        <f aca="false">дома!E298</f>
        <v>0</v>
      </c>
      <c r="F134" s="2563" t="n">
        <f aca="false">дома!F298</f>
        <v>0</v>
      </c>
      <c r="G134" s="2563" t="n">
        <f aca="false">E134*F134*IF('Ввод данных'!$A$8=связи1!$A$150,1,0)</f>
        <v>0</v>
      </c>
      <c r="H134" s="2563" t="n">
        <f aca="false">дома!G271*IF('Ввод данных'!$A$8=связи1!$A$150,1,0)</f>
        <v>0</v>
      </c>
    </row>
    <row r="135" customFormat="false" ht="14.5" hidden="false" customHeight="false" outlineLevel="0" collapsed="false">
      <c r="A135" s="2561" t="str">
        <f aca="false">дома!A299</f>
        <v>Стойка каркаса по фронтону, односкатная кровля №35</v>
      </c>
      <c r="B135" s="2562" t="str">
        <f aca="false">дома!B299</f>
        <v>м.п.</v>
      </c>
      <c r="C135" s="2563" t="n">
        <f aca="false">дома!C299</f>
        <v>0.15</v>
      </c>
      <c r="D135" s="2563" t="n">
        <f aca="false">дома!D299</f>
        <v>0.05</v>
      </c>
      <c r="E135" s="2563" t="n">
        <f aca="false">дома!E299</f>
        <v>0</v>
      </c>
      <c r="F135" s="2563" t="n">
        <f aca="false">дома!F299</f>
        <v>0</v>
      </c>
      <c r="G135" s="2563" t="n">
        <f aca="false">E135*F135*IF('Ввод данных'!$A$8=связи1!$A$150,1,0)</f>
        <v>0</v>
      </c>
      <c r="H135" s="2563" t="n">
        <f aca="false">дома!G272*IF('Ввод данных'!$A$8=связи1!$A$150,1,0)</f>
        <v>0</v>
      </c>
    </row>
    <row r="136" customFormat="false" ht="14.5" hidden="false" customHeight="false" outlineLevel="0" collapsed="false">
      <c r="A136" s="2561" t="str">
        <f aca="false">дома!A300</f>
        <v>Стойка каркаса по фронтону, односкатная кровля №36</v>
      </c>
      <c r="B136" s="2562" t="str">
        <f aca="false">дома!B300</f>
        <v>м.п.</v>
      </c>
      <c r="C136" s="2563" t="n">
        <f aca="false">дома!C300</f>
        <v>0.15</v>
      </c>
      <c r="D136" s="2563" t="n">
        <f aca="false">дома!D300</f>
        <v>0.05</v>
      </c>
      <c r="E136" s="2563" t="n">
        <f aca="false">дома!E300</f>
        <v>0</v>
      </c>
      <c r="F136" s="2563" t="n">
        <f aca="false">дома!F300</f>
        <v>0</v>
      </c>
      <c r="G136" s="2563" t="n">
        <f aca="false">E136*F136*IF('Ввод данных'!$A$8=связи1!$A$150,1,0)</f>
        <v>0</v>
      </c>
      <c r="H136" s="2563" t="n">
        <f aca="false">дома!G273*IF('Ввод данных'!$A$8=связи1!$A$150,1,0)</f>
        <v>0</v>
      </c>
    </row>
    <row r="137" customFormat="false" ht="14.5" hidden="false" customHeight="false" outlineLevel="0" collapsed="false">
      <c r="A137" s="2561" t="str">
        <f aca="false">дома!A301</f>
        <v>Стойка каркаса по фронтону, односкатная кровля №37</v>
      </c>
      <c r="B137" s="2562" t="str">
        <f aca="false">дома!B301</f>
        <v>м.п.</v>
      </c>
      <c r="C137" s="2563" t="n">
        <f aca="false">дома!C301</f>
        <v>0.15</v>
      </c>
      <c r="D137" s="2563" t="n">
        <f aca="false">дома!D301</f>
        <v>0.05</v>
      </c>
      <c r="E137" s="2563" t="n">
        <f aca="false">дома!E301</f>
        <v>0</v>
      </c>
      <c r="F137" s="2563" t="n">
        <f aca="false">дома!F301</f>
        <v>0</v>
      </c>
      <c r="G137" s="2563" t="n">
        <f aca="false">E137*F137*IF('Ввод данных'!$A$8=связи1!$A$150,1,0)</f>
        <v>0</v>
      </c>
      <c r="H137" s="2563" t="n">
        <f aca="false">дома!G274*IF('Ввод данных'!$A$8=связи1!$A$150,1,0)</f>
        <v>0</v>
      </c>
    </row>
    <row r="138" customFormat="false" ht="14.5" hidden="false" customHeight="false" outlineLevel="0" collapsed="false">
      <c r="A138" s="2561" t="str">
        <f aca="false">дома!A302</f>
        <v>Стойка каркаса по фронтону, односкатная кровля №38</v>
      </c>
      <c r="B138" s="2562" t="str">
        <f aca="false">дома!B302</f>
        <v>м.п.</v>
      </c>
      <c r="C138" s="2563" t="n">
        <f aca="false">дома!C302</f>
        <v>0.15</v>
      </c>
      <c r="D138" s="2563" t="n">
        <f aca="false">дома!D302</f>
        <v>0.05</v>
      </c>
      <c r="E138" s="2563" t="n">
        <f aca="false">дома!E302</f>
        <v>0</v>
      </c>
      <c r="F138" s="2563" t="n">
        <f aca="false">дома!F302</f>
        <v>0</v>
      </c>
      <c r="G138" s="2563" t="n">
        <f aca="false">E138*F138*IF('Ввод данных'!$A$8=связи1!$A$150,1,0)</f>
        <v>0</v>
      </c>
      <c r="H138" s="2563" t="n">
        <f aca="false">дома!G275*IF('Ввод данных'!$A$8=связи1!$A$150,1,0)</f>
        <v>0</v>
      </c>
    </row>
    <row r="139" customFormat="false" ht="14.5" hidden="false" customHeight="false" outlineLevel="0" collapsed="false">
      <c r="A139" s="2561" t="str">
        <f aca="false">дома!A303</f>
        <v>Стойка каркаса по фронтону, односкатная кровля №39</v>
      </c>
      <c r="B139" s="2562" t="str">
        <f aca="false">дома!B303</f>
        <v>м.п.</v>
      </c>
      <c r="C139" s="2563" t="n">
        <f aca="false">дома!C303</f>
        <v>0.15</v>
      </c>
      <c r="D139" s="2563" t="n">
        <f aca="false">дома!D303</f>
        <v>0.05</v>
      </c>
      <c r="E139" s="2563" t="n">
        <f aca="false">дома!E303</f>
        <v>0</v>
      </c>
      <c r="F139" s="2563" t="n">
        <f aca="false">дома!F303</f>
        <v>0</v>
      </c>
      <c r="G139" s="2563" t="n">
        <f aca="false">E139*F139*IF('Ввод данных'!$A$8=связи1!$A$150,1,0)</f>
        <v>0</v>
      </c>
      <c r="H139" s="2563" t="n">
        <f aca="false">дома!G276*IF('Ввод данных'!$A$8=связи1!$A$150,1,0)</f>
        <v>0</v>
      </c>
    </row>
    <row r="140" customFormat="false" ht="14.5" hidden="false" customHeight="false" outlineLevel="0" collapsed="false">
      <c r="A140" s="2561" t="str">
        <f aca="false">дома!A304</f>
        <v>Стойка каркаса по фронтону, односкатная кровля №40</v>
      </c>
      <c r="B140" s="2562" t="str">
        <f aca="false">дома!B304</f>
        <v>м.п.</v>
      </c>
      <c r="C140" s="2563" t="n">
        <f aca="false">дома!C304</f>
        <v>0.15</v>
      </c>
      <c r="D140" s="2563" t="n">
        <f aca="false">дома!D304</f>
        <v>0.05</v>
      </c>
      <c r="E140" s="2563" t="n">
        <f aca="false">дома!E304</f>
        <v>0</v>
      </c>
      <c r="F140" s="2563" t="n">
        <f aca="false">дома!F304</f>
        <v>0</v>
      </c>
      <c r="G140" s="2563" t="n">
        <f aca="false">E140*F140*IF('Ввод данных'!$A$8=связи1!$A$150,1,0)</f>
        <v>0</v>
      </c>
      <c r="H140" s="2563" t="n">
        <f aca="false">дома!G277*IF('Ввод данных'!$A$8=связи1!$A$150,1,0)</f>
        <v>0</v>
      </c>
    </row>
    <row r="141" customFormat="false" ht="14.5" hidden="false" customHeight="false" outlineLevel="0" collapsed="false">
      <c r="A141" s="2561" t="str">
        <f aca="false">дома!A305</f>
        <v>Стойка каркаса по фронтону, односкатная кровля №41</v>
      </c>
      <c r="B141" s="2562" t="str">
        <f aca="false">дома!B305</f>
        <v>м.п.</v>
      </c>
      <c r="C141" s="2563" t="n">
        <f aca="false">дома!C305</f>
        <v>0.15</v>
      </c>
      <c r="D141" s="2563" t="n">
        <f aca="false">дома!D305</f>
        <v>0.05</v>
      </c>
      <c r="E141" s="2563" t="n">
        <f aca="false">дома!E305</f>
        <v>0</v>
      </c>
      <c r="F141" s="2563" t="n">
        <f aca="false">дома!F305</f>
        <v>0</v>
      </c>
      <c r="G141" s="2563" t="n">
        <f aca="false">E141*F141*IF('Ввод данных'!$A$8=связи1!$A$150,1,0)</f>
        <v>0</v>
      </c>
      <c r="H141" s="2563" t="n">
        <f aca="false">дома!G278*IF('Ввод данных'!$A$8=связи1!$A$150,1,0)</f>
        <v>0</v>
      </c>
    </row>
    <row r="142" customFormat="false" ht="14.5" hidden="false" customHeight="false" outlineLevel="0" collapsed="false">
      <c r="A142" s="2561" t="str">
        <f aca="false">дома!A306</f>
        <v>Обвязка каркаса нижняя, односкатная кровля</v>
      </c>
      <c r="B142" s="2562" t="str">
        <f aca="false">дома!B306</f>
        <v>м.п.</v>
      </c>
      <c r="C142" s="2563" t="n">
        <f aca="false">дома!C306</f>
        <v>0.15</v>
      </c>
      <c r="D142" s="2563" t="n">
        <f aca="false">дома!D306</f>
        <v>0.05</v>
      </c>
      <c r="E142" s="2563" t="n">
        <f aca="false">дома!E306</f>
        <v>0</v>
      </c>
      <c r="F142" s="2563" t="n">
        <f aca="false">дома!F306</f>
        <v>0</v>
      </c>
      <c r="G142" s="2563" t="n">
        <f aca="false">E142*F142*IF('Ввод данных'!$A$8=связи1!$A$150,1,0)</f>
        <v>0</v>
      </c>
      <c r="H142" s="2563" t="n">
        <f aca="false">дома!G279*IF('Ввод данных'!$A$8=связи1!$A$150,1,0)</f>
        <v>0</v>
      </c>
    </row>
    <row r="143" customFormat="false" ht="14.5" hidden="false" customHeight="false" outlineLevel="0" collapsed="false">
      <c r="A143" s="2561" t="str">
        <f aca="false">дома!A307</f>
        <v>Обвязка каркаса верхняя, односкатная кровля</v>
      </c>
      <c r="B143" s="2562" t="str">
        <f aca="false">дома!B307</f>
        <v>м.п.</v>
      </c>
      <c r="C143" s="2563" t="n">
        <f aca="false">дома!C307</f>
        <v>0.15</v>
      </c>
      <c r="D143" s="2563" t="n">
        <f aca="false">дома!D307</f>
        <v>0.05</v>
      </c>
      <c r="E143" s="2563" t="n">
        <f aca="false">дома!E307</f>
        <v>24.5967477524977</v>
      </c>
      <c r="F143" s="2563" t="n">
        <f aca="false">дома!F307</f>
        <v>0</v>
      </c>
      <c r="G143" s="2563" t="n">
        <f aca="false">E143*F143*IF('Ввод данных'!$A$8=связи1!$A$150,1,0)</f>
        <v>0</v>
      </c>
      <c r="H143" s="2563" t="n">
        <f aca="false">дома!G280*IF('Ввод данных'!$A$8=связи1!$A$150,1,0)</f>
        <v>0</v>
      </c>
    </row>
    <row r="144" customFormat="false" ht="14.5" hidden="false" customHeight="false" outlineLevel="0" collapsed="false">
      <c r="A144" s="2561" t="str">
        <f aca="false">дома!A308</f>
        <v>Ригель каркаса фронтона, односкатная кровля</v>
      </c>
      <c r="B144" s="2562" t="str">
        <f aca="false">дома!B308</f>
        <v>м.п.</v>
      </c>
      <c r="C144" s="2563" t="n">
        <f aca="false">дома!C308</f>
        <v>0.15</v>
      </c>
      <c r="D144" s="2563" t="n">
        <f aca="false">дома!D308</f>
        <v>0.05</v>
      </c>
      <c r="E144" s="2563" t="n">
        <f aca="false">дома!E308</f>
        <v>24.5967477524977</v>
      </c>
      <c r="F144" s="2563" t="n">
        <f aca="false">дома!F308</f>
        <v>0</v>
      </c>
      <c r="G144" s="2563" t="n">
        <f aca="false">E144*F144*IF('Ввод данных'!$A$8=связи1!$A$150,1,0)</f>
        <v>0</v>
      </c>
      <c r="H144" s="2563" t="n">
        <f aca="false">дома!G281*IF('Ввод данных'!$A$8=связи1!$A$150,1,0)</f>
        <v>0</v>
      </c>
    </row>
    <row r="145" customFormat="false" ht="14.5" hidden="false" customHeight="false" outlineLevel="0" collapsed="false">
      <c r="A145" s="2561" t="str">
        <f aca="false">дома!A309</f>
        <v>Стойки каркаса, левая сторона 2 эт</v>
      </c>
      <c r="B145" s="2562" t="str">
        <f aca="false">дома!B309</f>
        <v>м.п.</v>
      </c>
      <c r="C145" s="2563" t="n">
        <f aca="false">дома!C309</f>
        <v>0.15</v>
      </c>
      <c r="D145" s="2563" t="n">
        <f aca="false">дома!D309</f>
        <v>0.05</v>
      </c>
      <c r="E145" s="2563" t="n">
        <f aca="false">дома!E309</f>
        <v>3</v>
      </c>
      <c r="F145" s="2563" t="n">
        <f aca="false">дома!F309</f>
        <v>0</v>
      </c>
      <c r="G145" s="2563" t="n">
        <f aca="false">E145*F145*IF('Ввод данных'!$A$8=связи1!$A$150,1,0)</f>
        <v>0</v>
      </c>
      <c r="H145" s="2563" t="n">
        <f aca="false">дома!G282*IF('Ввод данных'!$A$8=связи1!$A$150,1,0)</f>
        <v>0</v>
      </c>
    </row>
    <row r="146" customFormat="false" ht="14.5" hidden="false" customHeight="false" outlineLevel="0" collapsed="false">
      <c r="A146" s="2561" t="str">
        <f aca="false">дома!A310</f>
        <v>Стойки каркаса, правая сторона 2 эт</v>
      </c>
      <c r="B146" s="2562" t="str">
        <f aca="false">дома!B310</f>
        <v>м.п.</v>
      </c>
      <c r="C146" s="2563" t="n">
        <f aca="false">дома!C310</f>
        <v>0.15</v>
      </c>
      <c r="D146" s="2563" t="n">
        <f aca="false">дома!D310</f>
        <v>0.05</v>
      </c>
      <c r="E146" s="2563" t="n">
        <f aca="false">дома!E310</f>
        <v>3</v>
      </c>
      <c r="F146" s="2563" t="n">
        <f aca="false">дома!F310</f>
        <v>0</v>
      </c>
      <c r="G146" s="2563" t="n">
        <f aca="false">E146*F146*IF('Ввод данных'!$A$8=связи1!$A$150,1,0)</f>
        <v>0</v>
      </c>
      <c r="H146" s="2563" t="n">
        <f aca="false">дома!G283*IF('Ввод данных'!$A$8=связи1!$A$150,1,0)</f>
        <v>0</v>
      </c>
    </row>
    <row r="147" customFormat="false" ht="14.5" hidden="false" customHeight="false" outlineLevel="0" collapsed="false">
      <c r="A147" s="2561" t="str">
        <f aca="false">дома!A311</f>
        <v>Стойки каркаса передней/задней стены 2 эт</v>
      </c>
      <c r="B147" s="2562" t="str">
        <f aca="false">дома!B311</f>
        <v>м.п.</v>
      </c>
      <c r="C147" s="2563" t="n">
        <f aca="false">дома!C311</f>
        <v>0.15</v>
      </c>
      <c r="D147" s="2563" t="n">
        <f aca="false">дома!D311</f>
        <v>0.05</v>
      </c>
      <c r="E147" s="2563" t="n">
        <f aca="false">дома!E311</f>
        <v>3</v>
      </c>
      <c r="F147" s="2563" t="n">
        <f aca="false">дома!F311</f>
        <v>0</v>
      </c>
      <c r="G147" s="2563" t="n">
        <f aca="false">E147*F147*IF('Ввод данных'!$A$8=связи1!$A$150,1,0)</f>
        <v>0</v>
      </c>
      <c r="H147" s="2563" t="n">
        <f aca="false">дома!G284*IF('Ввод данных'!$A$8=связи1!$A$150,1,0)</f>
        <v>0</v>
      </c>
    </row>
    <row r="148" customFormat="false" ht="14.5" hidden="false" customHeight="false" outlineLevel="0" collapsed="false">
      <c r="A148" s="2561" t="str">
        <f aca="false">дома!A312</f>
        <v>Стойка каркаса по фронтону, односкатная кровля №0</v>
      </c>
      <c r="B148" s="2562" t="str">
        <f aca="false">дома!B312</f>
        <v>м.п.</v>
      </c>
      <c r="C148" s="2563" t="n">
        <f aca="false">дома!C312</f>
        <v>0.15</v>
      </c>
      <c r="D148" s="2563" t="n">
        <f aca="false">дома!D312</f>
        <v>0.05</v>
      </c>
      <c r="E148" s="2563" t="n">
        <f aca="false">дома!E312</f>
        <v>5</v>
      </c>
      <c r="F148" s="2563" t="n">
        <f aca="false">дома!F312</f>
        <v>0</v>
      </c>
      <c r="G148" s="2563" t="n">
        <f aca="false">E148*F148*IF('Ввод данных'!$A$8=связи1!$A$150,1,0)</f>
        <v>0</v>
      </c>
      <c r="H148" s="2563" t="n">
        <f aca="false">дома!G285*IF('Ввод данных'!$A$8=связи1!$A$150,1,0)</f>
        <v>0</v>
      </c>
    </row>
    <row r="149" customFormat="false" ht="14.5" hidden="false" customHeight="false" outlineLevel="0" collapsed="false">
      <c r="A149" s="2561" t="str">
        <f aca="false">дома!A313</f>
        <v>Стойка каркаса по фронтону, односкатная кровля №1</v>
      </c>
      <c r="B149" s="2562" t="str">
        <f aca="false">дома!B313</f>
        <v>м.п.</v>
      </c>
      <c r="C149" s="2563" t="n">
        <f aca="false">дома!C313</f>
        <v>0.15</v>
      </c>
      <c r="D149" s="2563" t="n">
        <f aca="false">дома!D313</f>
        <v>0.05</v>
      </c>
      <c r="E149" s="2563" t="n">
        <f aca="false">дома!E313</f>
        <v>4.8</v>
      </c>
      <c r="F149" s="2563" t="n">
        <f aca="false">дома!F313</f>
        <v>0</v>
      </c>
      <c r="G149" s="2563" t="n">
        <f aca="false">E149*F149*IF('Ввод данных'!$A$8=связи1!$A$150,1,0)</f>
        <v>0</v>
      </c>
      <c r="H149" s="2563" t="n">
        <f aca="false">дома!G286*IF('Ввод данных'!$A$8=связи1!$A$150,1,0)</f>
        <v>0</v>
      </c>
    </row>
    <row r="150" customFormat="false" ht="14.5" hidden="false" customHeight="false" outlineLevel="0" collapsed="false">
      <c r="A150" s="2561" t="str">
        <f aca="false">дома!A314</f>
        <v>Стойка каркаса по фронтону, односкатная кровля №2</v>
      </c>
      <c r="B150" s="2562" t="str">
        <f aca="false">дома!B314</f>
        <v>м.п.</v>
      </c>
      <c r="C150" s="2563" t="n">
        <f aca="false">дома!C314</f>
        <v>0.15</v>
      </c>
      <c r="D150" s="2563" t="n">
        <f aca="false">дома!D314</f>
        <v>0.05</v>
      </c>
      <c r="E150" s="2563" t="n">
        <f aca="false">дома!E314</f>
        <v>4.6</v>
      </c>
      <c r="F150" s="2563" t="n">
        <f aca="false">дома!F314</f>
        <v>0</v>
      </c>
      <c r="G150" s="2563" t="n">
        <f aca="false">E150*F150*IF('Ввод данных'!$A$8=связи1!$A$150,1,0)</f>
        <v>0</v>
      </c>
      <c r="H150" s="2563" t="n">
        <f aca="false">дома!G287*IF('Ввод данных'!$A$8=связи1!$A$150,1,0)</f>
        <v>0</v>
      </c>
    </row>
    <row r="151" customFormat="false" ht="14.5" hidden="false" customHeight="false" outlineLevel="0" collapsed="false">
      <c r="A151" s="2561" t="str">
        <f aca="false">дома!A315</f>
        <v>Стойка каркаса по фронтону, односкатная кровля №3</v>
      </c>
      <c r="B151" s="2562" t="str">
        <f aca="false">дома!B315</f>
        <v>м.п.</v>
      </c>
      <c r="C151" s="2563" t="n">
        <f aca="false">дома!C315</f>
        <v>0.15</v>
      </c>
      <c r="D151" s="2563" t="n">
        <f aca="false">дома!D315</f>
        <v>0.05</v>
      </c>
      <c r="E151" s="2563" t="n">
        <f aca="false">дома!E315</f>
        <v>4.4</v>
      </c>
      <c r="F151" s="2563" t="n">
        <f aca="false">дома!F315</f>
        <v>0</v>
      </c>
      <c r="G151" s="2563" t="n">
        <f aca="false">E151*F151*IF('Ввод данных'!$A$8=связи1!$A$150,1,0)</f>
        <v>0</v>
      </c>
      <c r="H151" s="2563" t="n">
        <f aca="false">дома!G288*IF('Ввод данных'!$A$8=связи1!$A$150,1,0)</f>
        <v>0</v>
      </c>
    </row>
    <row r="152" customFormat="false" ht="14.5" hidden="false" customHeight="false" outlineLevel="0" collapsed="false">
      <c r="A152" s="2561" t="str">
        <f aca="false">дома!A316</f>
        <v>Стойка каркаса по фронтону, односкатная кровля №4</v>
      </c>
      <c r="B152" s="2562" t="str">
        <f aca="false">дома!B316</f>
        <v>м.п.</v>
      </c>
      <c r="C152" s="2563" t="n">
        <f aca="false">дома!C316</f>
        <v>0.15</v>
      </c>
      <c r="D152" s="2563" t="n">
        <f aca="false">дома!D316</f>
        <v>0.05</v>
      </c>
      <c r="E152" s="2563" t="n">
        <f aca="false">дома!E316</f>
        <v>4.2</v>
      </c>
      <c r="F152" s="2563" t="n">
        <f aca="false">дома!F316</f>
        <v>0</v>
      </c>
      <c r="G152" s="2563" t="n">
        <f aca="false">E152*F152*IF('Ввод данных'!$A$8=связи1!$A$150,1,0)</f>
        <v>0</v>
      </c>
      <c r="H152" s="2563" t="n">
        <f aca="false">дома!G289*IF('Ввод данных'!$A$8=связи1!$A$150,1,0)</f>
        <v>0</v>
      </c>
    </row>
    <row r="153" customFormat="false" ht="14.5" hidden="false" customHeight="false" outlineLevel="0" collapsed="false">
      <c r="A153" s="2561" t="str">
        <f aca="false">дома!A317</f>
        <v>Стойка каркаса по фронтону, односкатная кровля №5</v>
      </c>
      <c r="B153" s="2562" t="str">
        <f aca="false">дома!B317</f>
        <v>м.п.</v>
      </c>
      <c r="C153" s="2563" t="n">
        <f aca="false">дома!C317</f>
        <v>0.15</v>
      </c>
      <c r="D153" s="2563" t="n">
        <f aca="false">дома!D317</f>
        <v>0.05</v>
      </c>
      <c r="E153" s="2563" t="n">
        <f aca="false">дома!E317</f>
        <v>4</v>
      </c>
      <c r="F153" s="2563" t="n">
        <f aca="false">дома!F317</f>
        <v>0</v>
      </c>
      <c r="G153" s="2563" t="n">
        <f aca="false">E153*F153*IF('Ввод данных'!$A$8=связи1!$A$150,1,0)</f>
        <v>0</v>
      </c>
      <c r="H153" s="2563" t="n">
        <f aca="false">дома!G290*IF('Ввод данных'!$A$8=связи1!$A$150,1,0)</f>
        <v>0</v>
      </c>
    </row>
    <row r="154" customFormat="false" ht="14.5" hidden="false" customHeight="false" outlineLevel="0" collapsed="false">
      <c r="A154" s="2561" t="str">
        <f aca="false">дома!A318</f>
        <v>Стойка каркаса по фронтону, односкатная кровля №6</v>
      </c>
      <c r="B154" s="2562" t="str">
        <f aca="false">дома!B318</f>
        <v>м.п.</v>
      </c>
      <c r="C154" s="2563" t="n">
        <f aca="false">дома!C318</f>
        <v>0.15</v>
      </c>
      <c r="D154" s="2563" t="n">
        <f aca="false">дома!D318</f>
        <v>0.05</v>
      </c>
      <c r="E154" s="2563" t="n">
        <f aca="false">дома!E318</f>
        <v>3.8</v>
      </c>
      <c r="F154" s="2563" t="n">
        <f aca="false">дома!F318</f>
        <v>0</v>
      </c>
      <c r="G154" s="2563" t="n">
        <f aca="false">E154*F154*IF('Ввод данных'!$A$8=связи1!$A$150,1,0)</f>
        <v>0</v>
      </c>
      <c r="H154" s="2563" t="n">
        <f aca="false">дома!G291*IF('Ввод данных'!$A$8=связи1!$A$150,1,0)</f>
        <v>0</v>
      </c>
    </row>
    <row r="155" customFormat="false" ht="14.5" hidden="false" customHeight="false" outlineLevel="0" collapsed="false">
      <c r="A155" s="2561" t="str">
        <f aca="false">дома!A319</f>
        <v>Стойка каркаса по фронтону, односкатная кровля №7</v>
      </c>
      <c r="B155" s="2562" t="str">
        <f aca="false">дома!B319</f>
        <v>м.п.</v>
      </c>
      <c r="C155" s="2563" t="n">
        <f aca="false">дома!C319</f>
        <v>0.15</v>
      </c>
      <c r="D155" s="2563" t="n">
        <f aca="false">дома!D319</f>
        <v>0.05</v>
      </c>
      <c r="E155" s="2563" t="n">
        <f aca="false">дома!E319</f>
        <v>3.6</v>
      </c>
      <c r="F155" s="2563" t="n">
        <f aca="false">дома!F319</f>
        <v>0</v>
      </c>
      <c r="G155" s="2563" t="n">
        <f aca="false">E155*F155*IF('Ввод данных'!$A$8=связи1!$A$150,1,0)</f>
        <v>0</v>
      </c>
      <c r="H155" s="2563" t="n">
        <f aca="false">дома!G292*IF('Ввод данных'!$A$8=связи1!$A$150,1,0)</f>
        <v>0</v>
      </c>
    </row>
    <row r="156" customFormat="false" ht="14.5" hidden="false" customHeight="false" outlineLevel="0" collapsed="false">
      <c r="A156" s="2561" t="str">
        <f aca="false">дома!A320</f>
        <v>Стойка каркаса по фронтону, односкатная кровля №8</v>
      </c>
      <c r="B156" s="2562" t="str">
        <f aca="false">дома!B320</f>
        <v>м.п.</v>
      </c>
      <c r="C156" s="2563" t="n">
        <f aca="false">дома!C320</f>
        <v>0.15</v>
      </c>
      <c r="D156" s="2563" t="n">
        <f aca="false">дома!D320</f>
        <v>0.05</v>
      </c>
      <c r="E156" s="2563" t="n">
        <f aca="false">дома!E320</f>
        <v>3.4</v>
      </c>
      <c r="F156" s="2563" t="n">
        <f aca="false">дома!F320</f>
        <v>0</v>
      </c>
      <c r="G156" s="2563" t="n">
        <f aca="false">E156*F156*IF('Ввод данных'!$A$8=связи1!$A$150,1,0)</f>
        <v>0</v>
      </c>
      <c r="H156" s="2563" t="n">
        <f aca="false">дома!G293*IF('Ввод данных'!$A$8=связи1!$A$150,1,0)</f>
        <v>0</v>
      </c>
    </row>
    <row r="157" customFormat="false" ht="14.5" hidden="false" customHeight="false" outlineLevel="0" collapsed="false">
      <c r="A157" s="2561" t="str">
        <f aca="false">дома!A321</f>
        <v>Стойка каркаса по фронтону, односкатная кровля №9</v>
      </c>
      <c r="B157" s="2562" t="str">
        <f aca="false">дома!B321</f>
        <v>м.п.</v>
      </c>
      <c r="C157" s="2563" t="n">
        <f aca="false">дома!C321</f>
        <v>0.15</v>
      </c>
      <c r="D157" s="2563" t="n">
        <f aca="false">дома!D321</f>
        <v>0.05</v>
      </c>
      <c r="E157" s="2563" t="n">
        <f aca="false">дома!E321</f>
        <v>3.2</v>
      </c>
      <c r="F157" s="2563" t="n">
        <f aca="false">дома!F321</f>
        <v>0</v>
      </c>
      <c r="G157" s="2563" t="n">
        <f aca="false">E157*F157*IF('Ввод данных'!$A$8=связи1!$A$150,1,0)</f>
        <v>0</v>
      </c>
      <c r="H157" s="2563" t="n">
        <f aca="false">дома!G294*IF('Ввод данных'!$A$8=связи1!$A$150,1,0)</f>
        <v>0</v>
      </c>
    </row>
    <row r="158" customFormat="false" ht="14.5" hidden="false" customHeight="false" outlineLevel="0" collapsed="false">
      <c r="A158" s="2561" t="str">
        <f aca="false">дома!A322</f>
        <v>Стойка каркаса по фронтону, односкатная кровля №10</v>
      </c>
      <c r="B158" s="2562" t="str">
        <f aca="false">дома!B322</f>
        <v>м.п.</v>
      </c>
      <c r="C158" s="2563" t="n">
        <f aca="false">дома!C322</f>
        <v>0.15</v>
      </c>
      <c r="D158" s="2563" t="n">
        <f aca="false">дома!D322</f>
        <v>0.05</v>
      </c>
      <c r="E158" s="2563" t="n">
        <f aca="false">дома!E322</f>
        <v>3</v>
      </c>
      <c r="F158" s="2563" t="n">
        <f aca="false">дома!F322</f>
        <v>0</v>
      </c>
      <c r="G158" s="2563" t="n">
        <f aca="false">E158*F158*IF('Ввод данных'!$A$8=связи1!$A$150,1,0)</f>
        <v>0</v>
      </c>
      <c r="H158" s="2563" t="n">
        <f aca="false">дома!G295*IF('Ввод данных'!$A$8=связи1!$A$150,1,0)</f>
        <v>0</v>
      </c>
    </row>
    <row r="159" customFormat="false" ht="14.5" hidden="false" customHeight="false" outlineLevel="0" collapsed="false">
      <c r="A159" s="2561" t="str">
        <f aca="false">дома!A323</f>
        <v>Стойка каркаса по фронтону, односкатная кровля №11</v>
      </c>
      <c r="B159" s="2562" t="str">
        <f aca="false">дома!B323</f>
        <v>м.п.</v>
      </c>
      <c r="C159" s="2563" t="n">
        <f aca="false">дома!C323</f>
        <v>0.15</v>
      </c>
      <c r="D159" s="2563" t="n">
        <f aca="false">дома!D323</f>
        <v>0.05</v>
      </c>
      <c r="E159" s="2563" t="n">
        <f aca="false">дома!E323</f>
        <v>2.8</v>
      </c>
      <c r="F159" s="2563" t="n">
        <f aca="false">дома!F323</f>
        <v>0</v>
      </c>
      <c r="G159" s="2563" t="n">
        <f aca="false">E159*F159*IF('Ввод данных'!$A$8=связи1!$A$150,1,0)</f>
        <v>0</v>
      </c>
      <c r="H159" s="2563" t="n">
        <f aca="false">дома!G296*IF('Ввод данных'!$A$8=связи1!$A$150,1,0)</f>
        <v>0</v>
      </c>
    </row>
    <row r="160" customFormat="false" ht="14.5" hidden="false" customHeight="false" outlineLevel="0" collapsed="false">
      <c r="A160" s="2561" t="str">
        <f aca="false">дома!A324</f>
        <v>Стойка каркаса по фронтону, односкатная кровля №12</v>
      </c>
      <c r="B160" s="2562" t="str">
        <f aca="false">дома!B324</f>
        <v>м.п.</v>
      </c>
      <c r="C160" s="2563" t="n">
        <f aca="false">дома!C324</f>
        <v>0.15</v>
      </c>
      <c r="D160" s="2563" t="n">
        <f aca="false">дома!D324</f>
        <v>0.05</v>
      </c>
      <c r="E160" s="2563" t="n">
        <f aca="false">дома!E324</f>
        <v>2.6</v>
      </c>
      <c r="F160" s="2563" t="n">
        <f aca="false">дома!F324</f>
        <v>0</v>
      </c>
      <c r="G160" s="2563" t="n">
        <f aca="false">E160*F160*IF('Ввод данных'!$A$8=связи1!$A$150,1,0)</f>
        <v>0</v>
      </c>
      <c r="H160" s="2563" t="n">
        <f aca="false">дома!G297*IF('Ввод данных'!$A$8=связи1!$A$150,1,0)</f>
        <v>0</v>
      </c>
    </row>
    <row r="161" customFormat="false" ht="14.5" hidden="false" customHeight="false" outlineLevel="0" collapsed="false">
      <c r="A161" s="2561" t="str">
        <f aca="false">дома!A325</f>
        <v>Стойка каркаса по фронтону, односкатная кровля №13</v>
      </c>
      <c r="B161" s="2562" t="str">
        <f aca="false">дома!B325</f>
        <v>м.п.</v>
      </c>
      <c r="C161" s="2563" t="n">
        <f aca="false">дома!C325</f>
        <v>0.15</v>
      </c>
      <c r="D161" s="2563" t="n">
        <f aca="false">дома!D325</f>
        <v>0.05</v>
      </c>
      <c r="E161" s="2563" t="n">
        <f aca="false">дома!E325</f>
        <v>2.4</v>
      </c>
      <c r="F161" s="2563" t="n">
        <f aca="false">дома!F325</f>
        <v>0</v>
      </c>
      <c r="G161" s="2563" t="n">
        <f aca="false">E161*F161*IF('Ввод данных'!$A$8=связи1!$A$150,1,0)</f>
        <v>0</v>
      </c>
      <c r="H161" s="2563" t="n">
        <f aca="false">дома!G298*IF('Ввод данных'!$A$8=связи1!$A$150,1,0)</f>
        <v>0</v>
      </c>
    </row>
    <row r="162" customFormat="false" ht="14.5" hidden="false" customHeight="false" outlineLevel="0" collapsed="false">
      <c r="A162" s="2561" t="str">
        <f aca="false">дома!A326</f>
        <v>Стойка каркаса по фронтону, односкатная кровля №14</v>
      </c>
      <c r="B162" s="2562" t="str">
        <f aca="false">дома!B326</f>
        <v>м.п.</v>
      </c>
      <c r="C162" s="2563" t="n">
        <f aca="false">дома!C326</f>
        <v>0.15</v>
      </c>
      <c r="D162" s="2563" t="n">
        <f aca="false">дома!D326</f>
        <v>0.05</v>
      </c>
      <c r="E162" s="2563" t="n">
        <f aca="false">дома!E326</f>
        <v>2.2</v>
      </c>
      <c r="F162" s="2563" t="n">
        <f aca="false">дома!F326</f>
        <v>0</v>
      </c>
      <c r="G162" s="2563" t="n">
        <f aca="false">E162*F162*IF('Ввод данных'!$A$8=связи1!$A$150,1,0)</f>
        <v>0</v>
      </c>
      <c r="H162" s="2563" t="n">
        <f aca="false">дома!G299*IF('Ввод данных'!$A$8=связи1!$A$150,1,0)</f>
        <v>0</v>
      </c>
    </row>
    <row r="163" customFormat="false" ht="14.5" hidden="false" customHeight="false" outlineLevel="0" collapsed="false">
      <c r="A163" s="2561" t="str">
        <f aca="false">дома!A327</f>
        <v>Стойка каркаса по фронтону, односкатная кровля №15</v>
      </c>
      <c r="B163" s="2562" t="str">
        <f aca="false">дома!B327</f>
        <v>м.п.</v>
      </c>
      <c r="C163" s="2563" t="n">
        <f aca="false">дома!C327</f>
        <v>0.15</v>
      </c>
      <c r="D163" s="2563" t="n">
        <f aca="false">дома!D327</f>
        <v>0.05</v>
      </c>
      <c r="E163" s="2563" t="n">
        <f aca="false">дома!E327</f>
        <v>2</v>
      </c>
      <c r="F163" s="2563" t="n">
        <f aca="false">дома!F327</f>
        <v>0</v>
      </c>
      <c r="G163" s="2563" t="n">
        <f aca="false">E163*F163*IF('Ввод данных'!$A$8=связи1!$A$150,1,0)</f>
        <v>0</v>
      </c>
      <c r="H163" s="2563" t="n">
        <f aca="false">дома!G300*IF('Ввод данных'!$A$8=связи1!$A$150,1,0)</f>
        <v>0</v>
      </c>
    </row>
    <row r="164" customFormat="false" ht="14.5" hidden="false" customHeight="false" outlineLevel="0" collapsed="false">
      <c r="A164" s="2561" t="str">
        <f aca="false">дома!A328</f>
        <v>Стойка каркаса по фронтону, односкатная кровля №16</v>
      </c>
      <c r="B164" s="2562" t="str">
        <f aca="false">дома!B328</f>
        <v>м.п.</v>
      </c>
      <c r="C164" s="2563" t="n">
        <f aca="false">дома!C328</f>
        <v>0.15</v>
      </c>
      <c r="D164" s="2563" t="n">
        <f aca="false">дома!D328</f>
        <v>0.05</v>
      </c>
      <c r="E164" s="2563" t="n">
        <f aca="false">дома!E328</f>
        <v>1.8</v>
      </c>
      <c r="F164" s="2563" t="n">
        <f aca="false">дома!F328</f>
        <v>0</v>
      </c>
      <c r="G164" s="2563" t="n">
        <f aca="false">E164*F164*IF('Ввод данных'!$A$8=связи1!$A$150,1,0)</f>
        <v>0</v>
      </c>
      <c r="H164" s="2563" t="n">
        <f aca="false">дома!G301*IF('Ввод данных'!$A$8=связи1!$A$150,1,0)</f>
        <v>0</v>
      </c>
    </row>
    <row r="165" customFormat="false" ht="14.5" hidden="false" customHeight="false" outlineLevel="0" collapsed="false">
      <c r="A165" s="2561" t="str">
        <f aca="false">дома!A329</f>
        <v>Стойка каркаса по фронтону, односкатная кровля №17</v>
      </c>
      <c r="B165" s="2562" t="str">
        <f aca="false">дома!B329</f>
        <v>м.п.</v>
      </c>
      <c r="C165" s="2563" t="n">
        <f aca="false">дома!C329</f>
        <v>0.15</v>
      </c>
      <c r="D165" s="2563" t="n">
        <f aca="false">дома!D329</f>
        <v>0.05</v>
      </c>
      <c r="E165" s="2563" t="n">
        <f aca="false">дома!E329</f>
        <v>1.6</v>
      </c>
      <c r="F165" s="2563" t="n">
        <f aca="false">дома!F329</f>
        <v>0</v>
      </c>
      <c r="G165" s="2563" t="n">
        <f aca="false">E165*F165*IF('Ввод данных'!$A$8=связи1!$A$150,1,0)</f>
        <v>0</v>
      </c>
      <c r="H165" s="2563" t="n">
        <f aca="false">дома!G302*IF('Ввод данных'!$A$8=связи1!$A$150,1,0)</f>
        <v>0</v>
      </c>
    </row>
    <row r="166" customFormat="false" ht="14.5" hidden="false" customHeight="false" outlineLevel="0" collapsed="false">
      <c r="A166" s="2561" t="str">
        <f aca="false">дома!A330</f>
        <v>Стойка каркаса по фронтону, односкатная кровля №18</v>
      </c>
      <c r="B166" s="2562" t="str">
        <f aca="false">дома!B330</f>
        <v>м.п.</v>
      </c>
      <c r="C166" s="2563" t="n">
        <f aca="false">дома!C330</f>
        <v>0.15</v>
      </c>
      <c r="D166" s="2563" t="n">
        <f aca="false">дома!D330</f>
        <v>0.05</v>
      </c>
      <c r="E166" s="2563" t="n">
        <f aca="false">дома!E330</f>
        <v>1.4</v>
      </c>
      <c r="F166" s="2563" t="n">
        <f aca="false">дома!F330</f>
        <v>0</v>
      </c>
      <c r="G166" s="2563" t="n">
        <f aca="false">E166*F166*IF('Ввод данных'!$A$8=связи1!$A$150,1,0)</f>
        <v>0</v>
      </c>
      <c r="H166" s="2563" t="n">
        <f aca="false">дома!G303*IF('Ввод данных'!$A$8=связи1!$A$150,1,0)</f>
        <v>0</v>
      </c>
    </row>
    <row r="167" customFormat="false" ht="14.5" hidden="false" customHeight="false" outlineLevel="0" collapsed="false">
      <c r="A167" s="2561" t="str">
        <f aca="false">дома!A331</f>
        <v>Стойка каркаса по фронтону, односкатная кровля №19</v>
      </c>
      <c r="B167" s="2562" t="str">
        <f aca="false">дома!B331</f>
        <v>м.п.</v>
      </c>
      <c r="C167" s="2563" t="n">
        <f aca="false">дома!C331</f>
        <v>0.15</v>
      </c>
      <c r="D167" s="2563" t="n">
        <f aca="false">дома!D331</f>
        <v>0.05</v>
      </c>
      <c r="E167" s="2563" t="n">
        <f aca="false">дома!E331</f>
        <v>1.2</v>
      </c>
      <c r="F167" s="2563" t="n">
        <f aca="false">дома!F331</f>
        <v>0</v>
      </c>
      <c r="G167" s="2563" t="n">
        <f aca="false">E167*F167*IF('Ввод данных'!$A$8=связи1!$A$150,1,0)</f>
        <v>0</v>
      </c>
      <c r="H167" s="2563" t="n">
        <f aca="false">дома!G304*IF('Ввод данных'!$A$8=связи1!$A$150,1,0)</f>
        <v>0</v>
      </c>
    </row>
    <row r="168" customFormat="false" ht="14.5" hidden="false" customHeight="false" outlineLevel="0" collapsed="false">
      <c r="A168" s="2561" t="str">
        <f aca="false">дома!A332</f>
        <v>Стойка каркаса по фронтону, односкатная кровля №20</v>
      </c>
      <c r="B168" s="2562" t="str">
        <f aca="false">дома!B332</f>
        <v>м.п.</v>
      </c>
      <c r="C168" s="2563" t="n">
        <f aca="false">дома!C332</f>
        <v>0.15</v>
      </c>
      <c r="D168" s="2563" t="n">
        <f aca="false">дома!D332</f>
        <v>0.05</v>
      </c>
      <c r="E168" s="2563" t="n">
        <f aca="false">дома!E332</f>
        <v>0.999999999999998</v>
      </c>
      <c r="F168" s="2563" t="n">
        <f aca="false">дома!F332</f>
        <v>0</v>
      </c>
      <c r="G168" s="2563" t="n">
        <f aca="false">E168*F168*IF('Ввод данных'!$A$8=связи1!$A$150,1,0)</f>
        <v>0</v>
      </c>
      <c r="H168" s="2563" t="n">
        <f aca="false">дома!G305*IF('Ввод данных'!$A$8=связи1!$A$150,1,0)</f>
        <v>0</v>
      </c>
    </row>
    <row r="169" customFormat="false" ht="14.5" hidden="false" customHeight="false" outlineLevel="0" collapsed="false">
      <c r="A169" s="2561" t="str">
        <f aca="false">дома!A333</f>
        <v>Стойка каркаса по фронтону, односкатная кровля №21</v>
      </c>
      <c r="B169" s="2562" t="str">
        <f aca="false">дома!B333</f>
        <v>м.п.</v>
      </c>
      <c r="C169" s="2563" t="n">
        <f aca="false">дома!C333</f>
        <v>0.15</v>
      </c>
      <c r="D169" s="2563" t="n">
        <f aca="false">дома!D333</f>
        <v>0.05</v>
      </c>
      <c r="E169" s="2563" t="n">
        <f aca="false">дома!E333</f>
        <v>0.799999999999998</v>
      </c>
      <c r="F169" s="2563" t="n">
        <f aca="false">дома!F333</f>
        <v>0</v>
      </c>
      <c r="G169" s="2563" t="n">
        <f aca="false">E169*F169*IF('Ввод данных'!$A$8=связи1!$A$150,1,0)</f>
        <v>0</v>
      </c>
      <c r="H169" s="2563" t="n">
        <f aca="false">дома!G306*IF('Ввод данных'!$A$8=связи1!$A$150,1,0)</f>
        <v>0</v>
      </c>
    </row>
    <row r="170" customFormat="false" ht="14.5" hidden="false" customHeight="false" outlineLevel="0" collapsed="false">
      <c r="A170" s="2561" t="str">
        <f aca="false">дома!A334</f>
        <v>Стойка каркаса по фронтону, односкатная кровля №22</v>
      </c>
      <c r="B170" s="2562" t="str">
        <f aca="false">дома!B334</f>
        <v>м.п.</v>
      </c>
      <c r="C170" s="2563" t="n">
        <f aca="false">дома!C334</f>
        <v>0.15</v>
      </c>
      <c r="D170" s="2563" t="n">
        <f aca="false">дома!D334</f>
        <v>0.05</v>
      </c>
      <c r="E170" s="2563" t="n">
        <f aca="false">дома!E334</f>
        <v>0.599999999999998</v>
      </c>
      <c r="F170" s="2563" t="n">
        <f aca="false">дома!F334</f>
        <v>0</v>
      </c>
      <c r="G170" s="2563" t="n">
        <f aca="false">E170*F170*IF('Ввод данных'!$A$8=связи1!$A$150,1,0)</f>
        <v>0</v>
      </c>
      <c r="H170" s="2563" t="n">
        <f aca="false">дома!G307*IF('Ввод данных'!$A$8=связи1!$A$150,1,0)</f>
        <v>0</v>
      </c>
    </row>
    <row r="171" customFormat="false" ht="14.5" hidden="false" customHeight="false" outlineLevel="0" collapsed="false">
      <c r="A171" s="2561" t="str">
        <f aca="false">дома!A335</f>
        <v>Стойка каркаса по фронтону, односкатная кровля №23</v>
      </c>
      <c r="B171" s="2562" t="str">
        <f aca="false">дома!B335</f>
        <v>м.п.</v>
      </c>
      <c r="C171" s="2563" t="n">
        <f aca="false">дома!C335</f>
        <v>0.15</v>
      </c>
      <c r="D171" s="2563" t="n">
        <f aca="false">дома!D335</f>
        <v>0.05</v>
      </c>
      <c r="E171" s="2563" t="n">
        <f aca="false">дома!E335</f>
        <v>0.399999999999998</v>
      </c>
      <c r="F171" s="2563" t="n">
        <f aca="false">дома!F335</f>
        <v>0</v>
      </c>
      <c r="G171" s="2563" t="n">
        <f aca="false">E171*F171*IF('Ввод данных'!$A$8=связи1!$A$150,1,0)</f>
        <v>0</v>
      </c>
      <c r="H171" s="2563" t="n">
        <f aca="false">дома!G308*IF('Ввод данных'!$A$8=связи1!$A$150,1,0)</f>
        <v>0</v>
      </c>
    </row>
    <row r="172" customFormat="false" ht="14.5" hidden="false" customHeight="false" outlineLevel="0" collapsed="false">
      <c r="A172" s="2561" t="str">
        <f aca="false">дома!A336</f>
        <v>Стойка каркаса по фронтону, односкатная кровля №24</v>
      </c>
      <c r="B172" s="2562" t="str">
        <f aca="false">дома!B336</f>
        <v>м.п.</v>
      </c>
      <c r="C172" s="2563" t="n">
        <f aca="false">дома!C336</f>
        <v>0.15</v>
      </c>
      <c r="D172" s="2563" t="n">
        <f aca="false">дома!D336</f>
        <v>0.05</v>
      </c>
      <c r="E172" s="2563" t="n">
        <f aca="false">дома!E336</f>
        <v>0.199999999999998</v>
      </c>
      <c r="F172" s="2563" t="n">
        <f aca="false">дома!F336</f>
        <v>0</v>
      </c>
      <c r="G172" s="2563" t="n">
        <f aca="false">E172*F172*IF('Ввод данных'!$A$8=связи1!$A$150,1,0)</f>
        <v>0</v>
      </c>
      <c r="H172" s="2563" t="n">
        <f aca="false">дома!G309*IF('Ввод данных'!$A$8=связи1!$A$150,1,0)</f>
        <v>0</v>
      </c>
    </row>
    <row r="173" customFormat="false" ht="14.5" hidden="false" customHeight="false" outlineLevel="0" collapsed="false">
      <c r="A173" s="2561" t="str">
        <f aca="false">дома!A337</f>
        <v>Стойка каркаса по фронтону, односкатная кровля №25</v>
      </c>
      <c r="B173" s="2562" t="str">
        <f aca="false">дома!B337</f>
        <v>м.п.</v>
      </c>
      <c r="C173" s="2563" t="n">
        <f aca="false">дома!C337</f>
        <v>0.15</v>
      </c>
      <c r="D173" s="2563" t="n">
        <f aca="false">дома!D337</f>
        <v>0.05</v>
      </c>
      <c r="E173" s="2563" t="n">
        <f aca="false">дома!E337</f>
        <v>-2.05391259555654E-015</v>
      </c>
      <c r="F173" s="2563" t="n">
        <f aca="false">дома!F337</f>
        <v>0</v>
      </c>
      <c r="G173" s="2563" t="n">
        <f aca="false">E173*F173*IF('Ввод данных'!$A$8=связи1!$A$150,1,0)</f>
        <v>0</v>
      </c>
      <c r="H173" s="2563" t="n">
        <f aca="false">дома!G310*IF('Ввод данных'!$A$8=связи1!$A$150,1,0)</f>
        <v>0</v>
      </c>
    </row>
    <row r="174" customFormat="false" ht="14.5" hidden="false" customHeight="false" outlineLevel="0" collapsed="false">
      <c r="A174" s="2561" t="str">
        <f aca="false">дома!A338</f>
        <v>Стойка каркаса по фронтону, односкатная кровля №26</v>
      </c>
      <c r="B174" s="2562" t="str">
        <f aca="false">дома!B338</f>
        <v>м.п.</v>
      </c>
      <c r="C174" s="2563" t="n">
        <f aca="false">дома!C338</f>
        <v>0.15</v>
      </c>
      <c r="D174" s="2563" t="n">
        <f aca="false">дома!D338</f>
        <v>0.05</v>
      </c>
      <c r="E174" s="2563" t="n">
        <f aca="false">дома!E338</f>
        <v>0</v>
      </c>
      <c r="F174" s="2563" t="n">
        <f aca="false">дома!F338</f>
        <v>0</v>
      </c>
      <c r="G174" s="2563" t="n">
        <f aca="false">E174*F174*IF('Ввод данных'!$A$8=связи1!$A$150,1,0)</f>
        <v>0</v>
      </c>
      <c r="H174" s="2563" t="n">
        <f aca="false">дома!G311*IF('Ввод данных'!$A$8=связи1!$A$150,1,0)</f>
        <v>0</v>
      </c>
    </row>
    <row r="175" customFormat="false" ht="14.5" hidden="false" customHeight="false" outlineLevel="0" collapsed="false">
      <c r="A175" s="2561" t="str">
        <f aca="false">дома!A339</f>
        <v>Стойка каркаса по фронтону, односкатная кровля №27</v>
      </c>
      <c r="B175" s="2562" t="str">
        <f aca="false">дома!B339</f>
        <v>м.п.</v>
      </c>
      <c r="C175" s="2563" t="n">
        <f aca="false">дома!C339</f>
        <v>0.15</v>
      </c>
      <c r="D175" s="2563" t="n">
        <f aca="false">дома!D339</f>
        <v>0.05</v>
      </c>
      <c r="E175" s="2563" t="n">
        <f aca="false">дома!E339</f>
        <v>0</v>
      </c>
      <c r="F175" s="2563" t="n">
        <f aca="false">дома!F339</f>
        <v>0</v>
      </c>
      <c r="G175" s="2563" t="n">
        <f aca="false">E175*F175*IF('Ввод данных'!$A$8=связи1!$A$150,1,0)</f>
        <v>0</v>
      </c>
      <c r="H175" s="2563" t="n">
        <f aca="false">дома!G312*IF('Ввод данных'!$A$8=связи1!$A$150,1,0)</f>
        <v>0</v>
      </c>
    </row>
    <row r="176" customFormat="false" ht="14.5" hidden="false" customHeight="false" outlineLevel="0" collapsed="false">
      <c r="A176" s="2561" t="str">
        <f aca="false">дома!A340</f>
        <v>Стойка каркаса по фронтону, односкатная кровля №28</v>
      </c>
      <c r="B176" s="2562" t="str">
        <f aca="false">дома!B340</f>
        <v>м.п.</v>
      </c>
      <c r="C176" s="2563" t="n">
        <f aca="false">дома!C340</f>
        <v>0.15</v>
      </c>
      <c r="D176" s="2563" t="n">
        <f aca="false">дома!D340</f>
        <v>0.05</v>
      </c>
      <c r="E176" s="2563" t="n">
        <f aca="false">дома!E340</f>
        <v>0</v>
      </c>
      <c r="F176" s="2563" t="n">
        <f aca="false">дома!F340</f>
        <v>0</v>
      </c>
      <c r="G176" s="2563" t="n">
        <f aca="false">E176*F176*IF('Ввод данных'!$A$8=связи1!$A$150,1,0)</f>
        <v>0</v>
      </c>
      <c r="H176" s="2563" t="n">
        <f aca="false">дома!G313*IF('Ввод данных'!$A$8=связи1!$A$150,1,0)</f>
        <v>0</v>
      </c>
    </row>
    <row r="177" customFormat="false" ht="14.5" hidden="false" customHeight="false" outlineLevel="0" collapsed="false">
      <c r="A177" s="2561" t="str">
        <f aca="false">дома!A341</f>
        <v>Стойка каркаса по фронтону, односкатная кровля №29</v>
      </c>
      <c r="B177" s="2562" t="str">
        <f aca="false">дома!B341</f>
        <v>м.п.</v>
      </c>
      <c r="C177" s="2563" t="n">
        <f aca="false">дома!C341</f>
        <v>0.15</v>
      </c>
      <c r="D177" s="2563" t="n">
        <f aca="false">дома!D341</f>
        <v>0.05</v>
      </c>
      <c r="E177" s="2563" t="n">
        <f aca="false">дома!E341</f>
        <v>0</v>
      </c>
      <c r="F177" s="2563" t="n">
        <f aca="false">дома!F341</f>
        <v>0</v>
      </c>
      <c r="G177" s="2563" t="n">
        <f aca="false">E177*F177*IF('Ввод данных'!$A$8=связи1!$A$150,1,0)</f>
        <v>0</v>
      </c>
      <c r="H177" s="2563" t="n">
        <f aca="false">дома!G314*IF('Ввод данных'!$A$8=связи1!$A$150,1,0)</f>
        <v>0</v>
      </c>
    </row>
    <row r="178" customFormat="false" ht="14.5" hidden="false" customHeight="false" outlineLevel="0" collapsed="false">
      <c r="A178" s="2561" t="str">
        <f aca="false">дома!A342</f>
        <v>Стойка каркаса по фронтону, односкатная кровля №30</v>
      </c>
      <c r="B178" s="2562" t="str">
        <f aca="false">дома!B342</f>
        <v>м.п.</v>
      </c>
      <c r="C178" s="2563" t="n">
        <f aca="false">дома!C342</f>
        <v>0.15</v>
      </c>
      <c r="D178" s="2563" t="n">
        <f aca="false">дома!D342</f>
        <v>0.05</v>
      </c>
      <c r="E178" s="2563" t="n">
        <f aca="false">дома!E342</f>
        <v>0</v>
      </c>
      <c r="F178" s="2563" t="n">
        <f aca="false">дома!F342</f>
        <v>0</v>
      </c>
      <c r="G178" s="2563" t="n">
        <f aca="false">E178*F178*IF('Ввод данных'!$A$8=связи1!$A$150,1,0)</f>
        <v>0</v>
      </c>
      <c r="H178" s="2563" t="n">
        <f aca="false">дома!G315*IF('Ввод данных'!$A$8=связи1!$A$150,1,0)</f>
        <v>0</v>
      </c>
    </row>
    <row r="179" customFormat="false" ht="14.5" hidden="false" customHeight="false" outlineLevel="0" collapsed="false">
      <c r="A179" s="2561" t="str">
        <f aca="false">дома!A343</f>
        <v>Стойка каркаса по фронтону, односкатная кровля №31</v>
      </c>
      <c r="B179" s="2562" t="str">
        <f aca="false">дома!B343</f>
        <v>м.п.</v>
      </c>
      <c r="C179" s="2563" t="n">
        <f aca="false">дома!C343</f>
        <v>0.15</v>
      </c>
      <c r="D179" s="2563" t="n">
        <f aca="false">дома!D343</f>
        <v>0.05</v>
      </c>
      <c r="E179" s="2563" t="n">
        <f aca="false">дома!E343</f>
        <v>0</v>
      </c>
      <c r="F179" s="2563" t="n">
        <f aca="false">дома!F343</f>
        <v>0</v>
      </c>
      <c r="G179" s="2563" t="n">
        <f aca="false">E179*F179*IF('Ввод данных'!$A$8=связи1!$A$150,1,0)</f>
        <v>0</v>
      </c>
      <c r="H179" s="2563" t="n">
        <f aca="false">дома!G316*IF('Ввод данных'!$A$8=связи1!$A$150,1,0)</f>
        <v>0</v>
      </c>
    </row>
    <row r="180" customFormat="false" ht="14.5" hidden="false" customHeight="false" outlineLevel="0" collapsed="false">
      <c r="A180" s="2561" t="str">
        <f aca="false">дома!A344</f>
        <v>Стойка каркаса по фронтону, односкатная кровля №32</v>
      </c>
      <c r="B180" s="2562" t="str">
        <f aca="false">дома!B344</f>
        <v>м.п.</v>
      </c>
      <c r="C180" s="2563" t="n">
        <f aca="false">дома!C344</f>
        <v>0.15</v>
      </c>
      <c r="D180" s="2563" t="n">
        <f aca="false">дома!D344</f>
        <v>0.05</v>
      </c>
      <c r="E180" s="2563" t="n">
        <f aca="false">дома!E344</f>
        <v>0</v>
      </c>
      <c r="F180" s="2563" t="n">
        <f aca="false">дома!F344</f>
        <v>0</v>
      </c>
      <c r="G180" s="2563" t="n">
        <f aca="false">E180*F180*IF('Ввод данных'!$A$8=связи1!$A$150,1,0)</f>
        <v>0</v>
      </c>
      <c r="H180" s="2563" t="n">
        <f aca="false">дома!G317*IF('Ввод данных'!$A$8=связи1!$A$150,1,0)</f>
        <v>0</v>
      </c>
    </row>
    <row r="181" customFormat="false" ht="14.5" hidden="false" customHeight="false" outlineLevel="0" collapsed="false">
      <c r="A181" s="2561" t="str">
        <f aca="false">дома!A345</f>
        <v>Стойка каркаса по фронтону, односкатная кровля №33</v>
      </c>
      <c r="B181" s="2562" t="str">
        <f aca="false">дома!B345</f>
        <v>м.п.</v>
      </c>
      <c r="C181" s="2563" t="n">
        <f aca="false">дома!C345</f>
        <v>0.15</v>
      </c>
      <c r="D181" s="2563" t="n">
        <f aca="false">дома!D345</f>
        <v>0.05</v>
      </c>
      <c r="E181" s="2563" t="n">
        <f aca="false">дома!E345</f>
        <v>0</v>
      </c>
      <c r="F181" s="2563" t="n">
        <f aca="false">дома!F345</f>
        <v>0</v>
      </c>
      <c r="G181" s="2563" t="n">
        <f aca="false">E181*F181*IF('Ввод данных'!$A$8=связи1!$A$150,1,0)</f>
        <v>0</v>
      </c>
      <c r="H181" s="2563" t="n">
        <f aca="false">дома!G318*IF('Ввод данных'!$A$8=связи1!$A$150,1,0)</f>
        <v>0</v>
      </c>
    </row>
    <row r="182" customFormat="false" ht="14.5" hidden="false" customHeight="false" outlineLevel="0" collapsed="false">
      <c r="A182" s="2561" t="str">
        <f aca="false">дома!A346</f>
        <v>Стойка каркаса по фронтону, односкатная кровля №34</v>
      </c>
      <c r="B182" s="2562" t="str">
        <f aca="false">дома!B346</f>
        <v>м.п.</v>
      </c>
      <c r="C182" s="2563" t="n">
        <f aca="false">дома!C346</f>
        <v>0.15</v>
      </c>
      <c r="D182" s="2563" t="n">
        <f aca="false">дома!D346</f>
        <v>0.05</v>
      </c>
      <c r="E182" s="2563" t="n">
        <f aca="false">дома!E346</f>
        <v>0</v>
      </c>
      <c r="F182" s="2563" t="n">
        <f aca="false">дома!F346</f>
        <v>0</v>
      </c>
      <c r="G182" s="2563" t="n">
        <f aca="false">E182*F182*IF('Ввод данных'!$A$8=связи1!$A$150,1,0)</f>
        <v>0</v>
      </c>
      <c r="H182" s="2563" t="n">
        <f aca="false">дома!G319*IF('Ввод данных'!$A$8=связи1!$A$150,1,0)</f>
        <v>0</v>
      </c>
    </row>
    <row r="183" customFormat="false" ht="14.5" hidden="false" customHeight="false" outlineLevel="0" collapsed="false">
      <c r="A183" s="2561" t="str">
        <f aca="false">дома!A347</f>
        <v>Стойка каркаса по фронтону, односкатная кровля №35</v>
      </c>
      <c r="B183" s="2562" t="str">
        <f aca="false">дома!B347</f>
        <v>м.п.</v>
      </c>
      <c r="C183" s="2563" t="n">
        <f aca="false">дома!C347</f>
        <v>0.15</v>
      </c>
      <c r="D183" s="2563" t="n">
        <f aca="false">дома!D347</f>
        <v>0.05</v>
      </c>
      <c r="E183" s="2563" t="n">
        <f aca="false">дома!E347</f>
        <v>0</v>
      </c>
      <c r="F183" s="2563" t="n">
        <f aca="false">дома!F347</f>
        <v>0</v>
      </c>
      <c r="G183" s="2563" t="n">
        <f aca="false">E183*F183*IF('Ввод данных'!$A$8=связи1!$A$150,1,0)</f>
        <v>0</v>
      </c>
      <c r="H183" s="2563" t="n">
        <f aca="false">дома!G320*IF('Ввод данных'!$A$8=связи1!$A$150,1,0)</f>
        <v>0</v>
      </c>
    </row>
    <row r="184" customFormat="false" ht="14.5" hidden="false" customHeight="false" outlineLevel="0" collapsed="false">
      <c r="A184" s="2561" t="str">
        <f aca="false">дома!A348</f>
        <v>Стойка каркаса по фронтону, односкатная кровля №36</v>
      </c>
      <c r="B184" s="2562" t="str">
        <f aca="false">дома!B348</f>
        <v>м.п.</v>
      </c>
      <c r="C184" s="2563" t="n">
        <f aca="false">дома!C348</f>
        <v>0.15</v>
      </c>
      <c r="D184" s="2563" t="n">
        <f aca="false">дома!D348</f>
        <v>0.05</v>
      </c>
      <c r="E184" s="2563" t="n">
        <f aca="false">дома!E348</f>
        <v>0</v>
      </c>
      <c r="F184" s="2563" t="n">
        <f aca="false">дома!F348</f>
        <v>0</v>
      </c>
      <c r="G184" s="2563" t="n">
        <f aca="false">E184*F184*IF('Ввод данных'!$A$8=связи1!$A$150,1,0)</f>
        <v>0</v>
      </c>
      <c r="H184" s="2563" t="n">
        <f aca="false">дома!G321*IF('Ввод данных'!$A$8=связи1!$A$150,1,0)</f>
        <v>0</v>
      </c>
    </row>
    <row r="185" customFormat="false" ht="14.5" hidden="false" customHeight="false" outlineLevel="0" collapsed="false">
      <c r="A185" s="2561" t="str">
        <f aca="false">дома!A349</f>
        <v>Стойка каркаса по фронтону, односкатная кровля №37</v>
      </c>
      <c r="B185" s="2562" t="str">
        <f aca="false">дома!B349</f>
        <v>м.п.</v>
      </c>
      <c r="C185" s="2563" t="n">
        <f aca="false">дома!C349</f>
        <v>0.15</v>
      </c>
      <c r="D185" s="2563" t="n">
        <f aca="false">дома!D349</f>
        <v>0.05</v>
      </c>
      <c r="E185" s="2563" t="n">
        <f aca="false">дома!E349</f>
        <v>0</v>
      </c>
      <c r="F185" s="2563" t="n">
        <f aca="false">дома!F349</f>
        <v>0</v>
      </c>
      <c r="G185" s="2563" t="n">
        <f aca="false">E185*F185*IF('Ввод данных'!$A$8=связи1!$A$150,1,0)</f>
        <v>0</v>
      </c>
      <c r="H185" s="2563" t="n">
        <f aca="false">дома!G322*IF('Ввод данных'!$A$8=связи1!$A$150,1,0)</f>
        <v>0</v>
      </c>
    </row>
    <row r="186" customFormat="false" ht="14.5" hidden="false" customHeight="false" outlineLevel="0" collapsed="false">
      <c r="A186" s="2561" t="str">
        <f aca="false">дома!A350</f>
        <v>Стойка каркаса по фронтону, односкатная кровля №38</v>
      </c>
      <c r="B186" s="2562" t="str">
        <f aca="false">дома!B350</f>
        <v>м.п.</v>
      </c>
      <c r="C186" s="2563" t="n">
        <f aca="false">дома!C350</f>
        <v>0.15</v>
      </c>
      <c r="D186" s="2563" t="n">
        <f aca="false">дома!D350</f>
        <v>0.05</v>
      </c>
      <c r="E186" s="2563" t="n">
        <f aca="false">дома!E350</f>
        <v>0</v>
      </c>
      <c r="F186" s="2563" t="n">
        <f aca="false">дома!F350</f>
        <v>0</v>
      </c>
      <c r="G186" s="2563" t="n">
        <f aca="false">E186*F186*IF('Ввод данных'!$A$8=связи1!$A$150,1,0)</f>
        <v>0</v>
      </c>
      <c r="H186" s="2563" t="n">
        <f aca="false">дома!G323*IF('Ввод данных'!$A$8=связи1!$A$150,1,0)</f>
        <v>0</v>
      </c>
    </row>
    <row r="187" customFormat="false" ht="14.5" hidden="false" customHeight="false" outlineLevel="0" collapsed="false">
      <c r="A187" s="2561" t="str">
        <f aca="false">дома!A351</f>
        <v>Стойка каркаса по фронтону, односкатная кровля №39</v>
      </c>
      <c r="B187" s="2562" t="str">
        <f aca="false">дома!B351</f>
        <v>м.п.</v>
      </c>
      <c r="C187" s="2563" t="n">
        <f aca="false">дома!C351</f>
        <v>0.15</v>
      </c>
      <c r="D187" s="2563" t="n">
        <f aca="false">дома!D351</f>
        <v>0.05</v>
      </c>
      <c r="E187" s="2563" t="n">
        <f aca="false">дома!E351</f>
        <v>0</v>
      </c>
      <c r="F187" s="2563" t="n">
        <f aca="false">дома!F351</f>
        <v>0</v>
      </c>
      <c r="G187" s="2563" t="n">
        <f aca="false">E187*F187*IF('Ввод данных'!$A$8=связи1!$A$150,1,0)</f>
        <v>0</v>
      </c>
      <c r="H187" s="2563" t="n">
        <f aca="false">дома!G324*IF('Ввод данных'!$A$8=связи1!$A$150,1,0)</f>
        <v>0</v>
      </c>
    </row>
    <row r="188" customFormat="false" ht="14.5" hidden="false" customHeight="false" outlineLevel="0" collapsed="false">
      <c r="A188" s="2561" t="str">
        <f aca="false">дома!A352</f>
        <v>Стойка каркаса по фронтону, односкатная кровля №40</v>
      </c>
      <c r="B188" s="2562" t="str">
        <f aca="false">дома!B352</f>
        <v>м.п.</v>
      </c>
      <c r="C188" s="2563" t="n">
        <f aca="false">дома!C352</f>
        <v>0.15</v>
      </c>
      <c r="D188" s="2563" t="n">
        <f aca="false">дома!D352</f>
        <v>0.05</v>
      </c>
      <c r="E188" s="2563" t="n">
        <f aca="false">дома!E352</f>
        <v>0</v>
      </c>
      <c r="F188" s="2563" t="n">
        <f aca="false">дома!F352</f>
        <v>0</v>
      </c>
      <c r="G188" s="2563" t="n">
        <f aca="false">E188*F188*IF('Ввод данных'!$A$8=связи1!$A$150,1,0)</f>
        <v>0</v>
      </c>
      <c r="H188" s="2563" t="n">
        <f aca="false">дома!G325*IF('Ввод данных'!$A$8=связи1!$A$150,1,0)</f>
        <v>0</v>
      </c>
    </row>
    <row r="189" customFormat="false" ht="14.5" hidden="false" customHeight="false" outlineLevel="0" collapsed="false">
      <c r="A189" s="2561" t="str">
        <f aca="false">дома!A353</f>
        <v>Стойка каркаса по фронтону, односкатная кровля №41</v>
      </c>
      <c r="B189" s="2562" t="str">
        <f aca="false">дома!B353</f>
        <v>м.п.</v>
      </c>
      <c r="C189" s="2563" t="n">
        <f aca="false">дома!C353</f>
        <v>0.15</v>
      </c>
      <c r="D189" s="2563" t="n">
        <f aca="false">дома!D353</f>
        <v>0.05</v>
      </c>
      <c r="E189" s="2563" t="n">
        <f aca="false">дома!E353</f>
        <v>0</v>
      </c>
      <c r="F189" s="2563" t="n">
        <f aca="false">дома!F353</f>
        <v>0</v>
      </c>
      <c r="G189" s="2563" t="n">
        <f aca="false">E189*F189*IF('Ввод данных'!$A$8=связи1!$A$150,1,0)</f>
        <v>0</v>
      </c>
      <c r="H189" s="2563" t="n">
        <f aca="false">дома!G326*IF('Ввод данных'!$A$8=связи1!$A$150,1,0)</f>
        <v>0</v>
      </c>
    </row>
    <row r="190" customFormat="false" ht="14.5" hidden="false" customHeight="false" outlineLevel="0" collapsed="false">
      <c r="A190" s="2561" t="str">
        <f aca="false">дома!A354</f>
        <v>Стойки для окон вертикальные</v>
      </c>
      <c r="B190" s="2562" t="str">
        <f aca="false">дома!B354</f>
        <v>м.п.</v>
      </c>
      <c r="C190" s="2563" t="n">
        <f aca="false">дома!C354</f>
        <v>0.15</v>
      </c>
      <c r="D190" s="2563" t="n">
        <f aca="false">дома!D354</f>
        <v>0.05</v>
      </c>
      <c r="E190" s="2563" t="n">
        <f aca="false">дома!E354</f>
        <v>3</v>
      </c>
      <c r="F190" s="2563" t="n">
        <f aca="false">дома!F354</f>
        <v>0</v>
      </c>
      <c r="G190" s="2563" t="n">
        <f aca="false">E190*F190*IF('Ввод данных'!$A$8=связи1!$A$150,1,0)</f>
        <v>0</v>
      </c>
      <c r="H190" s="2563" t="n">
        <f aca="false">дома!G327*IF('Ввод данных'!$A$8=связи1!$A$150,1,0)</f>
        <v>0</v>
      </c>
    </row>
    <row r="191" customFormat="false" ht="14.5" hidden="false" customHeight="false" outlineLevel="0" collapsed="false">
      <c r="A191" s="2561" t="str">
        <f aca="false">дома!A355</f>
        <v>Перекладины для окон горизонтальные, 1</v>
      </c>
      <c r="B191" s="2562" t="str">
        <f aca="false">дома!B355</f>
        <v>м.п.</v>
      </c>
      <c r="C191" s="2563" t="n">
        <f aca="false">дома!C355</f>
        <v>0.15</v>
      </c>
      <c r="D191" s="2563" t="n">
        <f aca="false">дома!D355</f>
        <v>0.05</v>
      </c>
      <c r="E191" s="2563" t="n">
        <f aca="false">дома!E355</f>
        <v>1</v>
      </c>
      <c r="F191" s="2563" t="n">
        <f aca="false">дома!F355</f>
        <v>0</v>
      </c>
      <c r="G191" s="2563" t="n">
        <f aca="false">E191*F191*IF('Ввод данных'!$A$8=связи1!$A$150,1,0)</f>
        <v>0</v>
      </c>
      <c r="H191" s="2563" t="n">
        <f aca="false">дома!G328*IF('Ввод данных'!$A$8=связи1!$A$150,1,0)</f>
        <v>0</v>
      </c>
    </row>
    <row r="192" customFormat="false" ht="14.5" hidden="false" customHeight="false" outlineLevel="0" collapsed="false">
      <c r="A192" s="2561" t="str">
        <f aca="false">дома!A356</f>
        <v>Перекладины для окон горизонтальные, 2</v>
      </c>
      <c r="B192" s="2562" t="str">
        <f aca="false">дома!B356</f>
        <v>м.п.</v>
      </c>
      <c r="C192" s="2563" t="n">
        <f aca="false">дома!C356</f>
        <v>0.15</v>
      </c>
      <c r="D192" s="2563" t="n">
        <f aca="false">дома!D356</f>
        <v>0.05</v>
      </c>
      <c r="E192" s="2563" t="n">
        <f aca="false">дома!E356</f>
        <v>0</v>
      </c>
      <c r="F192" s="2563" t="n">
        <f aca="false">дома!F356</f>
        <v>0</v>
      </c>
      <c r="G192" s="2563" t="n">
        <f aca="false">E192*F192*IF('Ввод данных'!$A$8=связи1!$A$150,1,0)</f>
        <v>0</v>
      </c>
      <c r="H192" s="2563" t="n">
        <f aca="false">дома!G329*IF('Ввод данных'!$A$8=связи1!$A$150,1,0)</f>
        <v>0</v>
      </c>
    </row>
    <row r="193" customFormat="false" ht="14.5" hidden="false" customHeight="false" outlineLevel="0" collapsed="false">
      <c r="A193" s="2561" t="str">
        <f aca="false">дома!A357</f>
        <v>Перекладины для окон горизонтальные, 3</v>
      </c>
      <c r="B193" s="2562" t="str">
        <f aca="false">дома!B357</f>
        <v>м.п.</v>
      </c>
      <c r="C193" s="2563" t="n">
        <f aca="false">дома!C357</f>
        <v>0.15</v>
      </c>
      <c r="D193" s="2563" t="n">
        <f aca="false">дома!D357</f>
        <v>0.05</v>
      </c>
      <c r="E193" s="2563" t="n">
        <f aca="false">дома!E357</f>
        <v>0</v>
      </c>
      <c r="F193" s="2563" t="n">
        <f aca="false">дома!F357</f>
        <v>0</v>
      </c>
      <c r="G193" s="2563" t="n">
        <f aca="false">E193*F193*IF('Ввод данных'!$A$8=связи1!$A$150,1,0)</f>
        <v>0</v>
      </c>
      <c r="H193" s="2563" t="n">
        <f aca="false">дома!G330*IF('Ввод данных'!$A$8=связи1!$A$150,1,0)</f>
        <v>0</v>
      </c>
    </row>
    <row r="194" customFormat="false" ht="14.5" hidden="false" customHeight="false" outlineLevel="0" collapsed="false">
      <c r="A194" s="2561" t="str">
        <f aca="false">дома!A358</f>
        <v>Перекладины для окон горизонтальные, 4</v>
      </c>
      <c r="B194" s="2562" t="str">
        <f aca="false">дома!B358</f>
        <v>м.п.</v>
      </c>
      <c r="C194" s="2563" t="n">
        <f aca="false">дома!C358</f>
        <v>0.15</v>
      </c>
      <c r="D194" s="2563" t="n">
        <f aca="false">дома!D358</f>
        <v>0.05</v>
      </c>
      <c r="E194" s="2563" t="n">
        <f aca="false">дома!E358</f>
        <v>0.6</v>
      </c>
      <c r="F194" s="2563" t="n">
        <f aca="false">дома!F358</f>
        <v>0</v>
      </c>
      <c r="G194" s="2563" t="n">
        <f aca="false">E194*F194*IF('Ввод данных'!$A$8=связи1!$A$150,1,0)</f>
        <v>0</v>
      </c>
      <c r="H194" s="2563" t="n">
        <f aca="false">дома!G331*IF('Ввод данных'!$A$8=связи1!$A$150,1,0)</f>
        <v>0</v>
      </c>
    </row>
    <row r="195" customFormat="false" ht="14.5" hidden="false" customHeight="false" outlineLevel="0" collapsed="false">
      <c r="A195" s="2561" t="str">
        <f aca="false">дома!A359</f>
        <v>Перекладины для окон горизонтальные, 5</v>
      </c>
      <c r="B195" s="2562" t="str">
        <f aca="false">дома!B359</f>
        <v>м.п.</v>
      </c>
      <c r="C195" s="2563" t="n">
        <f aca="false">дома!C359</f>
        <v>0.15</v>
      </c>
      <c r="D195" s="2563" t="n">
        <f aca="false">дома!D359</f>
        <v>0.05</v>
      </c>
      <c r="E195" s="2563" t="n">
        <f aca="false">дома!E359</f>
        <v>1</v>
      </c>
      <c r="F195" s="2563" t="n">
        <f aca="false">дома!F359</f>
        <v>0</v>
      </c>
      <c r="G195" s="2563" t="n">
        <f aca="false">E195*F195*IF('Ввод данных'!$A$8=связи1!$A$150,1,0)</f>
        <v>0</v>
      </c>
      <c r="H195" s="2563" t="n">
        <f aca="false">дома!G332*IF('Ввод данных'!$A$8=связи1!$A$150,1,0)</f>
        <v>0</v>
      </c>
    </row>
    <row r="196" customFormat="false" ht="14.5" hidden="false" customHeight="false" outlineLevel="0" collapsed="false">
      <c r="A196" s="2561" t="str">
        <f aca="false">дома!A360</f>
        <v>Стойки для входных дверей вертикальные</v>
      </c>
      <c r="B196" s="2562" t="str">
        <f aca="false">дома!B360</f>
        <v>м.п.</v>
      </c>
      <c r="C196" s="2563" t="n">
        <f aca="false">дома!C360</f>
        <v>0.15</v>
      </c>
      <c r="D196" s="2563" t="n">
        <f aca="false">дома!D360</f>
        <v>0.05</v>
      </c>
      <c r="E196" s="2563" t="n">
        <f aca="false">дома!E360</f>
        <v>3</v>
      </c>
      <c r="F196" s="2563" t="n">
        <f aca="false">дома!F360</f>
        <v>0</v>
      </c>
      <c r="G196" s="2563" t="n">
        <f aca="false">E196*F196*IF('Ввод данных'!$A$8=связи1!$A$150,1,0)</f>
        <v>0</v>
      </c>
      <c r="H196" s="2563" t="n">
        <f aca="false">дома!G333*IF('Ввод данных'!$A$8=связи1!$A$150,1,0)</f>
        <v>0</v>
      </c>
    </row>
    <row r="197" customFormat="false" ht="14.5" hidden="false" customHeight="false" outlineLevel="0" collapsed="false">
      <c r="A197" s="2561" t="str">
        <f aca="false">дома!A361</f>
        <v>Перекладины для входных дверей горизонтальные,1</v>
      </c>
      <c r="B197" s="2562" t="str">
        <f aca="false">дома!B361</f>
        <v>м.п.</v>
      </c>
      <c r="C197" s="2563" t="n">
        <f aca="false">дома!C361</f>
        <v>0.15</v>
      </c>
      <c r="D197" s="2563" t="n">
        <f aca="false">дома!D361</f>
        <v>0.05</v>
      </c>
      <c r="E197" s="2563" t="n">
        <f aca="false">дома!E361</f>
        <v>0.8</v>
      </c>
      <c r="F197" s="2563" t="n">
        <f aca="false">дома!F361</f>
        <v>0</v>
      </c>
      <c r="G197" s="2563" t="n">
        <f aca="false">E197*F197*IF('Ввод данных'!$A$8=связи1!$A$150,1,0)</f>
        <v>0</v>
      </c>
      <c r="H197" s="2563" t="n">
        <f aca="false">дома!G334*IF('Ввод данных'!$A$8=связи1!$A$150,1,0)</f>
        <v>0</v>
      </c>
    </row>
    <row r="198" customFormat="false" ht="14.5" hidden="false" customHeight="false" outlineLevel="0" collapsed="false">
      <c r="A198" s="2561" t="str">
        <f aca="false">дома!A362</f>
        <v>Перекладины для входных дверей горизонтальные,2</v>
      </c>
      <c r="B198" s="2562" t="str">
        <f aca="false">дома!B362</f>
        <v>м.п.</v>
      </c>
      <c r="C198" s="2563" t="n">
        <f aca="false">дома!C362</f>
        <v>0.15</v>
      </c>
      <c r="D198" s="2563" t="n">
        <f aca="false">дома!D362</f>
        <v>0.05</v>
      </c>
      <c r="E198" s="2563" t="n">
        <f aca="false">дома!E362</f>
        <v>0</v>
      </c>
      <c r="F198" s="2563" t="n">
        <f aca="false">дома!F362</f>
        <v>0</v>
      </c>
      <c r="G198" s="2563" t="n">
        <f aca="false">E198*F198*IF('Ввод данных'!$A$8=связи1!$A$150,1,0)</f>
        <v>0</v>
      </c>
      <c r="H198" s="2563" t="n">
        <f aca="false">дома!G335*IF('Ввод данных'!$A$8=связи1!$A$150,1,0)</f>
        <v>0</v>
      </c>
    </row>
    <row r="199" customFormat="false" ht="14.5" hidden="false" customHeight="false" outlineLevel="0" collapsed="false">
      <c r="A199" s="2561" t="str">
        <f aca="false">дома!A363</f>
        <v>Перекладины для входных дверей горизонтальные,3</v>
      </c>
      <c r="B199" s="2562" t="str">
        <f aca="false">дома!B363</f>
        <v>м.п.</v>
      </c>
      <c r="C199" s="2563" t="n">
        <f aca="false">дома!C363</f>
        <v>0.15</v>
      </c>
      <c r="D199" s="2563" t="n">
        <f aca="false">дома!D363</f>
        <v>0.05</v>
      </c>
      <c r="E199" s="2563" t="n">
        <f aca="false">дома!E363</f>
        <v>0</v>
      </c>
      <c r="F199" s="2563" t="n">
        <f aca="false">дома!F363</f>
        <v>0</v>
      </c>
      <c r="G199" s="2563" t="n">
        <f aca="false">E199*F199*IF('Ввод данных'!$A$8=связи1!$A$150,1,0)</f>
        <v>0</v>
      </c>
      <c r="H199" s="2563" t="n">
        <f aca="false">дома!G336*IF('Ввод данных'!$A$8=связи1!$A$150,1,0)</f>
        <v>0</v>
      </c>
    </row>
    <row r="200" customFormat="false" ht="14.5" hidden="false" customHeight="false" outlineLevel="0" collapsed="false">
      <c r="A200" s="2561" t="str">
        <f aca="false">дома!A364</f>
        <v>Перекладины для входных дверей горизонтальные,4</v>
      </c>
      <c r="B200" s="2562" t="str">
        <f aca="false">дома!B364</f>
        <v>м.п.</v>
      </c>
      <c r="C200" s="2563" t="n">
        <f aca="false">дома!C364</f>
        <v>0.15</v>
      </c>
      <c r="D200" s="2563" t="n">
        <f aca="false">дома!D364</f>
        <v>0.05</v>
      </c>
      <c r="E200" s="2563" t="n">
        <f aca="false">дома!E364</f>
        <v>0.9</v>
      </c>
      <c r="F200" s="2563" t="n">
        <f aca="false">дома!F364</f>
        <v>0</v>
      </c>
      <c r="G200" s="2563" t="n">
        <f aca="false">E200*F200*IF('Ввод данных'!$A$8=связи1!$A$150,1,0)</f>
        <v>0</v>
      </c>
      <c r="H200" s="2563" t="n">
        <f aca="false">дома!G337*IF('Ввод данных'!$A$8=связи1!$A$150,1,0)</f>
        <v>0</v>
      </c>
    </row>
    <row r="201" customFormat="false" ht="14.5" hidden="false" customHeight="false" outlineLevel="0" collapsed="false">
      <c r="A201" s="2561" t="str">
        <f aca="false">дома!A365</f>
        <v>Перекладины для входных дверей горизонтальные,5</v>
      </c>
      <c r="B201" s="2562" t="str">
        <f aca="false">дома!B365</f>
        <v>м.п.</v>
      </c>
      <c r="C201" s="2563" t="n">
        <f aca="false">дома!C365</f>
        <v>0.15</v>
      </c>
      <c r="D201" s="2563" t="n">
        <f aca="false">дома!D365</f>
        <v>0.05</v>
      </c>
      <c r="E201" s="2563" t="n">
        <f aca="false">дома!E365</f>
        <v>1</v>
      </c>
      <c r="F201" s="2563" t="n">
        <f aca="false">дома!F365</f>
        <v>0</v>
      </c>
      <c r="G201" s="2563" t="n">
        <f aca="false">E201*F201*IF('Ввод данных'!$A$8=связи1!$A$150,1,0)</f>
        <v>0</v>
      </c>
      <c r="H201" s="2563" t="n">
        <f aca="false">дома!G338*IF('Ввод данных'!$A$8=связи1!$A$150,1,0)</f>
        <v>0</v>
      </c>
    </row>
    <row r="202" customFormat="false" ht="14.5" hidden="false" customHeight="false" outlineLevel="0" collapsed="false">
      <c r="A202" s="2561" t="str">
        <f aca="false">дома!A366</f>
        <v>Стойки для межкомнатных дверей вертикальные</v>
      </c>
      <c r="B202" s="2562" t="str">
        <f aca="false">дома!B366</f>
        <v>м.п.</v>
      </c>
      <c r="C202" s="2563" t="n">
        <f aca="false">дома!C366</f>
        <v>0.15</v>
      </c>
      <c r="D202" s="2563" t="n">
        <f aca="false">дома!D366</f>
        <v>0.05</v>
      </c>
      <c r="E202" s="2563" t="n">
        <f aca="false">дома!E366</f>
        <v>3</v>
      </c>
      <c r="F202" s="2563" t="n">
        <f aca="false">дома!F366</f>
        <v>0</v>
      </c>
      <c r="G202" s="2563" t="n">
        <f aca="false">E202*F202*IF('Ввод данных'!$A$8=связи1!$A$150,1,0)</f>
        <v>0</v>
      </c>
      <c r="H202" s="2563" t="n">
        <f aca="false">дома!G339*IF('Ввод данных'!$A$8=связи1!$A$150,1,0)</f>
        <v>0</v>
      </c>
    </row>
    <row r="203" customFormat="false" ht="14.5" hidden="false" customHeight="false" outlineLevel="0" collapsed="false">
      <c r="A203" s="2561" t="str">
        <f aca="false">дома!A367</f>
        <v>Перекладины для межкомнатных дверей горизонтальные,1</v>
      </c>
      <c r="B203" s="2562" t="str">
        <f aca="false">дома!B367</f>
        <v>м.п.</v>
      </c>
      <c r="C203" s="2563" t="n">
        <f aca="false">дома!C367</f>
        <v>0.12</v>
      </c>
      <c r="D203" s="2563" t="n">
        <f aca="false">дома!D367</f>
        <v>0.05</v>
      </c>
      <c r="E203" s="2563" t="n">
        <f aca="false">дома!E367</f>
        <v>0.8</v>
      </c>
      <c r="F203" s="2563" t="n">
        <f aca="false">дома!F367</f>
        <v>0</v>
      </c>
      <c r="G203" s="2563" t="n">
        <f aca="false">E203*F203*IF('Ввод данных'!$A$8=связи1!$A$150,1,0)</f>
        <v>0</v>
      </c>
      <c r="H203" s="2563" t="n">
        <f aca="false">дома!G340*IF('Ввод данных'!$A$8=связи1!$A$150,1,0)</f>
        <v>0</v>
      </c>
    </row>
    <row r="204" customFormat="false" ht="14.5" hidden="false" customHeight="false" outlineLevel="0" collapsed="false">
      <c r="A204" s="2561" t="str">
        <f aca="false">дома!A368</f>
        <v>Перекладины для межкомнатных дверей горизонтальные,2</v>
      </c>
      <c r="B204" s="2562" t="str">
        <f aca="false">дома!B368</f>
        <v>м.п.</v>
      </c>
      <c r="C204" s="2563" t="n">
        <f aca="false">дома!C368</f>
        <v>0.12</v>
      </c>
      <c r="D204" s="2563" t="n">
        <f aca="false">дома!D368</f>
        <v>0.05</v>
      </c>
      <c r="E204" s="2563" t="n">
        <f aca="false">дома!E368</f>
        <v>0.6</v>
      </c>
      <c r="F204" s="2563" t="n">
        <f aca="false">дома!F368</f>
        <v>0</v>
      </c>
      <c r="G204" s="2563" t="n">
        <f aca="false">E204*F204*IF('Ввод данных'!$A$8=связи1!$A$150,1,0)</f>
        <v>0</v>
      </c>
      <c r="H204" s="2563" t="n">
        <f aca="false">дома!G341*IF('Ввод данных'!$A$8=связи1!$A$150,1,0)</f>
        <v>0</v>
      </c>
    </row>
    <row r="205" customFormat="false" ht="14.5" hidden="false" customHeight="false" outlineLevel="0" collapsed="false">
      <c r="A205" s="2561" t="str">
        <f aca="false">дома!A369</f>
        <v>Перекладины для межкомнатных дверей горизонтальные,3</v>
      </c>
      <c r="B205" s="2562" t="str">
        <f aca="false">дома!B369</f>
        <v>м.п.</v>
      </c>
      <c r="C205" s="2563" t="n">
        <f aca="false">дома!C369</f>
        <v>0.12</v>
      </c>
      <c r="D205" s="2563" t="n">
        <f aca="false">дома!D369</f>
        <v>0.05</v>
      </c>
      <c r="E205" s="2563" t="n">
        <f aca="false">дома!E369</f>
        <v>0.9</v>
      </c>
      <c r="F205" s="2563" t="n">
        <f aca="false">дома!F369</f>
        <v>0</v>
      </c>
      <c r="G205" s="2563" t="n">
        <f aca="false">E205*F205*IF('Ввод данных'!$A$8=связи1!$A$150,1,0)</f>
        <v>0</v>
      </c>
      <c r="H205" s="2563" t="n">
        <f aca="false">дома!G342*IF('Ввод данных'!$A$8=связи1!$A$150,1,0)</f>
        <v>0</v>
      </c>
    </row>
    <row r="206" customFormat="false" ht="14.5" hidden="false" customHeight="false" outlineLevel="0" collapsed="false">
      <c r="A206" s="2561" t="str">
        <f aca="false">дома!A370</f>
        <v>Перекладины для межкомнатных дверей горизонтальные,4</v>
      </c>
      <c r="B206" s="2562" t="str">
        <f aca="false">дома!B370</f>
        <v>м.п.</v>
      </c>
      <c r="C206" s="2563" t="n">
        <f aca="false">дома!C370</f>
        <v>0.12</v>
      </c>
      <c r="D206" s="2563" t="n">
        <f aca="false">дома!D370</f>
        <v>0.05</v>
      </c>
      <c r="E206" s="2563" t="n">
        <f aca="false">дома!E370</f>
        <v>0</v>
      </c>
      <c r="F206" s="2563" t="n">
        <f aca="false">дома!F370</f>
        <v>0</v>
      </c>
      <c r="G206" s="2563" t="n">
        <f aca="false">E206*F206*IF('Ввод данных'!$A$8=связи1!$A$150,1,0)</f>
        <v>0</v>
      </c>
      <c r="H206" s="2563" t="n">
        <f aca="false">дома!G343*IF('Ввод данных'!$A$8=связи1!$A$150,1,0)</f>
        <v>0</v>
      </c>
    </row>
    <row r="207" customFormat="false" ht="14.5" hidden="false" customHeight="false" outlineLevel="0" collapsed="false">
      <c r="A207" s="2561" t="str">
        <f aca="false">дома!A371</f>
        <v>Стойки для проемов вертикальные</v>
      </c>
      <c r="B207" s="2562" t="str">
        <f aca="false">дома!B371</f>
        <v>м.п.</v>
      </c>
      <c r="C207" s="2563" t="n">
        <f aca="false">дома!C371</f>
        <v>0.12</v>
      </c>
      <c r="D207" s="2563" t="n">
        <f aca="false">дома!D371</f>
        <v>0.05</v>
      </c>
      <c r="E207" s="2563" t="n">
        <f aca="false">дома!E371</f>
        <v>0</v>
      </c>
      <c r="F207" s="2563" t="n">
        <f aca="false">дома!F371</f>
        <v>0</v>
      </c>
      <c r="G207" s="2563" t="n">
        <f aca="false">E207*F207*IF('Ввод данных'!$A$8=связи1!$A$150,1,0)</f>
        <v>0</v>
      </c>
      <c r="H207" s="2563" t="n">
        <f aca="false">дома!G344*IF('Ввод данных'!$A$8=связи1!$A$150,1,0)</f>
        <v>0</v>
      </c>
    </row>
    <row r="208" customFormat="false" ht="14.5" hidden="false" customHeight="false" outlineLevel="0" collapsed="false">
      <c r="A208" s="2561" t="str">
        <f aca="false">дома!A372</f>
        <v>Перекладины для проемов горизонтальные,1</v>
      </c>
      <c r="B208" s="2562" t="str">
        <f aca="false">дома!B372</f>
        <v>м.п.</v>
      </c>
      <c r="C208" s="2563" t="n">
        <f aca="false">дома!C372</f>
        <v>0.12</v>
      </c>
      <c r="D208" s="2563" t="n">
        <f aca="false">дома!D372</f>
        <v>0.05</v>
      </c>
      <c r="E208" s="2563" t="n">
        <f aca="false">дома!E372</f>
        <v>2</v>
      </c>
      <c r="F208" s="2563" t="n">
        <f aca="false">дома!F372</f>
        <v>0</v>
      </c>
      <c r="G208" s="2563" t="n">
        <f aca="false">E208*F208*IF('Ввод данных'!$A$8=связи1!$A$150,1,0)</f>
        <v>0</v>
      </c>
      <c r="H208" s="2563" t="n">
        <f aca="false">дома!G345*IF('Ввод данных'!$A$8=связи1!$A$150,1,0)</f>
        <v>0</v>
      </c>
    </row>
    <row r="209" customFormat="false" ht="14.5" hidden="false" customHeight="false" outlineLevel="0" collapsed="false">
      <c r="A209" s="2561" t="str">
        <f aca="false">дома!A373</f>
        <v>Перекладины для проемов горизонтальные,2</v>
      </c>
      <c r="B209" s="2562" t="str">
        <f aca="false">дома!B373</f>
        <v>м.п.</v>
      </c>
      <c r="C209" s="2563" t="n">
        <f aca="false">дома!C373</f>
        <v>0.12</v>
      </c>
      <c r="D209" s="2563" t="n">
        <f aca="false">дома!D373</f>
        <v>0.05</v>
      </c>
      <c r="E209" s="2563" t="n">
        <f aca="false">дома!E373</f>
        <v>0</v>
      </c>
      <c r="F209" s="2563" t="n">
        <f aca="false">дома!F373</f>
        <v>0</v>
      </c>
      <c r="G209" s="2563" t="n">
        <f aca="false">E209*F209*IF('Ввод данных'!$A$8=связи1!$A$150,1,0)</f>
        <v>0</v>
      </c>
      <c r="H209" s="2563" t="n">
        <f aca="false">дома!G346*IF('Ввод данных'!$A$8=связи1!$A$150,1,0)</f>
        <v>0</v>
      </c>
    </row>
    <row r="210" customFormat="false" ht="21" hidden="false" customHeight="false" outlineLevel="0" collapsed="false">
      <c r="A210" s="2558" t="s">
        <v>4168</v>
      </c>
      <c r="B210" s="2558"/>
      <c r="C210" s="2558"/>
      <c r="D210" s="2558"/>
      <c r="E210" s="2558"/>
      <c r="F210" s="2558"/>
      <c r="G210" s="2564" t="n">
        <f aca="false">E210*F210</f>
        <v>0</v>
      </c>
      <c r="H210" s="2565" t="n">
        <f aca="false">SUM(H211:H407)</f>
        <v>0</v>
      </c>
    </row>
    <row r="211" customFormat="false" ht="14.5" hidden="false" customHeight="false" outlineLevel="0" collapsed="false">
      <c r="A211" s="2561" t="str">
        <f aca="false">дома!A637</f>
        <v>Стойки каркаса передней/задней стены 2 эт</v>
      </c>
      <c r="B211" s="2562" t="str">
        <f aca="false">дома!B637</f>
        <v>м.п.</v>
      </c>
      <c r="C211" s="2563" t="n">
        <f aca="false">дома!C637</f>
        <v>0.15</v>
      </c>
      <c r="D211" s="2563" t="n">
        <f aca="false">дома!D637</f>
        <v>0.05</v>
      </c>
      <c r="E211" s="2563" t="n">
        <f aca="false">дома!E637</f>
        <v>0</v>
      </c>
      <c r="F211" s="2563" t="n">
        <f aca="false">дома!F637</f>
        <v>0</v>
      </c>
      <c r="G211" s="2563" t="n">
        <f aca="false">E211*F211*(IF('Ввод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1" s="2563" t="n">
        <f aca="false">дома!G637*(IF('Ввод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2" customFormat="false" ht="14.5" hidden="false" customHeight="false" outlineLevel="0" collapsed="false">
      <c r="A212" s="2561" t="str">
        <f aca="false">дома!A638</f>
        <v>Стойки каркаса, левая сторона 2 эт</v>
      </c>
      <c r="B212" s="2562" t="str">
        <f aca="false">дома!B638</f>
        <v>м.п.</v>
      </c>
      <c r="C212" s="2563" t="n">
        <f aca="false">дома!C638</f>
        <v>0.15</v>
      </c>
      <c r="D212" s="2563" t="n">
        <f aca="false">дома!D638</f>
        <v>0.05</v>
      </c>
      <c r="E212" s="2563" t="n">
        <f aca="false">дома!E638</f>
        <v>0</v>
      </c>
      <c r="F212" s="2563" t="n">
        <f aca="false">дома!F638</f>
        <v>0</v>
      </c>
      <c r="G212" s="2563" t="n">
        <f aca="false">E212*F212*(IF('Ввод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2" s="2563" t="n">
        <f aca="false">дома!G638*(IF('Ввод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3" customFormat="false" ht="14.5" hidden="false" customHeight="false" outlineLevel="0" collapsed="false">
      <c r="A213" s="2561" t="str">
        <f aca="false">дома!A639</f>
        <v>Стойки каркаса, правая сторона 2 эт</v>
      </c>
      <c r="B213" s="2562" t="str">
        <f aca="false">дома!B639</f>
        <v>м.п.</v>
      </c>
      <c r="C213" s="2563" t="n">
        <f aca="false">дома!C639</f>
        <v>0.15</v>
      </c>
      <c r="D213" s="2563" t="n">
        <f aca="false">дома!D639</f>
        <v>0.05</v>
      </c>
      <c r="E213" s="2563" t="n">
        <f aca="false">дома!E639</f>
        <v>0</v>
      </c>
      <c r="F213" s="2563" t="n">
        <f aca="false">дома!F639</f>
        <v>0</v>
      </c>
      <c r="G213" s="2563" t="n">
        <f aca="false">E213*F213*(IF('Ввод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3" s="2563" t="n">
        <f aca="false">дома!G639*(IF('Ввод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4" customFormat="false" ht="14.5" hidden="false" customHeight="false" outlineLevel="0" collapsed="false">
      <c r="A214" s="2561" t="str">
        <f aca="false">дома!A640</f>
        <v>Стойки каркаса левой боковой стены 2 эт</v>
      </c>
      <c r="B214" s="2562" t="str">
        <f aca="false">дома!B640</f>
        <v>м.п.</v>
      </c>
      <c r="C214" s="2563" t="n">
        <f aca="false">дома!C640</f>
        <v>0.15</v>
      </c>
      <c r="D214" s="2563" t="n">
        <f aca="false">дома!D640</f>
        <v>0.05</v>
      </c>
      <c r="E214" s="2563" t="n">
        <f aca="false">дома!E640</f>
        <v>0</v>
      </c>
      <c r="F214" s="2563" t="n">
        <f aca="false">дома!F640</f>
        <v>0</v>
      </c>
      <c r="G214" s="2563" t="n">
        <f aca="false">E214*F214*(IF('Ввод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4" s="2563" t="n">
        <f aca="false">дома!G640*(IF('Ввод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5" customFormat="false" ht="14.5" hidden="false" customHeight="false" outlineLevel="0" collapsed="false">
      <c r="A215" s="2561" t="str">
        <f aca="false">дома!A641</f>
        <v>Стойки каркаса правой боковой стены 1 эт</v>
      </c>
      <c r="B215" s="2562" t="str">
        <f aca="false">дома!B641</f>
        <v>м.п.</v>
      </c>
      <c r="C215" s="2563" t="n">
        <f aca="false">дома!C641</f>
        <v>0.15</v>
      </c>
      <c r="D215" s="2563" t="n">
        <f aca="false">дома!D641</f>
        <v>0.05</v>
      </c>
      <c r="E215" s="2563" t="n">
        <f aca="false">дома!E641</f>
        <v>0</v>
      </c>
      <c r="F215" s="2563" t="n">
        <f aca="false">дома!F641</f>
        <v>0</v>
      </c>
      <c r="G215" s="2563" t="n">
        <f aca="false">E215*F215*(IF('Ввод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5" s="2563" t="n">
        <f aca="false">дома!G641*(IF('Ввод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6" customFormat="false" ht="14.5" hidden="false" customHeight="false" outlineLevel="0" collapsed="false">
      <c r="A216" s="2561" t="str">
        <f aca="false">дома!A642</f>
        <v>Обвязка каркаса фронтона верхняя,двускатная кровля</v>
      </c>
      <c r="B216" s="2562" t="str">
        <f aca="false">дома!B642</f>
        <v>м.п.</v>
      </c>
      <c r="C216" s="2563" t="n">
        <f aca="false">дома!C642</f>
        <v>0.15</v>
      </c>
      <c r="D216" s="2563" t="n">
        <f aca="false">дома!D642</f>
        <v>0.05</v>
      </c>
      <c r="E216" s="2563" t="n">
        <f aca="false">дома!E642</f>
        <v>5.25</v>
      </c>
      <c r="F216" s="2563" t="n">
        <f aca="false">дома!F642</f>
        <v>0</v>
      </c>
      <c r="G216" s="2563" t="n">
        <f aca="false">E216*F216*(IF('Ввод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6" s="2563" t="n">
        <f aca="false">дома!G642*(IF('Ввод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7" customFormat="false" ht="14.5" hidden="false" customHeight="false" outlineLevel="0" collapsed="false">
      <c r="A217" s="2561" t="str">
        <f aca="false">дома!A643</f>
        <v>Обвязка каркаса фронтона нижняя,двускатная кровля</v>
      </c>
      <c r="B217" s="2562" t="str">
        <f aca="false">дома!B643</f>
        <v>м.п.</v>
      </c>
      <c r="C217" s="2563" t="n">
        <f aca="false">дома!C643</f>
        <v>0.15</v>
      </c>
      <c r="D217" s="2563" t="n">
        <f aca="false">дома!D643</f>
        <v>0.05</v>
      </c>
      <c r="E217" s="2563" t="n">
        <f aca="false">дома!E643</f>
        <v>5</v>
      </c>
      <c r="F217" s="2563" t="n">
        <f aca="false">дома!F643</f>
        <v>0</v>
      </c>
      <c r="G217" s="2563" t="n">
        <f aca="false">E217*F217*(IF('Ввод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7" s="2563" t="n">
        <f aca="false">дома!G643*(IF('Ввод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8" customFormat="false" ht="14.5" hidden="false" customHeight="false" outlineLevel="0" collapsed="false">
      <c r="A218" s="2561" t="str">
        <f aca="false">дома!A644</f>
        <v>Ригель каркаса фронтона,двускатная кровля</v>
      </c>
      <c r="B218" s="2562" t="str">
        <f aca="false">дома!B644</f>
        <v>м.п.</v>
      </c>
      <c r="C218" s="2563" t="n">
        <f aca="false">дома!C644</f>
        <v>0.15</v>
      </c>
      <c r="D218" s="2563" t="n">
        <f aca="false">дома!D644</f>
        <v>0.05</v>
      </c>
      <c r="E218" s="2563" t="n">
        <f aca="false">дома!E644</f>
        <v>5.25</v>
      </c>
      <c r="F218" s="2563" t="n">
        <f aca="false">дома!F644</f>
        <v>0</v>
      </c>
      <c r="G218" s="2563" t="n">
        <f aca="false">E218*F218*(IF('Ввод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8" s="2563" t="n">
        <f aca="false">дома!G644*(IF('Ввод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19" customFormat="false" ht="14.5" hidden="false" customHeight="false" outlineLevel="0" collapsed="false">
      <c r="A219" s="2561" t="str">
        <f aca="false">дома!A645</f>
        <v>Обвязка каркаса верхняя/нижняя наружние стены 2 эт</v>
      </c>
      <c r="B219" s="2562" t="str">
        <f aca="false">дома!B645</f>
        <v>м.п.</v>
      </c>
      <c r="C219" s="2563" t="n">
        <f aca="false">дома!C645</f>
        <v>0.15</v>
      </c>
      <c r="D219" s="2563" t="n">
        <f aca="false">дома!D645</f>
        <v>0.05</v>
      </c>
      <c r="E219" s="2563" t="n">
        <f aca="false">дома!E645</f>
        <v>0</v>
      </c>
      <c r="F219" s="2563" t="n">
        <f aca="false">дома!F645</f>
        <v>0</v>
      </c>
      <c r="G219" s="2563" t="n">
        <f aca="false">E219*F219*(IF('Ввод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19" s="2563" t="n">
        <f aca="false">дома!G645*(IF('Ввод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0" customFormat="false" ht="14.5" hidden="false" customHeight="false" outlineLevel="0" collapsed="false">
      <c r="A220" s="2561" t="str">
        <f aca="false">дома!A646</f>
        <v>Ригель каркаса наружние стены 2 эт</v>
      </c>
      <c r="B220" s="2562" t="str">
        <f aca="false">дома!B646</f>
        <v>м.п.</v>
      </c>
      <c r="C220" s="2563" t="n">
        <f aca="false">дома!C646</f>
        <v>0.15</v>
      </c>
      <c r="D220" s="2563" t="n">
        <f aca="false">дома!D646</f>
        <v>0.05</v>
      </c>
      <c r="E220" s="2563" t="n">
        <f aca="false">дома!E646</f>
        <v>0</v>
      </c>
      <c r="F220" s="2563" t="n">
        <f aca="false">дома!F646</f>
        <v>0</v>
      </c>
      <c r="G220" s="2563" t="n">
        <f aca="false">E220*F220*(IF('Ввод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0" s="2563" t="n">
        <f aca="false">дома!G646*(IF('Ввод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1" customFormat="false" ht="14.5" hidden="false" customHeight="false" outlineLevel="0" collapsed="false">
      <c r="A221" s="2561" t="str">
        <f aca="false">дома!A647</f>
        <v>Стойка каркаса, несущие перегородки, 2 этаж</v>
      </c>
      <c r="B221" s="2562" t="str">
        <f aca="false">дома!B647</f>
        <v>м.п.</v>
      </c>
      <c r="C221" s="2563" t="n">
        <f aca="false">дома!C647</f>
        <v>0.12</v>
      </c>
      <c r="D221" s="2563" t="n">
        <f aca="false">дома!D647</f>
        <v>0.05</v>
      </c>
      <c r="E221" s="2563" t="n">
        <f aca="false">дома!E647</f>
        <v>0</v>
      </c>
      <c r="F221" s="2563" t="n">
        <f aca="false">дома!F647</f>
        <v>0</v>
      </c>
      <c r="G221" s="2563" t="n">
        <f aca="false">E221*F221*(IF('Ввод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1" s="2563" t="n">
        <f aca="false">дома!G647*(IF('Ввод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2" customFormat="false" ht="14.5" hidden="false" customHeight="false" outlineLevel="0" collapsed="false">
      <c r="A222" s="2561" t="str">
        <f aca="false">дома!A648</f>
        <v>Обвязка несущих перегородок верх, 2 этаж</v>
      </c>
      <c r="B222" s="2562" t="str">
        <f aca="false">дома!B648</f>
        <v>м.п.</v>
      </c>
      <c r="C222" s="2563" t="n">
        <f aca="false">дома!C648</f>
        <v>0.12</v>
      </c>
      <c r="D222" s="2563" t="n">
        <f aca="false">дома!D648</f>
        <v>0.05</v>
      </c>
      <c r="E222" s="2563" t="n">
        <f aca="false">дома!E648</f>
        <v>0</v>
      </c>
      <c r="F222" s="2563" t="n">
        <f aca="false">дома!F648</f>
        <v>0</v>
      </c>
      <c r="G222" s="2563" t="n">
        <f aca="false">E222*F222*(IF('Ввод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2" s="2563" t="n">
        <f aca="false">дома!G648*(IF('Ввод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3" customFormat="false" ht="14.5" hidden="false" customHeight="false" outlineLevel="0" collapsed="false">
      <c r="A223" s="2561" t="str">
        <f aca="false">дома!A649</f>
        <v>Ригель несущих перегородок, 2 этаж</v>
      </c>
      <c r="B223" s="2562" t="str">
        <f aca="false">дома!B649</f>
        <v>м.п.</v>
      </c>
      <c r="C223" s="2563" t="n">
        <f aca="false">дома!C649</f>
        <v>0.12</v>
      </c>
      <c r="D223" s="2563" t="n">
        <f aca="false">дома!D649</f>
        <v>0.05</v>
      </c>
      <c r="E223" s="2563" t="n">
        <f aca="false">дома!E649</f>
        <v>0</v>
      </c>
      <c r="F223" s="2563" t="n">
        <f aca="false">дома!F649</f>
        <v>0</v>
      </c>
      <c r="G223" s="2563" t="n">
        <f aca="false">E223*F223*(IF('Ввод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3" s="2563" t="n">
        <f aca="false">дома!G649*(IF('Ввод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4" customFormat="false" ht="14.5" hidden="false" customHeight="false" outlineLevel="0" collapsed="false">
      <c r="A224" s="2561" t="str">
        <f aca="false">дома!A650</f>
        <v>Стойка каркаса, перегородки, 2 этаж</v>
      </c>
      <c r="B224" s="2562" t="str">
        <f aca="false">дома!B650</f>
        <v>м.п.</v>
      </c>
      <c r="C224" s="2563" t="n">
        <f aca="false">дома!C650</f>
        <v>0.17</v>
      </c>
      <c r="D224" s="2563" t="n">
        <f aca="false">дома!D650</f>
        <v>0.05</v>
      </c>
      <c r="E224" s="2563" t="n">
        <f aca="false">дома!E650</f>
        <v>0</v>
      </c>
      <c r="F224" s="2563" t="n">
        <f aca="false">дома!F650</f>
        <v>0</v>
      </c>
      <c r="G224" s="2563" t="n">
        <f aca="false">E224*F224*(IF('Ввод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4" s="2563" t="n">
        <f aca="false">дома!G650*(IF('Ввод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5" customFormat="false" ht="14.5" hidden="false" customHeight="false" outlineLevel="0" collapsed="false">
      <c r="A225" s="2561" t="str">
        <f aca="false">дома!A651</f>
        <v>Обвязка перегородок верх, 2 этаж</v>
      </c>
      <c r="B225" s="2562" t="str">
        <f aca="false">дома!B651</f>
        <v>м.п.</v>
      </c>
      <c r="C225" s="2563" t="n">
        <f aca="false">дома!C651</f>
        <v>0.17</v>
      </c>
      <c r="D225" s="2563" t="n">
        <f aca="false">дома!D651</f>
        <v>0.05</v>
      </c>
      <c r="E225" s="2563" t="n">
        <f aca="false">дома!E651</f>
        <v>0</v>
      </c>
      <c r="F225" s="2563" t="n">
        <f aca="false">дома!F651</f>
        <v>0</v>
      </c>
      <c r="G225" s="2563" t="n">
        <f aca="false">E225*F225*(IF('Ввод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5" s="2563" t="n">
        <f aca="false">дома!G651*(IF('Ввод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6" customFormat="false" ht="14.5" hidden="false" customHeight="false" outlineLevel="0" collapsed="false">
      <c r="A226" s="2561" t="str">
        <f aca="false">дома!A652</f>
        <v>Стойка каркаса по фронтону, левая сторона, двускатная кровля №1</v>
      </c>
      <c r="B226" s="2562" t="str">
        <f aca="false">дома!B652</f>
        <v>м.п.</v>
      </c>
      <c r="C226" s="2563" t="n">
        <f aca="false">дома!C652</f>
        <v>0.15</v>
      </c>
      <c r="D226" s="2563" t="n">
        <f aca="false">дома!D652</f>
        <v>0.05</v>
      </c>
      <c r="E226" s="2563" t="n">
        <f aca="false">дома!E652</f>
        <v>0</v>
      </c>
      <c r="F226" s="2563" t="n">
        <f aca="false">дома!F652</f>
        <v>0</v>
      </c>
      <c r="G226" s="2563" t="n">
        <f aca="false">E226*F226*(IF('Ввод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6" s="2563" t="n">
        <f aca="false">дома!G652*(IF('Ввод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7" customFormat="false" ht="14.5" hidden="false" customHeight="false" outlineLevel="0" collapsed="false">
      <c r="A227" s="2561" t="str">
        <f aca="false">дома!A653</f>
        <v>Стойка каркаса по фронтону, левая сторона, двускатная кровля №2</v>
      </c>
      <c r="B227" s="2562" t="str">
        <f aca="false">дома!B653</f>
        <v>м.п.</v>
      </c>
      <c r="C227" s="2563" t="n">
        <f aca="false">дома!C653</f>
        <v>0.15</v>
      </c>
      <c r="D227" s="2563" t="n">
        <f aca="false">дома!D653</f>
        <v>0.05</v>
      </c>
      <c r="E227" s="2563" t="n">
        <f aca="false">дома!E653</f>
        <v>0</v>
      </c>
      <c r="F227" s="2563" t="n">
        <f aca="false">дома!F653</f>
        <v>0</v>
      </c>
      <c r="G227" s="2563" t="n">
        <f aca="false">E227*F227*(IF('Ввод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7" s="2563" t="n">
        <f aca="false">дома!G653*(IF('Ввод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8" customFormat="false" ht="14.5" hidden="false" customHeight="false" outlineLevel="0" collapsed="false">
      <c r="A228" s="2561" t="str">
        <f aca="false">дома!A654</f>
        <v>Стойка каркаса по фронтону, левая сторона, двускатная кровля №3</v>
      </c>
      <c r="B228" s="2562" t="str">
        <f aca="false">дома!B654</f>
        <v>м.п.</v>
      </c>
      <c r="C228" s="2563" t="n">
        <f aca="false">дома!C654</f>
        <v>0.15</v>
      </c>
      <c r="D228" s="2563" t="n">
        <f aca="false">дома!D654</f>
        <v>0.05</v>
      </c>
      <c r="E228" s="2563" t="n">
        <f aca="false">дома!E654</f>
        <v>0</v>
      </c>
      <c r="F228" s="2563" t="n">
        <f aca="false">дома!F654</f>
        <v>0</v>
      </c>
      <c r="G228" s="2563" t="n">
        <f aca="false">E228*F228*(IF('Ввод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8" s="2563" t="n">
        <f aca="false">дома!G654*(IF('Ввод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29" customFormat="false" ht="14.5" hidden="false" customHeight="false" outlineLevel="0" collapsed="false">
      <c r="A229" s="2561" t="str">
        <f aca="false">дома!A655</f>
        <v>Стойка каркаса по фронтону, левая сторона, двускатная кровля №4</v>
      </c>
      <c r="B229" s="2562" t="str">
        <f aca="false">дома!B655</f>
        <v>м.п.</v>
      </c>
      <c r="C229" s="2563" t="n">
        <f aca="false">дома!C655</f>
        <v>0.15</v>
      </c>
      <c r="D229" s="2563" t="n">
        <f aca="false">дома!D655</f>
        <v>0.05</v>
      </c>
      <c r="E229" s="2563" t="n">
        <f aca="false">дома!E655</f>
        <v>0</v>
      </c>
      <c r="F229" s="2563" t="n">
        <f aca="false">дома!F655</f>
        <v>0</v>
      </c>
      <c r="G229" s="2563" t="n">
        <f aca="false">E229*F229*(IF('Ввод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29" s="2563" t="n">
        <f aca="false">дома!G655*(IF('Ввод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0" customFormat="false" ht="14.5" hidden="false" customHeight="false" outlineLevel="0" collapsed="false">
      <c r="A230" s="2561" t="str">
        <f aca="false">дома!A656</f>
        <v>Стойка каркаса по фронтону, левая сторона, двускатная кровля №5</v>
      </c>
      <c r="B230" s="2562" t="str">
        <f aca="false">дома!B656</f>
        <v>м.п.</v>
      </c>
      <c r="C230" s="2563" t="n">
        <f aca="false">дома!C656</f>
        <v>0.15</v>
      </c>
      <c r="D230" s="2563" t="n">
        <f aca="false">дома!D656</f>
        <v>0.05</v>
      </c>
      <c r="E230" s="2563" t="n">
        <f aca="false">дома!E656</f>
        <v>0</v>
      </c>
      <c r="F230" s="2563" t="n">
        <f aca="false">дома!F656</f>
        <v>0</v>
      </c>
      <c r="G230" s="2563" t="n">
        <f aca="false">E230*F230*(IF('Ввод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0" s="2563" t="n">
        <f aca="false">дома!G656*(IF('Ввод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1" customFormat="false" ht="14.5" hidden="false" customHeight="false" outlineLevel="0" collapsed="false">
      <c r="A231" s="2561" t="str">
        <f aca="false">дома!A657</f>
        <v>Стойка каркаса по фронтону, левая сторона, двускатная кровля №6</v>
      </c>
      <c r="B231" s="2562" t="str">
        <f aca="false">дома!B657</f>
        <v>м.п.</v>
      </c>
      <c r="C231" s="2563" t="n">
        <f aca="false">дома!C657</f>
        <v>0.15</v>
      </c>
      <c r="D231" s="2563" t="n">
        <f aca="false">дома!D657</f>
        <v>0.05</v>
      </c>
      <c r="E231" s="2563" t="n">
        <f aca="false">дома!E657</f>
        <v>0</v>
      </c>
      <c r="F231" s="2563" t="n">
        <f aca="false">дома!F657</f>
        <v>0</v>
      </c>
      <c r="G231" s="2563" t="n">
        <f aca="false">E231*F231*(IF('Ввод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1" s="2563" t="n">
        <f aca="false">дома!G657*(IF('Ввод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2" customFormat="false" ht="14.5" hidden="false" customHeight="false" outlineLevel="0" collapsed="false">
      <c r="A232" s="2561" t="str">
        <f aca="false">дома!A658</f>
        <v>Стойка каркаса по фронтону, левая сторона, двускатная кровля №7</v>
      </c>
      <c r="B232" s="2562" t="str">
        <f aca="false">дома!B658</f>
        <v>м.п.</v>
      </c>
      <c r="C232" s="2563" t="n">
        <f aca="false">дома!C658</f>
        <v>0.15</v>
      </c>
      <c r="D232" s="2563" t="n">
        <f aca="false">дома!D658</f>
        <v>0.05</v>
      </c>
      <c r="E232" s="2563" t="n">
        <f aca="false">дома!E658</f>
        <v>0</v>
      </c>
      <c r="F232" s="2563" t="n">
        <f aca="false">дома!F658</f>
        <v>0</v>
      </c>
      <c r="G232" s="2563" t="n">
        <f aca="false">E232*F232*(IF('Ввод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2" s="2563" t="n">
        <f aca="false">дома!G658*(IF('Ввод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3" customFormat="false" ht="14.5" hidden="false" customHeight="false" outlineLevel="0" collapsed="false">
      <c r="A233" s="2561" t="str">
        <f aca="false">дома!A659</f>
        <v>Стойка каркаса по фронтону, левая сторона, двускатная кровля №8</v>
      </c>
      <c r="B233" s="2562" t="str">
        <f aca="false">дома!B659</f>
        <v>м.п.</v>
      </c>
      <c r="C233" s="2563" t="n">
        <f aca="false">дома!C659</f>
        <v>0.15</v>
      </c>
      <c r="D233" s="2563" t="n">
        <f aca="false">дома!D659</f>
        <v>0.05</v>
      </c>
      <c r="E233" s="2563" t="n">
        <f aca="false">дома!E659</f>
        <v>0</v>
      </c>
      <c r="F233" s="2563" t="n">
        <f aca="false">дома!F659</f>
        <v>0</v>
      </c>
      <c r="G233" s="2563" t="n">
        <f aca="false">E233*F233*(IF('Ввод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3" s="2563" t="n">
        <f aca="false">дома!G659*(IF('Ввод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4" customFormat="false" ht="14.5" hidden="false" customHeight="false" outlineLevel="0" collapsed="false">
      <c r="A234" s="2561" t="str">
        <f aca="false">дома!A660</f>
        <v>Стойка каркаса по фронтону, левая сторона, двускатная кровля №9</v>
      </c>
      <c r="B234" s="2562" t="str">
        <f aca="false">дома!B660</f>
        <v>м.п.</v>
      </c>
      <c r="C234" s="2563" t="n">
        <f aca="false">дома!C660</f>
        <v>0.15</v>
      </c>
      <c r="D234" s="2563" t="n">
        <f aca="false">дома!D660</f>
        <v>0.05</v>
      </c>
      <c r="E234" s="2563" t="n">
        <f aca="false">дома!E660</f>
        <v>0</v>
      </c>
      <c r="F234" s="2563" t="n">
        <f aca="false">дома!F660</f>
        <v>0</v>
      </c>
      <c r="G234" s="2563" t="n">
        <f aca="false">E234*F234*(IF('Ввод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4" s="2563" t="n">
        <f aca="false">дома!G660*(IF('Ввод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5" customFormat="false" ht="14.5" hidden="false" customHeight="false" outlineLevel="0" collapsed="false">
      <c r="A235" s="2561" t="str">
        <f aca="false">дома!A661</f>
        <v>Стойка каркаса по фронтону, левая сторона, двускатная кровля №10</v>
      </c>
      <c r="B235" s="2562" t="str">
        <f aca="false">дома!B661</f>
        <v>м.п.</v>
      </c>
      <c r="C235" s="2563" t="n">
        <f aca="false">дома!C661</f>
        <v>0.15</v>
      </c>
      <c r="D235" s="2563" t="n">
        <f aca="false">дома!D661</f>
        <v>0.05</v>
      </c>
      <c r="E235" s="2563" t="n">
        <f aca="false">дома!E661</f>
        <v>0</v>
      </c>
      <c r="F235" s="2563" t="n">
        <f aca="false">дома!F661</f>
        <v>0</v>
      </c>
      <c r="G235" s="2563" t="n">
        <f aca="false">E235*F235*(IF('Ввод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5" s="2563" t="n">
        <f aca="false">дома!G661*(IF('Ввод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6" customFormat="false" ht="14.5" hidden="false" customHeight="false" outlineLevel="0" collapsed="false">
      <c r="A236" s="2561" t="str">
        <f aca="false">дома!A662</f>
        <v>Стойка каркаса по фронтону, левая сторона, двускатная кровля №11</v>
      </c>
      <c r="B236" s="2562" t="str">
        <f aca="false">дома!B662</f>
        <v>м.п.</v>
      </c>
      <c r="C236" s="2563" t="n">
        <f aca="false">дома!C662</f>
        <v>0.15</v>
      </c>
      <c r="D236" s="2563" t="n">
        <f aca="false">дома!D662</f>
        <v>0.05</v>
      </c>
      <c r="E236" s="2563" t="n">
        <f aca="false">дома!E662</f>
        <v>0</v>
      </c>
      <c r="F236" s="2563" t="n">
        <f aca="false">дома!F662</f>
        <v>0</v>
      </c>
      <c r="G236" s="2563" t="n">
        <f aca="false">E236*F236*(IF('Ввод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6" s="2563" t="n">
        <f aca="false">дома!G662*(IF('Ввод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7" customFormat="false" ht="14.5" hidden="false" customHeight="false" outlineLevel="0" collapsed="false">
      <c r="A237" s="2561" t="str">
        <f aca="false">дома!A663</f>
        <v>Стойка каркаса по фронтону, левая сторона, двускатная кровля №12</v>
      </c>
      <c r="B237" s="2562" t="str">
        <f aca="false">дома!B663</f>
        <v>м.п.</v>
      </c>
      <c r="C237" s="2563" t="n">
        <f aca="false">дома!C663</f>
        <v>0.15</v>
      </c>
      <c r="D237" s="2563" t="n">
        <f aca="false">дома!D663</f>
        <v>0.05</v>
      </c>
      <c r="E237" s="2563" t="n">
        <f aca="false">дома!E663</f>
        <v>0</v>
      </c>
      <c r="F237" s="2563" t="n">
        <f aca="false">дома!F663</f>
        <v>0</v>
      </c>
      <c r="G237" s="2563" t="n">
        <f aca="false">E237*F237*(IF('Ввод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7" s="2563" t="n">
        <f aca="false">дома!G663*(IF('Ввод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8" customFormat="false" ht="14.5" hidden="false" customHeight="false" outlineLevel="0" collapsed="false">
      <c r="A238" s="2561" t="str">
        <f aca="false">дома!A664</f>
        <v>Стойка каркаса по фронтону, левая сторона, двускатная кровля №13</v>
      </c>
      <c r="B238" s="2562" t="str">
        <f aca="false">дома!B664</f>
        <v>м.п.</v>
      </c>
      <c r="C238" s="2563" t="n">
        <f aca="false">дома!C664</f>
        <v>0.15</v>
      </c>
      <c r="D238" s="2563" t="n">
        <f aca="false">дома!D664</f>
        <v>0.05</v>
      </c>
      <c r="E238" s="2563" t="n">
        <f aca="false">дома!E664</f>
        <v>0</v>
      </c>
      <c r="F238" s="2563" t="n">
        <f aca="false">дома!F664</f>
        <v>0</v>
      </c>
      <c r="G238" s="2563" t="n">
        <f aca="false">E238*F238*(IF('Ввод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8" s="2563" t="n">
        <f aca="false">дома!G664*(IF('Ввод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39" customFormat="false" ht="14.5" hidden="false" customHeight="false" outlineLevel="0" collapsed="false">
      <c r="A239" s="2561" t="str">
        <f aca="false">дома!A665</f>
        <v>Стойка каркаса по фронтону, левая сторона, двускатная кровля №14</v>
      </c>
      <c r="B239" s="2562" t="str">
        <f aca="false">дома!B665</f>
        <v>м.п.</v>
      </c>
      <c r="C239" s="2563" t="n">
        <f aca="false">дома!C665</f>
        <v>0.15</v>
      </c>
      <c r="D239" s="2563" t="n">
        <f aca="false">дома!D665</f>
        <v>0.05</v>
      </c>
      <c r="E239" s="2563" t="n">
        <f aca="false">дома!E665</f>
        <v>0</v>
      </c>
      <c r="F239" s="2563" t="n">
        <f aca="false">дома!F665</f>
        <v>0</v>
      </c>
      <c r="G239" s="2563" t="n">
        <f aca="false">E239*F239*(IF('Ввод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39" s="2563" t="n">
        <f aca="false">дома!G665*(IF('Ввод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0" customFormat="false" ht="14.5" hidden="false" customHeight="false" outlineLevel="0" collapsed="false">
      <c r="A240" s="2561" t="str">
        <f aca="false">дома!A666</f>
        <v>Стойка каркаса по фронтону, левая сторона, двускатная кровля №15</v>
      </c>
      <c r="B240" s="2562" t="str">
        <f aca="false">дома!B666</f>
        <v>м.п.</v>
      </c>
      <c r="C240" s="2563" t="n">
        <f aca="false">дома!C666</f>
        <v>0.15</v>
      </c>
      <c r="D240" s="2563" t="n">
        <f aca="false">дома!D666</f>
        <v>0.05</v>
      </c>
      <c r="E240" s="2563" t="n">
        <f aca="false">дома!E666</f>
        <v>0</v>
      </c>
      <c r="F240" s="2563" t="n">
        <f aca="false">дома!F666</f>
        <v>0</v>
      </c>
      <c r="G240" s="2563" t="n">
        <f aca="false">E240*F240*(IF('Ввод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0" s="2563" t="n">
        <f aca="false">дома!G666*(IF('Ввод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1" customFormat="false" ht="14.5" hidden="false" customHeight="false" outlineLevel="0" collapsed="false">
      <c r="A241" s="2561" t="str">
        <f aca="false">дома!A667</f>
        <v>Стойка каркаса по фронтону, левая сторона, двускатная кровля №16</v>
      </c>
      <c r="B241" s="2562" t="str">
        <f aca="false">дома!B667</f>
        <v>м.п.</v>
      </c>
      <c r="C241" s="2563" t="n">
        <f aca="false">дома!C667</f>
        <v>0.15</v>
      </c>
      <c r="D241" s="2563" t="n">
        <f aca="false">дома!D667</f>
        <v>0.05</v>
      </c>
      <c r="E241" s="2563" t="n">
        <f aca="false">дома!E667</f>
        <v>0</v>
      </c>
      <c r="F241" s="2563" t="n">
        <f aca="false">дома!F667</f>
        <v>0</v>
      </c>
      <c r="G241" s="2563" t="n">
        <f aca="false">E241*F241*(IF('Ввод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1" s="2563" t="n">
        <f aca="false">дома!G667*(IF('Ввод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2" customFormat="false" ht="14.5" hidden="false" customHeight="false" outlineLevel="0" collapsed="false">
      <c r="A242" s="2561" t="str">
        <f aca="false">дома!A668</f>
        <v>Стойка каркаса по фронтону, левая сторона, двускатная кровля №17</v>
      </c>
      <c r="B242" s="2562" t="str">
        <f aca="false">дома!B668</f>
        <v>м.п.</v>
      </c>
      <c r="C242" s="2563" t="n">
        <f aca="false">дома!C668</f>
        <v>0.15</v>
      </c>
      <c r="D242" s="2563" t="n">
        <f aca="false">дома!D668</f>
        <v>0.05</v>
      </c>
      <c r="E242" s="2563" t="n">
        <f aca="false">дома!E668</f>
        <v>0</v>
      </c>
      <c r="F242" s="2563" t="n">
        <f aca="false">дома!F668</f>
        <v>0</v>
      </c>
      <c r="G242" s="2563" t="n">
        <f aca="false">E242*F242*(IF('Ввод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2" s="2563" t="n">
        <f aca="false">дома!G668*(IF('Ввод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3" customFormat="false" ht="14.5" hidden="false" customHeight="false" outlineLevel="0" collapsed="false">
      <c r="A243" s="2561" t="str">
        <f aca="false">дома!A669</f>
        <v>Стойка каркаса по фронтону, левая сторона, двускатная кровля №18</v>
      </c>
      <c r="B243" s="2562" t="str">
        <f aca="false">дома!B669</f>
        <v>м.п.</v>
      </c>
      <c r="C243" s="2563" t="n">
        <f aca="false">дома!C669</f>
        <v>0.15</v>
      </c>
      <c r="D243" s="2563" t="n">
        <f aca="false">дома!D669</f>
        <v>0.05</v>
      </c>
      <c r="E243" s="2563" t="n">
        <f aca="false">дома!E669</f>
        <v>0</v>
      </c>
      <c r="F243" s="2563" t="n">
        <f aca="false">дома!F669</f>
        <v>0</v>
      </c>
      <c r="G243" s="2563" t="n">
        <f aca="false">E243*F243*(IF('Ввод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3" s="2563" t="n">
        <f aca="false">дома!G669*(IF('Ввод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4" customFormat="false" ht="14.5" hidden="false" customHeight="false" outlineLevel="0" collapsed="false">
      <c r="A244" s="2561" t="str">
        <f aca="false">дома!A670</f>
        <v>Стойка каркаса по фронтону, левая сторона, двускатная кровля №19</v>
      </c>
      <c r="B244" s="2562" t="str">
        <f aca="false">дома!B670</f>
        <v>м.п.</v>
      </c>
      <c r="C244" s="2563" t="n">
        <f aca="false">дома!C670</f>
        <v>0.15</v>
      </c>
      <c r="D244" s="2563" t="n">
        <f aca="false">дома!D670</f>
        <v>0.05</v>
      </c>
      <c r="E244" s="2563" t="n">
        <f aca="false">дома!E670</f>
        <v>0</v>
      </c>
      <c r="F244" s="2563" t="n">
        <f aca="false">дома!F670</f>
        <v>0</v>
      </c>
      <c r="G244" s="2563" t="n">
        <f aca="false">E244*F244*(IF('Ввод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4" s="2563" t="n">
        <f aca="false">дома!G670*(IF('Ввод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5" customFormat="false" ht="14.5" hidden="false" customHeight="false" outlineLevel="0" collapsed="false">
      <c r="A245" s="2561" t="str">
        <f aca="false">дома!A671</f>
        <v>Стойка каркаса по фронтону, левая сторона, двускатная кровля №20</v>
      </c>
      <c r="B245" s="2562" t="str">
        <f aca="false">дома!B671</f>
        <v>м.п.</v>
      </c>
      <c r="C245" s="2563" t="n">
        <f aca="false">дома!C671</f>
        <v>0.15</v>
      </c>
      <c r="D245" s="2563" t="n">
        <f aca="false">дома!D671</f>
        <v>0.05</v>
      </c>
      <c r="E245" s="2563" t="n">
        <f aca="false">дома!E671</f>
        <v>0</v>
      </c>
      <c r="F245" s="2563" t="n">
        <f aca="false">дома!F671</f>
        <v>0</v>
      </c>
      <c r="G245" s="2563" t="n">
        <f aca="false">E245*F245*(IF('Ввод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5" s="2563" t="n">
        <f aca="false">дома!G671*(IF('Ввод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6" customFormat="false" ht="14.5" hidden="false" customHeight="false" outlineLevel="0" collapsed="false">
      <c r="A246" s="2561" t="str">
        <f aca="false">дома!A672</f>
        <v>Стойка каркаса по фронтону, левая сторона, двускатная кровля №21</v>
      </c>
      <c r="B246" s="2562" t="str">
        <f aca="false">дома!B672</f>
        <v>м.п.</v>
      </c>
      <c r="C246" s="2563" t="n">
        <f aca="false">дома!C672</f>
        <v>0.15</v>
      </c>
      <c r="D246" s="2563" t="n">
        <f aca="false">дома!D672</f>
        <v>0.05</v>
      </c>
      <c r="E246" s="2563" t="n">
        <f aca="false">дома!E672</f>
        <v>0</v>
      </c>
      <c r="F246" s="2563" t="n">
        <f aca="false">дома!F672</f>
        <v>0</v>
      </c>
      <c r="G246" s="2563" t="n">
        <f aca="false">E246*F246*(IF('Ввод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6" s="2563" t="n">
        <f aca="false">дома!G672*(IF('Ввод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7" customFormat="false" ht="14.5" hidden="false" customHeight="false" outlineLevel="0" collapsed="false">
      <c r="A247" s="2561" t="str">
        <f aca="false">дома!A673</f>
        <v>Стойка каркаса по фронтону, левая сторона, двускатная кровля №22</v>
      </c>
      <c r="B247" s="2562" t="str">
        <f aca="false">дома!B673</f>
        <v>м.п.</v>
      </c>
      <c r="C247" s="2563" t="n">
        <f aca="false">дома!C673</f>
        <v>0.15</v>
      </c>
      <c r="D247" s="2563" t="n">
        <f aca="false">дома!D673</f>
        <v>0.05</v>
      </c>
      <c r="E247" s="2563" t="n">
        <f aca="false">дома!E673</f>
        <v>0</v>
      </c>
      <c r="F247" s="2563" t="n">
        <f aca="false">дома!F673</f>
        <v>0</v>
      </c>
      <c r="G247" s="2563" t="n">
        <f aca="false">E247*F247*(IF('Ввод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7" s="2563" t="n">
        <f aca="false">дома!G673*(IF('Ввод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8" customFormat="false" ht="14.5" hidden="false" customHeight="false" outlineLevel="0" collapsed="false">
      <c r="A248" s="2561" t="str">
        <f aca="false">дома!A674</f>
        <v>Стойка каркаса по фронтону, левая сторона, двускатная кровля №23</v>
      </c>
      <c r="B248" s="2562" t="str">
        <f aca="false">дома!B674</f>
        <v>м.п.</v>
      </c>
      <c r="C248" s="2563" t="n">
        <f aca="false">дома!C674</f>
        <v>0.15</v>
      </c>
      <c r="D248" s="2563" t="n">
        <f aca="false">дома!D674</f>
        <v>0.05</v>
      </c>
      <c r="E248" s="2563" t="n">
        <f aca="false">дома!E674</f>
        <v>0</v>
      </c>
      <c r="F248" s="2563" t="n">
        <f aca="false">дома!F674</f>
        <v>0</v>
      </c>
      <c r="G248" s="2563" t="n">
        <f aca="false">E248*F248*(IF('Ввод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8" s="2563" t="n">
        <f aca="false">дома!G674*(IF('Ввод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49" customFormat="false" ht="14.5" hidden="false" customHeight="false" outlineLevel="0" collapsed="false">
      <c r="A249" s="2561" t="str">
        <f aca="false">дома!A675</f>
        <v>Стойка каркаса по фронтону, левая сторона, двускатная кровля №24</v>
      </c>
      <c r="B249" s="2562" t="str">
        <f aca="false">дома!B675</f>
        <v>м.п.</v>
      </c>
      <c r="C249" s="2563" t="n">
        <f aca="false">дома!C675</f>
        <v>0.15</v>
      </c>
      <c r="D249" s="2563" t="n">
        <f aca="false">дома!D675</f>
        <v>0.05</v>
      </c>
      <c r="E249" s="2563" t="n">
        <f aca="false">дома!E675</f>
        <v>0</v>
      </c>
      <c r="F249" s="2563" t="n">
        <f aca="false">дома!F675</f>
        <v>0</v>
      </c>
      <c r="G249" s="2563" t="n">
        <f aca="false">E249*F249*(IF('Ввод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49" s="2563" t="n">
        <f aca="false">дома!G675*(IF('Ввод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0" customFormat="false" ht="14.5" hidden="false" customHeight="false" outlineLevel="0" collapsed="false">
      <c r="A250" s="2561" t="str">
        <f aca="false">дома!A676</f>
        <v>Стойка каркаса по фронтону, левая сторона, двускатная кровля №25</v>
      </c>
      <c r="B250" s="2562" t="str">
        <f aca="false">дома!B676</f>
        <v>м.п.</v>
      </c>
      <c r="C250" s="2563" t="n">
        <f aca="false">дома!C676</f>
        <v>0.15</v>
      </c>
      <c r="D250" s="2563" t="n">
        <f aca="false">дома!D676</f>
        <v>0.05</v>
      </c>
      <c r="E250" s="2563" t="n">
        <f aca="false">дома!E676</f>
        <v>0</v>
      </c>
      <c r="F250" s="2563" t="n">
        <f aca="false">дома!F676</f>
        <v>0</v>
      </c>
      <c r="G250" s="2563" t="n">
        <f aca="false">E250*F250*(IF('Ввод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0" s="2563" t="n">
        <f aca="false">дома!G676*(IF('Ввод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1" customFormat="false" ht="14.5" hidden="false" customHeight="false" outlineLevel="0" collapsed="false">
      <c r="A251" s="2561" t="str">
        <f aca="false">дома!A677</f>
        <v>Стойка каркаса по фронтону, левая сторона, двускатная кровля №26</v>
      </c>
      <c r="B251" s="2562" t="str">
        <f aca="false">дома!B677</f>
        <v>м.п.</v>
      </c>
      <c r="C251" s="2563" t="n">
        <f aca="false">дома!C677</f>
        <v>0.15</v>
      </c>
      <c r="D251" s="2563" t="n">
        <f aca="false">дома!D677</f>
        <v>0.05</v>
      </c>
      <c r="E251" s="2563" t="n">
        <f aca="false">дома!E677</f>
        <v>0</v>
      </c>
      <c r="F251" s="2563" t="n">
        <f aca="false">дома!F677</f>
        <v>0</v>
      </c>
      <c r="G251" s="2563" t="n">
        <f aca="false">E251*F251*(IF('Ввод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1" s="2563" t="n">
        <f aca="false">дома!G677*(IF('Ввод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2" customFormat="false" ht="14.5" hidden="false" customHeight="false" outlineLevel="0" collapsed="false">
      <c r="A252" s="2561" t="str">
        <f aca="false">дома!A678</f>
        <v>Стойка каркаса по фронтону, левая сторона, двускатная кровля №27</v>
      </c>
      <c r="B252" s="2562" t="str">
        <f aca="false">дома!B678</f>
        <v>м.п.</v>
      </c>
      <c r="C252" s="2563" t="n">
        <f aca="false">дома!C678</f>
        <v>0.15</v>
      </c>
      <c r="D252" s="2563" t="n">
        <f aca="false">дома!D678</f>
        <v>0.05</v>
      </c>
      <c r="E252" s="2563" t="n">
        <f aca="false">дома!E678</f>
        <v>0</v>
      </c>
      <c r="F252" s="2563" t="n">
        <f aca="false">дома!F678</f>
        <v>0</v>
      </c>
      <c r="G252" s="2563" t="n">
        <f aca="false">E252*F252*(IF('Ввод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2" s="2563" t="n">
        <f aca="false">дома!G678*(IF('Ввод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3" customFormat="false" ht="14.5" hidden="false" customHeight="false" outlineLevel="0" collapsed="false">
      <c r="A253" s="2561" t="str">
        <f aca="false">дома!A679</f>
        <v>Стойка каркаса по фронтону, левая сторона, двускатная кровля №28</v>
      </c>
      <c r="B253" s="2562" t="str">
        <f aca="false">дома!B679</f>
        <v>м.п.</v>
      </c>
      <c r="C253" s="2563" t="n">
        <f aca="false">дома!C679</f>
        <v>0.15</v>
      </c>
      <c r="D253" s="2563" t="n">
        <f aca="false">дома!D679</f>
        <v>0.05</v>
      </c>
      <c r="E253" s="2563" t="n">
        <f aca="false">дома!E679</f>
        <v>0</v>
      </c>
      <c r="F253" s="2563" t="n">
        <f aca="false">дома!F679</f>
        <v>0</v>
      </c>
      <c r="G253" s="2563" t="n">
        <f aca="false">E253*F253*(IF('Ввод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3" s="2563" t="n">
        <f aca="false">дома!G679*(IF('Ввод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4" customFormat="false" ht="14.5" hidden="false" customHeight="false" outlineLevel="0" collapsed="false">
      <c r="A254" s="2561" t="str">
        <f aca="false">дома!A680</f>
        <v>Стойка каркаса по фронтону, левая сторона, двускатная кровля №29</v>
      </c>
      <c r="B254" s="2562" t="str">
        <f aca="false">дома!B680</f>
        <v>м.п.</v>
      </c>
      <c r="C254" s="2563" t="n">
        <f aca="false">дома!C680</f>
        <v>0.15</v>
      </c>
      <c r="D254" s="2563" t="n">
        <f aca="false">дома!D680</f>
        <v>0.05</v>
      </c>
      <c r="E254" s="2563" t="n">
        <f aca="false">дома!E680</f>
        <v>0</v>
      </c>
      <c r="F254" s="2563" t="n">
        <f aca="false">дома!F680</f>
        <v>0</v>
      </c>
      <c r="G254" s="2563" t="n">
        <f aca="false">E254*F254*(IF('Ввод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4" s="2563" t="n">
        <f aca="false">дома!G680*(IF('Ввод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5" customFormat="false" ht="14.5" hidden="false" customHeight="false" outlineLevel="0" collapsed="false">
      <c r="A255" s="2561" t="str">
        <f aca="false">дома!A681</f>
        <v>Стойка каркаса по фронтону, левая сторона, двускатная кровля №30</v>
      </c>
      <c r="B255" s="2562" t="str">
        <f aca="false">дома!B681</f>
        <v>м.п.</v>
      </c>
      <c r="C255" s="2563" t="n">
        <f aca="false">дома!C681</f>
        <v>0.15</v>
      </c>
      <c r="D255" s="2563" t="n">
        <f aca="false">дома!D681</f>
        <v>0.05</v>
      </c>
      <c r="E255" s="2563" t="n">
        <f aca="false">дома!E681</f>
        <v>0</v>
      </c>
      <c r="F255" s="2563" t="n">
        <f aca="false">дома!F681</f>
        <v>0</v>
      </c>
      <c r="G255" s="2563" t="n">
        <f aca="false">E255*F255*(IF('Ввод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5" s="2563" t="n">
        <f aca="false">дома!G681*(IF('Ввод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6" customFormat="false" ht="14.5" hidden="false" customHeight="false" outlineLevel="0" collapsed="false">
      <c r="A256" s="2561" t="str">
        <f aca="false">дома!A682</f>
        <v>Стойка каркаса по фронтону, левая сторона, двускатная кровля №31</v>
      </c>
      <c r="B256" s="2562" t="str">
        <f aca="false">дома!B682</f>
        <v>м.п.</v>
      </c>
      <c r="C256" s="2563" t="n">
        <f aca="false">дома!C682</f>
        <v>0.15</v>
      </c>
      <c r="D256" s="2563" t="n">
        <f aca="false">дома!D682</f>
        <v>0.05</v>
      </c>
      <c r="E256" s="2563" t="n">
        <f aca="false">дома!E682</f>
        <v>0</v>
      </c>
      <c r="F256" s="2563" t="n">
        <f aca="false">дома!F682</f>
        <v>0</v>
      </c>
      <c r="G256" s="2563" t="n">
        <f aca="false">E256*F256*(IF('Ввод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6" s="2563" t="n">
        <f aca="false">дома!G682*(IF('Ввод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7" customFormat="false" ht="14.5" hidden="false" customHeight="false" outlineLevel="0" collapsed="false">
      <c r="A257" s="2561" t="str">
        <f aca="false">дома!A683</f>
        <v>Обвязка каркаса фронтона верхняя,двускатная кровля</v>
      </c>
      <c r="B257" s="2562" t="str">
        <f aca="false">дома!B683</f>
        <v>м.п.</v>
      </c>
      <c r="C257" s="2563" t="n">
        <f aca="false">дома!C683</f>
        <v>0.15</v>
      </c>
      <c r="D257" s="2563" t="n">
        <f aca="false">дома!D683</f>
        <v>0.05</v>
      </c>
      <c r="E257" s="2563" t="n">
        <f aca="false">дома!E683</f>
        <v>5.25</v>
      </c>
      <c r="F257" s="2563" t="n">
        <f aca="false">дома!F683</f>
        <v>0</v>
      </c>
      <c r="G257" s="2563" t="n">
        <f aca="false">E257*F257*(IF('Ввод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7" s="2563" t="n">
        <f aca="false">дома!G683*(IF('Ввод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8" customFormat="false" ht="14.5" hidden="false" customHeight="false" outlineLevel="0" collapsed="false">
      <c r="A258" s="2561" t="str">
        <f aca="false">дома!A684</f>
        <v>Обвязка каркаса фронтона нижняя,двускатная кровля</v>
      </c>
      <c r="B258" s="2562" t="str">
        <f aca="false">дома!B684</f>
        <v>м.п.</v>
      </c>
      <c r="C258" s="2563" t="n">
        <f aca="false">дома!C684</f>
        <v>0.15</v>
      </c>
      <c r="D258" s="2563" t="n">
        <f aca="false">дома!D684</f>
        <v>0.05</v>
      </c>
      <c r="E258" s="2563" t="n">
        <f aca="false">дома!E684</f>
        <v>5</v>
      </c>
      <c r="F258" s="2563" t="n">
        <f aca="false">дома!F684</f>
        <v>0</v>
      </c>
      <c r="G258" s="2563" t="n">
        <f aca="false">E258*F258*(IF('Ввод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8" s="2563" t="n">
        <f aca="false">дома!G684*(IF('Ввод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59" customFormat="false" ht="14.5" hidden="false" customHeight="false" outlineLevel="0" collapsed="false">
      <c r="A259" s="2561" t="str">
        <f aca="false">дома!A685</f>
        <v>Ригель каркаса фронтона,двускатная кровля</v>
      </c>
      <c r="B259" s="2562" t="str">
        <f aca="false">дома!B685</f>
        <v>м.п.</v>
      </c>
      <c r="C259" s="2563" t="n">
        <f aca="false">дома!C685</f>
        <v>0.15</v>
      </c>
      <c r="D259" s="2563" t="n">
        <f aca="false">дома!D685</f>
        <v>0.05</v>
      </c>
      <c r="E259" s="2563" t="n">
        <f aca="false">дома!E685</f>
        <v>5.25</v>
      </c>
      <c r="F259" s="2563" t="n">
        <f aca="false">дома!F685</f>
        <v>0</v>
      </c>
      <c r="G259" s="2563" t="n">
        <f aca="false">E259*F259*(IF('Ввод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59" s="2563" t="n">
        <f aca="false">дома!G685*(IF('Ввод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0" customFormat="false" ht="14.5" hidden="false" customHeight="false" outlineLevel="0" collapsed="false">
      <c r="A260" s="2561" t="str">
        <f aca="false">дома!A686</f>
        <v>Стойка каркаса по фронтону, левая сторона, двускатная кровля №32</v>
      </c>
      <c r="B260" s="2562" t="str">
        <f aca="false">дома!B686</f>
        <v>м.п.</v>
      </c>
      <c r="C260" s="2563" t="n">
        <f aca="false">дома!C686</f>
        <v>0.15</v>
      </c>
      <c r="D260" s="2563" t="n">
        <f aca="false">дома!D686</f>
        <v>0.05</v>
      </c>
      <c r="E260" s="2563" t="n">
        <f aca="false">дома!E686</f>
        <v>0</v>
      </c>
      <c r="F260" s="2563" t="n">
        <f aca="false">дома!F686</f>
        <v>0</v>
      </c>
      <c r="G260" s="2563" t="n">
        <f aca="false">E260*F260*(IF('Ввод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0" s="2563" t="n">
        <f aca="false">дома!G686*(IF('Ввод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1" customFormat="false" ht="14.5" hidden="false" customHeight="false" outlineLevel="0" collapsed="false">
      <c r="A261" s="2561" t="str">
        <f aca="false">дома!A687</f>
        <v>Стойка каркаса по фронтону, левая сторона, двускатная кровля №33</v>
      </c>
      <c r="B261" s="2562" t="str">
        <f aca="false">дома!B687</f>
        <v>м.п.</v>
      </c>
      <c r="C261" s="2563" t="n">
        <f aca="false">дома!C687</f>
        <v>0.15</v>
      </c>
      <c r="D261" s="2563" t="n">
        <f aca="false">дома!D687</f>
        <v>0.05</v>
      </c>
      <c r="E261" s="2563" t="n">
        <f aca="false">дома!E687</f>
        <v>0</v>
      </c>
      <c r="F261" s="2563" t="n">
        <f aca="false">дома!F687</f>
        <v>0</v>
      </c>
      <c r="G261" s="2563" t="n">
        <f aca="false">E261*F261*(IF('Ввод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1" s="2563" t="n">
        <f aca="false">дома!G687*(IF('Ввод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2" customFormat="false" ht="14.5" hidden="false" customHeight="false" outlineLevel="0" collapsed="false">
      <c r="A262" s="2561" t="str">
        <f aca="false">дома!A688</f>
        <v>Стойка каркаса по фронтону, левая сторона, двускатная кровля №34</v>
      </c>
      <c r="B262" s="2562" t="str">
        <f aca="false">дома!B688</f>
        <v>м.п.</v>
      </c>
      <c r="C262" s="2563" t="n">
        <f aca="false">дома!C688</f>
        <v>0.15</v>
      </c>
      <c r="D262" s="2563" t="n">
        <f aca="false">дома!D688</f>
        <v>0.05</v>
      </c>
      <c r="E262" s="2563" t="n">
        <f aca="false">дома!E688</f>
        <v>0</v>
      </c>
      <c r="F262" s="2563" t="n">
        <f aca="false">дома!F688</f>
        <v>0</v>
      </c>
      <c r="G262" s="2563" t="n">
        <f aca="false">E262*F262*(IF('Ввод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2" s="2563" t="n">
        <f aca="false">дома!G688*(IF('Ввод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3" customFormat="false" ht="14.5" hidden="false" customHeight="false" outlineLevel="0" collapsed="false">
      <c r="A263" s="2561" t="str">
        <f aca="false">дома!A689</f>
        <v>Стойка каркаса по фронтону, левая сторона, двускатная кровля №35</v>
      </c>
      <c r="B263" s="2562" t="str">
        <f aca="false">дома!B689</f>
        <v>м.п.</v>
      </c>
      <c r="C263" s="2563" t="n">
        <f aca="false">дома!C689</f>
        <v>0.15</v>
      </c>
      <c r="D263" s="2563" t="n">
        <f aca="false">дома!D689</f>
        <v>0.05</v>
      </c>
      <c r="E263" s="2563" t="n">
        <f aca="false">дома!E689</f>
        <v>0</v>
      </c>
      <c r="F263" s="2563" t="n">
        <f aca="false">дома!F689</f>
        <v>0</v>
      </c>
      <c r="G263" s="2563" t="n">
        <f aca="false">E263*F263*(IF('Ввод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3" s="2563" t="n">
        <f aca="false">дома!G689*(IF('Ввод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4" customFormat="false" ht="14.5" hidden="false" customHeight="false" outlineLevel="0" collapsed="false">
      <c r="A264" s="2561" t="str">
        <f aca="false">дома!A690</f>
        <v>Стойка каркаса по фронтону, левая сторона, двускатная кровля №36</v>
      </c>
      <c r="B264" s="2562" t="str">
        <f aca="false">дома!B690</f>
        <v>м.п.</v>
      </c>
      <c r="C264" s="2563" t="n">
        <f aca="false">дома!C690</f>
        <v>0.15</v>
      </c>
      <c r="D264" s="2563" t="n">
        <f aca="false">дома!D690</f>
        <v>0.05</v>
      </c>
      <c r="E264" s="2563" t="n">
        <f aca="false">дома!E690</f>
        <v>0</v>
      </c>
      <c r="F264" s="2563" t="n">
        <f aca="false">дома!F690</f>
        <v>0</v>
      </c>
      <c r="G264" s="2563" t="n">
        <f aca="false">E264*F264*(IF('Ввод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4" s="2563" t="n">
        <f aca="false">дома!G690*(IF('Ввод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5" customFormat="false" ht="14.5" hidden="false" customHeight="false" outlineLevel="0" collapsed="false">
      <c r="A265" s="2561" t="str">
        <f aca="false">дома!A691</f>
        <v>Стойка каркаса по фронтону, левая сторона, двускатная кровля №37</v>
      </c>
      <c r="B265" s="2562" t="str">
        <f aca="false">дома!B691</f>
        <v>м.п.</v>
      </c>
      <c r="C265" s="2563" t="n">
        <f aca="false">дома!C691</f>
        <v>0.15</v>
      </c>
      <c r="D265" s="2563" t="n">
        <f aca="false">дома!D691</f>
        <v>0.05</v>
      </c>
      <c r="E265" s="2563" t="n">
        <f aca="false">дома!E691</f>
        <v>0</v>
      </c>
      <c r="F265" s="2563" t="n">
        <f aca="false">дома!F691</f>
        <v>0</v>
      </c>
      <c r="G265" s="2563" t="n">
        <f aca="false">E265*F265*(IF('Ввод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5" s="2563" t="n">
        <f aca="false">дома!G691*(IF('Ввод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6" customFormat="false" ht="14.5" hidden="false" customHeight="false" outlineLevel="0" collapsed="false">
      <c r="A266" s="2561" t="str">
        <f aca="false">дома!A692</f>
        <v>Стойка каркаса по фронтону, левая сторона, двускатная кровля №38</v>
      </c>
      <c r="B266" s="2562" t="str">
        <f aca="false">дома!B692</f>
        <v>м.п.</v>
      </c>
      <c r="C266" s="2563" t="n">
        <f aca="false">дома!C692</f>
        <v>0.15</v>
      </c>
      <c r="D266" s="2563" t="n">
        <f aca="false">дома!D692</f>
        <v>0.05</v>
      </c>
      <c r="E266" s="2563" t="n">
        <f aca="false">дома!E692</f>
        <v>0</v>
      </c>
      <c r="F266" s="2563" t="n">
        <f aca="false">дома!F692</f>
        <v>0</v>
      </c>
      <c r="G266" s="2563" t="n">
        <f aca="false">E266*F266*(IF('Ввод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6" s="2563" t="n">
        <f aca="false">дома!G692*(IF('Ввод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7" customFormat="false" ht="14.5" hidden="false" customHeight="false" outlineLevel="0" collapsed="false">
      <c r="A267" s="2561" t="str">
        <f aca="false">дома!A693</f>
        <v>Стойка каркаса по фронтону, левая сторона, двускатная кровля №39</v>
      </c>
      <c r="B267" s="2562" t="str">
        <f aca="false">дома!B693</f>
        <v>м.п.</v>
      </c>
      <c r="C267" s="2563" t="n">
        <f aca="false">дома!C693</f>
        <v>0.15</v>
      </c>
      <c r="D267" s="2563" t="n">
        <f aca="false">дома!D693</f>
        <v>0.05</v>
      </c>
      <c r="E267" s="2563" t="n">
        <f aca="false">дома!E693</f>
        <v>0</v>
      </c>
      <c r="F267" s="2563" t="n">
        <f aca="false">дома!F693</f>
        <v>0</v>
      </c>
      <c r="G267" s="2563" t="n">
        <f aca="false">E267*F267*(IF('Ввод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7" s="2563" t="n">
        <f aca="false">дома!G693*(IF('Ввод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8" customFormat="false" ht="14.5" hidden="false" customHeight="false" outlineLevel="0" collapsed="false">
      <c r="A268" s="2561" t="str">
        <f aca="false">дома!A694</f>
        <v>Стойка каркаса по фронтону, левая сторона, двускатная кровля №40</v>
      </c>
      <c r="B268" s="2562" t="str">
        <f aca="false">дома!B694</f>
        <v>м.п.</v>
      </c>
      <c r="C268" s="2563" t="n">
        <f aca="false">дома!C694</f>
        <v>0.15</v>
      </c>
      <c r="D268" s="2563" t="n">
        <f aca="false">дома!D694</f>
        <v>0.05</v>
      </c>
      <c r="E268" s="2563" t="n">
        <f aca="false">дома!E694</f>
        <v>0</v>
      </c>
      <c r="F268" s="2563" t="n">
        <f aca="false">дома!F694</f>
        <v>0</v>
      </c>
      <c r="G268" s="2563" t="n">
        <f aca="false">E268*F268*(IF('Ввод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8" s="2563" t="n">
        <f aca="false">дома!G694*(IF('Ввод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69" customFormat="false" ht="14.5" hidden="false" customHeight="false" outlineLevel="0" collapsed="false">
      <c r="A269" s="2561" t="str">
        <f aca="false">дома!A695</f>
        <v>Стойка каркаса по фронтону, левая сторона, двускатная кровля №41</v>
      </c>
      <c r="B269" s="2562" t="str">
        <f aca="false">дома!B695</f>
        <v>м.п.</v>
      </c>
      <c r="C269" s="2563" t="n">
        <f aca="false">дома!C695</f>
        <v>0.15</v>
      </c>
      <c r="D269" s="2563" t="n">
        <f aca="false">дома!D695</f>
        <v>0.05</v>
      </c>
      <c r="E269" s="2563" t="n">
        <f aca="false">дома!E695</f>
        <v>0</v>
      </c>
      <c r="F269" s="2563" t="n">
        <f aca="false">дома!F695</f>
        <v>0</v>
      </c>
      <c r="G269" s="2563" t="n">
        <f aca="false">E269*F269*(IF('Ввод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69" s="2563" t="n">
        <f aca="false">дома!G695*(IF('Ввод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0" customFormat="false" ht="14.5" hidden="false" customHeight="false" outlineLevel="0" collapsed="false">
      <c r="A270" s="2561" t="str">
        <f aca="false">дома!A696</f>
        <v>Стойка каркаса по фронтону, левая сторона, двускатная кровля №42</v>
      </c>
      <c r="B270" s="2562" t="str">
        <f aca="false">дома!B696</f>
        <v>м.п.</v>
      </c>
      <c r="C270" s="2563" t="n">
        <f aca="false">дома!C696</f>
        <v>0.15</v>
      </c>
      <c r="D270" s="2563" t="n">
        <f aca="false">дома!D696</f>
        <v>0.05</v>
      </c>
      <c r="E270" s="2563" t="n">
        <f aca="false">дома!E696</f>
        <v>0</v>
      </c>
      <c r="F270" s="2563" t="n">
        <f aca="false">дома!F696</f>
        <v>0</v>
      </c>
      <c r="G270" s="2563" t="n">
        <f aca="false">E270*F270*(IF('Ввод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0" s="2563" t="n">
        <f aca="false">дома!G696*(IF('Ввод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1" customFormat="false" ht="14.5" hidden="false" customHeight="false" outlineLevel="0" collapsed="false">
      <c r="A271" s="2561" t="str">
        <f aca="false">дома!A697</f>
        <v>Стойка каркаса по фронтону, левая сторона, двускатная кровля №43</v>
      </c>
      <c r="B271" s="2562" t="str">
        <f aca="false">дома!B697</f>
        <v>м.п.</v>
      </c>
      <c r="C271" s="2563" t="n">
        <f aca="false">дома!C697</f>
        <v>0.15</v>
      </c>
      <c r="D271" s="2563" t="n">
        <f aca="false">дома!D697</f>
        <v>0.05</v>
      </c>
      <c r="E271" s="2563" t="n">
        <f aca="false">дома!E697</f>
        <v>0</v>
      </c>
      <c r="F271" s="2563" t="n">
        <f aca="false">дома!F697</f>
        <v>0</v>
      </c>
      <c r="G271" s="2563" t="n">
        <f aca="false">E271*F271*(IF('Ввод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1" s="2563" t="n">
        <f aca="false">дома!G697*(IF('Ввод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2" customFormat="false" ht="14.5" hidden="false" customHeight="false" outlineLevel="0" collapsed="false">
      <c r="A272" s="2561" t="str">
        <f aca="false">дома!A698</f>
        <v>Стойка каркаса по фронтону, левая сторона, двускатная кровля №44</v>
      </c>
      <c r="B272" s="2562" t="str">
        <f aca="false">дома!B698</f>
        <v>м.п.</v>
      </c>
      <c r="C272" s="2563" t="n">
        <f aca="false">дома!C698</f>
        <v>0.15</v>
      </c>
      <c r="D272" s="2563" t="n">
        <f aca="false">дома!D698</f>
        <v>0.05</v>
      </c>
      <c r="E272" s="2563" t="n">
        <f aca="false">дома!E698</f>
        <v>0</v>
      </c>
      <c r="F272" s="2563" t="n">
        <f aca="false">дома!F698</f>
        <v>0</v>
      </c>
      <c r="G272" s="2563" t="n">
        <f aca="false">E272*F272*(IF('Ввод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2" s="2563" t="n">
        <f aca="false">дома!G698*(IF('Ввод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3" customFormat="false" ht="14.5" hidden="false" customHeight="false" outlineLevel="0" collapsed="false">
      <c r="A273" s="2561" t="str">
        <f aca="false">дома!A699</f>
        <v>Стойка каркаса по фронтону, левая сторона, двускатная кровля №45</v>
      </c>
      <c r="B273" s="2562" t="str">
        <f aca="false">дома!B699</f>
        <v>м.п.</v>
      </c>
      <c r="C273" s="2563" t="n">
        <f aca="false">дома!C699</f>
        <v>0.15</v>
      </c>
      <c r="D273" s="2563" t="n">
        <f aca="false">дома!D699</f>
        <v>0.05</v>
      </c>
      <c r="E273" s="2563" t="n">
        <f aca="false">дома!E699</f>
        <v>0</v>
      </c>
      <c r="F273" s="2563" t="n">
        <f aca="false">дома!F699</f>
        <v>0</v>
      </c>
      <c r="G273" s="2563" t="n">
        <f aca="false">E273*F273*(IF('Ввод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3" s="2563" t="n">
        <f aca="false">дома!G699*(IF('Ввод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4" customFormat="false" ht="14.5" hidden="false" customHeight="false" outlineLevel="0" collapsed="false">
      <c r="A274" s="2561" t="str">
        <f aca="false">дома!A700</f>
        <v>Стойка каркаса по фронтону, левая сторона, двускатная кровля №46</v>
      </c>
      <c r="B274" s="2562" t="str">
        <f aca="false">дома!B700</f>
        <v>м.п.</v>
      </c>
      <c r="C274" s="2563" t="n">
        <f aca="false">дома!C700</f>
        <v>0.15</v>
      </c>
      <c r="D274" s="2563" t="n">
        <f aca="false">дома!D700</f>
        <v>0.05</v>
      </c>
      <c r="E274" s="2563" t="n">
        <f aca="false">дома!E700</f>
        <v>0</v>
      </c>
      <c r="F274" s="2563" t="n">
        <f aca="false">дома!F700</f>
        <v>0</v>
      </c>
      <c r="G274" s="2563" t="n">
        <f aca="false">E274*F274*(IF('Ввод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4" s="2563" t="n">
        <f aca="false">дома!G700*(IF('Ввод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5" customFormat="false" ht="14.5" hidden="false" customHeight="false" outlineLevel="0" collapsed="false">
      <c r="A275" s="2561" t="str">
        <f aca="false">дома!A701</f>
        <v>Стойка каркаса по фронтону, левая сторона, двускатная кровля №47</v>
      </c>
      <c r="B275" s="2562" t="str">
        <f aca="false">дома!B701</f>
        <v>м.п.</v>
      </c>
      <c r="C275" s="2563" t="n">
        <f aca="false">дома!C701</f>
        <v>0.15</v>
      </c>
      <c r="D275" s="2563" t="n">
        <f aca="false">дома!D701</f>
        <v>0.05</v>
      </c>
      <c r="E275" s="2563" t="n">
        <f aca="false">дома!E701</f>
        <v>0</v>
      </c>
      <c r="F275" s="2563" t="n">
        <f aca="false">дома!F701</f>
        <v>0</v>
      </c>
      <c r="G275" s="2563" t="n">
        <f aca="false">E275*F275*(IF('Ввод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5" s="2563" t="n">
        <f aca="false">дома!G701*(IF('Ввод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6" customFormat="false" ht="14.5" hidden="false" customHeight="false" outlineLevel="0" collapsed="false">
      <c r="A276" s="2561" t="str">
        <f aca="false">дома!A702</f>
        <v>Стойка каркаса по фронтону, левая сторона, двускатная кровля №48</v>
      </c>
      <c r="B276" s="2562" t="str">
        <f aca="false">дома!B702</f>
        <v>м.п.</v>
      </c>
      <c r="C276" s="2563" t="n">
        <f aca="false">дома!C702</f>
        <v>0.15</v>
      </c>
      <c r="D276" s="2563" t="n">
        <f aca="false">дома!D702</f>
        <v>0.05</v>
      </c>
      <c r="E276" s="2563" t="n">
        <f aca="false">дома!E702</f>
        <v>0</v>
      </c>
      <c r="F276" s="2563" t="n">
        <f aca="false">дома!F702</f>
        <v>0</v>
      </c>
      <c r="G276" s="2563" t="n">
        <f aca="false">E276*F276*(IF('Ввод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6" s="2563" t="n">
        <f aca="false">дома!G702*(IF('Ввод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7" customFormat="false" ht="14.5" hidden="false" customHeight="false" outlineLevel="0" collapsed="false">
      <c r="A277" s="2561" t="str">
        <f aca="false">дома!A703</f>
        <v>Стойка каркаса по фронтону, левая сторона, двускатная кровля №49</v>
      </c>
      <c r="B277" s="2562" t="str">
        <f aca="false">дома!B703</f>
        <v>м.п.</v>
      </c>
      <c r="C277" s="2563" t="n">
        <f aca="false">дома!C703</f>
        <v>0.15</v>
      </c>
      <c r="D277" s="2563" t="n">
        <f aca="false">дома!D703</f>
        <v>0.05</v>
      </c>
      <c r="E277" s="2563" t="n">
        <f aca="false">дома!E703</f>
        <v>0</v>
      </c>
      <c r="F277" s="2563" t="n">
        <f aca="false">дома!F703</f>
        <v>0</v>
      </c>
      <c r="G277" s="2563" t="n">
        <f aca="false">E277*F277*(IF('Ввод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7" s="2563" t="n">
        <f aca="false">дома!G703*(IF('Ввод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8" customFormat="false" ht="14.5" hidden="false" customHeight="false" outlineLevel="0" collapsed="false">
      <c r="A278" s="2561" t="str">
        <f aca="false">дома!A704</f>
        <v>Стойка каркаса по фронтону, левая сторона, двускатная кровля №50</v>
      </c>
      <c r="B278" s="2562" t="str">
        <f aca="false">дома!B704</f>
        <v>м.п.</v>
      </c>
      <c r="C278" s="2563" t="n">
        <f aca="false">дома!C704</f>
        <v>0.15</v>
      </c>
      <c r="D278" s="2563" t="n">
        <f aca="false">дома!D704</f>
        <v>0.05</v>
      </c>
      <c r="E278" s="2563" t="n">
        <f aca="false">дома!E704</f>
        <v>0</v>
      </c>
      <c r="F278" s="2563" t="n">
        <f aca="false">дома!F704</f>
        <v>0</v>
      </c>
      <c r="G278" s="2563" t="n">
        <f aca="false">E278*F278*(IF('Ввод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8" s="2563" t="n">
        <f aca="false">дома!G704*(IF('Ввод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79" customFormat="false" ht="14.5" hidden="false" customHeight="false" outlineLevel="0" collapsed="false">
      <c r="A279" s="2561" t="str">
        <f aca="false">дома!A705</f>
        <v>Стойка каркаса по фронтону, левая сторона, двускатная кровля №51</v>
      </c>
      <c r="B279" s="2562" t="str">
        <f aca="false">дома!B705</f>
        <v>м.п.</v>
      </c>
      <c r="C279" s="2563" t="n">
        <f aca="false">дома!C705</f>
        <v>0.15</v>
      </c>
      <c r="D279" s="2563" t="n">
        <f aca="false">дома!D705</f>
        <v>0.05</v>
      </c>
      <c r="E279" s="2563" t="n">
        <f aca="false">дома!E705</f>
        <v>0</v>
      </c>
      <c r="F279" s="2563" t="n">
        <f aca="false">дома!F705</f>
        <v>0</v>
      </c>
      <c r="G279" s="2563" t="n">
        <f aca="false">E279*F279*(IF('Ввод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79" s="2563" t="n">
        <f aca="false">дома!G705*(IF('Ввод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0" customFormat="false" ht="14.5" hidden="false" customHeight="false" outlineLevel="0" collapsed="false">
      <c r="A280" s="2561" t="str">
        <f aca="false">дома!A706</f>
        <v>Стойка каркаса по фронтону, левая сторона, двускатная кровля №52</v>
      </c>
      <c r="B280" s="2562" t="str">
        <f aca="false">дома!B706</f>
        <v>м.п.</v>
      </c>
      <c r="C280" s="2563" t="n">
        <f aca="false">дома!C706</f>
        <v>0.15</v>
      </c>
      <c r="D280" s="2563" t="n">
        <f aca="false">дома!D706</f>
        <v>0.05</v>
      </c>
      <c r="E280" s="2563" t="n">
        <f aca="false">дома!E706</f>
        <v>0</v>
      </c>
      <c r="F280" s="2563" t="n">
        <f aca="false">дома!F706</f>
        <v>0</v>
      </c>
      <c r="G280" s="2563" t="n">
        <f aca="false">E280*F280*(IF('Ввод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0" s="2563" t="n">
        <f aca="false">дома!G706*(IF('Ввод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1" customFormat="false" ht="14.5" hidden="false" customHeight="false" outlineLevel="0" collapsed="false">
      <c r="A281" s="2561" t="str">
        <f aca="false">дома!A707</f>
        <v>Стойка каркаса по фронтону, левая сторона, двускатная кровля №53</v>
      </c>
      <c r="B281" s="2562" t="str">
        <f aca="false">дома!B707</f>
        <v>м.п.</v>
      </c>
      <c r="C281" s="2563" t="n">
        <f aca="false">дома!C707</f>
        <v>0.15</v>
      </c>
      <c r="D281" s="2563" t="n">
        <f aca="false">дома!D707</f>
        <v>0.05</v>
      </c>
      <c r="E281" s="2563" t="n">
        <f aca="false">дома!E707</f>
        <v>0</v>
      </c>
      <c r="F281" s="2563" t="n">
        <f aca="false">дома!F707</f>
        <v>0</v>
      </c>
      <c r="G281" s="2563" t="n">
        <f aca="false">E281*F281*(IF('Ввод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1" s="2563" t="n">
        <f aca="false">дома!G707*(IF('Ввод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2" customFormat="false" ht="14.5" hidden="false" customHeight="false" outlineLevel="0" collapsed="false">
      <c r="A282" s="2561" t="str">
        <f aca="false">дома!A708</f>
        <v>Стойка каркаса по фронтону, левая сторона, двускатная кровля №54</v>
      </c>
      <c r="B282" s="2562" t="str">
        <f aca="false">дома!B708</f>
        <v>м.п.</v>
      </c>
      <c r="C282" s="2563" t="n">
        <f aca="false">дома!C708</f>
        <v>0.15</v>
      </c>
      <c r="D282" s="2563" t="n">
        <f aca="false">дома!D708</f>
        <v>0.05</v>
      </c>
      <c r="E282" s="2563" t="n">
        <f aca="false">дома!E708</f>
        <v>0</v>
      </c>
      <c r="F282" s="2563" t="n">
        <f aca="false">дома!F708</f>
        <v>0</v>
      </c>
      <c r="G282" s="2563" t="n">
        <f aca="false">E282*F282*(IF('Ввод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2" s="2563" t="n">
        <f aca="false">дома!G708*(IF('Ввод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3" customFormat="false" ht="14.5" hidden="false" customHeight="false" outlineLevel="0" collapsed="false">
      <c r="A283" s="2561" t="str">
        <f aca="false">дома!A709</f>
        <v>Стойка каркаса по фронтону, левая сторона, двускатная кровля №55</v>
      </c>
      <c r="B283" s="2562" t="str">
        <f aca="false">дома!B709</f>
        <v>м.п.</v>
      </c>
      <c r="C283" s="2563" t="n">
        <f aca="false">дома!C709</f>
        <v>0.15</v>
      </c>
      <c r="D283" s="2563" t="n">
        <f aca="false">дома!D709</f>
        <v>0.05</v>
      </c>
      <c r="E283" s="2563" t="n">
        <f aca="false">дома!E709</f>
        <v>0</v>
      </c>
      <c r="F283" s="2563" t="n">
        <f aca="false">дома!F709</f>
        <v>0</v>
      </c>
      <c r="G283" s="2563" t="n">
        <f aca="false">E283*F283*(IF('Ввод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3" s="2563" t="n">
        <f aca="false">дома!G709*(IF('Ввод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4" customFormat="false" ht="14.5" hidden="false" customHeight="false" outlineLevel="0" collapsed="false">
      <c r="A284" s="2561" t="str">
        <f aca="false">дома!A710</f>
        <v>Стойка каркаса по фронтону, левая сторона, двускатная кровля №56</v>
      </c>
      <c r="B284" s="2562" t="str">
        <f aca="false">дома!B710</f>
        <v>м.п.</v>
      </c>
      <c r="C284" s="2563" t="n">
        <f aca="false">дома!C710</f>
        <v>0.15</v>
      </c>
      <c r="D284" s="2563" t="n">
        <f aca="false">дома!D710</f>
        <v>0.05</v>
      </c>
      <c r="E284" s="2563" t="n">
        <f aca="false">дома!E710</f>
        <v>0</v>
      </c>
      <c r="F284" s="2563" t="n">
        <f aca="false">дома!F710</f>
        <v>0</v>
      </c>
      <c r="G284" s="2563" t="n">
        <f aca="false">E284*F284*(IF('Ввод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4" s="2563" t="n">
        <f aca="false">дома!G710*(IF('Ввод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5" customFormat="false" ht="14.5" hidden="false" customHeight="false" outlineLevel="0" collapsed="false">
      <c r="A285" s="2561" t="str">
        <f aca="false">дома!A711</f>
        <v>Стойка каркаса по фронтону, левая сторона, двускатная кровля №57</v>
      </c>
      <c r="B285" s="2562" t="str">
        <f aca="false">дома!B711</f>
        <v>м.п.</v>
      </c>
      <c r="C285" s="2563" t="n">
        <f aca="false">дома!C711</f>
        <v>0.15</v>
      </c>
      <c r="D285" s="2563" t="n">
        <f aca="false">дома!D711</f>
        <v>0.05</v>
      </c>
      <c r="E285" s="2563" t="n">
        <f aca="false">дома!E711</f>
        <v>0</v>
      </c>
      <c r="F285" s="2563" t="n">
        <f aca="false">дома!F711</f>
        <v>0</v>
      </c>
      <c r="G285" s="2563" t="n">
        <f aca="false">E285*F285*(IF('Ввод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5" s="2563" t="n">
        <f aca="false">дома!G711*(IF('Ввод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6" customFormat="false" ht="14.5" hidden="false" customHeight="false" outlineLevel="0" collapsed="false">
      <c r="A286" s="2561" t="str">
        <f aca="false">дома!A712</f>
        <v>Стойка каркаса по фронтону, левая сторона, двускатная кровля №58</v>
      </c>
      <c r="B286" s="2562" t="str">
        <f aca="false">дома!B712</f>
        <v>м.п.</v>
      </c>
      <c r="C286" s="2563" t="n">
        <f aca="false">дома!C712</f>
        <v>0.15</v>
      </c>
      <c r="D286" s="2563" t="n">
        <f aca="false">дома!D712</f>
        <v>0.05</v>
      </c>
      <c r="E286" s="2563" t="n">
        <f aca="false">дома!E712</f>
        <v>0</v>
      </c>
      <c r="F286" s="2563" t="n">
        <f aca="false">дома!F712</f>
        <v>0</v>
      </c>
      <c r="G286" s="2563" t="n">
        <f aca="false">E286*F286*(IF('Ввод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6" s="2563" t="n">
        <f aca="false">дома!G712*(IF('Ввод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7" customFormat="false" ht="14.5" hidden="false" customHeight="false" outlineLevel="0" collapsed="false">
      <c r="A287" s="2561" t="str">
        <f aca="false">дома!A713</f>
        <v>Стойка каркаса по фронтону, левая сторона, двускатная кровля №59</v>
      </c>
      <c r="B287" s="2562" t="str">
        <f aca="false">дома!B713</f>
        <v>м.п.</v>
      </c>
      <c r="C287" s="2563" t="n">
        <f aca="false">дома!C713</f>
        <v>0.15</v>
      </c>
      <c r="D287" s="2563" t="n">
        <f aca="false">дома!D713</f>
        <v>0.05</v>
      </c>
      <c r="E287" s="2563" t="n">
        <f aca="false">дома!E713</f>
        <v>0</v>
      </c>
      <c r="F287" s="2563" t="n">
        <f aca="false">дома!F713</f>
        <v>0</v>
      </c>
      <c r="G287" s="2563" t="n">
        <f aca="false">E287*F287*(IF('Ввод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7" s="2563" t="n">
        <f aca="false">дома!G713*(IF('Ввод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8" customFormat="false" ht="14.5" hidden="false" customHeight="false" outlineLevel="0" collapsed="false">
      <c r="A288" s="2561" t="str">
        <f aca="false">дома!A714</f>
        <v>Стойка каркаса по фронтону, левая сторона, двускатная кровля №60</v>
      </c>
      <c r="B288" s="2562" t="str">
        <f aca="false">дома!B714</f>
        <v>м.п.</v>
      </c>
      <c r="C288" s="2563" t="n">
        <f aca="false">дома!C714</f>
        <v>0.15</v>
      </c>
      <c r="D288" s="2563" t="n">
        <f aca="false">дома!D714</f>
        <v>0.05</v>
      </c>
      <c r="E288" s="2563" t="n">
        <f aca="false">дома!E714</f>
        <v>0</v>
      </c>
      <c r="F288" s="2563" t="n">
        <f aca="false">дома!F714</f>
        <v>0</v>
      </c>
      <c r="G288" s="2563" t="n">
        <f aca="false">E288*F288*(IF('Ввод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8" s="2563" t="n">
        <f aca="false">дома!G714*(IF('Ввод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89" customFormat="false" ht="14.5" hidden="false" customHeight="false" outlineLevel="0" collapsed="false">
      <c r="A289" s="2561" t="str">
        <f aca="false">дома!A715</f>
        <v>Стойка каркаса по фронтону, левая сторона, двускатная кровля №61</v>
      </c>
      <c r="B289" s="2562" t="str">
        <f aca="false">дома!B715</f>
        <v>м.п.</v>
      </c>
      <c r="C289" s="2563" t="n">
        <f aca="false">дома!C715</f>
        <v>0.15</v>
      </c>
      <c r="D289" s="2563" t="n">
        <f aca="false">дома!D715</f>
        <v>0.05</v>
      </c>
      <c r="E289" s="2563" t="n">
        <f aca="false">дома!E715</f>
        <v>0</v>
      </c>
      <c r="F289" s="2563" t="n">
        <f aca="false">дома!F715</f>
        <v>0</v>
      </c>
      <c r="G289" s="2563" t="n">
        <f aca="false">E289*F289*(IF('Ввод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89" s="2563" t="n">
        <f aca="false">дома!G715*(IF('Ввод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0" customFormat="false" ht="14.5" hidden="false" customHeight="false" outlineLevel="0" collapsed="false">
      <c r="A290" s="2561" t="str">
        <f aca="false">дома!A716</f>
        <v>Стойка каркаса по фронтону, левая сторона, двускатная кровля №62</v>
      </c>
      <c r="B290" s="2562" t="str">
        <f aca="false">дома!B716</f>
        <v>м.п.</v>
      </c>
      <c r="C290" s="2563" t="n">
        <f aca="false">дома!C716</f>
        <v>0.15</v>
      </c>
      <c r="D290" s="2563" t="n">
        <f aca="false">дома!D716</f>
        <v>0.05</v>
      </c>
      <c r="E290" s="2563" t="n">
        <f aca="false">дома!E716</f>
        <v>0</v>
      </c>
      <c r="F290" s="2563" t="n">
        <f aca="false">дома!F716</f>
        <v>0</v>
      </c>
      <c r="G290" s="2563" t="n">
        <f aca="false">E290*F290*(IF('Ввод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0" s="2563" t="n">
        <f aca="false">дома!G716*(IF('Ввод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1" customFormat="false" ht="14.5" hidden="false" customHeight="false" outlineLevel="0" collapsed="false">
      <c r="A291" s="2561" t="str">
        <f aca="false">дома!A717</f>
        <v>Стойки каркаса левой боковой стены 2 эт</v>
      </c>
      <c r="B291" s="2562" t="str">
        <f aca="false">дома!B717</f>
        <v>м.п.</v>
      </c>
      <c r="C291" s="2563" t="n">
        <f aca="false">дома!C717</f>
        <v>0.15</v>
      </c>
      <c r="D291" s="2563" t="n">
        <f aca="false">дома!D717</f>
        <v>0.05</v>
      </c>
      <c r="E291" s="2563" t="n">
        <f aca="false">дома!E717</f>
        <v>0</v>
      </c>
      <c r="F291" s="2563" t="n">
        <f aca="false">дома!F717</f>
        <v>1</v>
      </c>
      <c r="G291" s="2563" t="n">
        <f aca="false">E291*F291*(IF('Ввод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1" s="2563" t="n">
        <f aca="false">дома!G717*(IF('Ввод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2" customFormat="false" ht="14.5" hidden="false" customHeight="false" outlineLevel="0" collapsed="false">
      <c r="A292" s="2561" t="str">
        <f aca="false">дома!A718</f>
        <v>Стойки каркаса правой боковой стены 2 эт</v>
      </c>
      <c r="B292" s="2562" t="str">
        <f aca="false">дома!B718</f>
        <v>м.п.</v>
      </c>
      <c r="C292" s="2563" t="n">
        <f aca="false">дома!C718</f>
        <v>0.15</v>
      </c>
      <c r="D292" s="2563" t="n">
        <f aca="false">дома!D718</f>
        <v>0.05</v>
      </c>
      <c r="E292" s="2563" t="n">
        <f aca="false">дома!E718</f>
        <v>0</v>
      </c>
      <c r="F292" s="2563" t="n">
        <f aca="false">дома!F718</f>
        <v>1</v>
      </c>
      <c r="G292" s="2563" t="n">
        <f aca="false">E292*F292*(IF('Ввод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2" s="2563" t="n">
        <f aca="false">дома!G718*(IF('Ввод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3" customFormat="false" ht="14.5" hidden="false" customHeight="false" outlineLevel="0" collapsed="false">
      <c r="A293" s="2561" t="str">
        <f aca="false">дома!A719</f>
        <v>Стойка каркаса по фронтону, полувальмовая кровля №1</v>
      </c>
      <c r="B293" s="2562" t="str">
        <f aca="false">дома!B719</f>
        <v>м.п.</v>
      </c>
      <c r="C293" s="2563" t="n">
        <f aca="false">дома!C719</f>
        <v>0.15</v>
      </c>
      <c r="D293" s="2563" t="n">
        <f aca="false">дома!D719</f>
        <v>0.05</v>
      </c>
      <c r="E293" s="2563" t="n">
        <f aca="false">дома!E719</f>
        <v>0</v>
      </c>
      <c r="F293" s="2563" t="n">
        <f aca="false">дома!F719</f>
        <v>0</v>
      </c>
      <c r="G293" s="2563" t="n">
        <f aca="false">E293*F293*(IF('Ввод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3" s="2563" t="n">
        <f aca="false">дома!G719*(IF('Ввод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4" customFormat="false" ht="14.5" hidden="false" customHeight="false" outlineLevel="0" collapsed="false">
      <c r="A294" s="2561" t="str">
        <f aca="false">дома!A720</f>
        <v>Стойка каркаса по фронтону, полувальмовая кровля №2</v>
      </c>
      <c r="B294" s="2562" t="str">
        <f aca="false">дома!B720</f>
        <v>м.п.</v>
      </c>
      <c r="C294" s="2563" t="n">
        <f aca="false">дома!C720</f>
        <v>0.15</v>
      </c>
      <c r="D294" s="2563" t="n">
        <f aca="false">дома!D720</f>
        <v>0.05</v>
      </c>
      <c r="E294" s="2563" t="n">
        <f aca="false">дома!E720</f>
        <v>0</v>
      </c>
      <c r="F294" s="2563" t="n">
        <f aca="false">дома!F720</f>
        <v>0</v>
      </c>
      <c r="G294" s="2563" t="n">
        <f aca="false">E294*F294*(IF('Ввод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4" s="2563" t="n">
        <f aca="false">дома!G720*(IF('Ввод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5" customFormat="false" ht="14.5" hidden="false" customHeight="false" outlineLevel="0" collapsed="false">
      <c r="A295" s="2561" t="str">
        <f aca="false">дома!A721</f>
        <v>Обвязка каркаса нижняя</v>
      </c>
      <c r="B295" s="2562" t="str">
        <f aca="false">дома!B721</f>
        <v>м.п.</v>
      </c>
      <c r="C295" s="2563" t="n">
        <f aca="false">дома!C721</f>
        <v>0.15</v>
      </c>
      <c r="D295" s="2563" t="n">
        <f aca="false">дома!D721</f>
        <v>0.05</v>
      </c>
      <c r="E295" s="2563" t="n">
        <f aca="false">дома!E721</f>
        <v>0</v>
      </c>
      <c r="F295" s="2563" t="n">
        <f aca="false">дома!F721</f>
        <v>0</v>
      </c>
      <c r="G295" s="2563" t="n">
        <f aca="false">E295*F295*(IF('Ввод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5" s="2563" t="n">
        <f aca="false">дома!G721*(IF('Ввод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6" customFormat="false" ht="14.5" hidden="false" customHeight="false" outlineLevel="0" collapsed="false">
      <c r="A296" s="2561" t="str">
        <f aca="false">дома!A722</f>
        <v>Обвязка каркаса верхняя</v>
      </c>
      <c r="B296" s="2562" t="str">
        <f aca="false">дома!B722</f>
        <v>м.п.</v>
      </c>
      <c r="C296" s="2563" t="n">
        <f aca="false">дома!C722</f>
        <v>0.15</v>
      </c>
      <c r="D296" s="2563" t="n">
        <f aca="false">дома!D722</f>
        <v>0.05</v>
      </c>
      <c r="E296" s="2563" t="n">
        <f aca="false">дома!E722</f>
        <v>0</v>
      </c>
      <c r="F296" s="2563" t="n">
        <f aca="false">дома!F722</f>
        <v>0</v>
      </c>
      <c r="G296" s="2563" t="n">
        <f aca="false">E296*F296*(IF('Ввод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6" s="2563" t="n">
        <f aca="false">дома!G722*(IF('Ввод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7" customFormat="false" ht="14.5" hidden="false" customHeight="false" outlineLevel="0" collapsed="false">
      <c r="A297" s="2561" t="str">
        <f aca="false">дома!A723</f>
        <v>Ригель каркаса фронтона</v>
      </c>
      <c r="B297" s="2562" t="str">
        <f aca="false">дома!B723</f>
        <v>м.п.</v>
      </c>
      <c r="C297" s="2563" t="n">
        <f aca="false">дома!C723</f>
        <v>0.15</v>
      </c>
      <c r="D297" s="2563" t="n">
        <f aca="false">дома!D723</f>
        <v>0.05</v>
      </c>
      <c r="E297" s="2563" t="n">
        <f aca="false">дома!E723</f>
        <v>0</v>
      </c>
      <c r="F297" s="2563" t="n">
        <f aca="false">дома!F723</f>
        <v>0</v>
      </c>
      <c r="G297" s="2563" t="n">
        <f aca="false">E297*F297*(IF('Ввод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7" s="2563" t="n">
        <f aca="false">дома!G723*(IF('Ввод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8" customFormat="false" ht="14.5" hidden="false" customHeight="false" outlineLevel="0" collapsed="false">
      <c r="A298" s="2561" t="str">
        <f aca="false">дома!A724</f>
        <v>Обвязка каркаса нижняя, односкатная кровля</v>
      </c>
      <c r="B298" s="2562" t="str">
        <f aca="false">дома!B724</f>
        <v>м.п.</v>
      </c>
      <c r="C298" s="2563" t="n">
        <f aca="false">дома!C724</f>
        <v>0.15</v>
      </c>
      <c r="D298" s="2563" t="n">
        <f aca="false">дома!D724</f>
        <v>0.05</v>
      </c>
      <c r="E298" s="2563" t="n">
        <f aca="false">дома!E724</f>
        <v>0</v>
      </c>
      <c r="F298" s="2563" t="n">
        <f aca="false">дома!F724</f>
        <v>0</v>
      </c>
      <c r="G298" s="2563" t="n">
        <f aca="false">E298*F298*(IF('Ввод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8" s="2563" t="n">
        <f aca="false">дома!G724*(IF('Ввод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299" customFormat="false" ht="14.5" hidden="false" customHeight="false" outlineLevel="0" collapsed="false">
      <c r="A299" s="2561" t="str">
        <f aca="false">дома!A725</f>
        <v>Обвязка каркаса верхняя, односкатная кровля</v>
      </c>
      <c r="B299" s="2562" t="str">
        <f aca="false">дома!B725</f>
        <v>м.п.</v>
      </c>
      <c r="C299" s="2563" t="n">
        <f aca="false">дома!C725</f>
        <v>0.15</v>
      </c>
      <c r="D299" s="2563" t="n">
        <f aca="false">дома!D725</f>
        <v>0.05</v>
      </c>
      <c r="E299" s="2563" t="n">
        <f aca="false">дома!E725</f>
        <v>22.3606797749979</v>
      </c>
      <c r="F299" s="2563" t="n">
        <f aca="false">дома!F725</f>
        <v>0</v>
      </c>
      <c r="G299" s="2563" t="n">
        <f aca="false">E299*F299*(IF('Ввод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299" s="2563" t="n">
        <f aca="false">дома!G725*(IF('Ввод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0" customFormat="false" ht="14.5" hidden="false" customHeight="false" outlineLevel="0" collapsed="false">
      <c r="A300" s="2561" t="str">
        <f aca="false">дома!A726</f>
        <v>Ригель каркаса фронтона, односкатная кровля</v>
      </c>
      <c r="B300" s="2562" t="str">
        <f aca="false">дома!B726</f>
        <v>м.п.</v>
      </c>
      <c r="C300" s="2563" t="n">
        <f aca="false">дома!C726</f>
        <v>0.15</v>
      </c>
      <c r="D300" s="2563" t="n">
        <f aca="false">дома!D726</f>
        <v>0.05</v>
      </c>
      <c r="E300" s="2563" t="n">
        <f aca="false">дома!E726</f>
        <v>22.3606797749979</v>
      </c>
      <c r="F300" s="2563" t="n">
        <f aca="false">дома!F726</f>
        <v>0</v>
      </c>
      <c r="G300" s="2563" t="n">
        <f aca="false">E300*F300*(IF('Ввод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0" s="2563" t="n">
        <f aca="false">дома!G726*(IF('Ввод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1" customFormat="false" ht="14.5" hidden="false" customHeight="false" outlineLevel="0" collapsed="false">
      <c r="A301" s="2561" t="str">
        <f aca="false">дома!A727</f>
        <v>Стойки каркаса передней стены 2 эт</v>
      </c>
      <c r="B301" s="2562" t="str">
        <f aca="false">дома!B727</f>
        <v>м.п.</v>
      </c>
      <c r="C301" s="2563" t="n">
        <f aca="false">дома!C727</f>
        <v>0.15</v>
      </c>
      <c r="D301" s="2563" t="n">
        <f aca="false">дома!D727</f>
        <v>0.05</v>
      </c>
      <c r="E301" s="2563" t="n">
        <f aca="false">дома!E727</f>
        <v>0</v>
      </c>
      <c r="F301" s="2563" t="n">
        <f aca="false">дома!F727</f>
        <v>0</v>
      </c>
      <c r="G301" s="2563" t="n">
        <f aca="false">E301*F301*(IF('Ввод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1" s="2563" t="n">
        <f aca="false">дома!G727*(IF('Ввод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2" customFormat="false" ht="14.5" hidden="false" customHeight="false" outlineLevel="0" collapsed="false">
      <c r="A302" s="2561" t="str">
        <f aca="false">дома!A728</f>
        <v>Стойки каркаса задней стены 2 эт</v>
      </c>
      <c r="B302" s="2562" t="str">
        <f aca="false">дома!B728</f>
        <v>м.п.</v>
      </c>
      <c r="C302" s="2563" t="n">
        <f aca="false">дома!C728</f>
        <v>0.15</v>
      </c>
      <c r="D302" s="2563" t="n">
        <f aca="false">дома!D728</f>
        <v>0.05</v>
      </c>
      <c r="E302" s="2563" t="n">
        <f aca="false">дома!E728</f>
        <v>0</v>
      </c>
      <c r="F302" s="2563" t="n">
        <f aca="false">дома!F728</f>
        <v>0</v>
      </c>
      <c r="G302" s="2563" t="n">
        <f aca="false">E302*F302*(IF('Ввод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2" s="2563" t="n">
        <f aca="false">дома!G728*(IF('Ввод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3" customFormat="false" ht="14.5" hidden="false" customHeight="false" outlineLevel="0" collapsed="false">
      <c r="A303" s="2561" t="str">
        <f aca="false">дома!A729</f>
        <v>Стойки каркаса, левая/правая сторона 2 эт</v>
      </c>
      <c r="B303" s="2562" t="str">
        <f aca="false">дома!B729</f>
        <v>м.п.</v>
      </c>
      <c r="C303" s="2563" t="n">
        <f aca="false">дома!C729</f>
        <v>0.15</v>
      </c>
      <c r="D303" s="2563" t="n">
        <f aca="false">дома!D729</f>
        <v>0.05</v>
      </c>
      <c r="E303" s="2563" t="n">
        <f aca="false">дома!E729</f>
        <v>0</v>
      </c>
      <c r="F303" s="2563" t="n">
        <f aca="false">дома!F729</f>
        <v>0</v>
      </c>
      <c r="G303" s="2563" t="n">
        <f aca="false">E303*F303*(IF('Ввод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3" s="2563" t="n">
        <f aca="false">дома!G729*(IF('Ввод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4" customFormat="false" ht="14.5" hidden="false" customHeight="false" outlineLevel="0" collapsed="false">
      <c r="A304" s="2561" t="str">
        <f aca="false">дома!A730</f>
        <v>Стойка каркаса по фронтону, односкатная кровля №0</v>
      </c>
      <c r="B304" s="2562" t="str">
        <f aca="false">дома!B730</f>
        <v>м.п.</v>
      </c>
      <c r="C304" s="2563" t="n">
        <f aca="false">дома!C730</f>
        <v>0.15</v>
      </c>
      <c r="D304" s="2563" t="n">
        <f aca="false">дома!D730</f>
        <v>0.05</v>
      </c>
      <c r="E304" s="2563" t="n">
        <f aca="false">дома!E730</f>
        <v>0</v>
      </c>
      <c r="F304" s="2563" t="n">
        <f aca="false">дома!F730</f>
        <v>0</v>
      </c>
      <c r="G304" s="2563" t="n">
        <f aca="false">E304*F304*(IF('Ввод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4" s="2563" t="n">
        <f aca="false">дома!G730*(IF('Ввод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5" customFormat="false" ht="14.5" hidden="false" customHeight="false" outlineLevel="0" collapsed="false">
      <c r="A305" s="2561" t="str">
        <f aca="false">дома!A731</f>
        <v>Стойка каркаса по фронтону, односкатная кровля №1</v>
      </c>
      <c r="B305" s="2562" t="str">
        <f aca="false">дома!B731</f>
        <v>м.п.</v>
      </c>
      <c r="C305" s="2563" t="n">
        <f aca="false">дома!C731</f>
        <v>0.15</v>
      </c>
      <c r="D305" s="2563" t="n">
        <f aca="false">дома!D731</f>
        <v>0.05</v>
      </c>
      <c r="E305" s="2563" t="n">
        <f aca="false">дома!E731</f>
        <v>0</v>
      </c>
      <c r="F305" s="2563" t="n">
        <f aca="false">дома!F731</f>
        <v>0</v>
      </c>
      <c r="G305" s="2563" t="n">
        <f aca="false">E305*F305*(IF('Ввод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5" s="2563" t="n">
        <f aca="false">дома!G731*(IF('Ввод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6" customFormat="false" ht="14.5" hidden="false" customHeight="false" outlineLevel="0" collapsed="false">
      <c r="A306" s="2561" t="str">
        <f aca="false">дома!A732</f>
        <v>Стойка каркаса по фронтону, односкатная кровля №2</v>
      </c>
      <c r="B306" s="2562" t="str">
        <f aca="false">дома!B732</f>
        <v>м.п.</v>
      </c>
      <c r="C306" s="2563" t="n">
        <f aca="false">дома!C732</f>
        <v>0.15</v>
      </c>
      <c r="D306" s="2563" t="n">
        <f aca="false">дома!D732</f>
        <v>0.05</v>
      </c>
      <c r="E306" s="2563" t="n">
        <f aca="false">дома!E732</f>
        <v>0</v>
      </c>
      <c r="F306" s="2563" t="n">
        <f aca="false">дома!F732</f>
        <v>0</v>
      </c>
      <c r="G306" s="2563" t="n">
        <f aca="false">E306*F306*(IF('Ввод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6" s="2563" t="n">
        <f aca="false">дома!G732*(IF('Ввод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7" customFormat="false" ht="14.5" hidden="false" customHeight="false" outlineLevel="0" collapsed="false">
      <c r="A307" s="2561" t="str">
        <f aca="false">дома!A733</f>
        <v>Стойка каркаса по фронтону, односкатная кровля №3</v>
      </c>
      <c r="B307" s="2562" t="str">
        <f aca="false">дома!B733</f>
        <v>м.п.</v>
      </c>
      <c r="C307" s="2563" t="n">
        <f aca="false">дома!C733</f>
        <v>0.15</v>
      </c>
      <c r="D307" s="2563" t="n">
        <f aca="false">дома!D733</f>
        <v>0.05</v>
      </c>
      <c r="E307" s="2563" t="n">
        <f aca="false">дома!E733</f>
        <v>0</v>
      </c>
      <c r="F307" s="2563" t="n">
        <f aca="false">дома!F733</f>
        <v>0</v>
      </c>
      <c r="G307" s="2563" t="n">
        <f aca="false">E307*F307*(IF('Ввод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7" s="2563" t="n">
        <f aca="false">дома!G733*(IF('Ввод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8" customFormat="false" ht="14.5" hidden="false" customHeight="false" outlineLevel="0" collapsed="false">
      <c r="A308" s="2561" t="str">
        <f aca="false">дома!A734</f>
        <v>Стойка каркаса по фронтону, односкатная кровля №4</v>
      </c>
      <c r="B308" s="2562" t="str">
        <f aca="false">дома!B734</f>
        <v>м.п.</v>
      </c>
      <c r="C308" s="2563" t="n">
        <f aca="false">дома!C734</f>
        <v>0.15</v>
      </c>
      <c r="D308" s="2563" t="n">
        <f aca="false">дома!D734</f>
        <v>0.05</v>
      </c>
      <c r="E308" s="2563" t="n">
        <f aca="false">дома!E734</f>
        <v>0</v>
      </c>
      <c r="F308" s="2563" t="n">
        <f aca="false">дома!F734</f>
        <v>0</v>
      </c>
      <c r="G308" s="2563" t="n">
        <f aca="false">E308*F308*(IF('Ввод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8" s="2563" t="n">
        <f aca="false">дома!G734*(IF('Ввод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09" customFormat="false" ht="14.5" hidden="false" customHeight="false" outlineLevel="0" collapsed="false">
      <c r="A309" s="2561" t="str">
        <f aca="false">дома!A735</f>
        <v>Стойка каркаса по фронтону, односкатная кровля №5</v>
      </c>
      <c r="B309" s="2562" t="str">
        <f aca="false">дома!B735</f>
        <v>м.п.</v>
      </c>
      <c r="C309" s="2563" t="n">
        <f aca="false">дома!C735</f>
        <v>0.15</v>
      </c>
      <c r="D309" s="2563" t="n">
        <f aca="false">дома!D735</f>
        <v>0.05</v>
      </c>
      <c r="E309" s="2563" t="n">
        <f aca="false">дома!E735</f>
        <v>0</v>
      </c>
      <c r="F309" s="2563" t="n">
        <f aca="false">дома!F735</f>
        <v>0</v>
      </c>
      <c r="G309" s="2563" t="n">
        <f aca="false">E309*F309*(IF('Ввод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09" s="2563" t="n">
        <f aca="false">дома!G735*(IF('Ввод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0" customFormat="false" ht="14.5" hidden="false" customHeight="false" outlineLevel="0" collapsed="false">
      <c r="A310" s="2561" t="str">
        <f aca="false">дома!A736</f>
        <v>Стойка каркаса по фронтону, односкатная кровля №6</v>
      </c>
      <c r="B310" s="2562" t="str">
        <f aca="false">дома!B736</f>
        <v>м.п.</v>
      </c>
      <c r="C310" s="2563" t="n">
        <f aca="false">дома!C736</f>
        <v>0.15</v>
      </c>
      <c r="D310" s="2563" t="n">
        <f aca="false">дома!D736</f>
        <v>0.05</v>
      </c>
      <c r="E310" s="2563" t="n">
        <f aca="false">дома!E736</f>
        <v>0</v>
      </c>
      <c r="F310" s="2563" t="n">
        <f aca="false">дома!F736</f>
        <v>0</v>
      </c>
      <c r="G310" s="2563" t="n">
        <f aca="false">E310*F310*(IF('Ввод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0" s="2563" t="n">
        <f aca="false">дома!G736*(IF('Ввод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1" customFormat="false" ht="14.5" hidden="false" customHeight="false" outlineLevel="0" collapsed="false">
      <c r="A311" s="2561" t="str">
        <f aca="false">дома!A737</f>
        <v>Стойка каркаса по фронтону, односкатная кровля №7</v>
      </c>
      <c r="B311" s="2562" t="str">
        <f aca="false">дома!B737</f>
        <v>м.п.</v>
      </c>
      <c r="C311" s="2563" t="n">
        <f aca="false">дома!C737</f>
        <v>0.15</v>
      </c>
      <c r="D311" s="2563" t="n">
        <f aca="false">дома!D737</f>
        <v>0.05</v>
      </c>
      <c r="E311" s="2563" t="n">
        <f aca="false">дома!E737</f>
        <v>0</v>
      </c>
      <c r="F311" s="2563" t="n">
        <f aca="false">дома!F737</f>
        <v>0</v>
      </c>
      <c r="G311" s="2563" t="n">
        <f aca="false">E311*F311*(IF('Ввод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1" s="2563" t="n">
        <f aca="false">дома!G737*(IF('Ввод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2" customFormat="false" ht="14.5" hidden="false" customHeight="false" outlineLevel="0" collapsed="false">
      <c r="A312" s="2561" t="str">
        <f aca="false">дома!A738</f>
        <v>Стойка каркаса по фронтону, односкатная кровля №8</v>
      </c>
      <c r="B312" s="2562" t="str">
        <f aca="false">дома!B738</f>
        <v>м.п.</v>
      </c>
      <c r="C312" s="2563" t="n">
        <f aca="false">дома!C738</f>
        <v>0.15</v>
      </c>
      <c r="D312" s="2563" t="n">
        <f aca="false">дома!D738</f>
        <v>0.05</v>
      </c>
      <c r="E312" s="2563" t="n">
        <f aca="false">дома!E738</f>
        <v>0</v>
      </c>
      <c r="F312" s="2563" t="n">
        <f aca="false">дома!F738</f>
        <v>0</v>
      </c>
      <c r="G312" s="2563" t="n">
        <f aca="false">E312*F312*(IF('Ввод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2" s="2563" t="n">
        <f aca="false">дома!G738*(IF('Ввод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3" customFormat="false" ht="14.5" hidden="false" customHeight="false" outlineLevel="0" collapsed="false">
      <c r="A313" s="2561" t="str">
        <f aca="false">дома!A739</f>
        <v>Стойка каркаса по фронтону, односкатная кровля №9</v>
      </c>
      <c r="B313" s="2562" t="str">
        <f aca="false">дома!B739</f>
        <v>м.п.</v>
      </c>
      <c r="C313" s="2563" t="n">
        <f aca="false">дома!C739</f>
        <v>0.15</v>
      </c>
      <c r="D313" s="2563" t="n">
        <f aca="false">дома!D739</f>
        <v>0.05</v>
      </c>
      <c r="E313" s="2563" t="n">
        <f aca="false">дома!E739</f>
        <v>0</v>
      </c>
      <c r="F313" s="2563" t="n">
        <f aca="false">дома!F739</f>
        <v>0</v>
      </c>
      <c r="G313" s="2563" t="n">
        <f aca="false">E313*F313*(IF('Ввод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3" s="2563" t="n">
        <f aca="false">дома!G739*(IF('Ввод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4" customFormat="false" ht="14.5" hidden="false" customHeight="false" outlineLevel="0" collapsed="false">
      <c r="A314" s="2561" t="str">
        <f aca="false">дома!A740</f>
        <v>Стойка каркаса по фронтону, односкатная кровля №10</v>
      </c>
      <c r="B314" s="2562" t="str">
        <f aca="false">дома!B740</f>
        <v>м.п.</v>
      </c>
      <c r="C314" s="2563" t="n">
        <f aca="false">дома!C740</f>
        <v>0.15</v>
      </c>
      <c r="D314" s="2563" t="n">
        <f aca="false">дома!D740</f>
        <v>0.05</v>
      </c>
      <c r="E314" s="2563" t="n">
        <f aca="false">дома!E740</f>
        <v>0</v>
      </c>
      <c r="F314" s="2563" t="n">
        <f aca="false">дома!F740</f>
        <v>0</v>
      </c>
      <c r="G314" s="2563" t="n">
        <f aca="false">E314*F314*(IF('Ввод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4" s="2563" t="n">
        <f aca="false">дома!G740*(IF('Ввод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5" customFormat="false" ht="14.5" hidden="false" customHeight="false" outlineLevel="0" collapsed="false">
      <c r="A315" s="2561" t="str">
        <f aca="false">дома!A741</f>
        <v>Стойка каркаса по фронтону, односкатная кровля №11</v>
      </c>
      <c r="B315" s="2562" t="str">
        <f aca="false">дома!B741</f>
        <v>м.п.</v>
      </c>
      <c r="C315" s="2563" t="n">
        <f aca="false">дома!C741</f>
        <v>0.15</v>
      </c>
      <c r="D315" s="2563" t="n">
        <f aca="false">дома!D741</f>
        <v>0.05</v>
      </c>
      <c r="E315" s="2563" t="n">
        <f aca="false">дома!E741</f>
        <v>0</v>
      </c>
      <c r="F315" s="2563" t="n">
        <f aca="false">дома!F741</f>
        <v>0</v>
      </c>
      <c r="G315" s="2563" t="n">
        <f aca="false">E315*F315*(IF('Ввод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5" s="2563" t="n">
        <f aca="false">дома!G741*(IF('Ввод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6" customFormat="false" ht="14.5" hidden="false" customHeight="false" outlineLevel="0" collapsed="false">
      <c r="A316" s="2561" t="str">
        <f aca="false">дома!A742</f>
        <v>Стойка каркаса по фронтону, односкатная кровля №12</v>
      </c>
      <c r="B316" s="2562" t="str">
        <f aca="false">дома!B742</f>
        <v>м.п.</v>
      </c>
      <c r="C316" s="2563" t="n">
        <f aca="false">дома!C742</f>
        <v>0.15</v>
      </c>
      <c r="D316" s="2563" t="n">
        <f aca="false">дома!D742</f>
        <v>0.05</v>
      </c>
      <c r="E316" s="2563" t="n">
        <f aca="false">дома!E742</f>
        <v>0</v>
      </c>
      <c r="F316" s="2563" t="n">
        <f aca="false">дома!F742</f>
        <v>0</v>
      </c>
      <c r="G316" s="2563" t="n">
        <f aca="false">E316*F316*(IF('Ввод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6" s="2563" t="n">
        <f aca="false">дома!G742*(IF('Ввод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7" customFormat="false" ht="14.5" hidden="false" customHeight="false" outlineLevel="0" collapsed="false">
      <c r="A317" s="2561" t="str">
        <f aca="false">дома!A743</f>
        <v>Стойка каркаса по фронтону, односкатная кровля №13</v>
      </c>
      <c r="B317" s="2562" t="str">
        <f aca="false">дома!B743</f>
        <v>м.п.</v>
      </c>
      <c r="C317" s="2563" t="n">
        <f aca="false">дома!C743</f>
        <v>0.15</v>
      </c>
      <c r="D317" s="2563" t="n">
        <f aca="false">дома!D743</f>
        <v>0.05</v>
      </c>
      <c r="E317" s="2563" t="n">
        <f aca="false">дома!E743</f>
        <v>0</v>
      </c>
      <c r="F317" s="2563" t="n">
        <f aca="false">дома!F743</f>
        <v>0</v>
      </c>
      <c r="G317" s="2563" t="n">
        <f aca="false">E317*F317*(IF('Ввод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7" s="2563" t="n">
        <f aca="false">дома!G743*(IF('Ввод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8" customFormat="false" ht="14.5" hidden="false" customHeight="false" outlineLevel="0" collapsed="false">
      <c r="A318" s="2561" t="str">
        <f aca="false">дома!A744</f>
        <v>Стойка каркаса по фронтону, односкатная кровля №14</v>
      </c>
      <c r="B318" s="2562" t="str">
        <f aca="false">дома!B744</f>
        <v>м.п.</v>
      </c>
      <c r="C318" s="2563" t="n">
        <f aca="false">дома!C744</f>
        <v>0.15</v>
      </c>
      <c r="D318" s="2563" t="n">
        <f aca="false">дома!D744</f>
        <v>0.05</v>
      </c>
      <c r="E318" s="2563" t="n">
        <f aca="false">дома!E744</f>
        <v>0</v>
      </c>
      <c r="F318" s="2563" t="n">
        <f aca="false">дома!F744</f>
        <v>0</v>
      </c>
      <c r="G318" s="2563" t="n">
        <f aca="false">E318*F318*(IF('Ввод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8" s="2563" t="n">
        <f aca="false">дома!G744*(IF('Ввод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19" customFormat="false" ht="14.5" hidden="false" customHeight="false" outlineLevel="0" collapsed="false">
      <c r="A319" s="2561" t="str">
        <f aca="false">дома!A745</f>
        <v>Стойка каркаса по фронтону, односкатная кровля №15</v>
      </c>
      <c r="B319" s="2562" t="str">
        <f aca="false">дома!B745</f>
        <v>м.п.</v>
      </c>
      <c r="C319" s="2563" t="n">
        <f aca="false">дома!C745</f>
        <v>0.15</v>
      </c>
      <c r="D319" s="2563" t="n">
        <f aca="false">дома!D745</f>
        <v>0.05</v>
      </c>
      <c r="E319" s="2563" t="n">
        <f aca="false">дома!E745</f>
        <v>0</v>
      </c>
      <c r="F319" s="2563" t="n">
        <f aca="false">дома!F745</f>
        <v>0</v>
      </c>
      <c r="G319" s="2563" t="n">
        <f aca="false">E319*F319*(IF('Ввод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19" s="2563" t="n">
        <f aca="false">дома!G745*(IF('Ввод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0" customFormat="false" ht="14.5" hidden="false" customHeight="false" outlineLevel="0" collapsed="false">
      <c r="A320" s="2561" t="str">
        <f aca="false">дома!A746</f>
        <v>Стойка каркаса по фронтону, односкатная кровля №16</v>
      </c>
      <c r="B320" s="2562" t="str">
        <f aca="false">дома!B746</f>
        <v>м.п.</v>
      </c>
      <c r="C320" s="2563" t="n">
        <f aca="false">дома!C746</f>
        <v>0.15</v>
      </c>
      <c r="D320" s="2563" t="n">
        <f aca="false">дома!D746</f>
        <v>0.05</v>
      </c>
      <c r="E320" s="2563" t="n">
        <f aca="false">дома!E746</f>
        <v>0</v>
      </c>
      <c r="F320" s="2563" t="n">
        <f aca="false">дома!F746</f>
        <v>0</v>
      </c>
      <c r="G320" s="2563" t="n">
        <f aca="false">E320*F320*(IF('Ввод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0" s="2563" t="n">
        <f aca="false">дома!G746*(IF('Ввод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1" customFormat="false" ht="14.5" hidden="false" customHeight="false" outlineLevel="0" collapsed="false">
      <c r="A321" s="2561" t="str">
        <f aca="false">дома!A747</f>
        <v>Стойка каркаса по фронтону, односкатная кровля №17</v>
      </c>
      <c r="B321" s="2562" t="str">
        <f aca="false">дома!B747</f>
        <v>м.п.</v>
      </c>
      <c r="C321" s="2563" t="n">
        <f aca="false">дома!C747</f>
        <v>0.15</v>
      </c>
      <c r="D321" s="2563" t="n">
        <f aca="false">дома!D747</f>
        <v>0.05</v>
      </c>
      <c r="E321" s="2563" t="n">
        <f aca="false">дома!E747</f>
        <v>0</v>
      </c>
      <c r="F321" s="2563" t="n">
        <f aca="false">дома!F747</f>
        <v>0</v>
      </c>
      <c r="G321" s="2563" t="n">
        <f aca="false">E321*F321*(IF('Ввод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1" s="2563" t="n">
        <f aca="false">дома!G747*(IF('Ввод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2" customFormat="false" ht="14.5" hidden="false" customHeight="false" outlineLevel="0" collapsed="false">
      <c r="A322" s="2561" t="str">
        <f aca="false">дома!A748</f>
        <v>Стойка каркаса по фронтону, односкатная кровля №18</v>
      </c>
      <c r="B322" s="2562" t="str">
        <f aca="false">дома!B748</f>
        <v>м.п.</v>
      </c>
      <c r="C322" s="2563" t="n">
        <f aca="false">дома!C748</f>
        <v>0.15</v>
      </c>
      <c r="D322" s="2563" t="n">
        <f aca="false">дома!D748</f>
        <v>0.05</v>
      </c>
      <c r="E322" s="2563" t="n">
        <f aca="false">дома!E748</f>
        <v>0</v>
      </c>
      <c r="F322" s="2563" t="n">
        <f aca="false">дома!F748</f>
        <v>0</v>
      </c>
      <c r="G322" s="2563" t="n">
        <f aca="false">E322*F322*(IF('Ввод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2" s="2563" t="n">
        <f aca="false">дома!G748*(IF('Ввод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3" customFormat="false" ht="14.5" hidden="false" customHeight="false" outlineLevel="0" collapsed="false">
      <c r="A323" s="2561" t="str">
        <f aca="false">дома!A749</f>
        <v>Стойка каркаса по фронтону, односкатная кровля №19</v>
      </c>
      <c r="B323" s="2562" t="str">
        <f aca="false">дома!B749</f>
        <v>м.п.</v>
      </c>
      <c r="C323" s="2563" t="n">
        <f aca="false">дома!C749</f>
        <v>0.15</v>
      </c>
      <c r="D323" s="2563" t="n">
        <f aca="false">дома!D749</f>
        <v>0.05</v>
      </c>
      <c r="E323" s="2563" t="n">
        <f aca="false">дома!E749</f>
        <v>0</v>
      </c>
      <c r="F323" s="2563" t="n">
        <f aca="false">дома!F749</f>
        <v>0</v>
      </c>
      <c r="G323" s="2563" t="n">
        <f aca="false">E323*F323*(IF('Ввод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3" s="2563" t="n">
        <f aca="false">дома!G749*(IF('Ввод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4" customFormat="false" ht="14.5" hidden="false" customHeight="false" outlineLevel="0" collapsed="false">
      <c r="A324" s="2561" t="str">
        <f aca="false">дома!A750</f>
        <v>Стойка каркаса по фронтону, односкатная кровля №20</v>
      </c>
      <c r="B324" s="2562" t="str">
        <f aca="false">дома!B750</f>
        <v>м.п.</v>
      </c>
      <c r="C324" s="2563" t="n">
        <f aca="false">дома!C750</f>
        <v>0.15</v>
      </c>
      <c r="D324" s="2563" t="n">
        <f aca="false">дома!D750</f>
        <v>0.05</v>
      </c>
      <c r="E324" s="2563" t="n">
        <f aca="false">дома!E750</f>
        <v>0</v>
      </c>
      <c r="F324" s="2563" t="n">
        <f aca="false">дома!F750</f>
        <v>0</v>
      </c>
      <c r="G324" s="2563" t="n">
        <f aca="false">E324*F324*(IF('Ввод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4" s="2563" t="n">
        <f aca="false">дома!G750*(IF('Ввод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5" customFormat="false" ht="14.5" hidden="false" customHeight="false" outlineLevel="0" collapsed="false">
      <c r="A325" s="2561" t="str">
        <f aca="false">дома!A751</f>
        <v>Стойка каркаса по фронтону, односкатная кровля №21</v>
      </c>
      <c r="B325" s="2562" t="str">
        <f aca="false">дома!B751</f>
        <v>м.п.</v>
      </c>
      <c r="C325" s="2563" t="n">
        <f aca="false">дома!C751</f>
        <v>0.15</v>
      </c>
      <c r="D325" s="2563" t="n">
        <f aca="false">дома!D751</f>
        <v>0.05</v>
      </c>
      <c r="E325" s="2563" t="n">
        <f aca="false">дома!E751</f>
        <v>0</v>
      </c>
      <c r="F325" s="2563" t="n">
        <f aca="false">дома!F751</f>
        <v>0</v>
      </c>
      <c r="G325" s="2563" t="n">
        <f aca="false">E325*F325*(IF('Ввод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5" s="2563" t="n">
        <f aca="false">дома!G751*(IF('Ввод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6" customFormat="false" ht="14.5" hidden="false" customHeight="false" outlineLevel="0" collapsed="false">
      <c r="A326" s="2561" t="str">
        <f aca="false">дома!A752</f>
        <v>Стойка каркаса по фронтону, односкатная кровля №22</v>
      </c>
      <c r="B326" s="2562" t="str">
        <f aca="false">дома!B752</f>
        <v>м.п.</v>
      </c>
      <c r="C326" s="2563" t="n">
        <f aca="false">дома!C752</f>
        <v>0.15</v>
      </c>
      <c r="D326" s="2563" t="n">
        <f aca="false">дома!D752</f>
        <v>0.05</v>
      </c>
      <c r="E326" s="2563" t="n">
        <f aca="false">дома!E752</f>
        <v>0</v>
      </c>
      <c r="F326" s="2563" t="n">
        <f aca="false">дома!F752</f>
        <v>0</v>
      </c>
      <c r="G326" s="2563" t="n">
        <f aca="false">E326*F326*(IF('Ввод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6" s="2563" t="n">
        <f aca="false">дома!G752*(IF('Ввод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7" customFormat="false" ht="14.5" hidden="false" customHeight="false" outlineLevel="0" collapsed="false">
      <c r="A327" s="2561" t="str">
        <f aca="false">дома!A753</f>
        <v>Стойка каркаса по фронтону, односкатная кровля №23</v>
      </c>
      <c r="B327" s="2562" t="str">
        <f aca="false">дома!B753</f>
        <v>м.п.</v>
      </c>
      <c r="C327" s="2563" t="n">
        <f aca="false">дома!C753</f>
        <v>0.15</v>
      </c>
      <c r="D327" s="2563" t="n">
        <f aca="false">дома!D753</f>
        <v>0.05</v>
      </c>
      <c r="E327" s="2563" t="n">
        <f aca="false">дома!E753</f>
        <v>0</v>
      </c>
      <c r="F327" s="2563" t="n">
        <f aca="false">дома!F753</f>
        <v>0</v>
      </c>
      <c r="G327" s="2563" t="n">
        <f aca="false">E327*F327*(IF('Ввод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7" s="2563" t="n">
        <f aca="false">дома!G753*(IF('Ввод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8" customFormat="false" ht="14.5" hidden="false" customHeight="false" outlineLevel="0" collapsed="false">
      <c r="A328" s="2561" t="str">
        <f aca="false">дома!A754</f>
        <v>Стойка каркаса по фронтону, односкатная кровля №24</v>
      </c>
      <c r="B328" s="2562" t="str">
        <f aca="false">дома!B754</f>
        <v>м.п.</v>
      </c>
      <c r="C328" s="2563" t="n">
        <f aca="false">дома!C754</f>
        <v>0.15</v>
      </c>
      <c r="D328" s="2563" t="n">
        <f aca="false">дома!D754</f>
        <v>0.05</v>
      </c>
      <c r="E328" s="2563" t="n">
        <f aca="false">дома!E754</f>
        <v>0</v>
      </c>
      <c r="F328" s="2563" t="n">
        <f aca="false">дома!F754</f>
        <v>0</v>
      </c>
      <c r="G328" s="2563" t="n">
        <f aca="false">E328*F328*(IF('Ввод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8" s="2563" t="n">
        <f aca="false">дома!G754*(IF('Ввод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29" customFormat="false" ht="14.5" hidden="false" customHeight="false" outlineLevel="0" collapsed="false">
      <c r="A329" s="2561" t="str">
        <f aca="false">дома!A755</f>
        <v>Стойка каркаса по фронтону, односкатная кровля №25</v>
      </c>
      <c r="B329" s="2562" t="str">
        <f aca="false">дома!B755</f>
        <v>м.п.</v>
      </c>
      <c r="C329" s="2563" t="n">
        <f aca="false">дома!C755</f>
        <v>0.15</v>
      </c>
      <c r="D329" s="2563" t="n">
        <f aca="false">дома!D755</f>
        <v>0.05</v>
      </c>
      <c r="E329" s="2563" t="n">
        <f aca="false">дома!E755</f>
        <v>0</v>
      </c>
      <c r="F329" s="2563" t="n">
        <f aca="false">дома!F755</f>
        <v>0</v>
      </c>
      <c r="G329" s="2563" t="n">
        <f aca="false">E329*F329*(IF('Ввод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29" s="2563" t="n">
        <f aca="false">дома!G755*(IF('Ввод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0" customFormat="false" ht="14.5" hidden="false" customHeight="false" outlineLevel="0" collapsed="false">
      <c r="A330" s="2561" t="str">
        <f aca="false">дома!A756</f>
        <v>Стойка каркаса по фронтону, односкатная кровля №26</v>
      </c>
      <c r="B330" s="2562" t="str">
        <f aca="false">дома!B756</f>
        <v>м.п.</v>
      </c>
      <c r="C330" s="2563" t="n">
        <f aca="false">дома!C756</f>
        <v>0.15</v>
      </c>
      <c r="D330" s="2563" t="n">
        <f aca="false">дома!D756</f>
        <v>0.05</v>
      </c>
      <c r="E330" s="2563" t="n">
        <f aca="false">дома!E756</f>
        <v>0</v>
      </c>
      <c r="F330" s="2563" t="n">
        <f aca="false">дома!F756</f>
        <v>0</v>
      </c>
      <c r="G330" s="2563" t="n">
        <f aca="false">E330*F330*(IF('Ввод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0" s="2563" t="n">
        <f aca="false">дома!G756*(IF('Ввод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1" customFormat="false" ht="14.5" hidden="false" customHeight="false" outlineLevel="0" collapsed="false">
      <c r="A331" s="2561" t="str">
        <f aca="false">дома!A757</f>
        <v>Стойка каркаса по фронтону, односкатная кровля №27</v>
      </c>
      <c r="B331" s="2562" t="str">
        <f aca="false">дома!B757</f>
        <v>м.п.</v>
      </c>
      <c r="C331" s="2563" t="n">
        <f aca="false">дома!C757</f>
        <v>0.15</v>
      </c>
      <c r="D331" s="2563" t="n">
        <f aca="false">дома!D757</f>
        <v>0.05</v>
      </c>
      <c r="E331" s="2563" t="n">
        <f aca="false">дома!E757</f>
        <v>0</v>
      </c>
      <c r="F331" s="2563" t="n">
        <f aca="false">дома!F757</f>
        <v>0</v>
      </c>
      <c r="G331" s="2563" t="n">
        <f aca="false">E331*F331*(IF('Ввод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1" s="2563" t="n">
        <f aca="false">дома!G757*(IF('Ввод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2" customFormat="false" ht="14.5" hidden="false" customHeight="false" outlineLevel="0" collapsed="false">
      <c r="A332" s="2561" t="str">
        <f aca="false">дома!A758</f>
        <v>Стойка каркаса по фронтону, односкатная кровля №28</v>
      </c>
      <c r="B332" s="2562" t="str">
        <f aca="false">дома!B758</f>
        <v>м.п.</v>
      </c>
      <c r="C332" s="2563" t="n">
        <f aca="false">дома!C758</f>
        <v>0.15</v>
      </c>
      <c r="D332" s="2563" t="n">
        <f aca="false">дома!D758</f>
        <v>0.05</v>
      </c>
      <c r="E332" s="2563" t="n">
        <f aca="false">дома!E758</f>
        <v>0</v>
      </c>
      <c r="F332" s="2563" t="n">
        <f aca="false">дома!F758</f>
        <v>0</v>
      </c>
      <c r="G332" s="2563" t="n">
        <f aca="false">E332*F332*(IF('Ввод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2" s="2563" t="n">
        <f aca="false">дома!G758*(IF('Ввод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3" customFormat="false" ht="14.5" hidden="false" customHeight="false" outlineLevel="0" collapsed="false">
      <c r="A333" s="2561" t="str">
        <f aca="false">дома!A759</f>
        <v>Стойка каркаса по фронтону, односкатная кровля №29</v>
      </c>
      <c r="B333" s="2562" t="str">
        <f aca="false">дома!B759</f>
        <v>м.п.</v>
      </c>
      <c r="C333" s="2563" t="n">
        <f aca="false">дома!C759</f>
        <v>0.15</v>
      </c>
      <c r="D333" s="2563" t="n">
        <f aca="false">дома!D759</f>
        <v>0.05</v>
      </c>
      <c r="E333" s="2563" t="n">
        <f aca="false">дома!E759</f>
        <v>0</v>
      </c>
      <c r="F333" s="2563" t="n">
        <f aca="false">дома!F759</f>
        <v>0</v>
      </c>
      <c r="G333" s="2563" t="n">
        <f aca="false">E333*F333*(IF('Ввод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3" s="2563" t="n">
        <f aca="false">дома!G759*(IF('Ввод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4" customFormat="false" ht="14.5" hidden="false" customHeight="false" outlineLevel="0" collapsed="false">
      <c r="A334" s="2561" t="str">
        <f aca="false">дома!A760</f>
        <v>Стойка каркаса по фронтону, односкатная кровля №30</v>
      </c>
      <c r="B334" s="2562" t="str">
        <f aca="false">дома!B760</f>
        <v>м.п.</v>
      </c>
      <c r="C334" s="2563" t="n">
        <f aca="false">дома!C760</f>
        <v>0.15</v>
      </c>
      <c r="D334" s="2563" t="n">
        <f aca="false">дома!D760</f>
        <v>0.05</v>
      </c>
      <c r="E334" s="2563" t="n">
        <f aca="false">дома!E760</f>
        <v>0</v>
      </c>
      <c r="F334" s="2563" t="n">
        <f aca="false">дома!F760</f>
        <v>0</v>
      </c>
      <c r="G334" s="2563" t="n">
        <f aca="false">E334*F334*(IF('Ввод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4" s="2563" t="n">
        <f aca="false">дома!G760*(IF('Ввод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5" customFormat="false" ht="14.5" hidden="false" customHeight="false" outlineLevel="0" collapsed="false">
      <c r="A335" s="2561" t="str">
        <f aca="false">дома!A761</f>
        <v>Стойка каркаса по фронтону, односкатная кровля №31</v>
      </c>
      <c r="B335" s="2562" t="str">
        <f aca="false">дома!B761</f>
        <v>м.п.</v>
      </c>
      <c r="C335" s="2563" t="n">
        <f aca="false">дома!C761</f>
        <v>0.15</v>
      </c>
      <c r="D335" s="2563" t="n">
        <f aca="false">дома!D761</f>
        <v>0.05</v>
      </c>
      <c r="E335" s="2563" t="n">
        <f aca="false">дома!E761</f>
        <v>0</v>
      </c>
      <c r="F335" s="2563" t="n">
        <f aca="false">дома!F761</f>
        <v>0</v>
      </c>
      <c r="G335" s="2563" t="n">
        <f aca="false">E335*F335*(IF('Ввод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5" s="2563" t="n">
        <f aca="false">дома!G761*(IF('Ввод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6" customFormat="false" ht="14.5" hidden="false" customHeight="false" outlineLevel="0" collapsed="false">
      <c r="A336" s="2561" t="str">
        <f aca="false">дома!A762</f>
        <v>Стойка каркаса по фронтону, односкатная кровля №32</v>
      </c>
      <c r="B336" s="2562" t="str">
        <f aca="false">дома!B762</f>
        <v>м.п.</v>
      </c>
      <c r="C336" s="2563" t="n">
        <f aca="false">дома!C762</f>
        <v>0.15</v>
      </c>
      <c r="D336" s="2563" t="n">
        <f aca="false">дома!D762</f>
        <v>0.05</v>
      </c>
      <c r="E336" s="2563" t="n">
        <f aca="false">дома!E762</f>
        <v>0</v>
      </c>
      <c r="F336" s="2563" t="n">
        <f aca="false">дома!F762</f>
        <v>0</v>
      </c>
      <c r="G336" s="2563" t="n">
        <f aca="false">E336*F336*(IF('Ввод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6" s="2563" t="n">
        <f aca="false">дома!G762*(IF('Ввод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7" customFormat="false" ht="14.5" hidden="false" customHeight="false" outlineLevel="0" collapsed="false">
      <c r="A337" s="2561" t="str">
        <f aca="false">дома!A763</f>
        <v>Стойка каркаса по фронтону, односкатная кровля №33</v>
      </c>
      <c r="B337" s="2562" t="str">
        <f aca="false">дома!B763</f>
        <v>м.п.</v>
      </c>
      <c r="C337" s="2563" t="n">
        <f aca="false">дома!C763</f>
        <v>0.15</v>
      </c>
      <c r="D337" s="2563" t="n">
        <f aca="false">дома!D763</f>
        <v>0.05</v>
      </c>
      <c r="E337" s="2563" t="n">
        <f aca="false">дома!E763</f>
        <v>0</v>
      </c>
      <c r="F337" s="2563" t="n">
        <f aca="false">дома!F763</f>
        <v>0</v>
      </c>
      <c r="G337" s="2563" t="n">
        <f aca="false">E337*F337*(IF('Ввод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7" s="2563" t="n">
        <f aca="false">дома!G763*(IF('Ввод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8" customFormat="false" ht="14.5" hidden="false" customHeight="false" outlineLevel="0" collapsed="false">
      <c r="A338" s="2561" t="str">
        <f aca="false">дома!A764</f>
        <v>Стойка каркаса по фронтону, односкатная кровля №34</v>
      </c>
      <c r="B338" s="2562" t="str">
        <f aca="false">дома!B764</f>
        <v>м.п.</v>
      </c>
      <c r="C338" s="2563" t="n">
        <f aca="false">дома!C764</f>
        <v>0.15</v>
      </c>
      <c r="D338" s="2563" t="n">
        <f aca="false">дома!D764</f>
        <v>0.05</v>
      </c>
      <c r="E338" s="2563" t="n">
        <f aca="false">дома!E764</f>
        <v>0</v>
      </c>
      <c r="F338" s="2563" t="n">
        <f aca="false">дома!F764</f>
        <v>0</v>
      </c>
      <c r="G338" s="2563" t="n">
        <f aca="false">E338*F338*(IF('Ввод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8" s="2563" t="n">
        <f aca="false">дома!G764*(IF('Ввод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39" customFormat="false" ht="14.5" hidden="false" customHeight="false" outlineLevel="0" collapsed="false">
      <c r="A339" s="2561" t="str">
        <f aca="false">дома!A765</f>
        <v>Стойка каркаса по фронтону, односкатная кровля №35</v>
      </c>
      <c r="B339" s="2562" t="str">
        <f aca="false">дома!B765</f>
        <v>м.п.</v>
      </c>
      <c r="C339" s="2563" t="n">
        <f aca="false">дома!C765</f>
        <v>0.15</v>
      </c>
      <c r="D339" s="2563" t="n">
        <f aca="false">дома!D765</f>
        <v>0.05</v>
      </c>
      <c r="E339" s="2563" t="n">
        <f aca="false">дома!E765</f>
        <v>0</v>
      </c>
      <c r="F339" s="2563" t="n">
        <f aca="false">дома!F765</f>
        <v>0</v>
      </c>
      <c r="G339" s="2563" t="n">
        <f aca="false">E339*F339*(IF('Ввод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39" s="2563" t="n">
        <f aca="false">дома!G765*(IF('Ввод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0" customFormat="false" ht="14.5" hidden="false" customHeight="false" outlineLevel="0" collapsed="false">
      <c r="A340" s="2561" t="str">
        <f aca="false">дома!A766</f>
        <v>Стойка каркаса по фронтону, односкатная кровля №36</v>
      </c>
      <c r="B340" s="2562" t="str">
        <f aca="false">дома!B766</f>
        <v>м.п.</v>
      </c>
      <c r="C340" s="2563" t="n">
        <f aca="false">дома!C766</f>
        <v>0.15</v>
      </c>
      <c r="D340" s="2563" t="n">
        <f aca="false">дома!D766</f>
        <v>0.05</v>
      </c>
      <c r="E340" s="2563" t="n">
        <f aca="false">дома!E766</f>
        <v>0</v>
      </c>
      <c r="F340" s="2563" t="n">
        <f aca="false">дома!F766</f>
        <v>0</v>
      </c>
      <c r="G340" s="2563" t="n">
        <f aca="false">E340*F340*(IF('Ввод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0" s="2563" t="n">
        <f aca="false">дома!G766*(IF('Ввод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1" customFormat="false" ht="14.5" hidden="false" customHeight="false" outlineLevel="0" collapsed="false">
      <c r="A341" s="2561" t="str">
        <f aca="false">дома!A767</f>
        <v>Стойка каркаса по фронтону, односкатная кровля №37</v>
      </c>
      <c r="B341" s="2562" t="str">
        <f aca="false">дома!B767</f>
        <v>м.п.</v>
      </c>
      <c r="C341" s="2563" t="n">
        <f aca="false">дома!C767</f>
        <v>0.15</v>
      </c>
      <c r="D341" s="2563" t="n">
        <f aca="false">дома!D767</f>
        <v>0.05</v>
      </c>
      <c r="E341" s="2563" t="n">
        <f aca="false">дома!E767</f>
        <v>0</v>
      </c>
      <c r="F341" s="2563" t="n">
        <f aca="false">дома!F767</f>
        <v>0</v>
      </c>
      <c r="G341" s="2563" t="n">
        <f aca="false">E341*F341*(IF('Ввод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1" s="2563" t="n">
        <f aca="false">дома!G767*(IF('Ввод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2" customFormat="false" ht="14.5" hidden="false" customHeight="false" outlineLevel="0" collapsed="false">
      <c r="A342" s="2561" t="str">
        <f aca="false">дома!A768</f>
        <v>Стойка каркаса по фронтону, односкатная кровля №38</v>
      </c>
      <c r="B342" s="2562" t="str">
        <f aca="false">дома!B768</f>
        <v>м.п.</v>
      </c>
      <c r="C342" s="2563" t="n">
        <f aca="false">дома!C768</f>
        <v>0.15</v>
      </c>
      <c r="D342" s="2563" t="n">
        <f aca="false">дома!D768</f>
        <v>0.05</v>
      </c>
      <c r="E342" s="2563" t="n">
        <f aca="false">дома!E768</f>
        <v>0</v>
      </c>
      <c r="F342" s="2563" t="n">
        <f aca="false">дома!F768</f>
        <v>0</v>
      </c>
      <c r="G342" s="2563" t="n">
        <f aca="false">E342*F342*(IF('Ввод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2" s="2563" t="n">
        <f aca="false">дома!G768*(IF('Ввод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3" customFormat="false" ht="14.5" hidden="false" customHeight="false" outlineLevel="0" collapsed="false">
      <c r="A343" s="2561" t="str">
        <f aca="false">дома!A769</f>
        <v>Стойка каркаса по фронтону, односкатная кровля №39</v>
      </c>
      <c r="B343" s="2562" t="str">
        <f aca="false">дома!B769</f>
        <v>м.п.</v>
      </c>
      <c r="C343" s="2563" t="n">
        <f aca="false">дома!C769</f>
        <v>0.15</v>
      </c>
      <c r="D343" s="2563" t="n">
        <f aca="false">дома!D769</f>
        <v>0.05</v>
      </c>
      <c r="E343" s="2563" t="n">
        <f aca="false">дома!E769</f>
        <v>0</v>
      </c>
      <c r="F343" s="2563" t="n">
        <f aca="false">дома!F769</f>
        <v>0</v>
      </c>
      <c r="G343" s="2563" t="n">
        <f aca="false">E343*F343*(IF('Ввод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3" s="2563" t="n">
        <f aca="false">дома!G769*(IF('Ввод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4" customFormat="false" ht="14.5" hidden="false" customHeight="false" outlineLevel="0" collapsed="false">
      <c r="A344" s="2561" t="str">
        <f aca="false">дома!A770</f>
        <v>Стойка каркаса по фронтону, односкатная кровля №40</v>
      </c>
      <c r="B344" s="2562" t="str">
        <f aca="false">дома!B770</f>
        <v>м.п.</v>
      </c>
      <c r="C344" s="2563" t="n">
        <f aca="false">дома!C770</f>
        <v>0.15</v>
      </c>
      <c r="D344" s="2563" t="n">
        <f aca="false">дома!D770</f>
        <v>0.05</v>
      </c>
      <c r="E344" s="2563" t="n">
        <f aca="false">дома!E770</f>
        <v>0</v>
      </c>
      <c r="F344" s="2563" t="n">
        <f aca="false">дома!F770</f>
        <v>0</v>
      </c>
      <c r="G344" s="2563" t="n">
        <f aca="false">E344*F344*(IF('Ввод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4" s="2563" t="n">
        <f aca="false">дома!G770*(IF('Ввод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5" customFormat="false" ht="14.5" hidden="false" customHeight="false" outlineLevel="0" collapsed="false">
      <c r="A345" s="2561" t="str">
        <f aca="false">дома!A771</f>
        <v>Стойка каркаса по фронтону, односкатная кровля №41</v>
      </c>
      <c r="B345" s="2562" t="str">
        <f aca="false">дома!B771</f>
        <v>м.п.</v>
      </c>
      <c r="C345" s="2563" t="n">
        <f aca="false">дома!C771</f>
        <v>0.15</v>
      </c>
      <c r="D345" s="2563" t="n">
        <f aca="false">дома!D771</f>
        <v>0.05</v>
      </c>
      <c r="E345" s="2563" t="n">
        <f aca="false">дома!E771</f>
        <v>0</v>
      </c>
      <c r="F345" s="2563" t="n">
        <f aca="false">дома!F771</f>
        <v>0</v>
      </c>
      <c r="G345" s="2563" t="n">
        <f aca="false">E345*F345*(IF('Ввод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5" s="2563" t="n">
        <f aca="false">дома!G771*(IF('Ввод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6" customFormat="false" ht="14.5" hidden="false" customHeight="false" outlineLevel="0" collapsed="false">
      <c r="A346" s="2561" t="str">
        <f aca="false">дома!A772</f>
        <v>Обвязка каркаса нижняя, односкатная кровля</v>
      </c>
      <c r="B346" s="2562" t="str">
        <f aca="false">дома!B772</f>
        <v>м.п.</v>
      </c>
      <c r="C346" s="2563" t="n">
        <f aca="false">дома!C772</f>
        <v>0.15</v>
      </c>
      <c r="D346" s="2563" t="n">
        <f aca="false">дома!D772</f>
        <v>0.05</v>
      </c>
      <c r="E346" s="2563" t="n">
        <f aca="false">дома!E772</f>
        <v>0</v>
      </c>
      <c r="F346" s="2563" t="n">
        <f aca="false">дома!F772</f>
        <v>0</v>
      </c>
      <c r="G346" s="2563" t="n">
        <f aca="false">E346*F346*(IF('Ввод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6" s="2563" t="n">
        <f aca="false">дома!G772*(IF('Ввод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7" customFormat="false" ht="14.5" hidden="false" customHeight="false" outlineLevel="0" collapsed="false">
      <c r="A347" s="2561" t="str">
        <f aca="false">дома!A773</f>
        <v>Обвязка каркаса верхняя, односкатная кровля</v>
      </c>
      <c r="B347" s="2562" t="str">
        <f aca="false">дома!B773</f>
        <v>м.п.</v>
      </c>
      <c r="C347" s="2563" t="n">
        <f aca="false">дома!C773</f>
        <v>0.15</v>
      </c>
      <c r="D347" s="2563" t="n">
        <f aca="false">дома!D773</f>
        <v>0.05</v>
      </c>
      <c r="E347" s="2563" t="n">
        <f aca="false">дома!E773</f>
        <v>22.3606797749979</v>
      </c>
      <c r="F347" s="2563" t="n">
        <f aca="false">дома!F773</f>
        <v>0</v>
      </c>
      <c r="G347" s="2563" t="n">
        <f aca="false">E347*F347*(IF('Ввод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7" s="2563" t="n">
        <f aca="false">дома!G773*(IF('Ввод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8" customFormat="false" ht="14.5" hidden="false" customHeight="false" outlineLevel="0" collapsed="false">
      <c r="A348" s="2561" t="str">
        <f aca="false">дома!A774</f>
        <v>Ригель каркаса фронтона, односкатная кровля</v>
      </c>
      <c r="B348" s="2562" t="str">
        <f aca="false">дома!B774</f>
        <v>м.п.</v>
      </c>
      <c r="C348" s="2563" t="n">
        <f aca="false">дома!C774</f>
        <v>0.15</v>
      </c>
      <c r="D348" s="2563" t="n">
        <f aca="false">дома!D774</f>
        <v>0.05</v>
      </c>
      <c r="E348" s="2563" t="n">
        <f aca="false">дома!E774</f>
        <v>22.3606797749979</v>
      </c>
      <c r="F348" s="2563" t="n">
        <f aca="false">дома!F774</f>
        <v>0</v>
      </c>
      <c r="G348" s="2563" t="n">
        <f aca="false">E348*F348*(IF('Ввод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8" s="2563" t="n">
        <f aca="false">дома!G774*(IF('Ввод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49" customFormat="false" ht="14.5" hidden="false" customHeight="false" outlineLevel="0" collapsed="false">
      <c r="A349" s="2561" t="str">
        <f aca="false">дома!A775</f>
        <v>Стойки каркаса, левая сторона 2 эт</v>
      </c>
      <c r="B349" s="2562" t="str">
        <f aca="false">дома!B775</f>
        <v>м.п.</v>
      </c>
      <c r="C349" s="2563" t="n">
        <f aca="false">дома!C775</f>
        <v>0.15</v>
      </c>
      <c r="D349" s="2563" t="n">
        <f aca="false">дома!D775</f>
        <v>0.05</v>
      </c>
      <c r="E349" s="2563" t="n">
        <f aca="false">дома!E775</f>
        <v>0</v>
      </c>
      <c r="F349" s="2563" t="n">
        <f aca="false">дома!F775</f>
        <v>0</v>
      </c>
      <c r="G349" s="2563" t="n">
        <f aca="false">E349*F349*(IF('Ввод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49" s="2563" t="n">
        <f aca="false">дома!G775*(IF('Ввод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0" customFormat="false" ht="14.5" hidden="false" customHeight="false" outlineLevel="0" collapsed="false">
      <c r="A350" s="2561" t="str">
        <f aca="false">дома!A776</f>
        <v>Стойки каркаса, правая сторона 2 эт</v>
      </c>
      <c r="B350" s="2562" t="str">
        <f aca="false">дома!B776</f>
        <v>м.п.</v>
      </c>
      <c r="C350" s="2563" t="n">
        <f aca="false">дома!C776</f>
        <v>0.15</v>
      </c>
      <c r="D350" s="2563" t="n">
        <f aca="false">дома!D776</f>
        <v>0.05</v>
      </c>
      <c r="E350" s="2563" t="n">
        <f aca="false">дома!E776</f>
        <v>0</v>
      </c>
      <c r="F350" s="2563" t="n">
        <f aca="false">дома!F776</f>
        <v>0</v>
      </c>
      <c r="G350" s="2563" t="n">
        <f aca="false">E350*F350*(IF('Ввод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0" s="2563" t="n">
        <f aca="false">дома!G776*(IF('Ввод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1" customFormat="false" ht="14.5" hidden="false" customHeight="false" outlineLevel="0" collapsed="false">
      <c r="A351" s="2561" t="str">
        <f aca="false">дома!A777</f>
        <v>Стойки каркаса передней/задней стены 2 эт</v>
      </c>
      <c r="B351" s="2562" t="str">
        <f aca="false">дома!B777</f>
        <v>м.п.</v>
      </c>
      <c r="C351" s="2563" t="n">
        <f aca="false">дома!C777</f>
        <v>0.15</v>
      </c>
      <c r="D351" s="2563" t="n">
        <f aca="false">дома!D777</f>
        <v>0.05</v>
      </c>
      <c r="E351" s="2563" t="n">
        <f aca="false">дома!E777</f>
        <v>0</v>
      </c>
      <c r="F351" s="2563" t="n">
        <f aca="false">дома!F777</f>
        <v>0</v>
      </c>
      <c r="G351" s="2563" t="n">
        <f aca="false">E351*F351*(IF('Ввод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1" s="2563" t="n">
        <f aca="false">дома!G777*(IF('Ввод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2" customFormat="false" ht="14.5" hidden="false" customHeight="false" outlineLevel="0" collapsed="false">
      <c r="A352" s="2561" t="str">
        <f aca="false">дома!A778</f>
        <v>Стойка каркаса по фронтону, односкатная кровля №0</v>
      </c>
      <c r="B352" s="2562" t="str">
        <f aca="false">дома!B778</f>
        <v>м.п.</v>
      </c>
      <c r="C352" s="2563" t="n">
        <f aca="false">дома!C778</f>
        <v>0.15</v>
      </c>
      <c r="D352" s="2563" t="n">
        <f aca="false">дома!D778</f>
        <v>0.05</v>
      </c>
      <c r="E352" s="2563" t="n">
        <f aca="false">дома!E778</f>
        <v>0</v>
      </c>
      <c r="F352" s="2563" t="n">
        <f aca="false">дома!F778</f>
        <v>0</v>
      </c>
      <c r="G352" s="2563" t="n">
        <f aca="false">E352*F352*(IF('Ввод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2" s="2563" t="n">
        <f aca="false">дома!G778*(IF('Ввод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3" customFormat="false" ht="14.5" hidden="false" customHeight="false" outlineLevel="0" collapsed="false">
      <c r="A353" s="2561" t="str">
        <f aca="false">дома!A779</f>
        <v>Стойка каркаса по фронтону, односкатная кровля №1</v>
      </c>
      <c r="B353" s="2562" t="str">
        <f aca="false">дома!B779</f>
        <v>м.п.</v>
      </c>
      <c r="C353" s="2563" t="n">
        <f aca="false">дома!C779</f>
        <v>0.15</v>
      </c>
      <c r="D353" s="2563" t="n">
        <f aca="false">дома!D779</f>
        <v>0.05</v>
      </c>
      <c r="E353" s="2563" t="n">
        <f aca="false">дома!E779</f>
        <v>0</v>
      </c>
      <c r="F353" s="2563" t="n">
        <f aca="false">дома!F779</f>
        <v>0</v>
      </c>
      <c r="G353" s="2563" t="n">
        <f aca="false">E353*F353*(IF('Ввод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3" s="2563" t="n">
        <f aca="false">дома!G779*(IF('Ввод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4" customFormat="false" ht="14.5" hidden="false" customHeight="false" outlineLevel="0" collapsed="false">
      <c r="A354" s="2561" t="str">
        <f aca="false">дома!A780</f>
        <v>Стойка каркаса по фронтону, односкатная кровля №2</v>
      </c>
      <c r="B354" s="2562" t="str">
        <f aca="false">дома!B780</f>
        <v>м.п.</v>
      </c>
      <c r="C354" s="2563" t="n">
        <f aca="false">дома!C780</f>
        <v>0.15</v>
      </c>
      <c r="D354" s="2563" t="n">
        <f aca="false">дома!D780</f>
        <v>0.05</v>
      </c>
      <c r="E354" s="2563" t="n">
        <f aca="false">дома!E780</f>
        <v>0</v>
      </c>
      <c r="F354" s="2563" t="n">
        <f aca="false">дома!F780</f>
        <v>0</v>
      </c>
      <c r="G354" s="2563" t="n">
        <f aca="false">E354*F354*(IF('Ввод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4" s="2563" t="n">
        <f aca="false">дома!G780*(IF('Ввод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5" customFormat="false" ht="14.5" hidden="false" customHeight="false" outlineLevel="0" collapsed="false">
      <c r="A355" s="2561" t="str">
        <f aca="false">дома!A781</f>
        <v>Стойка каркаса по фронтону, односкатная кровля №3</v>
      </c>
      <c r="B355" s="2562" t="str">
        <f aca="false">дома!B781</f>
        <v>м.п.</v>
      </c>
      <c r="C355" s="2563" t="n">
        <f aca="false">дома!C781</f>
        <v>0.15</v>
      </c>
      <c r="D355" s="2563" t="n">
        <f aca="false">дома!D781</f>
        <v>0.05</v>
      </c>
      <c r="E355" s="2563" t="n">
        <f aca="false">дома!E781</f>
        <v>0</v>
      </c>
      <c r="F355" s="2563" t="n">
        <f aca="false">дома!F781</f>
        <v>0</v>
      </c>
      <c r="G355" s="2563" t="n">
        <f aca="false">E355*F355*(IF('Ввод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5" s="2563" t="n">
        <f aca="false">дома!G781*(IF('Ввод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6" customFormat="false" ht="14.5" hidden="false" customHeight="false" outlineLevel="0" collapsed="false">
      <c r="A356" s="2561" t="str">
        <f aca="false">дома!A782</f>
        <v>Стойка каркаса по фронтону, односкатная кровля №4</v>
      </c>
      <c r="B356" s="2562" t="str">
        <f aca="false">дома!B782</f>
        <v>м.п.</v>
      </c>
      <c r="C356" s="2563" t="n">
        <f aca="false">дома!C782</f>
        <v>0.15</v>
      </c>
      <c r="D356" s="2563" t="n">
        <f aca="false">дома!D782</f>
        <v>0.05</v>
      </c>
      <c r="E356" s="2563" t="n">
        <f aca="false">дома!E782</f>
        <v>0</v>
      </c>
      <c r="F356" s="2563" t="n">
        <f aca="false">дома!F782</f>
        <v>0</v>
      </c>
      <c r="G356" s="2563" t="n">
        <f aca="false">E356*F356*(IF('Ввод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6" s="2563" t="n">
        <f aca="false">дома!G782*(IF('Ввод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7" customFormat="false" ht="14.5" hidden="false" customHeight="false" outlineLevel="0" collapsed="false">
      <c r="A357" s="2561" t="str">
        <f aca="false">дома!A783</f>
        <v>Стойка каркаса по фронтону, односкатная кровля №5</v>
      </c>
      <c r="B357" s="2562" t="str">
        <f aca="false">дома!B783</f>
        <v>м.п.</v>
      </c>
      <c r="C357" s="2563" t="n">
        <f aca="false">дома!C783</f>
        <v>0.15</v>
      </c>
      <c r="D357" s="2563" t="n">
        <f aca="false">дома!D783</f>
        <v>0.05</v>
      </c>
      <c r="E357" s="2563" t="n">
        <f aca="false">дома!E783</f>
        <v>0</v>
      </c>
      <c r="F357" s="2563" t="n">
        <f aca="false">дома!F783</f>
        <v>0</v>
      </c>
      <c r="G357" s="2563" t="n">
        <f aca="false">E357*F357*(IF('Ввод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7" s="2563" t="n">
        <f aca="false">дома!G783*(IF('Ввод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8" customFormat="false" ht="14.5" hidden="false" customHeight="false" outlineLevel="0" collapsed="false">
      <c r="A358" s="2561" t="str">
        <f aca="false">дома!A784</f>
        <v>Стойка каркаса по фронтону, односкатная кровля №6</v>
      </c>
      <c r="B358" s="2562" t="str">
        <f aca="false">дома!B784</f>
        <v>м.п.</v>
      </c>
      <c r="C358" s="2563" t="n">
        <f aca="false">дома!C784</f>
        <v>0.15</v>
      </c>
      <c r="D358" s="2563" t="n">
        <f aca="false">дома!D784</f>
        <v>0.05</v>
      </c>
      <c r="E358" s="2563" t="n">
        <f aca="false">дома!E784</f>
        <v>0</v>
      </c>
      <c r="F358" s="2563" t="n">
        <f aca="false">дома!F784</f>
        <v>0</v>
      </c>
      <c r="G358" s="2563" t="n">
        <f aca="false">E358*F358*(IF('Ввод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8" s="2563" t="n">
        <f aca="false">дома!G784*(IF('Ввод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59" customFormat="false" ht="14.5" hidden="false" customHeight="false" outlineLevel="0" collapsed="false">
      <c r="A359" s="2561" t="str">
        <f aca="false">дома!A785</f>
        <v>Стойка каркаса по фронтону, односкатная кровля №7</v>
      </c>
      <c r="B359" s="2562" t="str">
        <f aca="false">дома!B785</f>
        <v>м.п.</v>
      </c>
      <c r="C359" s="2563" t="n">
        <f aca="false">дома!C785</f>
        <v>0.15</v>
      </c>
      <c r="D359" s="2563" t="n">
        <f aca="false">дома!D785</f>
        <v>0.05</v>
      </c>
      <c r="E359" s="2563" t="n">
        <f aca="false">дома!E785</f>
        <v>0</v>
      </c>
      <c r="F359" s="2563" t="n">
        <f aca="false">дома!F785</f>
        <v>0</v>
      </c>
      <c r="G359" s="2563" t="n">
        <f aca="false">E359*F359*(IF('Ввод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59" s="2563" t="n">
        <f aca="false">дома!G785*(IF('Ввод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0" customFormat="false" ht="14.5" hidden="false" customHeight="false" outlineLevel="0" collapsed="false">
      <c r="A360" s="2561" t="str">
        <f aca="false">дома!A786</f>
        <v>Стойка каркаса по фронтону, односкатная кровля №8</v>
      </c>
      <c r="B360" s="2562" t="str">
        <f aca="false">дома!B786</f>
        <v>м.п.</v>
      </c>
      <c r="C360" s="2563" t="n">
        <f aca="false">дома!C786</f>
        <v>0.15</v>
      </c>
      <c r="D360" s="2563" t="n">
        <f aca="false">дома!D786</f>
        <v>0.05</v>
      </c>
      <c r="E360" s="2563" t="n">
        <f aca="false">дома!E786</f>
        <v>0</v>
      </c>
      <c r="F360" s="2563" t="n">
        <f aca="false">дома!F786</f>
        <v>0</v>
      </c>
      <c r="G360" s="2563" t="n">
        <f aca="false">E360*F360*(IF('Ввод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0" s="2563" t="n">
        <f aca="false">дома!G786*(IF('Ввод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1" customFormat="false" ht="14.5" hidden="false" customHeight="false" outlineLevel="0" collapsed="false">
      <c r="A361" s="2561" t="str">
        <f aca="false">дома!A787</f>
        <v>Стойка каркаса по фронтону, односкатная кровля №9</v>
      </c>
      <c r="B361" s="2562" t="str">
        <f aca="false">дома!B787</f>
        <v>м.п.</v>
      </c>
      <c r="C361" s="2563" t="n">
        <f aca="false">дома!C787</f>
        <v>0.15</v>
      </c>
      <c r="D361" s="2563" t="n">
        <f aca="false">дома!D787</f>
        <v>0.05</v>
      </c>
      <c r="E361" s="2563" t="n">
        <f aca="false">дома!E787</f>
        <v>0</v>
      </c>
      <c r="F361" s="2563" t="n">
        <f aca="false">дома!F787</f>
        <v>0</v>
      </c>
      <c r="G361" s="2563" t="n">
        <f aca="false">E361*F361*(IF('Ввод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1" s="2563" t="n">
        <f aca="false">дома!G787*(IF('Ввод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2" customFormat="false" ht="14.5" hidden="false" customHeight="false" outlineLevel="0" collapsed="false">
      <c r="A362" s="2561" t="str">
        <f aca="false">дома!A788</f>
        <v>Стойка каркаса по фронтону, односкатная кровля №10</v>
      </c>
      <c r="B362" s="2562" t="str">
        <f aca="false">дома!B788</f>
        <v>м.п.</v>
      </c>
      <c r="C362" s="2563" t="n">
        <f aca="false">дома!C788</f>
        <v>0.15</v>
      </c>
      <c r="D362" s="2563" t="n">
        <f aca="false">дома!D788</f>
        <v>0.05</v>
      </c>
      <c r="E362" s="2563" t="n">
        <f aca="false">дома!E788</f>
        <v>0</v>
      </c>
      <c r="F362" s="2563" t="n">
        <f aca="false">дома!F788</f>
        <v>0</v>
      </c>
      <c r="G362" s="2563" t="n">
        <f aca="false">E362*F362*(IF('Ввод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2" s="2563" t="n">
        <f aca="false">дома!G788*(IF('Ввод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3" customFormat="false" ht="14.5" hidden="false" customHeight="false" outlineLevel="0" collapsed="false">
      <c r="A363" s="2561" t="str">
        <f aca="false">дома!A789</f>
        <v>Стойка каркаса по фронтону, односкатная кровля №11</v>
      </c>
      <c r="B363" s="2562" t="str">
        <f aca="false">дома!B789</f>
        <v>м.п.</v>
      </c>
      <c r="C363" s="2563" t="n">
        <f aca="false">дома!C789</f>
        <v>0.15</v>
      </c>
      <c r="D363" s="2563" t="n">
        <f aca="false">дома!D789</f>
        <v>0.05</v>
      </c>
      <c r="E363" s="2563" t="n">
        <f aca="false">дома!E789</f>
        <v>0</v>
      </c>
      <c r="F363" s="2563" t="n">
        <f aca="false">дома!F789</f>
        <v>0</v>
      </c>
      <c r="G363" s="2563" t="n">
        <f aca="false">E363*F363*(IF('Ввод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3" s="2563" t="n">
        <f aca="false">дома!G789*(IF('Ввод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4" customFormat="false" ht="14.5" hidden="false" customHeight="false" outlineLevel="0" collapsed="false">
      <c r="A364" s="2561" t="str">
        <f aca="false">дома!A790</f>
        <v>Стойка каркаса по фронтону, односкатная кровля №12</v>
      </c>
      <c r="B364" s="2562" t="str">
        <f aca="false">дома!B790</f>
        <v>м.п.</v>
      </c>
      <c r="C364" s="2563" t="n">
        <f aca="false">дома!C790</f>
        <v>0.15</v>
      </c>
      <c r="D364" s="2563" t="n">
        <f aca="false">дома!D790</f>
        <v>0.05</v>
      </c>
      <c r="E364" s="2563" t="n">
        <f aca="false">дома!E790</f>
        <v>0</v>
      </c>
      <c r="F364" s="2563" t="n">
        <f aca="false">дома!F790</f>
        <v>0</v>
      </c>
      <c r="G364" s="2563" t="n">
        <f aca="false">E364*F364*(IF('Ввод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4" s="2563" t="n">
        <f aca="false">дома!G790*(IF('Ввод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5" customFormat="false" ht="14.5" hidden="false" customHeight="false" outlineLevel="0" collapsed="false">
      <c r="A365" s="2561" t="str">
        <f aca="false">дома!A791</f>
        <v>Стойка каркаса по фронтону, односкатная кровля №13</v>
      </c>
      <c r="B365" s="2562" t="str">
        <f aca="false">дома!B791</f>
        <v>м.п.</v>
      </c>
      <c r="C365" s="2563" t="n">
        <f aca="false">дома!C791</f>
        <v>0.15</v>
      </c>
      <c r="D365" s="2563" t="n">
        <f aca="false">дома!D791</f>
        <v>0.05</v>
      </c>
      <c r="E365" s="2563" t="n">
        <f aca="false">дома!E791</f>
        <v>0</v>
      </c>
      <c r="F365" s="2563" t="n">
        <f aca="false">дома!F791</f>
        <v>0</v>
      </c>
      <c r="G365" s="2563" t="n">
        <f aca="false">E365*F365*(IF('Ввод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5" s="2563" t="n">
        <f aca="false">дома!G791*(IF('Ввод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6" customFormat="false" ht="14.5" hidden="false" customHeight="false" outlineLevel="0" collapsed="false">
      <c r="A366" s="2561" t="str">
        <f aca="false">дома!A792</f>
        <v>Стойка каркаса по фронтону, односкатная кровля №14</v>
      </c>
      <c r="B366" s="2562" t="str">
        <f aca="false">дома!B792</f>
        <v>м.п.</v>
      </c>
      <c r="C366" s="2563" t="n">
        <f aca="false">дома!C792</f>
        <v>0.15</v>
      </c>
      <c r="D366" s="2563" t="n">
        <f aca="false">дома!D792</f>
        <v>0.05</v>
      </c>
      <c r="E366" s="2563" t="n">
        <f aca="false">дома!E792</f>
        <v>0</v>
      </c>
      <c r="F366" s="2563" t="n">
        <f aca="false">дома!F792</f>
        <v>0</v>
      </c>
      <c r="G366" s="2563" t="n">
        <f aca="false">E366*F366*(IF('Ввод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6" s="2563" t="n">
        <f aca="false">дома!G792*(IF('Ввод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7" customFormat="false" ht="14.5" hidden="false" customHeight="false" outlineLevel="0" collapsed="false">
      <c r="A367" s="2561" t="str">
        <f aca="false">дома!A793</f>
        <v>Стойка каркаса по фронтону, односкатная кровля №15</v>
      </c>
      <c r="B367" s="2562" t="str">
        <f aca="false">дома!B793</f>
        <v>м.п.</v>
      </c>
      <c r="C367" s="2563" t="n">
        <f aca="false">дома!C793</f>
        <v>0.15</v>
      </c>
      <c r="D367" s="2563" t="n">
        <f aca="false">дома!D793</f>
        <v>0.05</v>
      </c>
      <c r="E367" s="2563" t="n">
        <f aca="false">дома!E793</f>
        <v>0</v>
      </c>
      <c r="F367" s="2563" t="n">
        <f aca="false">дома!F793</f>
        <v>0</v>
      </c>
      <c r="G367" s="2563" t="n">
        <f aca="false">E367*F367*(IF('Ввод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7" s="2563" t="n">
        <f aca="false">дома!G793*(IF('Ввод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8" customFormat="false" ht="14.5" hidden="false" customHeight="false" outlineLevel="0" collapsed="false">
      <c r="A368" s="2561" t="str">
        <f aca="false">дома!A794</f>
        <v>Стойка каркаса по фронтону, односкатная кровля №16</v>
      </c>
      <c r="B368" s="2562" t="str">
        <f aca="false">дома!B794</f>
        <v>м.п.</v>
      </c>
      <c r="C368" s="2563" t="n">
        <f aca="false">дома!C794</f>
        <v>0.15</v>
      </c>
      <c r="D368" s="2563" t="n">
        <f aca="false">дома!D794</f>
        <v>0.05</v>
      </c>
      <c r="E368" s="2563" t="n">
        <f aca="false">дома!E794</f>
        <v>0</v>
      </c>
      <c r="F368" s="2563" t="n">
        <f aca="false">дома!F794</f>
        <v>0</v>
      </c>
      <c r="G368" s="2563" t="n">
        <f aca="false">E368*F368*(IF('Ввод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8" s="2563" t="n">
        <f aca="false">дома!G794*(IF('Ввод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69" customFormat="false" ht="14.5" hidden="false" customHeight="false" outlineLevel="0" collapsed="false">
      <c r="A369" s="2561" t="str">
        <f aca="false">дома!A795</f>
        <v>Стойка каркаса по фронтону, односкатная кровля №17</v>
      </c>
      <c r="B369" s="2562" t="str">
        <f aca="false">дома!B795</f>
        <v>м.п.</v>
      </c>
      <c r="C369" s="2563" t="n">
        <f aca="false">дома!C795</f>
        <v>0.15</v>
      </c>
      <c r="D369" s="2563" t="n">
        <f aca="false">дома!D795</f>
        <v>0.05</v>
      </c>
      <c r="E369" s="2563" t="n">
        <f aca="false">дома!E795</f>
        <v>0</v>
      </c>
      <c r="F369" s="2563" t="n">
        <f aca="false">дома!F795</f>
        <v>0</v>
      </c>
      <c r="G369" s="2563" t="n">
        <f aca="false">E369*F369*(IF('Ввод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69" s="2563" t="n">
        <f aca="false">дома!G795*(IF('Ввод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0" customFormat="false" ht="14.5" hidden="false" customHeight="false" outlineLevel="0" collapsed="false">
      <c r="A370" s="2561" t="str">
        <f aca="false">дома!A796</f>
        <v>Стойка каркаса по фронтону, односкатная кровля №18</v>
      </c>
      <c r="B370" s="2562" t="str">
        <f aca="false">дома!B796</f>
        <v>м.п.</v>
      </c>
      <c r="C370" s="2563" t="n">
        <f aca="false">дома!C796</f>
        <v>0.15</v>
      </c>
      <c r="D370" s="2563" t="n">
        <f aca="false">дома!D796</f>
        <v>0.05</v>
      </c>
      <c r="E370" s="2563" t="n">
        <f aca="false">дома!E796</f>
        <v>0</v>
      </c>
      <c r="F370" s="2563" t="n">
        <f aca="false">дома!F796</f>
        <v>0</v>
      </c>
      <c r="G370" s="2563" t="n">
        <f aca="false">E370*F370*(IF('Ввод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0" s="2563" t="n">
        <f aca="false">дома!G796*(IF('Ввод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1" customFormat="false" ht="14.5" hidden="false" customHeight="false" outlineLevel="0" collapsed="false">
      <c r="A371" s="2561" t="str">
        <f aca="false">дома!A797</f>
        <v>Стойка каркаса по фронтону, односкатная кровля №19</v>
      </c>
      <c r="B371" s="2562" t="str">
        <f aca="false">дома!B797</f>
        <v>м.п.</v>
      </c>
      <c r="C371" s="2563" t="n">
        <f aca="false">дома!C797</f>
        <v>0.15</v>
      </c>
      <c r="D371" s="2563" t="n">
        <f aca="false">дома!D797</f>
        <v>0.05</v>
      </c>
      <c r="E371" s="2563" t="n">
        <f aca="false">дома!E797</f>
        <v>0</v>
      </c>
      <c r="F371" s="2563" t="n">
        <f aca="false">дома!F797</f>
        <v>0</v>
      </c>
      <c r="G371" s="2563" t="n">
        <f aca="false">E371*F371*(IF('Ввод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1" s="2563" t="n">
        <f aca="false">дома!G797*(IF('Ввод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2" customFormat="false" ht="14.5" hidden="false" customHeight="false" outlineLevel="0" collapsed="false">
      <c r="A372" s="2561" t="str">
        <f aca="false">дома!A798</f>
        <v>Стойка каркаса по фронтону, односкатная кровля №20</v>
      </c>
      <c r="B372" s="2562" t="str">
        <f aca="false">дома!B798</f>
        <v>м.п.</v>
      </c>
      <c r="C372" s="2563" t="n">
        <f aca="false">дома!C798</f>
        <v>0.15</v>
      </c>
      <c r="D372" s="2563" t="n">
        <f aca="false">дома!D798</f>
        <v>0.05</v>
      </c>
      <c r="E372" s="2563" t="n">
        <f aca="false">дома!E798</f>
        <v>0</v>
      </c>
      <c r="F372" s="2563" t="n">
        <f aca="false">дома!F798</f>
        <v>0</v>
      </c>
      <c r="G372" s="2563" t="n">
        <f aca="false">E372*F372*(IF('Ввод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2" s="2563" t="n">
        <f aca="false">дома!G798*(IF('Ввод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3" customFormat="false" ht="14.5" hidden="false" customHeight="false" outlineLevel="0" collapsed="false">
      <c r="A373" s="2561" t="str">
        <f aca="false">дома!A799</f>
        <v>Стойка каркаса по фронтону, односкатная кровля №21</v>
      </c>
      <c r="B373" s="2562" t="str">
        <f aca="false">дома!B799</f>
        <v>м.п.</v>
      </c>
      <c r="C373" s="2563" t="n">
        <f aca="false">дома!C799</f>
        <v>0.15</v>
      </c>
      <c r="D373" s="2563" t="n">
        <f aca="false">дома!D799</f>
        <v>0.05</v>
      </c>
      <c r="E373" s="2563" t="n">
        <f aca="false">дома!E799</f>
        <v>0</v>
      </c>
      <c r="F373" s="2563" t="n">
        <f aca="false">дома!F799</f>
        <v>0</v>
      </c>
      <c r="G373" s="2563" t="n">
        <f aca="false">E373*F373*(IF('Ввод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3" s="2563" t="n">
        <f aca="false">дома!G799*(IF('Ввод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4" customFormat="false" ht="14.5" hidden="false" customHeight="false" outlineLevel="0" collapsed="false">
      <c r="A374" s="2561" t="str">
        <f aca="false">дома!A800</f>
        <v>Стойка каркаса по фронтону, односкатная кровля №22</v>
      </c>
      <c r="B374" s="2562" t="str">
        <f aca="false">дома!B800</f>
        <v>м.п.</v>
      </c>
      <c r="C374" s="2563" t="n">
        <f aca="false">дома!C800</f>
        <v>0.15</v>
      </c>
      <c r="D374" s="2563" t="n">
        <f aca="false">дома!D800</f>
        <v>0.05</v>
      </c>
      <c r="E374" s="2563" t="n">
        <f aca="false">дома!E800</f>
        <v>0</v>
      </c>
      <c r="F374" s="2563" t="n">
        <f aca="false">дома!F800</f>
        <v>0</v>
      </c>
      <c r="G374" s="2563" t="n">
        <f aca="false">E374*F374*(IF('Ввод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4" s="2563" t="n">
        <f aca="false">дома!G800*(IF('Ввод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5" customFormat="false" ht="14.5" hidden="false" customHeight="false" outlineLevel="0" collapsed="false">
      <c r="A375" s="2561" t="str">
        <f aca="false">дома!A801</f>
        <v>Стойка каркаса по фронтону, односкатная кровля №23</v>
      </c>
      <c r="B375" s="2562" t="str">
        <f aca="false">дома!B801</f>
        <v>м.п.</v>
      </c>
      <c r="C375" s="2563" t="n">
        <f aca="false">дома!C801</f>
        <v>0.15</v>
      </c>
      <c r="D375" s="2563" t="n">
        <f aca="false">дома!D801</f>
        <v>0.05</v>
      </c>
      <c r="E375" s="2563" t="n">
        <f aca="false">дома!E801</f>
        <v>0</v>
      </c>
      <c r="F375" s="2563" t="n">
        <f aca="false">дома!F801</f>
        <v>0</v>
      </c>
      <c r="G375" s="2563" t="n">
        <f aca="false">E375*F375*(IF('Ввод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5" s="2563" t="n">
        <f aca="false">дома!G801*(IF('Ввод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6" customFormat="false" ht="14.5" hidden="false" customHeight="false" outlineLevel="0" collapsed="false">
      <c r="A376" s="2561" t="str">
        <f aca="false">дома!A802</f>
        <v>Стойка каркаса по фронтону, односкатная кровля №24</v>
      </c>
      <c r="B376" s="2562" t="str">
        <f aca="false">дома!B802</f>
        <v>м.п.</v>
      </c>
      <c r="C376" s="2563" t="n">
        <f aca="false">дома!C802</f>
        <v>0.15</v>
      </c>
      <c r="D376" s="2563" t="n">
        <f aca="false">дома!D802</f>
        <v>0.05</v>
      </c>
      <c r="E376" s="2563" t="n">
        <f aca="false">дома!E802</f>
        <v>0</v>
      </c>
      <c r="F376" s="2563" t="n">
        <f aca="false">дома!F802</f>
        <v>0</v>
      </c>
      <c r="G376" s="2563" t="n">
        <f aca="false">E376*F376*(IF('Ввод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6" s="2563" t="n">
        <f aca="false">дома!G802*(IF('Ввод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7" customFormat="false" ht="14.5" hidden="false" customHeight="false" outlineLevel="0" collapsed="false">
      <c r="A377" s="2561" t="str">
        <f aca="false">дома!A803</f>
        <v>Стойка каркаса по фронтону, односкатная кровля №25</v>
      </c>
      <c r="B377" s="2562" t="str">
        <f aca="false">дома!B803</f>
        <v>м.п.</v>
      </c>
      <c r="C377" s="2563" t="n">
        <f aca="false">дома!C803</f>
        <v>0.15</v>
      </c>
      <c r="D377" s="2563" t="n">
        <f aca="false">дома!D803</f>
        <v>0.05</v>
      </c>
      <c r="E377" s="2563" t="n">
        <f aca="false">дома!E803</f>
        <v>0</v>
      </c>
      <c r="F377" s="2563" t="n">
        <f aca="false">дома!F803</f>
        <v>0</v>
      </c>
      <c r="G377" s="2563" t="n">
        <f aca="false">E377*F377*(IF('Ввод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7" s="2563" t="n">
        <f aca="false">дома!G803*(IF('Ввод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8" customFormat="false" ht="14.5" hidden="false" customHeight="false" outlineLevel="0" collapsed="false">
      <c r="A378" s="2561" t="str">
        <f aca="false">дома!A804</f>
        <v>Стойка каркаса по фронтону, односкатная кровля №26</v>
      </c>
      <c r="B378" s="2562" t="str">
        <f aca="false">дома!B804</f>
        <v>м.п.</v>
      </c>
      <c r="C378" s="2563" t="n">
        <f aca="false">дома!C804</f>
        <v>0.15</v>
      </c>
      <c r="D378" s="2563" t="n">
        <f aca="false">дома!D804</f>
        <v>0.05</v>
      </c>
      <c r="E378" s="2563" t="n">
        <f aca="false">дома!E804</f>
        <v>0</v>
      </c>
      <c r="F378" s="2563" t="n">
        <f aca="false">дома!F804</f>
        <v>0</v>
      </c>
      <c r="G378" s="2563" t="n">
        <f aca="false">E378*F378*(IF('Ввод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8" s="2563" t="n">
        <f aca="false">дома!G804*(IF('Ввод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79" customFormat="false" ht="14.5" hidden="false" customHeight="false" outlineLevel="0" collapsed="false">
      <c r="A379" s="2561" t="str">
        <f aca="false">дома!A805</f>
        <v>Стойка каркаса по фронтону, односкатная кровля №27</v>
      </c>
      <c r="B379" s="2562" t="str">
        <f aca="false">дома!B805</f>
        <v>м.п.</v>
      </c>
      <c r="C379" s="2563" t="n">
        <f aca="false">дома!C805</f>
        <v>0.15</v>
      </c>
      <c r="D379" s="2563" t="n">
        <f aca="false">дома!D805</f>
        <v>0.05</v>
      </c>
      <c r="E379" s="2563" t="n">
        <f aca="false">дома!E805</f>
        <v>0</v>
      </c>
      <c r="F379" s="2563" t="n">
        <f aca="false">дома!F805</f>
        <v>0</v>
      </c>
      <c r="G379" s="2563" t="n">
        <f aca="false">E379*F379*(IF('Ввод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79" s="2563" t="n">
        <f aca="false">дома!G805*(IF('Ввод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0" customFormat="false" ht="14.5" hidden="false" customHeight="false" outlineLevel="0" collapsed="false">
      <c r="A380" s="2561" t="str">
        <f aca="false">дома!A806</f>
        <v>Стойка каркаса по фронтону, односкатная кровля №28</v>
      </c>
      <c r="B380" s="2562" t="str">
        <f aca="false">дома!B806</f>
        <v>м.п.</v>
      </c>
      <c r="C380" s="2563" t="n">
        <f aca="false">дома!C806</f>
        <v>0.15</v>
      </c>
      <c r="D380" s="2563" t="n">
        <f aca="false">дома!D806</f>
        <v>0.05</v>
      </c>
      <c r="E380" s="2563" t="n">
        <f aca="false">дома!E806</f>
        <v>0</v>
      </c>
      <c r="F380" s="2563" t="n">
        <f aca="false">дома!F806</f>
        <v>0</v>
      </c>
      <c r="G380" s="2563" t="n">
        <f aca="false">E380*F380*(IF('Ввод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0" s="2563" t="n">
        <f aca="false">дома!G806*(IF('Ввод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1" customFormat="false" ht="14.5" hidden="false" customHeight="false" outlineLevel="0" collapsed="false">
      <c r="A381" s="2561" t="str">
        <f aca="false">дома!A807</f>
        <v>Стойка каркаса по фронтону, односкатная кровля №29</v>
      </c>
      <c r="B381" s="2562" t="str">
        <f aca="false">дома!B807</f>
        <v>м.п.</v>
      </c>
      <c r="C381" s="2563" t="n">
        <f aca="false">дома!C807</f>
        <v>0.15</v>
      </c>
      <c r="D381" s="2563" t="n">
        <f aca="false">дома!D807</f>
        <v>0.05</v>
      </c>
      <c r="E381" s="2563" t="n">
        <f aca="false">дома!E807</f>
        <v>0</v>
      </c>
      <c r="F381" s="2563" t="n">
        <f aca="false">дома!F807</f>
        <v>0</v>
      </c>
      <c r="G381" s="2563" t="n">
        <f aca="false">E381*F381*(IF('Ввод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1" s="2563" t="n">
        <f aca="false">дома!G807*(IF('Ввод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2" customFormat="false" ht="14.5" hidden="false" customHeight="false" outlineLevel="0" collapsed="false">
      <c r="A382" s="2561" t="str">
        <f aca="false">дома!A808</f>
        <v>Стойка каркаса по фронтону, односкатная кровля №30</v>
      </c>
      <c r="B382" s="2562" t="str">
        <f aca="false">дома!B808</f>
        <v>м.п.</v>
      </c>
      <c r="C382" s="2563" t="n">
        <f aca="false">дома!C808</f>
        <v>0.15</v>
      </c>
      <c r="D382" s="2563" t="n">
        <f aca="false">дома!D808</f>
        <v>0.05</v>
      </c>
      <c r="E382" s="2563" t="n">
        <f aca="false">дома!E808</f>
        <v>0</v>
      </c>
      <c r="F382" s="2563" t="n">
        <f aca="false">дома!F808</f>
        <v>0</v>
      </c>
      <c r="G382" s="2563" t="n">
        <f aca="false">E382*F382*(IF('Ввод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2" s="2563" t="n">
        <f aca="false">дома!G808*(IF('Ввод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3" customFormat="false" ht="14.5" hidden="false" customHeight="false" outlineLevel="0" collapsed="false">
      <c r="A383" s="2561" t="str">
        <f aca="false">дома!A809</f>
        <v>Стойка каркаса по фронтону, односкатная кровля №31</v>
      </c>
      <c r="B383" s="2562" t="str">
        <f aca="false">дома!B809</f>
        <v>м.п.</v>
      </c>
      <c r="C383" s="2563" t="n">
        <f aca="false">дома!C809</f>
        <v>0.15</v>
      </c>
      <c r="D383" s="2563" t="n">
        <f aca="false">дома!D809</f>
        <v>0.05</v>
      </c>
      <c r="E383" s="2563" t="n">
        <f aca="false">дома!E809</f>
        <v>0</v>
      </c>
      <c r="F383" s="2563" t="n">
        <f aca="false">дома!F809</f>
        <v>0</v>
      </c>
      <c r="G383" s="2563" t="n">
        <f aca="false">E383*F383*(IF('Ввод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3" s="2563" t="n">
        <f aca="false">дома!G809*(IF('Ввод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4" customFormat="false" ht="14.5" hidden="false" customHeight="false" outlineLevel="0" collapsed="false">
      <c r="A384" s="2561" t="str">
        <f aca="false">дома!A810</f>
        <v>Стойка каркаса по фронтону, односкатная кровля №32</v>
      </c>
      <c r="B384" s="2562" t="str">
        <f aca="false">дома!B810</f>
        <v>м.п.</v>
      </c>
      <c r="C384" s="2563" t="n">
        <f aca="false">дома!C810</f>
        <v>0.15</v>
      </c>
      <c r="D384" s="2563" t="n">
        <f aca="false">дома!D810</f>
        <v>0.05</v>
      </c>
      <c r="E384" s="2563" t="n">
        <f aca="false">дома!E810</f>
        <v>0</v>
      </c>
      <c r="F384" s="2563" t="n">
        <f aca="false">дома!F810</f>
        <v>0</v>
      </c>
      <c r="G384" s="2563" t="n">
        <f aca="false">E384*F384*(IF('Ввод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4" s="2563" t="n">
        <f aca="false">дома!G810*(IF('Ввод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5" customFormat="false" ht="14.5" hidden="false" customHeight="false" outlineLevel="0" collapsed="false">
      <c r="A385" s="2561" t="str">
        <f aca="false">дома!A811</f>
        <v>Стойка каркаса по фронтону, односкатная кровля №33</v>
      </c>
      <c r="B385" s="2562" t="str">
        <f aca="false">дома!B811</f>
        <v>м.п.</v>
      </c>
      <c r="C385" s="2563" t="n">
        <f aca="false">дома!C811</f>
        <v>0.15</v>
      </c>
      <c r="D385" s="2563" t="n">
        <f aca="false">дома!D811</f>
        <v>0.05</v>
      </c>
      <c r="E385" s="2563" t="n">
        <f aca="false">дома!E811</f>
        <v>0</v>
      </c>
      <c r="F385" s="2563" t="n">
        <f aca="false">дома!F811</f>
        <v>0</v>
      </c>
      <c r="G385" s="2563" t="n">
        <f aca="false">E385*F385*(IF('Ввод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5" s="2563" t="n">
        <f aca="false">дома!G811*(IF('Ввод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6" customFormat="false" ht="14.5" hidden="false" customHeight="false" outlineLevel="0" collapsed="false">
      <c r="A386" s="2561" t="str">
        <f aca="false">дома!A812</f>
        <v>Стойка каркаса по фронтону, односкатная кровля №34</v>
      </c>
      <c r="B386" s="2562" t="str">
        <f aca="false">дома!B812</f>
        <v>м.п.</v>
      </c>
      <c r="C386" s="2563" t="n">
        <f aca="false">дома!C812</f>
        <v>0.15</v>
      </c>
      <c r="D386" s="2563" t="n">
        <f aca="false">дома!D812</f>
        <v>0.05</v>
      </c>
      <c r="E386" s="2563" t="n">
        <f aca="false">дома!E812</f>
        <v>0</v>
      </c>
      <c r="F386" s="2563" t="n">
        <f aca="false">дома!F812</f>
        <v>0</v>
      </c>
      <c r="G386" s="2563" t="n">
        <f aca="false">E386*F386*(IF('Ввод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6" s="2563" t="n">
        <f aca="false">дома!G812*(IF('Ввод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7" customFormat="false" ht="14.5" hidden="false" customHeight="false" outlineLevel="0" collapsed="false">
      <c r="A387" s="2561" t="str">
        <f aca="false">дома!A813</f>
        <v>Стойка каркаса по фронтону, односкатная кровля №35</v>
      </c>
      <c r="B387" s="2562" t="str">
        <f aca="false">дома!B813</f>
        <v>м.п.</v>
      </c>
      <c r="C387" s="2563" t="n">
        <f aca="false">дома!C813</f>
        <v>0.15</v>
      </c>
      <c r="D387" s="2563" t="n">
        <f aca="false">дома!D813</f>
        <v>0.05</v>
      </c>
      <c r="E387" s="2563" t="n">
        <f aca="false">дома!E813</f>
        <v>0</v>
      </c>
      <c r="F387" s="2563" t="n">
        <f aca="false">дома!F813</f>
        <v>0</v>
      </c>
      <c r="G387" s="2563" t="n">
        <f aca="false">E387*F387*(IF('Ввод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7" s="2563" t="n">
        <f aca="false">дома!G813*(IF('Ввод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8" customFormat="false" ht="14.5" hidden="false" customHeight="false" outlineLevel="0" collapsed="false">
      <c r="A388" s="2561" t="str">
        <f aca="false">дома!A814</f>
        <v>Стойка каркаса по фронтону, односкатная кровля №36</v>
      </c>
      <c r="B388" s="2562" t="str">
        <f aca="false">дома!B814</f>
        <v>м.п.</v>
      </c>
      <c r="C388" s="2563" t="n">
        <f aca="false">дома!C814</f>
        <v>0.15</v>
      </c>
      <c r="D388" s="2563" t="n">
        <f aca="false">дома!D814</f>
        <v>0.05</v>
      </c>
      <c r="E388" s="2563" t="n">
        <f aca="false">дома!E814</f>
        <v>0</v>
      </c>
      <c r="F388" s="2563" t="n">
        <f aca="false">дома!F814</f>
        <v>0</v>
      </c>
      <c r="G388" s="2563" t="n">
        <f aca="false">E388*F388*(IF('Ввод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8" s="2563" t="n">
        <f aca="false">дома!G814*(IF('Ввод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89" customFormat="false" ht="14.5" hidden="false" customHeight="false" outlineLevel="0" collapsed="false">
      <c r="A389" s="2561" t="str">
        <f aca="false">дома!A815</f>
        <v>Стойка каркаса по фронтону, односкатная кровля №37</v>
      </c>
      <c r="B389" s="2562" t="str">
        <f aca="false">дома!B815</f>
        <v>м.п.</v>
      </c>
      <c r="C389" s="2563" t="n">
        <f aca="false">дома!C815</f>
        <v>0.15</v>
      </c>
      <c r="D389" s="2563" t="n">
        <f aca="false">дома!D815</f>
        <v>0.05</v>
      </c>
      <c r="E389" s="2563" t="n">
        <f aca="false">дома!E815</f>
        <v>0</v>
      </c>
      <c r="F389" s="2563" t="n">
        <f aca="false">дома!F815</f>
        <v>0</v>
      </c>
      <c r="G389" s="2563" t="n">
        <f aca="false">E389*F389*(IF('Ввод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89" s="2563" t="n">
        <f aca="false">дома!G815*(IF('Ввод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0" customFormat="false" ht="14.5" hidden="false" customHeight="false" outlineLevel="0" collapsed="false">
      <c r="A390" s="2561" t="str">
        <f aca="false">дома!A816</f>
        <v>Стойка каркаса по фронтону, односкатная кровля №38</v>
      </c>
      <c r="B390" s="2562" t="str">
        <f aca="false">дома!B816</f>
        <v>м.п.</v>
      </c>
      <c r="C390" s="2563" t="n">
        <f aca="false">дома!C816</f>
        <v>0.15</v>
      </c>
      <c r="D390" s="2563" t="n">
        <f aca="false">дома!D816</f>
        <v>0.05</v>
      </c>
      <c r="E390" s="2563" t="n">
        <f aca="false">дома!E816</f>
        <v>0</v>
      </c>
      <c r="F390" s="2563" t="n">
        <f aca="false">дома!F816</f>
        <v>0</v>
      </c>
      <c r="G390" s="2563" t="n">
        <f aca="false">E390*F390*(IF('Ввод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0" s="2563" t="n">
        <f aca="false">дома!G816*(IF('Ввод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1" customFormat="false" ht="14.5" hidden="false" customHeight="false" outlineLevel="0" collapsed="false">
      <c r="A391" s="2561" t="str">
        <f aca="false">дома!A817</f>
        <v>Стойка каркаса по фронтону, односкатная кровля №39</v>
      </c>
      <c r="B391" s="2562" t="str">
        <f aca="false">дома!B817</f>
        <v>м.п.</v>
      </c>
      <c r="C391" s="2563" t="n">
        <f aca="false">дома!C817</f>
        <v>0.15</v>
      </c>
      <c r="D391" s="2563" t="n">
        <f aca="false">дома!D817</f>
        <v>0.05</v>
      </c>
      <c r="E391" s="2563" t="n">
        <f aca="false">дома!E817</f>
        <v>0</v>
      </c>
      <c r="F391" s="2563" t="n">
        <f aca="false">дома!F817</f>
        <v>0</v>
      </c>
      <c r="G391" s="2563" t="n">
        <f aca="false">E391*F391*(IF('Ввод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1" s="2563" t="n">
        <f aca="false">дома!G817*(IF('Ввод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2" customFormat="false" ht="14.5" hidden="false" customHeight="false" outlineLevel="0" collapsed="false">
      <c r="A392" s="2561" t="str">
        <f aca="false">дома!A818</f>
        <v>Стойка каркаса по фронтону, односкатная кровля №40</v>
      </c>
      <c r="B392" s="2562" t="str">
        <f aca="false">дома!B818</f>
        <v>м.п.</v>
      </c>
      <c r="C392" s="2563" t="n">
        <f aca="false">дома!C818</f>
        <v>0.15</v>
      </c>
      <c r="D392" s="2563" t="n">
        <f aca="false">дома!D818</f>
        <v>0.05</v>
      </c>
      <c r="E392" s="2563" t="n">
        <f aca="false">дома!E818</f>
        <v>0</v>
      </c>
      <c r="F392" s="2563" t="n">
        <f aca="false">дома!F818</f>
        <v>0</v>
      </c>
      <c r="G392" s="2563" t="n">
        <f aca="false">E392*F392*(IF('Ввод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2" s="2563" t="n">
        <f aca="false">дома!G818*(IF('Ввод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3" customFormat="false" ht="14.5" hidden="false" customHeight="false" outlineLevel="0" collapsed="false">
      <c r="A393" s="2561" t="str">
        <f aca="false">дома!A819</f>
        <v>Стойка каркаса по фронтону, односкатная кровля №41</v>
      </c>
      <c r="B393" s="2562" t="str">
        <f aca="false">дома!B819</f>
        <v>м.п.</v>
      </c>
      <c r="C393" s="2563" t="n">
        <f aca="false">дома!C819</f>
        <v>0.15</v>
      </c>
      <c r="D393" s="2563" t="n">
        <f aca="false">дома!D819</f>
        <v>0.05</v>
      </c>
      <c r="E393" s="2563" t="n">
        <f aca="false">дома!E819</f>
        <v>0</v>
      </c>
      <c r="F393" s="2563" t="n">
        <f aca="false">дома!F819</f>
        <v>0</v>
      </c>
      <c r="G393" s="2563" t="n">
        <f aca="false">E393*F393*(IF('Ввод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3" s="2563" t="n">
        <f aca="false">дома!G819*(IF('Ввод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4" customFormat="false" ht="14.5" hidden="false" customHeight="false" outlineLevel="0" collapsed="false">
      <c r="A394" s="2561" t="str">
        <f aca="false">дома!A820</f>
        <v>Стойки для окон вертикальные</v>
      </c>
      <c r="B394" s="2562" t="str">
        <f aca="false">дома!B820</f>
        <v>м.п.</v>
      </c>
      <c r="C394" s="2563" t="n">
        <f aca="false">дома!C820</f>
        <v>0.15</v>
      </c>
      <c r="D394" s="2563" t="n">
        <f aca="false">дома!D820</f>
        <v>0.05</v>
      </c>
      <c r="E394" s="2563" t="n">
        <f aca="false">дома!E820</f>
        <v>0</v>
      </c>
      <c r="F394" s="2563" t="n">
        <f aca="false">дома!F820</f>
        <v>2</v>
      </c>
      <c r="G394" s="2563" t="n">
        <f aca="false">E394*F394*(IF('Ввод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4" s="2563" t="n">
        <f aca="false">дома!G820*(IF('Ввод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5" customFormat="false" ht="14.5" hidden="false" customHeight="false" outlineLevel="0" collapsed="false">
      <c r="A395" s="2561" t="str">
        <f aca="false">дома!A821</f>
        <v>Перекладины для окон горизонтальные, 1</v>
      </c>
      <c r="B395" s="2562" t="str">
        <f aca="false">дома!B821</f>
        <v>м.п.</v>
      </c>
      <c r="C395" s="2563" t="n">
        <f aca="false">дома!C821</f>
        <v>0.15</v>
      </c>
      <c r="D395" s="2563" t="n">
        <f aca="false">дома!D821</f>
        <v>0.05</v>
      </c>
      <c r="E395" s="2563" t="n">
        <f aca="false">дома!E821</f>
        <v>0.6</v>
      </c>
      <c r="F395" s="2563" t="n">
        <f aca="false">дома!F821</f>
        <v>1</v>
      </c>
      <c r="G395" s="2563" t="n">
        <f aca="false">E395*F395*(IF('Ввод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5" s="2563" t="n">
        <f aca="false">дома!G821*(IF('Ввод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6" customFormat="false" ht="14.5" hidden="false" customHeight="false" outlineLevel="0" collapsed="false">
      <c r="A396" s="2561" t="str">
        <f aca="false">дома!A822</f>
        <v>Перекладины для окон горизонтальные, 2</v>
      </c>
      <c r="B396" s="2562" t="str">
        <f aca="false">дома!B822</f>
        <v>м.п.</v>
      </c>
      <c r="C396" s="2563" t="n">
        <f aca="false">дома!C822</f>
        <v>0.15</v>
      </c>
      <c r="D396" s="2563" t="n">
        <f aca="false">дома!D822</f>
        <v>0.05</v>
      </c>
      <c r="E396" s="2563" t="n">
        <f aca="false">дома!E822</f>
        <v>0.8</v>
      </c>
      <c r="F396" s="2563" t="n">
        <f aca="false">дома!F822</f>
        <v>1</v>
      </c>
      <c r="G396" s="2563" t="n">
        <f aca="false">E396*F396*(IF('Ввод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6" s="2563" t="n">
        <f aca="false">дома!G822*(IF('Ввод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7" customFormat="false" ht="14.5" hidden="false" customHeight="false" outlineLevel="0" collapsed="false">
      <c r="A397" s="2561" t="str">
        <f aca="false">дома!A823</f>
        <v>Перекладины для окон горизонтальные, 3</v>
      </c>
      <c r="B397" s="2562" t="str">
        <f aca="false">дома!B823</f>
        <v>м.п.</v>
      </c>
      <c r="C397" s="2563" t="n">
        <f aca="false">дома!C823</f>
        <v>0.15</v>
      </c>
      <c r="D397" s="2563" t="n">
        <f aca="false">дома!D823</f>
        <v>0.05</v>
      </c>
      <c r="E397" s="2563" t="n">
        <f aca="false">дома!E823</f>
        <v>1</v>
      </c>
      <c r="F397" s="2563" t="n">
        <f aca="false">дома!F823</f>
        <v>1</v>
      </c>
      <c r="G397" s="2563" t="n">
        <f aca="false">E397*F397*(IF('Ввод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7" s="2563" t="n">
        <f aca="false">дома!G823*(IF('Ввод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8" customFormat="false" ht="14.5" hidden="false" customHeight="false" outlineLevel="0" collapsed="false">
      <c r="A398" s="2561" t="str">
        <f aca="false">дома!A824</f>
        <v>Перекладины для окон горизонтальные, 4</v>
      </c>
      <c r="B398" s="2562" t="str">
        <f aca="false">дома!B824</f>
        <v>м.п.</v>
      </c>
      <c r="C398" s="2563" t="n">
        <f aca="false">дома!C824</f>
        <v>0.15</v>
      </c>
      <c r="D398" s="2563" t="n">
        <f aca="false">дома!D824</f>
        <v>0.05</v>
      </c>
      <c r="E398" s="2563" t="n">
        <f aca="false">дома!E824</f>
        <v>5</v>
      </c>
      <c r="F398" s="2563" t="n">
        <f aca="false">дома!F824</f>
        <v>1</v>
      </c>
      <c r="G398" s="2563" t="n">
        <f aca="false">E398*F398*(IF('Ввод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8" s="2563" t="n">
        <f aca="false">дома!G824*(IF('Ввод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399" customFormat="false" ht="14.5" hidden="false" customHeight="false" outlineLevel="0" collapsed="false">
      <c r="A399" s="2561" t="str">
        <f aca="false">дома!A825</f>
        <v>Перекладины для окон горизонтальные, 5</v>
      </c>
      <c r="B399" s="2562" t="str">
        <f aca="false">дома!B825</f>
        <v>м.п.</v>
      </c>
      <c r="C399" s="2563" t="n">
        <f aca="false">дома!C825</f>
        <v>0.15</v>
      </c>
      <c r="D399" s="2563" t="n">
        <f aca="false">дома!D825</f>
        <v>0.05</v>
      </c>
      <c r="E399" s="2563" t="n">
        <f aca="false">дома!E825</f>
        <v>6</v>
      </c>
      <c r="F399" s="2563" t="n">
        <f aca="false">дома!F825</f>
        <v>1</v>
      </c>
      <c r="G399" s="2563" t="n">
        <f aca="false">E399*F399*(IF('Ввод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399" s="2563" t="n">
        <f aca="false">дома!G825*(IF('Ввод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0" customFormat="false" ht="14.5" hidden="false" customHeight="false" outlineLevel="0" collapsed="false">
      <c r="A400" s="2561" t="str">
        <f aca="false">дома!A826</f>
        <v>Стойки для межкомнатных дверей вертикальные</v>
      </c>
      <c r="B400" s="2562" t="str">
        <f aca="false">дома!B826</f>
        <v>м.п.</v>
      </c>
      <c r="C400" s="2563" t="n">
        <f aca="false">дома!C826</f>
        <v>0.12</v>
      </c>
      <c r="D400" s="2563" t="n">
        <f aca="false">дома!D826</f>
        <v>0.05</v>
      </c>
      <c r="E400" s="2563" t="n">
        <f aca="false">дома!E826</f>
        <v>3</v>
      </c>
      <c r="F400" s="2563" t="n">
        <f aca="false">дома!F826</f>
        <v>0</v>
      </c>
      <c r="G400" s="2563" t="n">
        <f aca="false">E400*F400*(IF('Ввод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0" s="2563" t="n">
        <f aca="false">дома!G826*(IF('Ввод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1" customFormat="false" ht="14.5" hidden="false" customHeight="false" outlineLevel="0" collapsed="false">
      <c r="A401" s="2561" t="str">
        <f aca="false">дома!A827</f>
        <v>Перекладины для межкомнатных дверей горизонтальные,1</v>
      </c>
      <c r="B401" s="2562" t="str">
        <f aca="false">дома!B827</f>
        <v>м.п.</v>
      </c>
      <c r="C401" s="2563" t="n">
        <f aca="false">дома!C827</f>
        <v>0.12</v>
      </c>
      <c r="D401" s="2563" t="n">
        <f aca="false">дома!D827</f>
        <v>0.05</v>
      </c>
      <c r="E401" s="2563" t="n">
        <f aca="false">дома!E827</f>
        <v>0.8</v>
      </c>
      <c r="F401" s="2563" t="n">
        <f aca="false">дома!F827</f>
        <v>1</v>
      </c>
      <c r="G401" s="2563" t="n">
        <f aca="false">E401*F401*(IF('Ввод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1" s="2563" t="n">
        <f aca="false">дома!G827*(IF('Ввод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2" customFormat="false" ht="14.5" hidden="false" customHeight="false" outlineLevel="0" collapsed="false">
      <c r="A402" s="2561" t="str">
        <f aca="false">дома!A828</f>
        <v>Перекладины для межкомнатных дверей горизонтальные,2</v>
      </c>
      <c r="B402" s="2562" t="str">
        <f aca="false">дома!B828</f>
        <v>м.п.</v>
      </c>
      <c r="C402" s="2563" t="n">
        <f aca="false">дома!C828</f>
        <v>0.12</v>
      </c>
      <c r="D402" s="2563" t="n">
        <f aca="false">дома!D828</f>
        <v>0.05</v>
      </c>
      <c r="E402" s="2563" t="n">
        <f aca="false">дома!E828</f>
        <v>1</v>
      </c>
      <c r="F402" s="2563" t="n">
        <f aca="false">дома!F828</f>
        <v>1</v>
      </c>
      <c r="G402" s="2563" t="n">
        <f aca="false">E402*F402*(IF('Ввод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2" s="2563" t="n">
        <f aca="false">дома!G828*(IF('Ввод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3" customFormat="false" ht="14.5" hidden="false" customHeight="false" outlineLevel="0" collapsed="false">
      <c r="A403" s="2561" t="str">
        <f aca="false">дома!A829</f>
        <v>Перекладины для межкомнатных дверей горизонтальные,3</v>
      </c>
      <c r="B403" s="2562" t="str">
        <f aca="false">дома!B829</f>
        <v>м.п.</v>
      </c>
      <c r="C403" s="2563" t="n">
        <f aca="false">дома!C829</f>
        <v>0.12</v>
      </c>
      <c r="D403" s="2563" t="n">
        <f aca="false">дома!D829</f>
        <v>0.05</v>
      </c>
      <c r="E403" s="2563" t="n">
        <f aca="false">дома!E829</f>
        <v>1</v>
      </c>
      <c r="F403" s="2563" t="n">
        <f aca="false">дома!F829</f>
        <v>1</v>
      </c>
      <c r="G403" s="2563" t="n">
        <f aca="false">E403*F403*(IF('Ввод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3" s="2563" t="n">
        <f aca="false">дома!G829*(IF('Ввод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4" customFormat="false" ht="14.5" hidden="false" customHeight="false" outlineLevel="0" collapsed="false">
      <c r="A404" s="2561" t="str">
        <f aca="false">дома!A830</f>
        <v>Перекладины для межкомнатных дверей горизонтальные,4</v>
      </c>
      <c r="B404" s="2562" t="str">
        <f aca="false">дома!B830</f>
        <v>м.п.</v>
      </c>
      <c r="C404" s="2563" t="n">
        <f aca="false">дома!C830</f>
        <v>0.12</v>
      </c>
      <c r="D404" s="2563" t="n">
        <f aca="false">дома!D830</f>
        <v>0.05</v>
      </c>
      <c r="E404" s="2563" t="n">
        <f aca="false">дома!E830</f>
        <v>0</v>
      </c>
      <c r="F404" s="2563" t="n">
        <f aca="false">дома!F830</f>
        <v>1</v>
      </c>
      <c r="G404" s="2563" t="n">
        <f aca="false">E404*F404*(IF('Ввод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4" s="2563" t="n">
        <f aca="false">дома!G830*(IF('Ввод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5" customFormat="false" ht="14.5" hidden="false" customHeight="false" outlineLevel="0" collapsed="false">
      <c r="A405" s="2561" t="str">
        <f aca="false">дома!A831</f>
        <v>Стойки для проемов вертикальные</v>
      </c>
      <c r="B405" s="2562" t="str">
        <f aca="false">дома!B831</f>
        <v>м.п.</v>
      </c>
      <c r="C405" s="2563" t="n">
        <f aca="false">дома!C831</f>
        <v>0.12</v>
      </c>
      <c r="D405" s="2563" t="n">
        <f aca="false">дома!D831</f>
        <v>0.05</v>
      </c>
      <c r="E405" s="2563" t="n">
        <f aca="false">дома!E831</f>
        <v>0</v>
      </c>
      <c r="F405" s="2563" t="n">
        <f aca="false">дома!F831</f>
        <v>2</v>
      </c>
      <c r="G405" s="2563" t="n">
        <f aca="false">E405*F405*(IF('Ввод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5" s="2563" t="n">
        <f aca="false">дома!G831*(IF('Ввод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6" customFormat="false" ht="14.5" hidden="false" customHeight="false" outlineLevel="0" collapsed="false">
      <c r="A406" s="2561" t="str">
        <f aca="false">дома!A832</f>
        <v>Перекладины для проемов горизонтальные,1</v>
      </c>
      <c r="B406" s="2562" t="str">
        <f aca="false">дома!B832</f>
        <v>м.п.</v>
      </c>
      <c r="C406" s="2563" t="n">
        <f aca="false">дома!C832</f>
        <v>0.12</v>
      </c>
      <c r="D406" s="2563" t="n">
        <f aca="false">дома!D832</f>
        <v>0.05</v>
      </c>
      <c r="E406" s="2563" t="n">
        <f aca="false">дома!E832</f>
        <v>2</v>
      </c>
      <c r="F406" s="2563" t="n">
        <f aca="false">дома!F832</f>
        <v>1</v>
      </c>
      <c r="G406" s="2563" t="n">
        <f aca="false">E406*F406*(IF('Ввод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6" s="2563" t="n">
        <f aca="false">дома!G832*(IF('Ввод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7" customFormat="false" ht="14.5" hidden="false" customHeight="false" outlineLevel="0" collapsed="false">
      <c r="A407" s="2561" t="str">
        <f aca="false">дома!A833</f>
        <v>Перекладины для проемов горизонтальные,2</v>
      </c>
      <c r="B407" s="2562" t="str">
        <f aca="false">дома!B833</f>
        <v>м.п.</v>
      </c>
      <c r="C407" s="2563" t="n">
        <f aca="false">дома!C833</f>
        <v>0.12</v>
      </c>
      <c r="D407" s="2563" t="n">
        <f aca="false">дома!D833</f>
        <v>0.05</v>
      </c>
      <c r="E407" s="2563" t="n">
        <f aca="false">дома!E833</f>
        <v>2</v>
      </c>
      <c r="F407" s="2563" t="n">
        <f aca="false">дома!F833</f>
        <v>1</v>
      </c>
      <c r="G407" s="2563" t="n">
        <f aca="false">E407*F407*(IF('Ввод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07" s="2563" t="n">
        <f aca="false">дома!G833*(IF('Ввод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08" customFormat="false" ht="21" hidden="false" customHeight="false" outlineLevel="0" collapsed="false">
      <c r="A408" s="2558" t="s">
        <v>4169</v>
      </c>
      <c r="B408" s="2558"/>
      <c r="C408" s="2558"/>
      <c r="D408" s="2558"/>
      <c r="E408" s="2558"/>
      <c r="F408" s="2558"/>
      <c r="G408" s="2564" t="n">
        <f aca="false">E408*F408</f>
        <v>0</v>
      </c>
      <c r="H408" s="2565" t="n">
        <f aca="false">SUM(H409:H448)</f>
        <v>0</v>
      </c>
    </row>
    <row r="409" customFormat="false" ht="14.5" hidden="false" customHeight="false" outlineLevel="0" collapsed="false">
      <c r="A409" s="2561" t="str">
        <f aca="false">дома!A424</f>
        <v>Стойки каркаса передней стены 1 эт</v>
      </c>
      <c r="B409" s="2562" t="str">
        <f aca="false">дома!B424</f>
        <v>м.п.</v>
      </c>
      <c r="C409" s="2563" t="n">
        <f aca="false">дома!C424</f>
        <v>0.4</v>
      </c>
      <c r="D409" s="2563" t="n">
        <f aca="false">дома!D424</f>
        <v>0.05</v>
      </c>
      <c r="E409" s="2563" t="n">
        <f aca="false">дома!E424</f>
        <v>2.9</v>
      </c>
      <c r="F409" s="2563" t="n">
        <f aca="false">дома!F424</f>
        <v>0</v>
      </c>
      <c r="G409" s="2563" t="n">
        <f aca="false">E409*F409*(IF('Ввод данных'!$A$8=связи1!$A$150,1,0))</f>
        <v>0</v>
      </c>
      <c r="H409" s="2563" t="n">
        <f aca="false">дома!G424*(IF('Ввод данных'!$A$8=связи1!$A$150,1,0))</f>
        <v>0</v>
      </c>
    </row>
    <row r="410" customFormat="false" ht="14.5" hidden="false" customHeight="false" outlineLevel="0" collapsed="false">
      <c r="A410" s="2561" t="str">
        <f aca="false">дома!A425</f>
        <v>Стойки каркаса, левая сторона 1 эт</v>
      </c>
      <c r="B410" s="2562" t="str">
        <f aca="false">дома!B425</f>
        <v>м.п.</v>
      </c>
      <c r="C410" s="2563" t="n">
        <f aca="false">дома!C425</f>
        <v>0.4</v>
      </c>
      <c r="D410" s="2563" t="n">
        <f aca="false">дома!D425</f>
        <v>0.05</v>
      </c>
      <c r="E410" s="2563" t="n">
        <f aca="false">дома!E425</f>
        <v>1.2</v>
      </c>
      <c r="F410" s="2563" t="n">
        <f aca="false">дома!F425</f>
        <v>0</v>
      </c>
      <c r="G410" s="2563" t="n">
        <f aca="false">E410*F410*(IF('Ввод данных'!$A$8=связи1!$A$150,1,0))</f>
        <v>0</v>
      </c>
      <c r="H410" s="2563" t="n">
        <f aca="false">дома!G425*(IF('Ввод данных'!$A$8=связи1!$A$150,1,0))</f>
        <v>0</v>
      </c>
    </row>
    <row r="411" customFormat="false" ht="14.5" hidden="false" customHeight="false" outlineLevel="0" collapsed="false">
      <c r="A411" s="2561" t="str">
        <f aca="false">дома!A426</f>
        <v>Стойки каркаса, правая сторона, 1 эт</v>
      </c>
      <c r="B411" s="2562" t="str">
        <f aca="false">дома!B426</f>
        <v>м.п.</v>
      </c>
      <c r="C411" s="2563" t="n">
        <f aca="false">дома!C426</f>
        <v>0.4</v>
      </c>
      <c r="D411" s="2563" t="n">
        <f aca="false">дома!D426</f>
        <v>0.05</v>
      </c>
      <c r="E411" s="2563" t="n">
        <f aca="false">дома!E426</f>
        <v>1.2</v>
      </c>
      <c r="F411" s="2563" t="n">
        <f aca="false">дома!F426</f>
        <v>0</v>
      </c>
      <c r="G411" s="2563" t="n">
        <f aca="false">E411*F411*(IF('Ввод данных'!$A$8=связи1!$A$150,1,0))</f>
        <v>0</v>
      </c>
      <c r="H411" s="2563" t="n">
        <f aca="false">дома!G426*(IF('Ввод данных'!$A$8=связи1!$A$150,1,0))</f>
        <v>0</v>
      </c>
    </row>
    <row r="412" customFormat="false" ht="14.5" hidden="false" customHeight="false" outlineLevel="0" collapsed="false">
      <c r="A412" s="2561" t="str">
        <f aca="false">дома!A427</f>
        <v>Обвязка каркаса верхняя/нижняя наружние стены 1 эт</v>
      </c>
      <c r="B412" s="2562" t="str">
        <f aca="false">дома!B427</f>
        <v>м.п.</v>
      </c>
      <c r="C412" s="2563" t="n">
        <f aca="false">дома!C427</f>
        <v>0.4</v>
      </c>
      <c r="D412" s="2563" t="n">
        <f aca="false">дома!D427</f>
        <v>0.05</v>
      </c>
      <c r="E412" s="2563" t="n">
        <f aca="false">дома!E427</f>
        <v>0</v>
      </c>
      <c r="F412" s="2563" t="n">
        <f aca="false">дома!F427</f>
        <v>0</v>
      </c>
      <c r="G412" s="2563" t="n">
        <f aca="false">E412*F412*(IF('Ввод данных'!$A$8=связи1!$A$150,1,0))</f>
        <v>0</v>
      </c>
      <c r="H412" s="2563" t="n">
        <f aca="false">дома!G427*(IF('Ввод данных'!$A$8=связи1!$A$150,1,0))</f>
        <v>0</v>
      </c>
    </row>
    <row r="413" customFormat="false" ht="14.5" hidden="false" customHeight="false" outlineLevel="0" collapsed="false">
      <c r="A413" s="2561" t="str">
        <f aca="false">дома!A428</f>
        <v>Ригель каркаса наружние стены 1 эт</v>
      </c>
      <c r="B413" s="2562" t="str">
        <f aca="false">дома!B428</f>
        <v>м.п.</v>
      </c>
      <c r="C413" s="2563" t="n">
        <f aca="false">дома!C428</f>
        <v>0.4</v>
      </c>
      <c r="D413" s="2563" t="n">
        <f aca="false">дома!D428</f>
        <v>0.05</v>
      </c>
      <c r="E413" s="2563" t="n">
        <f aca="false">дома!E428</f>
        <v>0</v>
      </c>
      <c r="F413" s="2563" t="n">
        <f aca="false">дома!F428</f>
        <v>0</v>
      </c>
      <c r="G413" s="2563" t="n">
        <f aca="false">E413*F413*(IF('Ввод данных'!$A$8=связи1!$A$150,1,0))</f>
        <v>0</v>
      </c>
      <c r="H413" s="2563" t="n">
        <f aca="false">дома!G428*(IF('Ввод данных'!$A$8=связи1!$A$150,1,0))</f>
        <v>0</v>
      </c>
    </row>
    <row r="414" customFormat="false" ht="14.5" hidden="false" customHeight="false" outlineLevel="0" collapsed="false">
      <c r="A414" s="2561" t="str">
        <f aca="false">дома!A429</f>
        <v>Укосина наружних стен, усиление 1 этаж</v>
      </c>
      <c r="B414" s="2562" t="str">
        <f aca="false">дома!B429</f>
        <v>м.п.</v>
      </c>
      <c r="C414" s="2563" t="n">
        <f aca="false">дома!C429</f>
        <v>0.4</v>
      </c>
      <c r="D414" s="2563" t="n">
        <f aca="false">дома!D429</f>
        <v>0.05</v>
      </c>
      <c r="E414" s="2563" t="n">
        <f aca="false">дома!E429</f>
        <v>0</v>
      </c>
      <c r="F414" s="2563" t="n">
        <f aca="false">дома!F429</f>
        <v>8</v>
      </c>
      <c r="G414" s="2563" t="n">
        <f aca="false">E414*F414*(IF('Ввод данных'!$A$8=связи1!$A$150,1,0))</f>
        <v>0</v>
      </c>
      <c r="H414" s="2563" t="n">
        <f aca="false">дома!G429*(IF('Ввод данных'!$A$8=связи1!$A$150,1,0))</f>
        <v>0</v>
      </c>
    </row>
    <row r="415" customFormat="false" ht="14.5" hidden="false" customHeight="false" outlineLevel="0" collapsed="false">
      <c r="A415" s="2561" t="str">
        <f aca="false">дома!A430</f>
        <v>Стойка каркаса по фронтону, 1 этаж, односкатная кровля, №1</v>
      </c>
      <c r="B415" s="2562" t="str">
        <f aca="false">дома!B430</f>
        <v>м.п.</v>
      </c>
      <c r="C415" s="2563" t="n">
        <f aca="false">дома!C430</f>
        <v>0.4</v>
      </c>
      <c r="D415" s="2563" t="n">
        <f aca="false">дома!D430</f>
        <v>0.05</v>
      </c>
      <c r="E415" s="2563" t="n">
        <f aca="false">дома!E430</f>
        <v>0</v>
      </c>
      <c r="F415" s="2563" t="n">
        <f aca="false">дома!F430</f>
        <v>2</v>
      </c>
      <c r="G415" s="2563" t="n">
        <f aca="false">E415*F415*(IF('Ввод данных'!$A$8=связи1!$A$150,1,0))</f>
        <v>0</v>
      </c>
      <c r="H415" s="2563" t="n">
        <f aca="false">дома!G430*(IF('Ввод данных'!$A$8=связи1!$A$150,1,0))</f>
        <v>0</v>
      </c>
    </row>
    <row r="416" customFormat="false" ht="14.5" hidden="false" customHeight="false" outlineLevel="0" collapsed="false">
      <c r="A416" s="2561" t="str">
        <f aca="false">дома!A431</f>
        <v>Стойка каркаса по фронтону, 1 этаж, односкатная кровля, №2</v>
      </c>
      <c r="B416" s="2562" t="str">
        <f aca="false">дома!B431</f>
        <v>м.п.</v>
      </c>
      <c r="C416" s="2563" t="n">
        <f aca="false">дома!C431</f>
        <v>0.4</v>
      </c>
      <c r="D416" s="2563" t="n">
        <f aca="false">дома!D431</f>
        <v>0.05</v>
      </c>
      <c r="E416" s="2563" t="n">
        <f aca="false">дома!E431</f>
        <v>0</v>
      </c>
      <c r="F416" s="2563" t="n">
        <f aca="false">дома!F431</f>
        <v>2</v>
      </c>
      <c r="G416" s="2563" t="n">
        <f aca="false">E416*F416*(IF('Ввод данных'!$A$8=связи1!$A$150,1,0))</f>
        <v>0</v>
      </c>
      <c r="H416" s="2563" t="n">
        <f aca="false">дома!G431*(IF('Ввод данных'!$A$8=связи1!$A$150,1,0))</f>
        <v>0</v>
      </c>
    </row>
    <row r="417" customFormat="false" ht="14.5" hidden="false" customHeight="false" outlineLevel="0" collapsed="false">
      <c r="A417" s="2561" t="str">
        <f aca="false">дома!A432</f>
        <v>Стойка каркаса по фронтону, 1 этаж, односкатная кровля, №3</v>
      </c>
      <c r="B417" s="2562" t="str">
        <f aca="false">дома!B432</f>
        <v>м.п.</v>
      </c>
      <c r="C417" s="2563" t="n">
        <f aca="false">дома!C432</f>
        <v>0.4</v>
      </c>
      <c r="D417" s="2563" t="n">
        <f aca="false">дома!D432</f>
        <v>0.05</v>
      </c>
      <c r="E417" s="2563" t="n">
        <f aca="false">дома!E432</f>
        <v>0</v>
      </c>
      <c r="F417" s="2563" t="n">
        <f aca="false">дома!F432</f>
        <v>2</v>
      </c>
      <c r="G417" s="2563" t="n">
        <f aca="false">E417*F417*(IF('Ввод данных'!$A$8=связи1!$A$150,1,0))</f>
        <v>0</v>
      </c>
      <c r="H417" s="2563" t="n">
        <f aca="false">дома!G432*(IF('Ввод данных'!$A$8=связи1!$A$150,1,0))</f>
        <v>0</v>
      </c>
    </row>
    <row r="418" customFormat="false" ht="14.5" hidden="false" customHeight="false" outlineLevel="0" collapsed="false">
      <c r="A418" s="2561" t="str">
        <f aca="false">дома!A433</f>
        <v>Стойка каркаса по фронтону, 1 этаж, односкатная кровля, №4</v>
      </c>
      <c r="B418" s="2562" t="str">
        <f aca="false">дома!B433</f>
        <v>м.п.</v>
      </c>
      <c r="C418" s="2563" t="n">
        <f aca="false">дома!C433</f>
        <v>0.4</v>
      </c>
      <c r="D418" s="2563" t="n">
        <f aca="false">дома!D433</f>
        <v>0.05</v>
      </c>
      <c r="E418" s="2563" t="n">
        <f aca="false">дома!E433</f>
        <v>0</v>
      </c>
      <c r="F418" s="2563" t="n">
        <f aca="false">дома!F433</f>
        <v>2</v>
      </c>
      <c r="G418" s="2563" t="n">
        <f aca="false">E418*F418*(IF('Ввод данных'!$A$8=связи1!$A$150,1,0))</f>
        <v>0</v>
      </c>
      <c r="H418" s="2563" t="n">
        <f aca="false">дома!G433*(IF('Ввод данных'!$A$8=связи1!$A$150,1,0))</f>
        <v>0</v>
      </c>
    </row>
    <row r="419" customFormat="false" ht="14.5" hidden="false" customHeight="false" outlineLevel="0" collapsed="false">
      <c r="A419" s="2561" t="str">
        <f aca="false">дома!A434</f>
        <v>Стойка каркаса по фронтону, 1 этаж, односкатная кровля, №5</v>
      </c>
      <c r="B419" s="2562" t="str">
        <f aca="false">дома!B434</f>
        <v>м.п.</v>
      </c>
      <c r="C419" s="2563" t="n">
        <f aca="false">дома!C434</f>
        <v>0.4</v>
      </c>
      <c r="D419" s="2563" t="n">
        <f aca="false">дома!D434</f>
        <v>0.05</v>
      </c>
      <c r="E419" s="2563" t="n">
        <f aca="false">дома!E434</f>
        <v>0</v>
      </c>
      <c r="F419" s="2563" t="n">
        <f aca="false">дома!F434</f>
        <v>2</v>
      </c>
      <c r="G419" s="2563" t="n">
        <f aca="false">E419*F419*(IF('Ввод данных'!$A$8=связи1!$A$150,1,0))</f>
        <v>0</v>
      </c>
      <c r="H419" s="2563" t="n">
        <f aca="false">дома!G434*(IF('Ввод данных'!$A$8=связи1!$A$150,1,0))</f>
        <v>0</v>
      </c>
    </row>
    <row r="420" customFormat="false" ht="14.5" hidden="false" customHeight="false" outlineLevel="0" collapsed="false">
      <c r="A420" s="2561" t="str">
        <f aca="false">дома!A435</f>
        <v>Стойка каркаса по фронтону, 1 этаж, односкатная кровля, №6</v>
      </c>
      <c r="B420" s="2562" t="str">
        <f aca="false">дома!B435</f>
        <v>м.п.</v>
      </c>
      <c r="C420" s="2563" t="n">
        <f aca="false">дома!C435</f>
        <v>0.4</v>
      </c>
      <c r="D420" s="2563" t="n">
        <f aca="false">дома!D435</f>
        <v>0.05</v>
      </c>
      <c r="E420" s="2563" t="n">
        <f aca="false">дома!E435</f>
        <v>0</v>
      </c>
      <c r="F420" s="2563" t="n">
        <f aca="false">дома!F435</f>
        <v>2</v>
      </c>
      <c r="G420" s="2563" t="n">
        <f aca="false">E420*F420*(IF('Ввод данных'!$A$8=связи1!$A$150,1,0))</f>
        <v>0</v>
      </c>
      <c r="H420" s="2563" t="n">
        <f aca="false">дома!G435*(IF('Ввод данных'!$A$8=связи1!$A$150,1,0))</f>
        <v>0</v>
      </c>
    </row>
    <row r="421" customFormat="false" ht="14.5" hidden="false" customHeight="false" outlineLevel="0" collapsed="false">
      <c r="A421" s="2561" t="str">
        <f aca="false">дома!A436</f>
        <v>Стойка каркаса по фронтону, 1 этаж, односкатная кровля, №7</v>
      </c>
      <c r="B421" s="2562" t="str">
        <f aca="false">дома!B436</f>
        <v>м.п.</v>
      </c>
      <c r="C421" s="2563" t="n">
        <f aca="false">дома!C436</f>
        <v>0.4</v>
      </c>
      <c r="D421" s="2563" t="n">
        <f aca="false">дома!D436</f>
        <v>0.05</v>
      </c>
      <c r="E421" s="2563" t="n">
        <f aca="false">дома!E436</f>
        <v>0</v>
      </c>
      <c r="F421" s="2563" t="n">
        <f aca="false">дома!F436</f>
        <v>2</v>
      </c>
      <c r="G421" s="2563" t="n">
        <f aca="false">E421*F421*(IF('Ввод данных'!$A$8=связи1!$A$150,1,0))</f>
        <v>0</v>
      </c>
      <c r="H421" s="2563" t="n">
        <f aca="false">дома!G436*(IF('Ввод данных'!$A$8=связи1!$A$150,1,0))</f>
        <v>0</v>
      </c>
    </row>
    <row r="422" customFormat="false" ht="14.5" hidden="false" customHeight="false" outlineLevel="0" collapsed="false">
      <c r="A422" s="2561" t="str">
        <f aca="false">дома!A437</f>
        <v>Стойка каркаса по фронтону, 1 этаж, односкатная кровля, №8</v>
      </c>
      <c r="B422" s="2562" t="str">
        <f aca="false">дома!B437</f>
        <v>м.п.</v>
      </c>
      <c r="C422" s="2563" t="n">
        <f aca="false">дома!C437</f>
        <v>0.4</v>
      </c>
      <c r="D422" s="2563" t="n">
        <f aca="false">дома!D437</f>
        <v>0.05</v>
      </c>
      <c r="E422" s="2563" t="n">
        <f aca="false">дома!E437</f>
        <v>0</v>
      </c>
      <c r="F422" s="2563" t="n">
        <f aca="false">дома!F437</f>
        <v>2</v>
      </c>
      <c r="G422" s="2563" t="n">
        <f aca="false">E422*F422*(IF('Ввод данных'!$A$8=связи1!$A$150,1,0))</f>
        <v>0</v>
      </c>
      <c r="H422" s="2563" t="n">
        <f aca="false">дома!G437*(IF('Ввод данных'!$A$8=связи1!$A$150,1,0))</f>
        <v>0</v>
      </c>
    </row>
    <row r="423" customFormat="false" ht="14.5" hidden="false" customHeight="false" outlineLevel="0" collapsed="false">
      <c r="A423" s="2561" t="str">
        <f aca="false">дома!A438</f>
        <v>Стойка каркаса по фронтону, 1 этаж, односкатная кровля, №9</v>
      </c>
      <c r="B423" s="2562" t="str">
        <f aca="false">дома!B438</f>
        <v>м.п.</v>
      </c>
      <c r="C423" s="2563" t="n">
        <f aca="false">дома!C438</f>
        <v>0.4</v>
      </c>
      <c r="D423" s="2563" t="n">
        <f aca="false">дома!D438</f>
        <v>0.05</v>
      </c>
      <c r="E423" s="2563" t="n">
        <f aca="false">дома!E438</f>
        <v>0</v>
      </c>
      <c r="F423" s="2563" t="n">
        <f aca="false">дома!F438</f>
        <v>2</v>
      </c>
      <c r="G423" s="2563" t="n">
        <f aca="false">E423*F423*(IF('Ввод данных'!$A$8=связи1!$A$150,1,0))</f>
        <v>0</v>
      </c>
      <c r="H423" s="2563" t="n">
        <f aca="false">дома!G438*(IF('Ввод данных'!$A$8=связи1!$A$150,1,0))</f>
        <v>0</v>
      </c>
    </row>
    <row r="424" customFormat="false" ht="14.5" hidden="false" customHeight="false" outlineLevel="0" collapsed="false">
      <c r="A424" s="2561" t="str">
        <f aca="false">дома!A439</f>
        <v>Стойка каркаса по фронтону, 1 этаж, односкатная кровля, №10</v>
      </c>
      <c r="B424" s="2562" t="str">
        <f aca="false">дома!B439</f>
        <v>м.п.</v>
      </c>
      <c r="C424" s="2563" t="n">
        <f aca="false">дома!C439</f>
        <v>0.4</v>
      </c>
      <c r="D424" s="2563" t="n">
        <f aca="false">дома!D439</f>
        <v>0.05</v>
      </c>
      <c r="E424" s="2563" t="n">
        <f aca="false">дома!E439</f>
        <v>0</v>
      </c>
      <c r="F424" s="2563" t="n">
        <f aca="false">дома!F439</f>
        <v>2</v>
      </c>
      <c r="G424" s="2563" t="n">
        <f aca="false">E424*F424*(IF('Ввод данных'!$A$8=связи1!$A$150,1,0))</f>
        <v>0</v>
      </c>
      <c r="H424" s="2563" t="n">
        <f aca="false">дома!G439*(IF('Ввод данных'!$A$8=связи1!$A$150,1,0))</f>
        <v>0</v>
      </c>
    </row>
    <row r="425" customFormat="false" ht="14.5" hidden="false" customHeight="false" outlineLevel="0" collapsed="false">
      <c r="A425" s="2561" t="str">
        <f aca="false">дома!A440</f>
        <v>Стойка каркаса по фронтону, 1 этаж, односкатная кровля, №11</v>
      </c>
      <c r="B425" s="2562" t="str">
        <f aca="false">дома!B440</f>
        <v>м.п.</v>
      </c>
      <c r="C425" s="2563" t="n">
        <f aca="false">дома!C440</f>
        <v>0.4</v>
      </c>
      <c r="D425" s="2563" t="n">
        <f aca="false">дома!D440</f>
        <v>0.05</v>
      </c>
      <c r="E425" s="2563" t="n">
        <f aca="false">дома!E440</f>
        <v>0</v>
      </c>
      <c r="F425" s="2563" t="n">
        <f aca="false">дома!F440</f>
        <v>2</v>
      </c>
      <c r="G425" s="2563" t="n">
        <f aca="false">E425*F425*(IF('Ввод данных'!$A$8=связи1!$A$150,1,0))</f>
        <v>0</v>
      </c>
      <c r="H425" s="2563" t="n">
        <f aca="false">дома!G440*(IF('Ввод данных'!$A$8=связи1!$A$150,1,0))</f>
        <v>0</v>
      </c>
    </row>
    <row r="426" customFormat="false" ht="14.5" hidden="false" customHeight="false" outlineLevel="0" collapsed="false">
      <c r="A426" s="2561" t="str">
        <f aca="false">дома!A441</f>
        <v>Стойка каркаса по фронтону, 1 этаж, односкатная кровля, №12</v>
      </c>
      <c r="B426" s="2562" t="str">
        <f aca="false">дома!B441</f>
        <v>м.п.</v>
      </c>
      <c r="C426" s="2563" t="n">
        <f aca="false">дома!C441</f>
        <v>0.4</v>
      </c>
      <c r="D426" s="2563" t="n">
        <f aca="false">дома!D441</f>
        <v>0.05</v>
      </c>
      <c r="E426" s="2563" t="n">
        <f aca="false">дома!E441</f>
        <v>0</v>
      </c>
      <c r="F426" s="2563" t="n">
        <f aca="false">дома!F441</f>
        <v>2</v>
      </c>
      <c r="G426" s="2563" t="n">
        <f aca="false">E426*F426*(IF('Ввод данных'!$A$8=связи1!$A$150,1,0))</f>
        <v>0</v>
      </c>
      <c r="H426" s="2563" t="n">
        <f aca="false">дома!G441*(IF('Ввод данных'!$A$8=связи1!$A$150,1,0))</f>
        <v>0</v>
      </c>
    </row>
    <row r="427" customFormat="false" ht="14.5" hidden="false" customHeight="false" outlineLevel="0" collapsed="false">
      <c r="A427" s="2561" t="str">
        <f aca="false">дома!A442</f>
        <v>Стойка каркаса по фронтону, 1 этаж, односкатная кровля, №13</v>
      </c>
      <c r="B427" s="2562" t="str">
        <f aca="false">дома!B442</f>
        <v>м.п.</v>
      </c>
      <c r="C427" s="2563" t="n">
        <f aca="false">дома!C442</f>
        <v>0.4</v>
      </c>
      <c r="D427" s="2563" t="n">
        <f aca="false">дома!D442</f>
        <v>0.05</v>
      </c>
      <c r="E427" s="2563" t="n">
        <f aca="false">дома!E442</f>
        <v>0</v>
      </c>
      <c r="F427" s="2563" t="n">
        <f aca="false">дома!F442</f>
        <v>2</v>
      </c>
      <c r="G427" s="2563" t="n">
        <f aca="false">E427*F427*(IF('Ввод данных'!$A$8=связи1!$A$150,1,0))</f>
        <v>0</v>
      </c>
      <c r="H427" s="2563" t="n">
        <f aca="false">дома!G442*(IF('Ввод данных'!$A$8=связи1!$A$150,1,0))</f>
        <v>0</v>
      </c>
    </row>
    <row r="428" customFormat="false" ht="14.5" hidden="false" customHeight="false" outlineLevel="0" collapsed="false">
      <c r="A428" s="2561" t="str">
        <f aca="false">дома!A443</f>
        <v>Стойка каркаса по фронтону, 1 этаж, односкатная кровля, №14</v>
      </c>
      <c r="B428" s="2562" t="str">
        <f aca="false">дома!B443</f>
        <v>м.п.</v>
      </c>
      <c r="C428" s="2563" t="n">
        <f aca="false">дома!C443</f>
        <v>0.4</v>
      </c>
      <c r="D428" s="2563" t="n">
        <f aca="false">дома!D443</f>
        <v>0.05</v>
      </c>
      <c r="E428" s="2563" t="n">
        <f aca="false">дома!E443</f>
        <v>0</v>
      </c>
      <c r="F428" s="2563" t="n">
        <f aca="false">дома!F443</f>
        <v>2</v>
      </c>
      <c r="G428" s="2563" t="n">
        <f aca="false">E428*F428*(IF('Ввод данных'!$A$8=связи1!$A$150,1,0))</f>
        <v>0</v>
      </c>
      <c r="H428" s="2563" t="n">
        <f aca="false">дома!G443*(IF('Ввод данных'!$A$8=связи1!$A$150,1,0))</f>
        <v>0</v>
      </c>
    </row>
    <row r="429" customFormat="false" ht="14.5" hidden="false" customHeight="false" outlineLevel="0" collapsed="false">
      <c r="A429" s="2561" t="str">
        <f aca="false">дома!A444</f>
        <v>Стойка каркаса по фронтону, 1 этаж, односкатная кровля, №15</v>
      </c>
      <c r="B429" s="2562" t="str">
        <f aca="false">дома!B444</f>
        <v>м.п.</v>
      </c>
      <c r="C429" s="2563" t="n">
        <f aca="false">дома!C444</f>
        <v>0.4</v>
      </c>
      <c r="D429" s="2563" t="n">
        <f aca="false">дома!D444</f>
        <v>0.05</v>
      </c>
      <c r="E429" s="2563" t="n">
        <f aca="false">дома!E444</f>
        <v>0</v>
      </c>
      <c r="F429" s="2563" t="n">
        <f aca="false">дома!F444</f>
        <v>2</v>
      </c>
      <c r="G429" s="2563" t="n">
        <f aca="false">E429*F429*(IF('Ввод данных'!$A$8=связи1!$A$150,1,0))</f>
        <v>0</v>
      </c>
      <c r="H429" s="2563" t="n">
        <f aca="false">дома!G444*(IF('Ввод данных'!$A$8=связи1!$A$150,1,0))</f>
        <v>0</v>
      </c>
    </row>
    <row r="430" customFormat="false" ht="14.5" hidden="false" customHeight="false" outlineLevel="0" collapsed="false">
      <c r="A430" s="2561" t="str">
        <f aca="false">дома!A445</f>
        <v>Стойка каркаса по фронтону, 1 этаж, односкатная кровля, №16</v>
      </c>
      <c r="B430" s="2562" t="str">
        <f aca="false">дома!B445</f>
        <v>м.п.</v>
      </c>
      <c r="C430" s="2563" t="n">
        <f aca="false">дома!C445</f>
        <v>0.4</v>
      </c>
      <c r="D430" s="2563" t="n">
        <f aca="false">дома!D445</f>
        <v>0.05</v>
      </c>
      <c r="E430" s="2563" t="n">
        <f aca="false">дома!E445</f>
        <v>0</v>
      </c>
      <c r="F430" s="2563" t="n">
        <f aca="false">дома!F445</f>
        <v>2</v>
      </c>
      <c r="G430" s="2563" t="n">
        <f aca="false">E430*F430*(IF('Ввод данных'!$A$8=связи1!$A$150,1,0))</f>
        <v>0</v>
      </c>
      <c r="H430" s="2563" t="n">
        <f aca="false">дома!G445*(IF('Ввод данных'!$A$8=связи1!$A$150,1,0))</f>
        <v>0</v>
      </c>
    </row>
    <row r="431" customFormat="false" ht="14.5" hidden="false" customHeight="false" outlineLevel="0" collapsed="false">
      <c r="A431" s="2561" t="str">
        <f aca="false">дома!A446</f>
        <v>Стойка каркаса по фронтону, 1 этаж, односкатная кровля, №17</v>
      </c>
      <c r="B431" s="2562" t="str">
        <f aca="false">дома!B446</f>
        <v>м.п.</v>
      </c>
      <c r="C431" s="2563" t="n">
        <f aca="false">дома!C446</f>
        <v>0.4</v>
      </c>
      <c r="D431" s="2563" t="n">
        <f aca="false">дома!D446</f>
        <v>0.05</v>
      </c>
      <c r="E431" s="2563" t="n">
        <f aca="false">дома!E446</f>
        <v>0</v>
      </c>
      <c r="F431" s="2563" t="n">
        <f aca="false">дома!F446</f>
        <v>2</v>
      </c>
      <c r="G431" s="2563" t="n">
        <f aca="false">E431*F431*(IF('Ввод данных'!$A$8=связи1!$A$150,1,0))</f>
        <v>0</v>
      </c>
      <c r="H431" s="2563" t="n">
        <f aca="false">дома!G446*(IF('Ввод данных'!$A$8=связи1!$A$150,1,0))</f>
        <v>0</v>
      </c>
    </row>
    <row r="432" customFormat="false" ht="14.5" hidden="false" customHeight="false" outlineLevel="0" collapsed="false">
      <c r="A432" s="2561" t="str">
        <f aca="false">дома!A447</f>
        <v>Стойка каркаса по фронтону, 1 этаж, двускатная кровля, №1</v>
      </c>
      <c r="B432" s="2562" t="str">
        <f aca="false">дома!B447</f>
        <v>м.п.</v>
      </c>
      <c r="C432" s="2563" t="n">
        <f aca="false">дома!C447</f>
        <v>0.4</v>
      </c>
      <c r="D432" s="2563" t="n">
        <f aca="false">дома!D447</f>
        <v>0.05</v>
      </c>
      <c r="E432" s="2563" t="n">
        <f aca="false">дома!E447</f>
        <v>5</v>
      </c>
      <c r="F432" s="2563" t="n">
        <f aca="false">дома!F447</f>
        <v>2</v>
      </c>
      <c r="G432" s="2563" t="n">
        <f aca="false">E432*F432*(IF('Ввод данных'!$A$8=связи1!$A$150,1,0))</f>
        <v>0</v>
      </c>
      <c r="H432" s="2563" t="n">
        <f aca="false">дома!G447*(IF('Ввод данных'!$A$8=связи1!$A$150,1,0))</f>
        <v>0</v>
      </c>
    </row>
    <row r="433" customFormat="false" ht="14.5" hidden="false" customHeight="false" outlineLevel="0" collapsed="false">
      <c r="A433" s="2561" t="str">
        <f aca="false">дома!A448</f>
        <v>Стойка каркаса по фронтону, 1 этаж, двускатная кровля, №2</v>
      </c>
      <c r="B433" s="2562" t="str">
        <f aca="false">дома!B448</f>
        <v>м.п.</v>
      </c>
      <c r="C433" s="2563" t="n">
        <f aca="false">дома!C448</f>
        <v>0.4</v>
      </c>
      <c r="D433" s="2563" t="n">
        <f aca="false">дома!D448</f>
        <v>0.05</v>
      </c>
      <c r="E433" s="2563" t="n">
        <f aca="false">дома!E448</f>
        <v>5</v>
      </c>
      <c r="F433" s="2563" t="n">
        <f aca="false">дома!F448</f>
        <v>2</v>
      </c>
      <c r="G433" s="2563" t="n">
        <f aca="false">E433*F433*(IF('Ввод данных'!$A$8=связи1!$A$150,1,0))</f>
        <v>0</v>
      </c>
      <c r="H433" s="2563" t="n">
        <f aca="false">дома!G448*(IF('Ввод данных'!$A$8=связи1!$A$150,1,0))</f>
        <v>0</v>
      </c>
    </row>
    <row r="434" customFormat="false" ht="14.5" hidden="false" customHeight="false" outlineLevel="0" collapsed="false">
      <c r="A434" s="2561" t="str">
        <f aca="false">дома!A449</f>
        <v>Стойка каркаса по фронтону, 1 этаж, двускатная кровля, №3</v>
      </c>
      <c r="B434" s="2562" t="str">
        <f aca="false">дома!B449</f>
        <v>м.п.</v>
      </c>
      <c r="C434" s="2563" t="n">
        <f aca="false">дома!C449</f>
        <v>0.4</v>
      </c>
      <c r="D434" s="2563" t="n">
        <f aca="false">дома!D449</f>
        <v>0.05</v>
      </c>
      <c r="E434" s="2563" t="n">
        <f aca="false">дома!E449</f>
        <v>5</v>
      </c>
      <c r="F434" s="2563" t="n">
        <f aca="false">дома!F449</f>
        <v>2</v>
      </c>
      <c r="G434" s="2563" t="n">
        <f aca="false">E434*F434*(IF('Ввод данных'!$A$8=связи1!$A$150,1,0))</f>
        <v>0</v>
      </c>
      <c r="H434" s="2563" t="n">
        <f aca="false">дома!G449*(IF('Ввод данных'!$A$8=связи1!$A$150,1,0))</f>
        <v>0</v>
      </c>
    </row>
    <row r="435" customFormat="false" ht="14.5" hidden="false" customHeight="false" outlineLevel="0" collapsed="false">
      <c r="A435" s="2561" t="str">
        <f aca="false">дома!A450</f>
        <v>Стойка каркаса по фронтону, 1 этаж, двускатная кровля, №4</v>
      </c>
      <c r="B435" s="2562" t="str">
        <f aca="false">дома!B450</f>
        <v>м.п.</v>
      </c>
      <c r="C435" s="2563" t="n">
        <f aca="false">дома!C450</f>
        <v>0.4</v>
      </c>
      <c r="D435" s="2563" t="n">
        <f aca="false">дома!D450</f>
        <v>0.05</v>
      </c>
      <c r="E435" s="2563" t="n">
        <f aca="false">дома!E450</f>
        <v>5</v>
      </c>
      <c r="F435" s="2563" t="n">
        <f aca="false">дома!F450</f>
        <v>2</v>
      </c>
      <c r="G435" s="2563" t="n">
        <f aca="false">E435*F435*(IF('Ввод данных'!$A$8=связи1!$A$150,1,0))</f>
        <v>0</v>
      </c>
      <c r="H435" s="2563" t="n">
        <f aca="false">дома!G450*(IF('Ввод данных'!$A$8=связи1!$A$150,1,0))</f>
        <v>0</v>
      </c>
    </row>
    <row r="436" customFormat="false" ht="14.5" hidden="false" customHeight="false" outlineLevel="0" collapsed="false">
      <c r="A436" s="2561" t="str">
        <f aca="false">дома!A451</f>
        <v>Стойка каркаса по фронтону, 1 этаж, двускатная кровля, №5</v>
      </c>
      <c r="B436" s="2562" t="str">
        <f aca="false">дома!B451</f>
        <v>м.п.</v>
      </c>
      <c r="C436" s="2563" t="n">
        <f aca="false">дома!C451</f>
        <v>0.4</v>
      </c>
      <c r="D436" s="2563" t="n">
        <f aca="false">дома!D451</f>
        <v>0.05</v>
      </c>
      <c r="E436" s="2563" t="n">
        <f aca="false">дома!E451</f>
        <v>5</v>
      </c>
      <c r="F436" s="2563" t="n">
        <f aca="false">дома!F451</f>
        <v>2</v>
      </c>
      <c r="G436" s="2563" t="n">
        <f aca="false">E436*F436*(IF('Ввод данных'!$A$8=связи1!$A$150,1,0))</f>
        <v>0</v>
      </c>
      <c r="H436" s="2563" t="n">
        <f aca="false">дома!G451*(IF('Ввод данных'!$A$8=связи1!$A$150,1,0))</f>
        <v>0</v>
      </c>
    </row>
    <row r="437" customFormat="false" ht="14.5" hidden="false" customHeight="false" outlineLevel="0" collapsed="false">
      <c r="A437" s="2561" t="str">
        <f aca="false">дома!A452</f>
        <v>Стойка каркаса по фронтону, 1 этаж, двускатная кровля, №6</v>
      </c>
      <c r="B437" s="2562" t="str">
        <f aca="false">дома!B452</f>
        <v>м.п.</v>
      </c>
      <c r="C437" s="2563" t="n">
        <f aca="false">дома!C452</f>
        <v>0.4</v>
      </c>
      <c r="D437" s="2563" t="n">
        <f aca="false">дома!D452</f>
        <v>0.05</v>
      </c>
      <c r="E437" s="2563" t="n">
        <f aca="false">дома!E452</f>
        <v>5</v>
      </c>
      <c r="F437" s="2563" t="n">
        <f aca="false">дома!F452</f>
        <v>2</v>
      </c>
      <c r="G437" s="2563" t="n">
        <f aca="false">E437*F437*(IF('Ввод данных'!$A$8=связи1!$A$150,1,0))</f>
        <v>0</v>
      </c>
      <c r="H437" s="2563" t="n">
        <f aca="false">дома!G452*(IF('Ввод данных'!$A$8=связи1!$A$150,1,0))</f>
        <v>0</v>
      </c>
    </row>
    <row r="438" customFormat="false" ht="14.5" hidden="false" customHeight="false" outlineLevel="0" collapsed="false">
      <c r="A438" s="2561" t="str">
        <f aca="false">дома!A453</f>
        <v>Стойка каркаса по фронтону, 1 этаж, двускатная кровля, №7</v>
      </c>
      <c r="B438" s="2562" t="str">
        <f aca="false">дома!B453</f>
        <v>м.п.</v>
      </c>
      <c r="C438" s="2563" t="n">
        <f aca="false">дома!C453</f>
        <v>0.4</v>
      </c>
      <c r="D438" s="2563" t="n">
        <f aca="false">дома!D453</f>
        <v>0.05</v>
      </c>
      <c r="E438" s="2563" t="n">
        <f aca="false">дома!E453</f>
        <v>5</v>
      </c>
      <c r="F438" s="2563" t="n">
        <f aca="false">дома!F453</f>
        <v>2</v>
      </c>
      <c r="G438" s="2563" t="n">
        <f aca="false">E438*F438*(IF('Ввод данных'!$A$8=связи1!$A$150,1,0))</f>
        <v>0</v>
      </c>
      <c r="H438" s="2563" t="n">
        <f aca="false">дома!G453*(IF('Ввод данных'!$A$8=связи1!$A$150,1,0))</f>
        <v>0</v>
      </c>
    </row>
    <row r="439" customFormat="false" ht="14.5" hidden="false" customHeight="false" outlineLevel="0" collapsed="false">
      <c r="A439" s="2561" t="str">
        <f aca="false">дома!A454</f>
        <v>Стойка каркаса по фронтону, 1 этаж, двускатная кровля, №8</v>
      </c>
      <c r="B439" s="2562" t="str">
        <f aca="false">дома!B454</f>
        <v>м.п.</v>
      </c>
      <c r="C439" s="2563" t="n">
        <f aca="false">дома!C454</f>
        <v>0.4</v>
      </c>
      <c r="D439" s="2563" t="n">
        <f aca="false">дома!D454</f>
        <v>0.05</v>
      </c>
      <c r="E439" s="2563" t="n">
        <f aca="false">дома!E454</f>
        <v>5</v>
      </c>
      <c r="F439" s="2563" t="n">
        <f aca="false">дома!F454</f>
        <v>2</v>
      </c>
      <c r="G439" s="2563" t="n">
        <f aca="false">E439*F439*(IF('Ввод данных'!$A$8=связи1!$A$150,1,0))</f>
        <v>0</v>
      </c>
      <c r="H439" s="2563" t="n">
        <f aca="false">дома!G454*(IF('Ввод данных'!$A$8=связи1!$A$150,1,0))</f>
        <v>0</v>
      </c>
    </row>
    <row r="440" customFormat="false" ht="14.5" hidden="false" customHeight="false" outlineLevel="0" collapsed="false">
      <c r="A440" s="2561" t="str">
        <f aca="false">дома!A455</f>
        <v>Стойка каркаса по фронтону, 1 этаж, двускатная кровля, №9</v>
      </c>
      <c r="B440" s="2562" t="str">
        <f aca="false">дома!B455</f>
        <v>м.п.</v>
      </c>
      <c r="C440" s="2563" t="n">
        <f aca="false">дома!C455</f>
        <v>0.4</v>
      </c>
      <c r="D440" s="2563" t="n">
        <f aca="false">дома!D455</f>
        <v>0.05</v>
      </c>
      <c r="E440" s="2563" t="n">
        <f aca="false">дома!E455</f>
        <v>5</v>
      </c>
      <c r="F440" s="2563" t="n">
        <f aca="false">дома!F455</f>
        <v>2</v>
      </c>
      <c r="G440" s="2563" t="n">
        <f aca="false">E440*F440*(IF('Ввод данных'!$A$8=связи1!$A$150,1,0))</f>
        <v>0</v>
      </c>
      <c r="H440" s="2563" t="n">
        <f aca="false">дома!G455*(IF('Ввод данных'!$A$8=связи1!$A$150,1,0))</f>
        <v>0</v>
      </c>
    </row>
    <row r="441" customFormat="false" ht="14.5" hidden="false" customHeight="false" outlineLevel="0" collapsed="false">
      <c r="A441" s="2561" t="str">
        <f aca="false">дома!A456</f>
        <v>Стойка каркаса по фронтону, 1 этаж, двускатная кровля, №10</v>
      </c>
      <c r="B441" s="2562" t="str">
        <f aca="false">дома!B456</f>
        <v>м.п.</v>
      </c>
      <c r="C441" s="2563" t="n">
        <f aca="false">дома!C456</f>
        <v>0.4</v>
      </c>
      <c r="D441" s="2563" t="n">
        <f aca="false">дома!D456</f>
        <v>0.05</v>
      </c>
      <c r="E441" s="2563" t="n">
        <f aca="false">дома!E456</f>
        <v>5</v>
      </c>
      <c r="F441" s="2563" t="n">
        <f aca="false">дома!F456</f>
        <v>2</v>
      </c>
      <c r="G441" s="2563" t="n">
        <f aca="false">E441*F441*(IF('Ввод данных'!$A$8=связи1!$A$150,1,0))</f>
        <v>0</v>
      </c>
      <c r="H441" s="2563" t="n">
        <f aca="false">дома!G456*(IF('Ввод данных'!$A$8=связи1!$A$150,1,0))</f>
        <v>0</v>
      </c>
    </row>
    <row r="442" customFormat="false" ht="14.5" hidden="false" customHeight="false" outlineLevel="0" collapsed="false">
      <c r="A442" s="2561" t="str">
        <f aca="false">дома!A457</f>
        <v>Стойка каркаса по фронтону, 1 этаж, двускатная кровля, №11</v>
      </c>
      <c r="B442" s="2562" t="str">
        <f aca="false">дома!B457</f>
        <v>м.п.</v>
      </c>
      <c r="C442" s="2563" t="n">
        <f aca="false">дома!C457</f>
        <v>0.4</v>
      </c>
      <c r="D442" s="2563" t="n">
        <f aca="false">дома!D457</f>
        <v>0.05</v>
      </c>
      <c r="E442" s="2563" t="n">
        <f aca="false">дома!E457</f>
        <v>5</v>
      </c>
      <c r="F442" s="2563" t="n">
        <f aca="false">дома!F457</f>
        <v>2</v>
      </c>
      <c r="G442" s="2563" t="n">
        <f aca="false">E442*F442*(IF('Ввод данных'!$A$8=связи1!$A$150,1,0))</f>
        <v>0</v>
      </c>
      <c r="H442" s="2563" t="n">
        <f aca="false">дома!G457*(IF('Ввод данных'!$A$8=связи1!$A$150,1,0))</f>
        <v>0</v>
      </c>
    </row>
    <row r="443" customFormat="false" ht="14.5" hidden="false" customHeight="false" outlineLevel="0" collapsed="false">
      <c r="A443" s="2561" t="str">
        <f aca="false">дома!A458</f>
        <v>Стойка каркаса по фронтону, 1 этаж, двускатная кровля, №12</v>
      </c>
      <c r="B443" s="2562" t="str">
        <f aca="false">дома!B458</f>
        <v>м.п.</v>
      </c>
      <c r="C443" s="2563" t="n">
        <f aca="false">дома!C458</f>
        <v>0.4</v>
      </c>
      <c r="D443" s="2563" t="n">
        <f aca="false">дома!D458</f>
        <v>0.05</v>
      </c>
      <c r="E443" s="2563" t="n">
        <f aca="false">дома!E458</f>
        <v>5</v>
      </c>
      <c r="F443" s="2563" t="n">
        <f aca="false">дома!F458</f>
        <v>2</v>
      </c>
      <c r="G443" s="2563" t="n">
        <f aca="false">E443*F443*(IF('Ввод данных'!$A$8=связи1!$A$150,1,0))</f>
        <v>0</v>
      </c>
      <c r="H443" s="2563" t="n">
        <f aca="false">дома!G458*(IF('Ввод данных'!$A$8=связи1!$A$150,1,0))</f>
        <v>0</v>
      </c>
    </row>
    <row r="444" customFormat="false" ht="14.5" hidden="false" customHeight="false" outlineLevel="0" collapsed="false">
      <c r="A444" s="2561" t="str">
        <f aca="false">дома!A459</f>
        <v>Стойка каркаса по фронтону, 1 этаж, двускатная кровля, №13</v>
      </c>
      <c r="B444" s="2562" t="str">
        <f aca="false">дома!B459</f>
        <v>м.п.</v>
      </c>
      <c r="C444" s="2563" t="n">
        <f aca="false">дома!C459</f>
        <v>0.4</v>
      </c>
      <c r="D444" s="2563" t="n">
        <f aca="false">дома!D459</f>
        <v>0.05</v>
      </c>
      <c r="E444" s="2563" t="n">
        <f aca="false">дома!E459</f>
        <v>5</v>
      </c>
      <c r="F444" s="2563" t="n">
        <f aca="false">дома!F459</f>
        <v>2</v>
      </c>
      <c r="G444" s="2563" t="n">
        <f aca="false">E444*F444*(IF('Ввод данных'!$A$8=связи1!$A$150,1,0))</f>
        <v>0</v>
      </c>
      <c r="H444" s="2563" t="n">
        <f aca="false">дома!G459*(IF('Ввод данных'!$A$8=связи1!$A$150,1,0))</f>
        <v>0</v>
      </c>
    </row>
    <row r="445" customFormat="false" ht="14.5" hidden="false" customHeight="false" outlineLevel="0" collapsed="false">
      <c r="A445" s="2561" t="str">
        <f aca="false">дома!A460</f>
        <v>Стойка каркаса по фронтону, 1 этаж, двускатная кровля, №14</v>
      </c>
      <c r="B445" s="2562" t="str">
        <f aca="false">дома!B460</f>
        <v>м.п.</v>
      </c>
      <c r="C445" s="2563" t="n">
        <f aca="false">дома!C460</f>
        <v>0.4</v>
      </c>
      <c r="D445" s="2563" t="n">
        <f aca="false">дома!D460</f>
        <v>0.05</v>
      </c>
      <c r="E445" s="2563" t="n">
        <f aca="false">дома!E460</f>
        <v>5</v>
      </c>
      <c r="F445" s="2563" t="n">
        <f aca="false">дома!F460</f>
        <v>2</v>
      </c>
      <c r="G445" s="2563" t="n">
        <f aca="false">E445*F445*(IF('Ввод данных'!$A$8=связи1!$A$150,1,0))</f>
        <v>0</v>
      </c>
      <c r="H445" s="2563" t="n">
        <f aca="false">дома!G460*(IF('Ввод данных'!$A$8=связи1!$A$150,1,0))</f>
        <v>0</v>
      </c>
    </row>
    <row r="446" customFormat="false" ht="14.5" hidden="false" customHeight="false" outlineLevel="0" collapsed="false">
      <c r="A446" s="2561" t="str">
        <f aca="false">дома!A461</f>
        <v>Стойка каркаса по фронтону, 1 этаж, двускатная кровля, №15</v>
      </c>
      <c r="B446" s="2562" t="str">
        <f aca="false">дома!B461</f>
        <v>м.п.</v>
      </c>
      <c r="C446" s="2563" t="n">
        <f aca="false">дома!C461</f>
        <v>0.4</v>
      </c>
      <c r="D446" s="2563" t="n">
        <f aca="false">дома!D461</f>
        <v>0.05</v>
      </c>
      <c r="E446" s="2563" t="n">
        <f aca="false">дома!E461</f>
        <v>5</v>
      </c>
      <c r="F446" s="2563" t="n">
        <f aca="false">дома!F461</f>
        <v>2</v>
      </c>
      <c r="G446" s="2563" t="n">
        <f aca="false">E446*F446*(IF('Ввод данных'!$A$8=связи1!$A$150,1,0))</f>
        <v>0</v>
      </c>
      <c r="H446" s="2563" t="n">
        <f aca="false">дома!G461*(IF('Ввод данных'!$A$8=связи1!$A$150,1,0))</f>
        <v>0</v>
      </c>
    </row>
    <row r="447" customFormat="false" ht="14.5" hidden="false" customHeight="false" outlineLevel="0" collapsed="false">
      <c r="A447" s="2561" t="str">
        <f aca="false">дома!A462</f>
        <v>Стойка каркаса по фронтону, 1 этаж, двускатная кровля, №16</v>
      </c>
      <c r="B447" s="2562" t="str">
        <f aca="false">дома!B462</f>
        <v>м.п.</v>
      </c>
      <c r="C447" s="2563" t="n">
        <f aca="false">дома!C462</f>
        <v>0.4</v>
      </c>
      <c r="D447" s="2563" t="n">
        <f aca="false">дома!D462</f>
        <v>0.05</v>
      </c>
      <c r="E447" s="2563" t="n">
        <f aca="false">дома!E462</f>
        <v>5</v>
      </c>
      <c r="F447" s="2563" t="n">
        <f aca="false">дома!F462</f>
        <v>2</v>
      </c>
      <c r="G447" s="2563" t="n">
        <f aca="false">E447*F447*(IF('Ввод данных'!$A$8=связи1!$A$150,1,0))</f>
        <v>0</v>
      </c>
      <c r="H447" s="2563" t="n">
        <f aca="false">дома!G462*(IF('Ввод данных'!$A$8=связи1!$A$150,1,0))</f>
        <v>0</v>
      </c>
    </row>
    <row r="448" customFormat="false" ht="14.5" hidden="false" customHeight="false" outlineLevel="0" collapsed="false">
      <c r="A448" s="2561" t="str">
        <f aca="false">дома!A463</f>
        <v>Стойка каркаса по фронтону, 1 этаж, двускатная кровля, №17</v>
      </c>
      <c r="B448" s="2562" t="str">
        <f aca="false">дома!B463</f>
        <v>м.п.</v>
      </c>
      <c r="C448" s="2563" t="n">
        <f aca="false">дома!C463</f>
        <v>0.4</v>
      </c>
      <c r="D448" s="2563" t="n">
        <f aca="false">дома!D463</f>
        <v>0.05</v>
      </c>
      <c r="E448" s="2563" t="n">
        <f aca="false">дома!E463</f>
        <v>5</v>
      </c>
      <c r="F448" s="2563" t="n">
        <f aca="false">дома!F463</f>
        <v>2</v>
      </c>
      <c r="G448" s="2563" t="n">
        <f aca="false">E448*F448*(IF('Ввод данных'!$A$8=связи1!$A$150,1,0))</f>
        <v>0</v>
      </c>
      <c r="H448" s="2563" t="n">
        <f aca="false">дома!G463*(IF('Ввод данных'!$A$8=связи1!$A$150,1,0))</f>
        <v>0</v>
      </c>
    </row>
    <row r="449" customFormat="false" ht="21" hidden="false" customHeight="false" outlineLevel="0" collapsed="false">
      <c r="A449" s="2558" t="s">
        <v>4170</v>
      </c>
      <c r="B449" s="2558"/>
      <c r="C449" s="2558"/>
      <c r="D449" s="2558"/>
      <c r="E449" s="2558"/>
      <c r="F449" s="2558"/>
      <c r="G449" s="2564" t="n">
        <f aca="false">E449*F449</f>
        <v>0</v>
      </c>
      <c r="H449" s="2564" t="n">
        <f aca="false">SUM(H450:H489)</f>
        <v>0</v>
      </c>
    </row>
    <row r="450" customFormat="false" ht="14.5" hidden="false" customHeight="false" outlineLevel="0" collapsed="false">
      <c r="A450" s="2561" t="str">
        <f aca="false">дома!A886</f>
        <v>Стойки каркаса передняя стена, 2 эт</v>
      </c>
      <c r="B450" s="2562" t="str">
        <f aca="false">дома!B886</f>
        <v>м.п.</v>
      </c>
      <c r="C450" s="2563" t="n">
        <f aca="false">дома!C886</f>
        <v>0.4</v>
      </c>
      <c r="D450" s="2563" t="n">
        <f aca="false">дома!D886</f>
        <v>0.05</v>
      </c>
      <c r="E450" s="2563" t="n">
        <f aca="false">дома!E886</f>
        <v>0</v>
      </c>
      <c r="F450" s="2563" t="n">
        <f aca="false">дома!F886</f>
        <v>0</v>
      </c>
      <c r="G450" s="2563" t="n">
        <f aca="false">E450*F450*(IF('Ввод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0" s="2563" t="n">
        <f aca="false">дома!G886*(IF('Ввод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1" customFormat="false" ht="14.5" hidden="false" customHeight="false" outlineLevel="0" collapsed="false">
      <c r="A451" s="2561" t="str">
        <f aca="false">дома!A887</f>
        <v>Стойки каркаса , левая стена, 2 эт</v>
      </c>
      <c r="B451" s="2562" t="str">
        <f aca="false">дома!B887</f>
        <v>м.п.</v>
      </c>
      <c r="C451" s="2563" t="n">
        <f aca="false">дома!C887</f>
        <v>0.4</v>
      </c>
      <c r="D451" s="2563" t="n">
        <f aca="false">дома!D887</f>
        <v>0.05</v>
      </c>
      <c r="E451" s="2563" t="n">
        <f aca="false">дома!E887</f>
        <v>0</v>
      </c>
      <c r="F451" s="2563" t="n">
        <f aca="false">дома!F887</f>
        <v>0</v>
      </c>
      <c r="G451" s="2563" t="n">
        <f aca="false">E451*F451*(IF('Ввод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1" s="2563" t="n">
        <f aca="false">дома!G887*(IF('Ввод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2" customFormat="false" ht="14.5" hidden="false" customHeight="false" outlineLevel="0" collapsed="false">
      <c r="A452" s="2561" t="str">
        <f aca="false">дома!A888</f>
        <v>Стойки каркаса , правая стена, 2 эт</v>
      </c>
      <c r="B452" s="2562" t="str">
        <f aca="false">дома!B888</f>
        <v>м.п.</v>
      </c>
      <c r="C452" s="2563" t="n">
        <f aca="false">дома!C888</f>
        <v>0.4</v>
      </c>
      <c r="D452" s="2563" t="n">
        <f aca="false">дома!D888</f>
        <v>0.05</v>
      </c>
      <c r="E452" s="2563" t="n">
        <f aca="false">дома!E888</f>
        <v>0</v>
      </c>
      <c r="F452" s="2563" t="n">
        <f aca="false">дома!F888</f>
        <v>0</v>
      </c>
      <c r="G452" s="2563" t="n">
        <f aca="false">E452*F452*(IF('Ввод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2" s="2563" t="n">
        <f aca="false">дома!G888*(IF('Ввод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3" customFormat="false" ht="14.5" hidden="false" customHeight="false" outlineLevel="0" collapsed="false">
      <c r="A453" s="2561" t="str">
        <f aca="false">дома!A889</f>
        <v>Обвязка каркаса верхняя/нижняя наружние стены 2 эт</v>
      </c>
      <c r="B453" s="2562" t="str">
        <f aca="false">дома!B889</f>
        <v>м.п.</v>
      </c>
      <c r="C453" s="2563" t="n">
        <f aca="false">дома!C889</f>
        <v>0.4</v>
      </c>
      <c r="D453" s="2563" t="n">
        <f aca="false">дома!D889</f>
        <v>0.05</v>
      </c>
      <c r="E453" s="2563" t="n">
        <f aca="false">дома!E889</f>
        <v>1</v>
      </c>
      <c r="F453" s="2563" t="n">
        <f aca="false">дома!F889</f>
        <v>0</v>
      </c>
      <c r="G453" s="2563" t="n">
        <f aca="false">E453*F453*(IF('Ввод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3" s="2563" t="n">
        <f aca="false">дома!G889*(IF('Ввод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4" customFormat="false" ht="14.5" hidden="false" customHeight="false" outlineLevel="0" collapsed="false">
      <c r="A454" s="2561" t="str">
        <f aca="false">дома!A890</f>
        <v>Ригель каркаса наружние стены 2 эт</v>
      </c>
      <c r="B454" s="2562" t="str">
        <f aca="false">дома!B890</f>
        <v>м.п.</v>
      </c>
      <c r="C454" s="2563" t="n">
        <f aca="false">дома!C890</f>
        <v>0.4</v>
      </c>
      <c r="D454" s="2563" t="n">
        <f aca="false">дома!D890</f>
        <v>0.05</v>
      </c>
      <c r="E454" s="2563" t="n">
        <f aca="false">дома!E890</f>
        <v>1</v>
      </c>
      <c r="F454" s="2563" t="n">
        <f aca="false">дома!F890</f>
        <v>0</v>
      </c>
      <c r="G454" s="2563" t="n">
        <f aca="false">E454*F454*(IF('Ввод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4" s="2563" t="n">
        <f aca="false">дома!G890*(IF('Ввод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5" customFormat="false" ht="14.5" hidden="false" customHeight="false" outlineLevel="0" collapsed="false">
      <c r="A455" s="2561" t="str">
        <f aca="false">дома!A891</f>
        <v>Укосина наружних стен, усиление 2 этаж</v>
      </c>
      <c r="B455" s="2562" t="str">
        <f aca="false">дома!B891</f>
        <v>м.п.</v>
      </c>
      <c r="C455" s="2563" t="n">
        <f aca="false">дома!C891</f>
        <v>0.4</v>
      </c>
      <c r="D455" s="2563" t="n">
        <f aca="false">дома!D891</f>
        <v>0.05</v>
      </c>
      <c r="E455" s="2563" t="n">
        <f aca="false">дома!E891</f>
        <v>1.5</v>
      </c>
      <c r="F455" s="2563" t="n">
        <f aca="false">дома!F891</f>
        <v>0</v>
      </c>
      <c r="G455" s="2563" t="n">
        <f aca="false">E455*F455*(IF('Ввод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5" s="2563" t="n">
        <f aca="false">дома!G891*(IF('Ввод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6" customFormat="false" ht="14.5" hidden="false" customHeight="false" outlineLevel="0" collapsed="false">
      <c r="A456" s="2561" t="str">
        <f aca="false">дома!A892</f>
        <v>Стойка каркаса по фронтону, 2 этаж, односкатная кровля, №1</v>
      </c>
      <c r="B456" s="2562" t="str">
        <f aca="false">дома!B892</f>
        <v>м.п.</v>
      </c>
      <c r="C456" s="2563" t="n">
        <f aca="false">дома!C892</f>
        <v>0.4</v>
      </c>
      <c r="D456" s="2563" t="n">
        <f aca="false">дома!D892</f>
        <v>0.05</v>
      </c>
      <c r="E456" s="2563" t="n">
        <f aca="false">дома!E892</f>
        <v>0</v>
      </c>
      <c r="F456" s="2563" t="n">
        <f aca="false">дома!F892</f>
        <v>0</v>
      </c>
      <c r="G456" s="2563" t="n">
        <f aca="false">E456*F456*(IF('Ввод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6" s="2563" t="n">
        <f aca="false">дома!G892*(IF('Ввод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7" customFormat="false" ht="14.5" hidden="false" customHeight="false" outlineLevel="0" collapsed="false">
      <c r="A457" s="2561" t="str">
        <f aca="false">дома!A893</f>
        <v>Стойка каркаса по фронтону, 2 этаж, односкатная кровля, №2</v>
      </c>
      <c r="B457" s="2562" t="str">
        <f aca="false">дома!B893</f>
        <v>м.п.</v>
      </c>
      <c r="C457" s="2563" t="n">
        <f aca="false">дома!C893</f>
        <v>0.4</v>
      </c>
      <c r="D457" s="2563" t="n">
        <f aca="false">дома!D893</f>
        <v>0.05</v>
      </c>
      <c r="E457" s="2563" t="n">
        <f aca="false">дома!E893</f>
        <v>0</v>
      </c>
      <c r="F457" s="2563" t="n">
        <f aca="false">дома!F893</f>
        <v>0</v>
      </c>
      <c r="G457" s="2563" t="n">
        <f aca="false">E457*F457*(IF('Ввод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7" s="2563" t="n">
        <f aca="false">дома!G893*(IF('Ввод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8" customFormat="false" ht="14.5" hidden="false" customHeight="false" outlineLevel="0" collapsed="false">
      <c r="A458" s="2561" t="str">
        <f aca="false">дома!A894</f>
        <v>Стойка каркаса по фронтону, 2 этаж, односкатная кровля, №3</v>
      </c>
      <c r="B458" s="2562" t="str">
        <f aca="false">дома!B894</f>
        <v>м.п.</v>
      </c>
      <c r="C458" s="2563" t="n">
        <f aca="false">дома!C894</f>
        <v>0.4</v>
      </c>
      <c r="D458" s="2563" t="n">
        <f aca="false">дома!D894</f>
        <v>0.05</v>
      </c>
      <c r="E458" s="2563" t="n">
        <f aca="false">дома!E894</f>
        <v>0</v>
      </c>
      <c r="F458" s="2563" t="n">
        <f aca="false">дома!F894</f>
        <v>0</v>
      </c>
      <c r="G458" s="2563" t="n">
        <f aca="false">E458*F458*(IF('Ввод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8" s="2563" t="n">
        <f aca="false">дома!G894*(IF('Ввод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59" customFormat="false" ht="14.5" hidden="false" customHeight="false" outlineLevel="0" collapsed="false">
      <c r="A459" s="2561" t="str">
        <f aca="false">дома!A895</f>
        <v>Стойка каркаса по фронтону, 2 этаж, односкатная кровля, №4</v>
      </c>
      <c r="B459" s="2562" t="str">
        <f aca="false">дома!B895</f>
        <v>м.п.</v>
      </c>
      <c r="C459" s="2563" t="n">
        <f aca="false">дома!C895</f>
        <v>0.4</v>
      </c>
      <c r="D459" s="2563" t="n">
        <f aca="false">дома!D895</f>
        <v>0.05</v>
      </c>
      <c r="E459" s="2563" t="n">
        <f aca="false">дома!E895</f>
        <v>0</v>
      </c>
      <c r="F459" s="2563" t="n">
        <f aca="false">дома!F895</f>
        <v>0</v>
      </c>
      <c r="G459" s="2563" t="n">
        <f aca="false">E459*F459*(IF('Ввод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59" s="2563" t="n">
        <f aca="false">дома!G895*(IF('Ввод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0" customFormat="false" ht="14.5" hidden="false" customHeight="false" outlineLevel="0" collapsed="false">
      <c r="A460" s="2561" t="str">
        <f aca="false">дома!A896</f>
        <v>Стойка каркаса по фронтону, 2 этаж, односкатная кровля, №5</v>
      </c>
      <c r="B460" s="2562" t="str">
        <f aca="false">дома!B896</f>
        <v>м.п.</v>
      </c>
      <c r="C460" s="2563" t="n">
        <f aca="false">дома!C896</f>
        <v>0.4</v>
      </c>
      <c r="D460" s="2563" t="n">
        <f aca="false">дома!D896</f>
        <v>0.05</v>
      </c>
      <c r="E460" s="2563" t="n">
        <f aca="false">дома!E896</f>
        <v>0</v>
      </c>
      <c r="F460" s="2563" t="n">
        <f aca="false">дома!F896</f>
        <v>0</v>
      </c>
      <c r="G460" s="2563" t="n">
        <f aca="false">E460*F460*(IF('Ввод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0" s="2563" t="n">
        <f aca="false">дома!G896*(IF('Ввод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1" customFormat="false" ht="14.5" hidden="false" customHeight="false" outlineLevel="0" collapsed="false">
      <c r="A461" s="2561" t="str">
        <f aca="false">дома!A897</f>
        <v>Стойка каркаса по фронтону, 2 этаж, односкатная кровля, №6</v>
      </c>
      <c r="B461" s="2562" t="str">
        <f aca="false">дома!B897</f>
        <v>м.п.</v>
      </c>
      <c r="C461" s="2563" t="n">
        <f aca="false">дома!C897</f>
        <v>0.4</v>
      </c>
      <c r="D461" s="2563" t="n">
        <f aca="false">дома!D897</f>
        <v>0.05</v>
      </c>
      <c r="E461" s="2563" t="n">
        <f aca="false">дома!E897</f>
        <v>0</v>
      </c>
      <c r="F461" s="2563" t="n">
        <f aca="false">дома!F897</f>
        <v>0</v>
      </c>
      <c r="G461" s="2563" t="n">
        <f aca="false">E461*F461*(IF('Ввод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1" s="2563" t="n">
        <f aca="false">дома!G897*(IF('Ввод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2" customFormat="false" ht="14.5" hidden="false" customHeight="false" outlineLevel="0" collapsed="false">
      <c r="A462" s="2561" t="str">
        <f aca="false">дома!A898</f>
        <v>Стойка каркаса по фронтону, 2 этаж, односкатная кровля, №7</v>
      </c>
      <c r="B462" s="2562" t="str">
        <f aca="false">дома!B898</f>
        <v>м.п.</v>
      </c>
      <c r="C462" s="2563" t="n">
        <f aca="false">дома!C898</f>
        <v>0.4</v>
      </c>
      <c r="D462" s="2563" t="n">
        <f aca="false">дома!D898</f>
        <v>0.05</v>
      </c>
      <c r="E462" s="2563" t="n">
        <f aca="false">дома!E898</f>
        <v>0</v>
      </c>
      <c r="F462" s="2563" t="n">
        <f aca="false">дома!F898</f>
        <v>0</v>
      </c>
      <c r="G462" s="2563" t="n">
        <f aca="false">E462*F462*(IF('Ввод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2" s="2563" t="n">
        <f aca="false">дома!G898*(IF('Ввод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3" customFormat="false" ht="14.5" hidden="false" customHeight="false" outlineLevel="0" collapsed="false">
      <c r="A463" s="2561" t="str">
        <f aca="false">дома!A899</f>
        <v>Стойка каркаса по фронтону, 2 этаж, односкатная кровля, №8</v>
      </c>
      <c r="B463" s="2562" t="str">
        <f aca="false">дома!B899</f>
        <v>м.п.</v>
      </c>
      <c r="C463" s="2563" t="n">
        <f aca="false">дома!C899</f>
        <v>0.4</v>
      </c>
      <c r="D463" s="2563" t="n">
        <f aca="false">дома!D899</f>
        <v>0.05</v>
      </c>
      <c r="E463" s="2563" t="n">
        <f aca="false">дома!E899</f>
        <v>0</v>
      </c>
      <c r="F463" s="2563" t="n">
        <f aca="false">дома!F899</f>
        <v>0</v>
      </c>
      <c r="G463" s="2563" t="n">
        <f aca="false">E463*F463*(IF('Ввод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3" s="2563" t="n">
        <f aca="false">дома!G899*(IF('Ввод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4" customFormat="false" ht="14.5" hidden="false" customHeight="false" outlineLevel="0" collapsed="false">
      <c r="A464" s="2561" t="str">
        <f aca="false">дома!A900</f>
        <v>Стойка каркаса по фронтону, 2 этаж, односкатная кровля, №9</v>
      </c>
      <c r="B464" s="2562" t="str">
        <f aca="false">дома!B900</f>
        <v>м.п.</v>
      </c>
      <c r="C464" s="2563" t="n">
        <f aca="false">дома!C900</f>
        <v>0.4</v>
      </c>
      <c r="D464" s="2563" t="n">
        <f aca="false">дома!D900</f>
        <v>0.05</v>
      </c>
      <c r="E464" s="2563" t="n">
        <f aca="false">дома!E900</f>
        <v>0</v>
      </c>
      <c r="F464" s="2563" t="n">
        <f aca="false">дома!F900</f>
        <v>0</v>
      </c>
      <c r="G464" s="2563" t="n">
        <f aca="false">E464*F464*(IF('Ввод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4" s="2563" t="n">
        <f aca="false">дома!G900*(IF('Ввод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5" customFormat="false" ht="14.5" hidden="false" customHeight="false" outlineLevel="0" collapsed="false">
      <c r="A465" s="2561" t="str">
        <f aca="false">дома!A901</f>
        <v>Стойка каркаса по фронтону, 2 этаж, односкатная кровля, №10</v>
      </c>
      <c r="B465" s="2562" t="str">
        <f aca="false">дома!B901</f>
        <v>м.п.</v>
      </c>
      <c r="C465" s="2563" t="n">
        <f aca="false">дома!C901</f>
        <v>0.4</v>
      </c>
      <c r="D465" s="2563" t="n">
        <f aca="false">дома!D901</f>
        <v>0.05</v>
      </c>
      <c r="E465" s="2563" t="n">
        <f aca="false">дома!E901</f>
        <v>0</v>
      </c>
      <c r="F465" s="2563" t="n">
        <f aca="false">дома!F901</f>
        <v>0</v>
      </c>
      <c r="G465" s="2563" t="n">
        <f aca="false">E465*F465*(IF('Ввод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5" s="2563" t="n">
        <f aca="false">дома!G901*(IF('Ввод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6" customFormat="false" ht="14.5" hidden="false" customHeight="false" outlineLevel="0" collapsed="false">
      <c r="A466" s="2561" t="str">
        <f aca="false">дома!A902</f>
        <v>Стойка каркаса по фронтону, 2 этаж, односкатная кровля, №11</v>
      </c>
      <c r="B466" s="2562" t="str">
        <f aca="false">дома!B902</f>
        <v>м.п.</v>
      </c>
      <c r="C466" s="2563" t="n">
        <f aca="false">дома!C902</f>
        <v>0.4</v>
      </c>
      <c r="D466" s="2563" t="n">
        <f aca="false">дома!D902</f>
        <v>0.05</v>
      </c>
      <c r="E466" s="2563" t="n">
        <f aca="false">дома!E902</f>
        <v>0</v>
      </c>
      <c r="F466" s="2563" t="n">
        <f aca="false">дома!F902</f>
        <v>0</v>
      </c>
      <c r="G466" s="2563" t="n">
        <f aca="false">E466*F466*(IF('Ввод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6" s="2563" t="n">
        <f aca="false">дома!G902*(IF('Ввод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7" customFormat="false" ht="14.5" hidden="false" customHeight="false" outlineLevel="0" collapsed="false">
      <c r="A467" s="2561" t="str">
        <f aca="false">дома!A903</f>
        <v>Стойка каркаса по фронтону, 2 этаж, односкатная кровля, №12</v>
      </c>
      <c r="B467" s="2562" t="str">
        <f aca="false">дома!B903</f>
        <v>м.п.</v>
      </c>
      <c r="C467" s="2563" t="n">
        <f aca="false">дома!C903</f>
        <v>0.4</v>
      </c>
      <c r="D467" s="2563" t="n">
        <f aca="false">дома!D903</f>
        <v>0.05</v>
      </c>
      <c r="E467" s="2563" t="n">
        <f aca="false">дома!E903</f>
        <v>0</v>
      </c>
      <c r="F467" s="2563" t="n">
        <f aca="false">дома!F903</f>
        <v>0</v>
      </c>
      <c r="G467" s="2563" t="n">
        <f aca="false">E467*F467*(IF('Ввод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7" s="2563" t="n">
        <f aca="false">дома!G903*(IF('Ввод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8" customFormat="false" ht="14.5" hidden="false" customHeight="false" outlineLevel="0" collapsed="false">
      <c r="A468" s="2561" t="str">
        <f aca="false">дома!A904</f>
        <v>Стойка каркаса по фронтону, 2 этаж, односкатная кровля, №13</v>
      </c>
      <c r="B468" s="2562" t="str">
        <f aca="false">дома!B904</f>
        <v>м.п.</v>
      </c>
      <c r="C468" s="2563" t="n">
        <f aca="false">дома!C904</f>
        <v>0.4</v>
      </c>
      <c r="D468" s="2563" t="n">
        <f aca="false">дома!D904</f>
        <v>0.05</v>
      </c>
      <c r="E468" s="2563" t="n">
        <f aca="false">дома!E904</f>
        <v>0</v>
      </c>
      <c r="F468" s="2563" t="n">
        <f aca="false">дома!F904</f>
        <v>0</v>
      </c>
      <c r="G468" s="2563" t="n">
        <f aca="false">E468*F468*(IF('Ввод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8" s="2563" t="n">
        <f aca="false">дома!G904*(IF('Ввод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69" customFormat="false" ht="14.5" hidden="false" customHeight="false" outlineLevel="0" collapsed="false">
      <c r="A469" s="2561" t="str">
        <f aca="false">дома!A905</f>
        <v>Стойка каркаса по фронтону, 2 этаж, односкатная кровля, №14</v>
      </c>
      <c r="B469" s="2562" t="str">
        <f aca="false">дома!B905</f>
        <v>м.п.</v>
      </c>
      <c r="C469" s="2563" t="n">
        <f aca="false">дома!C905</f>
        <v>0.4</v>
      </c>
      <c r="D469" s="2563" t="n">
        <f aca="false">дома!D905</f>
        <v>0.05</v>
      </c>
      <c r="E469" s="2563" t="n">
        <f aca="false">дома!E905</f>
        <v>0</v>
      </c>
      <c r="F469" s="2563" t="n">
        <f aca="false">дома!F905</f>
        <v>0</v>
      </c>
      <c r="G469" s="2563" t="n">
        <f aca="false">E469*F469*(IF('Ввод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69" s="2563" t="n">
        <f aca="false">дома!G905*(IF('Ввод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0" customFormat="false" ht="14.5" hidden="false" customHeight="false" outlineLevel="0" collapsed="false">
      <c r="A470" s="2561" t="str">
        <f aca="false">дома!A906</f>
        <v>Стойка каркаса по фронтону, 2 этаж, односкатная кровля, №15</v>
      </c>
      <c r="B470" s="2562" t="str">
        <f aca="false">дома!B906</f>
        <v>м.п.</v>
      </c>
      <c r="C470" s="2563" t="n">
        <f aca="false">дома!C906</f>
        <v>0.4</v>
      </c>
      <c r="D470" s="2563" t="n">
        <f aca="false">дома!D906</f>
        <v>0.05</v>
      </c>
      <c r="E470" s="2563" t="n">
        <f aca="false">дома!E906</f>
        <v>0</v>
      </c>
      <c r="F470" s="2563" t="n">
        <f aca="false">дома!F906</f>
        <v>0</v>
      </c>
      <c r="G470" s="2563" t="n">
        <f aca="false">E470*F470*(IF('Ввод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0" s="2563" t="n">
        <f aca="false">дома!G906*(IF('Ввод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1" customFormat="false" ht="14.5" hidden="false" customHeight="false" outlineLevel="0" collapsed="false">
      <c r="A471" s="2561" t="str">
        <f aca="false">дома!A907</f>
        <v>Стойка каркаса по фронтону, 2 этаж, односкатная кровля, №16</v>
      </c>
      <c r="B471" s="2562" t="str">
        <f aca="false">дома!B907</f>
        <v>м.п.</v>
      </c>
      <c r="C471" s="2563" t="n">
        <f aca="false">дома!C907</f>
        <v>0.4</v>
      </c>
      <c r="D471" s="2563" t="n">
        <f aca="false">дома!D907</f>
        <v>0.05</v>
      </c>
      <c r="E471" s="2563" t="n">
        <f aca="false">дома!E907</f>
        <v>0</v>
      </c>
      <c r="F471" s="2563" t="n">
        <f aca="false">дома!F907</f>
        <v>0</v>
      </c>
      <c r="G471" s="2563" t="n">
        <f aca="false">E471*F471*(IF('Ввод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1" s="2563" t="n">
        <f aca="false">дома!G907*(IF('Ввод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2" customFormat="false" ht="14.5" hidden="false" customHeight="false" outlineLevel="0" collapsed="false">
      <c r="A472" s="2561" t="str">
        <f aca="false">дома!A908</f>
        <v>Стойка каркаса по фронтону, 2 этаж, односкатная кровля, №17</v>
      </c>
      <c r="B472" s="2562" t="str">
        <f aca="false">дома!B908</f>
        <v>м.п.</v>
      </c>
      <c r="C472" s="2563" t="n">
        <f aca="false">дома!C908</f>
        <v>0.4</v>
      </c>
      <c r="D472" s="2563" t="n">
        <f aca="false">дома!D908</f>
        <v>0.05</v>
      </c>
      <c r="E472" s="2563" t="n">
        <f aca="false">дома!E908</f>
        <v>0</v>
      </c>
      <c r="F472" s="2563" t="n">
        <f aca="false">дома!F908</f>
        <v>0</v>
      </c>
      <c r="G472" s="2563" t="n">
        <f aca="false">E472*F472*(IF('Ввод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2" s="2563" t="n">
        <f aca="false">дома!G908*(IF('Ввод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3" customFormat="false" ht="14.5" hidden="false" customHeight="false" outlineLevel="0" collapsed="false">
      <c r="A473" s="2561" t="str">
        <f aca="false">дома!A909</f>
        <v>Стойка каркаса по фронтону, 2 этаж, двускатная кровля, №1</v>
      </c>
      <c r="B473" s="2562" t="str">
        <f aca="false">дома!B909</f>
        <v>м.п.</v>
      </c>
      <c r="C473" s="2563" t="n">
        <f aca="false">дома!C909</f>
        <v>0.4</v>
      </c>
      <c r="D473" s="2563" t="n">
        <f aca="false">дома!D909</f>
        <v>0.05</v>
      </c>
      <c r="E473" s="2563" t="n">
        <f aca="false">дома!E909</f>
        <v>0</v>
      </c>
      <c r="F473" s="2563" t="n">
        <f aca="false">дома!F909</f>
        <v>0</v>
      </c>
      <c r="G473" s="2563" t="n">
        <f aca="false">E473*F473*(IF('Ввод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3" s="2563" t="n">
        <f aca="false">дома!G909*(IF('Ввод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4" customFormat="false" ht="14.5" hidden="false" customHeight="false" outlineLevel="0" collapsed="false">
      <c r="A474" s="2561" t="str">
        <f aca="false">дома!A910</f>
        <v>Стойка каркаса по фронтону, 2 этаж, двускатная кровля, №2</v>
      </c>
      <c r="B474" s="2562" t="str">
        <f aca="false">дома!B910</f>
        <v>м.п.</v>
      </c>
      <c r="C474" s="2563" t="n">
        <f aca="false">дома!C910</f>
        <v>0.4</v>
      </c>
      <c r="D474" s="2563" t="n">
        <f aca="false">дома!D910</f>
        <v>0.05</v>
      </c>
      <c r="E474" s="2563" t="n">
        <f aca="false">дома!E910</f>
        <v>0</v>
      </c>
      <c r="F474" s="2563" t="n">
        <f aca="false">дома!F910</f>
        <v>0</v>
      </c>
      <c r="G474" s="2563" t="n">
        <f aca="false">E474*F474*(IF('Ввод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4" s="2563" t="n">
        <f aca="false">дома!G910*(IF('Ввод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5" customFormat="false" ht="14.5" hidden="false" customHeight="false" outlineLevel="0" collapsed="false">
      <c r="A475" s="2561" t="str">
        <f aca="false">дома!A911</f>
        <v>Стойка каркаса по фронтону, 2 этаж, двускатная кровля, №3</v>
      </c>
      <c r="B475" s="2562" t="str">
        <f aca="false">дома!B911</f>
        <v>м.п.</v>
      </c>
      <c r="C475" s="2563" t="n">
        <f aca="false">дома!C911</f>
        <v>0.4</v>
      </c>
      <c r="D475" s="2563" t="n">
        <f aca="false">дома!D911</f>
        <v>0.05</v>
      </c>
      <c r="E475" s="2563" t="n">
        <f aca="false">дома!E911</f>
        <v>0</v>
      </c>
      <c r="F475" s="2563" t="n">
        <f aca="false">дома!F911</f>
        <v>0</v>
      </c>
      <c r="G475" s="2563" t="n">
        <f aca="false">E475*F475*(IF('Ввод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5" s="2563" t="n">
        <f aca="false">дома!G911*(IF('Ввод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6" customFormat="false" ht="14.5" hidden="false" customHeight="false" outlineLevel="0" collapsed="false">
      <c r="A476" s="2561" t="str">
        <f aca="false">дома!A912</f>
        <v>Стойка каркаса по фронтону, 2 этаж, двускатная кровля, №4</v>
      </c>
      <c r="B476" s="2562" t="str">
        <f aca="false">дома!B912</f>
        <v>м.п.</v>
      </c>
      <c r="C476" s="2563" t="n">
        <f aca="false">дома!C912</f>
        <v>0.4</v>
      </c>
      <c r="D476" s="2563" t="n">
        <f aca="false">дома!D912</f>
        <v>0.05</v>
      </c>
      <c r="E476" s="2563" t="n">
        <f aca="false">дома!E912</f>
        <v>0</v>
      </c>
      <c r="F476" s="2563" t="n">
        <f aca="false">дома!F912</f>
        <v>0</v>
      </c>
      <c r="G476" s="2563" t="n">
        <f aca="false">E476*F476*(IF('Ввод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6" s="2563" t="n">
        <f aca="false">дома!G912*(IF('Ввод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7" customFormat="false" ht="14.5" hidden="false" customHeight="false" outlineLevel="0" collapsed="false">
      <c r="A477" s="2561" t="str">
        <f aca="false">дома!A913</f>
        <v>Стойка каркаса по фронтону, 2 этаж, двускатная кровля, №5</v>
      </c>
      <c r="B477" s="2562" t="str">
        <f aca="false">дома!B913</f>
        <v>м.п.</v>
      </c>
      <c r="C477" s="2563" t="n">
        <f aca="false">дома!C913</f>
        <v>0.4</v>
      </c>
      <c r="D477" s="2563" t="n">
        <f aca="false">дома!D913</f>
        <v>0.05</v>
      </c>
      <c r="E477" s="2563" t="n">
        <f aca="false">дома!E913</f>
        <v>0</v>
      </c>
      <c r="F477" s="2563" t="n">
        <f aca="false">дома!F913</f>
        <v>0</v>
      </c>
      <c r="G477" s="2563" t="n">
        <f aca="false">E477*F477*(IF('Ввод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7" s="2563" t="n">
        <f aca="false">дома!G913*(IF('Ввод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8" customFormat="false" ht="14.5" hidden="false" customHeight="false" outlineLevel="0" collapsed="false">
      <c r="A478" s="2561" t="str">
        <f aca="false">дома!A914</f>
        <v>Стойка каркаса по фронтону, 2 этаж, двускатная кровля, №6</v>
      </c>
      <c r="B478" s="2562" t="str">
        <f aca="false">дома!B914</f>
        <v>м.п.</v>
      </c>
      <c r="C478" s="2563" t="n">
        <f aca="false">дома!C914</f>
        <v>0.4</v>
      </c>
      <c r="D478" s="2563" t="n">
        <f aca="false">дома!D914</f>
        <v>0.05</v>
      </c>
      <c r="E478" s="2563" t="n">
        <f aca="false">дома!E914</f>
        <v>0</v>
      </c>
      <c r="F478" s="2563" t="n">
        <f aca="false">дома!F914</f>
        <v>0</v>
      </c>
      <c r="G478" s="2563" t="n">
        <f aca="false">E478*F478*(IF('Ввод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8" s="2563" t="n">
        <f aca="false">дома!G914*(IF('Ввод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79" customFormat="false" ht="14.5" hidden="false" customHeight="false" outlineLevel="0" collapsed="false">
      <c r="A479" s="2561" t="str">
        <f aca="false">дома!A915</f>
        <v>Стойка каркаса по фронтону, 2 этаж, двускатная кровля, №7</v>
      </c>
      <c r="B479" s="2562" t="str">
        <f aca="false">дома!B915</f>
        <v>м.п.</v>
      </c>
      <c r="C479" s="2563" t="n">
        <f aca="false">дома!C915</f>
        <v>0.4</v>
      </c>
      <c r="D479" s="2563" t="n">
        <f aca="false">дома!D915</f>
        <v>0.05</v>
      </c>
      <c r="E479" s="2563" t="n">
        <f aca="false">дома!E915</f>
        <v>0</v>
      </c>
      <c r="F479" s="2563" t="n">
        <f aca="false">дома!F915</f>
        <v>0</v>
      </c>
      <c r="G479" s="2563" t="n">
        <f aca="false">E479*F479*(IF('Ввод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79" s="2563" t="n">
        <f aca="false">дома!G915*(IF('Ввод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0" customFormat="false" ht="14.5" hidden="false" customHeight="false" outlineLevel="0" collapsed="false">
      <c r="A480" s="2561" t="str">
        <f aca="false">дома!A916</f>
        <v>Стойка каркаса по фронтону, 2 этаж, двускатная кровля, №8</v>
      </c>
      <c r="B480" s="2562" t="str">
        <f aca="false">дома!B916</f>
        <v>м.п.</v>
      </c>
      <c r="C480" s="2563" t="n">
        <f aca="false">дома!C916</f>
        <v>0.4</v>
      </c>
      <c r="D480" s="2563" t="n">
        <f aca="false">дома!D916</f>
        <v>0.05</v>
      </c>
      <c r="E480" s="2563" t="n">
        <f aca="false">дома!E916</f>
        <v>0</v>
      </c>
      <c r="F480" s="2563" t="n">
        <f aca="false">дома!F916</f>
        <v>0</v>
      </c>
      <c r="G480" s="2563" t="n">
        <f aca="false">E480*F480*(IF('Ввод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0" s="2563" t="n">
        <f aca="false">дома!G916*(IF('Ввод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1" customFormat="false" ht="14.5" hidden="false" customHeight="false" outlineLevel="0" collapsed="false">
      <c r="A481" s="2561" t="str">
        <f aca="false">дома!A917</f>
        <v>Стойка каркаса по фронтону, 2 этаж, двускатная кровля, №9</v>
      </c>
      <c r="B481" s="2562" t="str">
        <f aca="false">дома!B917</f>
        <v>м.п.</v>
      </c>
      <c r="C481" s="2563" t="n">
        <f aca="false">дома!C917</f>
        <v>0.4</v>
      </c>
      <c r="D481" s="2563" t="n">
        <f aca="false">дома!D917</f>
        <v>0.05</v>
      </c>
      <c r="E481" s="2563" t="n">
        <f aca="false">дома!E917</f>
        <v>0</v>
      </c>
      <c r="F481" s="2563" t="n">
        <f aca="false">дома!F917</f>
        <v>0</v>
      </c>
      <c r="G481" s="2563" t="n">
        <f aca="false">E481*F481*(IF('Ввод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1" s="2563" t="n">
        <f aca="false">дома!G917*(IF('Ввод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2" customFormat="false" ht="14.5" hidden="false" customHeight="false" outlineLevel="0" collapsed="false">
      <c r="A482" s="2561" t="str">
        <f aca="false">дома!A918</f>
        <v>Стойка каркаса по фронтону, 2 этаж, двускатная кровля, №10</v>
      </c>
      <c r="B482" s="2562" t="str">
        <f aca="false">дома!B918</f>
        <v>м.п.</v>
      </c>
      <c r="C482" s="2563" t="n">
        <f aca="false">дома!C918</f>
        <v>0.4</v>
      </c>
      <c r="D482" s="2563" t="n">
        <f aca="false">дома!D918</f>
        <v>0.05</v>
      </c>
      <c r="E482" s="2563" t="n">
        <f aca="false">дома!E918</f>
        <v>0</v>
      </c>
      <c r="F482" s="2563" t="n">
        <f aca="false">дома!F918</f>
        <v>0</v>
      </c>
      <c r="G482" s="2563" t="n">
        <f aca="false">E482*F482*(IF('Ввод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2" s="2563" t="n">
        <f aca="false">дома!G918*(IF('Ввод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3" customFormat="false" ht="14.5" hidden="false" customHeight="false" outlineLevel="0" collapsed="false">
      <c r="A483" s="2561" t="str">
        <f aca="false">дома!A919</f>
        <v>Стойка каркаса по фронтону, 2 этаж, двускатная кровля, №11</v>
      </c>
      <c r="B483" s="2562" t="str">
        <f aca="false">дома!B919</f>
        <v>м.п.</v>
      </c>
      <c r="C483" s="2563" t="n">
        <f aca="false">дома!C919</f>
        <v>0.4</v>
      </c>
      <c r="D483" s="2563" t="n">
        <f aca="false">дома!D919</f>
        <v>0.05</v>
      </c>
      <c r="E483" s="2563" t="n">
        <f aca="false">дома!E919</f>
        <v>0</v>
      </c>
      <c r="F483" s="2563" t="n">
        <f aca="false">дома!F919</f>
        <v>0</v>
      </c>
      <c r="G483" s="2563" t="n">
        <f aca="false">E483*F483*(IF('Ввод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3" s="2563" t="n">
        <f aca="false">дома!G919*(IF('Ввод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4" customFormat="false" ht="14.5" hidden="false" customHeight="false" outlineLevel="0" collapsed="false">
      <c r="A484" s="2561" t="str">
        <f aca="false">дома!A920</f>
        <v>Стойка каркаса по фронтону, 2 этаж, двускатная кровля, №12</v>
      </c>
      <c r="B484" s="2562" t="str">
        <f aca="false">дома!B920</f>
        <v>м.п.</v>
      </c>
      <c r="C484" s="2563" t="n">
        <f aca="false">дома!C920</f>
        <v>0.4</v>
      </c>
      <c r="D484" s="2563" t="n">
        <f aca="false">дома!D920</f>
        <v>0.05</v>
      </c>
      <c r="E484" s="2563" t="n">
        <f aca="false">дома!E920</f>
        <v>0</v>
      </c>
      <c r="F484" s="2563" t="n">
        <f aca="false">дома!F920</f>
        <v>0</v>
      </c>
      <c r="G484" s="2563" t="n">
        <f aca="false">E484*F484*(IF('Ввод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4" s="2563" t="n">
        <f aca="false">дома!G920*(IF('Ввод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5" customFormat="false" ht="14.5" hidden="false" customHeight="false" outlineLevel="0" collapsed="false">
      <c r="A485" s="2561" t="str">
        <f aca="false">дома!A921</f>
        <v>Стойка каркаса по фронтону, 2 этаж, двускатная кровля, №13</v>
      </c>
      <c r="B485" s="2562" t="str">
        <f aca="false">дома!B921</f>
        <v>м.п.</v>
      </c>
      <c r="C485" s="2563" t="n">
        <f aca="false">дома!C921</f>
        <v>0.4</v>
      </c>
      <c r="D485" s="2563" t="n">
        <f aca="false">дома!D921</f>
        <v>0.05</v>
      </c>
      <c r="E485" s="2563" t="n">
        <f aca="false">дома!E921</f>
        <v>0</v>
      </c>
      <c r="F485" s="2563" t="n">
        <f aca="false">дома!F921</f>
        <v>0</v>
      </c>
      <c r="G485" s="2563" t="n">
        <f aca="false">E485*F485*(IF('Ввод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5" s="2563" t="n">
        <f aca="false">дома!G921*(IF('Ввод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6" customFormat="false" ht="14.5" hidden="false" customHeight="false" outlineLevel="0" collapsed="false">
      <c r="A486" s="2561" t="str">
        <f aca="false">дома!A922</f>
        <v>Стойка каркаса по фронтону, 2 этаж, двускатная кровля, №14</v>
      </c>
      <c r="B486" s="2562" t="str">
        <f aca="false">дома!B922</f>
        <v>м.п.</v>
      </c>
      <c r="C486" s="2563" t="n">
        <f aca="false">дома!C922</f>
        <v>0.4</v>
      </c>
      <c r="D486" s="2563" t="n">
        <f aca="false">дома!D922</f>
        <v>0.05</v>
      </c>
      <c r="E486" s="2563" t="n">
        <f aca="false">дома!E922</f>
        <v>0</v>
      </c>
      <c r="F486" s="2563" t="n">
        <f aca="false">дома!F922</f>
        <v>0</v>
      </c>
      <c r="G486" s="2563" t="n">
        <f aca="false">E486*F486*(IF('Ввод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6" s="2563" t="n">
        <f aca="false">дома!G922*(IF('Ввод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7" customFormat="false" ht="14.5" hidden="false" customHeight="false" outlineLevel="0" collapsed="false">
      <c r="A487" s="2561" t="str">
        <f aca="false">дома!A923</f>
        <v>Стойка каркаса по фронтону, 2 этаж, двускатная кровля, №15</v>
      </c>
      <c r="B487" s="2562" t="str">
        <f aca="false">дома!B923</f>
        <v>м.п.</v>
      </c>
      <c r="C487" s="2563" t="n">
        <f aca="false">дома!C923</f>
        <v>0.4</v>
      </c>
      <c r="D487" s="2563" t="n">
        <f aca="false">дома!D923</f>
        <v>0.05</v>
      </c>
      <c r="E487" s="2563" t="n">
        <f aca="false">дома!E923</f>
        <v>0</v>
      </c>
      <c r="F487" s="2563" t="n">
        <f aca="false">дома!F923</f>
        <v>0</v>
      </c>
      <c r="G487" s="2563" t="n">
        <f aca="false">E487*F487*(IF('Ввод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7" s="2563" t="n">
        <f aca="false">дома!G923*(IF('Ввод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8" customFormat="false" ht="14.5" hidden="false" customHeight="false" outlineLevel="0" collapsed="false">
      <c r="A488" s="2561" t="str">
        <f aca="false">дома!A924</f>
        <v>Стойка каркаса по фронтону, 2 этаж, двускатная кровля, №16</v>
      </c>
      <c r="B488" s="2562" t="str">
        <f aca="false">дома!B924</f>
        <v>м.п.</v>
      </c>
      <c r="C488" s="2563" t="n">
        <f aca="false">дома!C924</f>
        <v>0.4</v>
      </c>
      <c r="D488" s="2563" t="n">
        <f aca="false">дома!D924</f>
        <v>0.05</v>
      </c>
      <c r="E488" s="2563" t="n">
        <f aca="false">дома!E924</f>
        <v>0</v>
      </c>
      <c r="F488" s="2563" t="n">
        <f aca="false">дома!F924</f>
        <v>0</v>
      </c>
      <c r="G488" s="2563" t="n">
        <f aca="false">E488*F488*(IF('Ввод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8" s="2563" t="n">
        <f aca="false">дома!G924*(IF('Ввод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89" customFormat="false" ht="14.5" hidden="false" customHeight="false" outlineLevel="0" collapsed="false">
      <c r="A489" s="2561" t="str">
        <f aca="false">дома!A925</f>
        <v>Стойка каркаса по фронтону, 2 этаж, двускатная кровля, №17</v>
      </c>
      <c r="B489" s="2562" t="str">
        <f aca="false">дома!B925</f>
        <v>м.п.</v>
      </c>
      <c r="C489" s="2563" t="n">
        <f aca="false">дома!C925</f>
        <v>0.4</v>
      </c>
      <c r="D489" s="2563" t="n">
        <f aca="false">дома!D925</f>
        <v>0.05</v>
      </c>
      <c r="E489" s="2563" t="n">
        <f aca="false">дома!E925</f>
        <v>0</v>
      </c>
      <c r="F489" s="2563" t="n">
        <f aca="false">дома!F925</f>
        <v>0</v>
      </c>
      <c r="G489" s="2563" t="n">
        <f aca="false">E489*F489*(IF('Ввод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489" s="2563" t="n">
        <f aca="false">дома!G925*(IF('Ввод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490" customFormat="false" ht="21" hidden="false" customHeight="false" outlineLevel="0" collapsed="false">
      <c r="A490" s="2558" t="s">
        <v>4171</v>
      </c>
      <c r="B490" s="2558"/>
      <c r="C490" s="2558"/>
      <c r="D490" s="2558"/>
      <c r="E490" s="2558"/>
      <c r="F490" s="2558"/>
      <c r="G490" s="2564" t="n">
        <f aca="false">E490*F490</f>
        <v>0</v>
      </c>
      <c r="H490" s="2564" t="n">
        <f aca="false">SUM(H491:H530)</f>
        <v>0</v>
      </c>
    </row>
    <row r="491" customFormat="false" ht="14.5" hidden="false" customHeight="false" outlineLevel="0" collapsed="false">
      <c r="A491" s="2561" t="str">
        <f aca="false">дома!A466</f>
        <v>Стойки каркаса передней стены 1 эт</v>
      </c>
      <c r="B491" s="2562" t="str">
        <f aca="false">дома!B466</f>
        <v>м.п.</v>
      </c>
      <c r="C491" s="2563" t="n">
        <f aca="false">дома!C466</f>
        <v>0.4</v>
      </c>
      <c r="D491" s="2563" t="n">
        <f aca="false">дома!D466</f>
        <v>0.05</v>
      </c>
      <c r="E491" s="2563" t="n">
        <f aca="false">дома!E466</f>
        <v>2.9</v>
      </c>
      <c r="F491" s="2563" t="n">
        <f aca="false">дома!F466</f>
        <v>0</v>
      </c>
      <c r="G491" s="2563" t="n">
        <f aca="false">E491*F491*IF('Ввод данных'!$A$8=связи1!$A$150,1,0)</f>
        <v>0</v>
      </c>
      <c r="H491" s="2563" t="n">
        <f aca="false">дома!G466*IF('Ввод данных'!$A$8=связи1!$A$150,1,0)</f>
        <v>0</v>
      </c>
    </row>
    <row r="492" customFormat="false" ht="14.5" hidden="false" customHeight="false" outlineLevel="0" collapsed="false">
      <c r="A492" s="2561" t="str">
        <f aca="false">дома!A467</f>
        <v>Стойки каркаса, левая сторона 1 эт</v>
      </c>
      <c r="B492" s="2562" t="str">
        <f aca="false">дома!B467</f>
        <v>м.п.</v>
      </c>
      <c r="C492" s="2563" t="n">
        <f aca="false">дома!C467</f>
        <v>0.4</v>
      </c>
      <c r="D492" s="2563" t="n">
        <f aca="false">дома!D467</f>
        <v>0.05</v>
      </c>
      <c r="E492" s="2563" t="n">
        <f aca="false">дома!E467</f>
        <v>2.9</v>
      </c>
      <c r="F492" s="2563" t="n">
        <f aca="false">дома!F467</f>
        <v>0</v>
      </c>
      <c r="G492" s="2563" t="n">
        <f aca="false">E492*F492*IF('Ввод данных'!$A$8=связи1!$A$150,1,0)</f>
        <v>0</v>
      </c>
      <c r="H492" s="2563" t="n">
        <f aca="false">дома!G467*IF('Ввод данных'!$A$8=связи1!$A$150,1,0)</f>
        <v>0</v>
      </c>
    </row>
    <row r="493" customFormat="false" ht="14.5" hidden="false" customHeight="false" outlineLevel="0" collapsed="false">
      <c r="A493" s="2561" t="str">
        <f aca="false">дома!A468</f>
        <v>Стойки каркаса, правая сторона, 1 эт</v>
      </c>
      <c r="B493" s="2562" t="str">
        <f aca="false">дома!B468</f>
        <v>м.п.</v>
      </c>
      <c r="C493" s="2563" t="n">
        <f aca="false">дома!C468</f>
        <v>0.4</v>
      </c>
      <c r="D493" s="2563" t="n">
        <f aca="false">дома!D468</f>
        <v>0.05</v>
      </c>
      <c r="E493" s="2563" t="n">
        <f aca="false">дома!E468</f>
        <v>2.9</v>
      </c>
      <c r="F493" s="2563" t="n">
        <f aca="false">дома!F468</f>
        <v>0</v>
      </c>
      <c r="G493" s="2563" t="n">
        <f aca="false">E493*F493*IF('Ввод данных'!$A$8=связи1!$A$150,1,0)</f>
        <v>0</v>
      </c>
      <c r="H493" s="2563" t="n">
        <f aca="false">дома!G468*IF('Ввод данных'!$A$8=связи1!$A$150,1,0)</f>
        <v>0</v>
      </c>
    </row>
    <row r="494" customFormat="false" ht="14.5" hidden="false" customHeight="false" outlineLevel="0" collapsed="false">
      <c r="A494" s="2561" t="str">
        <f aca="false">дома!A469</f>
        <v>Обвязка каркаса верхняя/нижняя наружние стены 1 эт</v>
      </c>
      <c r="B494" s="2562" t="str">
        <f aca="false">дома!B469</f>
        <v>м.п.</v>
      </c>
      <c r="C494" s="2563" t="n">
        <f aca="false">дома!C469</f>
        <v>0.4</v>
      </c>
      <c r="D494" s="2563" t="n">
        <f aca="false">дома!D469</f>
        <v>0.05</v>
      </c>
      <c r="E494" s="2563" t="n">
        <f aca="false">дома!E469</f>
        <v>0</v>
      </c>
      <c r="F494" s="2563" t="n">
        <f aca="false">дома!F469</f>
        <v>0</v>
      </c>
      <c r="G494" s="2563" t="n">
        <f aca="false">E494*F494*IF('Ввод данных'!$A$8=связи1!$A$150,1,0)</f>
        <v>0</v>
      </c>
      <c r="H494" s="2563" t="n">
        <f aca="false">дома!G469*IF('Ввод данных'!$A$8=связи1!$A$150,1,0)</f>
        <v>0</v>
      </c>
    </row>
    <row r="495" customFormat="false" ht="14.5" hidden="false" customHeight="false" outlineLevel="0" collapsed="false">
      <c r="A495" s="2561" t="str">
        <f aca="false">дома!A470</f>
        <v>Ригель каркаса наружние стены 1 эт</v>
      </c>
      <c r="B495" s="2562" t="str">
        <f aca="false">дома!B470</f>
        <v>м.п.</v>
      </c>
      <c r="C495" s="2563" t="n">
        <f aca="false">дома!C470</f>
        <v>0.4</v>
      </c>
      <c r="D495" s="2563" t="n">
        <f aca="false">дома!D470</f>
        <v>0.05</v>
      </c>
      <c r="E495" s="2563" t="n">
        <f aca="false">дома!E470</f>
        <v>0</v>
      </c>
      <c r="F495" s="2563" t="n">
        <f aca="false">дома!F470</f>
        <v>0</v>
      </c>
      <c r="G495" s="2563" t="n">
        <f aca="false">E495*F495*IF('Ввод данных'!$A$8=связи1!$A$150,1,0)</f>
        <v>0</v>
      </c>
      <c r="H495" s="2563" t="n">
        <f aca="false">дома!G470*IF('Ввод данных'!$A$8=связи1!$A$150,1,0)</f>
        <v>0</v>
      </c>
    </row>
    <row r="496" customFormat="false" ht="14.5" hidden="false" customHeight="false" outlineLevel="0" collapsed="false">
      <c r="A496" s="2561" t="str">
        <f aca="false">дома!A471</f>
        <v>Укосина наружних стен, усиление 1 этаж</v>
      </c>
      <c r="B496" s="2562" t="str">
        <f aca="false">дома!B471</f>
        <v>м.п.</v>
      </c>
      <c r="C496" s="2563" t="n">
        <f aca="false">дома!C471</f>
        <v>0.4</v>
      </c>
      <c r="D496" s="2563" t="n">
        <f aca="false">дома!D471</f>
        <v>0.05</v>
      </c>
      <c r="E496" s="2563" t="n">
        <f aca="false">дома!E471</f>
        <v>0</v>
      </c>
      <c r="F496" s="2563" t="n">
        <f aca="false">дома!F471</f>
        <v>8</v>
      </c>
      <c r="G496" s="2563" t="n">
        <f aca="false">E496*F496*IF('Ввод данных'!$A$8=связи1!$A$150,1,0)</f>
        <v>0</v>
      </c>
      <c r="H496" s="2563" t="n">
        <f aca="false">дома!G471*IF('Ввод данных'!$A$8=связи1!$A$150,1,0)</f>
        <v>0</v>
      </c>
    </row>
    <row r="497" customFormat="false" ht="14.5" hidden="false" customHeight="false" outlineLevel="0" collapsed="false">
      <c r="A497" s="2561" t="str">
        <f aca="false">дома!A472</f>
        <v>Стойка каркаса по фронтону, 1 этаж, односкатная кровля, №1</v>
      </c>
      <c r="B497" s="2562" t="str">
        <f aca="false">дома!B472</f>
        <v>м.п.</v>
      </c>
      <c r="C497" s="2563" t="n">
        <f aca="false">дома!C472</f>
        <v>0.4</v>
      </c>
      <c r="D497" s="2563" t="n">
        <f aca="false">дома!D472</f>
        <v>0.05</v>
      </c>
      <c r="E497" s="2563" t="n">
        <f aca="false">дома!E472</f>
        <v>0</v>
      </c>
      <c r="F497" s="2563" t="n">
        <f aca="false">дома!F472</f>
        <v>2</v>
      </c>
      <c r="G497" s="2563" t="n">
        <f aca="false">E497*F497*IF('Ввод данных'!$A$8=связи1!$A$150,1,0)</f>
        <v>0</v>
      </c>
      <c r="H497" s="2563" t="n">
        <f aca="false">дома!G472*IF('Ввод данных'!$A$8=связи1!$A$150,1,0)</f>
        <v>0</v>
      </c>
    </row>
    <row r="498" customFormat="false" ht="14.5" hidden="false" customHeight="false" outlineLevel="0" collapsed="false">
      <c r="A498" s="2561" t="str">
        <f aca="false">дома!A473</f>
        <v>Стойка каркаса по фронтону, 1 этаж, односкатная кровля, №2</v>
      </c>
      <c r="B498" s="2562" t="str">
        <f aca="false">дома!B473</f>
        <v>м.п.</v>
      </c>
      <c r="C498" s="2563" t="n">
        <f aca="false">дома!C473</f>
        <v>0.4</v>
      </c>
      <c r="D498" s="2563" t="n">
        <f aca="false">дома!D473</f>
        <v>0.05</v>
      </c>
      <c r="E498" s="2563" t="n">
        <f aca="false">дома!E473</f>
        <v>0</v>
      </c>
      <c r="F498" s="2563" t="n">
        <f aca="false">дома!F473</f>
        <v>2</v>
      </c>
      <c r="G498" s="2563" t="n">
        <f aca="false">E498*F498*IF('Ввод данных'!$A$8=связи1!$A$150,1,0)</f>
        <v>0</v>
      </c>
      <c r="H498" s="2563" t="n">
        <f aca="false">дома!G473*IF('Ввод данных'!$A$8=связи1!$A$150,1,0)</f>
        <v>0</v>
      </c>
    </row>
    <row r="499" customFormat="false" ht="14.5" hidden="false" customHeight="false" outlineLevel="0" collapsed="false">
      <c r="A499" s="2561" t="str">
        <f aca="false">дома!A474</f>
        <v>Стойка каркаса по фронтону, 1 этаж, односкатная кровля, №3</v>
      </c>
      <c r="B499" s="2562" t="str">
        <f aca="false">дома!B474</f>
        <v>м.п.</v>
      </c>
      <c r="C499" s="2563" t="n">
        <f aca="false">дома!C474</f>
        <v>0.4</v>
      </c>
      <c r="D499" s="2563" t="n">
        <f aca="false">дома!D474</f>
        <v>0.05</v>
      </c>
      <c r="E499" s="2563" t="n">
        <f aca="false">дома!E474</f>
        <v>0</v>
      </c>
      <c r="F499" s="2563" t="n">
        <f aca="false">дома!F474</f>
        <v>2</v>
      </c>
      <c r="G499" s="2563" t="n">
        <f aca="false">E499*F499*IF('Ввод данных'!$A$8=связи1!$A$150,1,0)</f>
        <v>0</v>
      </c>
      <c r="H499" s="2563" t="n">
        <f aca="false">дома!G474*IF('Ввод данных'!$A$8=связи1!$A$150,1,0)</f>
        <v>0</v>
      </c>
    </row>
    <row r="500" customFormat="false" ht="14.5" hidden="false" customHeight="false" outlineLevel="0" collapsed="false">
      <c r="A500" s="2561" t="str">
        <f aca="false">дома!A475</f>
        <v>Стойка каркаса по фронтону, 1 этаж, односкатная кровля, №4</v>
      </c>
      <c r="B500" s="2562" t="str">
        <f aca="false">дома!B475</f>
        <v>м.п.</v>
      </c>
      <c r="C500" s="2563" t="n">
        <f aca="false">дома!C475</f>
        <v>0.4</v>
      </c>
      <c r="D500" s="2563" t="n">
        <f aca="false">дома!D475</f>
        <v>0.05</v>
      </c>
      <c r="E500" s="2563" t="n">
        <f aca="false">дома!E475</f>
        <v>0</v>
      </c>
      <c r="F500" s="2563" t="n">
        <f aca="false">дома!F475</f>
        <v>2</v>
      </c>
      <c r="G500" s="2563" t="n">
        <f aca="false">E500*F500*IF('Ввод данных'!$A$8=связи1!$A$150,1,0)</f>
        <v>0</v>
      </c>
      <c r="H500" s="2563" t="n">
        <f aca="false">дома!G475*IF('Ввод данных'!$A$8=связи1!$A$150,1,0)</f>
        <v>0</v>
      </c>
    </row>
    <row r="501" customFormat="false" ht="14.5" hidden="false" customHeight="false" outlineLevel="0" collapsed="false">
      <c r="A501" s="2561" t="str">
        <f aca="false">дома!A476</f>
        <v>Стойка каркаса по фронтону, 1 этаж, односкатная кровля, №5</v>
      </c>
      <c r="B501" s="2562" t="str">
        <f aca="false">дома!B476</f>
        <v>м.п.</v>
      </c>
      <c r="C501" s="2563" t="n">
        <f aca="false">дома!C476</f>
        <v>0.4</v>
      </c>
      <c r="D501" s="2563" t="n">
        <f aca="false">дома!D476</f>
        <v>0.05</v>
      </c>
      <c r="E501" s="2563" t="n">
        <f aca="false">дома!E476</f>
        <v>0</v>
      </c>
      <c r="F501" s="2563" t="n">
        <f aca="false">дома!F476</f>
        <v>2</v>
      </c>
      <c r="G501" s="2563" t="n">
        <f aca="false">E501*F501*IF('Ввод данных'!$A$8=связи1!$A$150,1,0)</f>
        <v>0</v>
      </c>
      <c r="H501" s="2563" t="n">
        <f aca="false">дома!G476*IF('Ввод данных'!$A$8=связи1!$A$150,1,0)</f>
        <v>0</v>
      </c>
    </row>
    <row r="502" customFormat="false" ht="14.5" hidden="false" customHeight="false" outlineLevel="0" collapsed="false">
      <c r="A502" s="2561" t="str">
        <f aca="false">дома!A477</f>
        <v>Стойка каркаса по фронтону, 1 этаж, односкатная кровля, №6</v>
      </c>
      <c r="B502" s="2562" t="str">
        <f aca="false">дома!B477</f>
        <v>м.п.</v>
      </c>
      <c r="C502" s="2563" t="n">
        <f aca="false">дома!C477</f>
        <v>0.4</v>
      </c>
      <c r="D502" s="2563" t="n">
        <f aca="false">дома!D477</f>
        <v>0.05</v>
      </c>
      <c r="E502" s="2563" t="n">
        <f aca="false">дома!E477</f>
        <v>0</v>
      </c>
      <c r="F502" s="2563" t="n">
        <f aca="false">дома!F477</f>
        <v>2</v>
      </c>
      <c r="G502" s="2563" t="n">
        <f aca="false">E502*F502*IF('Ввод данных'!$A$8=связи1!$A$150,1,0)</f>
        <v>0</v>
      </c>
      <c r="H502" s="2563" t="n">
        <f aca="false">дома!G477*IF('Ввод данных'!$A$8=связи1!$A$150,1,0)</f>
        <v>0</v>
      </c>
    </row>
    <row r="503" customFormat="false" ht="14.5" hidden="false" customHeight="false" outlineLevel="0" collapsed="false">
      <c r="A503" s="2561" t="str">
        <f aca="false">дома!A478</f>
        <v>Стойка каркаса по фронтону, 1 этаж, односкатная кровля, №7</v>
      </c>
      <c r="B503" s="2562" t="str">
        <f aca="false">дома!B478</f>
        <v>м.п.</v>
      </c>
      <c r="C503" s="2563" t="n">
        <f aca="false">дома!C478</f>
        <v>0.4</v>
      </c>
      <c r="D503" s="2563" t="n">
        <f aca="false">дома!D478</f>
        <v>0.05</v>
      </c>
      <c r="E503" s="2563" t="n">
        <f aca="false">дома!E478</f>
        <v>0</v>
      </c>
      <c r="F503" s="2563" t="n">
        <f aca="false">дома!F478</f>
        <v>2</v>
      </c>
      <c r="G503" s="2563" t="n">
        <f aca="false">E503*F503*IF('Ввод данных'!$A$8=связи1!$A$150,1,0)</f>
        <v>0</v>
      </c>
      <c r="H503" s="2563" t="n">
        <f aca="false">дома!G478*IF('Ввод данных'!$A$8=связи1!$A$150,1,0)</f>
        <v>0</v>
      </c>
    </row>
    <row r="504" customFormat="false" ht="14.5" hidden="false" customHeight="false" outlineLevel="0" collapsed="false">
      <c r="A504" s="2561" t="str">
        <f aca="false">дома!A479</f>
        <v>Стойка каркаса по фронтону, 1 этаж, односкатная кровля, №8</v>
      </c>
      <c r="B504" s="2562" t="str">
        <f aca="false">дома!B479</f>
        <v>м.п.</v>
      </c>
      <c r="C504" s="2563" t="n">
        <f aca="false">дома!C479</f>
        <v>0.4</v>
      </c>
      <c r="D504" s="2563" t="n">
        <f aca="false">дома!D479</f>
        <v>0.05</v>
      </c>
      <c r="E504" s="2563" t="n">
        <f aca="false">дома!E479</f>
        <v>0</v>
      </c>
      <c r="F504" s="2563" t="n">
        <f aca="false">дома!F479</f>
        <v>2</v>
      </c>
      <c r="G504" s="2563" t="n">
        <f aca="false">E504*F504*IF('Ввод данных'!$A$8=связи1!$A$150,1,0)</f>
        <v>0</v>
      </c>
      <c r="H504" s="2563" t="n">
        <f aca="false">дома!G479*IF('Ввод данных'!$A$8=связи1!$A$150,1,0)</f>
        <v>0</v>
      </c>
    </row>
    <row r="505" customFormat="false" ht="14.5" hidden="false" customHeight="false" outlineLevel="0" collapsed="false">
      <c r="A505" s="2561" t="str">
        <f aca="false">дома!A480</f>
        <v>Стойка каркаса по фронтону, 1 этаж, односкатная кровля, №9</v>
      </c>
      <c r="B505" s="2562" t="str">
        <f aca="false">дома!B480</f>
        <v>м.п.</v>
      </c>
      <c r="C505" s="2563" t="n">
        <f aca="false">дома!C480</f>
        <v>0.4</v>
      </c>
      <c r="D505" s="2563" t="n">
        <f aca="false">дома!D480</f>
        <v>0.05</v>
      </c>
      <c r="E505" s="2563" t="n">
        <f aca="false">дома!E480</f>
        <v>0</v>
      </c>
      <c r="F505" s="2563" t="n">
        <f aca="false">дома!F480</f>
        <v>2</v>
      </c>
      <c r="G505" s="2563" t="n">
        <f aca="false">E505*F505*IF('Ввод данных'!$A$8=связи1!$A$150,1,0)</f>
        <v>0</v>
      </c>
      <c r="H505" s="2563" t="n">
        <f aca="false">дома!G480*IF('Ввод данных'!$A$8=связи1!$A$150,1,0)</f>
        <v>0</v>
      </c>
    </row>
    <row r="506" customFormat="false" ht="14.5" hidden="false" customHeight="false" outlineLevel="0" collapsed="false">
      <c r="A506" s="2561" t="str">
        <f aca="false">дома!A481</f>
        <v>Стойка каркаса по фронтону, 1 этаж, односкатная кровля, №10</v>
      </c>
      <c r="B506" s="2562" t="str">
        <f aca="false">дома!B481</f>
        <v>м.п.</v>
      </c>
      <c r="C506" s="2563" t="n">
        <f aca="false">дома!C481</f>
        <v>0.4</v>
      </c>
      <c r="D506" s="2563" t="n">
        <f aca="false">дома!D481</f>
        <v>0.05</v>
      </c>
      <c r="E506" s="2563" t="n">
        <f aca="false">дома!E481</f>
        <v>0</v>
      </c>
      <c r="F506" s="2563" t="n">
        <f aca="false">дома!F481</f>
        <v>2</v>
      </c>
      <c r="G506" s="2563" t="n">
        <f aca="false">E506*F506*IF('Ввод данных'!$A$8=связи1!$A$150,1,0)</f>
        <v>0</v>
      </c>
      <c r="H506" s="2563" t="n">
        <f aca="false">дома!G481*IF('Ввод данных'!$A$8=связи1!$A$150,1,0)</f>
        <v>0</v>
      </c>
    </row>
    <row r="507" customFormat="false" ht="14.5" hidden="false" customHeight="false" outlineLevel="0" collapsed="false">
      <c r="A507" s="2561" t="str">
        <f aca="false">дома!A482</f>
        <v>Стойка каркаса по фронтону, 1 этаж, односкатная кровля, №11</v>
      </c>
      <c r="B507" s="2562" t="str">
        <f aca="false">дома!B482</f>
        <v>м.п.</v>
      </c>
      <c r="C507" s="2563" t="n">
        <f aca="false">дома!C482</f>
        <v>0.4</v>
      </c>
      <c r="D507" s="2563" t="n">
        <f aca="false">дома!D482</f>
        <v>0.05</v>
      </c>
      <c r="E507" s="2563" t="n">
        <f aca="false">дома!E482</f>
        <v>0</v>
      </c>
      <c r="F507" s="2563" t="n">
        <f aca="false">дома!F482</f>
        <v>2</v>
      </c>
      <c r="G507" s="2563" t="n">
        <f aca="false">E507*F507*IF('Ввод данных'!$A$8=связи1!$A$150,1,0)</f>
        <v>0</v>
      </c>
      <c r="H507" s="2563" t="n">
        <f aca="false">дома!G482*IF('Ввод данных'!$A$8=связи1!$A$150,1,0)</f>
        <v>0</v>
      </c>
    </row>
    <row r="508" customFormat="false" ht="14.5" hidden="false" customHeight="false" outlineLevel="0" collapsed="false">
      <c r="A508" s="2561" t="str">
        <f aca="false">дома!A483</f>
        <v>Стойка каркаса по фронтону, 1 этаж, односкатная кровля, №12</v>
      </c>
      <c r="B508" s="2562" t="str">
        <f aca="false">дома!B483</f>
        <v>м.п.</v>
      </c>
      <c r="C508" s="2563" t="n">
        <f aca="false">дома!C483</f>
        <v>0.4</v>
      </c>
      <c r="D508" s="2563" t="n">
        <f aca="false">дома!D483</f>
        <v>0.05</v>
      </c>
      <c r="E508" s="2563" t="n">
        <f aca="false">дома!E483</f>
        <v>0</v>
      </c>
      <c r="F508" s="2563" t="n">
        <f aca="false">дома!F483</f>
        <v>2</v>
      </c>
      <c r="G508" s="2563" t="n">
        <f aca="false">E508*F508*IF('Ввод данных'!$A$8=связи1!$A$150,1,0)</f>
        <v>0</v>
      </c>
      <c r="H508" s="2563" t="n">
        <f aca="false">дома!G483*IF('Ввод данных'!$A$8=связи1!$A$150,1,0)</f>
        <v>0</v>
      </c>
    </row>
    <row r="509" customFormat="false" ht="14.5" hidden="false" customHeight="false" outlineLevel="0" collapsed="false">
      <c r="A509" s="2561" t="str">
        <f aca="false">дома!A484</f>
        <v>Стойка каркаса по фронтону, 1 этаж, односкатная кровля, №13</v>
      </c>
      <c r="B509" s="2562" t="str">
        <f aca="false">дома!B484</f>
        <v>м.п.</v>
      </c>
      <c r="C509" s="2563" t="n">
        <f aca="false">дома!C484</f>
        <v>0.4</v>
      </c>
      <c r="D509" s="2563" t="n">
        <f aca="false">дома!D484</f>
        <v>0.05</v>
      </c>
      <c r="E509" s="2563" t="n">
        <f aca="false">дома!E484</f>
        <v>0</v>
      </c>
      <c r="F509" s="2563" t="n">
        <f aca="false">дома!F484</f>
        <v>2</v>
      </c>
      <c r="G509" s="2563" t="n">
        <f aca="false">E509*F509*IF('Ввод данных'!$A$8=связи1!$A$150,1,0)</f>
        <v>0</v>
      </c>
      <c r="H509" s="2563" t="n">
        <f aca="false">дома!G484*IF('Ввод данных'!$A$8=связи1!$A$150,1,0)</f>
        <v>0</v>
      </c>
    </row>
    <row r="510" customFormat="false" ht="14.5" hidden="false" customHeight="false" outlineLevel="0" collapsed="false">
      <c r="A510" s="2561" t="str">
        <f aca="false">дома!A485</f>
        <v>Стойка каркаса по фронтону, 1 этаж, односкатная кровля, №14</v>
      </c>
      <c r="B510" s="2562" t="str">
        <f aca="false">дома!B485</f>
        <v>м.п.</v>
      </c>
      <c r="C510" s="2563" t="n">
        <f aca="false">дома!C485</f>
        <v>0.4</v>
      </c>
      <c r="D510" s="2563" t="n">
        <f aca="false">дома!D485</f>
        <v>0.05</v>
      </c>
      <c r="E510" s="2563" t="n">
        <f aca="false">дома!E485</f>
        <v>0</v>
      </c>
      <c r="F510" s="2563" t="n">
        <f aca="false">дома!F485</f>
        <v>2</v>
      </c>
      <c r="G510" s="2563" t="n">
        <f aca="false">E510*F510*IF('Ввод данных'!$A$8=связи1!$A$150,1,0)</f>
        <v>0</v>
      </c>
      <c r="H510" s="2563" t="n">
        <f aca="false">дома!G485*IF('Ввод данных'!$A$8=связи1!$A$150,1,0)</f>
        <v>0</v>
      </c>
    </row>
    <row r="511" customFormat="false" ht="14.5" hidden="false" customHeight="false" outlineLevel="0" collapsed="false">
      <c r="A511" s="2561" t="str">
        <f aca="false">дома!A486</f>
        <v>Стойка каркаса по фронтону, 1 этаж, односкатная кровля, №15</v>
      </c>
      <c r="B511" s="2562" t="str">
        <f aca="false">дома!B486</f>
        <v>м.п.</v>
      </c>
      <c r="C511" s="2563" t="n">
        <f aca="false">дома!C486</f>
        <v>0.4</v>
      </c>
      <c r="D511" s="2563" t="n">
        <f aca="false">дома!D486</f>
        <v>0.05</v>
      </c>
      <c r="E511" s="2563" t="n">
        <f aca="false">дома!E486</f>
        <v>0</v>
      </c>
      <c r="F511" s="2563" t="n">
        <f aca="false">дома!F486</f>
        <v>2</v>
      </c>
      <c r="G511" s="2563" t="n">
        <f aca="false">E511*F511*IF('Ввод данных'!$A$8=связи1!$A$150,1,0)</f>
        <v>0</v>
      </c>
      <c r="H511" s="2563" t="n">
        <f aca="false">дома!G486*IF('Ввод данных'!$A$8=связи1!$A$150,1,0)</f>
        <v>0</v>
      </c>
    </row>
    <row r="512" customFormat="false" ht="14.5" hidden="false" customHeight="false" outlineLevel="0" collapsed="false">
      <c r="A512" s="2561" t="str">
        <f aca="false">дома!A487</f>
        <v>Стойка каркаса по фронтону, 1 этаж, односкатная кровля, №16</v>
      </c>
      <c r="B512" s="2562" t="str">
        <f aca="false">дома!B487</f>
        <v>м.п.</v>
      </c>
      <c r="C512" s="2563" t="n">
        <f aca="false">дома!C487</f>
        <v>0.4</v>
      </c>
      <c r="D512" s="2563" t="n">
        <f aca="false">дома!D487</f>
        <v>0.05</v>
      </c>
      <c r="E512" s="2563" t="n">
        <f aca="false">дома!E487</f>
        <v>0</v>
      </c>
      <c r="F512" s="2563" t="n">
        <f aca="false">дома!F487</f>
        <v>2</v>
      </c>
      <c r="G512" s="2563" t="n">
        <f aca="false">E512*F512*IF('Ввод данных'!$A$8=связи1!$A$150,1,0)</f>
        <v>0</v>
      </c>
      <c r="H512" s="2563" t="n">
        <f aca="false">дома!G487*IF('Ввод данных'!$A$8=связи1!$A$150,1,0)</f>
        <v>0</v>
      </c>
    </row>
    <row r="513" customFormat="false" ht="14.5" hidden="false" customHeight="false" outlineLevel="0" collapsed="false">
      <c r="A513" s="2561" t="str">
        <f aca="false">дома!A488</f>
        <v>Стойка каркаса по фронтону, 1 этаж, односкатная кровля, №17</v>
      </c>
      <c r="B513" s="2562" t="str">
        <f aca="false">дома!B488</f>
        <v>м.п.</v>
      </c>
      <c r="C513" s="2563" t="n">
        <f aca="false">дома!C488</f>
        <v>0.4</v>
      </c>
      <c r="D513" s="2563" t="n">
        <f aca="false">дома!D488</f>
        <v>0.05</v>
      </c>
      <c r="E513" s="2563" t="n">
        <f aca="false">дома!E488</f>
        <v>0</v>
      </c>
      <c r="F513" s="2563" t="n">
        <f aca="false">дома!F488</f>
        <v>2</v>
      </c>
      <c r="G513" s="2563" t="n">
        <f aca="false">E513*F513*IF('Ввод данных'!$A$8=связи1!$A$150,1,0)</f>
        <v>0</v>
      </c>
      <c r="H513" s="2563" t="n">
        <f aca="false">дома!G488*IF('Ввод данных'!$A$8=связи1!$A$150,1,0)</f>
        <v>0</v>
      </c>
    </row>
    <row r="514" customFormat="false" ht="14.5" hidden="false" customHeight="false" outlineLevel="0" collapsed="false">
      <c r="A514" s="2561" t="str">
        <f aca="false">дома!A489</f>
        <v>Стойка каркаса по фронтону, 1 этаж, двускатная кровля, №1</v>
      </c>
      <c r="B514" s="2562" t="str">
        <f aca="false">дома!B489</f>
        <v>м.п.</v>
      </c>
      <c r="C514" s="2563" t="n">
        <f aca="false">дома!C489</f>
        <v>0.4</v>
      </c>
      <c r="D514" s="2563" t="n">
        <f aca="false">дома!D489</f>
        <v>0.05</v>
      </c>
      <c r="E514" s="2563" t="n">
        <f aca="false">дома!E489</f>
        <v>0</v>
      </c>
      <c r="F514" s="2563" t="n">
        <f aca="false">дома!F489</f>
        <v>2</v>
      </c>
      <c r="G514" s="2563" t="n">
        <f aca="false">E514*F514*IF('Ввод данных'!$A$8=связи1!$A$150,1,0)</f>
        <v>0</v>
      </c>
      <c r="H514" s="2563" t="n">
        <f aca="false">дома!G489*IF('Ввод данных'!$A$8=связи1!$A$150,1,0)</f>
        <v>0</v>
      </c>
    </row>
    <row r="515" customFormat="false" ht="14.5" hidden="false" customHeight="false" outlineLevel="0" collapsed="false">
      <c r="A515" s="2561" t="str">
        <f aca="false">дома!A490</f>
        <v>Стойка каркаса по фронтону, 1 этаж, двускатная кровля, №2</v>
      </c>
      <c r="B515" s="2562" t="str">
        <f aca="false">дома!B490</f>
        <v>м.п.</v>
      </c>
      <c r="C515" s="2563" t="n">
        <f aca="false">дома!C490</f>
        <v>0.4</v>
      </c>
      <c r="D515" s="2563" t="n">
        <f aca="false">дома!D490</f>
        <v>0.05</v>
      </c>
      <c r="E515" s="2563" t="n">
        <f aca="false">дома!E490</f>
        <v>0</v>
      </c>
      <c r="F515" s="2563" t="n">
        <f aca="false">дома!F490</f>
        <v>2</v>
      </c>
      <c r="G515" s="2563" t="n">
        <f aca="false">E515*F515*IF('Ввод данных'!$A$8=связи1!$A$150,1,0)</f>
        <v>0</v>
      </c>
      <c r="H515" s="2563" t="n">
        <f aca="false">дома!G490*IF('Ввод данных'!$A$8=связи1!$A$150,1,0)</f>
        <v>0</v>
      </c>
    </row>
    <row r="516" customFormat="false" ht="14.5" hidden="false" customHeight="false" outlineLevel="0" collapsed="false">
      <c r="A516" s="2561" t="str">
        <f aca="false">дома!A491</f>
        <v>Стойка каркаса по фронтону, 1 этаж, двускатная кровля, №3</v>
      </c>
      <c r="B516" s="2562" t="str">
        <f aca="false">дома!B491</f>
        <v>м.п.</v>
      </c>
      <c r="C516" s="2563" t="n">
        <f aca="false">дома!C491</f>
        <v>0.4</v>
      </c>
      <c r="D516" s="2563" t="n">
        <f aca="false">дома!D491</f>
        <v>0.05</v>
      </c>
      <c r="E516" s="2563" t="n">
        <f aca="false">дома!E491</f>
        <v>0</v>
      </c>
      <c r="F516" s="2563" t="n">
        <f aca="false">дома!F491</f>
        <v>2</v>
      </c>
      <c r="G516" s="2563" t="n">
        <f aca="false">E516*F516*IF('Ввод данных'!$A$8=связи1!$A$150,1,0)</f>
        <v>0</v>
      </c>
      <c r="H516" s="2563" t="n">
        <f aca="false">дома!G491*IF('Ввод данных'!$A$8=связи1!$A$150,1,0)</f>
        <v>0</v>
      </c>
    </row>
    <row r="517" customFormat="false" ht="14.5" hidden="false" customHeight="false" outlineLevel="0" collapsed="false">
      <c r="A517" s="2561" t="str">
        <f aca="false">дома!A492</f>
        <v>Стойка каркаса по фронтону, 1 этаж, двускатная кровля, №4</v>
      </c>
      <c r="B517" s="2562" t="str">
        <f aca="false">дома!B492</f>
        <v>м.п.</v>
      </c>
      <c r="C517" s="2563" t="n">
        <f aca="false">дома!C492</f>
        <v>0.4</v>
      </c>
      <c r="D517" s="2563" t="n">
        <f aca="false">дома!D492</f>
        <v>0.05</v>
      </c>
      <c r="E517" s="2563" t="n">
        <f aca="false">дома!E492</f>
        <v>0</v>
      </c>
      <c r="F517" s="2563" t="n">
        <f aca="false">дома!F492</f>
        <v>2</v>
      </c>
      <c r="G517" s="2563" t="n">
        <f aca="false">E517*F517*IF('Ввод данных'!$A$8=связи1!$A$150,1,0)</f>
        <v>0</v>
      </c>
      <c r="H517" s="2563" t="n">
        <f aca="false">дома!G492*IF('Ввод данных'!$A$8=связи1!$A$150,1,0)</f>
        <v>0</v>
      </c>
    </row>
    <row r="518" customFormat="false" ht="14.5" hidden="false" customHeight="false" outlineLevel="0" collapsed="false">
      <c r="A518" s="2561" t="str">
        <f aca="false">дома!A493</f>
        <v>Стойка каркаса по фронтону, 1 этаж, двускатная кровля, №5</v>
      </c>
      <c r="B518" s="2562" t="str">
        <f aca="false">дома!B493</f>
        <v>м.п.</v>
      </c>
      <c r="C518" s="2563" t="n">
        <f aca="false">дома!C493</f>
        <v>0.4</v>
      </c>
      <c r="D518" s="2563" t="n">
        <f aca="false">дома!D493</f>
        <v>0.05</v>
      </c>
      <c r="E518" s="2563" t="n">
        <f aca="false">дома!E493</f>
        <v>0</v>
      </c>
      <c r="F518" s="2563" t="n">
        <f aca="false">дома!F493</f>
        <v>2</v>
      </c>
      <c r="G518" s="2563" t="n">
        <f aca="false">E518*F518*IF('Ввод данных'!$A$8=связи1!$A$150,1,0)</f>
        <v>0</v>
      </c>
      <c r="H518" s="2563" t="n">
        <f aca="false">дома!G493*IF('Ввод данных'!$A$8=связи1!$A$150,1,0)</f>
        <v>0</v>
      </c>
    </row>
    <row r="519" customFormat="false" ht="14.5" hidden="false" customHeight="false" outlineLevel="0" collapsed="false">
      <c r="A519" s="2561" t="str">
        <f aca="false">дома!A494</f>
        <v>Стойка каркаса по фронтону, 1 этаж, двускатная кровля, №6</v>
      </c>
      <c r="B519" s="2562" t="str">
        <f aca="false">дома!B494</f>
        <v>м.п.</v>
      </c>
      <c r="C519" s="2563" t="n">
        <f aca="false">дома!C494</f>
        <v>0.4</v>
      </c>
      <c r="D519" s="2563" t="n">
        <f aca="false">дома!D494</f>
        <v>0.05</v>
      </c>
      <c r="E519" s="2563" t="n">
        <f aca="false">дома!E494</f>
        <v>0</v>
      </c>
      <c r="F519" s="2563" t="n">
        <f aca="false">дома!F494</f>
        <v>2</v>
      </c>
      <c r="G519" s="2563" t="n">
        <f aca="false">E519*F519*IF('Ввод данных'!$A$8=связи1!$A$150,1,0)</f>
        <v>0</v>
      </c>
      <c r="H519" s="2563" t="n">
        <f aca="false">дома!G494*IF('Ввод данных'!$A$8=связи1!$A$150,1,0)</f>
        <v>0</v>
      </c>
    </row>
    <row r="520" customFormat="false" ht="14.5" hidden="false" customHeight="false" outlineLevel="0" collapsed="false">
      <c r="A520" s="2561" t="str">
        <f aca="false">дома!A495</f>
        <v>Стойка каркаса по фронтону, 1 этаж, двускатная кровля, №7</v>
      </c>
      <c r="B520" s="2562" t="str">
        <f aca="false">дома!B495</f>
        <v>м.п.</v>
      </c>
      <c r="C520" s="2563" t="n">
        <f aca="false">дома!C495</f>
        <v>0.4</v>
      </c>
      <c r="D520" s="2563" t="n">
        <f aca="false">дома!D495</f>
        <v>0.05</v>
      </c>
      <c r="E520" s="2563" t="n">
        <f aca="false">дома!E495</f>
        <v>0</v>
      </c>
      <c r="F520" s="2563" t="n">
        <f aca="false">дома!F495</f>
        <v>2</v>
      </c>
      <c r="G520" s="2563" t="n">
        <f aca="false">E520*F520*IF('Ввод данных'!$A$8=связи1!$A$150,1,0)</f>
        <v>0</v>
      </c>
      <c r="H520" s="2563" t="n">
        <f aca="false">дома!G495*IF('Ввод данных'!$A$8=связи1!$A$150,1,0)</f>
        <v>0</v>
      </c>
    </row>
    <row r="521" customFormat="false" ht="14.5" hidden="false" customHeight="false" outlineLevel="0" collapsed="false">
      <c r="A521" s="2561" t="str">
        <f aca="false">дома!A496</f>
        <v>Стойка каркаса по фронтону, 1 этаж, двускатная кровля, №8</v>
      </c>
      <c r="B521" s="2562" t="str">
        <f aca="false">дома!B496</f>
        <v>м.п.</v>
      </c>
      <c r="C521" s="2563" t="n">
        <f aca="false">дома!C496</f>
        <v>0.4</v>
      </c>
      <c r="D521" s="2563" t="n">
        <f aca="false">дома!D496</f>
        <v>0.05</v>
      </c>
      <c r="E521" s="2563" t="n">
        <f aca="false">дома!E496</f>
        <v>0</v>
      </c>
      <c r="F521" s="2563" t="n">
        <f aca="false">дома!F496</f>
        <v>2</v>
      </c>
      <c r="G521" s="2563" t="n">
        <f aca="false">E521*F521*IF('Ввод данных'!$A$8=связи1!$A$150,1,0)</f>
        <v>0</v>
      </c>
      <c r="H521" s="2563" t="n">
        <f aca="false">дома!G496*IF('Ввод данных'!$A$8=связи1!$A$150,1,0)</f>
        <v>0</v>
      </c>
    </row>
    <row r="522" customFormat="false" ht="14.5" hidden="false" customHeight="false" outlineLevel="0" collapsed="false">
      <c r="A522" s="2561" t="str">
        <f aca="false">дома!A497</f>
        <v>Стойка каркаса по фронтону, 1 этаж, двускатная кровля, №9</v>
      </c>
      <c r="B522" s="2562" t="str">
        <f aca="false">дома!B497</f>
        <v>м.п.</v>
      </c>
      <c r="C522" s="2563" t="n">
        <f aca="false">дома!C497</f>
        <v>0.4</v>
      </c>
      <c r="D522" s="2563" t="n">
        <f aca="false">дома!D497</f>
        <v>0.05</v>
      </c>
      <c r="E522" s="2563" t="n">
        <f aca="false">дома!E497</f>
        <v>0</v>
      </c>
      <c r="F522" s="2563" t="n">
        <f aca="false">дома!F497</f>
        <v>2</v>
      </c>
      <c r="G522" s="2563" t="n">
        <f aca="false">E522*F522*IF('Ввод данных'!$A$8=связи1!$A$150,1,0)</f>
        <v>0</v>
      </c>
      <c r="H522" s="2563" t="n">
        <f aca="false">дома!G497*IF('Ввод данных'!$A$8=связи1!$A$150,1,0)</f>
        <v>0</v>
      </c>
    </row>
    <row r="523" customFormat="false" ht="14.5" hidden="false" customHeight="false" outlineLevel="0" collapsed="false">
      <c r="A523" s="2561" t="str">
        <f aca="false">дома!A498</f>
        <v>Стойка каркаса по фронтону, 1 этаж, двускатная кровля, №10</v>
      </c>
      <c r="B523" s="2562" t="str">
        <f aca="false">дома!B498</f>
        <v>м.п.</v>
      </c>
      <c r="C523" s="2563" t="n">
        <f aca="false">дома!C498</f>
        <v>0.4</v>
      </c>
      <c r="D523" s="2563" t="n">
        <f aca="false">дома!D498</f>
        <v>0.05</v>
      </c>
      <c r="E523" s="2563" t="n">
        <f aca="false">дома!E498</f>
        <v>0</v>
      </c>
      <c r="F523" s="2563" t="n">
        <f aca="false">дома!F498</f>
        <v>2</v>
      </c>
      <c r="G523" s="2563" t="n">
        <f aca="false">E523*F523*IF('Ввод данных'!$A$8=связи1!$A$150,1,0)</f>
        <v>0</v>
      </c>
      <c r="H523" s="2563" t="n">
        <f aca="false">дома!G498*IF('Ввод данных'!$A$8=связи1!$A$150,1,0)</f>
        <v>0</v>
      </c>
    </row>
    <row r="524" customFormat="false" ht="14.5" hidden="false" customHeight="false" outlineLevel="0" collapsed="false">
      <c r="A524" s="2561" t="str">
        <f aca="false">дома!A499</f>
        <v>Стойка каркаса по фронтону, 1 этаж, двускатная кровля, №11</v>
      </c>
      <c r="B524" s="2562" t="str">
        <f aca="false">дома!B499</f>
        <v>м.п.</v>
      </c>
      <c r="C524" s="2563" t="n">
        <f aca="false">дома!C499</f>
        <v>0.4</v>
      </c>
      <c r="D524" s="2563" t="n">
        <f aca="false">дома!D499</f>
        <v>0.05</v>
      </c>
      <c r="E524" s="2563" t="n">
        <f aca="false">дома!E499</f>
        <v>0</v>
      </c>
      <c r="F524" s="2563" t="n">
        <f aca="false">дома!F499</f>
        <v>2</v>
      </c>
      <c r="G524" s="2563" t="n">
        <f aca="false">E524*F524*IF('Ввод данных'!$A$8=связи1!$A$150,1,0)</f>
        <v>0</v>
      </c>
      <c r="H524" s="2563" t="n">
        <f aca="false">дома!G499*IF('Ввод данных'!$A$8=связи1!$A$150,1,0)</f>
        <v>0</v>
      </c>
    </row>
    <row r="525" customFormat="false" ht="14.5" hidden="false" customHeight="false" outlineLevel="0" collapsed="false">
      <c r="A525" s="2561" t="str">
        <f aca="false">дома!A500</f>
        <v>Стойка каркаса по фронтону, 1 этаж, двускатная кровля, №12</v>
      </c>
      <c r="B525" s="2562" t="str">
        <f aca="false">дома!B500</f>
        <v>м.п.</v>
      </c>
      <c r="C525" s="2563" t="n">
        <f aca="false">дома!C500</f>
        <v>0.4</v>
      </c>
      <c r="D525" s="2563" t="n">
        <f aca="false">дома!D500</f>
        <v>0.05</v>
      </c>
      <c r="E525" s="2563" t="n">
        <f aca="false">дома!E500</f>
        <v>0</v>
      </c>
      <c r="F525" s="2563" t="n">
        <f aca="false">дома!F500</f>
        <v>2</v>
      </c>
      <c r="G525" s="2563" t="n">
        <f aca="false">E525*F525*IF('Ввод данных'!$A$8=связи1!$A$150,1,0)</f>
        <v>0</v>
      </c>
      <c r="H525" s="2563" t="n">
        <f aca="false">дома!G500*IF('Ввод данных'!$A$8=связи1!$A$150,1,0)</f>
        <v>0</v>
      </c>
    </row>
    <row r="526" customFormat="false" ht="14.5" hidden="false" customHeight="false" outlineLevel="0" collapsed="false">
      <c r="A526" s="2561" t="str">
        <f aca="false">дома!A501</f>
        <v>Стойка каркаса по фронтону, 1 этаж, двускатная кровля, №13</v>
      </c>
      <c r="B526" s="2562" t="str">
        <f aca="false">дома!B501</f>
        <v>м.п.</v>
      </c>
      <c r="C526" s="2563" t="n">
        <f aca="false">дома!C501</f>
        <v>0.4</v>
      </c>
      <c r="D526" s="2563" t="n">
        <f aca="false">дома!D501</f>
        <v>0.05</v>
      </c>
      <c r="E526" s="2563" t="n">
        <f aca="false">дома!E501</f>
        <v>0</v>
      </c>
      <c r="F526" s="2563" t="n">
        <f aca="false">дома!F501</f>
        <v>2</v>
      </c>
      <c r="G526" s="2563" t="n">
        <f aca="false">E526*F526*IF('Ввод данных'!$A$8=связи1!$A$150,1,0)</f>
        <v>0</v>
      </c>
      <c r="H526" s="2563" t="n">
        <f aca="false">дома!G501*IF('Ввод данных'!$A$8=связи1!$A$150,1,0)</f>
        <v>0</v>
      </c>
    </row>
    <row r="527" customFormat="false" ht="14.5" hidden="false" customHeight="false" outlineLevel="0" collapsed="false">
      <c r="A527" s="2561" t="str">
        <f aca="false">дома!A502</f>
        <v>Стойка каркаса по фронтону, 1 этаж, двускатная кровля, №14</v>
      </c>
      <c r="B527" s="2562" t="str">
        <f aca="false">дома!B502</f>
        <v>м.п.</v>
      </c>
      <c r="C527" s="2563" t="n">
        <f aca="false">дома!C502</f>
        <v>0.4</v>
      </c>
      <c r="D527" s="2563" t="n">
        <f aca="false">дома!D502</f>
        <v>0.05</v>
      </c>
      <c r="E527" s="2563" t="n">
        <f aca="false">дома!E502</f>
        <v>0</v>
      </c>
      <c r="F527" s="2563" t="n">
        <f aca="false">дома!F502</f>
        <v>2</v>
      </c>
      <c r="G527" s="2563" t="n">
        <f aca="false">E527*F527*IF('Ввод данных'!$A$8=связи1!$A$150,1,0)</f>
        <v>0</v>
      </c>
      <c r="H527" s="2563" t="n">
        <f aca="false">дома!G502*IF('Ввод данных'!$A$8=связи1!$A$150,1,0)</f>
        <v>0</v>
      </c>
    </row>
    <row r="528" customFormat="false" ht="14.5" hidden="false" customHeight="false" outlineLevel="0" collapsed="false">
      <c r="A528" s="2561" t="str">
        <f aca="false">дома!A503</f>
        <v>Стойка каркаса по фронтону, 1 этаж, двускатная кровля, №15</v>
      </c>
      <c r="B528" s="2562" t="str">
        <f aca="false">дома!B503</f>
        <v>м.п.</v>
      </c>
      <c r="C528" s="2563" t="n">
        <f aca="false">дома!C503</f>
        <v>0.4</v>
      </c>
      <c r="D528" s="2563" t="n">
        <f aca="false">дома!D503</f>
        <v>0.05</v>
      </c>
      <c r="E528" s="2563" t="n">
        <f aca="false">дома!E503</f>
        <v>0</v>
      </c>
      <c r="F528" s="2563" t="n">
        <f aca="false">дома!F503</f>
        <v>2</v>
      </c>
      <c r="G528" s="2563" t="n">
        <f aca="false">E528*F528*IF('Ввод данных'!$A$8=связи1!$A$150,1,0)</f>
        <v>0</v>
      </c>
      <c r="H528" s="2563" t="n">
        <f aca="false">дома!G503*IF('Ввод данных'!$A$8=связи1!$A$150,1,0)</f>
        <v>0</v>
      </c>
    </row>
    <row r="529" customFormat="false" ht="14.5" hidden="false" customHeight="false" outlineLevel="0" collapsed="false">
      <c r="A529" s="2561" t="str">
        <f aca="false">дома!A504</f>
        <v>Стойка каркаса по фронтону, 1 этаж, двускатная кровля, №16</v>
      </c>
      <c r="B529" s="2562" t="str">
        <f aca="false">дома!B504</f>
        <v>м.п.</v>
      </c>
      <c r="C529" s="2563" t="n">
        <f aca="false">дома!C504</f>
        <v>0.4</v>
      </c>
      <c r="D529" s="2563" t="n">
        <f aca="false">дома!D504</f>
        <v>0.05</v>
      </c>
      <c r="E529" s="2563" t="n">
        <f aca="false">дома!E504</f>
        <v>0</v>
      </c>
      <c r="F529" s="2563" t="n">
        <f aca="false">дома!F504</f>
        <v>2</v>
      </c>
      <c r="G529" s="2563" t="n">
        <f aca="false">E529*F529*IF('Ввод данных'!$A$8=связи1!$A$150,1,0)</f>
        <v>0</v>
      </c>
      <c r="H529" s="2563" t="n">
        <f aca="false">дома!G504*IF('Ввод данных'!$A$8=связи1!$A$150,1,0)</f>
        <v>0</v>
      </c>
    </row>
    <row r="530" customFormat="false" ht="14.5" hidden="false" customHeight="false" outlineLevel="0" collapsed="false">
      <c r="A530" s="2561" t="str">
        <f aca="false">дома!A505</f>
        <v>Стойка каркаса по фронтону, 1 этаж, двускатная кровля, №17</v>
      </c>
      <c r="B530" s="2562" t="str">
        <f aca="false">дома!B505</f>
        <v>м.п.</v>
      </c>
      <c r="C530" s="2563" t="n">
        <f aca="false">дома!C505</f>
        <v>0.4</v>
      </c>
      <c r="D530" s="2563" t="n">
        <f aca="false">дома!D505</f>
        <v>0.05</v>
      </c>
      <c r="E530" s="2563" t="n">
        <f aca="false">дома!E505</f>
        <v>0</v>
      </c>
      <c r="F530" s="2563" t="n">
        <f aca="false">дома!F505</f>
        <v>2</v>
      </c>
      <c r="G530" s="2563" t="n">
        <f aca="false">E530*F530*IF('Ввод данных'!$A$8=связи1!$A$150,1,0)</f>
        <v>0</v>
      </c>
      <c r="H530" s="2563" t="n">
        <f aca="false">дома!G505*IF('Ввод данных'!$A$8=связи1!$A$150,1,0)</f>
        <v>0</v>
      </c>
    </row>
    <row r="531" customFormat="false" ht="21" hidden="false" customHeight="false" outlineLevel="0" collapsed="false">
      <c r="A531" s="2558" t="s">
        <v>4172</v>
      </c>
      <c r="B531" s="2558"/>
      <c r="C531" s="2558"/>
      <c r="D531" s="2558"/>
      <c r="E531" s="2558"/>
      <c r="F531" s="2558"/>
      <c r="G531" s="2564" t="n">
        <f aca="false">E531*F531</f>
        <v>0</v>
      </c>
      <c r="H531" s="2564" t="n">
        <f aca="false">SUM(H532:H571)</f>
        <v>0</v>
      </c>
    </row>
    <row r="532" customFormat="false" ht="14.5" hidden="false" customHeight="false" outlineLevel="0" collapsed="false">
      <c r="A532" s="2561" t="str">
        <f aca="false">дома!A928</f>
        <v>Стойки каркаса передняя стена, 2 эт</v>
      </c>
      <c r="B532" s="2562" t="str">
        <f aca="false">дома!B928</f>
        <v>м.п.</v>
      </c>
      <c r="C532" s="2563" t="n">
        <f aca="false">дома!C928</f>
        <v>0.4</v>
      </c>
      <c r="D532" s="2563" t="n">
        <f aca="false">дома!D928</f>
        <v>0.05</v>
      </c>
      <c r="E532" s="2563" t="n">
        <f aca="false">дома!E928</f>
        <v>2.2</v>
      </c>
      <c r="F532" s="2563" t="n">
        <f aca="false">дома!F928</f>
        <v>0</v>
      </c>
      <c r="G532" s="2563" t="n">
        <f aca="false">E532*F532*(IF('Ввод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2" s="2563" t="n">
        <f aca="false">дома!G928*(IF('Ввод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3" customFormat="false" ht="14.5" hidden="false" customHeight="false" outlineLevel="0" collapsed="false">
      <c r="A533" s="2561" t="str">
        <f aca="false">дома!A929</f>
        <v>Стойки каркаса , левая стена, 2 эт</v>
      </c>
      <c r="B533" s="2562" t="str">
        <f aca="false">дома!B929</f>
        <v>м.п.</v>
      </c>
      <c r="C533" s="2563" t="n">
        <f aca="false">дома!C929</f>
        <v>0.4</v>
      </c>
      <c r="D533" s="2563" t="n">
        <f aca="false">дома!D929</f>
        <v>0.05</v>
      </c>
      <c r="E533" s="2563" t="n">
        <f aca="false">дома!E929</f>
        <v>2.2</v>
      </c>
      <c r="F533" s="2563" t="n">
        <f aca="false">дома!F929</f>
        <v>0</v>
      </c>
      <c r="G533" s="2563" t="n">
        <f aca="false">E533*F533*(IF('Ввод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3" s="2563" t="n">
        <f aca="false">дома!G929*(IF('Ввод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4" customFormat="false" ht="14.5" hidden="false" customHeight="false" outlineLevel="0" collapsed="false">
      <c r="A534" s="2561" t="str">
        <f aca="false">дома!A930</f>
        <v>Стойки каркаса , правая стена, 2 эт</v>
      </c>
      <c r="B534" s="2562" t="str">
        <f aca="false">дома!B930</f>
        <v>м.п.</v>
      </c>
      <c r="C534" s="2563" t="n">
        <f aca="false">дома!C930</f>
        <v>0.4</v>
      </c>
      <c r="D534" s="2563" t="n">
        <f aca="false">дома!D930</f>
        <v>0.05</v>
      </c>
      <c r="E534" s="2563" t="n">
        <f aca="false">дома!E930</f>
        <v>2.2</v>
      </c>
      <c r="F534" s="2563" t="n">
        <f aca="false">дома!F930</f>
        <v>0</v>
      </c>
      <c r="G534" s="2563" t="n">
        <f aca="false">E534*F534*(IF('Ввод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4" s="2563" t="n">
        <f aca="false">дома!G930*(IF('Ввод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5" customFormat="false" ht="14.5" hidden="false" customHeight="false" outlineLevel="0" collapsed="false">
      <c r="A535" s="2561" t="str">
        <f aca="false">дома!A931</f>
        <v>Обвязка каркаса верхняя/нижняя наружние стены 2 эт</v>
      </c>
      <c r="B535" s="2562" t="str">
        <f aca="false">дома!B931</f>
        <v>м.п.</v>
      </c>
      <c r="C535" s="2563" t="n">
        <f aca="false">дома!C931</f>
        <v>0.4</v>
      </c>
      <c r="D535" s="2563" t="n">
        <f aca="false">дома!D931</f>
        <v>0.05</v>
      </c>
      <c r="E535" s="2563" t="n">
        <f aca="false">дома!E931</f>
        <v>1</v>
      </c>
      <c r="F535" s="2563" t="n">
        <f aca="false">дома!F931</f>
        <v>0</v>
      </c>
      <c r="G535" s="2563" t="n">
        <f aca="false">E535*F535*(IF('Ввод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5" s="2563" t="n">
        <f aca="false">дома!G931*(IF('Ввод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6" customFormat="false" ht="14.5" hidden="false" customHeight="false" outlineLevel="0" collapsed="false">
      <c r="A536" s="2561" t="str">
        <f aca="false">дома!A932</f>
        <v>Ригель каркаса наружние стены 2 эт</v>
      </c>
      <c r="B536" s="2562" t="str">
        <f aca="false">дома!B932</f>
        <v>м.п.</v>
      </c>
      <c r="C536" s="2563" t="n">
        <f aca="false">дома!C932</f>
        <v>0.4</v>
      </c>
      <c r="D536" s="2563" t="n">
        <f aca="false">дома!D932</f>
        <v>0.05</v>
      </c>
      <c r="E536" s="2563" t="n">
        <f aca="false">дома!E932</f>
        <v>1</v>
      </c>
      <c r="F536" s="2563" t="n">
        <f aca="false">дома!F932</f>
        <v>0</v>
      </c>
      <c r="G536" s="2563" t="n">
        <f aca="false">E536*F536*(IF('Ввод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6" s="2563" t="n">
        <f aca="false">дома!G932*(IF('Ввод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7" customFormat="false" ht="14.5" hidden="false" customHeight="false" outlineLevel="0" collapsed="false">
      <c r="A537" s="2561" t="str">
        <f aca="false">дома!A933</f>
        <v>Укосина наружних стен, усиление 2 этаж</v>
      </c>
      <c r="B537" s="2562" t="str">
        <f aca="false">дома!B933</f>
        <v>м.п.</v>
      </c>
      <c r="C537" s="2563" t="n">
        <f aca="false">дома!C933</f>
        <v>0.4</v>
      </c>
      <c r="D537" s="2563" t="n">
        <f aca="false">дома!D933</f>
        <v>0.05</v>
      </c>
      <c r="E537" s="2563" t="n">
        <f aca="false">дома!E933</f>
        <v>1.5</v>
      </c>
      <c r="F537" s="2563" t="n">
        <f aca="false">дома!F933</f>
        <v>0</v>
      </c>
      <c r="G537" s="2563" t="n">
        <f aca="false">E537*F537*(IF('Ввод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7" s="2563" t="n">
        <f aca="false">дома!G933*(IF('Ввод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8" customFormat="false" ht="14.5" hidden="false" customHeight="false" outlineLevel="0" collapsed="false">
      <c r="A538" s="2561" t="str">
        <f aca="false">дома!A934</f>
        <v>Стойка каркаса по фронтону, 2 этаж, односкатная кровля, №1</v>
      </c>
      <c r="B538" s="2562" t="str">
        <f aca="false">дома!B934</f>
        <v>м.п.</v>
      </c>
      <c r="C538" s="2563" t="n">
        <f aca="false">дома!C934</f>
        <v>0.4</v>
      </c>
      <c r="D538" s="2563" t="n">
        <f aca="false">дома!D934</f>
        <v>0.05</v>
      </c>
      <c r="E538" s="2563" t="n">
        <f aca="false">дома!E934</f>
        <v>0</v>
      </c>
      <c r="F538" s="2563" t="n">
        <f aca="false">дома!F934</f>
        <v>0</v>
      </c>
      <c r="G538" s="2563" t="n">
        <f aca="false">E538*F538*(IF('Ввод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8" s="2563" t="n">
        <f aca="false">дома!G934*(IF('Ввод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39" customFormat="false" ht="14.5" hidden="false" customHeight="false" outlineLevel="0" collapsed="false">
      <c r="A539" s="2561" t="str">
        <f aca="false">дома!A935</f>
        <v>Стойка каркаса по фронтону, 2 этаж, односкатная кровля, №2</v>
      </c>
      <c r="B539" s="2562" t="str">
        <f aca="false">дома!B935</f>
        <v>м.п.</v>
      </c>
      <c r="C539" s="2563" t="n">
        <f aca="false">дома!C935</f>
        <v>0.4</v>
      </c>
      <c r="D539" s="2563" t="n">
        <f aca="false">дома!D935</f>
        <v>0.05</v>
      </c>
      <c r="E539" s="2563" t="n">
        <f aca="false">дома!E935</f>
        <v>0</v>
      </c>
      <c r="F539" s="2563" t="n">
        <f aca="false">дома!F935</f>
        <v>0</v>
      </c>
      <c r="G539" s="2563" t="n">
        <f aca="false">E539*F539*(IF('Ввод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39" s="2563" t="n">
        <f aca="false">дома!G935*(IF('Ввод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0" customFormat="false" ht="14.5" hidden="false" customHeight="false" outlineLevel="0" collapsed="false">
      <c r="A540" s="2561" t="str">
        <f aca="false">дома!A936</f>
        <v>Стойка каркаса по фронтону, 2 этаж, односкатная кровля, №3</v>
      </c>
      <c r="B540" s="2562" t="str">
        <f aca="false">дома!B936</f>
        <v>м.п.</v>
      </c>
      <c r="C540" s="2563" t="n">
        <f aca="false">дома!C936</f>
        <v>0.4</v>
      </c>
      <c r="D540" s="2563" t="n">
        <f aca="false">дома!D936</f>
        <v>0.05</v>
      </c>
      <c r="E540" s="2563" t="n">
        <f aca="false">дома!E936</f>
        <v>0</v>
      </c>
      <c r="F540" s="2563" t="n">
        <f aca="false">дома!F936</f>
        <v>0</v>
      </c>
      <c r="G540" s="2563" t="n">
        <f aca="false">E540*F540*(IF('Ввод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0" s="2563" t="n">
        <f aca="false">дома!G936*(IF('Ввод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1" customFormat="false" ht="14.5" hidden="false" customHeight="false" outlineLevel="0" collapsed="false">
      <c r="A541" s="2561" t="str">
        <f aca="false">дома!A937</f>
        <v>Стойка каркаса по фронтону, 2 этаж, односкатная кровля, №4</v>
      </c>
      <c r="B541" s="2562" t="str">
        <f aca="false">дома!B937</f>
        <v>м.п.</v>
      </c>
      <c r="C541" s="2563" t="n">
        <f aca="false">дома!C937</f>
        <v>0.4</v>
      </c>
      <c r="D541" s="2563" t="n">
        <f aca="false">дома!D937</f>
        <v>0.05</v>
      </c>
      <c r="E541" s="2563" t="n">
        <f aca="false">дома!E937</f>
        <v>0</v>
      </c>
      <c r="F541" s="2563" t="n">
        <f aca="false">дома!F937</f>
        <v>0</v>
      </c>
      <c r="G541" s="2563" t="n">
        <f aca="false">E541*F541*(IF('Ввод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1" s="2563" t="n">
        <f aca="false">дома!G937*(IF('Ввод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2" customFormat="false" ht="14.5" hidden="false" customHeight="false" outlineLevel="0" collapsed="false">
      <c r="A542" s="2561" t="str">
        <f aca="false">дома!A938</f>
        <v>Стойка каркаса по фронтону, 2 этаж, односкатная кровля, №5</v>
      </c>
      <c r="B542" s="2562" t="str">
        <f aca="false">дома!B938</f>
        <v>м.п.</v>
      </c>
      <c r="C542" s="2563" t="n">
        <f aca="false">дома!C938</f>
        <v>0.4</v>
      </c>
      <c r="D542" s="2563" t="n">
        <f aca="false">дома!D938</f>
        <v>0.05</v>
      </c>
      <c r="E542" s="2563" t="n">
        <f aca="false">дома!E938</f>
        <v>0</v>
      </c>
      <c r="F542" s="2563" t="n">
        <f aca="false">дома!F938</f>
        <v>0</v>
      </c>
      <c r="G542" s="2563" t="n">
        <f aca="false">E542*F542*(IF('Ввод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2" s="2563" t="n">
        <f aca="false">дома!G938*(IF('Ввод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3" customFormat="false" ht="14.5" hidden="false" customHeight="false" outlineLevel="0" collapsed="false">
      <c r="A543" s="2561" t="str">
        <f aca="false">дома!A939</f>
        <v>Стойка каркаса по фронтону, 2 этаж, односкатная кровля, №6</v>
      </c>
      <c r="B543" s="2562" t="str">
        <f aca="false">дома!B939</f>
        <v>м.п.</v>
      </c>
      <c r="C543" s="2563" t="n">
        <f aca="false">дома!C939</f>
        <v>0.4</v>
      </c>
      <c r="D543" s="2563" t="n">
        <f aca="false">дома!D939</f>
        <v>0.05</v>
      </c>
      <c r="E543" s="2563" t="n">
        <f aca="false">дома!E939</f>
        <v>0</v>
      </c>
      <c r="F543" s="2563" t="n">
        <f aca="false">дома!F939</f>
        <v>0</v>
      </c>
      <c r="G543" s="2563" t="n">
        <f aca="false">E543*F543*(IF('Ввод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3" s="2563" t="n">
        <f aca="false">дома!G939*(IF('Ввод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4" customFormat="false" ht="14.5" hidden="false" customHeight="false" outlineLevel="0" collapsed="false">
      <c r="A544" s="2561" t="str">
        <f aca="false">дома!A940</f>
        <v>Стойка каркаса по фронтону, 2 этаж, односкатная кровля, №7</v>
      </c>
      <c r="B544" s="2562" t="str">
        <f aca="false">дома!B940</f>
        <v>м.п.</v>
      </c>
      <c r="C544" s="2563" t="n">
        <f aca="false">дома!C940</f>
        <v>0.4</v>
      </c>
      <c r="D544" s="2563" t="n">
        <f aca="false">дома!D940</f>
        <v>0.05</v>
      </c>
      <c r="E544" s="2563" t="n">
        <f aca="false">дома!E940</f>
        <v>0</v>
      </c>
      <c r="F544" s="2563" t="n">
        <f aca="false">дома!F940</f>
        <v>0</v>
      </c>
      <c r="G544" s="2563" t="n">
        <f aca="false">E544*F544*(IF('Ввод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4" s="2563" t="n">
        <f aca="false">дома!G940*(IF('Ввод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5" customFormat="false" ht="14.5" hidden="false" customHeight="false" outlineLevel="0" collapsed="false">
      <c r="A545" s="2561" t="str">
        <f aca="false">дома!A941</f>
        <v>Стойка каркаса по фронтону, 2 этаж, односкатная кровля, №8</v>
      </c>
      <c r="B545" s="2562" t="str">
        <f aca="false">дома!B941</f>
        <v>м.п.</v>
      </c>
      <c r="C545" s="2563" t="n">
        <f aca="false">дома!C941</f>
        <v>0.4</v>
      </c>
      <c r="D545" s="2563" t="n">
        <f aca="false">дома!D941</f>
        <v>0.05</v>
      </c>
      <c r="E545" s="2563" t="n">
        <f aca="false">дома!E941</f>
        <v>0</v>
      </c>
      <c r="F545" s="2563" t="n">
        <f aca="false">дома!F941</f>
        <v>0</v>
      </c>
      <c r="G545" s="2563" t="n">
        <f aca="false">E545*F545*(IF('Ввод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5" s="2563" t="n">
        <f aca="false">дома!G941*(IF('Ввод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6" customFormat="false" ht="14.5" hidden="false" customHeight="false" outlineLevel="0" collapsed="false">
      <c r="A546" s="2561" t="str">
        <f aca="false">дома!A942</f>
        <v>Стойка каркаса по фронтону, 2 этаж, односкатная кровля, №9</v>
      </c>
      <c r="B546" s="2562" t="str">
        <f aca="false">дома!B942</f>
        <v>м.п.</v>
      </c>
      <c r="C546" s="2563" t="n">
        <f aca="false">дома!C942</f>
        <v>0.4</v>
      </c>
      <c r="D546" s="2563" t="n">
        <f aca="false">дома!D942</f>
        <v>0.05</v>
      </c>
      <c r="E546" s="2563" t="n">
        <f aca="false">дома!E942</f>
        <v>0</v>
      </c>
      <c r="F546" s="2563" t="n">
        <f aca="false">дома!F942</f>
        <v>0</v>
      </c>
      <c r="G546" s="2563" t="n">
        <f aca="false">E546*F546*(IF('Ввод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6" s="2563" t="n">
        <f aca="false">дома!G942*(IF('Ввод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7" customFormat="false" ht="14.5" hidden="false" customHeight="false" outlineLevel="0" collapsed="false">
      <c r="A547" s="2561" t="str">
        <f aca="false">дома!A943</f>
        <v>Стойка каркаса по фронтону, 2 этаж, односкатная кровля, №10</v>
      </c>
      <c r="B547" s="2562" t="str">
        <f aca="false">дома!B943</f>
        <v>м.п.</v>
      </c>
      <c r="C547" s="2563" t="n">
        <f aca="false">дома!C943</f>
        <v>0.4</v>
      </c>
      <c r="D547" s="2563" t="n">
        <f aca="false">дома!D943</f>
        <v>0.05</v>
      </c>
      <c r="E547" s="2563" t="n">
        <f aca="false">дома!E943</f>
        <v>0</v>
      </c>
      <c r="F547" s="2563" t="n">
        <f aca="false">дома!F943</f>
        <v>0</v>
      </c>
      <c r="G547" s="2563" t="n">
        <f aca="false">E547*F547*(IF('Ввод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7" s="2563" t="n">
        <f aca="false">дома!G943*(IF('Ввод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8" customFormat="false" ht="14.5" hidden="false" customHeight="false" outlineLevel="0" collapsed="false">
      <c r="A548" s="2561" t="str">
        <f aca="false">дома!A944</f>
        <v>Стойка каркаса по фронтону, 2 этаж, односкатная кровля, №11</v>
      </c>
      <c r="B548" s="2562" t="str">
        <f aca="false">дома!B944</f>
        <v>м.п.</v>
      </c>
      <c r="C548" s="2563" t="n">
        <f aca="false">дома!C944</f>
        <v>0.4</v>
      </c>
      <c r="D548" s="2563" t="n">
        <f aca="false">дома!D944</f>
        <v>0.05</v>
      </c>
      <c r="E548" s="2563" t="n">
        <f aca="false">дома!E944</f>
        <v>0</v>
      </c>
      <c r="F548" s="2563" t="n">
        <f aca="false">дома!F944</f>
        <v>0</v>
      </c>
      <c r="G548" s="2563" t="n">
        <f aca="false">E548*F548*(IF('Ввод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8" s="2563" t="n">
        <f aca="false">дома!G944*(IF('Ввод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49" customFormat="false" ht="14.5" hidden="false" customHeight="false" outlineLevel="0" collapsed="false">
      <c r="A549" s="2561" t="str">
        <f aca="false">дома!A945</f>
        <v>Стойка каркаса по фронтону, 2 этаж, односкатная кровля, №12</v>
      </c>
      <c r="B549" s="2562" t="str">
        <f aca="false">дома!B945</f>
        <v>м.п.</v>
      </c>
      <c r="C549" s="2563" t="n">
        <f aca="false">дома!C945</f>
        <v>0.4</v>
      </c>
      <c r="D549" s="2563" t="n">
        <f aca="false">дома!D945</f>
        <v>0.05</v>
      </c>
      <c r="E549" s="2563" t="n">
        <f aca="false">дома!E945</f>
        <v>0</v>
      </c>
      <c r="F549" s="2563" t="n">
        <f aca="false">дома!F945</f>
        <v>0</v>
      </c>
      <c r="G549" s="2563" t="n">
        <f aca="false">E549*F549*(IF('Ввод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49" s="2563" t="n">
        <f aca="false">дома!G945*(IF('Ввод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0" customFormat="false" ht="14.5" hidden="false" customHeight="false" outlineLevel="0" collapsed="false">
      <c r="A550" s="2561" t="str">
        <f aca="false">дома!A946</f>
        <v>Стойка каркаса по фронтону, 2 этаж, односкатная кровля, №13</v>
      </c>
      <c r="B550" s="2562" t="str">
        <f aca="false">дома!B946</f>
        <v>м.п.</v>
      </c>
      <c r="C550" s="2563" t="n">
        <f aca="false">дома!C946</f>
        <v>0.4</v>
      </c>
      <c r="D550" s="2563" t="n">
        <f aca="false">дома!D946</f>
        <v>0.05</v>
      </c>
      <c r="E550" s="2563" t="n">
        <f aca="false">дома!E946</f>
        <v>0</v>
      </c>
      <c r="F550" s="2563" t="n">
        <f aca="false">дома!F946</f>
        <v>0</v>
      </c>
      <c r="G550" s="2563" t="n">
        <f aca="false">E550*F550*(IF('Ввод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0" s="2563" t="n">
        <f aca="false">дома!G946*(IF('Ввод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1" customFormat="false" ht="14.5" hidden="false" customHeight="false" outlineLevel="0" collapsed="false">
      <c r="A551" s="2561" t="str">
        <f aca="false">дома!A947</f>
        <v>Стойка каркаса по фронтону, 2 этаж, односкатная кровля, №14</v>
      </c>
      <c r="B551" s="2562" t="str">
        <f aca="false">дома!B947</f>
        <v>м.п.</v>
      </c>
      <c r="C551" s="2563" t="n">
        <f aca="false">дома!C947</f>
        <v>0.4</v>
      </c>
      <c r="D551" s="2563" t="n">
        <f aca="false">дома!D947</f>
        <v>0.05</v>
      </c>
      <c r="E551" s="2563" t="n">
        <f aca="false">дома!E947</f>
        <v>0</v>
      </c>
      <c r="F551" s="2563" t="n">
        <f aca="false">дома!F947</f>
        <v>0</v>
      </c>
      <c r="G551" s="2563" t="n">
        <f aca="false">E551*F551*(IF('Ввод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1" s="2563" t="n">
        <f aca="false">дома!G947*(IF('Ввод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2" customFormat="false" ht="14.5" hidden="false" customHeight="false" outlineLevel="0" collapsed="false">
      <c r="A552" s="2561" t="str">
        <f aca="false">дома!A948</f>
        <v>Стойка каркаса по фронтону, 2 этаж, односкатная кровля, №15</v>
      </c>
      <c r="B552" s="2562" t="str">
        <f aca="false">дома!B948</f>
        <v>м.п.</v>
      </c>
      <c r="C552" s="2563" t="n">
        <f aca="false">дома!C948</f>
        <v>0.4</v>
      </c>
      <c r="D552" s="2563" t="n">
        <f aca="false">дома!D948</f>
        <v>0.05</v>
      </c>
      <c r="E552" s="2563" t="n">
        <f aca="false">дома!E948</f>
        <v>0</v>
      </c>
      <c r="F552" s="2563" t="n">
        <f aca="false">дома!F948</f>
        <v>0</v>
      </c>
      <c r="G552" s="2563" t="n">
        <f aca="false">E552*F552*(IF('Ввод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2" s="2563" t="n">
        <f aca="false">дома!G948*(IF('Ввод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3" customFormat="false" ht="14.5" hidden="false" customHeight="false" outlineLevel="0" collapsed="false">
      <c r="A553" s="2561" t="str">
        <f aca="false">дома!A949</f>
        <v>Стойка каркаса по фронтону, 2 этаж, односкатная кровля, №16</v>
      </c>
      <c r="B553" s="2562" t="str">
        <f aca="false">дома!B949</f>
        <v>м.п.</v>
      </c>
      <c r="C553" s="2563" t="n">
        <f aca="false">дома!C949</f>
        <v>0.4</v>
      </c>
      <c r="D553" s="2563" t="n">
        <f aca="false">дома!D949</f>
        <v>0.05</v>
      </c>
      <c r="E553" s="2563" t="n">
        <f aca="false">дома!E949</f>
        <v>0</v>
      </c>
      <c r="F553" s="2563" t="n">
        <f aca="false">дома!F949</f>
        <v>0</v>
      </c>
      <c r="G553" s="2563" t="n">
        <f aca="false">E553*F553*(IF('Ввод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3" s="2563" t="n">
        <f aca="false">дома!G949*(IF('Ввод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4" customFormat="false" ht="14.5" hidden="false" customHeight="false" outlineLevel="0" collapsed="false">
      <c r="A554" s="2561" t="str">
        <f aca="false">дома!A950</f>
        <v>Стойка каркаса по фронтону, 2 этаж, односкатная кровля, №17</v>
      </c>
      <c r="B554" s="2562" t="str">
        <f aca="false">дома!B950</f>
        <v>м.п.</v>
      </c>
      <c r="C554" s="2563" t="n">
        <f aca="false">дома!C950</f>
        <v>0.4</v>
      </c>
      <c r="D554" s="2563" t="n">
        <f aca="false">дома!D950</f>
        <v>0.05</v>
      </c>
      <c r="E554" s="2563" t="n">
        <f aca="false">дома!E950</f>
        <v>0</v>
      </c>
      <c r="F554" s="2563" t="n">
        <f aca="false">дома!F950</f>
        <v>0</v>
      </c>
      <c r="G554" s="2563" t="n">
        <f aca="false">E554*F554*(IF('Ввод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4" s="2563" t="n">
        <f aca="false">дома!G950*(IF('Ввод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5" customFormat="false" ht="14.5" hidden="false" customHeight="false" outlineLevel="0" collapsed="false">
      <c r="A555" s="2561" t="str">
        <f aca="false">дома!A951</f>
        <v>Стойка каркаса по фронтону, 2 этаж, двускатная кровля, №1</v>
      </c>
      <c r="B555" s="2562" t="str">
        <f aca="false">дома!B951</f>
        <v>м.п.</v>
      </c>
      <c r="C555" s="2563" t="n">
        <f aca="false">дома!C951</f>
        <v>0.4</v>
      </c>
      <c r="D555" s="2563" t="n">
        <f aca="false">дома!D951</f>
        <v>0.05</v>
      </c>
      <c r="E555" s="2563" t="n">
        <f aca="false">дома!E951</f>
        <v>-1.2</v>
      </c>
      <c r="F555" s="2563" t="n">
        <f aca="false">дома!F951</f>
        <v>0</v>
      </c>
      <c r="G555" s="2563" t="n">
        <f aca="false">E555*F555*(IF('Ввод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5" s="2563" t="n">
        <f aca="false">дома!G951*(IF('Ввод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6" customFormat="false" ht="14.5" hidden="false" customHeight="false" outlineLevel="0" collapsed="false">
      <c r="A556" s="2561" t="str">
        <f aca="false">дома!A952</f>
        <v>Стойка каркаса по фронтону, 2 этаж, двускатная кровля, №2</v>
      </c>
      <c r="B556" s="2562" t="str">
        <f aca="false">дома!B952</f>
        <v>м.п.</v>
      </c>
      <c r="C556" s="2563" t="n">
        <f aca="false">дома!C952</f>
        <v>0.4</v>
      </c>
      <c r="D556" s="2563" t="n">
        <f aca="false">дома!D952</f>
        <v>0.05</v>
      </c>
      <c r="E556" s="2563" t="n">
        <f aca="false">дома!E952</f>
        <v>0</v>
      </c>
      <c r="F556" s="2563" t="n">
        <f aca="false">дома!F952</f>
        <v>0</v>
      </c>
      <c r="G556" s="2563" t="n">
        <f aca="false">E556*F556*(IF('Ввод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6" s="2563" t="n">
        <f aca="false">дома!G952*(IF('Ввод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7" customFormat="false" ht="14.5" hidden="false" customHeight="false" outlineLevel="0" collapsed="false">
      <c r="A557" s="2561" t="str">
        <f aca="false">дома!A953</f>
        <v>Стойка каркаса по фронтону, 2 этаж, двускатная кровля, №3</v>
      </c>
      <c r="B557" s="2562" t="str">
        <f aca="false">дома!B953</f>
        <v>м.п.</v>
      </c>
      <c r="C557" s="2563" t="n">
        <f aca="false">дома!C953</f>
        <v>0.4</v>
      </c>
      <c r="D557" s="2563" t="n">
        <f aca="false">дома!D953</f>
        <v>0.05</v>
      </c>
      <c r="E557" s="2563" t="n">
        <f aca="false">дома!E953</f>
        <v>0</v>
      </c>
      <c r="F557" s="2563" t="n">
        <f aca="false">дома!F953</f>
        <v>0</v>
      </c>
      <c r="G557" s="2563" t="n">
        <f aca="false">E557*F557*(IF('Ввод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7" s="2563" t="n">
        <f aca="false">дома!G953*(IF('Ввод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8" customFormat="false" ht="14.5" hidden="false" customHeight="false" outlineLevel="0" collapsed="false">
      <c r="A558" s="2561" t="str">
        <f aca="false">дома!A954</f>
        <v>Стойка каркаса по фронтону, 2 этаж, двускатная кровля, №4</v>
      </c>
      <c r="B558" s="2562" t="str">
        <f aca="false">дома!B954</f>
        <v>м.п.</v>
      </c>
      <c r="C558" s="2563" t="n">
        <f aca="false">дома!C954</f>
        <v>0.4</v>
      </c>
      <c r="D558" s="2563" t="n">
        <f aca="false">дома!D954</f>
        <v>0.05</v>
      </c>
      <c r="E558" s="2563" t="n">
        <f aca="false">дома!E954</f>
        <v>0</v>
      </c>
      <c r="F558" s="2563" t="n">
        <f aca="false">дома!F954</f>
        <v>0</v>
      </c>
      <c r="G558" s="2563" t="n">
        <f aca="false">E558*F558*(IF('Ввод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8" s="2563" t="n">
        <f aca="false">дома!G954*(IF('Ввод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59" customFormat="false" ht="14.5" hidden="false" customHeight="false" outlineLevel="0" collapsed="false">
      <c r="A559" s="2561" t="str">
        <f aca="false">дома!A955</f>
        <v>Стойка каркаса по фронтону, 2 этаж, двускатная кровля, №5</v>
      </c>
      <c r="B559" s="2562" t="str">
        <f aca="false">дома!B955</f>
        <v>м.п.</v>
      </c>
      <c r="C559" s="2563" t="n">
        <f aca="false">дома!C955</f>
        <v>0.4</v>
      </c>
      <c r="D559" s="2563" t="n">
        <f aca="false">дома!D955</f>
        <v>0.05</v>
      </c>
      <c r="E559" s="2563" t="n">
        <f aca="false">дома!E955</f>
        <v>0</v>
      </c>
      <c r="F559" s="2563" t="n">
        <f aca="false">дома!F955</f>
        <v>0</v>
      </c>
      <c r="G559" s="2563" t="n">
        <f aca="false">E559*F559*(IF('Ввод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59" s="2563" t="n">
        <f aca="false">дома!G955*(IF('Ввод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0" customFormat="false" ht="14.5" hidden="false" customHeight="false" outlineLevel="0" collapsed="false">
      <c r="A560" s="2561" t="str">
        <f aca="false">дома!A956</f>
        <v>Стойка каркаса по фронтону, 2 этаж, двускатная кровля, №6</v>
      </c>
      <c r="B560" s="2562" t="str">
        <f aca="false">дома!B956</f>
        <v>м.п.</v>
      </c>
      <c r="C560" s="2563" t="n">
        <f aca="false">дома!C956</f>
        <v>0.4</v>
      </c>
      <c r="D560" s="2563" t="n">
        <f aca="false">дома!D956</f>
        <v>0.05</v>
      </c>
      <c r="E560" s="2563" t="n">
        <f aca="false">дома!E956</f>
        <v>0</v>
      </c>
      <c r="F560" s="2563" t="n">
        <f aca="false">дома!F956</f>
        <v>0</v>
      </c>
      <c r="G560" s="2563" t="n">
        <f aca="false">E560*F560*(IF('Ввод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0" s="2563" t="n">
        <f aca="false">дома!G956*(IF('Ввод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1" customFormat="false" ht="14.5" hidden="false" customHeight="false" outlineLevel="0" collapsed="false">
      <c r="A561" s="2561" t="str">
        <f aca="false">дома!A957</f>
        <v>Стойка каркаса по фронтону, 2 этаж, двускатная кровля, №7</v>
      </c>
      <c r="B561" s="2562" t="str">
        <f aca="false">дома!B957</f>
        <v>м.п.</v>
      </c>
      <c r="C561" s="2563" t="n">
        <f aca="false">дома!C957</f>
        <v>0.4</v>
      </c>
      <c r="D561" s="2563" t="n">
        <f aca="false">дома!D957</f>
        <v>0.05</v>
      </c>
      <c r="E561" s="2563" t="n">
        <f aca="false">дома!E957</f>
        <v>0</v>
      </c>
      <c r="F561" s="2563" t="n">
        <f aca="false">дома!F957</f>
        <v>0</v>
      </c>
      <c r="G561" s="2563" t="n">
        <f aca="false">E561*F561*(IF('Ввод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1" s="2563" t="n">
        <f aca="false">дома!G957*(IF('Ввод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2" customFormat="false" ht="14.5" hidden="false" customHeight="false" outlineLevel="0" collapsed="false">
      <c r="A562" s="2561" t="str">
        <f aca="false">дома!A958</f>
        <v>Стойка каркаса по фронтону, 2 этаж, двускатная кровля, №8</v>
      </c>
      <c r="B562" s="2562" t="str">
        <f aca="false">дома!B958</f>
        <v>м.п.</v>
      </c>
      <c r="C562" s="2563" t="n">
        <f aca="false">дома!C958</f>
        <v>0.4</v>
      </c>
      <c r="D562" s="2563" t="n">
        <f aca="false">дома!D958</f>
        <v>0.05</v>
      </c>
      <c r="E562" s="2563" t="n">
        <f aca="false">дома!E958</f>
        <v>0</v>
      </c>
      <c r="F562" s="2563" t="n">
        <f aca="false">дома!F958</f>
        <v>0</v>
      </c>
      <c r="G562" s="2563" t="n">
        <f aca="false">E562*F562*(IF('Ввод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2" s="2563" t="n">
        <f aca="false">дома!G958*(IF('Ввод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3" customFormat="false" ht="14.5" hidden="false" customHeight="false" outlineLevel="0" collapsed="false">
      <c r="A563" s="2561" t="str">
        <f aca="false">дома!A959</f>
        <v>Стойка каркаса по фронтону, 2 этаж, двускатная кровля, №9</v>
      </c>
      <c r="B563" s="2562" t="str">
        <f aca="false">дома!B959</f>
        <v>м.п.</v>
      </c>
      <c r="C563" s="2563" t="n">
        <f aca="false">дома!C959</f>
        <v>0.4</v>
      </c>
      <c r="D563" s="2563" t="n">
        <f aca="false">дома!D959</f>
        <v>0.05</v>
      </c>
      <c r="E563" s="2563" t="n">
        <f aca="false">дома!E959</f>
        <v>0</v>
      </c>
      <c r="F563" s="2563" t="n">
        <f aca="false">дома!F959</f>
        <v>0</v>
      </c>
      <c r="G563" s="2563" t="n">
        <f aca="false">E563*F563*(IF('Ввод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3" s="2563" t="n">
        <f aca="false">дома!G959*(IF('Ввод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4" customFormat="false" ht="14.5" hidden="false" customHeight="false" outlineLevel="0" collapsed="false">
      <c r="A564" s="2561" t="str">
        <f aca="false">дома!A960</f>
        <v>Стойка каркаса по фронтону, 2 этаж, двускатная кровля, №10</v>
      </c>
      <c r="B564" s="2562" t="str">
        <f aca="false">дома!B960</f>
        <v>м.п.</v>
      </c>
      <c r="C564" s="2563" t="n">
        <f aca="false">дома!C960</f>
        <v>0.4</v>
      </c>
      <c r="D564" s="2563" t="n">
        <f aca="false">дома!D960</f>
        <v>0.05</v>
      </c>
      <c r="E564" s="2563" t="n">
        <f aca="false">дома!E960</f>
        <v>0</v>
      </c>
      <c r="F564" s="2563" t="n">
        <f aca="false">дома!F960</f>
        <v>0</v>
      </c>
      <c r="G564" s="2563" t="n">
        <f aca="false">E564*F564*(IF('Ввод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4" s="2563" t="n">
        <f aca="false">дома!G960*(IF('Ввод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5" customFormat="false" ht="14.5" hidden="false" customHeight="false" outlineLevel="0" collapsed="false">
      <c r="A565" s="2561" t="str">
        <f aca="false">дома!A961</f>
        <v>Стойка каркаса по фронтону, 2 этаж, двускатная кровля, №11</v>
      </c>
      <c r="B565" s="2562" t="str">
        <f aca="false">дома!B961</f>
        <v>м.п.</v>
      </c>
      <c r="C565" s="2563" t="n">
        <f aca="false">дома!C961</f>
        <v>0.4</v>
      </c>
      <c r="D565" s="2563" t="n">
        <f aca="false">дома!D961</f>
        <v>0.05</v>
      </c>
      <c r="E565" s="2563" t="n">
        <f aca="false">дома!E961</f>
        <v>0</v>
      </c>
      <c r="F565" s="2563" t="n">
        <f aca="false">дома!F961</f>
        <v>0</v>
      </c>
      <c r="G565" s="2563" t="n">
        <f aca="false">E565*F565*(IF('Ввод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5" s="2563" t="n">
        <f aca="false">дома!G961*(IF('Ввод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6" customFormat="false" ht="14.5" hidden="false" customHeight="false" outlineLevel="0" collapsed="false">
      <c r="A566" s="2561" t="str">
        <f aca="false">дома!A962</f>
        <v>Стойка каркаса по фронтону, 2 этаж, двускатная кровля, №12</v>
      </c>
      <c r="B566" s="2562" t="str">
        <f aca="false">дома!B962</f>
        <v>м.п.</v>
      </c>
      <c r="C566" s="2563" t="n">
        <f aca="false">дома!C962</f>
        <v>0.4</v>
      </c>
      <c r="D566" s="2563" t="n">
        <f aca="false">дома!D962</f>
        <v>0.05</v>
      </c>
      <c r="E566" s="2563" t="n">
        <f aca="false">дома!E962</f>
        <v>0</v>
      </c>
      <c r="F566" s="2563" t="n">
        <f aca="false">дома!F962</f>
        <v>0</v>
      </c>
      <c r="G566" s="2563" t="n">
        <f aca="false">E566*F566*(IF('Ввод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6" s="2563" t="n">
        <f aca="false">дома!G962*(IF('Ввод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7" customFormat="false" ht="14.5" hidden="false" customHeight="false" outlineLevel="0" collapsed="false">
      <c r="A567" s="2561" t="str">
        <f aca="false">дома!A963</f>
        <v>Стойка каркаса по фронтону, 2 этаж, двускатная кровля, №13</v>
      </c>
      <c r="B567" s="2562" t="str">
        <f aca="false">дома!B963</f>
        <v>м.п.</v>
      </c>
      <c r="C567" s="2563" t="n">
        <f aca="false">дома!C963</f>
        <v>0.4</v>
      </c>
      <c r="D567" s="2563" t="n">
        <f aca="false">дома!D963</f>
        <v>0.05</v>
      </c>
      <c r="E567" s="2563" t="n">
        <f aca="false">дома!E963</f>
        <v>0</v>
      </c>
      <c r="F567" s="2563" t="n">
        <f aca="false">дома!F963</f>
        <v>0</v>
      </c>
      <c r="G567" s="2563" t="n">
        <f aca="false">E567*F567*(IF('Ввод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7" s="2563" t="n">
        <f aca="false">дома!G963*(IF('Ввод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8" customFormat="false" ht="14.5" hidden="false" customHeight="false" outlineLevel="0" collapsed="false">
      <c r="A568" s="2561" t="str">
        <f aca="false">дома!A964</f>
        <v>Стойка каркаса по фронтону, 2 этаж, двускатная кровля, №14</v>
      </c>
      <c r="B568" s="2562" t="str">
        <f aca="false">дома!B964</f>
        <v>м.п.</v>
      </c>
      <c r="C568" s="2563" t="n">
        <f aca="false">дома!C964</f>
        <v>0.4</v>
      </c>
      <c r="D568" s="2563" t="n">
        <f aca="false">дома!D964</f>
        <v>0.05</v>
      </c>
      <c r="E568" s="2563" t="n">
        <f aca="false">дома!E964</f>
        <v>0</v>
      </c>
      <c r="F568" s="2563" t="n">
        <f aca="false">дома!F964</f>
        <v>0</v>
      </c>
      <c r="G568" s="2563" t="n">
        <f aca="false">E568*F568*(IF('Ввод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8" s="2563" t="n">
        <f aca="false">дома!G964*(IF('Ввод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69" customFormat="false" ht="14.5" hidden="false" customHeight="false" outlineLevel="0" collapsed="false">
      <c r="A569" s="2561" t="str">
        <f aca="false">дома!A965</f>
        <v>Стойка каркаса по фронтону, 2 этаж, двускатная кровля, №15</v>
      </c>
      <c r="B569" s="2562" t="str">
        <f aca="false">дома!B965</f>
        <v>м.п.</v>
      </c>
      <c r="C569" s="2563" t="n">
        <f aca="false">дома!C965</f>
        <v>0.4</v>
      </c>
      <c r="D569" s="2563" t="n">
        <f aca="false">дома!D965</f>
        <v>0.05</v>
      </c>
      <c r="E569" s="2563" t="n">
        <f aca="false">дома!E965</f>
        <v>0</v>
      </c>
      <c r="F569" s="2563" t="n">
        <f aca="false">дома!F965</f>
        <v>0</v>
      </c>
      <c r="G569" s="2563" t="n">
        <f aca="false">E569*F569*(IF('Ввод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69" s="2563" t="n">
        <f aca="false">дома!G965*(IF('Ввод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70" customFormat="false" ht="14.5" hidden="false" customHeight="false" outlineLevel="0" collapsed="false">
      <c r="A570" s="2561" t="str">
        <f aca="false">дома!A966</f>
        <v>Стойка каркаса по фронтону, 2 этаж, двускатная кровля, №16</v>
      </c>
      <c r="B570" s="2562" t="str">
        <f aca="false">дома!B966</f>
        <v>м.п.</v>
      </c>
      <c r="C570" s="2563" t="n">
        <f aca="false">дома!C966</f>
        <v>0.4</v>
      </c>
      <c r="D570" s="2563" t="n">
        <f aca="false">дома!D966</f>
        <v>0.05</v>
      </c>
      <c r="E570" s="2563" t="n">
        <f aca="false">дома!E966</f>
        <v>0</v>
      </c>
      <c r="F570" s="2563" t="n">
        <f aca="false">дома!F966</f>
        <v>0</v>
      </c>
      <c r="G570" s="2563" t="n">
        <f aca="false">E570*F570*(IF('Ввод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70" s="2563" t="n">
        <f aca="false">дома!G966*(IF('Ввод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71" customFormat="false" ht="14.5" hidden="false" customHeight="false" outlineLevel="0" collapsed="false">
      <c r="A571" s="2561" t="str">
        <f aca="false">дома!A967</f>
        <v>Стойка каркаса по фронтону, 2 этаж, двускатная кровля, №17</v>
      </c>
      <c r="B571" s="2562" t="str">
        <f aca="false">дома!B967</f>
        <v>м.п.</v>
      </c>
      <c r="C571" s="2563" t="n">
        <f aca="false">дома!C967</f>
        <v>0.4</v>
      </c>
      <c r="D571" s="2563" t="n">
        <f aca="false">дома!D967</f>
        <v>0.05</v>
      </c>
      <c r="E571" s="2563" t="n">
        <f aca="false">дома!E967</f>
        <v>0</v>
      </c>
      <c r="F571" s="2563" t="n">
        <f aca="false">дома!F967</f>
        <v>0</v>
      </c>
      <c r="G571" s="2563" t="n">
        <f aca="false">E571*F571*(IF('Ввод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571" s="2563" t="n">
        <f aca="false">дома!G967*(IF('Ввод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572" customFormat="false" ht="21" hidden="false" customHeight="false" outlineLevel="0" collapsed="false">
      <c r="A572" s="2558" t="s">
        <v>4173</v>
      </c>
      <c r="B572" s="2558"/>
      <c r="C572" s="2558"/>
      <c r="D572" s="2558"/>
      <c r="E572" s="2558"/>
      <c r="F572" s="2558"/>
      <c r="G572" s="2564" t="n">
        <f aca="false">E572*F572</f>
        <v>0</v>
      </c>
      <c r="H572" s="2564" t="n">
        <f aca="false">SUM(H573:H612)</f>
        <v>0</v>
      </c>
    </row>
    <row r="573" customFormat="false" ht="14.5" hidden="false" customHeight="false" outlineLevel="0" collapsed="false">
      <c r="A573" s="2561" t="str">
        <f aca="false">дома!A508</f>
        <v>Стойки каркаса передней стены 1 эт</v>
      </c>
      <c r="B573" s="2562" t="str">
        <f aca="false">дома!B508</f>
        <v>м.п.</v>
      </c>
      <c r="C573" s="2563" t="n">
        <f aca="false">дома!C508</f>
        <v>0.4</v>
      </c>
      <c r="D573" s="2563" t="n">
        <f aca="false">дома!D508</f>
        <v>0.05</v>
      </c>
      <c r="E573" s="2563" t="n">
        <f aca="false">дома!E508</f>
        <v>2.9</v>
      </c>
      <c r="F573" s="2563" t="n">
        <f aca="false">дома!F508</f>
        <v>0</v>
      </c>
      <c r="G573" s="2563" t="n">
        <f aca="false">E573*F573*IF('Ввод данных'!$A$8=связи1!$A$150,1,0)</f>
        <v>0</v>
      </c>
      <c r="H573" s="2563" t="n">
        <f aca="false">дома!G508*IF('Ввод данных'!$A$8=связи1!$A$150,1,0)</f>
        <v>0</v>
      </c>
    </row>
    <row r="574" customFormat="false" ht="14.5" hidden="false" customHeight="false" outlineLevel="0" collapsed="false">
      <c r="A574" s="2561" t="str">
        <f aca="false">дома!A509</f>
        <v>Стойки каркаса, левая сторона 1 эт</v>
      </c>
      <c r="B574" s="2562" t="str">
        <f aca="false">дома!B509</f>
        <v>м.п.</v>
      </c>
      <c r="C574" s="2563" t="n">
        <f aca="false">дома!C509</f>
        <v>0.4</v>
      </c>
      <c r="D574" s="2563" t="n">
        <f aca="false">дома!D509</f>
        <v>0.05</v>
      </c>
      <c r="E574" s="2563" t="n">
        <f aca="false">дома!E509</f>
        <v>2.9</v>
      </c>
      <c r="F574" s="2563" t="n">
        <f aca="false">дома!F509</f>
        <v>0</v>
      </c>
      <c r="G574" s="2563" t="n">
        <f aca="false">E574*F574*IF('Ввод данных'!$A$8=связи1!$A$150,1,0)</f>
        <v>0</v>
      </c>
      <c r="H574" s="2563" t="n">
        <f aca="false">дома!G509*IF('Ввод данных'!$A$8=связи1!$A$150,1,0)</f>
        <v>0</v>
      </c>
    </row>
    <row r="575" customFormat="false" ht="14.5" hidden="false" customHeight="false" outlineLevel="0" collapsed="false">
      <c r="A575" s="2561" t="str">
        <f aca="false">дома!A510</f>
        <v>Стойки каркаса, правая сторона, 1 эт</v>
      </c>
      <c r="B575" s="2562" t="str">
        <f aca="false">дома!B510</f>
        <v>м.п.</v>
      </c>
      <c r="C575" s="2563" t="n">
        <f aca="false">дома!C510</f>
        <v>0.4</v>
      </c>
      <c r="D575" s="2563" t="n">
        <f aca="false">дома!D510</f>
        <v>0.05</v>
      </c>
      <c r="E575" s="2563" t="n">
        <f aca="false">дома!E510</f>
        <v>2.9</v>
      </c>
      <c r="F575" s="2563" t="n">
        <f aca="false">дома!F510</f>
        <v>0</v>
      </c>
      <c r="G575" s="2563" t="n">
        <f aca="false">E575*F575*IF('Ввод данных'!$A$8=связи1!$A$150,1,0)</f>
        <v>0</v>
      </c>
      <c r="H575" s="2563" t="n">
        <f aca="false">дома!G510*IF('Ввод данных'!$A$8=связи1!$A$150,1,0)</f>
        <v>0</v>
      </c>
    </row>
    <row r="576" customFormat="false" ht="14.5" hidden="false" customHeight="false" outlineLevel="0" collapsed="false">
      <c r="A576" s="2561" t="str">
        <f aca="false">дома!A511</f>
        <v>Обвязка каркаса верхняя/нижняя наружние стены 1 эт</v>
      </c>
      <c r="B576" s="2562" t="str">
        <f aca="false">дома!B511</f>
        <v>м.п.</v>
      </c>
      <c r="C576" s="2563" t="n">
        <f aca="false">дома!C511</f>
        <v>0.4</v>
      </c>
      <c r="D576" s="2563" t="n">
        <f aca="false">дома!D511</f>
        <v>0.05</v>
      </c>
      <c r="E576" s="2563" t="n">
        <f aca="false">дома!E511</f>
        <v>0</v>
      </c>
      <c r="F576" s="2563" t="n">
        <f aca="false">дома!F511</f>
        <v>0</v>
      </c>
      <c r="G576" s="2563" t="n">
        <f aca="false">E576*F576*IF('Ввод данных'!$A$8=связи1!$A$150,1,0)</f>
        <v>0</v>
      </c>
      <c r="H576" s="2563" t="n">
        <f aca="false">дома!G511*IF('Ввод данных'!$A$8=связи1!$A$150,1,0)</f>
        <v>0</v>
      </c>
    </row>
    <row r="577" customFormat="false" ht="14.5" hidden="false" customHeight="false" outlineLevel="0" collapsed="false">
      <c r="A577" s="2561" t="str">
        <f aca="false">дома!A512</f>
        <v>Ригель каркаса наружние стены 1 эт</v>
      </c>
      <c r="B577" s="2562" t="str">
        <f aca="false">дома!B512</f>
        <v>м.п.</v>
      </c>
      <c r="C577" s="2563" t="n">
        <f aca="false">дома!C512</f>
        <v>0.4</v>
      </c>
      <c r="D577" s="2563" t="n">
        <f aca="false">дома!D512</f>
        <v>0.05</v>
      </c>
      <c r="E577" s="2563" t="n">
        <f aca="false">дома!E512</f>
        <v>0</v>
      </c>
      <c r="F577" s="2563" t="n">
        <f aca="false">дома!F512</f>
        <v>0</v>
      </c>
      <c r="G577" s="2563" t="n">
        <f aca="false">E577*F577*IF('Ввод данных'!$A$8=связи1!$A$150,1,0)</f>
        <v>0</v>
      </c>
      <c r="H577" s="2563" t="n">
        <f aca="false">дома!G512*IF('Ввод данных'!$A$8=связи1!$A$150,1,0)</f>
        <v>0</v>
      </c>
    </row>
    <row r="578" customFormat="false" ht="14.5" hidden="false" customHeight="false" outlineLevel="0" collapsed="false">
      <c r="A578" s="2561" t="str">
        <f aca="false">дома!A513</f>
        <v>Укосина наружних стен, усиление 1 этаж</v>
      </c>
      <c r="B578" s="2562" t="str">
        <f aca="false">дома!B513</f>
        <v>м.п.</v>
      </c>
      <c r="C578" s="2563" t="n">
        <f aca="false">дома!C513</f>
        <v>0.4</v>
      </c>
      <c r="D578" s="2563" t="n">
        <f aca="false">дома!D513</f>
        <v>0.05</v>
      </c>
      <c r="E578" s="2563" t="n">
        <f aca="false">дома!E513</f>
        <v>0</v>
      </c>
      <c r="F578" s="2563" t="n">
        <f aca="false">дома!F513</f>
        <v>8</v>
      </c>
      <c r="G578" s="2563" t="n">
        <f aca="false">E578*F578*IF('Ввод данных'!$A$8=связи1!$A$150,1,0)</f>
        <v>0</v>
      </c>
      <c r="H578" s="2563" t="n">
        <f aca="false">дома!G513*IF('Ввод данных'!$A$8=связи1!$A$150,1,0)</f>
        <v>0</v>
      </c>
    </row>
    <row r="579" customFormat="false" ht="14.5" hidden="false" customHeight="false" outlineLevel="0" collapsed="false">
      <c r="A579" s="2561" t="str">
        <f aca="false">дома!A514</f>
        <v>Стойка каркаса по фронтону, 1 этаж, односкатная кровля, №1</v>
      </c>
      <c r="B579" s="2562" t="str">
        <f aca="false">дома!B514</f>
        <v>м.п.</v>
      </c>
      <c r="C579" s="2563" t="n">
        <f aca="false">дома!C514</f>
        <v>0.4</v>
      </c>
      <c r="D579" s="2563" t="n">
        <f aca="false">дома!D514</f>
        <v>0.05</v>
      </c>
      <c r="E579" s="2563" t="n">
        <f aca="false">дома!E514</f>
        <v>0</v>
      </c>
      <c r="F579" s="2563" t="n">
        <f aca="false">дома!F514</f>
        <v>2</v>
      </c>
      <c r="G579" s="2563" t="n">
        <f aca="false">E579*F579*IF('Ввод данных'!$A$8=связи1!$A$150,1,0)</f>
        <v>0</v>
      </c>
      <c r="H579" s="2563" t="n">
        <f aca="false">дома!G514*IF('Ввод данных'!$A$8=связи1!$A$150,1,0)</f>
        <v>0</v>
      </c>
    </row>
    <row r="580" customFormat="false" ht="14.5" hidden="false" customHeight="false" outlineLevel="0" collapsed="false">
      <c r="A580" s="2561" t="str">
        <f aca="false">дома!A515</f>
        <v>Стойка каркаса по фронтону, 1 этаж, односкатная кровля, №2</v>
      </c>
      <c r="B580" s="2562" t="str">
        <f aca="false">дома!B515</f>
        <v>м.п.</v>
      </c>
      <c r="C580" s="2563" t="n">
        <f aca="false">дома!C515</f>
        <v>0.4</v>
      </c>
      <c r="D580" s="2563" t="n">
        <f aca="false">дома!D515</f>
        <v>0.05</v>
      </c>
      <c r="E580" s="2563" t="n">
        <f aca="false">дома!E515</f>
        <v>0</v>
      </c>
      <c r="F580" s="2563" t="n">
        <f aca="false">дома!F515</f>
        <v>2</v>
      </c>
      <c r="G580" s="2563" t="n">
        <f aca="false">E580*F580*IF('Ввод данных'!$A$8=связи1!$A$150,1,0)</f>
        <v>0</v>
      </c>
      <c r="H580" s="2563" t="n">
        <f aca="false">дома!G515*IF('Ввод данных'!$A$8=связи1!$A$150,1,0)</f>
        <v>0</v>
      </c>
    </row>
    <row r="581" customFormat="false" ht="14.5" hidden="false" customHeight="false" outlineLevel="0" collapsed="false">
      <c r="A581" s="2561" t="str">
        <f aca="false">дома!A516</f>
        <v>Стойка каркаса по фронтону, 1 этаж, односкатная кровля, №3</v>
      </c>
      <c r="B581" s="2562" t="str">
        <f aca="false">дома!B516</f>
        <v>м.п.</v>
      </c>
      <c r="C581" s="2563" t="n">
        <f aca="false">дома!C516</f>
        <v>0.4</v>
      </c>
      <c r="D581" s="2563" t="n">
        <f aca="false">дома!D516</f>
        <v>0.05</v>
      </c>
      <c r="E581" s="2563" t="n">
        <f aca="false">дома!E516</f>
        <v>0</v>
      </c>
      <c r="F581" s="2563" t="n">
        <f aca="false">дома!F516</f>
        <v>2</v>
      </c>
      <c r="G581" s="2563" t="n">
        <f aca="false">E581*F581*IF('Ввод данных'!$A$8=связи1!$A$150,1,0)</f>
        <v>0</v>
      </c>
      <c r="H581" s="2563" t="n">
        <f aca="false">дома!G516*IF('Ввод данных'!$A$8=связи1!$A$150,1,0)</f>
        <v>0</v>
      </c>
    </row>
    <row r="582" customFormat="false" ht="14.5" hidden="false" customHeight="false" outlineLevel="0" collapsed="false">
      <c r="A582" s="2561" t="str">
        <f aca="false">дома!A517</f>
        <v>Стойка каркаса по фронтону, 1 этаж, односкатная кровля, №4</v>
      </c>
      <c r="B582" s="2562" t="str">
        <f aca="false">дома!B517</f>
        <v>м.п.</v>
      </c>
      <c r="C582" s="2563" t="n">
        <f aca="false">дома!C517</f>
        <v>0.4</v>
      </c>
      <c r="D582" s="2563" t="n">
        <f aca="false">дома!D517</f>
        <v>0.05</v>
      </c>
      <c r="E582" s="2563" t="n">
        <f aca="false">дома!E517</f>
        <v>0</v>
      </c>
      <c r="F582" s="2563" t="n">
        <f aca="false">дома!F517</f>
        <v>2</v>
      </c>
      <c r="G582" s="2563" t="n">
        <f aca="false">E582*F582*IF('Ввод данных'!$A$8=связи1!$A$150,1,0)</f>
        <v>0</v>
      </c>
      <c r="H582" s="2563" t="n">
        <f aca="false">дома!G517*IF('Ввод данных'!$A$8=связи1!$A$150,1,0)</f>
        <v>0</v>
      </c>
    </row>
    <row r="583" customFormat="false" ht="14.5" hidden="false" customHeight="false" outlineLevel="0" collapsed="false">
      <c r="A583" s="2561" t="str">
        <f aca="false">дома!A518</f>
        <v>Стойка каркаса по фронтону, 1 этаж, односкатная кровля, №5</v>
      </c>
      <c r="B583" s="2562" t="str">
        <f aca="false">дома!B518</f>
        <v>м.п.</v>
      </c>
      <c r="C583" s="2563" t="n">
        <f aca="false">дома!C518</f>
        <v>0.4</v>
      </c>
      <c r="D583" s="2563" t="n">
        <f aca="false">дома!D518</f>
        <v>0.05</v>
      </c>
      <c r="E583" s="2563" t="n">
        <f aca="false">дома!E518</f>
        <v>0</v>
      </c>
      <c r="F583" s="2563" t="n">
        <f aca="false">дома!F518</f>
        <v>2</v>
      </c>
      <c r="G583" s="2563" t="n">
        <f aca="false">E583*F583*IF('Ввод данных'!$A$8=связи1!$A$150,1,0)</f>
        <v>0</v>
      </c>
      <c r="H583" s="2563" t="n">
        <f aca="false">дома!G518*IF('Ввод данных'!$A$8=связи1!$A$150,1,0)</f>
        <v>0</v>
      </c>
    </row>
    <row r="584" customFormat="false" ht="14.5" hidden="false" customHeight="false" outlineLevel="0" collapsed="false">
      <c r="A584" s="2561" t="str">
        <f aca="false">дома!A519</f>
        <v>Стойка каркаса по фронтону, 1 этаж, односкатная кровля, №6</v>
      </c>
      <c r="B584" s="2562" t="str">
        <f aca="false">дома!B519</f>
        <v>м.п.</v>
      </c>
      <c r="C584" s="2563" t="n">
        <f aca="false">дома!C519</f>
        <v>0.4</v>
      </c>
      <c r="D584" s="2563" t="n">
        <f aca="false">дома!D519</f>
        <v>0.05</v>
      </c>
      <c r="E584" s="2563" t="n">
        <f aca="false">дома!E519</f>
        <v>0</v>
      </c>
      <c r="F584" s="2563" t="n">
        <f aca="false">дома!F519</f>
        <v>2</v>
      </c>
      <c r="G584" s="2563" t="n">
        <f aca="false">E584*F584*IF('Ввод данных'!$A$8=связи1!$A$150,1,0)</f>
        <v>0</v>
      </c>
      <c r="H584" s="2563" t="n">
        <f aca="false">дома!G519*IF('Ввод данных'!$A$8=связи1!$A$150,1,0)</f>
        <v>0</v>
      </c>
    </row>
    <row r="585" customFormat="false" ht="14.5" hidden="false" customHeight="false" outlineLevel="0" collapsed="false">
      <c r="A585" s="2561" t="str">
        <f aca="false">дома!A520</f>
        <v>Стойка каркаса по фронтону, 1 этаж, односкатная кровля, №7</v>
      </c>
      <c r="B585" s="2562" t="str">
        <f aca="false">дома!B520</f>
        <v>м.п.</v>
      </c>
      <c r="C585" s="2563" t="n">
        <f aca="false">дома!C520</f>
        <v>0.4</v>
      </c>
      <c r="D585" s="2563" t="n">
        <f aca="false">дома!D520</f>
        <v>0.05</v>
      </c>
      <c r="E585" s="2563" t="n">
        <f aca="false">дома!E520</f>
        <v>0</v>
      </c>
      <c r="F585" s="2563" t="n">
        <f aca="false">дома!F520</f>
        <v>2</v>
      </c>
      <c r="G585" s="2563" t="n">
        <f aca="false">E585*F585*IF('Ввод данных'!$A$8=связи1!$A$150,1,0)</f>
        <v>0</v>
      </c>
      <c r="H585" s="2563" t="n">
        <f aca="false">дома!G520*IF('Ввод данных'!$A$8=связи1!$A$150,1,0)</f>
        <v>0</v>
      </c>
    </row>
    <row r="586" customFormat="false" ht="14.5" hidden="false" customHeight="false" outlineLevel="0" collapsed="false">
      <c r="A586" s="2561" t="str">
        <f aca="false">дома!A521</f>
        <v>Стойка каркаса по фронтону, 1 этаж, односкатная кровля, №8</v>
      </c>
      <c r="B586" s="2562" t="str">
        <f aca="false">дома!B521</f>
        <v>м.п.</v>
      </c>
      <c r="C586" s="2563" t="n">
        <f aca="false">дома!C521</f>
        <v>0.4</v>
      </c>
      <c r="D586" s="2563" t="n">
        <f aca="false">дома!D521</f>
        <v>0.05</v>
      </c>
      <c r="E586" s="2563" t="n">
        <f aca="false">дома!E521</f>
        <v>0</v>
      </c>
      <c r="F586" s="2563" t="n">
        <f aca="false">дома!F521</f>
        <v>2</v>
      </c>
      <c r="G586" s="2563" t="n">
        <f aca="false">E586*F586*IF('Ввод данных'!$A$8=связи1!$A$150,1,0)</f>
        <v>0</v>
      </c>
      <c r="H586" s="2563" t="n">
        <f aca="false">дома!G521*IF('Ввод данных'!$A$8=связи1!$A$150,1,0)</f>
        <v>0</v>
      </c>
    </row>
    <row r="587" customFormat="false" ht="14.5" hidden="false" customHeight="false" outlineLevel="0" collapsed="false">
      <c r="A587" s="2561" t="str">
        <f aca="false">дома!A522</f>
        <v>Стойка каркаса по фронтону, 1 этаж, односкатная кровля, №9</v>
      </c>
      <c r="B587" s="2562" t="str">
        <f aca="false">дома!B522</f>
        <v>м.п.</v>
      </c>
      <c r="C587" s="2563" t="n">
        <f aca="false">дома!C522</f>
        <v>0.4</v>
      </c>
      <c r="D587" s="2563" t="n">
        <f aca="false">дома!D522</f>
        <v>0.05</v>
      </c>
      <c r="E587" s="2563" t="n">
        <f aca="false">дома!E522</f>
        <v>0</v>
      </c>
      <c r="F587" s="2563" t="n">
        <f aca="false">дома!F522</f>
        <v>2</v>
      </c>
      <c r="G587" s="2563" t="n">
        <f aca="false">E587*F587*IF('Ввод данных'!$A$8=связи1!$A$150,1,0)</f>
        <v>0</v>
      </c>
      <c r="H587" s="2563" t="n">
        <f aca="false">дома!G522*IF('Ввод данных'!$A$8=связи1!$A$150,1,0)</f>
        <v>0</v>
      </c>
    </row>
    <row r="588" customFormat="false" ht="14.5" hidden="false" customHeight="false" outlineLevel="0" collapsed="false">
      <c r="A588" s="2561" t="str">
        <f aca="false">дома!A523</f>
        <v>Стойка каркаса по фронтону, 1 этаж, односкатная кровля, №10</v>
      </c>
      <c r="B588" s="2562" t="str">
        <f aca="false">дома!B523</f>
        <v>м.п.</v>
      </c>
      <c r="C588" s="2563" t="n">
        <f aca="false">дома!C523</f>
        <v>0.4</v>
      </c>
      <c r="D588" s="2563" t="n">
        <f aca="false">дома!D523</f>
        <v>0.05</v>
      </c>
      <c r="E588" s="2563" t="n">
        <f aca="false">дома!E523</f>
        <v>0</v>
      </c>
      <c r="F588" s="2563" t="n">
        <f aca="false">дома!F523</f>
        <v>2</v>
      </c>
      <c r="G588" s="2563" t="n">
        <f aca="false">E588*F588*IF('Ввод данных'!$A$8=связи1!$A$150,1,0)</f>
        <v>0</v>
      </c>
      <c r="H588" s="2563" t="n">
        <f aca="false">дома!G523*IF('Ввод данных'!$A$8=связи1!$A$150,1,0)</f>
        <v>0</v>
      </c>
    </row>
    <row r="589" customFormat="false" ht="14.5" hidden="false" customHeight="false" outlineLevel="0" collapsed="false">
      <c r="A589" s="2561" t="str">
        <f aca="false">дома!A524</f>
        <v>Стойка каркаса по фронтону, 1 этаж, односкатная кровля, №11</v>
      </c>
      <c r="B589" s="2562" t="str">
        <f aca="false">дома!B524</f>
        <v>м.п.</v>
      </c>
      <c r="C589" s="2563" t="n">
        <f aca="false">дома!C524</f>
        <v>0.4</v>
      </c>
      <c r="D589" s="2563" t="n">
        <f aca="false">дома!D524</f>
        <v>0.05</v>
      </c>
      <c r="E589" s="2563" t="n">
        <f aca="false">дома!E524</f>
        <v>0</v>
      </c>
      <c r="F589" s="2563" t="n">
        <f aca="false">дома!F524</f>
        <v>2</v>
      </c>
      <c r="G589" s="2563" t="n">
        <f aca="false">E589*F589*IF('Ввод данных'!$A$8=связи1!$A$150,1,0)</f>
        <v>0</v>
      </c>
      <c r="H589" s="2563" t="n">
        <f aca="false">дома!G524*IF('Ввод данных'!$A$8=связи1!$A$150,1,0)</f>
        <v>0</v>
      </c>
    </row>
    <row r="590" customFormat="false" ht="14.5" hidden="false" customHeight="false" outlineLevel="0" collapsed="false">
      <c r="A590" s="2561" t="str">
        <f aca="false">дома!A525</f>
        <v>Стойка каркаса по фронтону, 1 этаж, односкатная кровля, №12</v>
      </c>
      <c r="B590" s="2562" t="str">
        <f aca="false">дома!B525</f>
        <v>м.п.</v>
      </c>
      <c r="C590" s="2563" t="n">
        <f aca="false">дома!C525</f>
        <v>0.4</v>
      </c>
      <c r="D590" s="2563" t="n">
        <f aca="false">дома!D525</f>
        <v>0.05</v>
      </c>
      <c r="E590" s="2563" t="n">
        <f aca="false">дома!E525</f>
        <v>0</v>
      </c>
      <c r="F590" s="2563" t="n">
        <f aca="false">дома!F525</f>
        <v>2</v>
      </c>
      <c r="G590" s="2563" t="n">
        <f aca="false">E590*F590*IF('Ввод данных'!$A$8=связи1!$A$150,1,0)</f>
        <v>0</v>
      </c>
      <c r="H590" s="2563" t="n">
        <f aca="false">дома!G525*IF('Ввод данных'!$A$8=связи1!$A$150,1,0)</f>
        <v>0</v>
      </c>
    </row>
    <row r="591" customFormat="false" ht="14.5" hidden="false" customHeight="false" outlineLevel="0" collapsed="false">
      <c r="A591" s="2561" t="str">
        <f aca="false">дома!A526</f>
        <v>Стойка каркаса по фронтону, 1 этаж, односкатная кровля, №13</v>
      </c>
      <c r="B591" s="2562" t="str">
        <f aca="false">дома!B526</f>
        <v>м.п.</v>
      </c>
      <c r="C591" s="2563" t="n">
        <f aca="false">дома!C526</f>
        <v>0.4</v>
      </c>
      <c r="D591" s="2563" t="n">
        <f aca="false">дома!D526</f>
        <v>0.05</v>
      </c>
      <c r="E591" s="2563" t="n">
        <f aca="false">дома!E526</f>
        <v>0</v>
      </c>
      <c r="F591" s="2563" t="n">
        <f aca="false">дома!F526</f>
        <v>2</v>
      </c>
      <c r="G591" s="2563" t="n">
        <f aca="false">E591*F591*IF('Ввод данных'!$A$8=связи1!$A$150,1,0)</f>
        <v>0</v>
      </c>
      <c r="H591" s="2563" t="n">
        <f aca="false">дома!G526*IF('Ввод данных'!$A$8=связи1!$A$150,1,0)</f>
        <v>0</v>
      </c>
    </row>
    <row r="592" customFormat="false" ht="14.5" hidden="false" customHeight="false" outlineLevel="0" collapsed="false">
      <c r="A592" s="2561" t="str">
        <f aca="false">дома!A527</f>
        <v>Стойка каркаса по фронтону, 1 этаж, односкатная кровля, №14</v>
      </c>
      <c r="B592" s="2562" t="str">
        <f aca="false">дома!B527</f>
        <v>м.п.</v>
      </c>
      <c r="C592" s="2563" t="n">
        <f aca="false">дома!C527</f>
        <v>0.4</v>
      </c>
      <c r="D592" s="2563" t="n">
        <f aca="false">дома!D527</f>
        <v>0.05</v>
      </c>
      <c r="E592" s="2563" t="n">
        <f aca="false">дома!E527</f>
        <v>0</v>
      </c>
      <c r="F592" s="2563" t="n">
        <f aca="false">дома!F527</f>
        <v>2</v>
      </c>
      <c r="G592" s="2563" t="n">
        <f aca="false">E592*F592*IF('Ввод данных'!$A$8=связи1!$A$150,1,0)</f>
        <v>0</v>
      </c>
      <c r="H592" s="2563" t="n">
        <f aca="false">дома!G527*IF('Ввод данных'!$A$8=связи1!$A$150,1,0)</f>
        <v>0</v>
      </c>
    </row>
    <row r="593" customFormat="false" ht="14.5" hidden="false" customHeight="false" outlineLevel="0" collapsed="false">
      <c r="A593" s="2561" t="str">
        <f aca="false">дома!A528</f>
        <v>Стойка каркаса по фронтону, 1 этаж, односкатная кровля, №15</v>
      </c>
      <c r="B593" s="2562" t="str">
        <f aca="false">дома!B528</f>
        <v>м.п.</v>
      </c>
      <c r="C593" s="2563" t="n">
        <f aca="false">дома!C528</f>
        <v>0.4</v>
      </c>
      <c r="D593" s="2563" t="n">
        <f aca="false">дома!D528</f>
        <v>0.05</v>
      </c>
      <c r="E593" s="2563" t="n">
        <f aca="false">дома!E528</f>
        <v>0</v>
      </c>
      <c r="F593" s="2563" t="n">
        <f aca="false">дома!F528</f>
        <v>2</v>
      </c>
      <c r="G593" s="2563" t="n">
        <f aca="false">E593*F593*IF('Ввод данных'!$A$8=связи1!$A$150,1,0)</f>
        <v>0</v>
      </c>
      <c r="H593" s="2563" t="n">
        <f aca="false">дома!G528*IF('Ввод данных'!$A$8=связи1!$A$150,1,0)</f>
        <v>0</v>
      </c>
    </row>
    <row r="594" customFormat="false" ht="14.5" hidden="false" customHeight="false" outlineLevel="0" collapsed="false">
      <c r="A594" s="2561" t="str">
        <f aca="false">дома!A529</f>
        <v>Стойка каркаса по фронтону, 1 этаж, односкатная кровля, №16</v>
      </c>
      <c r="B594" s="2562" t="str">
        <f aca="false">дома!B529</f>
        <v>м.п.</v>
      </c>
      <c r="C594" s="2563" t="n">
        <f aca="false">дома!C529</f>
        <v>0.4</v>
      </c>
      <c r="D594" s="2563" t="n">
        <f aca="false">дома!D529</f>
        <v>0.05</v>
      </c>
      <c r="E594" s="2563" t="n">
        <f aca="false">дома!E529</f>
        <v>0</v>
      </c>
      <c r="F594" s="2563" t="n">
        <f aca="false">дома!F529</f>
        <v>2</v>
      </c>
      <c r="G594" s="2563" t="n">
        <f aca="false">E594*F594*IF('Ввод данных'!$A$8=связи1!$A$150,1,0)</f>
        <v>0</v>
      </c>
      <c r="H594" s="2563" t="n">
        <f aca="false">дома!G529*IF('Ввод данных'!$A$8=связи1!$A$150,1,0)</f>
        <v>0</v>
      </c>
    </row>
    <row r="595" customFormat="false" ht="14.5" hidden="false" customHeight="false" outlineLevel="0" collapsed="false">
      <c r="A595" s="2561" t="str">
        <f aca="false">дома!A530</f>
        <v>Стойка каркаса по фронтону, 1 этаж, односкатная кровля, №17</v>
      </c>
      <c r="B595" s="2562" t="str">
        <f aca="false">дома!B530</f>
        <v>м.п.</v>
      </c>
      <c r="C595" s="2563" t="n">
        <f aca="false">дома!C530</f>
        <v>0.4</v>
      </c>
      <c r="D595" s="2563" t="n">
        <f aca="false">дома!D530</f>
        <v>0.05</v>
      </c>
      <c r="E595" s="2563" t="n">
        <f aca="false">дома!E530</f>
        <v>0</v>
      </c>
      <c r="F595" s="2563" t="n">
        <f aca="false">дома!F530</f>
        <v>2</v>
      </c>
      <c r="G595" s="2563" t="n">
        <f aca="false">E595*F595*IF('Ввод данных'!$A$8=связи1!$A$150,1,0)</f>
        <v>0</v>
      </c>
      <c r="H595" s="2563" t="n">
        <f aca="false">дома!G530*IF('Ввод данных'!$A$8=связи1!$A$150,1,0)</f>
        <v>0</v>
      </c>
    </row>
    <row r="596" customFormat="false" ht="14.5" hidden="false" customHeight="false" outlineLevel="0" collapsed="false">
      <c r="A596" s="2561" t="str">
        <f aca="false">дома!A531</f>
        <v>Стойка каркаса по фронтону, 1 этаж, двускатная кровля, №1</v>
      </c>
      <c r="B596" s="2562" t="str">
        <f aca="false">дома!B531</f>
        <v>м.п.</v>
      </c>
      <c r="C596" s="2563" t="n">
        <f aca="false">дома!C531</f>
        <v>0.4</v>
      </c>
      <c r="D596" s="2563" t="n">
        <f aca="false">дома!D531</f>
        <v>0.05</v>
      </c>
      <c r="E596" s="2563" t="n">
        <f aca="false">дома!E531</f>
        <v>0</v>
      </c>
      <c r="F596" s="2563" t="n">
        <f aca="false">дома!F531</f>
        <v>2</v>
      </c>
      <c r="G596" s="2563" t="n">
        <f aca="false">E596*F596*IF('Ввод данных'!$A$8=связи1!$A$150,1,0)</f>
        <v>0</v>
      </c>
      <c r="H596" s="2563" t="n">
        <f aca="false">дома!G531*IF('Ввод данных'!$A$8=связи1!$A$150,1,0)</f>
        <v>0</v>
      </c>
    </row>
    <row r="597" customFormat="false" ht="14.5" hidden="false" customHeight="false" outlineLevel="0" collapsed="false">
      <c r="A597" s="2561" t="str">
        <f aca="false">дома!A532</f>
        <v>Стойка каркаса по фронтону, 1 этаж, двускатная кровля, №2</v>
      </c>
      <c r="B597" s="2562" t="str">
        <f aca="false">дома!B532</f>
        <v>м.п.</v>
      </c>
      <c r="C597" s="2563" t="n">
        <f aca="false">дома!C532</f>
        <v>0.4</v>
      </c>
      <c r="D597" s="2563" t="n">
        <f aca="false">дома!D532</f>
        <v>0.05</v>
      </c>
      <c r="E597" s="2563" t="n">
        <f aca="false">дома!E532</f>
        <v>0</v>
      </c>
      <c r="F597" s="2563" t="n">
        <f aca="false">дома!F532</f>
        <v>2</v>
      </c>
      <c r="G597" s="2563" t="n">
        <f aca="false">E597*F597*IF('Ввод данных'!$A$8=связи1!$A$150,1,0)</f>
        <v>0</v>
      </c>
      <c r="H597" s="2563" t="n">
        <f aca="false">дома!G532*IF('Ввод данных'!$A$8=связи1!$A$150,1,0)</f>
        <v>0</v>
      </c>
    </row>
    <row r="598" customFormat="false" ht="14.5" hidden="false" customHeight="false" outlineLevel="0" collapsed="false">
      <c r="A598" s="2561" t="str">
        <f aca="false">дома!A533</f>
        <v>Стойка каркаса по фронтону, 1 этаж, двускатная кровля, №3</v>
      </c>
      <c r="B598" s="2562" t="str">
        <f aca="false">дома!B533</f>
        <v>м.п.</v>
      </c>
      <c r="C598" s="2563" t="n">
        <f aca="false">дома!C533</f>
        <v>0.4</v>
      </c>
      <c r="D598" s="2563" t="n">
        <f aca="false">дома!D533</f>
        <v>0.05</v>
      </c>
      <c r="E598" s="2563" t="n">
        <f aca="false">дома!E533</f>
        <v>0</v>
      </c>
      <c r="F598" s="2563" t="n">
        <f aca="false">дома!F533</f>
        <v>2</v>
      </c>
      <c r="G598" s="2563" t="n">
        <f aca="false">E598*F598*IF('Ввод данных'!$A$8=связи1!$A$150,1,0)</f>
        <v>0</v>
      </c>
      <c r="H598" s="2563" t="n">
        <f aca="false">дома!G533*IF('Ввод данных'!$A$8=связи1!$A$150,1,0)</f>
        <v>0</v>
      </c>
    </row>
    <row r="599" customFormat="false" ht="14.5" hidden="false" customHeight="false" outlineLevel="0" collapsed="false">
      <c r="A599" s="2561" t="str">
        <f aca="false">дома!A534</f>
        <v>Стойка каркаса по фронтону, 1 этаж, двускатная кровля, №4</v>
      </c>
      <c r="B599" s="2562" t="str">
        <f aca="false">дома!B534</f>
        <v>м.п.</v>
      </c>
      <c r="C599" s="2563" t="n">
        <f aca="false">дома!C534</f>
        <v>0.4</v>
      </c>
      <c r="D599" s="2563" t="n">
        <f aca="false">дома!D534</f>
        <v>0.05</v>
      </c>
      <c r="E599" s="2563" t="n">
        <f aca="false">дома!E534</f>
        <v>0</v>
      </c>
      <c r="F599" s="2563" t="n">
        <f aca="false">дома!F534</f>
        <v>2</v>
      </c>
      <c r="G599" s="2563" t="n">
        <f aca="false">E599*F599*IF('Ввод данных'!$A$8=связи1!$A$150,1,0)</f>
        <v>0</v>
      </c>
      <c r="H599" s="2563" t="n">
        <f aca="false">дома!G534*IF('Ввод данных'!$A$8=связи1!$A$150,1,0)</f>
        <v>0</v>
      </c>
    </row>
    <row r="600" customFormat="false" ht="14.5" hidden="false" customHeight="false" outlineLevel="0" collapsed="false">
      <c r="A600" s="2561" t="str">
        <f aca="false">дома!A535</f>
        <v>Стойка каркаса по фронтону, 1 этаж, двускатная кровля, №5</v>
      </c>
      <c r="B600" s="2562" t="str">
        <f aca="false">дома!B535</f>
        <v>м.п.</v>
      </c>
      <c r="C600" s="2563" t="n">
        <f aca="false">дома!C535</f>
        <v>0.4</v>
      </c>
      <c r="D600" s="2563" t="n">
        <f aca="false">дома!D535</f>
        <v>0.05</v>
      </c>
      <c r="E600" s="2563" t="n">
        <f aca="false">дома!E535</f>
        <v>0</v>
      </c>
      <c r="F600" s="2563" t="n">
        <f aca="false">дома!F535</f>
        <v>2</v>
      </c>
      <c r="G600" s="2563" t="n">
        <f aca="false">E600*F600*IF('Ввод данных'!$A$8=связи1!$A$150,1,0)</f>
        <v>0</v>
      </c>
      <c r="H600" s="2563" t="n">
        <f aca="false">дома!G535*IF('Ввод данных'!$A$8=связи1!$A$150,1,0)</f>
        <v>0</v>
      </c>
    </row>
    <row r="601" customFormat="false" ht="14.5" hidden="false" customHeight="false" outlineLevel="0" collapsed="false">
      <c r="A601" s="2561" t="str">
        <f aca="false">дома!A536</f>
        <v>Стойка каркаса по фронтону, 1 этаж, двускатная кровля, №6</v>
      </c>
      <c r="B601" s="2562" t="str">
        <f aca="false">дома!B536</f>
        <v>м.п.</v>
      </c>
      <c r="C601" s="2563" t="n">
        <f aca="false">дома!C536</f>
        <v>0.4</v>
      </c>
      <c r="D601" s="2563" t="n">
        <f aca="false">дома!D536</f>
        <v>0.05</v>
      </c>
      <c r="E601" s="2563" t="n">
        <f aca="false">дома!E536</f>
        <v>0</v>
      </c>
      <c r="F601" s="2563" t="n">
        <f aca="false">дома!F536</f>
        <v>2</v>
      </c>
      <c r="G601" s="2563" t="n">
        <f aca="false">E601*F601*IF('Ввод данных'!$A$8=связи1!$A$150,1,0)</f>
        <v>0</v>
      </c>
      <c r="H601" s="2563" t="n">
        <f aca="false">дома!G536*IF('Ввод данных'!$A$8=связи1!$A$150,1,0)</f>
        <v>0</v>
      </c>
    </row>
    <row r="602" customFormat="false" ht="14.5" hidden="false" customHeight="false" outlineLevel="0" collapsed="false">
      <c r="A602" s="2561" t="str">
        <f aca="false">дома!A537</f>
        <v>Стойка каркаса по фронтону, 1 этаж, двускатная кровля, №7</v>
      </c>
      <c r="B602" s="2562" t="str">
        <f aca="false">дома!B537</f>
        <v>м.п.</v>
      </c>
      <c r="C602" s="2563" t="n">
        <f aca="false">дома!C537</f>
        <v>0.4</v>
      </c>
      <c r="D602" s="2563" t="n">
        <f aca="false">дома!D537</f>
        <v>0.05</v>
      </c>
      <c r="E602" s="2563" t="n">
        <f aca="false">дома!E537</f>
        <v>0</v>
      </c>
      <c r="F602" s="2563" t="n">
        <f aca="false">дома!F537</f>
        <v>2</v>
      </c>
      <c r="G602" s="2563" t="n">
        <f aca="false">E602*F602*IF('Ввод данных'!$A$8=связи1!$A$150,1,0)</f>
        <v>0</v>
      </c>
      <c r="H602" s="2563" t="n">
        <f aca="false">дома!G537*IF('Ввод данных'!$A$8=связи1!$A$150,1,0)</f>
        <v>0</v>
      </c>
    </row>
    <row r="603" customFormat="false" ht="14.5" hidden="false" customHeight="false" outlineLevel="0" collapsed="false">
      <c r="A603" s="2561" t="str">
        <f aca="false">дома!A538</f>
        <v>Стойка каркаса по фронтону, 1 этаж, двускатная кровля, №8</v>
      </c>
      <c r="B603" s="2562" t="str">
        <f aca="false">дома!B538</f>
        <v>м.п.</v>
      </c>
      <c r="C603" s="2563" t="n">
        <f aca="false">дома!C538</f>
        <v>0.4</v>
      </c>
      <c r="D603" s="2563" t="n">
        <f aca="false">дома!D538</f>
        <v>0.05</v>
      </c>
      <c r="E603" s="2563" t="n">
        <f aca="false">дома!E538</f>
        <v>0</v>
      </c>
      <c r="F603" s="2563" t="n">
        <f aca="false">дома!F538</f>
        <v>2</v>
      </c>
      <c r="G603" s="2563" t="n">
        <f aca="false">E603*F603*IF('Ввод данных'!$A$8=связи1!$A$150,1,0)</f>
        <v>0</v>
      </c>
      <c r="H603" s="2563" t="n">
        <f aca="false">дома!G538*IF('Ввод данных'!$A$8=связи1!$A$150,1,0)</f>
        <v>0</v>
      </c>
    </row>
    <row r="604" customFormat="false" ht="14.5" hidden="false" customHeight="false" outlineLevel="0" collapsed="false">
      <c r="A604" s="2561" t="str">
        <f aca="false">дома!A539</f>
        <v>Стойка каркаса по фронтону, 1 этаж, двускатная кровля, №9</v>
      </c>
      <c r="B604" s="2562" t="str">
        <f aca="false">дома!B539</f>
        <v>м.п.</v>
      </c>
      <c r="C604" s="2563" t="n">
        <f aca="false">дома!C539</f>
        <v>0.4</v>
      </c>
      <c r="D604" s="2563" t="n">
        <f aca="false">дома!D539</f>
        <v>0.05</v>
      </c>
      <c r="E604" s="2563" t="n">
        <f aca="false">дома!E539</f>
        <v>0</v>
      </c>
      <c r="F604" s="2563" t="n">
        <f aca="false">дома!F539</f>
        <v>2</v>
      </c>
      <c r="G604" s="2563" t="n">
        <f aca="false">E604*F604*IF('Ввод данных'!$A$8=связи1!$A$150,1,0)</f>
        <v>0</v>
      </c>
      <c r="H604" s="2563" t="n">
        <f aca="false">дома!G539*IF('Ввод данных'!$A$8=связи1!$A$150,1,0)</f>
        <v>0</v>
      </c>
    </row>
    <row r="605" customFormat="false" ht="14.5" hidden="false" customHeight="false" outlineLevel="0" collapsed="false">
      <c r="A605" s="2561" t="str">
        <f aca="false">дома!A540</f>
        <v>Стойка каркаса по фронтону, 1 этаж, двускатная кровля, №10</v>
      </c>
      <c r="B605" s="2562" t="str">
        <f aca="false">дома!B540</f>
        <v>м.п.</v>
      </c>
      <c r="C605" s="2563" t="n">
        <f aca="false">дома!C540</f>
        <v>0.4</v>
      </c>
      <c r="D605" s="2563" t="n">
        <f aca="false">дома!D540</f>
        <v>0.05</v>
      </c>
      <c r="E605" s="2563" t="n">
        <f aca="false">дома!E540</f>
        <v>0</v>
      </c>
      <c r="F605" s="2563" t="n">
        <f aca="false">дома!F540</f>
        <v>2</v>
      </c>
      <c r="G605" s="2563" t="n">
        <f aca="false">E605*F605*IF('Ввод данных'!$A$8=связи1!$A$150,1,0)</f>
        <v>0</v>
      </c>
      <c r="H605" s="2563" t="n">
        <f aca="false">дома!G540*IF('Ввод данных'!$A$8=связи1!$A$150,1,0)</f>
        <v>0</v>
      </c>
    </row>
    <row r="606" customFormat="false" ht="14.5" hidden="false" customHeight="false" outlineLevel="0" collapsed="false">
      <c r="A606" s="2561" t="str">
        <f aca="false">дома!A541</f>
        <v>Стойка каркаса по фронтону, 1 этаж, двускатная кровля, №11</v>
      </c>
      <c r="B606" s="2562" t="str">
        <f aca="false">дома!B541</f>
        <v>м.п.</v>
      </c>
      <c r="C606" s="2563" t="n">
        <f aca="false">дома!C541</f>
        <v>0.4</v>
      </c>
      <c r="D606" s="2563" t="n">
        <f aca="false">дома!D541</f>
        <v>0.05</v>
      </c>
      <c r="E606" s="2563" t="n">
        <f aca="false">дома!E541</f>
        <v>0</v>
      </c>
      <c r="F606" s="2563" t="n">
        <f aca="false">дома!F541</f>
        <v>2</v>
      </c>
      <c r="G606" s="2563" t="n">
        <f aca="false">E606*F606*IF('Ввод данных'!$A$8=связи1!$A$150,1,0)</f>
        <v>0</v>
      </c>
      <c r="H606" s="2563" t="n">
        <f aca="false">дома!G541*IF('Ввод данных'!$A$8=связи1!$A$150,1,0)</f>
        <v>0</v>
      </c>
    </row>
    <row r="607" customFormat="false" ht="14.5" hidden="false" customHeight="false" outlineLevel="0" collapsed="false">
      <c r="A607" s="2561" t="str">
        <f aca="false">дома!A542</f>
        <v>Стойка каркаса по фронтону, 1 этаж, двускатная кровля, №12</v>
      </c>
      <c r="B607" s="2562" t="str">
        <f aca="false">дома!B542</f>
        <v>м.п.</v>
      </c>
      <c r="C607" s="2563" t="n">
        <f aca="false">дома!C542</f>
        <v>0.4</v>
      </c>
      <c r="D607" s="2563" t="n">
        <f aca="false">дома!D542</f>
        <v>0.05</v>
      </c>
      <c r="E607" s="2563" t="n">
        <f aca="false">дома!E542</f>
        <v>0</v>
      </c>
      <c r="F607" s="2563" t="n">
        <f aca="false">дома!F542</f>
        <v>2</v>
      </c>
      <c r="G607" s="2563" t="n">
        <f aca="false">E607*F607*IF('Ввод данных'!$A$8=связи1!$A$150,1,0)</f>
        <v>0</v>
      </c>
      <c r="H607" s="2563" t="n">
        <f aca="false">дома!G542*IF('Ввод данных'!$A$8=связи1!$A$150,1,0)</f>
        <v>0</v>
      </c>
    </row>
    <row r="608" customFormat="false" ht="14.5" hidden="false" customHeight="false" outlineLevel="0" collapsed="false">
      <c r="A608" s="2561" t="str">
        <f aca="false">дома!A543</f>
        <v>Стойка каркаса по фронтону, 1 этаж, двускатная кровля, №13</v>
      </c>
      <c r="B608" s="2562" t="str">
        <f aca="false">дома!B543</f>
        <v>м.п.</v>
      </c>
      <c r="C608" s="2563" t="n">
        <f aca="false">дома!C543</f>
        <v>0.4</v>
      </c>
      <c r="D608" s="2563" t="n">
        <f aca="false">дома!D543</f>
        <v>0.05</v>
      </c>
      <c r="E608" s="2563" t="n">
        <f aca="false">дома!E543</f>
        <v>0</v>
      </c>
      <c r="F608" s="2563" t="n">
        <f aca="false">дома!F543</f>
        <v>2</v>
      </c>
      <c r="G608" s="2563" t="n">
        <f aca="false">E608*F608*IF('Ввод данных'!$A$8=связи1!$A$150,1,0)</f>
        <v>0</v>
      </c>
      <c r="H608" s="2563" t="n">
        <f aca="false">дома!G543*IF('Ввод данных'!$A$8=связи1!$A$150,1,0)</f>
        <v>0</v>
      </c>
    </row>
    <row r="609" customFormat="false" ht="14.5" hidden="false" customHeight="false" outlineLevel="0" collapsed="false">
      <c r="A609" s="2561" t="str">
        <f aca="false">дома!A544</f>
        <v>Стойка каркаса по фронтону, 1 этаж, двускатная кровля, №14</v>
      </c>
      <c r="B609" s="2562" t="str">
        <f aca="false">дома!B544</f>
        <v>м.п.</v>
      </c>
      <c r="C609" s="2563" t="n">
        <f aca="false">дома!C544</f>
        <v>0.4</v>
      </c>
      <c r="D609" s="2563" t="n">
        <f aca="false">дома!D544</f>
        <v>0.05</v>
      </c>
      <c r="E609" s="2563" t="n">
        <f aca="false">дома!E544</f>
        <v>0</v>
      </c>
      <c r="F609" s="2563" t="n">
        <f aca="false">дома!F544</f>
        <v>2</v>
      </c>
      <c r="G609" s="2563" t="n">
        <f aca="false">E609*F609*IF('Ввод данных'!$A$8=связи1!$A$150,1,0)</f>
        <v>0</v>
      </c>
      <c r="H609" s="2563" t="n">
        <f aca="false">дома!G544*IF('Ввод данных'!$A$8=связи1!$A$150,1,0)</f>
        <v>0</v>
      </c>
    </row>
    <row r="610" customFormat="false" ht="14.5" hidden="false" customHeight="false" outlineLevel="0" collapsed="false">
      <c r="A610" s="2561" t="str">
        <f aca="false">дома!A545</f>
        <v>Стойка каркаса по фронтону, 1 этаж, двускатная кровля, №15</v>
      </c>
      <c r="B610" s="2562" t="str">
        <f aca="false">дома!B545</f>
        <v>м.п.</v>
      </c>
      <c r="C610" s="2563" t="n">
        <f aca="false">дома!C545</f>
        <v>0.4</v>
      </c>
      <c r="D610" s="2563" t="n">
        <f aca="false">дома!D545</f>
        <v>0.05</v>
      </c>
      <c r="E610" s="2563" t="n">
        <f aca="false">дома!E545</f>
        <v>0</v>
      </c>
      <c r="F610" s="2563" t="n">
        <f aca="false">дома!F545</f>
        <v>2</v>
      </c>
      <c r="G610" s="2563" t="n">
        <f aca="false">E610*F610*IF('Ввод данных'!$A$8=связи1!$A$150,1,0)</f>
        <v>0</v>
      </c>
      <c r="H610" s="2563" t="n">
        <f aca="false">дома!G545*IF('Ввод данных'!$A$8=связи1!$A$150,1,0)</f>
        <v>0</v>
      </c>
    </row>
    <row r="611" customFormat="false" ht="14.5" hidden="false" customHeight="false" outlineLevel="0" collapsed="false">
      <c r="A611" s="2561" t="str">
        <f aca="false">дома!A546</f>
        <v>Стойка каркаса по фронтону, 1 этаж, двускатная кровля, №16</v>
      </c>
      <c r="B611" s="2562" t="str">
        <f aca="false">дома!B546</f>
        <v>м.п.</v>
      </c>
      <c r="C611" s="2563" t="n">
        <f aca="false">дома!C546</f>
        <v>0.4</v>
      </c>
      <c r="D611" s="2563" t="n">
        <f aca="false">дома!D546</f>
        <v>0.05</v>
      </c>
      <c r="E611" s="2563" t="n">
        <f aca="false">дома!E546</f>
        <v>0</v>
      </c>
      <c r="F611" s="2563" t="n">
        <f aca="false">дома!F546</f>
        <v>2</v>
      </c>
      <c r="G611" s="2563" t="n">
        <f aca="false">E611*F611*IF('Ввод данных'!$A$8=связи1!$A$150,1,0)</f>
        <v>0</v>
      </c>
      <c r="H611" s="2563" t="n">
        <f aca="false">дома!G546*IF('Ввод данных'!$A$8=связи1!$A$150,1,0)</f>
        <v>0</v>
      </c>
    </row>
    <row r="612" customFormat="false" ht="14.5" hidden="false" customHeight="false" outlineLevel="0" collapsed="false">
      <c r="A612" s="2561" t="str">
        <f aca="false">дома!A547</f>
        <v>Стойка каркаса по фронтону, 1 этаж, двускатная кровля, №17</v>
      </c>
      <c r="B612" s="2562" t="str">
        <f aca="false">дома!B547</f>
        <v>м.п.</v>
      </c>
      <c r="C612" s="2563" t="n">
        <f aca="false">дома!C547</f>
        <v>0.4</v>
      </c>
      <c r="D612" s="2563" t="n">
        <f aca="false">дома!D547</f>
        <v>0.05</v>
      </c>
      <c r="E612" s="2563" t="n">
        <f aca="false">дома!E547</f>
        <v>0</v>
      </c>
      <c r="F612" s="2563" t="n">
        <f aca="false">дома!F547</f>
        <v>2</v>
      </c>
      <c r="G612" s="2563" t="n">
        <f aca="false">E612*F612*IF('Ввод данных'!$A$8=связи1!$A$150,1,0)</f>
        <v>0</v>
      </c>
      <c r="H612" s="2563" t="n">
        <f aca="false">дома!G547*IF('Ввод данных'!$A$8=связи1!$A$150,1,0)</f>
        <v>0</v>
      </c>
    </row>
    <row r="613" customFormat="false" ht="21" hidden="false" customHeight="false" outlineLevel="0" collapsed="false">
      <c r="A613" s="2558" t="s">
        <v>4174</v>
      </c>
      <c r="B613" s="2558"/>
      <c r="C613" s="2558"/>
      <c r="D613" s="2558"/>
      <c r="E613" s="2558"/>
      <c r="F613" s="2558"/>
      <c r="G613" s="2564" t="n">
        <f aca="false">E613*F613</f>
        <v>0</v>
      </c>
      <c r="H613" s="2564" t="n">
        <f aca="false">SUM(H614:H653)</f>
        <v>0</v>
      </c>
    </row>
    <row r="614" customFormat="false" ht="14.5" hidden="false" customHeight="false" outlineLevel="0" collapsed="false">
      <c r="A614" s="2561" t="str">
        <f aca="false">дома!A970</f>
        <v>Стойки каркаса передняя стена, 2 эт</v>
      </c>
      <c r="B614" s="2562" t="str">
        <f aca="false">дома!B970</f>
        <v>м.п.</v>
      </c>
      <c r="C614" s="2563" t="n">
        <f aca="false">дома!C970</f>
        <v>0.4</v>
      </c>
      <c r="D614" s="2563" t="n">
        <f aca="false">дома!D970</f>
        <v>0.05</v>
      </c>
      <c r="E614" s="2563" t="n">
        <f aca="false">дома!E970</f>
        <v>2.9</v>
      </c>
      <c r="F614" s="2563" t="n">
        <f aca="false">дома!F970</f>
        <v>0</v>
      </c>
      <c r="G614" s="2563" t="n">
        <f aca="false">E614*F614*(IF('Ввод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4" s="2563" t="n">
        <f aca="false">дома!G970*(IF('Ввод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5" customFormat="false" ht="14.5" hidden="false" customHeight="false" outlineLevel="0" collapsed="false">
      <c r="A615" s="2561" t="str">
        <f aca="false">дома!A971</f>
        <v>Стойки каркаса , левая стена, 2 эт</v>
      </c>
      <c r="B615" s="2562" t="str">
        <f aca="false">дома!B971</f>
        <v>м.п.</v>
      </c>
      <c r="C615" s="2563" t="n">
        <f aca="false">дома!C971</f>
        <v>0.4</v>
      </c>
      <c r="D615" s="2563" t="n">
        <f aca="false">дома!D971</f>
        <v>0.05</v>
      </c>
      <c r="E615" s="2563" t="n">
        <f aca="false">дома!E971</f>
        <v>1.5</v>
      </c>
      <c r="F615" s="2563" t="n">
        <f aca="false">дома!F971</f>
        <v>0</v>
      </c>
      <c r="G615" s="2563" t="n">
        <f aca="false">E615*F615*(IF('Ввод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5" s="2563" t="n">
        <f aca="false">дома!G971*(IF('Ввод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6" customFormat="false" ht="14.5" hidden="false" customHeight="false" outlineLevel="0" collapsed="false">
      <c r="A616" s="2561" t="str">
        <f aca="false">дома!A972</f>
        <v>Стойки каркаса , правая стена, 2 эт</v>
      </c>
      <c r="B616" s="2562" t="str">
        <f aca="false">дома!B972</f>
        <v>м.п.</v>
      </c>
      <c r="C616" s="2563" t="n">
        <f aca="false">дома!C972</f>
        <v>0.4</v>
      </c>
      <c r="D616" s="2563" t="n">
        <f aca="false">дома!D972</f>
        <v>0.05</v>
      </c>
      <c r="E616" s="2563" t="n">
        <f aca="false">дома!E972</f>
        <v>1.5</v>
      </c>
      <c r="F616" s="2563" t="n">
        <f aca="false">дома!F972</f>
        <v>0</v>
      </c>
      <c r="G616" s="2563" t="n">
        <f aca="false">E616*F616*(IF('Ввод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6" s="2563" t="n">
        <f aca="false">дома!G972*(IF('Ввод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7" customFormat="false" ht="14.5" hidden="false" customHeight="false" outlineLevel="0" collapsed="false">
      <c r="A617" s="2561" t="str">
        <f aca="false">дома!A973</f>
        <v>Обвязка каркаса верхняя/нижняя наружние стены 2 эт</v>
      </c>
      <c r="B617" s="2562" t="str">
        <f aca="false">дома!B973</f>
        <v>м.п.</v>
      </c>
      <c r="C617" s="2563" t="n">
        <f aca="false">дома!C973</f>
        <v>0.4</v>
      </c>
      <c r="D617" s="2563" t="n">
        <f aca="false">дома!D973</f>
        <v>0.05</v>
      </c>
      <c r="E617" s="2563" t="n">
        <f aca="false">дома!E973</f>
        <v>1</v>
      </c>
      <c r="F617" s="2563" t="n">
        <f aca="false">дома!F973</f>
        <v>0</v>
      </c>
      <c r="G617" s="2563" t="n">
        <f aca="false">E617*F617*(IF('Ввод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7" s="2563" t="n">
        <f aca="false">дома!G973*(IF('Ввод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8" customFormat="false" ht="14.5" hidden="false" customHeight="false" outlineLevel="0" collapsed="false">
      <c r="A618" s="2561" t="str">
        <f aca="false">дома!A974</f>
        <v>Ригель каркаса наружние стены 2 эт</v>
      </c>
      <c r="B618" s="2562" t="str">
        <f aca="false">дома!B974</f>
        <v>м.п.</v>
      </c>
      <c r="C618" s="2563" t="n">
        <f aca="false">дома!C974</f>
        <v>0.4</v>
      </c>
      <c r="D618" s="2563" t="n">
        <f aca="false">дома!D974</f>
        <v>0.05</v>
      </c>
      <c r="E618" s="2563" t="n">
        <f aca="false">дома!E974</f>
        <v>1</v>
      </c>
      <c r="F618" s="2563" t="n">
        <f aca="false">дома!F974</f>
        <v>0</v>
      </c>
      <c r="G618" s="2563" t="n">
        <f aca="false">E618*F618*(IF('Ввод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8" s="2563" t="n">
        <f aca="false">дома!G974*(IF('Ввод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19" customFormat="false" ht="14.5" hidden="false" customHeight="false" outlineLevel="0" collapsed="false">
      <c r="A619" s="2561" t="str">
        <f aca="false">дома!A975</f>
        <v>Укосина наружних стен, усиление 2 этаж</v>
      </c>
      <c r="B619" s="2562" t="str">
        <f aca="false">дома!B975</f>
        <v>м.п.</v>
      </c>
      <c r="C619" s="2563" t="n">
        <f aca="false">дома!C975</f>
        <v>0.4</v>
      </c>
      <c r="D619" s="2563" t="n">
        <f aca="false">дома!D975</f>
        <v>0.05</v>
      </c>
      <c r="E619" s="2563" t="n">
        <f aca="false">дома!E975</f>
        <v>1.5</v>
      </c>
      <c r="F619" s="2563" t="n">
        <f aca="false">дома!F975</f>
        <v>0</v>
      </c>
      <c r="G619" s="2563" t="n">
        <f aca="false">E619*F619*(IF('Ввод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19" s="2563" t="n">
        <f aca="false">дома!G975*(IF('Ввод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0" customFormat="false" ht="14.5" hidden="false" customHeight="false" outlineLevel="0" collapsed="false">
      <c r="A620" s="2561" t="str">
        <f aca="false">дома!A976</f>
        <v>Стойка каркаса по фронтону, 2 этаж, односкатная кровля, №1</v>
      </c>
      <c r="B620" s="2562" t="str">
        <f aca="false">дома!B976</f>
        <v>м.п.</v>
      </c>
      <c r="C620" s="2563" t="n">
        <f aca="false">дома!C976</f>
        <v>0.4</v>
      </c>
      <c r="D620" s="2563" t="n">
        <f aca="false">дома!D976</f>
        <v>0.05</v>
      </c>
      <c r="E620" s="2563" t="n">
        <f aca="false">дома!E976</f>
        <v>0</v>
      </c>
      <c r="F620" s="2563" t="n">
        <f aca="false">дома!F976</f>
        <v>0</v>
      </c>
      <c r="G620" s="2563" t="n">
        <f aca="false">E620*F620*(IF('Ввод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0" s="2563" t="n">
        <f aca="false">дома!G976*(IF('Ввод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1" customFormat="false" ht="14.5" hidden="false" customHeight="false" outlineLevel="0" collapsed="false">
      <c r="A621" s="2561" t="str">
        <f aca="false">дома!A977</f>
        <v>Стойка каркаса по фронтону, 2 этаж, односкатная кровля, №2</v>
      </c>
      <c r="B621" s="2562" t="str">
        <f aca="false">дома!B977</f>
        <v>м.п.</v>
      </c>
      <c r="C621" s="2563" t="n">
        <f aca="false">дома!C977</f>
        <v>0.4</v>
      </c>
      <c r="D621" s="2563" t="n">
        <f aca="false">дома!D977</f>
        <v>0.05</v>
      </c>
      <c r="E621" s="2563" t="n">
        <f aca="false">дома!E977</f>
        <v>0</v>
      </c>
      <c r="F621" s="2563" t="n">
        <f aca="false">дома!F977</f>
        <v>0</v>
      </c>
      <c r="G621" s="2563" t="n">
        <f aca="false">E621*F621*(IF('Ввод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1" s="2563" t="n">
        <f aca="false">дома!G977*(IF('Ввод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2" customFormat="false" ht="14.5" hidden="false" customHeight="false" outlineLevel="0" collapsed="false">
      <c r="A622" s="2561" t="str">
        <f aca="false">дома!A978</f>
        <v>Стойка каркаса по фронтону, 2 этаж, односкатная кровля, №3</v>
      </c>
      <c r="B622" s="2562" t="str">
        <f aca="false">дома!B978</f>
        <v>м.п.</v>
      </c>
      <c r="C622" s="2563" t="n">
        <f aca="false">дома!C978</f>
        <v>0.4</v>
      </c>
      <c r="D622" s="2563" t="n">
        <f aca="false">дома!D978</f>
        <v>0.05</v>
      </c>
      <c r="E622" s="2563" t="n">
        <f aca="false">дома!E978</f>
        <v>0</v>
      </c>
      <c r="F622" s="2563" t="n">
        <f aca="false">дома!F978</f>
        <v>0</v>
      </c>
      <c r="G622" s="2563" t="n">
        <f aca="false">E622*F622*(IF('Ввод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2" s="2563" t="n">
        <f aca="false">дома!G978*(IF('Ввод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3" customFormat="false" ht="14.5" hidden="false" customHeight="false" outlineLevel="0" collapsed="false">
      <c r="A623" s="2561" t="str">
        <f aca="false">дома!A979</f>
        <v>Стойка каркаса по фронтону, 2 этаж, односкатная кровля, №4</v>
      </c>
      <c r="B623" s="2562" t="str">
        <f aca="false">дома!B979</f>
        <v>м.п.</v>
      </c>
      <c r="C623" s="2563" t="n">
        <f aca="false">дома!C979</f>
        <v>0.4</v>
      </c>
      <c r="D623" s="2563" t="n">
        <f aca="false">дома!D979</f>
        <v>0.05</v>
      </c>
      <c r="E623" s="2563" t="n">
        <f aca="false">дома!E979</f>
        <v>0</v>
      </c>
      <c r="F623" s="2563" t="n">
        <f aca="false">дома!F979</f>
        <v>0</v>
      </c>
      <c r="G623" s="2563" t="n">
        <f aca="false">E623*F623*(IF('Ввод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3" s="2563" t="n">
        <f aca="false">дома!G979*(IF('Ввод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4" customFormat="false" ht="14.5" hidden="false" customHeight="false" outlineLevel="0" collapsed="false">
      <c r="A624" s="2561" t="str">
        <f aca="false">дома!A980</f>
        <v>Стойка каркаса по фронтону, 2 этаж, односкатная кровля, №5</v>
      </c>
      <c r="B624" s="2562" t="str">
        <f aca="false">дома!B980</f>
        <v>м.п.</v>
      </c>
      <c r="C624" s="2563" t="n">
        <f aca="false">дома!C980</f>
        <v>0.4</v>
      </c>
      <c r="D624" s="2563" t="n">
        <f aca="false">дома!D980</f>
        <v>0.05</v>
      </c>
      <c r="E624" s="2563" t="n">
        <f aca="false">дома!E980</f>
        <v>0</v>
      </c>
      <c r="F624" s="2563" t="n">
        <f aca="false">дома!F980</f>
        <v>0</v>
      </c>
      <c r="G624" s="2563" t="n">
        <f aca="false">E624*F624*(IF('Ввод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4" s="2563" t="n">
        <f aca="false">дома!G980*(IF('Ввод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5" customFormat="false" ht="14.5" hidden="false" customHeight="false" outlineLevel="0" collapsed="false">
      <c r="A625" s="2561" t="str">
        <f aca="false">дома!A981</f>
        <v>Стойка каркаса по фронтону, 2 этаж, односкатная кровля, №6</v>
      </c>
      <c r="B625" s="2562" t="str">
        <f aca="false">дома!B981</f>
        <v>м.п.</v>
      </c>
      <c r="C625" s="2563" t="n">
        <f aca="false">дома!C981</f>
        <v>0.4</v>
      </c>
      <c r="D625" s="2563" t="n">
        <f aca="false">дома!D981</f>
        <v>0.05</v>
      </c>
      <c r="E625" s="2563" t="n">
        <f aca="false">дома!E981</f>
        <v>0</v>
      </c>
      <c r="F625" s="2563" t="n">
        <f aca="false">дома!F981</f>
        <v>0</v>
      </c>
      <c r="G625" s="2563" t="n">
        <f aca="false">E625*F625*(IF('Ввод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5" s="2563" t="n">
        <f aca="false">дома!G981*(IF('Ввод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6" customFormat="false" ht="14.5" hidden="false" customHeight="false" outlineLevel="0" collapsed="false">
      <c r="A626" s="2561" t="str">
        <f aca="false">дома!A982</f>
        <v>Стойка каркаса по фронтону, 2 этаж, односкатная кровля, №7</v>
      </c>
      <c r="B626" s="2562" t="str">
        <f aca="false">дома!B982</f>
        <v>м.п.</v>
      </c>
      <c r="C626" s="2563" t="n">
        <f aca="false">дома!C982</f>
        <v>0.4</v>
      </c>
      <c r="D626" s="2563" t="n">
        <f aca="false">дома!D982</f>
        <v>0.05</v>
      </c>
      <c r="E626" s="2563" t="n">
        <f aca="false">дома!E982</f>
        <v>0</v>
      </c>
      <c r="F626" s="2563" t="n">
        <f aca="false">дома!F982</f>
        <v>0</v>
      </c>
      <c r="G626" s="2563" t="n">
        <f aca="false">E626*F626*(IF('Ввод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6" s="2563" t="n">
        <f aca="false">дома!G982*(IF('Ввод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7" customFormat="false" ht="14.5" hidden="false" customHeight="false" outlineLevel="0" collapsed="false">
      <c r="A627" s="2561" t="str">
        <f aca="false">дома!A983</f>
        <v>Стойка каркаса по фронтону, 2 этаж, односкатная кровля, №8</v>
      </c>
      <c r="B627" s="2562" t="str">
        <f aca="false">дома!B983</f>
        <v>м.п.</v>
      </c>
      <c r="C627" s="2563" t="n">
        <f aca="false">дома!C983</f>
        <v>0.4</v>
      </c>
      <c r="D627" s="2563" t="n">
        <f aca="false">дома!D983</f>
        <v>0.05</v>
      </c>
      <c r="E627" s="2563" t="n">
        <f aca="false">дома!E983</f>
        <v>0</v>
      </c>
      <c r="F627" s="2563" t="n">
        <f aca="false">дома!F983</f>
        <v>0</v>
      </c>
      <c r="G627" s="2563" t="n">
        <f aca="false">E627*F627*(IF('Ввод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7" s="2563" t="n">
        <f aca="false">дома!G983*(IF('Ввод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8" customFormat="false" ht="14.5" hidden="false" customHeight="false" outlineLevel="0" collapsed="false">
      <c r="A628" s="2561" t="str">
        <f aca="false">дома!A984</f>
        <v>Стойка каркаса по фронтону, 2 этаж, односкатная кровля, №9</v>
      </c>
      <c r="B628" s="2562" t="str">
        <f aca="false">дома!B984</f>
        <v>м.п.</v>
      </c>
      <c r="C628" s="2563" t="n">
        <f aca="false">дома!C984</f>
        <v>0.4</v>
      </c>
      <c r="D628" s="2563" t="n">
        <f aca="false">дома!D984</f>
        <v>0.05</v>
      </c>
      <c r="E628" s="2563" t="n">
        <f aca="false">дома!E984</f>
        <v>0</v>
      </c>
      <c r="F628" s="2563" t="n">
        <f aca="false">дома!F984</f>
        <v>0</v>
      </c>
      <c r="G628" s="2563" t="n">
        <f aca="false">E628*F628*(IF('Ввод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8" s="2563" t="n">
        <f aca="false">дома!G984*(IF('Ввод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29" customFormat="false" ht="14.5" hidden="false" customHeight="false" outlineLevel="0" collapsed="false">
      <c r="A629" s="2561" t="str">
        <f aca="false">дома!A985</f>
        <v>Стойка каркаса по фронтону, 2 этаж, односкатная кровля, №10</v>
      </c>
      <c r="B629" s="2562" t="str">
        <f aca="false">дома!B985</f>
        <v>м.п.</v>
      </c>
      <c r="C629" s="2563" t="n">
        <f aca="false">дома!C985</f>
        <v>0.4</v>
      </c>
      <c r="D629" s="2563" t="n">
        <f aca="false">дома!D985</f>
        <v>0.05</v>
      </c>
      <c r="E629" s="2563" t="n">
        <f aca="false">дома!E985</f>
        <v>0</v>
      </c>
      <c r="F629" s="2563" t="n">
        <f aca="false">дома!F985</f>
        <v>0</v>
      </c>
      <c r="G629" s="2563" t="n">
        <f aca="false">E629*F629*(IF('Ввод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29" s="2563" t="n">
        <f aca="false">дома!G985*(IF('Ввод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0" customFormat="false" ht="14.5" hidden="false" customHeight="false" outlineLevel="0" collapsed="false">
      <c r="A630" s="2561" t="str">
        <f aca="false">дома!A986</f>
        <v>Стойка каркаса по фронтону, 2 этаж, односкатная кровля, №11</v>
      </c>
      <c r="B630" s="2562" t="str">
        <f aca="false">дома!B986</f>
        <v>м.п.</v>
      </c>
      <c r="C630" s="2563" t="n">
        <f aca="false">дома!C986</f>
        <v>0.4</v>
      </c>
      <c r="D630" s="2563" t="n">
        <f aca="false">дома!D986</f>
        <v>0.05</v>
      </c>
      <c r="E630" s="2563" t="n">
        <f aca="false">дома!E986</f>
        <v>0</v>
      </c>
      <c r="F630" s="2563" t="n">
        <f aca="false">дома!F986</f>
        <v>0</v>
      </c>
      <c r="G630" s="2563" t="n">
        <f aca="false">E630*F630*(IF('Ввод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0" s="2563" t="n">
        <f aca="false">дома!G986*(IF('Ввод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1" customFormat="false" ht="14.5" hidden="false" customHeight="false" outlineLevel="0" collapsed="false">
      <c r="A631" s="2561" t="str">
        <f aca="false">дома!A987</f>
        <v>Стойка каркаса по фронтону, 2 этаж, односкатная кровля, №12</v>
      </c>
      <c r="B631" s="2562" t="str">
        <f aca="false">дома!B987</f>
        <v>м.п.</v>
      </c>
      <c r="C631" s="2563" t="n">
        <f aca="false">дома!C987</f>
        <v>0.4</v>
      </c>
      <c r="D631" s="2563" t="n">
        <f aca="false">дома!D987</f>
        <v>0.05</v>
      </c>
      <c r="E631" s="2563" t="n">
        <f aca="false">дома!E987</f>
        <v>0</v>
      </c>
      <c r="F631" s="2563" t="n">
        <f aca="false">дома!F987</f>
        <v>0</v>
      </c>
      <c r="G631" s="2563" t="n">
        <f aca="false">E631*F631*(IF('Ввод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1" s="2563" t="n">
        <f aca="false">дома!G987*(IF('Ввод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2" customFormat="false" ht="14.5" hidden="false" customHeight="false" outlineLevel="0" collapsed="false">
      <c r="A632" s="2561" t="str">
        <f aca="false">дома!A988</f>
        <v>Стойка каркаса по фронтону, 2 этаж, односкатная кровля, №13</v>
      </c>
      <c r="B632" s="2562" t="str">
        <f aca="false">дома!B988</f>
        <v>м.п.</v>
      </c>
      <c r="C632" s="2563" t="n">
        <f aca="false">дома!C988</f>
        <v>0.4</v>
      </c>
      <c r="D632" s="2563" t="n">
        <f aca="false">дома!D988</f>
        <v>0.05</v>
      </c>
      <c r="E632" s="2563" t="n">
        <f aca="false">дома!E988</f>
        <v>0</v>
      </c>
      <c r="F632" s="2563" t="n">
        <f aca="false">дома!F988</f>
        <v>0</v>
      </c>
      <c r="G632" s="2563" t="n">
        <f aca="false">E632*F632*(IF('Ввод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2" s="2563" t="n">
        <f aca="false">дома!G988*(IF('Ввод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3" customFormat="false" ht="14.5" hidden="false" customHeight="false" outlineLevel="0" collapsed="false">
      <c r="A633" s="2561" t="str">
        <f aca="false">дома!A989</f>
        <v>Стойка каркаса по фронтону, 2 этаж, односкатная кровля, №14</v>
      </c>
      <c r="B633" s="2562" t="str">
        <f aca="false">дома!B989</f>
        <v>м.п.</v>
      </c>
      <c r="C633" s="2563" t="n">
        <f aca="false">дома!C989</f>
        <v>0.4</v>
      </c>
      <c r="D633" s="2563" t="n">
        <f aca="false">дома!D989</f>
        <v>0.05</v>
      </c>
      <c r="E633" s="2563" t="n">
        <f aca="false">дома!E989</f>
        <v>0</v>
      </c>
      <c r="F633" s="2563" t="n">
        <f aca="false">дома!F989</f>
        <v>0</v>
      </c>
      <c r="G633" s="2563" t="n">
        <f aca="false">E633*F633*(IF('Ввод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3" s="2563" t="n">
        <f aca="false">дома!G989*(IF('Ввод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4" customFormat="false" ht="14.5" hidden="false" customHeight="false" outlineLevel="0" collapsed="false">
      <c r="A634" s="2561" t="str">
        <f aca="false">дома!A990</f>
        <v>Стойка каркаса по фронтону, 2 этаж, односкатная кровля, №15</v>
      </c>
      <c r="B634" s="2562" t="str">
        <f aca="false">дома!B990</f>
        <v>м.п.</v>
      </c>
      <c r="C634" s="2563" t="n">
        <f aca="false">дома!C990</f>
        <v>0.4</v>
      </c>
      <c r="D634" s="2563" t="n">
        <f aca="false">дома!D990</f>
        <v>0.05</v>
      </c>
      <c r="E634" s="2563" t="n">
        <f aca="false">дома!E990</f>
        <v>0</v>
      </c>
      <c r="F634" s="2563" t="n">
        <f aca="false">дома!F990</f>
        <v>0</v>
      </c>
      <c r="G634" s="2563" t="n">
        <f aca="false">E634*F634*(IF('Ввод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4" s="2563" t="n">
        <f aca="false">дома!G990*(IF('Ввод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5" customFormat="false" ht="14.5" hidden="false" customHeight="false" outlineLevel="0" collapsed="false">
      <c r="A635" s="2561" t="str">
        <f aca="false">дома!A991</f>
        <v>Стойка каркаса по фронтону, 2 этаж, односкатная кровля, №16</v>
      </c>
      <c r="B635" s="2562" t="str">
        <f aca="false">дома!B991</f>
        <v>м.п.</v>
      </c>
      <c r="C635" s="2563" t="n">
        <f aca="false">дома!C991</f>
        <v>0.4</v>
      </c>
      <c r="D635" s="2563" t="n">
        <f aca="false">дома!D991</f>
        <v>0.05</v>
      </c>
      <c r="E635" s="2563" t="n">
        <f aca="false">дома!E991</f>
        <v>0</v>
      </c>
      <c r="F635" s="2563" t="n">
        <f aca="false">дома!F991</f>
        <v>0</v>
      </c>
      <c r="G635" s="2563" t="n">
        <f aca="false">E635*F635*(IF('Ввод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5" s="2563" t="n">
        <f aca="false">дома!G991*(IF('Ввод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6" customFormat="false" ht="14.5" hidden="false" customHeight="false" outlineLevel="0" collapsed="false">
      <c r="A636" s="2561" t="str">
        <f aca="false">дома!A992</f>
        <v>Стойка каркаса по фронтону, 2 этаж, односкатная кровля, №17</v>
      </c>
      <c r="B636" s="2562" t="str">
        <f aca="false">дома!B992</f>
        <v>м.п.</v>
      </c>
      <c r="C636" s="2563" t="n">
        <f aca="false">дома!C992</f>
        <v>0.4</v>
      </c>
      <c r="D636" s="2563" t="n">
        <f aca="false">дома!D992</f>
        <v>0.05</v>
      </c>
      <c r="E636" s="2563" t="n">
        <f aca="false">дома!E992</f>
        <v>0</v>
      </c>
      <c r="F636" s="2563" t="n">
        <f aca="false">дома!F992</f>
        <v>0</v>
      </c>
      <c r="G636" s="2563" t="n">
        <f aca="false">E636*F636*(IF('Ввод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6" s="2563" t="n">
        <f aca="false">дома!G992*(IF('Ввод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7" customFormat="false" ht="14.5" hidden="false" customHeight="false" outlineLevel="0" collapsed="false">
      <c r="A637" s="2561" t="str">
        <f aca="false">дома!A993</f>
        <v>Стойка каркаса по фронтону, 2 этаж, двускатная кровля, №1</v>
      </c>
      <c r="B637" s="2562" t="str">
        <f aca="false">дома!B993</f>
        <v>м.п.</v>
      </c>
      <c r="C637" s="2563" t="n">
        <f aca="false">дома!C993</f>
        <v>0.4</v>
      </c>
      <c r="D637" s="2563" t="n">
        <f aca="false">дома!D993</f>
        <v>0.05</v>
      </c>
      <c r="E637" s="2563" t="n">
        <f aca="false">дома!E993</f>
        <v>2.9</v>
      </c>
      <c r="F637" s="2563" t="n">
        <f aca="false">дома!F993</f>
        <v>0</v>
      </c>
      <c r="G637" s="2563" t="n">
        <f aca="false">E637*F637*(IF('Ввод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7" s="2563" t="n">
        <f aca="false">дома!G993*(IF('Ввод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8" customFormat="false" ht="14.5" hidden="false" customHeight="false" outlineLevel="0" collapsed="false">
      <c r="A638" s="2561" t="str">
        <f aca="false">дома!A994</f>
        <v>Стойка каркаса по фронтону, 2 этаж, двускатная кровля, №2</v>
      </c>
      <c r="B638" s="2562" t="str">
        <f aca="false">дома!B994</f>
        <v>м.п.</v>
      </c>
      <c r="C638" s="2563" t="n">
        <f aca="false">дома!C994</f>
        <v>0.4</v>
      </c>
      <c r="D638" s="2563" t="n">
        <f aca="false">дома!D994</f>
        <v>0.05</v>
      </c>
      <c r="E638" s="2563" t="n">
        <f aca="false">дома!E994</f>
        <v>2.9</v>
      </c>
      <c r="F638" s="2563" t="n">
        <f aca="false">дома!F994</f>
        <v>0</v>
      </c>
      <c r="G638" s="2563" t="n">
        <f aca="false">E638*F638*(IF('Ввод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8" s="2563" t="n">
        <f aca="false">дома!G994*(IF('Ввод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39" customFormat="false" ht="14.5" hidden="false" customHeight="false" outlineLevel="0" collapsed="false">
      <c r="A639" s="2561" t="str">
        <f aca="false">дома!A995</f>
        <v>Стойка каркаса по фронтону, 2 этаж, двускатная кровля, №3</v>
      </c>
      <c r="B639" s="2562" t="str">
        <f aca="false">дома!B995</f>
        <v>м.п.</v>
      </c>
      <c r="C639" s="2563" t="n">
        <f aca="false">дома!C995</f>
        <v>0.4</v>
      </c>
      <c r="D639" s="2563" t="n">
        <f aca="false">дома!D995</f>
        <v>0.05</v>
      </c>
      <c r="E639" s="2563" t="n">
        <f aca="false">дома!E995</f>
        <v>2.9</v>
      </c>
      <c r="F639" s="2563" t="n">
        <f aca="false">дома!F995</f>
        <v>0</v>
      </c>
      <c r="G639" s="2563" t="n">
        <f aca="false">E639*F639*(IF('Ввод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39" s="2563" t="n">
        <f aca="false">дома!G995*(IF('Ввод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0" customFormat="false" ht="14.5" hidden="false" customHeight="false" outlineLevel="0" collapsed="false">
      <c r="A640" s="2561" t="str">
        <f aca="false">дома!A996</f>
        <v>Стойка каркаса по фронтону, 2 этаж, двускатная кровля, №4</v>
      </c>
      <c r="B640" s="2562" t="str">
        <f aca="false">дома!B996</f>
        <v>м.п.</v>
      </c>
      <c r="C640" s="2563" t="n">
        <f aca="false">дома!C996</f>
        <v>0.4</v>
      </c>
      <c r="D640" s="2563" t="n">
        <f aca="false">дома!D996</f>
        <v>0.05</v>
      </c>
      <c r="E640" s="2563" t="n">
        <f aca="false">дома!E996</f>
        <v>2.9</v>
      </c>
      <c r="F640" s="2563" t="n">
        <f aca="false">дома!F996</f>
        <v>0</v>
      </c>
      <c r="G640" s="2563" t="n">
        <f aca="false">E640*F640*(IF('Ввод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0" s="2563" t="n">
        <f aca="false">дома!G996*(IF('Ввод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1" customFormat="false" ht="14.5" hidden="false" customHeight="false" outlineLevel="0" collapsed="false">
      <c r="A641" s="2561" t="str">
        <f aca="false">дома!A997</f>
        <v>Стойка каркаса по фронтону, 2 этаж, двускатная кровля, №5</v>
      </c>
      <c r="B641" s="2562" t="str">
        <f aca="false">дома!B997</f>
        <v>м.п.</v>
      </c>
      <c r="C641" s="2563" t="n">
        <f aca="false">дома!C997</f>
        <v>0.4</v>
      </c>
      <c r="D641" s="2563" t="n">
        <f aca="false">дома!D997</f>
        <v>0.05</v>
      </c>
      <c r="E641" s="2563" t="n">
        <f aca="false">дома!E997</f>
        <v>2.9</v>
      </c>
      <c r="F641" s="2563" t="n">
        <f aca="false">дома!F997</f>
        <v>0</v>
      </c>
      <c r="G641" s="2563" t="n">
        <f aca="false">E641*F641*(IF('Ввод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1" s="2563" t="n">
        <f aca="false">дома!G997*(IF('Ввод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2" customFormat="false" ht="14.5" hidden="false" customHeight="false" outlineLevel="0" collapsed="false">
      <c r="A642" s="2561" t="str">
        <f aca="false">дома!A998</f>
        <v>Стойка каркаса по фронтону, 2 этаж, двускатная кровля, №6</v>
      </c>
      <c r="B642" s="2562" t="str">
        <f aca="false">дома!B998</f>
        <v>м.п.</v>
      </c>
      <c r="C642" s="2563" t="n">
        <f aca="false">дома!C998</f>
        <v>0.4</v>
      </c>
      <c r="D642" s="2563" t="n">
        <f aca="false">дома!D998</f>
        <v>0.05</v>
      </c>
      <c r="E642" s="2563" t="n">
        <f aca="false">дома!E998</f>
        <v>2.9</v>
      </c>
      <c r="F642" s="2563" t="n">
        <f aca="false">дома!F998</f>
        <v>0</v>
      </c>
      <c r="G642" s="2563" t="n">
        <f aca="false">E642*F642*(IF('Ввод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2" s="2563" t="n">
        <f aca="false">дома!G998*(IF('Ввод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3" customFormat="false" ht="14.5" hidden="false" customHeight="false" outlineLevel="0" collapsed="false">
      <c r="A643" s="2561" t="str">
        <f aca="false">дома!A999</f>
        <v>Стойка каркаса по фронтону, 2 этаж, двускатная кровля, №7</v>
      </c>
      <c r="B643" s="2562" t="str">
        <f aca="false">дома!B999</f>
        <v>м.п.</v>
      </c>
      <c r="C643" s="2563" t="n">
        <f aca="false">дома!C999</f>
        <v>0.4</v>
      </c>
      <c r="D643" s="2563" t="n">
        <f aca="false">дома!D999</f>
        <v>0.05</v>
      </c>
      <c r="E643" s="2563" t="n">
        <f aca="false">дома!E999</f>
        <v>2.9</v>
      </c>
      <c r="F643" s="2563" t="n">
        <f aca="false">дома!F999</f>
        <v>0</v>
      </c>
      <c r="G643" s="2563" t="n">
        <f aca="false">E643*F643*(IF('Ввод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3" s="2563" t="n">
        <f aca="false">дома!G999*(IF('Ввод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4" customFormat="false" ht="14.5" hidden="false" customHeight="false" outlineLevel="0" collapsed="false">
      <c r="A644" s="2561" t="str">
        <f aca="false">дома!A1000</f>
        <v>Стойка каркаса по фронтону, 2 этаж, двускатная кровля, №8</v>
      </c>
      <c r="B644" s="2562" t="str">
        <f aca="false">дома!B1000</f>
        <v>м.п.</v>
      </c>
      <c r="C644" s="2563" t="n">
        <f aca="false">дома!C1000</f>
        <v>0.4</v>
      </c>
      <c r="D644" s="2563" t="n">
        <f aca="false">дома!D1000</f>
        <v>0.05</v>
      </c>
      <c r="E644" s="2563" t="n">
        <f aca="false">дома!E1000</f>
        <v>2.9</v>
      </c>
      <c r="F644" s="2563" t="n">
        <f aca="false">дома!F1000</f>
        <v>0</v>
      </c>
      <c r="G644" s="2563" t="n">
        <f aca="false">E644*F644*(IF('Ввод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4" s="2563" t="n">
        <f aca="false">дома!G1000*(IF('Ввод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5" customFormat="false" ht="14.5" hidden="false" customHeight="false" outlineLevel="0" collapsed="false">
      <c r="A645" s="2561" t="str">
        <f aca="false">дома!A1001</f>
        <v>Стойка каркаса по фронтону, 2 этаж, двускатная кровля, №9</v>
      </c>
      <c r="B645" s="2562" t="str">
        <f aca="false">дома!B1001</f>
        <v>м.п.</v>
      </c>
      <c r="C645" s="2563" t="n">
        <f aca="false">дома!C1001</f>
        <v>0.4</v>
      </c>
      <c r="D645" s="2563" t="n">
        <f aca="false">дома!D1001</f>
        <v>0.05</v>
      </c>
      <c r="E645" s="2563" t="n">
        <f aca="false">дома!E1001</f>
        <v>2.9</v>
      </c>
      <c r="F645" s="2563" t="n">
        <f aca="false">дома!F1001</f>
        <v>0</v>
      </c>
      <c r="G645" s="2563" t="n">
        <f aca="false">E645*F645*(IF('Ввод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5" s="2563" t="n">
        <f aca="false">дома!G1001*(IF('Ввод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6" customFormat="false" ht="14.5" hidden="false" customHeight="false" outlineLevel="0" collapsed="false">
      <c r="A646" s="2561" t="str">
        <f aca="false">дома!A1002</f>
        <v>Стойка каркаса по фронтону, 2 этаж, двускатная кровля, №10</v>
      </c>
      <c r="B646" s="2562" t="str">
        <f aca="false">дома!B1002</f>
        <v>м.п.</v>
      </c>
      <c r="C646" s="2563" t="n">
        <f aca="false">дома!C1002</f>
        <v>0.4</v>
      </c>
      <c r="D646" s="2563" t="n">
        <f aca="false">дома!D1002</f>
        <v>0.05</v>
      </c>
      <c r="E646" s="2563" t="n">
        <f aca="false">дома!E1002</f>
        <v>2.9</v>
      </c>
      <c r="F646" s="2563" t="n">
        <f aca="false">дома!F1002</f>
        <v>0</v>
      </c>
      <c r="G646" s="2563" t="n">
        <f aca="false">E646*F646*(IF('Ввод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6" s="2563" t="n">
        <f aca="false">дома!G1002*(IF('Ввод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7" customFormat="false" ht="14.5" hidden="false" customHeight="false" outlineLevel="0" collapsed="false">
      <c r="A647" s="2561" t="str">
        <f aca="false">дома!A1003</f>
        <v>Стойка каркаса по фронтону, 2 этаж, двускатная кровля, №11</v>
      </c>
      <c r="B647" s="2562" t="str">
        <f aca="false">дома!B1003</f>
        <v>м.п.</v>
      </c>
      <c r="C647" s="2563" t="n">
        <f aca="false">дома!C1003</f>
        <v>0.4</v>
      </c>
      <c r="D647" s="2563" t="n">
        <f aca="false">дома!D1003</f>
        <v>0.05</v>
      </c>
      <c r="E647" s="2563" t="n">
        <f aca="false">дома!E1003</f>
        <v>2.9</v>
      </c>
      <c r="F647" s="2563" t="n">
        <f aca="false">дома!F1003</f>
        <v>0</v>
      </c>
      <c r="G647" s="2563" t="n">
        <f aca="false">E647*F647*(IF('Ввод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7" s="2563" t="n">
        <f aca="false">дома!G1003*(IF('Ввод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8" customFormat="false" ht="14.5" hidden="false" customHeight="false" outlineLevel="0" collapsed="false">
      <c r="A648" s="2561" t="str">
        <f aca="false">дома!A1004</f>
        <v>Стойка каркаса по фронтону, 2 этаж, двускатная кровля, №12</v>
      </c>
      <c r="B648" s="2562" t="str">
        <f aca="false">дома!B1004</f>
        <v>м.п.</v>
      </c>
      <c r="C648" s="2563" t="n">
        <f aca="false">дома!C1004</f>
        <v>0.4</v>
      </c>
      <c r="D648" s="2563" t="n">
        <f aca="false">дома!D1004</f>
        <v>0.05</v>
      </c>
      <c r="E648" s="2563" t="n">
        <f aca="false">дома!E1004</f>
        <v>2.9</v>
      </c>
      <c r="F648" s="2563" t="n">
        <f aca="false">дома!F1004</f>
        <v>0</v>
      </c>
      <c r="G648" s="2563" t="n">
        <f aca="false">E648*F648*(IF('Ввод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8" s="2563" t="n">
        <f aca="false">дома!G1004*(IF('Ввод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49" customFormat="false" ht="14.5" hidden="false" customHeight="false" outlineLevel="0" collapsed="false">
      <c r="A649" s="2561" t="str">
        <f aca="false">дома!A1005</f>
        <v>Стойка каркаса по фронтону, 2 этаж, двускатная кровля, №13</v>
      </c>
      <c r="B649" s="2562" t="str">
        <f aca="false">дома!B1005</f>
        <v>м.п.</v>
      </c>
      <c r="C649" s="2563" t="n">
        <f aca="false">дома!C1005</f>
        <v>0.4</v>
      </c>
      <c r="D649" s="2563" t="n">
        <f aca="false">дома!D1005</f>
        <v>0.05</v>
      </c>
      <c r="E649" s="2563" t="n">
        <f aca="false">дома!E1005</f>
        <v>2.9</v>
      </c>
      <c r="F649" s="2563" t="n">
        <f aca="false">дома!F1005</f>
        <v>0</v>
      </c>
      <c r="G649" s="2563" t="n">
        <f aca="false">E649*F649*(IF('Ввод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49" s="2563" t="n">
        <f aca="false">дома!G1005*(IF('Ввод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0" customFormat="false" ht="14.5" hidden="false" customHeight="false" outlineLevel="0" collapsed="false">
      <c r="A650" s="2561" t="str">
        <f aca="false">дома!A1006</f>
        <v>Стойка каркаса по фронтону, 2 этаж, двускатная кровля, №14</v>
      </c>
      <c r="B650" s="2562" t="str">
        <f aca="false">дома!B1006</f>
        <v>м.п.</v>
      </c>
      <c r="C650" s="2563" t="n">
        <f aca="false">дома!C1006</f>
        <v>0.4</v>
      </c>
      <c r="D650" s="2563" t="n">
        <f aca="false">дома!D1006</f>
        <v>0.05</v>
      </c>
      <c r="E650" s="2563" t="n">
        <f aca="false">дома!E1006</f>
        <v>2.9</v>
      </c>
      <c r="F650" s="2563" t="n">
        <f aca="false">дома!F1006</f>
        <v>0</v>
      </c>
      <c r="G650" s="2563" t="n">
        <f aca="false">E650*F650*(IF('Ввод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0" s="2563" t="n">
        <f aca="false">дома!G1006*(IF('Ввод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1" customFormat="false" ht="14.5" hidden="false" customHeight="false" outlineLevel="0" collapsed="false">
      <c r="A651" s="2561" t="str">
        <f aca="false">дома!A1007</f>
        <v>Стойка каркаса по фронтону, 2 этаж, двускатная кровля, №15</v>
      </c>
      <c r="B651" s="2562" t="str">
        <f aca="false">дома!B1007</f>
        <v>м.п.</v>
      </c>
      <c r="C651" s="2563" t="n">
        <f aca="false">дома!C1007</f>
        <v>0.4</v>
      </c>
      <c r="D651" s="2563" t="n">
        <f aca="false">дома!D1007</f>
        <v>0.05</v>
      </c>
      <c r="E651" s="2563" t="n">
        <f aca="false">дома!E1007</f>
        <v>2.9</v>
      </c>
      <c r="F651" s="2563" t="n">
        <f aca="false">дома!F1007</f>
        <v>0</v>
      </c>
      <c r="G651" s="2563" t="n">
        <f aca="false">E651*F651*(IF('Ввод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1" s="2563" t="n">
        <f aca="false">дома!G1007*(IF('Ввод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2" customFormat="false" ht="14.5" hidden="false" customHeight="false" outlineLevel="0" collapsed="false">
      <c r="A652" s="2561" t="str">
        <f aca="false">дома!A1008</f>
        <v>Стойка каркаса по фронтону, 2 этаж, двускатная кровля, №16</v>
      </c>
      <c r="B652" s="2562" t="str">
        <f aca="false">дома!B1008</f>
        <v>м.п.</v>
      </c>
      <c r="C652" s="2563" t="n">
        <f aca="false">дома!C1008</f>
        <v>0.4</v>
      </c>
      <c r="D652" s="2563" t="n">
        <f aca="false">дома!D1008</f>
        <v>0.05</v>
      </c>
      <c r="E652" s="2563" t="n">
        <f aca="false">дома!E1008</f>
        <v>2.9</v>
      </c>
      <c r="F652" s="2563" t="n">
        <f aca="false">дома!F1008</f>
        <v>0</v>
      </c>
      <c r="G652" s="2563" t="n">
        <f aca="false">E652*F652*(IF('Ввод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2" s="2563" t="n">
        <f aca="false">дома!G1008*(IF('Ввод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3" customFormat="false" ht="14.5" hidden="false" customHeight="false" outlineLevel="0" collapsed="false">
      <c r="A653" s="2561" t="str">
        <f aca="false">дома!A1009</f>
        <v>Стойка каркаса по фронтону, 2 этаж, двускатная кровля, №17</v>
      </c>
      <c r="B653" s="2562" t="str">
        <f aca="false">дома!B1009</f>
        <v>м.п.</v>
      </c>
      <c r="C653" s="2563" t="n">
        <f aca="false">дома!C1009</f>
        <v>0.4</v>
      </c>
      <c r="D653" s="2563" t="n">
        <f aca="false">дома!D1009</f>
        <v>0.05</v>
      </c>
      <c r="E653" s="2563" t="n">
        <f aca="false">дома!E1009</f>
        <v>2.9</v>
      </c>
      <c r="F653" s="2563" t="n">
        <f aca="false">дома!F1009</f>
        <v>0</v>
      </c>
      <c r="G653" s="2563" t="n">
        <f aca="false">E653*F653*(IF('Ввод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53" s="2563" t="n">
        <f aca="false">дома!G1009*(IF('Ввод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54" customFormat="false" ht="21" hidden="false" customHeight="false" outlineLevel="0" collapsed="false">
      <c r="A654" s="2558" t="s">
        <v>4175</v>
      </c>
      <c r="B654" s="2558"/>
      <c r="C654" s="2558"/>
      <c r="D654" s="2558"/>
      <c r="E654" s="2558"/>
      <c r="F654" s="2558"/>
      <c r="G654" s="2564" t="n">
        <f aca="false">E654*F654</f>
        <v>0</v>
      </c>
      <c r="H654" s="2564" t="n">
        <f aca="false">SUM(H655:H694)</f>
        <v>0</v>
      </c>
    </row>
    <row r="655" customFormat="false" ht="14.5" hidden="false" customHeight="false" outlineLevel="0" collapsed="false">
      <c r="A655" s="2561" t="str">
        <f aca="false">дома!A550</f>
        <v>Стойки каркаса передней стены 1 эт</v>
      </c>
      <c r="B655" s="2562" t="str">
        <f aca="false">дома!B550</f>
        <v>м.п.</v>
      </c>
      <c r="C655" s="2563" t="n">
        <f aca="false">дома!C550</f>
        <v>0.4</v>
      </c>
      <c r="D655" s="2563" t="n">
        <f aca="false">дома!D550</f>
        <v>0.05</v>
      </c>
      <c r="E655" s="2563" t="n">
        <f aca="false">дома!E550</f>
        <v>3</v>
      </c>
      <c r="F655" s="2563" t="n">
        <f aca="false">дома!F550</f>
        <v>0</v>
      </c>
      <c r="G655" s="2563" t="n">
        <f aca="false">E655*F655*IF('Ввод данных'!$A$8=связи1!$A$150,1,0)</f>
        <v>0</v>
      </c>
      <c r="H655" s="2563" t="n">
        <f aca="false">дома!G550*IF('Ввод данных'!$A$8=связи1!$A$150,1,0)</f>
        <v>0</v>
      </c>
    </row>
    <row r="656" customFormat="false" ht="14.5" hidden="false" customHeight="false" outlineLevel="0" collapsed="false">
      <c r="A656" s="2561" t="str">
        <f aca="false">дома!A551</f>
        <v>Стойки каркаса, левая сторона 1 эт</v>
      </c>
      <c r="B656" s="2562" t="str">
        <f aca="false">дома!B551</f>
        <v>м.п.</v>
      </c>
      <c r="C656" s="2563" t="n">
        <f aca="false">дома!C551</f>
        <v>0.4</v>
      </c>
      <c r="D656" s="2563" t="n">
        <f aca="false">дома!D551</f>
        <v>0.05</v>
      </c>
      <c r="E656" s="2563" t="n">
        <f aca="false">дома!E551</f>
        <v>3</v>
      </c>
      <c r="F656" s="2563" t="n">
        <f aca="false">дома!F551</f>
        <v>0</v>
      </c>
      <c r="G656" s="2563" t="n">
        <f aca="false">E656*F656*IF('Ввод данных'!$A$8=связи1!$A$150,1,0)</f>
        <v>0</v>
      </c>
      <c r="H656" s="2563" t="n">
        <f aca="false">дома!G551*IF('Ввод данных'!$A$8=связи1!$A$150,1,0)</f>
        <v>0</v>
      </c>
    </row>
    <row r="657" customFormat="false" ht="14.5" hidden="false" customHeight="false" outlineLevel="0" collapsed="false">
      <c r="A657" s="2561" t="str">
        <f aca="false">дома!A552</f>
        <v>Стойки каркаса, правая сторона, 1 эт</v>
      </c>
      <c r="B657" s="2562" t="str">
        <f aca="false">дома!B552</f>
        <v>м.п.</v>
      </c>
      <c r="C657" s="2563" t="n">
        <f aca="false">дома!C552</f>
        <v>0.4</v>
      </c>
      <c r="D657" s="2563" t="n">
        <f aca="false">дома!D552</f>
        <v>0.05</v>
      </c>
      <c r="E657" s="2563" t="n">
        <f aca="false">дома!E552</f>
        <v>3</v>
      </c>
      <c r="F657" s="2563" t="n">
        <f aca="false">дома!F552</f>
        <v>0</v>
      </c>
      <c r="G657" s="2563" t="n">
        <f aca="false">E657*F657*IF('Ввод данных'!$A$8=связи1!$A$150,1,0)</f>
        <v>0</v>
      </c>
      <c r="H657" s="2563" t="n">
        <f aca="false">дома!G552*IF('Ввод данных'!$A$8=связи1!$A$150,1,0)</f>
        <v>0</v>
      </c>
    </row>
    <row r="658" customFormat="false" ht="14.5" hidden="false" customHeight="false" outlineLevel="0" collapsed="false">
      <c r="A658" s="2561" t="str">
        <f aca="false">дома!A553</f>
        <v>Обвязка каркаса верхняя/нижняя наружние стены 1 эт</v>
      </c>
      <c r="B658" s="2562" t="str">
        <f aca="false">дома!B553</f>
        <v>м.п.</v>
      </c>
      <c r="C658" s="2563" t="n">
        <f aca="false">дома!C553</f>
        <v>0.4</v>
      </c>
      <c r="D658" s="2563" t="n">
        <f aca="false">дома!D553</f>
        <v>0.05</v>
      </c>
      <c r="E658" s="2563" t="n">
        <f aca="false">дома!E553</f>
        <v>0</v>
      </c>
      <c r="F658" s="2563" t="n">
        <f aca="false">дома!F553</f>
        <v>0</v>
      </c>
      <c r="G658" s="2563" t="n">
        <f aca="false">E658*F658*IF('Ввод данных'!$A$8=связи1!$A$150,1,0)</f>
        <v>0</v>
      </c>
      <c r="H658" s="2563" t="n">
        <f aca="false">дома!G553*IF('Ввод данных'!$A$8=связи1!$A$150,1,0)</f>
        <v>0</v>
      </c>
    </row>
    <row r="659" customFormat="false" ht="14.5" hidden="false" customHeight="false" outlineLevel="0" collapsed="false">
      <c r="A659" s="2561" t="str">
        <f aca="false">дома!A554</f>
        <v>Ригель каркаса наружние стены 1 эт</v>
      </c>
      <c r="B659" s="2562" t="str">
        <f aca="false">дома!B554</f>
        <v>м.п.</v>
      </c>
      <c r="C659" s="2563" t="n">
        <f aca="false">дома!C554</f>
        <v>0.4</v>
      </c>
      <c r="D659" s="2563" t="n">
        <f aca="false">дома!D554</f>
        <v>0.05</v>
      </c>
      <c r="E659" s="2563" t="n">
        <f aca="false">дома!E554</f>
        <v>0</v>
      </c>
      <c r="F659" s="2563" t="n">
        <f aca="false">дома!F554</f>
        <v>0</v>
      </c>
      <c r="G659" s="2563" t="n">
        <f aca="false">E659*F659*IF('Ввод данных'!$A$8=связи1!$A$150,1,0)</f>
        <v>0</v>
      </c>
      <c r="H659" s="2563" t="n">
        <f aca="false">дома!G554*IF('Ввод данных'!$A$8=связи1!$A$150,1,0)</f>
        <v>0</v>
      </c>
    </row>
    <row r="660" customFormat="false" ht="14.5" hidden="false" customHeight="false" outlineLevel="0" collapsed="false">
      <c r="A660" s="2561" t="str">
        <f aca="false">дома!A555</f>
        <v>Укосина наружних стен, усиление 1 этаж</v>
      </c>
      <c r="B660" s="2562" t="str">
        <f aca="false">дома!B555</f>
        <v>м.п.</v>
      </c>
      <c r="C660" s="2563" t="n">
        <f aca="false">дома!C555</f>
        <v>0.4</v>
      </c>
      <c r="D660" s="2563" t="n">
        <f aca="false">дома!D555</f>
        <v>0.05</v>
      </c>
      <c r="E660" s="2563" t="n">
        <f aca="false">дома!E555</f>
        <v>0</v>
      </c>
      <c r="F660" s="2563" t="n">
        <f aca="false">дома!F555</f>
        <v>8</v>
      </c>
      <c r="G660" s="2563" t="n">
        <f aca="false">E660*F660*IF('Ввод данных'!$A$8=связи1!$A$150,1,0)</f>
        <v>0</v>
      </c>
      <c r="H660" s="2563" t="n">
        <f aca="false">дома!G555*IF('Ввод данных'!$A$8=связи1!$A$150,1,0)</f>
        <v>0</v>
      </c>
    </row>
    <row r="661" customFormat="false" ht="14.5" hidden="false" customHeight="false" outlineLevel="0" collapsed="false">
      <c r="A661" s="2561" t="str">
        <f aca="false">дома!A556</f>
        <v>Стойка каркаса по фронтону, 1 этаж, односкатная кровля, №1</v>
      </c>
      <c r="B661" s="2562" t="str">
        <f aca="false">дома!B556</f>
        <v>м.п.</v>
      </c>
      <c r="C661" s="2563" t="n">
        <f aca="false">дома!C556</f>
        <v>0.4</v>
      </c>
      <c r="D661" s="2563" t="n">
        <f aca="false">дома!D556</f>
        <v>0.05</v>
      </c>
      <c r="E661" s="2563" t="n">
        <f aca="false">дома!E556</f>
        <v>0</v>
      </c>
      <c r="F661" s="2563" t="n">
        <f aca="false">дома!F556</f>
        <v>2</v>
      </c>
      <c r="G661" s="2563" t="n">
        <f aca="false">E661*F661*IF('Ввод данных'!$A$8=связи1!$A$150,1,0)</f>
        <v>0</v>
      </c>
      <c r="H661" s="2563" t="n">
        <f aca="false">дома!G556*IF('Ввод данных'!$A$8=связи1!$A$150,1,0)</f>
        <v>0</v>
      </c>
    </row>
    <row r="662" customFormat="false" ht="14.5" hidden="false" customHeight="false" outlineLevel="0" collapsed="false">
      <c r="A662" s="2561" t="str">
        <f aca="false">дома!A557</f>
        <v>Стойка каркаса по фронтону, 1 этаж, односкатная кровля, №2</v>
      </c>
      <c r="B662" s="2562" t="str">
        <f aca="false">дома!B557</f>
        <v>м.п.</v>
      </c>
      <c r="C662" s="2563" t="n">
        <f aca="false">дома!C557</f>
        <v>0.4</v>
      </c>
      <c r="D662" s="2563" t="n">
        <f aca="false">дома!D557</f>
        <v>0.05</v>
      </c>
      <c r="E662" s="2563" t="n">
        <f aca="false">дома!E557</f>
        <v>0</v>
      </c>
      <c r="F662" s="2563" t="n">
        <f aca="false">дома!F557</f>
        <v>2</v>
      </c>
      <c r="G662" s="2563" t="n">
        <f aca="false">E662*F662*IF('Ввод данных'!$A$8=связи1!$A$150,1,0)</f>
        <v>0</v>
      </c>
      <c r="H662" s="2563" t="n">
        <f aca="false">дома!G557*IF('Ввод данных'!$A$8=связи1!$A$150,1,0)</f>
        <v>0</v>
      </c>
    </row>
    <row r="663" customFormat="false" ht="14.5" hidden="false" customHeight="false" outlineLevel="0" collapsed="false">
      <c r="A663" s="2561" t="str">
        <f aca="false">дома!A558</f>
        <v>Стойка каркаса по фронтону, 1 этаж, односкатная кровля, №3</v>
      </c>
      <c r="B663" s="2562" t="str">
        <f aca="false">дома!B558</f>
        <v>м.п.</v>
      </c>
      <c r="C663" s="2563" t="n">
        <f aca="false">дома!C558</f>
        <v>0.4</v>
      </c>
      <c r="D663" s="2563" t="n">
        <f aca="false">дома!D558</f>
        <v>0.05</v>
      </c>
      <c r="E663" s="2563" t="n">
        <f aca="false">дома!E558</f>
        <v>0</v>
      </c>
      <c r="F663" s="2563" t="n">
        <f aca="false">дома!F558</f>
        <v>2</v>
      </c>
      <c r="G663" s="2563" t="n">
        <f aca="false">E663*F663*IF('Ввод данных'!$A$8=связи1!$A$150,1,0)</f>
        <v>0</v>
      </c>
      <c r="H663" s="2563" t="n">
        <f aca="false">дома!G558*IF('Ввод данных'!$A$8=связи1!$A$150,1,0)</f>
        <v>0</v>
      </c>
    </row>
    <row r="664" customFormat="false" ht="14.5" hidden="false" customHeight="false" outlineLevel="0" collapsed="false">
      <c r="A664" s="2561" t="str">
        <f aca="false">дома!A559</f>
        <v>Стойка каркаса по фронтону, 1 этаж, односкатная кровля, №4</v>
      </c>
      <c r="B664" s="2562" t="str">
        <f aca="false">дома!B559</f>
        <v>м.п.</v>
      </c>
      <c r="C664" s="2563" t="n">
        <f aca="false">дома!C559</f>
        <v>0.4</v>
      </c>
      <c r="D664" s="2563" t="n">
        <f aca="false">дома!D559</f>
        <v>0.05</v>
      </c>
      <c r="E664" s="2563" t="n">
        <f aca="false">дома!E559</f>
        <v>0</v>
      </c>
      <c r="F664" s="2563" t="n">
        <f aca="false">дома!F559</f>
        <v>2</v>
      </c>
      <c r="G664" s="2563" t="n">
        <f aca="false">E664*F664*IF('Ввод данных'!$A$8=связи1!$A$150,1,0)</f>
        <v>0</v>
      </c>
      <c r="H664" s="2563" t="n">
        <f aca="false">дома!G559*IF('Ввод данных'!$A$8=связи1!$A$150,1,0)</f>
        <v>0</v>
      </c>
    </row>
    <row r="665" customFormat="false" ht="14.5" hidden="false" customHeight="false" outlineLevel="0" collapsed="false">
      <c r="A665" s="2561" t="str">
        <f aca="false">дома!A560</f>
        <v>Стойка каркаса по фронтону, 1 этаж, односкатная кровля, №5</v>
      </c>
      <c r="B665" s="2562" t="str">
        <f aca="false">дома!B560</f>
        <v>м.п.</v>
      </c>
      <c r="C665" s="2563" t="n">
        <f aca="false">дома!C560</f>
        <v>0.4</v>
      </c>
      <c r="D665" s="2563" t="n">
        <f aca="false">дома!D560</f>
        <v>0.05</v>
      </c>
      <c r="E665" s="2563" t="n">
        <f aca="false">дома!E560</f>
        <v>0</v>
      </c>
      <c r="F665" s="2563" t="n">
        <f aca="false">дома!F560</f>
        <v>2</v>
      </c>
      <c r="G665" s="2563" t="n">
        <f aca="false">E665*F665*IF('Ввод данных'!$A$8=связи1!$A$150,1,0)</f>
        <v>0</v>
      </c>
      <c r="H665" s="2563" t="n">
        <f aca="false">дома!G560*IF('Ввод данных'!$A$8=связи1!$A$150,1,0)</f>
        <v>0</v>
      </c>
    </row>
    <row r="666" customFormat="false" ht="14.5" hidden="false" customHeight="false" outlineLevel="0" collapsed="false">
      <c r="A666" s="2561" t="str">
        <f aca="false">дома!A561</f>
        <v>Стойка каркаса по фронтону, 1 этаж, односкатная кровля, №6</v>
      </c>
      <c r="B666" s="2562" t="str">
        <f aca="false">дома!B561</f>
        <v>м.п.</v>
      </c>
      <c r="C666" s="2563" t="n">
        <f aca="false">дома!C561</f>
        <v>0.4</v>
      </c>
      <c r="D666" s="2563" t="n">
        <f aca="false">дома!D561</f>
        <v>0.05</v>
      </c>
      <c r="E666" s="2563" t="n">
        <f aca="false">дома!E561</f>
        <v>0</v>
      </c>
      <c r="F666" s="2563" t="n">
        <f aca="false">дома!F561</f>
        <v>2</v>
      </c>
      <c r="G666" s="2563" t="n">
        <f aca="false">E666*F666*IF('Ввод данных'!$A$8=связи1!$A$150,1,0)</f>
        <v>0</v>
      </c>
      <c r="H666" s="2563" t="n">
        <f aca="false">дома!G561*IF('Ввод данных'!$A$8=связи1!$A$150,1,0)</f>
        <v>0</v>
      </c>
    </row>
    <row r="667" customFormat="false" ht="14.5" hidden="false" customHeight="false" outlineLevel="0" collapsed="false">
      <c r="A667" s="2561" t="str">
        <f aca="false">дома!A562</f>
        <v>Стойка каркаса по фронтону, 1 этаж, односкатная кровля, №7</v>
      </c>
      <c r="B667" s="2562" t="str">
        <f aca="false">дома!B562</f>
        <v>м.п.</v>
      </c>
      <c r="C667" s="2563" t="n">
        <f aca="false">дома!C562</f>
        <v>0.4</v>
      </c>
      <c r="D667" s="2563" t="n">
        <f aca="false">дома!D562</f>
        <v>0.05</v>
      </c>
      <c r="E667" s="2563" t="n">
        <f aca="false">дома!E562</f>
        <v>0</v>
      </c>
      <c r="F667" s="2563" t="n">
        <f aca="false">дома!F562</f>
        <v>2</v>
      </c>
      <c r="G667" s="2563" t="n">
        <f aca="false">E667*F667*IF('Ввод данных'!$A$8=связи1!$A$150,1,0)</f>
        <v>0</v>
      </c>
      <c r="H667" s="2563" t="n">
        <f aca="false">дома!G562*IF('Ввод данных'!$A$8=связи1!$A$150,1,0)</f>
        <v>0</v>
      </c>
    </row>
    <row r="668" customFormat="false" ht="14.5" hidden="false" customHeight="false" outlineLevel="0" collapsed="false">
      <c r="A668" s="2561" t="str">
        <f aca="false">дома!A563</f>
        <v>Стойка каркаса по фронтону, 1 этаж, односкатная кровля, №8</v>
      </c>
      <c r="B668" s="2562" t="str">
        <f aca="false">дома!B563</f>
        <v>м.п.</v>
      </c>
      <c r="C668" s="2563" t="n">
        <f aca="false">дома!C563</f>
        <v>0.4</v>
      </c>
      <c r="D668" s="2563" t="n">
        <f aca="false">дома!D563</f>
        <v>0.05</v>
      </c>
      <c r="E668" s="2563" t="n">
        <f aca="false">дома!E563</f>
        <v>0</v>
      </c>
      <c r="F668" s="2563" t="n">
        <f aca="false">дома!F563</f>
        <v>2</v>
      </c>
      <c r="G668" s="2563" t="n">
        <f aca="false">E668*F668*IF('Ввод данных'!$A$8=связи1!$A$150,1,0)</f>
        <v>0</v>
      </c>
      <c r="H668" s="2563" t="n">
        <f aca="false">дома!G563*IF('Ввод данных'!$A$8=связи1!$A$150,1,0)</f>
        <v>0</v>
      </c>
    </row>
    <row r="669" customFormat="false" ht="14.5" hidden="false" customHeight="false" outlineLevel="0" collapsed="false">
      <c r="A669" s="2561" t="str">
        <f aca="false">дома!A564</f>
        <v>Стойка каркаса по фронтону, 1 этаж, односкатная кровля, №9</v>
      </c>
      <c r="B669" s="2562" t="str">
        <f aca="false">дома!B564</f>
        <v>м.п.</v>
      </c>
      <c r="C669" s="2563" t="n">
        <f aca="false">дома!C564</f>
        <v>0.4</v>
      </c>
      <c r="D669" s="2563" t="n">
        <f aca="false">дома!D564</f>
        <v>0.05</v>
      </c>
      <c r="E669" s="2563" t="n">
        <f aca="false">дома!E564</f>
        <v>0</v>
      </c>
      <c r="F669" s="2563" t="n">
        <f aca="false">дома!F564</f>
        <v>2</v>
      </c>
      <c r="G669" s="2563" t="n">
        <f aca="false">E669*F669*IF('Ввод данных'!$A$8=связи1!$A$150,1,0)</f>
        <v>0</v>
      </c>
      <c r="H669" s="2563" t="n">
        <f aca="false">дома!G564*IF('Ввод данных'!$A$8=связи1!$A$150,1,0)</f>
        <v>0</v>
      </c>
    </row>
    <row r="670" customFormat="false" ht="14.5" hidden="false" customHeight="false" outlineLevel="0" collapsed="false">
      <c r="A670" s="2561" t="str">
        <f aca="false">дома!A565</f>
        <v>Стойка каркаса по фронтону, 1 этаж, односкатная кровля, №10</v>
      </c>
      <c r="B670" s="2562" t="str">
        <f aca="false">дома!B565</f>
        <v>м.п.</v>
      </c>
      <c r="C670" s="2563" t="n">
        <f aca="false">дома!C565</f>
        <v>0.4</v>
      </c>
      <c r="D670" s="2563" t="n">
        <f aca="false">дома!D565</f>
        <v>0.05</v>
      </c>
      <c r="E670" s="2563" t="n">
        <f aca="false">дома!E565</f>
        <v>0</v>
      </c>
      <c r="F670" s="2563" t="n">
        <f aca="false">дома!F565</f>
        <v>2</v>
      </c>
      <c r="G670" s="2563" t="n">
        <f aca="false">E670*F670*IF('Ввод данных'!$A$8=связи1!$A$150,1,0)</f>
        <v>0</v>
      </c>
      <c r="H670" s="2563" t="n">
        <f aca="false">дома!G565*IF('Ввод данных'!$A$8=связи1!$A$150,1,0)</f>
        <v>0</v>
      </c>
    </row>
    <row r="671" customFormat="false" ht="14.5" hidden="false" customHeight="false" outlineLevel="0" collapsed="false">
      <c r="A671" s="2561" t="str">
        <f aca="false">дома!A566</f>
        <v>Стойка каркаса по фронтону, 1 этаж, односкатная кровля, №11</v>
      </c>
      <c r="B671" s="2562" t="str">
        <f aca="false">дома!B566</f>
        <v>м.п.</v>
      </c>
      <c r="C671" s="2563" t="n">
        <f aca="false">дома!C566</f>
        <v>0.4</v>
      </c>
      <c r="D671" s="2563" t="n">
        <f aca="false">дома!D566</f>
        <v>0.05</v>
      </c>
      <c r="E671" s="2563" t="n">
        <f aca="false">дома!E566</f>
        <v>0</v>
      </c>
      <c r="F671" s="2563" t="n">
        <f aca="false">дома!F566</f>
        <v>2</v>
      </c>
      <c r="G671" s="2563" t="n">
        <f aca="false">E671*F671*IF('Ввод данных'!$A$8=связи1!$A$150,1,0)</f>
        <v>0</v>
      </c>
      <c r="H671" s="2563" t="n">
        <f aca="false">дома!G566*IF('Ввод данных'!$A$8=связи1!$A$150,1,0)</f>
        <v>0</v>
      </c>
    </row>
    <row r="672" customFormat="false" ht="14.5" hidden="false" customHeight="false" outlineLevel="0" collapsed="false">
      <c r="A672" s="2561" t="str">
        <f aca="false">дома!A567</f>
        <v>Стойка каркаса по фронтону, 1 этаж, односкатная кровля, №12</v>
      </c>
      <c r="B672" s="2562" t="str">
        <f aca="false">дома!B567</f>
        <v>м.п.</v>
      </c>
      <c r="C672" s="2563" t="n">
        <f aca="false">дома!C567</f>
        <v>0.4</v>
      </c>
      <c r="D672" s="2563" t="n">
        <f aca="false">дома!D567</f>
        <v>0.05</v>
      </c>
      <c r="E672" s="2563" t="n">
        <f aca="false">дома!E567</f>
        <v>0</v>
      </c>
      <c r="F672" s="2563" t="n">
        <f aca="false">дома!F567</f>
        <v>2</v>
      </c>
      <c r="G672" s="2563" t="n">
        <f aca="false">E672*F672*IF('Ввод данных'!$A$8=связи1!$A$150,1,0)</f>
        <v>0</v>
      </c>
      <c r="H672" s="2563" t="n">
        <f aca="false">дома!G567*IF('Ввод данных'!$A$8=связи1!$A$150,1,0)</f>
        <v>0</v>
      </c>
    </row>
    <row r="673" customFormat="false" ht="14.5" hidden="false" customHeight="false" outlineLevel="0" collapsed="false">
      <c r="A673" s="2561" t="str">
        <f aca="false">дома!A568</f>
        <v>Стойка каркаса по фронтону, 1 этаж, односкатная кровля, №13</v>
      </c>
      <c r="B673" s="2562" t="str">
        <f aca="false">дома!B568</f>
        <v>м.п.</v>
      </c>
      <c r="C673" s="2563" t="n">
        <f aca="false">дома!C568</f>
        <v>0.4</v>
      </c>
      <c r="D673" s="2563" t="n">
        <f aca="false">дома!D568</f>
        <v>0.05</v>
      </c>
      <c r="E673" s="2563" t="n">
        <f aca="false">дома!E568</f>
        <v>0</v>
      </c>
      <c r="F673" s="2563" t="n">
        <f aca="false">дома!F568</f>
        <v>2</v>
      </c>
      <c r="G673" s="2563" t="n">
        <f aca="false">E673*F673*IF('Ввод данных'!$A$8=связи1!$A$150,1,0)</f>
        <v>0</v>
      </c>
      <c r="H673" s="2563" t="n">
        <f aca="false">дома!G568*IF('Ввод данных'!$A$8=связи1!$A$150,1,0)</f>
        <v>0</v>
      </c>
    </row>
    <row r="674" customFormat="false" ht="14.5" hidden="false" customHeight="false" outlineLevel="0" collapsed="false">
      <c r="A674" s="2561" t="str">
        <f aca="false">дома!A569</f>
        <v>Стойка каркаса по фронтону, 1 этаж, односкатная кровля, №14</v>
      </c>
      <c r="B674" s="2562" t="str">
        <f aca="false">дома!B569</f>
        <v>м.п.</v>
      </c>
      <c r="C674" s="2563" t="n">
        <f aca="false">дома!C569</f>
        <v>0.4</v>
      </c>
      <c r="D674" s="2563" t="n">
        <f aca="false">дома!D569</f>
        <v>0.05</v>
      </c>
      <c r="E674" s="2563" t="n">
        <f aca="false">дома!E569</f>
        <v>0</v>
      </c>
      <c r="F674" s="2563" t="n">
        <f aca="false">дома!F569</f>
        <v>2</v>
      </c>
      <c r="G674" s="2563" t="n">
        <f aca="false">E674*F674*IF('Ввод данных'!$A$8=связи1!$A$150,1,0)</f>
        <v>0</v>
      </c>
      <c r="H674" s="2563" t="n">
        <f aca="false">дома!G569*IF('Ввод данных'!$A$8=связи1!$A$150,1,0)</f>
        <v>0</v>
      </c>
    </row>
    <row r="675" customFormat="false" ht="14.5" hidden="false" customHeight="false" outlineLevel="0" collapsed="false">
      <c r="A675" s="2561" t="str">
        <f aca="false">дома!A570</f>
        <v>Стойка каркаса по фронтону, 1 этаж, односкатная кровля, №15</v>
      </c>
      <c r="B675" s="2562" t="str">
        <f aca="false">дома!B570</f>
        <v>м.п.</v>
      </c>
      <c r="C675" s="2563" t="n">
        <f aca="false">дома!C570</f>
        <v>0.4</v>
      </c>
      <c r="D675" s="2563" t="n">
        <f aca="false">дома!D570</f>
        <v>0.05</v>
      </c>
      <c r="E675" s="2563" t="n">
        <f aca="false">дома!E570</f>
        <v>0</v>
      </c>
      <c r="F675" s="2563" t="n">
        <f aca="false">дома!F570</f>
        <v>2</v>
      </c>
      <c r="G675" s="2563" t="n">
        <f aca="false">E675*F675*IF('Ввод данных'!$A$8=связи1!$A$150,1,0)</f>
        <v>0</v>
      </c>
      <c r="H675" s="2563" t="n">
        <f aca="false">дома!G570*IF('Ввод данных'!$A$8=связи1!$A$150,1,0)</f>
        <v>0</v>
      </c>
    </row>
    <row r="676" customFormat="false" ht="14.5" hidden="false" customHeight="false" outlineLevel="0" collapsed="false">
      <c r="A676" s="2561" t="str">
        <f aca="false">дома!A571</f>
        <v>Стойка каркаса по фронтону, 1 этаж, односкатная кровля, №16</v>
      </c>
      <c r="B676" s="2562" t="str">
        <f aca="false">дома!B571</f>
        <v>м.п.</v>
      </c>
      <c r="C676" s="2563" t="n">
        <f aca="false">дома!C571</f>
        <v>0.4</v>
      </c>
      <c r="D676" s="2563" t="n">
        <f aca="false">дома!D571</f>
        <v>0.05</v>
      </c>
      <c r="E676" s="2563" t="n">
        <f aca="false">дома!E571</f>
        <v>0</v>
      </c>
      <c r="F676" s="2563" t="n">
        <f aca="false">дома!F571</f>
        <v>2</v>
      </c>
      <c r="G676" s="2563" t="n">
        <f aca="false">E676*F676*IF('Ввод данных'!$A$8=связи1!$A$150,1,0)</f>
        <v>0</v>
      </c>
      <c r="H676" s="2563" t="n">
        <f aca="false">дома!G571*IF('Ввод данных'!$A$8=связи1!$A$150,1,0)</f>
        <v>0</v>
      </c>
    </row>
    <row r="677" customFormat="false" ht="14.5" hidden="false" customHeight="false" outlineLevel="0" collapsed="false">
      <c r="A677" s="2561" t="str">
        <f aca="false">дома!A572</f>
        <v>Стойка каркаса по фронтону, 1 этаж, односкатная кровля, №17</v>
      </c>
      <c r="B677" s="2562" t="str">
        <f aca="false">дома!B572</f>
        <v>м.п.</v>
      </c>
      <c r="C677" s="2563" t="n">
        <f aca="false">дома!C572</f>
        <v>0.4</v>
      </c>
      <c r="D677" s="2563" t="n">
        <f aca="false">дома!D572</f>
        <v>0.05</v>
      </c>
      <c r="E677" s="2563" t="n">
        <f aca="false">дома!E572</f>
        <v>0</v>
      </c>
      <c r="F677" s="2563" t="n">
        <f aca="false">дома!F572</f>
        <v>2</v>
      </c>
      <c r="G677" s="2563" t="n">
        <f aca="false">E677*F677*IF('Ввод данных'!$A$8=связи1!$A$150,1,0)</f>
        <v>0</v>
      </c>
      <c r="H677" s="2563" t="n">
        <f aca="false">дома!G572*IF('Ввод данных'!$A$8=связи1!$A$150,1,0)</f>
        <v>0</v>
      </c>
    </row>
    <row r="678" customFormat="false" ht="14.5" hidden="false" customHeight="false" outlineLevel="0" collapsed="false">
      <c r="A678" s="2561" t="str">
        <f aca="false">дома!A573</f>
        <v>Стойка каркаса по фронтону, 1 этаж, двускатная кровля, №1</v>
      </c>
      <c r="B678" s="2562" t="str">
        <f aca="false">дома!B573</f>
        <v>м.п.</v>
      </c>
      <c r="C678" s="2563" t="n">
        <f aca="false">дома!C573</f>
        <v>0.4</v>
      </c>
      <c r="D678" s="2563" t="n">
        <f aca="false">дома!D573</f>
        <v>0.05</v>
      </c>
      <c r="E678" s="2563" t="n">
        <f aca="false">дома!E573</f>
        <v>1</v>
      </c>
      <c r="F678" s="2563" t="n">
        <f aca="false">дома!F573</f>
        <v>2</v>
      </c>
      <c r="G678" s="2563" t="n">
        <f aca="false">E678*F678*IF('Ввод данных'!$A$8=связи1!$A$150,1,0)</f>
        <v>0</v>
      </c>
      <c r="H678" s="2563" t="n">
        <f aca="false">дома!G573*IF('Ввод данных'!$A$8=связи1!$A$150,1,0)</f>
        <v>0</v>
      </c>
    </row>
    <row r="679" customFormat="false" ht="14.5" hidden="false" customHeight="false" outlineLevel="0" collapsed="false">
      <c r="A679" s="2561" t="str">
        <f aca="false">дома!A574</f>
        <v>Стойка каркаса по фронтону, 1 этаж, двускатная кровля, №2</v>
      </c>
      <c r="B679" s="2562" t="str">
        <f aca="false">дома!B574</f>
        <v>м.п.</v>
      </c>
      <c r="C679" s="2563" t="n">
        <f aca="false">дома!C574</f>
        <v>0.4</v>
      </c>
      <c r="D679" s="2563" t="n">
        <f aca="false">дома!D574</f>
        <v>0.05</v>
      </c>
      <c r="E679" s="2563" t="n">
        <f aca="false">дома!E574</f>
        <v>1</v>
      </c>
      <c r="F679" s="2563" t="n">
        <f aca="false">дома!F574</f>
        <v>2</v>
      </c>
      <c r="G679" s="2563" t="n">
        <f aca="false">E679*F679*IF('Ввод данных'!$A$8=связи1!$A$150,1,0)</f>
        <v>0</v>
      </c>
      <c r="H679" s="2563" t="n">
        <f aca="false">дома!G574*IF('Ввод данных'!$A$8=связи1!$A$150,1,0)</f>
        <v>0</v>
      </c>
    </row>
    <row r="680" customFormat="false" ht="14.5" hidden="false" customHeight="false" outlineLevel="0" collapsed="false">
      <c r="A680" s="2561" t="str">
        <f aca="false">дома!A575</f>
        <v>Стойка каркаса по фронтону, 1 этаж, двускатная кровля, №3</v>
      </c>
      <c r="B680" s="2562" t="str">
        <f aca="false">дома!B575</f>
        <v>м.п.</v>
      </c>
      <c r="C680" s="2563" t="n">
        <f aca="false">дома!C575</f>
        <v>0.4</v>
      </c>
      <c r="D680" s="2563" t="n">
        <f aca="false">дома!D575</f>
        <v>0.05</v>
      </c>
      <c r="E680" s="2563" t="n">
        <f aca="false">дома!E575</f>
        <v>1</v>
      </c>
      <c r="F680" s="2563" t="n">
        <f aca="false">дома!F575</f>
        <v>2</v>
      </c>
      <c r="G680" s="2563" t="n">
        <f aca="false">E680*F680*IF('Ввод данных'!$A$8=связи1!$A$150,1,0)</f>
        <v>0</v>
      </c>
      <c r="H680" s="2563" t="n">
        <f aca="false">дома!G575*IF('Ввод данных'!$A$8=связи1!$A$150,1,0)</f>
        <v>0</v>
      </c>
    </row>
    <row r="681" customFormat="false" ht="14.5" hidden="false" customHeight="false" outlineLevel="0" collapsed="false">
      <c r="A681" s="2561" t="str">
        <f aca="false">дома!A576</f>
        <v>Стойка каркаса по фронтону, 1 этаж, двускатная кровля, №4</v>
      </c>
      <c r="B681" s="2562" t="str">
        <f aca="false">дома!B576</f>
        <v>м.п.</v>
      </c>
      <c r="C681" s="2563" t="n">
        <f aca="false">дома!C576</f>
        <v>0.4</v>
      </c>
      <c r="D681" s="2563" t="n">
        <f aca="false">дома!D576</f>
        <v>0.05</v>
      </c>
      <c r="E681" s="2563" t="n">
        <f aca="false">дома!E576</f>
        <v>1</v>
      </c>
      <c r="F681" s="2563" t="n">
        <f aca="false">дома!F576</f>
        <v>2</v>
      </c>
      <c r="G681" s="2563" t="n">
        <f aca="false">E681*F681*IF('Ввод данных'!$A$8=связи1!$A$150,1,0)</f>
        <v>0</v>
      </c>
      <c r="H681" s="2563" t="n">
        <f aca="false">дома!G576*IF('Ввод данных'!$A$8=связи1!$A$150,1,0)</f>
        <v>0</v>
      </c>
    </row>
    <row r="682" customFormat="false" ht="14.5" hidden="false" customHeight="false" outlineLevel="0" collapsed="false">
      <c r="A682" s="2561" t="str">
        <f aca="false">дома!A577</f>
        <v>Стойка каркаса по фронтону, 1 этаж, двускатная кровля, №5</v>
      </c>
      <c r="B682" s="2562" t="str">
        <f aca="false">дома!B577</f>
        <v>м.п.</v>
      </c>
      <c r="C682" s="2563" t="n">
        <f aca="false">дома!C577</f>
        <v>0.4</v>
      </c>
      <c r="D682" s="2563" t="n">
        <f aca="false">дома!D577</f>
        <v>0.05</v>
      </c>
      <c r="E682" s="2563" t="n">
        <f aca="false">дома!E577</f>
        <v>1</v>
      </c>
      <c r="F682" s="2563" t="n">
        <f aca="false">дома!F577</f>
        <v>2</v>
      </c>
      <c r="G682" s="2563" t="n">
        <f aca="false">E682*F682*IF('Ввод данных'!$A$8=связи1!$A$150,1,0)</f>
        <v>0</v>
      </c>
      <c r="H682" s="2563" t="n">
        <f aca="false">дома!G577*IF('Ввод данных'!$A$8=связи1!$A$150,1,0)</f>
        <v>0</v>
      </c>
    </row>
    <row r="683" customFormat="false" ht="14.5" hidden="false" customHeight="false" outlineLevel="0" collapsed="false">
      <c r="A683" s="2561" t="str">
        <f aca="false">дома!A578</f>
        <v>Стойка каркаса по фронтону, 1 этаж, двускатная кровля, №6</v>
      </c>
      <c r="B683" s="2562" t="str">
        <f aca="false">дома!B578</f>
        <v>м.п.</v>
      </c>
      <c r="C683" s="2563" t="n">
        <f aca="false">дома!C578</f>
        <v>0.4</v>
      </c>
      <c r="D683" s="2563" t="n">
        <f aca="false">дома!D578</f>
        <v>0.05</v>
      </c>
      <c r="E683" s="2563" t="n">
        <f aca="false">дома!E578</f>
        <v>1</v>
      </c>
      <c r="F683" s="2563" t="n">
        <f aca="false">дома!F578</f>
        <v>2</v>
      </c>
      <c r="G683" s="2563" t="n">
        <f aca="false">E683*F683*IF('Ввод данных'!$A$8=связи1!$A$150,1,0)</f>
        <v>0</v>
      </c>
      <c r="H683" s="2563" t="n">
        <f aca="false">дома!G578*IF('Ввод данных'!$A$8=связи1!$A$150,1,0)</f>
        <v>0</v>
      </c>
    </row>
    <row r="684" customFormat="false" ht="14.5" hidden="false" customHeight="false" outlineLevel="0" collapsed="false">
      <c r="A684" s="2561" t="str">
        <f aca="false">дома!A579</f>
        <v>Стойка каркаса по фронтону, 1 этаж, двускатная кровля, №7</v>
      </c>
      <c r="B684" s="2562" t="str">
        <f aca="false">дома!B579</f>
        <v>м.п.</v>
      </c>
      <c r="C684" s="2563" t="n">
        <f aca="false">дома!C579</f>
        <v>0.4</v>
      </c>
      <c r="D684" s="2563" t="n">
        <f aca="false">дома!D579</f>
        <v>0.05</v>
      </c>
      <c r="E684" s="2563" t="n">
        <f aca="false">дома!E579</f>
        <v>1</v>
      </c>
      <c r="F684" s="2563" t="n">
        <f aca="false">дома!F579</f>
        <v>2</v>
      </c>
      <c r="G684" s="2563" t="n">
        <f aca="false">E684*F684*IF('Ввод данных'!$A$8=связи1!$A$150,1,0)</f>
        <v>0</v>
      </c>
      <c r="H684" s="2563" t="n">
        <f aca="false">дома!G579*IF('Ввод данных'!$A$8=связи1!$A$150,1,0)</f>
        <v>0</v>
      </c>
    </row>
    <row r="685" customFormat="false" ht="14.5" hidden="false" customHeight="false" outlineLevel="0" collapsed="false">
      <c r="A685" s="2561" t="str">
        <f aca="false">дома!A580</f>
        <v>Стойка каркаса по фронтону, 1 этаж, двускатная кровля, №8</v>
      </c>
      <c r="B685" s="2562" t="str">
        <f aca="false">дома!B580</f>
        <v>м.п.</v>
      </c>
      <c r="C685" s="2563" t="n">
        <f aca="false">дома!C580</f>
        <v>0.4</v>
      </c>
      <c r="D685" s="2563" t="n">
        <f aca="false">дома!D580</f>
        <v>0.05</v>
      </c>
      <c r="E685" s="2563" t="n">
        <f aca="false">дома!E580</f>
        <v>1</v>
      </c>
      <c r="F685" s="2563" t="n">
        <f aca="false">дома!F580</f>
        <v>2</v>
      </c>
      <c r="G685" s="2563" t="n">
        <f aca="false">E685*F685*IF('Ввод данных'!$A$8=связи1!$A$150,1,0)</f>
        <v>0</v>
      </c>
      <c r="H685" s="2563" t="n">
        <f aca="false">дома!G580*IF('Ввод данных'!$A$8=связи1!$A$150,1,0)</f>
        <v>0</v>
      </c>
    </row>
    <row r="686" customFormat="false" ht="14.5" hidden="false" customHeight="false" outlineLevel="0" collapsed="false">
      <c r="A686" s="2561" t="str">
        <f aca="false">дома!A581</f>
        <v>Стойка каркаса по фронтону, 1 этаж, двускатная кровля, №9</v>
      </c>
      <c r="B686" s="2562" t="str">
        <f aca="false">дома!B581</f>
        <v>м.п.</v>
      </c>
      <c r="C686" s="2563" t="n">
        <f aca="false">дома!C581</f>
        <v>0.4</v>
      </c>
      <c r="D686" s="2563" t="n">
        <f aca="false">дома!D581</f>
        <v>0.05</v>
      </c>
      <c r="E686" s="2563" t="n">
        <f aca="false">дома!E581</f>
        <v>1</v>
      </c>
      <c r="F686" s="2563" t="n">
        <f aca="false">дома!F581</f>
        <v>2</v>
      </c>
      <c r="G686" s="2563" t="n">
        <f aca="false">E686*F686*IF('Ввод данных'!$A$8=связи1!$A$150,1,0)</f>
        <v>0</v>
      </c>
      <c r="H686" s="2563" t="n">
        <f aca="false">дома!G581*IF('Ввод данных'!$A$8=связи1!$A$150,1,0)</f>
        <v>0</v>
      </c>
    </row>
    <row r="687" customFormat="false" ht="14.5" hidden="false" customHeight="false" outlineLevel="0" collapsed="false">
      <c r="A687" s="2561" t="str">
        <f aca="false">дома!A582</f>
        <v>Стойка каркаса по фронтону, 1 этаж, двускатная кровля, №10</v>
      </c>
      <c r="B687" s="2562" t="str">
        <f aca="false">дома!B582</f>
        <v>м.п.</v>
      </c>
      <c r="C687" s="2563" t="n">
        <f aca="false">дома!C582</f>
        <v>0.4</v>
      </c>
      <c r="D687" s="2563" t="n">
        <f aca="false">дома!D582</f>
        <v>0.05</v>
      </c>
      <c r="E687" s="2563" t="n">
        <f aca="false">дома!E582</f>
        <v>1</v>
      </c>
      <c r="F687" s="2563" t="n">
        <f aca="false">дома!F582</f>
        <v>2</v>
      </c>
      <c r="G687" s="2563" t="n">
        <f aca="false">E687*F687*IF('Ввод данных'!$A$8=связи1!$A$150,1,0)</f>
        <v>0</v>
      </c>
      <c r="H687" s="2563" t="n">
        <f aca="false">дома!G582*IF('Ввод данных'!$A$8=связи1!$A$150,1,0)</f>
        <v>0</v>
      </c>
    </row>
    <row r="688" customFormat="false" ht="14.5" hidden="false" customHeight="false" outlineLevel="0" collapsed="false">
      <c r="A688" s="2561" t="str">
        <f aca="false">дома!A583</f>
        <v>Стойка каркаса по фронтону, 1 этаж, двускатная кровля, №11</v>
      </c>
      <c r="B688" s="2562" t="str">
        <f aca="false">дома!B583</f>
        <v>м.п.</v>
      </c>
      <c r="C688" s="2563" t="n">
        <f aca="false">дома!C583</f>
        <v>0.4</v>
      </c>
      <c r="D688" s="2563" t="n">
        <f aca="false">дома!D583</f>
        <v>0.05</v>
      </c>
      <c r="E688" s="2563" t="n">
        <f aca="false">дома!E583</f>
        <v>1</v>
      </c>
      <c r="F688" s="2563" t="n">
        <f aca="false">дома!F583</f>
        <v>2</v>
      </c>
      <c r="G688" s="2563" t="n">
        <f aca="false">E688*F688*IF('Ввод данных'!$A$8=связи1!$A$150,1,0)</f>
        <v>0</v>
      </c>
      <c r="H688" s="2563" t="n">
        <f aca="false">дома!G583*IF('Ввод данных'!$A$8=связи1!$A$150,1,0)</f>
        <v>0</v>
      </c>
    </row>
    <row r="689" customFormat="false" ht="14.5" hidden="false" customHeight="false" outlineLevel="0" collapsed="false">
      <c r="A689" s="2561" t="str">
        <f aca="false">дома!A584</f>
        <v>Стойка каркаса по фронтону, 1 этаж, двускатная кровля, №12</v>
      </c>
      <c r="B689" s="2562" t="str">
        <f aca="false">дома!B584</f>
        <v>м.п.</v>
      </c>
      <c r="C689" s="2563" t="n">
        <f aca="false">дома!C584</f>
        <v>0.4</v>
      </c>
      <c r="D689" s="2563" t="n">
        <f aca="false">дома!D584</f>
        <v>0.05</v>
      </c>
      <c r="E689" s="2563" t="n">
        <f aca="false">дома!E584</f>
        <v>1</v>
      </c>
      <c r="F689" s="2563" t="n">
        <f aca="false">дома!F584</f>
        <v>2</v>
      </c>
      <c r="G689" s="2563" t="n">
        <f aca="false">E689*F689*IF('Ввод данных'!$A$8=связи1!$A$150,1,0)</f>
        <v>0</v>
      </c>
      <c r="H689" s="2563" t="n">
        <f aca="false">дома!G584*IF('Ввод данных'!$A$8=связи1!$A$150,1,0)</f>
        <v>0</v>
      </c>
    </row>
    <row r="690" customFormat="false" ht="14.5" hidden="false" customHeight="false" outlineLevel="0" collapsed="false">
      <c r="A690" s="2561" t="str">
        <f aca="false">дома!A585</f>
        <v>Стойка каркаса по фронтону, 1 этаж, двускатная кровля, №13</v>
      </c>
      <c r="B690" s="2562" t="str">
        <f aca="false">дома!B585</f>
        <v>м.п.</v>
      </c>
      <c r="C690" s="2563" t="n">
        <f aca="false">дома!C585</f>
        <v>0.4</v>
      </c>
      <c r="D690" s="2563" t="n">
        <f aca="false">дома!D585</f>
        <v>0.05</v>
      </c>
      <c r="E690" s="2563" t="n">
        <f aca="false">дома!E585</f>
        <v>1</v>
      </c>
      <c r="F690" s="2563" t="n">
        <f aca="false">дома!F585</f>
        <v>2</v>
      </c>
      <c r="G690" s="2563" t="n">
        <f aca="false">E690*F690*IF('Ввод данных'!$A$8=связи1!$A$150,1,0)</f>
        <v>0</v>
      </c>
      <c r="H690" s="2563" t="n">
        <f aca="false">дома!G585*IF('Ввод данных'!$A$8=связи1!$A$150,1,0)</f>
        <v>0</v>
      </c>
    </row>
    <row r="691" customFormat="false" ht="14.5" hidden="false" customHeight="false" outlineLevel="0" collapsed="false">
      <c r="A691" s="2561" t="str">
        <f aca="false">дома!A586</f>
        <v>Стойка каркаса по фронтону, 1 этаж, двускатная кровля, №14</v>
      </c>
      <c r="B691" s="2562" t="str">
        <f aca="false">дома!B586</f>
        <v>м.п.</v>
      </c>
      <c r="C691" s="2563" t="n">
        <f aca="false">дома!C586</f>
        <v>0.4</v>
      </c>
      <c r="D691" s="2563" t="n">
        <f aca="false">дома!D586</f>
        <v>0.05</v>
      </c>
      <c r="E691" s="2563" t="n">
        <f aca="false">дома!E586</f>
        <v>1</v>
      </c>
      <c r="F691" s="2563" t="n">
        <f aca="false">дома!F586</f>
        <v>2</v>
      </c>
      <c r="G691" s="2563" t="n">
        <f aca="false">E691*F691*IF('Ввод данных'!$A$8=связи1!$A$150,1,0)</f>
        <v>0</v>
      </c>
      <c r="H691" s="2563" t="n">
        <f aca="false">дома!G586*IF('Ввод данных'!$A$8=связи1!$A$150,1,0)</f>
        <v>0</v>
      </c>
    </row>
    <row r="692" customFormat="false" ht="14.5" hidden="false" customHeight="false" outlineLevel="0" collapsed="false">
      <c r="A692" s="2561" t="str">
        <f aca="false">дома!A587</f>
        <v>Стойка каркаса по фронтону, 1 этаж, двускатная кровля, №15</v>
      </c>
      <c r="B692" s="2562" t="str">
        <f aca="false">дома!B587</f>
        <v>м.п.</v>
      </c>
      <c r="C692" s="2563" t="n">
        <f aca="false">дома!C587</f>
        <v>0.4</v>
      </c>
      <c r="D692" s="2563" t="n">
        <f aca="false">дома!D587</f>
        <v>0.05</v>
      </c>
      <c r="E692" s="2563" t="n">
        <f aca="false">дома!E587</f>
        <v>1</v>
      </c>
      <c r="F692" s="2563" t="n">
        <f aca="false">дома!F587</f>
        <v>2</v>
      </c>
      <c r="G692" s="2563" t="n">
        <f aca="false">E692*F692*IF('Ввод данных'!$A$8=связи1!$A$150,1,0)</f>
        <v>0</v>
      </c>
      <c r="H692" s="2563" t="n">
        <f aca="false">дома!G587*IF('Ввод данных'!$A$8=связи1!$A$150,1,0)</f>
        <v>0</v>
      </c>
    </row>
    <row r="693" customFormat="false" ht="14.5" hidden="false" customHeight="false" outlineLevel="0" collapsed="false">
      <c r="A693" s="2561" t="str">
        <f aca="false">дома!A588</f>
        <v>Стойка каркаса по фронтону, 1 этаж, двускатная кровля, №16</v>
      </c>
      <c r="B693" s="2562" t="str">
        <f aca="false">дома!B588</f>
        <v>м.п.</v>
      </c>
      <c r="C693" s="2563" t="n">
        <f aca="false">дома!C588</f>
        <v>0.4</v>
      </c>
      <c r="D693" s="2563" t="n">
        <f aca="false">дома!D588</f>
        <v>0.05</v>
      </c>
      <c r="E693" s="2563" t="n">
        <f aca="false">дома!E588</f>
        <v>1</v>
      </c>
      <c r="F693" s="2563" t="n">
        <f aca="false">дома!F588</f>
        <v>2</v>
      </c>
      <c r="G693" s="2563" t="n">
        <f aca="false">E693*F693*IF('Ввод данных'!$A$8=связи1!$A$150,1,0)</f>
        <v>0</v>
      </c>
      <c r="H693" s="2563" t="n">
        <f aca="false">дома!G588*IF('Ввод данных'!$A$8=связи1!$A$150,1,0)</f>
        <v>0</v>
      </c>
    </row>
    <row r="694" customFormat="false" ht="14.5" hidden="false" customHeight="false" outlineLevel="0" collapsed="false">
      <c r="A694" s="2561" t="str">
        <f aca="false">дома!A589</f>
        <v>Стойка каркаса по фронтону, 1 этаж, двускатная кровля, №17</v>
      </c>
      <c r="B694" s="2562" t="str">
        <f aca="false">дома!B589</f>
        <v>м.п.</v>
      </c>
      <c r="C694" s="2563" t="n">
        <f aca="false">дома!C589</f>
        <v>0.4</v>
      </c>
      <c r="D694" s="2563" t="n">
        <f aca="false">дома!D589</f>
        <v>0.05</v>
      </c>
      <c r="E694" s="2563" t="n">
        <f aca="false">дома!E589</f>
        <v>1</v>
      </c>
      <c r="F694" s="2563" t="n">
        <f aca="false">дома!F589</f>
        <v>2</v>
      </c>
      <c r="G694" s="2563" t="n">
        <f aca="false">E694*F694*IF('Ввод данных'!$A$8=связи1!$A$150,1,0)</f>
        <v>0</v>
      </c>
      <c r="H694" s="2563" t="n">
        <f aca="false">дома!G589*IF('Ввод данных'!$A$8=связи1!$A$150,1,0)</f>
        <v>0</v>
      </c>
    </row>
    <row r="695" customFormat="false" ht="21" hidden="false" customHeight="false" outlineLevel="0" collapsed="false">
      <c r="A695" s="2558" t="s">
        <v>4176</v>
      </c>
      <c r="B695" s="2558"/>
      <c r="C695" s="2558"/>
      <c r="D695" s="2558"/>
      <c r="E695" s="2558"/>
      <c r="F695" s="2558"/>
      <c r="G695" s="2566" t="n">
        <f aca="false">E695*F695</f>
        <v>0</v>
      </c>
      <c r="H695" s="2566" t="n">
        <f aca="false">SUM(H696:H735)</f>
        <v>0</v>
      </c>
    </row>
    <row r="696" customFormat="false" ht="14.5" hidden="false" customHeight="false" outlineLevel="0" collapsed="false">
      <c r="A696" s="2561" t="str">
        <f aca="false">дома!A1012</f>
        <v>Стойки каркаса передняя стена, 2 эт</v>
      </c>
      <c r="B696" s="2562" t="str">
        <f aca="false">дома!B1012</f>
        <v>м.п.</v>
      </c>
      <c r="C696" s="2563" t="n">
        <f aca="false">дома!C1012</f>
        <v>0.4</v>
      </c>
      <c r="D696" s="2563" t="n">
        <f aca="false">дома!D1012</f>
        <v>0.05</v>
      </c>
      <c r="E696" s="2563" t="n">
        <f aca="false">дома!E1012</f>
        <v>0</v>
      </c>
      <c r="F696" s="2563" t="n">
        <f aca="false">дома!F1012</f>
        <v>0</v>
      </c>
      <c r="G696" s="2563" t="n">
        <f aca="false">E696*F696*(IF('Ввод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6" s="2563" t="n">
        <f aca="false">дома!G1012*(IF('Ввод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97" customFormat="false" ht="14.5" hidden="false" customHeight="false" outlineLevel="0" collapsed="false">
      <c r="A697" s="2561" t="str">
        <f aca="false">дома!A1013</f>
        <v>Стойки каркаса , левая стена, 2 эт</v>
      </c>
      <c r="B697" s="2562" t="str">
        <f aca="false">дома!B1013</f>
        <v>м.п.</v>
      </c>
      <c r="C697" s="2563" t="n">
        <f aca="false">дома!C1013</f>
        <v>0.4</v>
      </c>
      <c r="D697" s="2563" t="n">
        <f aca="false">дома!D1013</f>
        <v>0.05</v>
      </c>
      <c r="E697" s="2563" t="n">
        <f aca="false">дома!E1013</f>
        <v>0</v>
      </c>
      <c r="F697" s="2563" t="n">
        <f aca="false">дома!F1013</f>
        <v>0</v>
      </c>
      <c r="G697" s="2563" t="n">
        <f aca="false">E697*F697*(IF('Ввод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7" s="2563" t="n">
        <f aca="false">дома!G1013*(IF('Ввод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98" customFormat="false" ht="14.5" hidden="false" customHeight="false" outlineLevel="0" collapsed="false">
      <c r="A698" s="2561" t="str">
        <f aca="false">дома!A1014</f>
        <v>Стойки каркаса , правая стена, 2 эт</v>
      </c>
      <c r="B698" s="2562" t="str">
        <f aca="false">дома!B1014</f>
        <v>м.п.</v>
      </c>
      <c r="C698" s="2563" t="n">
        <f aca="false">дома!C1014</f>
        <v>0.4</v>
      </c>
      <c r="D698" s="2563" t="n">
        <f aca="false">дома!D1014</f>
        <v>0.05</v>
      </c>
      <c r="E698" s="2563" t="n">
        <f aca="false">дома!E1014</f>
        <v>0</v>
      </c>
      <c r="F698" s="2563" t="n">
        <f aca="false">дома!F1014</f>
        <v>0</v>
      </c>
      <c r="G698" s="2563" t="n">
        <f aca="false">E698*F698*(IF('Ввод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8" s="2563" t="n">
        <f aca="false">дома!G1014*(IF('Ввод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699" customFormat="false" ht="14.5" hidden="false" customHeight="false" outlineLevel="0" collapsed="false">
      <c r="A699" s="2561" t="str">
        <f aca="false">дома!A1015</f>
        <v>Обвязка каркаса верхняя/нижняя наружние стены 2 эт</v>
      </c>
      <c r="B699" s="2562" t="str">
        <f aca="false">дома!B1015</f>
        <v>м.п.</v>
      </c>
      <c r="C699" s="2563" t="n">
        <f aca="false">дома!C1015</f>
        <v>0.4</v>
      </c>
      <c r="D699" s="2563" t="n">
        <f aca="false">дома!D1015</f>
        <v>0.05</v>
      </c>
      <c r="E699" s="2563" t="n">
        <f aca="false">дома!E1015</f>
        <v>1</v>
      </c>
      <c r="F699" s="2563" t="n">
        <f aca="false">дома!F1015</f>
        <v>0</v>
      </c>
      <c r="G699" s="2563" t="n">
        <f aca="false">E699*F699*(IF('Ввод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699" s="2563" t="n">
        <f aca="false">дома!G1015*(IF('Ввод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0" customFormat="false" ht="14.5" hidden="false" customHeight="false" outlineLevel="0" collapsed="false">
      <c r="A700" s="2561" t="str">
        <f aca="false">дома!A1016</f>
        <v>Ригель каркаса наружние стены 2 эт</v>
      </c>
      <c r="B700" s="2562" t="str">
        <f aca="false">дома!B1016</f>
        <v>м.п.</v>
      </c>
      <c r="C700" s="2563" t="n">
        <f aca="false">дома!C1016</f>
        <v>0.4</v>
      </c>
      <c r="D700" s="2563" t="n">
        <f aca="false">дома!D1016</f>
        <v>0.05</v>
      </c>
      <c r="E700" s="2563" t="n">
        <f aca="false">дома!E1016</f>
        <v>1</v>
      </c>
      <c r="F700" s="2563" t="n">
        <f aca="false">дома!F1016</f>
        <v>0</v>
      </c>
      <c r="G700" s="2563" t="n">
        <f aca="false">E700*F700*(IF('Ввод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0" s="2563" t="n">
        <f aca="false">дома!G1016*(IF('Ввод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1" customFormat="false" ht="14.5" hidden="false" customHeight="false" outlineLevel="0" collapsed="false">
      <c r="A701" s="2561" t="str">
        <f aca="false">дома!A1017</f>
        <v>Укосина наружних стен, усиление 2 этаж</v>
      </c>
      <c r="B701" s="2562" t="str">
        <f aca="false">дома!B1017</f>
        <v>м.п.</v>
      </c>
      <c r="C701" s="2563" t="n">
        <f aca="false">дома!C1017</f>
        <v>0.4</v>
      </c>
      <c r="D701" s="2563" t="n">
        <f aca="false">дома!D1017</f>
        <v>0.05</v>
      </c>
      <c r="E701" s="2563" t="n">
        <f aca="false">дома!E1017</f>
        <v>1.5</v>
      </c>
      <c r="F701" s="2563" t="n">
        <f aca="false">дома!F1017</f>
        <v>0</v>
      </c>
      <c r="G701" s="2563" t="n">
        <f aca="false">E701*F701*(IF('Ввод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1" s="2563" t="n">
        <f aca="false">дома!G1017*(IF('Ввод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2" customFormat="false" ht="14.5" hidden="false" customHeight="false" outlineLevel="0" collapsed="false">
      <c r="A702" s="2561" t="str">
        <f aca="false">дома!A1018</f>
        <v>Стойка каркаса по фронтону, 2 этаж, односкатная кровля, №1</v>
      </c>
      <c r="B702" s="2562" t="str">
        <f aca="false">дома!B1018</f>
        <v>м.п.</v>
      </c>
      <c r="C702" s="2563" t="n">
        <f aca="false">дома!C1018</f>
        <v>0.4</v>
      </c>
      <c r="D702" s="2563" t="n">
        <f aca="false">дома!D1018</f>
        <v>0.05</v>
      </c>
      <c r="E702" s="2563" t="n">
        <f aca="false">дома!E1018</f>
        <v>0</v>
      </c>
      <c r="F702" s="2563" t="n">
        <f aca="false">дома!F1018</f>
        <v>0</v>
      </c>
      <c r="G702" s="2563" t="n">
        <f aca="false">E702*F702*(IF('Ввод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2" s="2563" t="n">
        <f aca="false">дома!G1018*(IF('Ввод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3" customFormat="false" ht="14.5" hidden="false" customHeight="false" outlineLevel="0" collapsed="false">
      <c r="A703" s="2561" t="str">
        <f aca="false">дома!A1019</f>
        <v>Стойка каркаса по фронтону, 2 этаж, односкатная кровля, №2</v>
      </c>
      <c r="B703" s="2562" t="str">
        <f aca="false">дома!B1019</f>
        <v>м.п.</v>
      </c>
      <c r="C703" s="2563" t="n">
        <f aca="false">дома!C1019</f>
        <v>0.4</v>
      </c>
      <c r="D703" s="2563" t="n">
        <f aca="false">дома!D1019</f>
        <v>0.05</v>
      </c>
      <c r="E703" s="2563" t="n">
        <f aca="false">дома!E1019</f>
        <v>0</v>
      </c>
      <c r="F703" s="2563" t="n">
        <f aca="false">дома!F1019</f>
        <v>0</v>
      </c>
      <c r="G703" s="2563" t="n">
        <f aca="false">E703*F703*(IF('Ввод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3" s="2563" t="n">
        <f aca="false">дома!G1019*(IF('Ввод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4" customFormat="false" ht="14.5" hidden="false" customHeight="false" outlineLevel="0" collapsed="false">
      <c r="A704" s="2561" t="str">
        <f aca="false">дома!A1020</f>
        <v>Стойка каркаса по фронтону, 2 этаж, односкатная кровля, №3</v>
      </c>
      <c r="B704" s="2562" t="str">
        <f aca="false">дома!B1020</f>
        <v>м.п.</v>
      </c>
      <c r="C704" s="2563" t="n">
        <f aca="false">дома!C1020</f>
        <v>0.4</v>
      </c>
      <c r="D704" s="2563" t="n">
        <f aca="false">дома!D1020</f>
        <v>0.05</v>
      </c>
      <c r="E704" s="2563" t="n">
        <f aca="false">дома!E1020</f>
        <v>0</v>
      </c>
      <c r="F704" s="2563" t="n">
        <f aca="false">дома!F1020</f>
        <v>0</v>
      </c>
      <c r="G704" s="2563" t="n">
        <f aca="false">E704*F704*(IF('Ввод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4" s="2563" t="n">
        <f aca="false">дома!G1020*(IF('Ввод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5" customFormat="false" ht="14.5" hidden="false" customHeight="false" outlineLevel="0" collapsed="false">
      <c r="A705" s="2561" t="str">
        <f aca="false">дома!A1021</f>
        <v>Стойка каркаса по фронтону, 2 этаж, односкатная кровля, №4</v>
      </c>
      <c r="B705" s="2562" t="str">
        <f aca="false">дома!B1021</f>
        <v>м.п.</v>
      </c>
      <c r="C705" s="2563" t="n">
        <f aca="false">дома!C1021</f>
        <v>0.4</v>
      </c>
      <c r="D705" s="2563" t="n">
        <f aca="false">дома!D1021</f>
        <v>0.05</v>
      </c>
      <c r="E705" s="2563" t="n">
        <f aca="false">дома!E1021</f>
        <v>0</v>
      </c>
      <c r="F705" s="2563" t="n">
        <f aca="false">дома!F1021</f>
        <v>0</v>
      </c>
      <c r="G705" s="2563" t="n">
        <f aca="false">E705*F705*(IF('Ввод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5" s="2563" t="n">
        <f aca="false">дома!G1021*(IF('Ввод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6" customFormat="false" ht="14.5" hidden="false" customHeight="false" outlineLevel="0" collapsed="false">
      <c r="A706" s="2561" t="str">
        <f aca="false">дома!A1022</f>
        <v>Стойка каркаса по фронтону, 2 этаж, односкатная кровля, №5</v>
      </c>
      <c r="B706" s="2562" t="str">
        <f aca="false">дома!B1022</f>
        <v>м.п.</v>
      </c>
      <c r="C706" s="2563" t="n">
        <f aca="false">дома!C1022</f>
        <v>0.4</v>
      </c>
      <c r="D706" s="2563" t="n">
        <f aca="false">дома!D1022</f>
        <v>0.05</v>
      </c>
      <c r="E706" s="2563" t="n">
        <f aca="false">дома!E1022</f>
        <v>0</v>
      </c>
      <c r="F706" s="2563" t="n">
        <f aca="false">дома!F1022</f>
        <v>0</v>
      </c>
      <c r="G706" s="2563" t="n">
        <f aca="false">E706*F706*(IF('Ввод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6" s="2563" t="n">
        <f aca="false">дома!G1022*(IF('Ввод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7" customFormat="false" ht="14.5" hidden="false" customHeight="false" outlineLevel="0" collapsed="false">
      <c r="A707" s="2561" t="str">
        <f aca="false">дома!A1023</f>
        <v>Стойка каркаса по фронтону, 2 этаж, односкатная кровля, №6</v>
      </c>
      <c r="B707" s="2562" t="str">
        <f aca="false">дома!B1023</f>
        <v>м.п.</v>
      </c>
      <c r="C707" s="2563" t="n">
        <f aca="false">дома!C1023</f>
        <v>0.4</v>
      </c>
      <c r="D707" s="2563" t="n">
        <f aca="false">дома!D1023</f>
        <v>0.05</v>
      </c>
      <c r="E707" s="2563" t="n">
        <f aca="false">дома!E1023</f>
        <v>0</v>
      </c>
      <c r="F707" s="2563" t="n">
        <f aca="false">дома!F1023</f>
        <v>0</v>
      </c>
      <c r="G707" s="2563" t="n">
        <f aca="false">E707*F707*(IF('Ввод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7" s="2563" t="n">
        <f aca="false">дома!G1023*(IF('Ввод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8" customFormat="false" ht="14.5" hidden="false" customHeight="false" outlineLevel="0" collapsed="false">
      <c r="A708" s="2561" t="str">
        <f aca="false">дома!A1024</f>
        <v>Стойка каркаса по фронтону, 2 этаж, односкатная кровля, №7</v>
      </c>
      <c r="B708" s="2562" t="str">
        <f aca="false">дома!B1024</f>
        <v>м.п.</v>
      </c>
      <c r="C708" s="2563" t="n">
        <f aca="false">дома!C1024</f>
        <v>0.4</v>
      </c>
      <c r="D708" s="2563" t="n">
        <f aca="false">дома!D1024</f>
        <v>0.05</v>
      </c>
      <c r="E708" s="2563" t="n">
        <f aca="false">дома!E1024</f>
        <v>0</v>
      </c>
      <c r="F708" s="2563" t="n">
        <f aca="false">дома!F1024</f>
        <v>0</v>
      </c>
      <c r="G708" s="2563" t="n">
        <f aca="false">E708*F708*(IF('Ввод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8" s="2563" t="n">
        <f aca="false">дома!G1024*(IF('Ввод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09" customFormat="false" ht="14.5" hidden="false" customHeight="false" outlineLevel="0" collapsed="false">
      <c r="A709" s="2561" t="str">
        <f aca="false">дома!A1025</f>
        <v>Стойка каркаса по фронтону, 2 этаж, односкатная кровля, №8</v>
      </c>
      <c r="B709" s="2562" t="str">
        <f aca="false">дома!B1025</f>
        <v>м.п.</v>
      </c>
      <c r="C709" s="2563" t="n">
        <f aca="false">дома!C1025</f>
        <v>0.4</v>
      </c>
      <c r="D709" s="2563" t="n">
        <f aca="false">дома!D1025</f>
        <v>0.05</v>
      </c>
      <c r="E709" s="2563" t="n">
        <f aca="false">дома!E1025</f>
        <v>0</v>
      </c>
      <c r="F709" s="2563" t="n">
        <f aca="false">дома!F1025</f>
        <v>0</v>
      </c>
      <c r="G709" s="2563" t="n">
        <f aca="false">E709*F709*(IF('Ввод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09" s="2563" t="n">
        <f aca="false">дома!G1025*(IF('Ввод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0" customFormat="false" ht="14.5" hidden="false" customHeight="false" outlineLevel="0" collapsed="false">
      <c r="A710" s="2561" t="str">
        <f aca="false">дома!A1026</f>
        <v>Стойка каркаса по фронтону, 2 этаж, односкатная кровля, №9</v>
      </c>
      <c r="B710" s="2562" t="str">
        <f aca="false">дома!B1026</f>
        <v>м.п.</v>
      </c>
      <c r="C710" s="2563" t="n">
        <f aca="false">дома!C1026</f>
        <v>0.4</v>
      </c>
      <c r="D710" s="2563" t="n">
        <f aca="false">дома!D1026</f>
        <v>0.05</v>
      </c>
      <c r="E710" s="2563" t="n">
        <f aca="false">дома!E1026</f>
        <v>0</v>
      </c>
      <c r="F710" s="2563" t="n">
        <f aca="false">дома!F1026</f>
        <v>0</v>
      </c>
      <c r="G710" s="2563" t="n">
        <f aca="false">E710*F710*(IF('Ввод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0" s="2563" t="n">
        <f aca="false">дома!G1026*(IF('Ввод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1" customFormat="false" ht="14.5" hidden="false" customHeight="false" outlineLevel="0" collapsed="false">
      <c r="A711" s="2561" t="str">
        <f aca="false">дома!A1027</f>
        <v>Стойка каркаса по фронтону, 2 этаж, односкатная кровля, №10</v>
      </c>
      <c r="B711" s="2562" t="str">
        <f aca="false">дома!B1027</f>
        <v>м.п.</v>
      </c>
      <c r="C711" s="2563" t="n">
        <f aca="false">дома!C1027</f>
        <v>0.4</v>
      </c>
      <c r="D711" s="2563" t="n">
        <f aca="false">дома!D1027</f>
        <v>0.05</v>
      </c>
      <c r="E711" s="2563" t="n">
        <f aca="false">дома!E1027</f>
        <v>0</v>
      </c>
      <c r="F711" s="2563" t="n">
        <f aca="false">дома!F1027</f>
        <v>0</v>
      </c>
      <c r="G711" s="2563" t="n">
        <f aca="false">E711*F711*(IF('Ввод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1" s="2563" t="n">
        <f aca="false">дома!G1027*(IF('Ввод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2" customFormat="false" ht="14.5" hidden="false" customHeight="false" outlineLevel="0" collapsed="false">
      <c r="A712" s="2561" t="str">
        <f aca="false">дома!A1028</f>
        <v>Стойка каркаса по фронтону, 2 этаж, односкатная кровля, №11</v>
      </c>
      <c r="B712" s="2562" t="str">
        <f aca="false">дома!B1028</f>
        <v>м.п.</v>
      </c>
      <c r="C712" s="2563" t="n">
        <f aca="false">дома!C1028</f>
        <v>0.4</v>
      </c>
      <c r="D712" s="2563" t="n">
        <f aca="false">дома!D1028</f>
        <v>0.05</v>
      </c>
      <c r="E712" s="2563" t="n">
        <f aca="false">дома!E1028</f>
        <v>0</v>
      </c>
      <c r="F712" s="2563" t="n">
        <f aca="false">дома!F1028</f>
        <v>0</v>
      </c>
      <c r="G712" s="2563" t="n">
        <f aca="false">E712*F712*(IF('Ввод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2" s="2563" t="n">
        <f aca="false">дома!G1028*(IF('Ввод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3" customFormat="false" ht="14.5" hidden="false" customHeight="false" outlineLevel="0" collapsed="false">
      <c r="A713" s="2561" t="str">
        <f aca="false">дома!A1029</f>
        <v>Стойка каркаса по фронтону, 2 этаж, односкатная кровля, №12</v>
      </c>
      <c r="B713" s="2562" t="str">
        <f aca="false">дома!B1029</f>
        <v>м.п.</v>
      </c>
      <c r="C713" s="2563" t="n">
        <f aca="false">дома!C1029</f>
        <v>0.4</v>
      </c>
      <c r="D713" s="2563" t="n">
        <f aca="false">дома!D1029</f>
        <v>0.05</v>
      </c>
      <c r="E713" s="2563" t="n">
        <f aca="false">дома!E1029</f>
        <v>0</v>
      </c>
      <c r="F713" s="2563" t="n">
        <f aca="false">дома!F1029</f>
        <v>0</v>
      </c>
      <c r="G713" s="2563" t="n">
        <f aca="false">E713*F713*(IF('Ввод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3" s="2563" t="n">
        <f aca="false">дома!G1029*(IF('Ввод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4" customFormat="false" ht="14.5" hidden="false" customHeight="false" outlineLevel="0" collapsed="false">
      <c r="A714" s="2561" t="str">
        <f aca="false">дома!A1030</f>
        <v>Стойка каркаса по фронтону, 2 этаж, односкатная кровля, №13</v>
      </c>
      <c r="B714" s="2562" t="str">
        <f aca="false">дома!B1030</f>
        <v>м.п.</v>
      </c>
      <c r="C714" s="2563" t="n">
        <f aca="false">дома!C1030</f>
        <v>0.4</v>
      </c>
      <c r="D714" s="2563" t="n">
        <f aca="false">дома!D1030</f>
        <v>0.05</v>
      </c>
      <c r="E714" s="2563" t="n">
        <f aca="false">дома!E1030</f>
        <v>0</v>
      </c>
      <c r="F714" s="2563" t="n">
        <f aca="false">дома!F1030</f>
        <v>0</v>
      </c>
      <c r="G714" s="2563" t="n">
        <f aca="false">E714*F714*(IF('Ввод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4" s="2563" t="n">
        <f aca="false">дома!G1030*(IF('Ввод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5" customFormat="false" ht="14.5" hidden="false" customHeight="false" outlineLevel="0" collapsed="false">
      <c r="A715" s="2561" t="str">
        <f aca="false">дома!A1031</f>
        <v>Стойка каркаса по фронтону, 2 этаж, односкатная кровля, №14</v>
      </c>
      <c r="B715" s="2562" t="str">
        <f aca="false">дома!B1031</f>
        <v>м.п.</v>
      </c>
      <c r="C715" s="2563" t="n">
        <f aca="false">дома!C1031</f>
        <v>0.4</v>
      </c>
      <c r="D715" s="2563" t="n">
        <f aca="false">дома!D1031</f>
        <v>0.05</v>
      </c>
      <c r="E715" s="2563" t="n">
        <f aca="false">дома!E1031</f>
        <v>0</v>
      </c>
      <c r="F715" s="2563" t="n">
        <f aca="false">дома!F1031</f>
        <v>0</v>
      </c>
      <c r="G715" s="2563" t="n">
        <f aca="false">E715*F715*(IF('Ввод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5" s="2563" t="n">
        <f aca="false">дома!G1031*(IF('Ввод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6" customFormat="false" ht="14.5" hidden="false" customHeight="false" outlineLevel="0" collapsed="false">
      <c r="A716" s="2561" t="str">
        <f aca="false">дома!A1032</f>
        <v>Стойка каркаса по фронтону, 2 этаж, односкатная кровля, №15</v>
      </c>
      <c r="B716" s="2562" t="str">
        <f aca="false">дома!B1032</f>
        <v>м.п.</v>
      </c>
      <c r="C716" s="2563" t="n">
        <f aca="false">дома!C1032</f>
        <v>0.4</v>
      </c>
      <c r="D716" s="2563" t="n">
        <f aca="false">дома!D1032</f>
        <v>0.05</v>
      </c>
      <c r="E716" s="2563" t="n">
        <f aca="false">дома!E1032</f>
        <v>0</v>
      </c>
      <c r="F716" s="2563" t="n">
        <f aca="false">дома!F1032</f>
        <v>0</v>
      </c>
      <c r="G716" s="2563" t="n">
        <f aca="false">E716*F716*(IF('Ввод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6" s="2563" t="n">
        <f aca="false">дома!G1032*(IF('Ввод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7" customFormat="false" ht="14.5" hidden="false" customHeight="false" outlineLevel="0" collapsed="false">
      <c r="A717" s="2561" t="str">
        <f aca="false">дома!A1033</f>
        <v>Стойка каркаса по фронтону, 2 этаж, односкатная кровля, №16</v>
      </c>
      <c r="B717" s="2562" t="str">
        <f aca="false">дома!B1033</f>
        <v>м.п.</v>
      </c>
      <c r="C717" s="2563" t="n">
        <f aca="false">дома!C1033</f>
        <v>0.4</v>
      </c>
      <c r="D717" s="2563" t="n">
        <f aca="false">дома!D1033</f>
        <v>0.05</v>
      </c>
      <c r="E717" s="2563" t="n">
        <f aca="false">дома!E1033</f>
        <v>0</v>
      </c>
      <c r="F717" s="2563" t="n">
        <f aca="false">дома!F1033</f>
        <v>0</v>
      </c>
      <c r="G717" s="2563" t="n">
        <f aca="false">E717*F717*(IF('Ввод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7" s="2563" t="n">
        <f aca="false">дома!G1033*(IF('Ввод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8" customFormat="false" ht="14.5" hidden="false" customHeight="false" outlineLevel="0" collapsed="false">
      <c r="A718" s="2561" t="str">
        <f aca="false">дома!A1034</f>
        <v>Стойка каркаса по фронтону, 2 этаж, односкатная кровля, №17</v>
      </c>
      <c r="B718" s="2562" t="str">
        <f aca="false">дома!B1034</f>
        <v>м.п.</v>
      </c>
      <c r="C718" s="2563" t="n">
        <f aca="false">дома!C1034</f>
        <v>0.4</v>
      </c>
      <c r="D718" s="2563" t="n">
        <f aca="false">дома!D1034</f>
        <v>0.05</v>
      </c>
      <c r="E718" s="2563" t="n">
        <f aca="false">дома!E1034</f>
        <v>0</v>
      </c>
      <c r="F718" s="2563" t="n">
        <f aca="false">дома!F1034</f>
        <v>0</v>
      </c>
      <c r="G718" s="2563" t="n">
        <f aca="false">E718*F718*(IF('Ввод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8" s="2563" t="n">
        <f aca="false">дома!G1034*(IF('Ввод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19" customFormat="false" ht="14.5" hidden="false" customHeight="false" outlineLevel="0" collapsed="false">
      <c r="A719" s="2561" t="str">
        <f aca="false">дома!A1035</f>
        <v>Стойка каркаса по фронтону, 2 этаж, двускатная кровля, №1</v>
      </c>
      <c r="B719" s="2562" t="str">
        <f aca="false">дома!B1035</f>
        <v>м.п.</v>
      </c>
      <c r="C719" s="2563" t="n">
        <f aca="false">дома!C1035</f>
        <v>0.4</v>
      </c>
      <c r="D719" s="2563" t="n">
        <f aca="false">дома!D1035</f>
        <v>0.05</v>
      </c>
      <c r="E719" s="2563" t="n">
        <f aca="false">дома!E1035</f>
        <v>0</v>
      </c>
      <c r="F719" s="2563" t="n">
        <f aca="false">дома!F1035</f>
        <v>0</v>
      </c>
      <c r="G719" s="2563" t="n">
        <f aca="false">E719*F719*(IF('Ввод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19" s="2563" t="n">
        <f aca="false">дома!G1035*(IF('Ввод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0" customFormat="false" ht="14.5" hidden="false" customHeight="false" outlineLevel="0" collapsed="false">
      <c r="A720" s="2561" t="str">
        <f aca="false">дома!A1036</f>
        <v>Стойка каркаса по фронтону, 2 этаж, двускатная кровля, №2</v>
      </c>
      <c r="B720" s="2562" t="str">
        <f aca="false">дома!B1036</f>
        <v>м.п.</v>
      </c>
      <c r="C720" s="2563" t="n">
        <f aca="false">дома!C1036</f>
        <v>0.4</v>
      </c>
      <c r="D720" s="2563" t="n">
        <f aca="false">дома!D1036</f>
        <v>0.05</v>
      </c>
      <c r="E720" s="2563" t="n">
        <f aca="false">дома!E1036</f>
        <v>0</v>
      </c>
      <c r="F720" s="2563" t="n">
        <f aca="false">дома!F1036</f>
        <v>0</v>
      </c>
      <c r="G720" s="2563" t="n">
        <f aca="false">E720*F720*(IF('Ввод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0" s="2563" t="n">
        <f aca="false">дома!G1036*(IF('Ввод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1" customFormat="false" ht="14.5" hidden="false" customHeight="false" outlineLevel="0" collapsed="false">
      <c r="A721" s="2561" t="str">
        <f aca="false">дома!A1037</f>
        <v>Стойка каркаса по фронтону, 2 этаж, двускатная кровля, №3</v>
      </c>
      <c r="B721" s="2562" t="str">
        <f aca="false">дома!B1037</f>
        <v>м.п.</v>
      </c>
      <c r="C721" s="2563" t="n">
        <f aca="false">дома!C1037</f>
        <v>0.4</v>
      </c>
      <c r="D721" s="2563" t="n">
        <f aca="false">дома!D1037</f>
        <v>0.05</v>
      </c>
      <c r="E721" s="2563" t="n">
        <f aca="false">дома!E1037</f>
        <v>0</v>
      </c>
      <c r="F721" s="2563" t="n">
        <f aca="false">дома!F1037</f>
        <v>0</v>
      </c>
      <c r="G721" s="2563" t="n">
        <f aca="false">E721*F721*(IF('Ввод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1" s="2563" t="n">
        <f aca="false">дома!G1037*(IF('Ввод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2" customFormat="false" ht="14.5" hidden="false" customHeight="false" outlineLevel="0" collapsed="false">
      <c r="A722" s="2561" t="str">
        <f aca="false">дома!A1038</f>
        <v>Стойка каркаса по фронтону, 2 этаж, двускатная кровля, №4</v>
      </c>
      <c r="B722" s="2562" t="str">
        <f aca="false">дома!B1038</f>
        <v>м.п.</v>
      </c>
      <c r="C722" s="2563" t="n">
        <f aca="false">дома!C1038</f>
        <v>0.4</v>
      </c>
      <c r="D722" s="2563" t="n">
        <f aca="false">дома!D1038</f>
        <v>0.05</v>
      </c>
      <c r="E722" s="2563" t="n">
        <f aca="false">дома!E1038</f>
        <v>0</v>
      </c>
      <c r="F722" s="2563" t="n">
        <f aca="false">дома!F1038</f>
        <v>0</v>
      </c>
      <c r="G722" s="2563" t="n">
        <f aca="false">E722*F722*(IF('Ввод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2" s="2563" t="n">
        <f aca="false">дома!G1038*(IF('Ввод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3" customFormat="false" ht="14.5" hidden="false" customHeight="false" outlineLevel="0" collapsed="false">
      <c r="A723" s="2561" t="str">
        <f aca="false">дома!A1039</f>
        <v>Стойка каркаса по фронтону, 2 этаж, двускатная кровля, №5</v>
      </c>
      <c r="B723" s="2562" t="str">
        <f aca="false">дома!B1039</f>
        <v>м.п.</v>
      </c>
      <c r="C723" s="2563" t="n">
        <f aca="false">дома!C1039</f>
        <v>0.4</v>
      </c>
      <c r="D723" s="2563" t="n">
        <f aca="false">дома!D1039</f>
        <v>0.05</v>
      </c>
      <c r="E723" s="2563" t="n">
        <f aca="false">дома!E1039</f>
        <v>0</v>
      </c>
      <c r="F723" s="2563" t="n">
        <f aca="false">дома!F1039</f>
        <v>0</v>
      </c>
      <c r="G723" s="2563" t="n">
        <f aca="false">E723*F723*(IF('Ввод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3" s="2563" t="n">
        <f aca="false">дома!G1039*(IF('Ввод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4" customFormat="false" ht="14.5" hidden="false" customHeight="false" outlineLevel="0" collapsed="false">
      <c r="A724" s="2561" t="str">
        <f aca="false">дома!A1040</f>
        <v>Стойка каркаса по фронтону, 2 этаж, двускатная кровля, №6</v>
      </c>
      <c r="B724" s="2562" t="str">
        <f aca="false">дома!B1040</f>
        <v>м.п.</v>
      </c>
      <c r="C724" s="2563" t="n">
        <f aca="false">дома!C1040</f>
        <v>0.4</v>
      </c>
      <c r="D724" s="2563" t="n">
        <f aca="false">дома!D1040</f>
        <v>0.05</v>
      </c>
      <c r="E724" s="2563" t="n">
        <f aca="false">дома!E1040</f>
        <v>0</v>
      </c>
      <c r="F724" s="2563" t="n">
        <f aca="false">дома!F1040</f>
        <v>0</v>
      </c>
      <c r="G724" s="2563" t="n">
        <f aca="false">E724*F724*(IF('Ввод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4" s="2563" t="n">
        <f aca="false">дома!G1040*(IF('Ввод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5" customFormat="false" ht="14.5" hidden="false" customHeight="false" outlineLevel="0" collapsed="false">
      <c r="A725" s="2561" t="str">
        <f aca="false">дома!A1041</f>
        <v>Стойка каркаса по фронтону, 2 этаж, двускатная кровля, №7</v>
      </c>
      <c r="B725" s="2562" t="str">
        <f aca="false">дома!B1041</f>
        <v>м.п.</v>
      </c>
      <c r="C725" s="2563" t="n">
        <f aca="false">дома!C1041</f>
        <v>0.4</v>
      </c>
      <c r="D725" s="2563" t="n">
        <f aca="false">дома!D1041</f>
        <v>0.05</v>
      </c>
      <c r="E725" s="2563" t="n">
        <f aca="false">дома!E1041</f>
        <v>0</v>
      </c>
      <c r="F725" s="2563" t="n">
        <f aca="false">дома!F1041</f>
        <v>0</v>
      </c>
      <c r="G725" s="2563" t="n">
        <f aca="false">E725*F725*(IF('Ввод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5" s="2563" t="n">
        <f aca="false">дома!G1041*(IF('Ввод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6" customFormat="false" ht="14.5" hidden="false" customHeight="false" outlineLevel="0" collapsed="false">
      <c r="A726" s="2561" t="str">
        <f aca="false">дома!A1042</f>
        <v>Стойка каркаса по фронтону, 2 этаж, двускатная кровля, №8</v>
      </c>
      <c r="B726" s="2562" t="str">
        <f aca="false">дома!B1042</f>
        <v>м.п.</v>
      </c>
      <c r="C726" s="2563" t="n">
        <f aca="false">дома!C1042</f>
        <v>0.4</v>
      </c>
      <c r="D726" s="2563" t="n">
        <f aca="false">дома!D1042</f>
        <v>0.05</v>
      </c>
      <c r="E726" s="2563" t="n">
        <f aca="false">дома!E1042</f>
        <v>0</v>
      </c>
      <c r="F726" s="2563" t="n">
        <f aca="false">дома!F1042</f>
        <v>0</v>
      </c>
      <c r="G726" s="2563" t="n">
        <f aca="false">E726*F726*(IF('Ввод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6" s="2563" t="n">
        <f aca="false">дома!G1042*(IF('Ввод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7" customFormat="false" ht="14.5" hidden="false" customHeight="false" outlineLevel="0" collapsed="false">
      <c r="A727" s="2561" t="str">
        <f aca="false">дома!A1043</f>
        <v>Стойка каркаса по фронтону, 2 этаж, двускатная кровля, №9</v>
      </c>
      <c r="B727" s="2562" t="str">
        <f aca="false">дома!B1043</f>
        <v>м.п.</v>
      </c>
      <c r="C727" s="2563" t="n">
        <f aca="false">дома!C1043</f>
        <v>0.4</v>
      </c>
      <c r="D727" s="2563" t="n">
        <f aca="false">дома!D1043</f>
        <v>0.05</v>
      </c>
      <c r="E727" s="2563" t="n">
        <f aca="false">дома!E1043</f>
        <v>0</v>
      </c>
      <c r="F727" s="2563" t="n">
        <f aca="false">дома!F1043</f>
        <v>0</v>
      </c>
      <c r="G727" s="2563" t="n">
        <f aca="false">E727*F727*(IF('Ввод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7" s="2563" t="n">
        <f aca="false">дома!G1043*(IF('Ввод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8" customFormat="false" ht="14.5" hidden="false" customHeight="false" outlineLevel="0" collapsed="false">
      <c r="A728" s="2561" t="str">
        <f aca="false">дома!A1044</f>
        <v>Стойка каркаса по фронтону, 2 этаж, двускатная кровля, №10</v>
      </c>
      <c r="B728" s="2562" t="str">
        <f aca="false">дома!B1044</f>
        <v>м.п.</v>
      </c>
      <c r="C728" s="2563" t="n">
        <f aca="false">дома!C1044</f>
        <v>0.4</v>
      </c>
      <c r="D728" s="2563" t="n">
        <f aca="false">дома!D1044</f>
        <v>0.05</v>
      </c>
      <c r="E728" s="2563" t="n">
        <f aca="false">дома!E1044</f>
        <v>0</v>
      </c>
      <c r="F728" s="2563" t="n">
        <f aca="false">дома!F1044</f>
        <v>0</v>
      </c>
      <c r="G728" s="2563" t="n">
        <f aca="false">E728*F728*(IF('Ввод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8" s="2563" t="n">
        <f aca="false">дома!G1044*(IF('Ввод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29" customFormat="false" ht="14.5" hidden="false" customHeight="false" outlineLevel="0" collapsed="false">
      <c r="A729" s="2561" t="str">
        <f aca="false">дома!A1045</f>
        <v>Стойка каркаса по фронтону, 2 этаж, двускатная кровля, №11</v>
      </c>
      <c r="B729" s="2562" t="str">
        <f aca="false">дома!B1045</f>
        <v>м.п.</v>
      </c>
      <c r="C729" s="2563" t="n">
        <f aca="false">дома!C1045</f>
        <v>0.4</v>
      </c>
      <c r="D729" s="2563" t="n">
        <f aca="false">дома!D1045</f>
        <v>0.05</v>
      </c>
      <c r="E729" s="2563" t="n">
        <f aca="false">дома!E1045</f>
        <v>0</v>
      </c>
      <c r="F729" s="2563" t="n">
        <f aca="false">дома!F1045</f>
        <v>0</v>
      </c>
      <c r="G729" s="2563" t="n">
        <f aca="false">E729*F729*(IF('Ввод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29" s="2563" t="n">
        <f aca="false">дома!G1045*(IF('Ввод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0" customFormat="false" ht="14.5" hidden="false" customHeight="false" outlineLevel="0" collapsed="false">
      <c r="A730" s="2561" t="str">
        <f aca="false">дома!A1046</f>
        <v>Стойка каркаса по фронтону, 2 этаж, двускатная кровля, №12</v>
      </c>
      <c r="B730" s="2562" t="str">
        <f aca="false">дома!B1046</f>
        <v>м.п.</v>
      </c>
      <c r="C730" s="2563" t="n">
        <f aca="false">дома!C1046</f>
        <v>0.4</v>
      </c>
      <c r="D730" s="2563" t="n">
        <f aca="false">дома!D1046</f>
        <v>0.05</v>
      </c>
      <c r="E730" s="2563" t="n">
        <f aca="false">дома!E1046</f>
        <v>0</v>
      </c>
      <c r="F730" s="2563" t="n">
        <f aca="false">дома!F1046</f>
        <v>0</v>
      </c>
      <c r="G730" s="2563" t="n">
        <f aca="false">E730*F730*(IF('Ввод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0" s="2563" t="n">
        <f aca="false">дома!G1046*(IF('Ввод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1" customFormat="false" ht="14.5" hidden="false" customHeight="false" outlineLevel="0" collapsed="false">
      <c r="A731" s="2561" t="str">
        <f aca="false">дома!A1047</f>
        <v>Стойка каркаса по фронтону, 2 этаж, двускатная кровля, №13</v>
      </c>
      <c r="B731" s="2562" t="str">
        <f aca="false">дома!B1047</f>
        <v>м.п.</v>
      </c>
      <c r="C731" s="2563" t="n">
        <f aca="false">дома!C1047</f>
        <v>0.4</v>
      </c>
      <c r="D731" s="2563" t="n">
        <f aca="false">дома!D1047</f>
        <v>0.05</v>
      </c>
      <c r="E731" s="2563" t="n">
        <f aca="false">дома!E1047</f>
        <v>0</v>
      </c>
      <c r="F731" s="2563" t="n">
        <f aca="false">дома!F1047</f>
        <v>0</v>
      </c>
      <c r="G731" s="2563" t="n">
        <f aca="false">E731*F731*(IF('Ввод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1" s="2563" t="n">
        <f aca="false">дома!G1047*(IF('Ввод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2" customFormat="false" ht="14.5" hidden="false" customHeight="false" outlineLevel="0" collapsed="false">
      <c r="A732" s="2561" t="str">
        <f aca="false">дома!A1048</f>
        <v>Стойка каркаса по фронтону, 2 этаж, двускатная кровля, №14</v>
      </c>
      <c r="B732" s="2562" t="str">
        <f aca="false">дома!B1048</f>
        <v>м.п.</v>
      </c>
      <c r="C732" s="2563" t="n">
        <f aca="false">дома!C1048</f>
        <v>0.4</v>
      </c>
      <c r="D732" s="2563" t="n">
        <f aca="false">дома!D1048</f>
        <v>0.05</v>
      </c>
      <c r="E732" s="2563" t="n">
        <f aca="false">дома!E1048</f>
        <v>0</v>
      </c>
      <c r="F732" s="2563" t="n">
        <f aca="false">дома!F1048</f>
        <v>0</v>
      </c>
      <c r="G732" s="2563" t="n">
        <f aca="false">E732*F732*(IF('Ввод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2" s="2563" t="n">
        <f aca="false">дома!G1048*(IF('Ввод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3" customFormat="false" ht="14.5" hidden="false" customHeight="false" outlineLevel="0" collapsed="false">
      <c r="A733" s="2561" t="str">
        <f aca="false">дома!A1049</f>
        <v>Стойка каркаса по фронтону, 2 этаж, двускатная кровля, №15</v>
      </c>
      <c r="B733" s="2562" t="str">
        <f aca="false">дома!B1049</f>
        <v>м.п.</v>
      </c>
      <c r="C733" s="2563" t="n">
        <f aca="false">дома!C1049</f>
        <v>0.4</v>
      </c>
      <c r="D733" s="2563" t="n">
        <f aca="false">дома!D1049</f>
        <v>0.05</v>
      </c>
      <c r="E733" s="2563" t="n">
        <f aca="false">дома!E1049</f>
        <v>0</v>
      </c>
      <c r="F733" s="2563" t="n">
        <f aca="false">дома!F1049</f>
        <v>0</v>
      </c>
      <c r="G733" s="2563" t="n">
        <f aca="false">E733*F733*(IF('Ввод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3" s="2563" t="n">
        <f aca="false">дома!G1049*(IF('Ввод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4" customFormat="false" ht="14.5" hidden="false" customHeight="false" outlineLevel="0" collapsed="false">
      <c r="A734" s="2561" t="str">
        <f aca="false">дома!A1050</f>
        <v>Стойка каркаса по фронтону, 2 этаж, двускатная кровля, №16</v>
      </c>
      <c r="B734" s="2562" t="str">
        <f aca="false">дома!B1050</f>
        <v>м.п.</v>
      </c>
      <c r="C734" s="2563" t="n">
        <f aca="false">дома!C1050</f>
        <v>0.4</v>
      </c>
      <c r="D734" s="2563" t="n">
        <f aca="false">дома!D1050</f>
        <v>0.05</v>
      </c>
      <c r="E734" s="2563" t="n">
        <f aca="false">дома!E1050</f>
        <v>0</v>
      </c>
      <c r="F734" s="2563" t="n">
        <f aca="false">дома!F1050</f>
        <v>0</v>
      </c>
      <c r="G734" s="2563" t="n">
        <f aca="false">E734*F734*(IF('Ввод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4" s="2563" t="n">
        <f aca="false">дома!G1050*(IF('Ввод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5" customFormat="false" ht="14.5" hidden="false" customHeight="false" outlineLevel="0" collapsed="false">
      <c r="A735" s="2561" t="str">
        <f aca="false">дома!A1051</f>
        <v>Стойка каркаса по фронтону, 2 этаж, двускатная кровля, №17</v>
      </c>
      <c r="B735" s="2562" t="str">
        <f aca="false">дома!B1051</f>
        <v>м.п.</v>
      </c>
      <c r="C735" s="2563" t="n">
        <f aca="false">дома!C1051</f>
        <v>0.4</v>
      </c>
      <c r="D735" s="2563" t="n">
        <f aca="false">дома!D1051</f>
        <v>0.05</v>
      </c>
      <c r="E735" s="2563" t="n">
        <f aca="false">дома!E1051</f>
        <v>0</v>
      </c>
      <c r="F735" s="2563" t="n">
        <f aca="false">дома!F1051</f>
        <v>0</v>
      </c>
      <c r="G735" s="2563" t="n">
        <f aca="false">E735*F735*(IF('Ввод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35" s="2563" t="n">
        <f aca="false">дома!G1051*(IF('Ввод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36" customFormat="false" ht="21" hidden="false" customHeight="false" outlineLevel="0" collapsed="false">
      <c r="A736" s="2567" t="s">
        <v>4177</v>
      </c>
      <c r="B736" s="2567"/>
      <c r="C736" s="2567"/>
      <c r="D736" s="2567"/>
      <c r="E736" s="2567"/>
      <c r="F736" s="2567"/>
      <c r="G736" s="2568"/>
      <c r="H736" s="2564" t="n">
        <f aca="false">SUM(H737:H739)</f>
        <v>0</v>
      </c>
    </row>
    <row r="737" customFormat="false" ht="14.5" hidden="false" customHeight="false" outlineLevel="0" collapsed="false">
      <c r="A737" s="2561" t="str">
        <f aca="false">дома!A591</f>
        <v>Стойка каркаса 1 этаж</v>
      </c>
      <c r="B737" s="2562" t="str">
        <f aca="false">дома!B591</f>
        <v>м.п.</v>
      </c>
      <c r="C737" s="2563" t="n">
        <f aca="false">дома!C591</f>
        <v>0.15</v>
      </c>
      <c r="D737" s="2563" t="n">
        <f aca="false">дома!D591</f>
        <v>0.05</v>
      </c>
      <c r="E737" s="2563" t="n">
        <f aca="false">дома!E591</f>
        <v>3.2</v>
      </c>
      <c r="F737" s="2563" t="n">
        <f aca="false">дома!F591</f>
        <v>0</v>
      </c>
      <c r="G737" s="2563" t="n">
        <f aca="false">E737*F737*IF('Ввод данных'!$A$8=связи1!$A$150,1,0)</f>
        <v>0</v>
      </c>
      <c r="H737" s="2563" t="n">
        <f aca="false">дома!G591*IF('Ввод данных'!$A$8=связи1!$A$150,1,0)</f>
        <v>0</v>
      </c>
    </row>
    <row r="738" customFormat="false" ht="14.5" hidden="false" customHeight="false" outlineLevel="0" collapsed="false">
      <c r="A738" s="2561" t="str">
        <f aca="false">дома!A592</f>
        <v>Обвязка нижняя/верхняя стен каркаса 1 этаж</v>
      </c>
      <c r="B738" s="2562" t="str">
        <f aca="false">дома!B592</f>
        <v>м.п.</v>
      </c>
      <c r="C738" s="2563" t="n">
        <f aca="false">дома!C592</f>
        <v>0.15</v>
      </c>
      <c r="D738" s="2563" t="n">
        <f aca="false">дома!D592</f>
        <v>0.05</v>
      </c>
      <c r="E738" s="2563" t="n">
        <f aca="false">дома!E592</f>
        <v>0</v>
      </c>
      <c r="F738" s="2563" t="n">
        <f aca="false">дома!F592</f>
        <v>0</v>
      </c>
      <c r="G738" s="2563" t="n">
        <f aca="false">E738*F738*IF('Ввод данных'!$A$8=связи1!$A$150,1,0)</f>
        <v>0</v>
      </c>
      <c r="H738" s="2563" t="n">
        <f aca="false">дома!G592*IF('Ввод данных'!$A$8=связи1!$A$150,1,0)</f>
        <v>0</v>
      </c>
    </row>
    <row r="739" customFormat="false" ht="14.5" hidden="false" customHeight="false" outlineLevel="0" collapsed="false">
      <c r="A739" s="2561" t="str">
        <f aca="false">дома!A593</f>
        <v>Ригель каркаса, 1 этаж</v>
      </c>
      <c r="B739" s="2562" t="str">
        <f aca="false">дома!B593</f>
        <v>м.п.</v>
      </c>
      <c r="C739" s="2563" t="n">
        <f aca="false">дома!C593</f>
        <v>0.15</v>
      </c>
      <c r="D739" s="2563" t="n">
        <f aca="false">дома!D593</f>
        <v>0.05</v>
      </c>
      <c r="E739" s="2563" t="n">
        <f aca="false">дома!E593</f>
        <v>0</v>
      </c>
      <c r="F739" s="2563" t="n">
        <f aca="false">дома!F593</f>
        <v>0</v>
      </c>
      <c r="G739" s="2563" t="n">
        <f aca="false">E739*F739*IF('Ввод данных'!$A$8=связи1!$A$150,1,0)</f>
        <v>0</v>
      </c>
      <c r="H739" s="2563" t="n">
        <f aca="false">дома!G593*IF('Ввод данных'!$A$8=связи1!$A$150,1,0)</f>
        <v>0</v>
      </c>
    </row>
    <row r="740" customFormat="false" ht="21" hidden="false" customHeight="false" outlineLevel="0" collapsed="false">
      <c r="A740" s="2567" t="s">
        <v>4178</v>
      </c>
      <c r="B740" s="2567"/>
      <c r="C740" s="2567"/>
      <c r="D740" s="2567"/>
      <c r="E740" s="2567"/>
      <c r="F740" s="2567"/>
      <c r="G740" s="2569"/>
      <c r="H740" s="2570" t="n">
        <f aca="false">SUM(H741:H743)</f>
        <v>0</v>
      </c>
    </row>
    <row r="741" customFormat="false" ht="14.5" hidden="false" customHeight="false" outlineLevel="0" collapsed="false">
      <c r="A741" s="2561" t="str">
        <f aca="false">дома!A594</f>
        <v>Стойка каркаса 1 этаж</v>
      </c>
      <c r="B741" s="2562" t="str">
        <f aca="false">дома!B594</f>
        <v>м.п.</v>
      </c>
      <c r="C741" s="2561" t="n">
        <f aca="false">дома!C594</f>
        <v>0.15</v>
      </c>
      <c r="D741" s="2561" t="n">
        <f aca="false">дома!D594</f>
        <v>0.05</v>
      </c>
      <c r="E741" s="2561" t="n">
        <f aca="false">дома!E594</f>
        <v>3.2</v>
      </c>
      <c r="F741" s="2561" t="n">
        <f aca="false">дома!F594</f>
        <v>0</v>
      </c>
      <c r="G741" s="2563" t="n">
        <f aca="false">E741*F741*(IF('Ввод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41" s="2563" t="n">
        <f aca="false">дома!G594*(IF('Ввод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42" customFormat="false" ht="14.5" hidden="false" customHeight="false" outlineLevel="0" collapsed="false">
      <c r="A742" s="2561" t="str">
        <f aca="false">дома!A595</f>
        <v>Обвязка нижняя/верхняя стен каркаса 1 этаж</v>
      </c>
      <c r="B742" s="2562" t="str">
        <f aca="false">дома!B595</f>
        <v>м.п.</v>
      </c>
      <c r="C742" s="2561" t="n">
        <f aca="false">дома!C595</f>
        <v>0.15</v>
      </c>
      <c r="D742" s="2561" t="n">
        <f aca="false">дома!D595</f>
        <v>0.05</v>
      </c>
      <c r="E742" s="2561" t="n">
        <f aca="false">дома!E595</f>
        <v>0</v>
      </c>
      <c r="F742" s="2561" t="n">
        <f aca="false">дома!F595</f>
        <v>0</v>
      </c>
      <c r="G742" s="2563" t="n">
        <f aca="false">E742*F742*(IF('Ввод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42" s="2563" t="n">
        <f aca="false">дома!G595*(IF('Ввод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43" customFormat="false" ht="14.5" hidden="false" customHeight="false" outlineLevel="0" collapsed="false">
      <c r="A743" s="2561" t="str">
        <f aca="false">дома!A596</f>
        <v>Ригель каркаса, 1 этаж</v>
      </c>
      <c r="B743" s="2562" t="str">
        <f aca="false">дома!B596</f>
        <v>м.п.</v>
      </c>
      <c r="C743" s="2561" t="n">
        <f aca="false">дома!C596</f>
        <v>0.15</v>
      </c>
      <c r="D743" s="2561" t="n">
        <f aca="false">дома!D596</f>
        <v>0.05</v>
      </c>
      <c r="E743" s="2561" t="n">
        <f aca="false">дома!E596</f>
        <v>0</v>
      </c>
      <c r="F743" s="2561" t="n">
        <f aca="false">дома!F596</f>
        <v>0</v>
      </c>
      <c r="G743" s="2563" t="n">
        <f aca="false">E743*F743*(IF('Ввод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  <c r="H743" s="2563" t="n">
        <f aca="false">дома!G596*(IF('Ввод данных'!$A$8=связи1!$A$150,1,0)+IF('Ввод данных'!$A$8=связи1!$A$169,1,0)+IF('Ввод данных'!$A$8=связи1!$A$177,1,0)+IF('Ввод данных'!$A$8=связи1!$A$184,1,0)+IF('Ввод данных'!$A$8=связи1!$A$185,1,0))</f>
        <v>0</v>
      </c>
    </row>
    <row r="744" customFormat="false" ht="32.25" hidden="false" customHeight="true" outlineLevel="0" collapsed="false">
      <c r="A744" s="2571" t="s">
        <v>1093</v>
      </c>
      <c r="B744" s="2572" t="s">
        <v>208</v>
      </c>
      <c r="C744" s="2572" t="s">
        <v>273</v>
      </c>
      <c r="D744" s="2572" t="s">
        <v>257</v>
      </c>
      <c r="E744" s="2573" t="s">
        <v>4179</v>
      </c>
      <c r="F744" s="2574" t="s">
        <v>4166</v>
      </c>
      <c r="G744" s="2574" t="s">
        <v>4180</v>
      </c>
      <c r="H744" s="2575" t="n">
        <f aca="false">SUM(H745:H747)</f>
        <v>0</v>
      </c>
    </row>
    <row r="745" customFormat="false" ht="15.5" hidden="false" customHeight="false" outlineLevel="0" collapsed="false">
      <c r="A745" s="2561" t="s">
        <v>4181</v>
      </c>
      <c r="B745" s="2576" t="s">
        <v>4182</v>
      </c>
      <c r="C745" s="2316" t="n">
        <f aca="false">C6</f>
        <v>0.15</v>
      </c>
      <c r="D745" s="2316" t="n">
        <f aca="false">D6</f>
        <v>0.05</v>
      </c>
      <c r="E745" s="2316" t="n">
        <f aca="false">F745/6</f>
        <v>0</v>
      </c>
      <c r="F745" s="2563" t="n">
        <f aca="false">SUM(G6:G12)+SUM(G18:G202)+SUM(G211:G220)+SUM(G226:G399)+SUM(G409:G448)+SUM(G450:G489)+SUM(G491:G530)+SUM(G532:G571)+SUM(G573:G612)+SUM(G614:G653)+SUM(G655:G694)+SUM(G696:G735)+SUM(G737:G739)+SUM(G741:G743)</f>
        <v>0</v>
      </c>
      <c r="G745" s="2563" t="n">
        <f aca="false">SUM(H6:H12)+SUM(H18:H202)+SUM(H211:H220)+SUM(H226:H399)+SUM(H409:H448)+SUM(H450:H489)+SUM(H491:H530)+SUM(H532:H571)+SUM(H573:H612)+SUM(H614:H653)+SUM(H655:H694)+SUM(H696:H735)+SUM(H737:H739)+SUM(H741:H743)</f>
        <v>0</v>
      </c>
      <c r="H745" s="2575" t="n">
        <f aca="false">G745</f>
        <v>0</v>
      </c>
    </row>
    <row r="746" customFormat="false" ht="15.5" hidden="false" customHeight="false" outlineLevel="0" collapsed="false">
      <c r="A746" s="2577" t="s">
        <v>4183</v>
      </c>
      <c r="B746" s="2576" t="s">
        <v>4182</v>
      </c>
      <c r="C746" s="2316" t="n">
        <f aca="false">C13</f>
        <v>0.12</v>
      </c>
      <c r="D746" s="2316" t="n">
        <f aca="false">D13</f>
        <v>0.05</v>
      </c>
      <c r="E746" s="2316" t="n">
        <f aca="false">F746/6</f>
        <v>0</v>
      </c>
      <c r="F746" s="2563" t="n">
        <f aca="false">SUM(G13:G15)+SUM(G221:G223)+SUM(G203:G209)+SUM(G400:G407)</f>
        <v>0</v>
      </c>
      <c r="G746" s="2316" t="n">
        <f aca="false">SUM(H13:H15)+SUM(H221:H223)+SUM(H203:H209)+SUM(H400:H407)</f>
        <v>0</v>
      </c>
      <c r="H746" s="2578" t="n">
        <f aca="false">G746</f>
        <v>0</v>
      </c>
    </row>
    <row r="747" customFormat="false" ht="15.5" hidden="false" customHeight="false" outlineLevel="0" collapsed="false">
      <c r="A747" s="2577" t="s">
        <v>4184</v>
      </c>
      <c r="B747" s="2576" t="s">
        <v>4182</v>
      </c>
      <c r="C747" s="2316" t="n">
        <f aca="false">C16</f>
        <v>0.17</v>
      </c>
      <c r="D747" s="2316" t="n">
        <f aca="false">D16</f>
        <v>0.05</v>
      </c>
      <c r="E747" s="2316" t="n">
        <f aca="false">F747/6</f>
        <v>0</v>
      </c>
      <c r="F747" s="2563" t="n">
        <f aca="false">SUM(G16:G17)+SUM(G224:G225)</f>
        <v>0</v>
      </c>
      <c r="G747" s="2316" t="n">
        <f aca="false">SUM(H16:H17)+SUM(H224:H225)</f>
        <v>0</v>
      </c>
      <c r="H747" s="2578" t="n">
        <f aca="false">G747</f>
        <v>0</v>
      </c>
    </row>
    <row r="748" customFormat="false" ht="21" hidden="false" customHeight="false" outlineLevel="0" collapsed="false">
      <c r="A748" s="2558" t="s">
        <v>4185</v>
      </c>
      <c r="B748" s="2558"/>
      <c r="C748" s="2558"/>
      <c r="D748" s="2558"/>
      <c r="E748" s="2558"/>
      <c r="F748" s="2558"/>
      <c r="G748" s="2559"/>
      <c r="H748" s="2560" t="n">
        <f aca="false">H749</f>
        <v>0</v>
      </c>
    </row>
    <row r="749" s="2582" customFormat="true" ht="15.5" hidden="false" customHeight="false" outlineLevel="0" collapsed="false">
      <c r="A749" s="2579" t="s">
        <v>1093</v>
      </c>
      <c r="B749" s="2579" t="s">
        <v>208</v>
      </c>
      <c r="C749" s="2579" t="s">
        <v>293</v>
      </c>
      <c r="D749" s="2579" t="s">
        <v>1800</v>
      </c>
      <c r="E749" s="2579" t="s">
        <v>853</v>
      </c>
      <c r="F749" s="2579" t="s">
        <v>1698</v>
      </c>
      <c r="G749" s="2580" t="s">
        <v>1802</v>
      </c>
      <c r="H749" s="2581" t="n">
        <f aca="false">SUM(H750:H784)</f>
        <v>0</v>
      </c>
    </row>
    <row r="750" customFormat="false" ht="14.5" hidden="false" customHeight="false" outlineLevel="0" collapsed="false">
      <c r="A750" s="2577" t="str">
        <f aca="false">дома!A1531</f>
        <v>Газоблок D400 200х100х390</v>
      </c>
      <c r="B750" s="2583" t="str">
        <f aca="false">дома!B1531</f>
        <v>м3</v>
      </c>
      <c r="C750" s="2577" t="n">
        <f aca="false">дома!D1531</f>
        <v>200</v>
      </c>
      <c r="D750" s="2577" t="n">
        <f aca="false">дома!E1531</f>
        <v>390</v>
      </c>
      <c r="E750" s="2577" t="n">
        <f aca="false">дома!F1531</f>
        <v>100</v>
      </c>
      <c r="F750" s="2316" t="n">
        <f aca="false">дома!C1531</f>
        <v>-3.12</v>
      </c>
      <c r="G750" s="2577" t="n">
        <f aca="false">H750</f>
        <v>0</v>
      </c>
      <c r="H750" s="2584" t="n">
        <f aca="false">дома!G1531*(IF('Ввод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1" customFormat="false" ht="14.5" hidden="false" customHeight="false" outlineLevel="0" collapsed="false">
      <c r="A751" s="2577" t="str">
        <f aca="false">дома!A1532</f>
        <v>Газоблок D500 200х100х390</v>
      </c>
      <c r="B751" s="2583" t="str">
        <f aca="false">дома!B1532</f>
        <v>м3</v>
      </c>
      <c r="C751" s="2577" t="n">
        <f aca="false">дома!D1532</f>
        <v>200</v>
      </c>
      <c r="D751" s="2577" t="n">
        <f aca="false">дома!E1532</f>
        <v>390</v>
      </c>
      <c r="E751" s="2577" t="n">
        <f aca="false">дома!F1532</f>
        <v>200</v>
      </c>
      <c r="F751" s="2316" t="n">
        <f aca="false">дома!C1532</f>
        <v>0</v>
      </c>
      <c r="G751" s="2577" t="n">
        <f aca="false">H751</f>
        <v>0</v>
      </c>
      <c r="H751" s="2584" t="n">
        <f aca="false">дома!G1532*(IF('Ввод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2" customFormat="false" ht="14.5" hidden="false" customHeight="false" outlineLevel="0" collapsed="false">
      <c r="A752" s="2577" t="str">
        <f aca="false">дома!A1533</f>
        <v>Газоблок D400 200х400х390</v>
      </c>
      <c r="B752" s="2583" t="str">
        <f aca="false">дома!B1533</f>
        <v>м3</v>
      </c>
      <c r="C752" s="2577" t="n">
        <f aca="false">дома!D1533</f>
        <v>200</v>
      </c>
      <c r="D752" s="2577" t="n">
        <f aca="false">дома!E1533</f>
        <v>390</v>
      </c>
      <c r="E752" s="2577" t="n">
        <f aca="false">дома!F1533</f>
        <v>400</v>
      </c>
      <c r="F752" s="2316" t="n">
        <f aca="false">дома!C1533</f>
        <v>0</v>
      </c>
      <c r="G752" s="2577" t="n">
        <f aca="false">H752</f>
        <v>0</v>
      </c>
      <c r="H752" s="2584" t="n">
        <f aca="false">дома!G1533*(IF('Ввод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3" customFormat="false" ht="14.5" hidden="false" customHeight="false" outlineLevel="0" collapsed="false">
      <c r="A753" s="2577" t="str">
        <f aca="false">дома!A1534</f>
        <v>Газоблокпоясной  D400 200х100х390</v>
      </c>
      <c r="B753" s="2583" t="str">
        <f aca="false">дома!B1534</f>
        <v>м3</v>
      </c>
      <c r="C753" s="2577" t="n">
        <f aca="false">дома!D1534</f>
        <v>200</v>
      </c>
      <c r="D753" s="2577" t="n">
        <f aca="false">дома!E1534</f>
        <v>100</v>
      </c>
      <c r="E753" s="2577" t="n">
        <f aca="false">дома!F1534</f>
        <v>390</v>
      </c>
      <c r="F753" s="2316" t="n">
        <f aca="false">дома!C1534</f>
        <v>3.0888</v>
      </c>
      <c r="G753" s="2577" t="n">
        <f aca="false">H753</f>
        <v>0</v>
      </c>
      <c r="H753" s="2584" t="n">
        <f aca="false">дома!G1534*(IF('Ввод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4" customFormat="false" ht="14.5" hidden="false" customHeight="false" outlineLevel="0" collapsed="false">
      <c r="A754" s="2577" t="str">
        <f aca="false">дома!A1535</f>
        <v>Поясной 200х100х600 угловой внешний</v>
      </c>
      <c r="B754" s="2583" t="str">
        <f aca="false">дома!B1535</f>
        <v>м3</v>
      </c>
      <c r="C754" s="2577" t="n">
        <f aca="false">дома!D1535</f>
        <v>200</v>
      </c>
      <c r="D754" s="2577" t="n">
        <f aca="false">дома!E1535</f>
        <v>100</v>
      </c>
      <c r="E754" s="2577" t="n">
        <f aca="false">дома!F1535</f>
        <v>390</v>
      </c>
      <c r="F754" s="2316" t="n">
        <f aca="false">дома!C1535</f>
        <v>0.0312</v>
      </c>
      <c r="G754" s="2577" t="n">
        <f aca="false">H754</f>
        <v>0</v>
      </c>
      <c r="H754" s="2584" t="n">
        <f aca="false">дома!G1535*(IF('Ввод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5" customFormat="false" ht="14.5" hidden="false" customHeight="false" outlineLevel="0" collapsed="false">
      <c r="A755" s="2577" t="str">
        <f aca="false">дома!A1536</f>
        <v>Поясной 200х100х600 угловой внутренний</v>
      </c>
      <c r="B755" s="2583" t="str">
        <f aca="false">дома!B1536</f>
        <v>м3</v>
      </c>
      <c r="C755" s="2577" t="n">
        <f aca="false">дома!D1536</f>
        <v>200</v>
      </c>
      <c r="D755" s="2577" t="n">
        <f aca="false">дома!E1536</f>
        <v>100</v>
      </c>
      <c r="E755" s="2577" t="n">
        <f aca="false">дома!F1536</f>
        <v>390</v>
      </c>
      <c r="F755" s="2316" t="n">
        <f aca="false">дома!C1536</f>
        <v>0</v>
      </c>
      <c r="G755" s="2577" t="n">
        <f aca="false">H755</f>
        <v>0</v>
      </c>
      <c r="H755" s="2584" t="n">
        <f aca="false">дома!G1536*(IF('Ввод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6" customFormat="false" ht="14.5" hidden="false" customHeight="false" outlineLevel="0" collapsed="false">
      <c r="A756" s="2577" t="str">
        <f aca="false">дома!A1537</f>
        <v>200х100х600 угловой внешний</v>
      </c>
      <c r="B756" s="2583" t="str">
        <f aca="false">дома!B1537</f>
        <v>м3</v>
      </c>
      <c r="C756" s="2577" t="n">
        <f aca="false">дома!D1537</f>
        <v>200</v>
      </c>
      <c r="D756" s="2577" t="n">
        <f aca="false">дома!E1537</f>
        <v>100</v>
      </c>
      <c r="E756" s="2577" t="n">
        <f aca="false">дома!F1537</f>
        <v>600</v>
      </c>
      <c r="F756" s="2316" t="n">
        <f aca="false">дома!C1537</f>
        <v>0.72</v>
      </c>
      <c r="G756" s="2577" t="n">
        <f aca="false">H756</f>
        <v>0</v>
      </c>
      <c r="H756" s="2584" t="n">
        <f aca="false">дома!G1537*(IF('Ввод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7" customFormat="false" ht="14.5" hidden="false" customHeight="false" outlineLevel="0" collapsed="false">
      <c r="A757" s="2577" t="str">
        <f aca="false">дома!A1538</f>
        <v>200х100х600 угловой внутренний</v>
      </c>
      <c r="B757" s="2583" t="str">
        <f aca="false">дома!B1538</f>
        <v>м4</v>
      </c>
      <c r="C757" s="2577" t="n">
        <f aca="false">дома!D1538</f>
        <v>200</v>
      </c>
      <c r="D757" s="2577" t="n">
        <f aca="false">дома!E1538</f>
        <v>100</v>
      </c>
      <c r="E757" s="2577" t="n">
        <f aca="false">дома!F1538</f>
        <v>600</v>
      </c>
      <c r="F757" s="2316" t="n">
        <f aca="false">дома!C1538</f>
        <v>0</v>
      </c>
      <c r="G757" s="2577" t="n">
        <f aca="false">H757</f>
        <v>0</v>
      </c>
      <c r="H757" s="2584" t="n">
        <f aca="false">дома!G1538*(IF('Ввод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8" s="968" customFormat="true" ht="14.5" hidden="false" customHeight="false" outlineLevel="0" collapsed="false">
      <c r="A758" s="2577" t="str">
        <f aca="false">дома!A1546</f>
        <v>Перемычка оконная, 1-ый эт. Вариант 1</v>
      </c>
      <c r="B758" s="2583" t="str">
        <f aca="false">дома!B1546</f>
        <v>м.п.</v>
      </c>
      <c r="C758" s="2577" t="n">
        <f aca="false">дома!D1546</f>
        <v>0.2</v>
      </c>
      <c r="E758" s="2316" t="n">
        <f aca="false">дома!C1546</f>
        <v>1</v>
      </c>
      <c r="G758" s="2577" t="n">
        <f aca="false">H758</f>
        <v>0</v>
      </c>
      <c r="H758" s="2584" t="n">
        <f aca="false">дома!C1546*(IF('Ввод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59" customFormat="false" ht="14.5" hidden="false" customHeight="false" outlineLevel="0" collapsed="false">
      <c r="A759" s="2577" t="str">
        <f aca="false">дома!A1547</f>
        <v>Перемычка оконная, 1-ый эт. Вариант 2</v>
      </c>
      <c r="B759" s="2583" t="str">
        <f aca="false">дома!B1547</f>
        <v>м.п.</v>
      </c>
      <c r="C759" s="2577" t="n">
        <f aca="false">дома!D1547</f>
        <v>0.2</v>
      </c>
      <c r="D759" s="2316"/>
      <c r="E759" s="2316" t="n">
        <f aca="false">дома!C1547</f>
        <v>0</v>
      </c>
      <c r="F759" s="2577"/>
      <c r="G759" s="2577" t="n">
        <f aca="false">H759</f>
        <v>0</v>
      </c>
      <c r="H759" s="2584" t="n">
        <f aca="false">дома!C1547*(IF('Ввод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0" customFormat="false" ht="14.5" hidden="false" customHeight="false" outlineLevel="0" collapsed="false">
      <c r="A760" s="2577" t="str">
        <f aca="false">дома!A1548</f>
        <v>Перемычка оконная, 1-ый эт. Вариант 3</v>
      </c>
      <c r="B760" s="2583" t="str">
        <f aca="false">дома!B1548</f>
        <v>м.п.</v>
      </c>
      <c r="C760" s="2577" t="n">
        <f aca="false">дома!D1548</f>
        <v>0.2</v>
      </c>
      <c r="D760" s="2316"/>
      <c r="E760" s="2316" t="n">
        <f aca="false">дома!C1548</f>
        <v>0</v>
      </c>
      <c r="F760" s="2577"/>
      <c r="G760" s="2577" t="n">
        <f aca="false">H760</f>
        <v>0</v>
      </c>
      <c r="H760" s="2584" t="n">
        <f aca="false">дома!C1548*(IF('Ввод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1" customFormat="false" ht="14.5" hidden="false" customHeight="false" outlineLevel="0" collapsed="false">
      <c r="A761" s="2577" t="str">
        <f aca="false">дома!A1549</f>
        <v>Перемычка оконная, 1-ый эт. Вариант 4</v>
      </c>
      <c r="B761" s="2583" t="str">
        <f aca="false">дома!B1549</f>
        <v>м.п.</v>
      </c>
      <c r="C761" s="2577" t="n">
        <f aca="false">дома!D1549</f>
        <v>0.2</v>
      </c>
      <c r="D761" s="2316"/>
      <c r="E761" s="2316" t="n">
        <f aca="false">дома!C1549</f>
        <v>0</v>
      </c>
      <c r="F761" s="2577"/>
      <c r="G761" s="2577" t="n">
        <f aca="false">H761</f>
        <v>0</v>
      </c>
      <c r="H761" s="2584" t="n">
        <f aca="false">дома!C1549*(IF('Ввод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2" customFormat="false" ht="14.5" hidden="false" customHeight="false" outlineLevel="0" collapsed="false">
      <c r="A762" s="2577" t="str">
        <f aca="false">дома!A1550</f>
        <v>Перемычка оконная, 1-ый эт. Вариант 5</v>
      </c>
      <c r="B762" s="2583" t="str">
        <f aca="false">дома!B1550</f>
        <v>м.п.</v>
      </c>
      <c r="C762" s="2577" t="n">
        <f aca="false">дома!D1550</f>
        <v>0.2</v>
      </c>
      <c r="D762" s="2316"/>
      <c r="E762" s="2316" t="n">
        <f aca="false">дома!C1550</f>
        <v>0</v>
      </c>
      <c r="F762" s="2577"/>
      <c r="G762" s="2577" t="n">
        <f aca="false">H762</f>
        <v>0</v>
      </c>
      <c r="H762" s="2584" t="n">
        <f aca="false">дома!C1550*(IF('Ввод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3" customFormat="false" ht="14.5" hidden="false" customHeight="false" outlineLevel="0" collapsed="false">
      <c r="A763" s="2577" t="str">
        <f aca="false">дома!A1551</f>
        <v>Перемычка оконная, 2-ый эт. Вариант 6</v>
      </c>
      <c r="B763" s="2583" t="str">
        <f aca="false">дома!B1551</f>
        <v>м.п.</v>
      </c>
      <c r="C763" s="2577" t="n">
        <f aca="false">дома!D1551</f>
        <v>0.2</v>
      </c>
      <c r="D763" s="2316"/>
      <c r="E763" s="2316" t="n">
        <f aca="false">дома!C1551</f>
        <v>0</v>
      </c>
      <c r="F763" s="2577"/>
      <c r="G763" s="2577" t="n">
        <f aca="false">H763</f>
        <v>0</v>
      </c>
      <c r="H763" s="2584" t="n">
        <f aca="false">дома!C1551*(IF('Ввод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4" customFormat="false" ht="14.5" hidden="false" customHeight="false" outlineLevel="0" collapsed="false">
      <c r="A764" s="2577" t="str">
        <f aca="false">дома!A1552</f>
        <v>Перемычка оконная, 2-ый эт. Вариант 7</v>
      </c>
      <c r="B764" s="2583" t="str">
        <f aca="false">дома!B1552</f>
        <v>м.п.</v>
      </c>
      <c r="C764" s="2577" t="n">
        <f aca="false">дома!D1552</f>
        <v>0.2</v>
      </c>
      <c r="D764" s="2316"/>
      <c r="E764" s="2316" t="n">
        <f aca="false">дома!C1552</f>
        <v>0</v>
      </c>
      <c r="F764" s="2577"/>
      <c r="G764" s="2577" t="n">
        <f aca="false">H764</f>
        <v>0</v>
      </c>
      <c r="H764" s="2584" t="n">
        <f aca="false">дома!C1552*(IF('Ввод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5" customFormat="false" ht="14.5" hidden="false" customHeight="false" outlineLevel="0" collapsed="false">
      <c r="A765" s="2577" t="str">
        <f aca="false">дома!A1553</f>
        <v>Перемычка оконная, 2-ый эт. Вариант 8</v>
      </c>
      <c r="B765" s="2583" t="str">
        <f aca="false">дома!B1553</f>
        <v>м.п.</v>
      </c>
      <c r="C765" s="2577" t="n">
        <f aca="false">дома!D1553</f>
        <v>0.2</v>
      </c>
      <c r="D765" s="2316"/>
      <c r="E765" s="2316" t="n">
        <f aca="false">дома!C1553</f>
        <v>0</v>
      </c>
      <c r="F765" s="2577"/>
      <c r="G765" s="2577" t="n">
        <f aca="false">H765</f>
        <v>0</v>
      </c>
      <c r="H765" s="2584" t="n">
        <f aca="false">дома!C1553*(IF('Ввод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6" customFormat="false" ht="14.5" hidden="false" customHeight="false" outlineLevel="0" collapsed="false">
      <c r="A766" s="2577" t="str">
        <f aca="false">дома!A1554</f>
        <v>Перемычка оконная, 2-ый эт. Вариант 9</v>
      </c>
      <c r="B766" s="2583" t="str">
        <f aca="false">дома!B1554</f>
        <v>м.п.</v>
      </c>
      <c r="C766" s="2577" t="n">
        <f aca="false">дома!D1554</f>
        <v>0.2</v>
      </c>
      <c r="D766" s="2316"/>
      <c r="E766" s="2316" t="n">
        <f aca="false">дома!C1554</f>
        <v>0</v>
      </c>
      <c r="F766" s="2577"/>
      <c r="G766" s="2577" t="n">
        <f aca="false">H766</f>
        <v>0</v>
      </c>
      <c r="H766" s="2584" t="n">
        <f aca="false">дома!C1554*(IF('Ввод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7" customFormat="false" ht="14.5" hidden="false" customHeight="false" outlineLevel="0" collapsed="false">
      <c r="A767" s="2577" t="str">
        <f aca="false">дома!A1555</f>
        <v>Перемычка оконная, 2-ый эт. Вариант 10</v>
      </c>
      <c r="B767" s="2583" t="str">
        <f aca="false">дома!B1555</f>
        <v>м.п.</v>
      </c>
      <c r="C767" s="2577" t="n">
        <f aca="false">дома!D1555</f>
        <v>0.2</v>
      </c>
      <c r="D767" s="2316"/>
      <c r="E767" s="2316" t="n">
        <f aca="false">дома!C1555</f>
        <v>0</v>
      </c>
      <c r="F767" s="2577"/>
      <c r="G767" s="2577" t="n">
        <f aca="false">H767</f>
        <v>0</v>
      </c>
      <c r="H767" s="2584" t="n">
        <f aca="false">дома!C1555*(IF('Ввод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8" customFormat="false" ht="14.5" hidden="false" customHeight="false" outlineLevel="0" collapsed="false">
      <c r="A768" s="2577" t="str">
        <f aca="false">дома!A1556</f>
        <v>Перемычка дверная, 1-ый эт. Вариант 1</v>
      </c>
      <c r="B768" s="2583" t="str">
        <f aca="false">дома!B1556</f>
        <v>м.п.</v>
      </c>
      <c r="C768" s="2577" t="n">
        <f aca="false">дома!D1556</f>
        <v>0.2</v>
      </c>
      <c r="D768" s="2316"/>
      <c r="E768" s="2316" t="n">
        <f aca="false">дома!C1556</f>
        <v>0</v>
      </c>
      <c r="F768" s="2577"/>
      <c r="G768" s="2577" t="n">
        <f aca="false">H768</f>
        <v>0</v>
      </c>
      <c r="H768" s="2584" t="n">
        <f aca="false">дома!C1556*(IF('Ввод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69" customFormat="false" ht="14.5" hidden="false" customHeight="false" outlineLevel="0" collapsed="false">
      <c r="A769" s="2577" t="str">
        <f aca="false">дома!A1557</f>
        <v>Перемычка дверная, 2-ый эт. Вариант 2</v>
      </c>
      <c r="B769" s="2583" t="str">
        <f aca="false">дома!B1557</f>
        <v>м.п.</v>
      </c>
      <c r="C769" s="2577" t="n">
        <f aca="false">дома!D1557</f>
        <v>0.2</v>
      </c>
      <c r="D769" s="2316"/>
      <c r="E769" s="2316" t="n">
        <f aca="false">дома!C1557</f>
        <v>0</v>
      </c>
      <c r="F769" s="2577"/>
      <c r="G769" s="2577" t="n">
        <f aca="false">H769</f>
        <v>0</v>
      </c>
      <c r="H769" s="2584" t="n">
        <f aca="false">дома!C1557*(IF('Ввод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0" customFormat="false" ht="14.5" hidden="false" customHeight="false" outlineLevel="0" collapsed="false">
      <c r="A770" s="2577" t="str">
        <f aca="false">дома!A1558</f>
        <v>Перемычка оконная 1-ый эт, Вариант 11</v>
      </c>
      <c r="B770" s="2583" t="str">
        <f aca="false">дома!B1558</f>
        <v>м.п.</v>
      </c>
      <c r="C770" s="2577" t="n">
        <f aca="false">дома!D1558</f>
        <v>0.2</v>
      </c>
      <c r="D770" s="2316"/>
      <c r="E770" s="2316" t="n">
        <f aca="false">дома!C1558</f>
        <v>0</v>
      </c>
      <c r="F770" s="2577"/>
      <c r="G770" s="2577" t="n">
        <f aca="false">H770</f>
        <v>0</v>
      </c>
      <c r="H770" s="2584" t="n">
        <f aca="false">дома!C1558*(IF('Ввод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1" customFormat="false" ht="14.5" hidden="false" customHeight="false" outlineLevel="0" collapsed="false">
      <c r="A771" s="2577" t="str">
        <f aca="false">дома!A1559</f>
        <v>Перемычка оконная 1-ый эт, Вариант 12</v>
      </c>
      <c r="B771" s="2583" t="str">
        <f aca="false">дома!B1559</f>
        <v>м.п.</v>
      </c>
      <c r="C771" s="2577" t="n">
        <f aca="false">дома!D1559</f>
        <v>0.2</v>
      </c>
      <c r="D771" s="2316"/>
      <c r="E771" s="2316" t="n">
        <f aca="false">дома!C1559</f>
        <v>0</v>
      </c>
      <c r="F771" s="2577"/>
      <c r="G771" s="2577" t="n">
        <f aca="false">H771</f>
        <v>0</v>
      </c>
      <c r="H771" s="2584" t="n">
        <f aca="false">дома!C1559*(IF('Ввод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2" customFormat="false" ht="14.5" hidden="false" customHeight="false" outlineLevel="0" collapsed="false">
      <c r="A772" s="2577" t="str">
        <f aca="false">дома!A1560</f>
        <v>Перемычка дверная, 1-ый эт. Вариант 4</v>
      </c>
      <c r="B772" s="2583" t="str">
        <f aca="false">дома!B1560</f>
        <v>м.п.</v>
      </c>
      <c r="C772" s="2577" t="n">
        <f aca="false">дома!D1560</f>
        <v>0.2</v>
      </c>
      <c r="D772" s="2316"/>
      <c r="E772" s="2316" t="n">
        <f aca="false">дома!C1560</f>
        <v>0</v>
      </c>
      <c r="F772" s="2577"/>
      <c r="G772" s="2577" t="n">
        <f aca="false">H772</f>
        <v>0</v>
      </c>
      <c r="H772" s="2584" t="n">
        <f aca="false">дома!C1560*(IF('Ввод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3" customFormat="false" ht="14.5" hidden="false" customHeight="false" outlineLevel="0" collapsed="false">
      <c r="A773" s="2577" t="str">
        <f aca="false">дома!A1561</f>
        <v>Перемычка дверная, 1-ый эт. Вариант 5</v>
      </c>
      <c r="B773" s="2583" t="str">
        <f aca="false">дома!B1561</f>
        <v>м.п.</v>
      </c>
      <c r="C773" s="2577" t="n">
        <f aca="false">дома!D1561</f>
        <v>0.2</v>
      </c>
      <c r="D773" s="2316"/>
      <c r="E773" s="2316" t="n">
        <f aca="false">дома!C1561</f>
        <v>0</v>
      </c>
      <c r="F773" s="2577"/>
      <c r="G773" s="2577" t="n">
        <f aca="false">H773</f>
        <v>0</v>
      </c>
      <c r="H773" s="2584" t="n">
        <f aca="false">дома!C1561*(IF('Ввод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4" customFormat="false" ht="14.5" hidden="false" customHeight="false" outlineLevel="0" collapsed="false">
      <c r="A774" s="2577" t="str">
        <f aca="false">дома!A1562</f>
        <v>Перемычка дверная, 1-ый эт. Вариант 6</v>
      </c>
      <c r="B774" s="2583" t="str">
        <f aca="false">дома!B1562</f>
        <v>м.п.</v>
      </c>
      <c r="C774" s="2577" t="n">
        <f aca="false">дома!D1562</f>
        <v>0.2</v>
      </c>
      <c r="D774" s="2316"/>
      <c r="E774" s="2316" t="n">
        <f aca="false">дома!C1562</f>
        <v>0</v>
      </c>
      <c r="F774" s="2577"/>
      <c r="G774" s="2577" t="n">
        <f aca="false">H774</f>
        <v>0</v>
      </c>
      <c r="H774" s="2584" t="n">
        <f aca="false">дома!C1562*(IF('Ввод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5" customFormat="false" ht="14.5" hidden="false" customHeight="false" outlineLevel="0" collapsed="false">
      <c r="A775" s="2577" t="str">
        <f aca="false">дома!A1563</f>
        <v>Перемычка дверная, 2-ый эт. Вариант 7</v>
      </c>
      <c r="B775" s="2583" t="str">
        <f aca="false">дома!B1563</f>
        <v>м.п.</v>
      </c>
      <c r="C775" s="2577" t="n">
        <f aca="false">дома!D1563</f>
        <v>0.2</v>
      </c>
      <c r="D775" s="2316"/>
      <c r="E775" s="2316" t="n">
        <f aca="false">дома!C1563</f>
        <v>0</v>
      </c>
      <c r="F775" s="2577"/>
      <c r="G775" s="2577" t="n">
        <f aca="false">H775</f>
        <v>0</v>
      </c>
      <c r="H775" s="2584" t="n">
        <f aca="false">дома!C1563*(IF('Ввод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6" customFormat="false" ht="14.5" hidden="false" customHeight="false" outlineLevel="0" collapsed="false">
      <c r="A776" s="2577" t="str">
        <f aca="false">дома!A1564</f>
        <v>Перемычка дверная, 2-ый эт. Вариант 8</v>
      </c>
      <c r="B776" s="2583" t="str">
        <f aca="false">дома!B1564</f>
        <v>м.п.</v>
      </c>
      <c r="C776" s="2577" t="n">
        <f aca="false">дома!D1564</f>
        <v>0.2</v>
      </c>
      <c r="D776" s="2316"/>
      <c r="E776" s="2316" t="n">
        <f aca="false">дома!C1564</f>
        <v>0</v>
      </c>
      <c r="F776" s="2577"/>
      <c r="G776" s="2577" t="n">
        <f aca="false">H776</f>
        <v>0</v>
      </c>
      <c r="H776" s="2584" t="n">
        <f aca="false">дома!C1564*(IF('Ввод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7" customFormat="false" ht="14.5" hidden="false" customHeight="false" outlineLevel="0" collapsed="false">
      <c r="A777" s="2577" t="str">
        <f aca="false">дома!A1565</f>
        <v>Перемычка дверная, 2-ый эт. Вариант 9</v>
      </c>
      <c r="B777" s="2583" t="str">
        <f aca="false">дома!B1565</f>
        <v>м.п.</v>
      </c>
      <c r="C777" s="2577" t="n">
        <f aca="false">дома!D1565</f>
        <v>0.2</v>
      </c>
      <c r="D777" s="2316"/>
      <c r="E777" s="2316" t="n">
        <f aca="false">дома!C1565</f>
        <v>0</v>
      </c>
      <c r="F777" s="2577"/>
      <c r="G777" s="2577" t="n">
        <f aca="false">H777</f>
        <v>0</v>
      </c>
      <c r="H777" s="2584" t="n">
        <f aca="false">дома!C1565*(IF('Ввод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8" customFormat="false" ht="14.5" hidden="false" customHeight="false" outlineLevel="0" collapsed="false">
      <c r="A778" s="2577" t="str">
        <f aca="false">дома!A1566</f>
        <v>Перемычка проема, 1-ый эт. Вариант 10</v>
      </c>
      <c r="B778" s="2583" t="str">
        <f aca="false">дома!B1566</f>
        <v>м.п.</v>
      </c>
      <c r="C778" s="2577" t="n">
        <f aca="false">дома!D1566</f>
        <v>0.2</v>
      </c>
      <c r="D778" s="2316"/>
      <c r="E778" s="2316" t="n">
        <f aca="false">дома!C1566</f>
        <v>0</v>
      </c>
      <c r="F778" s="2577"/>
      <c r="G778" s="2577" t="n">
        <f aca="false">H778</f>
        <v>0</v>
      </c>
      <c r="H778" s="2584" t="n">
        <f aca="false">дома!C1566*(IF('Ввод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79" customFormat="false" ht="14.5" hidden="false" customHeight="false" outlineLevel="0" collapsed="false">
      <c r="A779" s="2577" t="str">
        <f aca="false">дома!A1567</f>
        <v>Перемычка проема, 1-ый эт. Вариант 11</v>
      </c>
      <c r="B779" s="2583" t="str">
        <f aca="false">дома!B1567</f>
        <v>м.п.</v>
      </c>
      <c r="C779" s="2577" t="n">
        <f aca="false">дома!D1567</f>
        <v>0.2</v>
      </c>
      <c r="D779" s="2316"/>
      <c r="E779" s="2316" t="n">
        <f aca="false">дома!C1567</f>
        <v>0</v>
      </c>
      <c r="F779" s="2577"/>
      <c r="G779" s="2577" t="n">
        <f aca="false">H779</f>
        <v>0</v>
      </c>
      <c r="H779" s="2584" t="n">
        <f aca="false">дома!C1567*(IF('Ввод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0" customFormat="false" ht="14.5" hidden="false" customHeight="false" outlineLevel="0" collapsed="false">
      <c r="A780" s="2577" t="str">
        <f aca="false">дома!A1568</f>
        <v>Перемычка проема, 2-ый эт. Вариант 12</v>
      </c>
      <c r="B780" s="2583" t="str">
        <f aca="false">дома!B1568</f>
        <v>м.п.</v>
      </c>
      <c r="C780" s="2577" t="n">
        <f aca="false">дома!D1568</f>
        <v>0.2</v>
      </c>
      <c r="D780" s="2316"/>
      <c r="E780" s="2316" t="n">
        <f aca="false">дома!C1568</f>
        <v>0</v>
      </c>
      <c r="F780" s="2577"/>
      <c r="G780" s="2577" t="n">
        <f aca="false">H780</f>
        <v>0</v>
      </c>
      <c r="H780" s="2584" t="n">
        <f aca="false">дома!C1568*(IF('Ввод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1" customFormat="false" ht="14.5" hidden="false" customHeight="false" outlineLevel="0" collapsed="false">
      <c r="A781" s="2577" t="str">
        <f aca="false">дома!A1569</f>
        <v>Перемычка проема, 2-ый эт. Вариант 13</v>
      </c>
      <c r="B781" s="2583" t="str">
        <f aca="false">дома!B1569</f>
        <v>м.п.</v>
      </c>
      <c r="C781" s="2577" t="n">
        <f aca="false">дома!D1569</f>
        <v>0.2</v>
      </c>
      <c r="D781" s="2316"/>
      <c r="E781" s="2316" t="n">
        <f aca="false">дома!C1569</f>
        <v>0</v>
      </c>
      <c r="F781" s="2577"/>
      <c r="G781" s="2577" t="n">
        <f aca="false">H781</f>
        <v>0</v>
      </c>
      <c r="H781" s="2584" t="n">
        <f aca="false">дома!C1569*(IF('Ввод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2" customFormat="false" ht="14.5" hidden="false" customHeight="false" outlineLevel="0" collapsed="false">
      <c r="A782" s="2577" t="str">
        <f aca="false">дома!A1570</f>
        <v>Перемычка дверная, 1-ый эт. Вариант 1</v>
      </c>
      <c r="B782" s="2583" t="str">
        <f aca="false">дома!B1570</f>
        <v>м.п.</v>
      </c>
      <c r="C782" s="2577" t="n">
        <f aca="false">дома!D1570</f>
        <v>0.2</v>
      </c>
      <c r="D782" s="2316"/>
      <c r="E782" s="2316" t="n">
        <f aca="false">дома!C1570</f>
        <v>0</v>
      </c>
      <c r="F782" s="2577"/>
      <c r="G782" s="2577" t="n">
        <f aca="false">H782</f>
        <v>0</v>
      </c>
      <c r="H782" s="2584" t="n">
        <f aca="false">дома!C1570*(IF('Ввод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3" customFormat="false" ht="14.5" hidden="false" customHeight="false" outlineLevel="0" collapsed="false">
      <c r="A783" s="2577" t="str">
        <f aca="false">дома!A1571</f>
        <v>Перемычка дверная, 1-ый эт. Вариант 2</v>
      </c>
      <c r="B783" s="2583" t="str">
        <f aca="false">дома!B1571</f>
        <v>м.п.</v>
      </c>
      <c r="C783" s="2577" t="n">
        <f aca="false">дома!D1571</f>
        <v>0.2</v>
      </c>
      <c r="D783" s="2316"/>
      <c r="E783" s="2316" t="n">
        <f aca="false">дома!C1571</f>
        <v>0</v>
      </c>
      <c r="F783" s="2577"/>
      <c r="G783" s="2577" t="n">
        <f aca="false">H783</f>
        <v>0</v>
      </c>
      <c r="H783" s="2584" t="n">
        <f aca="false">дома!C1571*(IF('Ввод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4" customFormat="false" ht="14.5" hidden="false" customHeight="false" outlineLevel="0" collapsed="false">
      <c r="A784" s="2577" t="str">
        <f aca="false">дома!A1572</f>
        <v>Перемычка дверная, 1-ый эт. Вариант 3</v>
      </c>
      <c r="B784" s="2583" t="str">
        <f aca="false">дома!B1572</f>
        <v>м.п.</v>
      </c>
      <c r="C784" s="2577" t="n">
        <f aca="false">дома!D1572</f>
        <v>0.2</v>
      </c>
      <c r="D784" s="2316"/>
      <c r="E784" s="2316" t="n">
        <f aca="false">дома!C1572</f>
        <v>0</v>
      </c>
      <c r="F784" s="2577"/>
      <c r="G784" s="2577" t="n">
        <f aca="false">H784</f>
        <v>0</v>
      </c>
      <c r="H784" s="2584" t="n">
        <f aca="false">дома!C1572*(IF('Ввод данных'!$A$8=связи1!$A$153,1,0)+IF('Ввод данных'!$A$8=связи1!$A$170,1,0)+IF('Ввод данных'!$A$8=связи1!$A$171,1,0)+IF('Ввод данных'!$A$8=связи1!$A$172,1,0)+IF('Ввод данных'!$A$8=связи1!$A$173,1,0)+IF('Ввод данных'!$A$8=связи1!$A$174,1,0)+IF('Ввод данных'!$A$8=связи1!$A$175,1,0)+IF('Ввод данных'!$A$8=связи1!$A$176,1,0)+IF('Ввод данных'!$A$8=связи1!$A$177,1,0)+IF('Ввод данных'!$A$8=связи1!$A$178,1,0)+IF('Ввод данных'!$A$8=связи1!$A$179,1,0))</f>
        <v>0</v>
      </c>
    </row>
    <row r="785" customFormat="false" ht="18" hidden="false" customHeight="true" outlineLevel="0" collapsed="false">
      <c r="A785" s="2585" t="s">
        <v>1093</v>
      </c>
      <c r="B785" s="2586" t="s">
        <v>208</v>
      </c>
      <c r="C785" s="2586" t="s">
        <v>293</v>
      </c>
      <c r="D785" s="2586" t="s">
        <v>1800</v>
      </c>
      <c r="E785" s="2573" t="s">
        <v>853</v>
      </c>
      <c r="F785" s="2585" t="s">
        <v>1902</v>
      </c>
      <c r="G785" s="2585" t="s">
        <v>4186</v>
      </c>
      <c r="H785" s="2578" t="n">
        <f aca="false">SUM(H786:H790)</f>
        <v>0</v>
      </c>
    </row>
    <row r="786" customFormat="false" ht="15.5" hidden="false" customHeight="false" outlineLevel="0" collapsed="false">
      <c r="A786" s="2561" t="s">
        <v>4181</v>
      </c>
      <c r="B786" s="2576" t="s">
        <v>135</v>
      </c>
      <c r="C786" s="2316" t="n">
        <f aca="false">C750</f>
        <v>200</v>
      </c>
      <c r="D786" s="2316" t="n">
        <f aca="false">D750</f>
        <v>390</v>
      </c>
      <c r="E786" s="2316" t="n">
        <f aca="false">E750</f>
        <v>100</v>
      </c>
      <c r="F786" s="2563" t="n">
        <f aca="false">F750+F753+F754+F755+F756+F757</f>
        <v>0.72</v>
      </c>
      <c r="G786" s="2563" t="n">
        <f aca="false">G750+G753+G754+G755+G756+G757</f>
        <v>0</v>
      </c>
      <c r="H786" s="2578" t="n">
        <f aca="false">IF(G786&gt;0,1,0)</f>
        <v>0</v>
      </c>
    </row>
    <row r="787" customFormat="false" ht="15.5" hidden="false" customHeight="false" outlineLevel="0" collapsed="false">
      <c r="A787" s="2577" t="s">
        <v>4183</v>
      </c>
      <c r="B787" s="2576" t="s">
        <v>135</v>
      </c>
      <c r="C787" s="2316" t="n">
        <f aca="false">C751</f>
        <v>200</v>
      </c>
      <c r="D787" s="2316" t="n">
        <f aca="false">D751</f>
        <v>390</v>
      </c>
      <c r="E787" s="2316" t="n">
        <f aca="false">E751</f>
        <v>200</v>
      </c>
      <c r="F787" s="2563" t="n">
        <f aca="false">F751</f>
        <v>0</v>
      </c>
      <c r="G787" s="2316" t="n">
        <f aca="false">G751</f>
        <v>0</v>
      </c>
      <c r="H787" s="2578" t="n">
        <f aca="false">IF(G787&gt;0,1,0)</f>
        <v>0</v>
      </c>
    </row>
    <row r="788" customFormat="false" ht="15.5" hidden="false" customHeight="false" outlineLevel="0" collapsed="false">
      <c r="A788" s="2577" t="s">
        <v>4184</v>
      </c>
      <c r="B788" s="2576" t="s">
        <v>135</v>
      </c>
      <c r="C788" s="2316" t="n">
        <f aca="false">C752</f>
        <v>200</v>
      </c>
      <c r="D788" s="2316" t="n">
        <f aca="false">D752</f>
        <v>390</v>
      </c>
      <c r="E788" s="2316" t="n">
        <f aca="false">E752</f>
        <v>400</v>
      </c>
      <c r="F788" s="2563" t="n">
        <f aca="false">F752</f>
        <v>0</v>
      </c>
      <c r="G788" s="2316" t="n">
        <f aca="false">G752</f>
        <v>0</v>
      </c>
      <c r="H788" s="2578" t="n">
        <f aca="false">IF(G788&gt;0,1,0)</f>
        <v>0</v>
      </c>
    </row>
    <row r="789" customFormat="false" ht="14.5" hidden="false" customHeight="false" outlineLevel="0" collapsed="false">
      <c r="A789" s="2577" t="s">
        <v>4187</v>
      </c>
      <c r="B789" s="2583" t="s">
        <v>156</v>
      </c>
      <c r="C789" s="2316"/>
      <c r="D789" s="2316"/>
      <c r="E789" s="2316"/>
      <c r="F789" s="2316" t="n">
        <f aca="false">SUM(G758:G771)+SUM(G782:G784)</f>
        <v>0</v>
      </c>
      <c r="G789" s="2316"/>
      <c r="H789" s="2578" t="n">
        <f aca="false">IF(F789&gt;0,1,0)</f>
        <v>0</v>
      </c>
    </row>
    <row r="790" customFormat="false" ht="14.5" hidden="false" customHeight="false" outlineLevel="0" collapsed="false">
      <c r="A790" s="2577" t="s">
        <v>4188</v>
      </c>
      <c r="B790" s="2583" t="s">
        <v>156</v>
      </c>
      <c r="C790" s="2316"/>
      <c r="D790" s="2316"/>
      <c r="E790" s="2316"/>
      <c r="F790" s="2316" t="n">
        <f aca="false">SUM(G772:G781)</f>
        <v>0</v>
      </c>
      <c r="G790" s="2316"/>
      <c r="H790" s="2578" t="n">
        <f aca="false">IF(F790&gt;0,1,0)</f>
        <v>0</v>
      </c>
    </row>
    <row r="791" customFormat="false" ht="21" hidden="false" customHeight="false" outlineLevel="0" collapsed="false">
      <c r="A791" s="2558" t="s">
        <v>4189</v>
      </c>
      <c r="B791" s="2558"/>
      <c r="C791" s="2558"/>
      <c r="D791" s="2558"/>
      <c r="E791" s="2558"/>
      <c r="F791" s="2558"/>
      <c r="G791" s="2559"/>
      <c r="H791" s="2560" t="n">
        <f aca="false">H792</f>
        <v>0</v>
      </c>
    </row>
    <row r="792" customFormat="false" ht="15.5" hidden="false" customHeight="false" outlineLevel="0" collapsed="false">
      <c r="A792" s="2587" t="s">
        <v>1093</v>
      </c>
      <c r="B792" s="2587" t="s">
        <v>208</v>
      </c>
      <c r="C792" s="2587" t="s">
        <v>293</v>
      </c>
      <c r="D792" s="2587" t="s">
        <v>1800</v>
      </c>
      <c r="E792" s="2587" t="s">
        <v>853</v>
      </c>
      <c r="F792" s="2587" t="s">
        <v>1698</v>
      </c>
      <c r="G792" s="2588" t="s">
        <v>1802</v>
      </c>
      <c r="H792" s="2589" t="n">
        <f aca="false">SUM(H793:H822)</f>
        <v>0</v>
      </c>
    </row>
    <row r="793" customFormat="false" ht="14.5" hidden="false" customHeight="false" outlineLevel="0" collapsed="false">
      <c r="A793" s="2577" t="str">
        <f aca="false">дома!A1612</f>
        <v>Керамзитобетонный блок - 390х190х188</v>
      </c>
      <c r="B793" s="2583" t="str">
        <f aca="false">дома!B1612</f>
        <v>м3</v>
      </c>
      <c r="C793" s="2577" t="n">
        <f aca="false">дома!D1612</f>
        <v>188</v>
      </c>
      <c r="D793" s="2577" t="n">
        <f aca="false">дома!E1612</f>
        <v>190</v>
      </c>
      <c r="E793" s="2577" t="n">
        <f aca="false">дома!F1612</f>
        <v>390</v>
      </c>
      <c r="F793" s="2577" t="n">
        <f aca="false">дома!C1612</f>
        <v>0</v>
      </c>
      <c r="G793" s="2577" t="n">
        <f aca="false">H793</f>
        <v>0</v>
      </c>
      <c r="H793" s="2584" t="n">
        <f aca="false">дома!G1612*(IF('Ввод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4" customFormat="false" ht="14.5" hidden="false" customHeight="false" outlineLevel="0" collapsed="false">
      <c r="A794" s="2577" t="str">
        <f aca="false">дома!A1613</f>
        <v>Керамзитобетонный блок - 390х190х188</v>
      </c>
      <c r="B794" s="2583" t="str">
        <f aca="false">дома!B1613</f>
        <v>м3</v>
      </c>
      <c r="C794" s="2577" t="n">
        <f aca="false">дома!D1613</f>
        <v>188</v>
      </c>
      <c r="D794" s="2577" t="n">
        <f aca="false">дома!E1613</f>
        <v>190</v>
      </c>
      <c r="E794" s="2577" t="n">
        <f aca="false">дома!F1613</f>
        <v>390</v>
      </c>
      <c r="F794" s="2577" t="n">
        <f aca="false">дома!C1613</f>
        <v>0</v>
      </c>
      <c r="G794" s="2577" t="n">
        <f aca="false">H794</f>
        <v>0</v>
      </c>
      <c r="H794" s="2584" t="n">
        <f aca="false">дома!G1613*(IF('Ввод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5" customFormat="false" ht="14.5" hidden="false" customHeight="false" outlineLevel="0" collapsed="false">
      <c r="A795" s="2577" t="str">
        <f aca="false">дома!A1614</f>
        <v>Керамзитобетонный блок - 390х90х188</v>
      </c>
      <c r="B795" s="2583" t="str">
        <f aca="false">дома!B1614</f>
        <v>м3</v>
      </c>
      <c r="C795" s="2577" t="n">
        <f aca="false">дома!D1614</f>
        <v>188</v>
      </c>
      <c r="D795" s="2577" t="n">
        <f aca="false">дома!E1614</f>
        <v>90</v>
      </c>
      <c r="E795" s="2577" t="n">
        <f aca="false">дома!F1614</f>
        <v>390</v>
      </c>
      <c r="F795" s="2577" t="n">
        <f aca="false">дома!C1614</f>
        <v>0</v>
      </c>
      <c r="G795" s="2577" t="n">
        <f aca="false">H795</f>
        <v>0</v>
      </c>
      <c r="H795" s="2584" t="n">
        <f aca="false">дома!G1614*(IF('Ввод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6" customFormat="false" ht="14.5" hidden="false" customHeight="false" outlineLevel="0" collapsed="false">
      <c r="A796" s="2577" t="str">
        <f aca="false">A758</f>
        <v>Перемычка оконная, 1-ый эт. Вариант 1</v>
      </c>
      <c r="B796" s="2583" t="str">
        <f aca="false">B758</f>
        <v>м.п.</v>
      </c>
      <c r="C796" s="2577" t="n">
        <f aca="false">C758</f>
        <v>0.2</v>
      </c>
      <c r="D796" s="2577"/>
      <c r="E796" s="2577" t="n">
        <f aca="false">E758</f>
        <v>1</v>
      </c>
      <c r="F796" s="2577"/>
      <c r="G796" s="2577" t="n">
        <f aca="false">H796</f>
        <v>0</v>
      </c>
      <c r="H796" s="2584" t="n">
        <f aca="false">дома!C1546*(IF('Ввод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7" customFormat="false" ht="14.5" hidden="false" customHeight="false" outlineLevel="0" collapsed="false">
      <c r="A797" s="2577" t="str">
        <f aca="false">A759</f>
        <v>Перемычка оконная, 1-ый эт. Вариант 2</v>
      </c>
      <c r="B797" s="2583" t="str">
        <f aca="false">B759</f>
        <v>м.п.</v>
      </c>
      <c r="C797" s="2577" t="n">
        <f aca="false">C759</f>
        <v>0.2</v>
      </c>
      <c r="D797" s="2577"/>
      <c r="E797" s="2577" t="n">
        <f aca="false">E759</f>
        <v>0</v>
      </c>
      <c r="F797" s="2577"/>
      <c r="G797" s="2577" t="n">
        <f aca="false">H797</f>
        <v>0</v>
      </c>
      <c r="H797" s="2584" t="n">
        <f aca="false">дома!C1547*(IF('Ввод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8" customFormat="false" ht="14.5" hidden="false" customHeight="false" outlineLevel="0" collapsed="false">
      <c r="A798" s="2577" t="str">
        <f aca="false">A760</f>
        <v>Перемычка оконная, 1-ый эт. Вариант 3</v>
      </c>
      <c r="B798" s="2583" t="str">
        <f aca="false">B760</f>
        <v>м.п.</v>
      </c>
      <c r="C798" s="2577" t="n">
        <f aca="false">C760</f>
        <v>0.2</v>
      </c>
      <c r="D798" s="2577"/>
      <c r="E798" s="2577" t="n">
        <f aca="false">E760</f>
        <v>0</v>
      </c>
      <c r="F798" s="2577"/>
      <c r="G798" s="2577" t="n">
        <f aca="false">H798</f>
        <v>0</v>
      </c>
      <c r="H798" s="2584" t="n">
        <f aca="false">дома!C1548*(IF('Ввод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799" customFormat="false" ht="14.5" hidden="false" customHeight="false" outlineLevel="0" collapsed="false">
      <c r="A799" s="2577" t="str">
        <f aca="false">A761</f>
        <v>Перемычка оконная, 1-ый эт. Вариант 4</v>
      </c>
      <c r="B799" s="2583" t="str">
        <f aca="false">B761</f>
        <v>м.п.</v>
      </c>
      <c r="C799" s="2577" t="n">
        <f aca="false">C761</f>
        <v>0.2</v>
      </c>
      <c r="D799" s="2577"/>
      <c r="E799" s="2577" t="n">
        <f aca="false">E761</f>
        <v>0</v>
      </c>
      <c r="F799" s="2577"/>
      <c r="G799" s="2577" t="n">
        <f aca="false">H799</f>
        <v>0</v>
      </c>
      <c r="H799" s="2584" t="n">
        <f aca="false">дома!C1549*(IF('Ввод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0" customFormat="false" ht="14.5" hidden="false" customHeight="false" outlineLevel="0" collapsed="false">
      <c r="A800" s="2577" t="str">
        <f aca="false">A762</f>
        <v>Перемычка оконная, 1-ый эт. Вариант 5</v>
      </c>
      <c r="B800" s="2583" t="str">
        <f aca="false">B762</f>
        <v>м.п.</v>
      </c>
      <c r="C800" s="2577" t="n">
        <f aca="false">C762</f>
        <v>0.2</v>
      </c>
      <c r="D800" s="2577"/>
      <c r="E800" s="2577" t="n">
        <f aca="false">E762</f>
        <v>0</v>
      </c>
      <c r="F800" s="2577"/>
      <c r="G800" s="2577" t="n">
        <f aca="false">H800</f>
        <v>0</v>
      </c>
      <c r="H800" s="2584" t="n">
        <f aca="false">дома!C1550*(IF('Ввод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1" customFormat="false" ht="14.5" hidden="false" customHeight="false" outlineLevel="0" collapsed="false">
      <c r="A801" s="2577" t="str">
        <f aca="false">A763</f>
        <v>Перемычка оконная, 2-ый эт. Вариант 6</v>
      </c>
      <c r="B801" s="2583" t="str">
        <f aca="false">B763</f>
        <v>м.п.</v>
      </c>
      <c r="C801" s="2577" t="n">
        <f aca="false">C763</f>
        <v>0.2</v>
      </c>
      <c r="D801" s="2577"/>
      <c r="E801" s="2577" t="n">
        <f aca="false">E763</f>
        <v>0</v>
      </c>
      <c r="F801" s="2577"/>
      <c r="G801" s="2577" t="n">
        <f aca="false">H801</f>
        <v>0</v>
      </c>
      <c r="H801" s="2584" t="n">
        <f aca="false">дома!C1551*(IF('Ввод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2" customFormat="false" ht="14.5" hidden="false" customHeight="false" outlineLevel="0" collapsed="false">
      <c r="A802" s="2577" t="str">
        <f aca="false">A764</f>
        <v>Перемычка оконная, 2-ый эт. Вариант 7</v>
      </c>
      <c r="B802" s="2583" t="str">
        <f aca="false">B764</f>
        <v>м.п.</v>
      </c>
      <c r="C802" s="2577" t="n">
        <f aca="false">C764</f>
        <v>0.2</v>
      </c>
      <c r="D802" s="2577"/>
      <c r="E802" s="2577" t="n">
        <f aca="false">E764</f>
        <v>0</v>
      </c>
      <c r="F802" s="2577"/>
      <c r="G802" s="2577" t="n">
        <f aca="false">H802</f>
        <v>0</v>
      </c>
      <c r="H802" s="2584" t="n">
        <f aca="false">дома!C1552*(IF('Ввод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3" customFormat="false" ht="14.5" hidden="false" customHeight="false" outlineLevel="0" collapsed="false">
      <c r="A803" s="2577" t="str">
        <f aca="false">A765</f>
        <v>Перемычка оконная, 2-ый эт. Вариант 8</v>
      </c>
      <c r="B803" s="2583" t="str">
        <f aca="false">B765</f>
        <v>м.п.</v>
      </c>
      <c r="C803" s="2577" t="n">
        <f aca="false">C765</f>
        <v>0.2</v>
      </c>
      <c r="D803" s="2577"/>
      <c r="E803" s="2577" t="n">
        <f aca="false">E765</f>
        <v>0</v>
      </c>
      <c r="F803" s="2577"/>
      <c r="G803" s="2577" t="n">
        <f aca="false">H803</f>
        <v>0</v>
      </c>
      <c r="H803" s="2584" t="n">
        <f aca="false">дома!C1553*(IF('Ввод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4" customFormat="false" ht="14.5" hidden="false" customHeight="false" outlineLevel="0" collapsed="false">
      <c r="A804" s="2577" t="str">
        <f aca="false">A766</f>
        <v>Перемычка оконная, 2-ый эт. Вариант 9</v>
      </c>
      <c r="B804" s="2583" t="str">
        <f aca="false">B766</f>
        <v>м.п.</v>
      </c>
      <c r="C804" s="2577" t="n">
        <f aca="false">C766</f>
        <v>0.2</v>
      </c>
      <c r="D804" s="2577"/>
      <c r="E804" s="2577" t="n">
        <f aca="false">E766</f>
        <v>0</v>
      </c>
      <c r="F804" s="2577"/>
      <c r="G804" s="2577" t="n">
        <f aca="false">H804</f>
        <v>0</v>
      </c>
      <c r="H804" s="2584" t="n">
        <f aca="false">дома!C1554*(IF('Ввод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5" customFormat="false" ht="14.5" hidden="false" customHeight="false" outlineLevel="0" collapsed="false">
      <c r="A805" s="2577" t="str">
        <f aca="false">A767</f>
        <v>Перемычка оконная, 2-ый эт. Вариант 10</v>
      </c>
      <c r="B805" s="2583" t="str">
        <f aca="false">B767</f>
        <v>м.п.</v>
      </c>
      <c r="C805" s="2577" t="n">
        <f aca="false">C767</f>
        <v>0.2</v>
      </c>
      <c r="D805" s="2577"/>
      <c r="E805" s="2577" t="n">
        <f aca="false">E767</f>
        <v>0</v>
      </c>
      <c r="F805" s="2577"/>
      <c r="G805" s="2577" t="n">
        <f aca="false">H805</f>
        <v>0</v>
      </c>
      <c r="H805" s="2584" t="n">
        <f aca="false">дома!C1555*(IF('Ввод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6" customFormat="false" ht="14.5" hidden="false" customHeight="false" outlineLevel="0" collapsed="false">
      <c r="A806" s="2577" t="str">
        <f aca="false">A768</f>
        <v>Перемычка дверная, 1-ый эт. Вариант 1</v>
      </c>
      <c r="B806" s="2583" t="str">
        <f aca="false">B768</f>
        <v>м.п.</v>
      </c>
      <c r="C806" s="2577" t="n">
        <f aca="false">C768</f>
        <v>0.2</v>
      </c>
      <c r="D806" s="2577"/>
      <c r="E806" s="2577" t="n">
        <f aca="false">E768</f>
        <v>0</v>
      </c>
      <c r="F806" s="2577"/>
      <c r="G806" s="2577" t="n">
        <f aca="false">H806</f>
        <v>0</v>
      </c>
      <c r="H806" s="2584" t="n">
        <f aca="false">дома!C1556*(IF('Ввод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7" customFormat="false" ht="14.5" hidden="false" customHeight="false" outlineLevel="0" collapsed="false">
      <c r="A807" s="2577" t="str">
        <f aca="false">A769</f>
        <v>Перемычка дверная, 2-ый эт. Вариант 2</v>
      </c>
      <c r="B807" s="2583" t="str">
        <f aca="false">B769</f>
        <v>м.п.</v>
      </c>
      <c r="C807" s="2577" t="n">
        <f aca="false">C769</f>
        <v>0.2</v>
      </c>
      <c r="D807" s="2577"/>
      <c r="E807" s="2577" t="n">
        <f aca="false">E769</f>
        <v>0</v>
      </c>
      <c r="F807" s="2577"/>
      <c r="G807" s="2577" t="n">
        <f aca="false">H807</f>
        <v>0</v>
      </c>
      <c r="H807" s="2584" t="n">
        <f aca="false">дома!C1557*(IF('Ввод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8" customFormat="false" ht="14.5" hidden="false" customHeight="false" outlineLevel="0" collapsed="false">
      <c r="A808" s="2577" t="str">
        <f aca="false">A770</f>
        <v>Перемычка оконная 1-ый эт, Вариант 11</v>
      </c>
      <c r="B808" s="2583" t="str">
        <f aca="false">B770</f>
        <v>м.п.</v>
      </c>
      <c r="C808" s="2577" t="n">
        <f aca="false">C770</f>
        <v>0.2</v>
      </c>
      <c r="D808" s="2577"/>
      <c r="E808" s="2577" t="n">
        <f aca="false">E770</f>
        <v>0</v>
      </c>
      <c r="F808" s="2577"/>
      <c r="G808" s="2577" t="n">
        <f aca="false">H808</f>
        <v>0</v>
      </c>
      <c r="H808" s="2584" t="n">
        <f aca="false">дома!C1558*(IF('Ввод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09" customFormat="false" ht="14.5" hidden="false" customHeight="false" outlineLevel="0" collapsed="false">
      <c r="A809" s="2577" t="str">
        <f aca="false">A771</f>
        <v>Перемычка оконная 1-ый эт, Вариант 12</v>
      </c>
      <c r="B809" s="2583" t="str">
        <f aca="false">B771</f>
        <v>м.п.</v>
      </c>
      <c r="C809" s="2577" t="n">
        <f aca="false">C771</f>
        <v>0.2</v>
      </c>
      <c r="D809" s="2577"/>
      <c r="E809" s="2577" t="n">
        <f aca="false">E771</f>
        <v>0</v>
      </c>
      <c r="F809" s="2577"/>
      <c r="G809" s="2577" t="n">
        <f aca="false">H809</f>
        <v>0</v>
      </c>
      <c r="H809" s="2584" t="n">
        <f aca="false">дома!C1559*(IF('Ввод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0" customFormat="false" ht="14.5" hidden="false" customHeight="false" outlineLevel="0" collapsed="false">
      <c r="A810" s="2577" t="str">
        <f aca="false">A772</f>
        <v>Перемычка дверная, 1-ый эт. Вариант 4</v>
      </c>
      <c r="B810" s="2583" t="str">
        <f aca="false">B772</f>
        <v>м.п.</v>
      </c>
      <c r="C810" s="2577" t="n">
        <f aca="false">C772</f>
        <v>0.2</v>
      </c>
      <c r="D810" s="2577"/>
      <c r="E810" s="2577" t="n">
        <f aca="false">E772</f>
        <v>0</v>
      </c>
      <c r="F810" s="2577"/>
      <c r="G810" s="2577" t="n">
        <f aca="false">H810</f>
        <v>0</v>
      </c>
      <c r="H810" s="2584" t="n">
        <f aca="false">дома!C1560*(IF('Ввод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1" customFormat="false" ht="14.5" hidden="false" customHeight="false" outlineLevel="0" collapsed="false">
      <c r="A811" s="2577" t="str">
        <f aca="false">A773</f>
        <v>Перемычка дверная, 1-ый эт. Вариант 5</v>
      </c>
      <c r="B811" s="2583" t="str">
        <f aca="false">B773</f>
        <v>м.п.</v>
      </c>
      <c r="C811" s="2577" t="n">
        <f aca="false">C773</f>
        <v>0.2</v>
      </c>
      <c r="D811" s="2577"/>
      <c r="E811" s="2577" t="n">
        <f aca="false">E773</f>
        <v>0</v>
      </c>
      <c r="F811" s="2577"/>
      <c r="G811" s="2577" t="n">
        <f aca="false">H811</f>
        <v>0</v>
      </c>
      <c r="H811" s="2584" t="n">
        <f aca="false">дома!C1561*(IF('Ввод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2" customFormat="false" ht="14.5" hidden="false" customHeight="false" outlineLevel="0" collapsed="false">
      <c r="A812" s="2577" t="str">
        <f aca="false">A774</f>
        <v>Перемычка дверная, 1-ый эт. Вариант 6</v>
      </c>
      <c r="B812" s="2583" t="str">
        <f aca="false">B774</f>
        <v>м.п.</v>
      </c>
      <c r="C812" s="2577" t="n">
        <f aca="false">C774</f>
        <v>0.2</v>
      </c>
      <c r="D812" s="2577"/>
      <c r="E812" s="2577" t="n">
        <f aca="false">E774</f>
        <v>0</v>
      </c>
      <c r="F812" s="2577"/>
      <c r="G812" s="2577" t="n">
        <f aca="false">H812</f>
        <v>0</v>
      </c>
      <c r="H812" s="2584" t="n">
        <f aca="false">дома!C1562*(IF('Ввод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3" customFormat="false" ht="14.5" hidden="false" customHeight="false" outlineLevel="0" collapsed="false">
      <c r="A813" s="2577" t="str">
        <f aca="false">A775</f>
        <v>Перемычка дверная, 2-ый эт. Вариант 7</v>
      </c>
      <c r="B813" s="2583" t="str">
        <f aca="false">B775</f>
        <v>м.п.</v>
      </c>
      <c r="C813" s="2577" t="n">
        <f aca="false">C775</f>
        <v>0.2</v>
      </c>
      <c r="D813" s="2577"/>
      <c r="E813" s="2577" t="n">
        <f aca="false">E775</f>
        <v>0</v>
      </c>
      <c r="F813" s="2577"/>
      <c r="G813" s="2577" t="n">
        <f aca="false">H813</f>
        <v>0</v>
      </c>
      <c r="H813" s="2584" t="n">
        <f aca="false">дома!C1563*(IF('Ввод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4" customFormat="false" ht="14.5" hidden="false" customHeight="false" outlineLevel="0" collapsed="false">
      <c r="A814" s="2577" t="str">
        <f aca="false">A776</f>
        <v>Перемычка дверная, 2-ый эт. Вариант 8</v>
      </c>
      <c r="B814" s="2583" t="str">
        <f aca="false">B776</f>
        <v>м.п.</v>
      </c>
      <c r="C814" s="2577" t="n">
        <f aca="false">C776</f>
        <v>0.2</v>
      </c>
      <c r="D814" s="2577"/>
      <c r="E814" s="2577" t="n">
        <f aca="false">E776</f>
        <v>0</v>
      </c>
      <c r="F814" s="2577"/>
      <c r="G814" s="2577" t="n">
        <f aca="false">H814</f>
        <v>0</v>
      </c>
      <c r="H814" s="2584" t="n">
        <f aca="false">дома!C1564*(IF('Ввод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5" customFormat="false" ht="14.5" hidden="false" customHeight="false" outlineLevel="0" collapsed="false">
      <c r="A815" s="2577" t="str">
        <f aca="false">A777</f>
        <v>Перемычка дверная, 2-ый эт. Вариант 9</v>
      </c>
      <c r="B815" s="2583" t="str">
        <f aca="false">B777</f>
        <v>м.п.</v>
      </c>
      <c r="C815" s="2577" t="n">
        <f aca="false">C777</f>
        <v>0.2</v>
      </c>
      <c r="D815" s="2577"/>
      <c r="E815" s="2577" t="n">
        <f aca="false">E777</f>
        <v>0</v>
      </c>
      <c r="F815" s="2577"/>
      <c r="G815" s="2577" t="n">
        <f aca="false">H815</f>
        <v>0</v>
      </c>
      <c r="H815" s="2584" t="n">
        <f aca="false">дома!C1565*(IF('Ввод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6" customFormat="false" ht="14.5" hidden="false" customHeight="false" outlineLevel="0" collapsed="false">
      <c r="A816" s="2577" t="str">
        <f aca="false">A778</f>
        <v>Перемычка проема, 1-ый эт. Вариант 10</v>
      </c>
      <c r="B816" s="2583" t="str">
        <f aca="false">B778</f>
        <v>м.п.</v>
      </c>
      <c r="C816" s="2577" t="n">
        <f aca="false">C778</f>
        <v>0.2</v>
      </c>
      <c r="D816" s="2577"/>
      <c r="E816" s="2577" t="n">
        <f aca="false">E778</f>
        <v>0</v>
      </c>
      <c r="F816" s="2577"/>
      <c r="G816" s="2577" t="n">
        <f aca="false">H816</f>
        <v>0</v>
      </c>
      <c r="H816" s="2584" t="n">
        <f aca="false">дома!C1566*(IF('Ввод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7" customFormat="false" ht="14.5" hidden="false" customHeight="false" outlineLevel="0" collapsed="false">
      <c r="A817" s="2577" t="str">
        <f aca="false">A779</f>
        <v>Перемычка проема, 1-ый эт. Вариант 11</v>
      </c>
      <c r="B817" s="2583" t="str">
        <f aca="false">B779</f>
        <v>м.п.</v>
      </c>
      <c r="C817" s="2577" t="n">
        <f aca="false">C779</f>
        <v>0.2</v>
      </c>
      <c r="D817" s="2577"/>
      <c r="E817" s="2577" t="n">
        <f aca="false">E779</f>
        <v>0</v>
      </c>
      <c r="F817" s="2577"/>
      <c r="G817" s="2577" t="n">
        <f aca="false">H817</f>
        <v>0</v>
      </c>
      <c r="H817" s="2584" t="n">
        <f aca="false">дома!C1567*(IF('Ввод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8" customFormat="false" ht="14.5" hidden="false" customHeight="false" outlineLevel="0" collapsed="false">
      <c r="A818" s="2577" t="str">
        <f aca="false">A780</f>
        <v>Перемычка проема, 2-ый эт. Вариант 12</v>
      </c>
      <c r="B818" s="2583" t="str">
        <f aca="false">B780</f>
        <v>м.п.</v>
      </c>
      <c r="C818" s="2577" t="n">
        <f aca="false">C780</f>
        <v>0.2</v>
      </c>
      <c r="D818" s="2577"/>
      <c r="E818" s="2577" t="n">
        <f aca="false">E780</f>
        <v>0</v>
      </c>
      <c r="F818" s="2577"/>
      <c r="G818" s="2577" t="n">
        <f aca="false">H818</f>
        <v>0</v>
      </c>
      <c r="H818" s="2584" t="n">
        <f aca="false">дома!C1568*(IF('Ввод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19" customFormat="false" ht="14.5" hidden="false" customHeight="false" outlineLevel="0" collapsed="false">
      <c r="A819" s="2577" t="str">
        <f aca="false">A781</f>
        <v>Перемычка проема, 2-ый эт. Вариант 13</v>
      </c>
      <c r="B819" s="2583" t="str">
        <f aca="false">B781</f>
        <v>м.п.</v>
      </c>
      <c r="C819" s="2577" t="n">
        <f aca="false">C781</f>
        <v>0.2</v>
      </c>
      <c r="D819" s="2577"/>
      <c r="E819" s="2577" t="n">
        <f aca="false">E781</f>
        <v>0</v>
      </c>
      <c r="F819" s="2577"/>
      <c r="G819" s="2577" t="n">
        <f aca="false">H819</f>
        <v>0</v>
      </c>
      <c r="H819" s="2584" t="n">
        <f aca="false">дома!C1569*(IF('Ввод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0" customFormat="false" ht="14.5" hidden="false" customHeight="false" outlineLevel="0" collapsed="false">
      <c r="A820" s="2577" t="str">
        <f aca="false">A782</f>
        <v>Перемычка дверная, 1-ый эт. Вариант 1</v>
      </c>
      <c r="B820" s="2583" t="str">
        <f aca="false">B782</f>
        <v>м.п.</v>
      </c>
      <c r="C820" s="2577" t="n">
        <f aca="false">C782</f>
        <v>0.2</v>
      </c>
      <c r="D820" s="2577"/>
      <c r="E820" s="2577" t="n">
        <f aca="false">E782</f>
        <v>0</v>
      </c>
      <c r="F820" s="2577"/>
      <c r="G820" s="2577" t="n">
        <f aca="false">H820</f>
        <v>0</v>
      </c>
      <c r="H820" s="2584" t="n">
        <f aca="false">дома!C1570*(IF('Ввод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1" customFormat="false" ht="14.5" hidden="false" customHeight="false" outlineLevel="0" collapsed="false">
      <c r="A821" s="2577" t="str">
        <f aca="false">A783</f>
        <v>Перемычка дверная, 1-ый эт. Вариант 2</v>
      </c>
      <c r="B821" s="2583" t="str">
        <f aca="false">B783</f>
        <v>м.п.</v>
      </c>
      <c r="C821" s="2577" t="n">
        <f aca="false">C783</f>
        <v>0.2</v>
      </c>
      <c r="D821" s="2577"/>
      <c r="E821" s="2577" t="n">
        <f aca="false">E783</f>
        <v>0</v>
      </c>
      <c r="F821" s="2577"/>
      <c r="G821" s="2577" t="n">
        <f aca="false">H821</f>
        <v>0</v>
      </c>
      <c r="H821" s="2584" t="n">
        <f aca="false">дома!C1571*(IF('Ввод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2" customFormat="false" ht="14.5" hidden="false" customHeight="false" outlineLevel="0" collapsed="false">
      <c r="A822" s="2577" t="str">
        <f aca="false">A784</f>
        <v>Перемычка дверная, 1-ый эт. Вариант 3</v>
      </c>
      <c r="B822" s="2583" t="str">
        <f aca="false">B784</f>
        <v>м.п.</v>
      </c>
      <c r="C822" s="2577" t="n">
        <f aca="false">C784</f>
        <v>0.2</v>
      </c>
      <c r="D822" s="2577"/>
      <c r="E822" s="2577" t="n">
        <f aca="false">E784</f>
        <v>0</v>
      </c>
      <c r="F822" s="2577"/>
      <c r="G822" s="2577" t="n">
        <f aca="false">H822</f>
        <v>0</v>
      </c>
      <c r="H822" s="2584" t="n">
        <f aca="false">дома!C1572*(IF('Ввод данных'!$A$8=связи1!$A$154,1,0)+IF('Ввод данных'!$A$8=связи1!$A$162,1,0)+IF('Ввод данных'!$A$8=связи1!$A$178,1,0)+IF('Ввод данных'!$A$8=связи1!$A$179,1,0)+IF('Ввод данных'!$A$8=связи1!$A$180,1,0)+IF('Ввод данных'!$A$8=связи1!$A$181,1,0)+IF('Ввод данных'!$A$8=связи1!$A$182,1,0)+IF('Ввод данных'!$A$8=связи1!$A$183,1,0)+IF('Ввод данных'!$A$8=связи1!$A$184,1,0))</f>
        <v>0</v>
      </c>
    </row>
    <row r="823" customFormat="false" ht="18.5" hidden="false" customHeight="false" outlineLevel="0" collapsed="false">
      <c r="A823" s="2590" t="s">
        <v>1093</v>
      </c>
      <c r="B823" s="2586" t="s">
        <v>208</v>
      </c>
      <c r="C823" s="2586" t="s">
        <v>293</v>
      </c>
      <c r="D823" s="2586" t="s">
        <v>1800</v>
      </c>
      <c r="E823" s="2573" t="s">
        <v>853</v>
      </c>
      <c r="F823" s="2585" t="s">
        <v>1902</v>
      </c>
      <c r="G823" s="2585" t="s">
        <v>4186</v>
      </c>
      <c r="H823" s="2578" t="n">
        <f aca="false">SUM(H824:H828)</f>
        <v>0</v>
      </c>
    </row>
    <row r="824" customFormat="false" ht="15.5" hidden="false" customHeight="false" outlineLevel="0" collapsed="false">
      <c r="A824" s="2561" t="s">
        <v>4181</v>
      </c>
      <c r="B824" s="2576" t="s">
        <v>135</v>
      </c>
      <c r="C824" s="2316" t="n">
        <f aca="false">C793</f>
        <v>188</v>
      </c>
      <c r="D824" s="2316" t="n">
        <f aca="false">D793</f>
        <v>190</v>
      </c>
      <c r="E824" s="2316" t="n">
        <f aca="false">E793</f>
        <v>390</v>
      </c>
      <c r="F824" s="2563" t="n">
        <f aca="false">F793</f>
        <v>0</v>
      </c>
      <c r="G824" s="2563" t="n">
        <f aca="false">G793</f>
        <v>0</v>
      </c>
      <c r="H824" s="2578" t="n">
        <f aca="false">IF(G824&gt;0,1,0)</f>
        <v>0</v>
      </c>
    </row>
    <row r="825" customFormat="false" ht="15.5" hidden="false" customHeight="false" outlineLevel="0" collapsed="false">
      <c r="A825" s="2577" t="s">
        <v>4183</v>
      </c>
      <c r="B825" s="2576" t="s">
        <v>135</v>
      </c>
      <c r="C825" s="2316" t="n">
        <f aca="false">C794</f>
        <v>188</v>
      </c>
      <c r="D825" s="2316" t="n">
        <f aca="false">D794</f>
        <v>190</v>
      </c>
      <c r="E825" s="2316" t="n">
        <f aca="false">E794</f>
        <v>390</v>
      </c>
      <c r="F825" s="2563" t="n">
        <f aca="false">F794</f>
        <v>0</v>
      </c>
      <c r="G825" s="2563" t="n">
        <f aca="false">G794</f>
        <v>0</v>
      </c>
      <c r="H825" s="2578" t="n">
        <f aca="false">IF(G825&gt;0,1,0)</f>
        <v>0</v>
      </c>
    </row>
    <row r="826" customFormat="false" ht="15.5" hidden="false" customHeight="false" outlineLevel="0" collapsed="false">
      <c r="A826" s="2577" t="s">
        <v>4184</v>
      </c>
      <c r="B826" s="2576" t="s">
        <v>135</v>
      </c>
      <c r="C826" s="2316" t="n">
        <f aca="false">C795</f>
        <v>188</v>
      </c>
      <c r="D826" s="2316" t="n">
        <f aca="false">D795</f>
        <v>90</v>
      </c>
      <c r="E826" s="2316" t="n">
        <f aca="false">E795</f>
        <v>390</v>
      </c>
      <c r="F826" s="2563" t="n">
        <f aca="false">F795</f>
        <v>0</v>
      </c>
      <c r="G826" s="2563" t="n">
        <f aca="false">G795</f>
        <v>0</v>
      </c>
      <c r="H826" s="2578" t="n">
        <f aca="false">IF(G826&gt;0,1,0)</f>
        <v>0</v>
      </c>
    </row>
    <row r="827" customFormat="false" ht="14.5" hidden="false" customHeight="false" outlineLevel="0" collapsed="false">
      <c r="A827" s="2577" t="s">
        <v>4187</v>
      </c>
      <c r="B827" s="2583" t="s">
        <v>156</v>
      </c>
      <c r="C827" s="2316"/>
      <c r="D827" s="2316"/>
      <c r="E827" s="2316"/>
      <c r="F827" s="2316" t="n">
        <f aca="false">SUM(H796:H809)+SUM(H820:H822)</f>
        <v>0</v>
      </c>
      <c r="G827" s="2316"/>
      <c r="H827" s="2578" t="n">
        <f aca="false">IF(F827&gt;0,1,0)</f>
        <v>0</v>
      </c>
    </row>
    <row r="828" customFormat="false" ht="14.5" hidden="false" customHeight="false" outlineLevel="0" collapsed="false">
      <c r="A828" s="2577" t="s">
        <v>4188</v>
      </c>
      <c r="B828" s="2583" t="s">
        <v>156</v>
      </c>
      <c r="C828" s="2316"/>
      <c r="D828" s="2316"/>
      <c r="E828" s="2316"/>
      <c r="F828" s="2316" t="n">
        <f aca="false">SUM(H810:H819)</f>
        <v>0</v>
      </c>
      <c r="G828" s="2316"/>
      <c r="H828" s="2578" t="n">
        <f aca="false">IF(F828&gt;0,1,0)</f>
        <v>0</v>
      </c>
    </row>
    <row r="829" customFormat="false" ht="21" hidden="false" customHeight="false" outlineLevel="0" collapsed="false">
      <c r="A829" s="2558" t="s">
        <v>4190</v>
      </c>
      <c r="B829" s="2558"/>
      <c r="C829" s="2558"/>
      <c r="D829" s="2558"/>
      <c r="E829" s="2558"/>
      <c r="F829" s="2558"/>
      <c r="G829" s="2559"/>
      <c r="H829" s="2560" t="n">
        <f aca="false">H830</f>
        <v>2097.5887724953</v>
      </c>
    </row>
    <row r="830" customFormat="false" ht="15.5" hidden="false" customHeight="false" outlineLevel="0" collapsed="false">
      <c r="A830" s="2587" t="s">
        <v>1093</v>
      </c>
      <c r="B830" s="2587" t="s">
        <v>208</v>
      </c>
      <c r="C830" s="2587" t="s">
        <v>293</v>
      </c>
      <c r="D830" s="2587" t="s">
        <v>1800</v>
      </c>
      <c r="E830" s="2587" t="s">
        <v>853</v>
      </c>
      <c r="F830" s="2587" t="s">
        <v>1698</v>
      </c>
      <c r="G830" s="2588" t="s">
        <v>1802</v>
      </c>
      <c r="H830" s="2589" t="n">
        <f aca="false">SUM(H831:H860)</f>
        <v>2097.5887724953</v>
      </c>
    </row>
    <row r="831" customFormat="false" ht="14.5" hidden="false" customHeight="false" outlineLevel="0" collapsed="false">
      <c r="A831" s="2577" t="str">
        <f aca="false">дома!A1697</f>
        <v>Керамоблок 510х250х219 мм -    14,3 НФ</v>
      </c>
      <c r="B831" s="2583" t="str">
        <f aca="false">дома!B1697</f>
        <v>м3</v>
      </c>
      <c r="C831" s="2316" t="n">
        <f aca="false">дома!D1697</f>
        <v>219</v>
      </c>
      <c r="D831" s="2316" t="n">
        <f aca="false">дома!E1697</f>
        <v>250</v>
      </c>
      <c r="E831" s="2316" t="n">
        <f aca="false">дома!F1697</f>
        <v>510</v>
      </c>
      <c r="F831" s="2316" t="n">
        <f aca="false">дома!C1697</f>
        <v>41.7516</v>
      </c>
      <c r="G831" s="2316" t="n">
        <f aca="false">H831</f>
        <v>1495.26725758797</v>
      </c>
      <c r="H831" s="2316" t="n">
        <f aca="false">дома!G1697*(IF('Ввод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1495.26725758797</v>
      </c>
    </row>
    <row r="832" customFormat="false" ht="14.5" hidden="false" customHeight="false" outlineLevel="0" collapsed="false">
      <c r="A832" s="2577" t="str">
        <f aca="false">дома!A1698</f>
        <v>Керамоблок 510х250х219 мм -    14,3 НФ</v>
      </c>
      <c r="B832" s="2583" t="str">
        <f aca="false">дома!B1698</f>
        <v>м3</v>
      </c>
      <c r="C832" s="2316" t="n">
        <f aca="false">дома!D1698</f>
        <v>219</v>
      </c>
      <c r="D832" s="2316" t="n">
        <f aca="false">дома!E1698</f>
        <v>250</v>
      </c>
      <c r="E832" s="2316" t="n">
        <f aca="false">дома!F1698</f>
        <v>510</v>
      </c>
      <c r="F832" s="2316" t="n">
        <f aca="false">дома!C1698</f>
        <v>12.672</v>
      </c>
      <c r="G832" s="2316" t="n">
        <f aca="false">H832</f>
        <v>453.827558420629</v>
      </c>
      <c r="H832" s="2316" t="n">
        <f aca="false">дома!G1698*(IF('Ввод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453.827558420629</v>
      </c>
    </row>
    <row r="833" customFormat="false" ht="14.5" hidden="false" customHeight="false" outlineLevel="0" collapsed="false">
      <c r="A833" s="2577" t="str">
        <f aca="false">дома!A1699</f>
        <v>Керамоблок 510х250х219 мм -    14,3 НФ</v>
      </c>
      <c r="B833" s="2583" t="str">
        <f aca="false">дома!B1699</f>
        <v>м3</v>
      </c>
      <c r="C833" s="2316" t="n">
        <f aca="false">дома!D1699</f>
        <v>219</v>
      </c>
      <c r="D833" s="2316" t="n">
        <f aca="false">дома!E1699</f>
        <v>250</v>
      </c>
      <c r="E833" s="2316" t="n">
        <f aca="false">дома!F1699</f>
        <v>510</v>
      </c>
      <c r="F833" s="2316" t="n">
        <f aca="false">дома!C1699</f>
        <v>4.1184</v>
      </c>
      <c r="G833" s="2316" t="n">
        <f aca="false">H833</f>
        <v>147.493956486704</v>
      </c>
      <c r="H833" s="2316" t="n">
        <f aca="false">дома!G1699*(IF('Ввод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147.493956486704</v>
      </c>
    </row>
    <row r="834" customFormat="false" ht="14.5" hidden="false" customHeight="false" outlineLevel="0" collapsed="false">
      <c r="A834" s="2577" t="str">
        <f aca="false">A796</f>
        <v>Перемычка оконная, 1-ый эт. Вариант 1</v>
      </c>
      <c r="B834" s="2583" t="str">
        <f aca="false">B796</f>
        <v>м.п.</v>
      </c>
      <c r="C834" s="2577" t="n">
        <f aca="false">C796</f>
        <v>0.2</v>
      </c>
      <c r="D834" s="2577"/>
      <c r="E834" s="2577" t="n">
        <f aca="false">E796</f>
        <v>1</v>
      </c>
      <c r="F834" s="2577"/>
      <c r="G834" s="2577" t="n">
        <f aca="false">H834</f>
        <v>1</v>
      </c>
      <c r="H834" s="2316" t="n">
        <f aca="false">дома!C1546*(IF('Ввод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1</v>
      </c>
    </row>
    <row r="835" customFormat="false" ht="14.5" hidden="false" customHeight="false" outlineLevel="0" collapsed="false">
      <c r="A835" s="2577" t="str">
        <f aca="false">A797</f>
        <v>Перемычка оконная, 1-ый эт. Вариант 2</v>
      </c>
      <c r="B835" s="2583" t="str">
        <f aca="false">B797</f>
        <v>м.п.</v>
      </c>
      <c r="C835" s="2577" t="n">
        <f aca="false">C797</f>
        <v>0.2</v>
      </c>
      <c r="D835" s="2577"/>
      <c r="E835" s="2577" t="n">
        <f aca="false">E797</f>
        <v>0</v>
      </c>
      <c r="F835" s="2577"/>
      <c r="G835" s="2577" t="n">
        <f aca="false">H835</f>
        <v>0</v>
      </c>
      <c r="H835" s="2316" t="n">
        <f aca="false">дома!C1547*(IF('Ввод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6" customFormat="false" ht="14.5" hidden="false" customHeight="false" outlineLevel="0" collapsed="false">
      <c r="A836" s="2577" t="str">
        <f aca="false">A798</f>
        <v>Перемычка оконная, 1-ый эт. Вариант 3</v>
      </c>
      <c r="B836" s="2583" t="str">
        <f aca="false">B798</f>
        <v>м.п.</v>
      </c>
      <c r="C836" s="2577" t="n">
        <f aca="false">C798</f>
        <v>0.2</v>
      </c>
      <c r="D836" s="2577"/>
      <c r="E836" s="2577" t="n">
        <f aca="false">E798</f>
        <v>0</v>
      </c>
      <c r="F836" s="2577"/>
      <c r="G836" s="2577" t="n">
        <f aca="false">H836</f>
        <v>0</v>
      </c>
      <c r="H836" s="2316" t="n">
        <f aca="false">дома!C1548*(IF('Ввод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7" customFormat="false" ht="14.5" hidden="false" customHeight="false" outlineLevel="0" collapsed="false">
      <c r="A837" s="2577" t="str">
        <f aca="false">A799</f>
        <v>Перемычка оконная, 1-ый эт. Вариант 4</v>
      </c>
      <c r="B837" s="2583" t="str">
        <f aca="false">B799</f>
        <v>м.п.</v>
      </c>
      <c r="C837" s="2577" t="n">
        <f aca="false">C799</f>
        <v>0.2</v>
      </c>
      <c r="D837" s="2577"/>
      <c r="E837" s="2577" t="n">
        <f aca="false">E799</f>
        <v>0</v>
      </c>
      <c r="F837" s="2577"/>
      <c r="G837" s="2577" t="n">
        <f aca="false">H837</f>
        <v>0</v>
      </c>
      <c r="H837" s="2316" t="n">
        <f aca="false">дома!C1549*(IF('Ввод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8" customFormat="false" ht="14.5" hidden="false" customHeight="false" outlineLevel="0" collapsed="false">
      <c r="A838" s="2577" t="str">
        <f aca="false">A800</f>
        <v>Перемычка оконная, 1-ый эт. Вариант 5</v>
      </c>
      <c r="B838" s="2583" t="str">
        <f aca="false">B800</f>
        <v>м.п.</v>
      </c>
      <c r="C838" s="2577" t="n">
        <f aca="false">C800</f>
        <v>0.2</v>
      </c>
      <c r="D838" s="2577"/>
      <c r="E838" s="2577" t="n">
        <f aca="false">E800</f>
        <v>0</v>
      </c>
      <c r="F838" s="2577"/>
      <c r="G838" s="2577" t="n">
        <f aca="false">H838</f>
        <v>0</v>
      </c>
      <c r="H838" s="2316" t="n">
        <f aca="false">дома!C1550*(IF('Ввод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39" customFormat="false" ht="14.5" hidden="false" customHeight="false" outlineLevel="0" collapsed="false">
      <c r="A839" s="2577" t="str">
        <f aca="false">A801</f>
        <v>Перемычка оконная, 2-ый эт. Вариант 6</v>
      </c>
      <c r="B839" s="2583" t="str">
        <f aca="false">B801</f>
        <v>м.п.</v>
      </c>
      <c r="C839" s="2577" t="n">
        <f aca="false">C801</f>
        <v>0.2</v>
      </c>
      <c r="D839" s="2577"/>
      <c r="E839" s="2577" t="n">
        <f aca="false">E801</f>
        <v>0</v>
      </c>
      <c r="F839" s="2577"/>
      <c r="G839" s="2577" t="n">
        <f aca="false">H839</f>
        <v>0</v>
      </c>
      <c r="H839" s="2316" t="n">
        <f aca="false">дома!C1551*(IF('Ввод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0" customFormat="false" ht="14.5" hidden="false" customHeight="false" outlineLevel="0" collapsed="false">
      <c r="A840" s="2577" t="str">
        <f aca="false">A802</f>
        <v>Перемычка оконная, 2-ый эт. Вариант 7</v>
      </c>
      <c r="B840" s="2583" t="str">
        <f aca="false">B802</f>
        <v>м.п.</v>
      </c>
      <c r="C840" s="2577" t="n">
        <f aca="false">C802</f>
        <v>0.2</v>
      </c>
      <c r="D840" s="2577"/>
      <c r="E840" s="2577" t="n">
        <f aca="false">E802</f>
        <v>0</v>
      </c>
      <c r="F840" s="2577"/>
      <c r="G840" s="2577" t="n">
        <f aca="false">H840</f>
        <v>0</v>
      </c>
      <c r="H840" s="2316" t="n">
        <f aca="false">дома!C1552*(IF('Ввод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1" customFormat="false" ht="14.5" hidden="false" customHeight="false" outlineLevel="0" collapsed="false">
      <c r="A841" s="2577" t="str">
        <f aca="false">A803</f>
        <v>Перемычка оконная, 2-ый эт. Вариант 8</v>
      </c>
      <c r="B841" s="2583" t="str">
        <f aca="false">B803</f>
        <v>м.п.</v>
      </c>
      <c r="C841" s="2577" t="n">
        <f aca="false">C803</f>
        <v>0.2</v>
      </c>
      <c r="D841" s="2577"/>
      <c r="E841" s="2577" t="n">
        <f aca="false">E803</f>
        <v>0</v>
      </c>
      <c r="F841" s="2577"/>
      <c r="G841" s="2577" t="n">
        <f aca="false">H841</f>
        <v>0</v>
      </c>
      <c r="H841" s="2316" t="n">
        <f aca="false">дома!C1553*(IF('Ввод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2" customFormat="false" ht="14.5" hidden="false" customHeight="false" outlineLevel="0" collapsed="false">
      <c r="A842" s="2577" t="str">
        <f aca="false">A804</f>
        <v>Перемычка оконная, 2-ый эт. Вариант 9</v>
      </c>
      <c r="B842" s="2583" t="str">
        <f aca="false">B804</f>
        <v>м.п.</v>
      </c>
      <c r="C842" s="2577" t="n">
        <f aca="false">C804</f>
        <v>0.2</v>
      </c>
      <c r="D842" s="2577"/>
      <c r="E842" s="2577" t="n">
        <f aca="false">E804</f>
        <v>0</v>
      </c>
      <c r="F842" s="2577"/>
      <c r="G842" s="2577" t="n">
        <f aca="false">H842</f>
        <v>0</v>
      </c>
      <c r="H842" s="2316" t="n">
        <f aca="false">дома!C1554*(IF('Ввод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3" customFormat="false" ht="14.5" hidden="false" customHeight="false" outlineLevel="0" collapsed="false">
      <c r="A843" s="2577" t="str">
        <f aca="false">A805</f>
        <v>Перемычка оконная, 2-ый эт. Вариант 10</v>
      </c>
      <c r="B843" s="2583" t="str">
        <f aca="false">B805</f>
        <v>м.п.</v>
      </c>
      <c r="C843" s="2577" t="n">
        <f aca="false">C805</f>
        <v>0.2</v>
      </c>
      <c r="D843" s="2577"/>
      <c r="E843" s="2577" t="n">
        <f aca="false">E805</f>
        <v>0</v>
      </c>
      <c r="F843" s="2577"/>
      <c r="G843" s="2577" t="n">
        <f aca="false">H843</f>
        <v>0</v>
      </c>
      <c r="H843" s="2316" t="n">
        <f aca="false">дома!C1555*(IF('Ввод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4" customFormat="false" ht="14.5" hidden="false" customHeight="false" outlineLevel="0" collapsed="false">
      <c r="A844" s="2577" t="str">
        <f aca="false">A806</f>
        <v>Перемычка дверная, 1-ый эт. Вариант 1</v>
      </c>
      <c r="B844" s="2583" t="str">
        <f aca="false">B806</f>
        <v>м.п.</v>
      </c>
      <c r="C844" s="2577" t="n">
        <f aca="false">C806</f>
        <v>0.2</v>
      </c>
      <c r="D844" s="2577"/>
      <c r="E844" s="2577" t="n">
        <f aca="false">E806</f>
        <v>0</v>
      </c>
      <c r="F844" s="2577"/>
      <c r="G844" s="2577" t="n">
        <f aca="false">H844</f>
        <v>0</v>
      </c>
      <c r="H844" s="2316" t="n">
        <f aca="false">дома!C1556*(IF('Ввод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5" customFormat="false" ht="14.5" hidden="false" customHeight="false" outlineLevel="0" collapsed="false">
      <c r="A845" s="2577" t="str">
        <f aca="false">A807</f>
        <v>Перемычка дверная, 2-ый эт. Вариант 2</v>
      </c>
      <c r="B845" s="2583" t="str">
        <f aca="false">B807</f>
        <v>м.п.</v>
      </c>
      <c r="C845" s="2577" t="n">
        <f aca="false">C807</f>
        <v>0.2</v>
      </c>
      <c r="D845" s="2577"/>
      <c r="E845" s="2577" t="n">
        <f aca="false">E807</f>
        <v>0</v>
      </c>
      <c r="F845" s="2577"/>
      <c r="G845" s="2577" t="n">
        <f aca="false">H845</f>
        <v>0</v>
      </c>
      <c r="H845" s="2316" t="n">
        <f aca="false">дома!C1557*(IF('Ввод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6" customFormat="false" ht="14.5" hidden="false" customHeight="false" outlineLevel="0" collapsed="false">
      <c r="A846" s="2577" t="str">
        <f aca="false">A808</f>
        <v>Перемычка оконная 1-ый эт, Вариант 11</v>
      </c>
      <c r="B846" s="2583" t="str">
        <f aca="false">B808</f>
        <v>м.п.</v>
      </c>
      <c r="C846" s="2577" t="n">
        <f aca="false">C808</f>
        <v>0.2</v>
      </c>
      <c r="D846" s="2577"/>
      <c r="E846" s="2577" t="n">
        <f aca="false">E808</f>
        <v>0</v>
      </c>
      <c r="F846" s="2577"/>
      <c r="G846" s="2577" t="n">
        <f aca="false">H846</f>
        <v>0</v>
      </c>
      <c r="H846" s="2316" t="n">
        <f aca="false">дома!C1558*(IF('Ввод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7" customFormat="false" ht="14.5" hidden="false" customHeight="false" outlineLevel="0" collapsed="false">
      <c r="A847" s="2577" t="str">
        <f aca="false">A809</f>
        <v>Перемычка оконная 1-ый эт, Вариант 12</v>
      </c>
      <c r="B847" s="2583" t="str">
        <f aca="false">B809</f>
        <v>м.п.</v>
      </c>
      <c r="C847" s="2577" t="n">
        <f aca="false">C809</f>
        <v>0.2</v>
      </c>
      <c r="D847" s="2577"/>
      <c r="E847" s="2577" t="n">
        <f aca="false">E809</f>
        <v>0</v>
      </c>
      <c r="F847" s="2577"/>
      <c r="G847" s="2577" t="n">
        <f aca="false">H847</f>
        <v>0</v>
      </c>
      <c r="H847" s="2316" t="n">
        <f aca="false">дома!C1559*(IF('Ввод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8" customFormat="false" ht="14.5" hidden="false" customHeight="false" outlineLevel="0" collapsed="false">
      <c r="A848" s="2577" t="str">
        <f aca="false">A810</f>
        <v>Перемычка дверная, 1-ый эт. Вариант 4</v>
      </c>
      <c r="B848" s="2583" t="str">
        <f aca="false">B810</f>
        <v>м.п.</v>
      </c>
      <c r="C848" s="2577" t="n">
        <f aca="false">C810</f>
        <v>0.2</v>
      </c>
      <c r="D848" s="2577"/>
      <c r="E848" s="2577" t="n">
        <f aca="false">E810</f>
        <v>0</v>
      </c>
      <c r="F848" s="2577"/>
      <c r="G848" s="2577" t="n">
        <f aca="false">H848</f>
        <v>0</v>
      </c>
      <c r="H848" s="2316" t="n">
        <f aca="false">дома!C1560*(IF('Ввод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49" customFormat="false" ht="14.5" hidden="false" customHeight="false" outlineLevel="0" collapsed="false">
      <c r="A849" s="2577" t="str">
        <f aca="false">A811</f>
        <v>Перемычка дверная, 1-ый эт. Вариант 5</v>
      </c>
      <c r="B849" s="2583" t="str">
        <f aca="false">B811</f>
        <v>м.п.</v>
      </c>
      <c r="C849" s="2577" t="n">
        <f aca="false">C811</f>
        <v>0.2</v>
      </c>
      <c r="D849" s="2577"/>
      <c r="E849" s="2577" t="n">
        <f aca="false">E811</f>
        <v>0</v>
      </c>
      <c r="F849" s="2577"/>
      <c r="G849" s="2577" t="n">
        <f aca="false">H849</f>
        <v>0</v>
      </c>
      <c r="H849" s="2316" t="n">
        <f aca="false">дома!C1561*(IF('Ввод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0" customFormat="false" ht="14.5" hidden="false" customHeight="false" outlineLevel="0" collapsed="false">
      <c r="A850" s="2577" t="str">
        <f aca="false">A812</f>
        <v>Перемычка дверная, 1-ый эт. Вариант 6</v>
      </c>
      <c r="B850" s="2583" t="str">
        <f aca="false">B812</f>
        <v>м.п.</v>
      </c>
      <c r="C850" s="2577" t="n">
        <f aca="false">C812</f>
        <v>0.2</v>
      </c>
      <c r="D850" s="2577"/>
      <c r="E850" s="2577" t="n">
        <f aca="false">E812</f>
        <v>0</v>
      </c>
      <c r="F850" s="2577"/>
      <c r="G850" s="2577" t="n">
        <f aca="false">H850</f>
        <v>0</v>
      </c>
      <c r="H850" s="2316" t="n">
        <f aca="false">дома!C1562*(IF('Ввод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1" customFormat="false" ht="14.5" hidden="false" customHeight="false" outlineLevel="0" collapsed="false">
      <c r="A851" s="2577" t="str">
        <f aca="false">A813</f>
        <v>Перемычка дверная, 2-ый эт. Вариант 7</v>
      </c>
      <c r="B851" s="2583" t="str">
        <f aca="false">B813</f>
        <v>м.п.</v>
      </c>
      <c r="C851" s="2577" t="n">
        <f aca="false">C813</f>
        <v>0.2</v>
      </c>
      <c r="D851" s="2577"/>
      <c r="E851" s="2577" t="n">
        <f aca="false">E813</f>
        <v>0</v>
      </c>
      <c r="F851" s="2577"/>
      <c r="G851" s="2577" t="n">
        <f aca="false">H851</f>
        <v>0</v>
      </c>
      <c r="H851" s="2316" t="n">
        <f aca="false">дома!C1563*(IF('Ввод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2" customFormat="false" ht="14.5" hidden="false" customHeight="false" outlineLevel="0" collapsed="false">
      <c r="A852" s="2577" t="str">
        <f aca="false">A814</f>
        <v>Перемычка дверная, 2-ый эт. Вариант 8</v>
      </c>
      <c r="B852" s="2583" t="str">
        <f aca="false">B814</f>
        <v>м.п.</v>
      </c>
      <c r="C852" s="2577" t="n">
        <f aca="false">C814</f>
        <v>0.2</v>
      </c>
      <c r="D852" s="2577"/>
      <c r="E852" s="2577" t="n">
        <f aca="false">E814</f>
        <v>0</v>
      </c>
      <c r="F852" s="2577"/>
      <c r="G852" s="2577" t="n">
        <f aca="false">H852</f>
        <v>0</v>
      </c>
      <c r="H852" s="2316" t="n">
        <f aca="false">дома!C1564*(IF('Ввод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3" customFormat="false" ht="14.5" hidden="false" customHeight="false" outlineLevel="0" collapsed="false">
      <c r="A853" s="2577" t="str">
        <f aca="false">A815</f>
        <v>Перемычка дверная, 2-ый эт. Вариант 9</v>
      </c>
      <c r="B853" s="2583" t="str">
        <f aca="false">B815</f>
        <v>м.п.</v>
      </c>
      <c r="C853" s="2577" t="n">
        <f aca="false">C815</f>
        <v>0.2</v>
      </c>
      <c r="D853" s="2577"/>
      <c r="E853" s="2577" t="n">
        <f aca="false">E815</f>
        <v>0</v>
      </c>
      <c r="F853" s="2577"/>
      <c r="G853" s="2577" t="n">
        <f aca="false">H853</f>
        <v>0</v>
      </c>
      <c r="H853" s="2316" t="n">
        <f aca="false">дома!C1565*(IF('Ввод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4" customFormat="false" ht="14.5" hidden="false" customHeight="false" outlineLevel="0" collapsed="false">
      <c r="A854" s="2577" t="str">
        <f aca="false">A816</f>
        <v>Перемычка проема, 1-ый эт. Вариант 10</v>
      </c>
      <c r="B854" s="2583" t="str">
        <f aca="false">B816</f>
        <v>м.п.</v>
      </c>
      <c r="C854" s="2577" t="n">
        <f aca="false">C816</f>
        <v>0.2</v>
      </c>
      <c r="D854" s="2577"/>
      <c r="E854" s="2577" t="n">
        <f aca="false">E816</f>
        <v>0</v>
      </c>
      <c r="F854" s="2577"/>
      <c r="G854" s="2577" t="n">
        <f aca="false">H854</f>
        <v>0</v>
      </c>
      <c r="H854" s="2316" t="n">
        <f aca="false">дома!C1566*(IF('Ввод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5" customFormat="false" ht="14.5" hidden="false" customHeight="false" outlineLevel="0" collapsed="false">
      <c r="A855" s="2577" t="str">
        <f aca="false">A817</f>
        <v>Перемычка проема, 1-ый эт. Вариант 11</v>
      </c>
      <c r="B855" s="2583" t="str">
        <f aca="false">B817</f>
        <v>м.п.</v>
      </c>
      <c r="C855" s="2577" t="n">
        <f aca="false">C817</f>
        <v>0.2</v>
      </c>
      <c r="D855" s="2577"/>
      <c r="E855" s="2577" t="n">
        <f aca="false">E817</f>
        <v>0</v>
      </c>
      <c r="F855" s="2577"/>
      <c r="G855" s="2577" t="n">
        <f aca="false">H855</f>
        <v>0</v>
      </c>
      <c r="H855" s="2316" t="n">
        <f aca="false">дома!C1567*(IF('Ввод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6" customFormat="false" ht="14.5" hidden="false" customHeight="false" outlineLevel="0" collapsed="false">
      <c r="A856" s="2577" t="str">
        <f aca="false">A818</f>
        <v>Перемычка проема, 2-ый эт. Вариант 12</v>
      </c>
      <c r="B856" s="2583" t="str">
        <f aca="false">B818</f>
        <v>м.п.</v>
      </c>
      <c r="C856" s="2577" t="n">
        <f aca="false">C818</f>
        <v>0.2</v>
      </c>
      <c r="D856" s="2577"/>
      <c r="E856" s="2577" t="n">
        <f aca="false">E818</f>
        <v>0</v>
      </c>
      <c r="F856" s="2577"/>
      <c r="G856" s="2577" t="n">
        <f aca="false">H856</f>
        <v>0</v>
      </c>
      <c r="H856" s="2316" t="n">
        <f aca="false">дома!C1568*(IF('Ввод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7" customFormat="false" ht="14.5" hidden="false" customHeight="false" outlineLevel="0" collapsed="false">
      <c r="A857" s="2577" t="str">
        <f aca="false">A819</f>
        <v>Перемычка проема, 2-ый эт. Вариант 13</v>
      </c>
      <c r="B857" s="2583" t="str">
        <f aca="false">B819</f>
        <v>м.п.</v>
      </c>
      <c r="C857" s="2577" t="n">
        <f aca="false">C819</f>
        <v>0.2</v>
      </c>
      <c r="D857" s="2577"/>
      <c r="E857" s="2577" t="n">
        <f aca="false">E819</f>
        <v>0</v>
      </c>
      <c r="F857" s="2577"/>
      <c r="G857" s="2577" t="n">
        <f aca="false">H857</f>
        <v>0</v>
      </c>
      <c r="H857" s="2316" t="n">
        <f aca="false">дома!C1569*(IF('Ввод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8" customFormat="false" ht="14.5" hidden="false" customHeight="false" outlineLevel="0" collapsed="false">
      <c r="A858" s="2577" t="str">
        <f aca="false">A820</f>
        <v>Перемычка дверная, 1-ый эт. Вариант 1</v>
      </c>
      <c r="B858" s="2583" t="str">
        <f aca="false">B820</f>
        <v>м.п.</v>
      </c>
      <c r="C858" s="2577" t="n">
        <f aca="false">C820</f>
        <v>0.2</v>
      </c>
      <c r="D858" s="2577"/>
      <c r="E858" s="2577" t="n">
        <f aca="false">E820</f>
        <v>0</v>
      </c>
      <c r="F858" s="2577"/>
      <c r="G858" s="2577" t="n">
        <f aca="false">H858</f>
        <v>0</v>
      </c>
      <c r="H858" s="2316" t="n">
        <f aca="false">дома!C1570*(IF('Ввод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59" customFormat="false" ht="14.5" hidden="false" customHeight="false" outlineLevel="0" collapsed="false">
      <c r="A859" s="2577" t="str">
        <f aca="false">A821</f>
        <v>Перемычка дверная, 1-ый эт. Вариант 2</v>
      </c>
      <c r="B859" s="2583" t="str">
        <f aca="false">B821</f>
        <v>м.п.</v>
      </c>
      <c r="C859" s="2577" t="n">
        <f aca="false">C821</f>
        <v>0.2</v>
      </c>
      <c r="D859" s="2577"/>
      <c r="E859" s="2577" t="n">
        <f aca="false">E821</f>
        <v>0</v>
      </c>
      <c r="F859" s="2577"/>
      <c r="G859" s="2577" t="n">
        <f aca="false">H859</f>
        <v>0</v>
      </c>
      <c r="H859" s="2316" t="n">
        <f aca="false">дома!C1571*(IF('Ввод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60" customFormat="false" ht="14.5" hidden="false" customHeight="false" outlineLevel="0" collapsed="false">
      <c r="A860" s="2577" t="str">
        <f aca="false">A822</f>
        <v>Перемычка дверная, 1-ый эт. Вариант 3</v>
      </c>
      <c r="B860" s="2583" t="str">
        <f aca="false">B822</f>
        <v>м.п.</v>
      </c>
      <c r="C860" s="2577" t="n">
        <f aca="false">C822</f>
        <v>0.2</v>
      </c>
      <c r="D860" s="2577"/>
      <c r="E860" s="2577" t="n">
        <f aca="false">E822</f>
        <v>0</v>
      </c>
      <c r="F860" s="2577"/>
      <c r="G860" s="2577" t="n">
        <f aca="false">H860</f>
        <v>0</v>
      </c>
      <c r="H860" s="2316" t="n">
        <f aca="false">дома!C1572*(IF('Ввод данных'!$A$8=связи1!$A$155,1,0)+IF('Ввод данных'!$A$8=связи1!$A$162,1,0)+IF('Ввод данных'!$A$8=связи1!$A$163,1,0)+IF('Ввод данных'!$A$8=связи1!$A$164,1,0)+IF('Ввод данных'!$A$8=связи1!$A$165,1,0)+IF('Ввод данных'!$A$8=связи1!$A$166,1,0)+IF('Ввод данных'!$A$8=связи1!$A$167,1,0)+IF('Ввод данных'!$A$8=связи1!$A$168,1,0)+IF('Ввод данных'!$A$8=связи1!$A$169,1,0)+IF('Ввод данных'!$A$8=связи1!$A$170,1,0))</f>
        <v>0</v>
      </c>
    </row>
    <row r="861" customFormat="false" ht="18.5" hidden="false" customHeight="false" outlineLevel="0" collapsed="false">
      <c r="A861" s="2590" t="s">
        <v>1093</v>
      </c>
      <c r="B861" s="2586" t="s">
        <v>208</v>
      </c>
      <c r="C861" s="2586" t="s">
        <v>293</v>
      </c>
      <c r="D861" s="2586" t="s">
        <v>1800</v>
      </c>
      <c r="E861" s="2573" t="s">
        <v>853</v>
      </c>
      <c r="F861" s="2585" t="s">
        <v>1902</v>
      </c>
      <c r="G861" s="2585" t="s">
        <v>4186</v>
      </c>
      <c r="H861" s="2578" t="n">
        <f aca="false">SUM(H862:H866)</f>
        <v>4</v>
      </c>
    </row>
    <row r="862" customFormat="false" ht="15.5" hidden="false" customHeight="false" outlineLevel="0" collapsed="false">
      <c r="A862" s="2561" t="s">
        <v>4181</v>
      </c>
      <c r="B862" s="2576" t="s">
        <v>135</v>
      </c>
      <c r="C862" s="2316" t="n">
        <f aca="false">C831</f>
        <v>219</v>
      </c>
      <c r="D862" s="2316" t="n">
        <f aca="false">D831</f>
        <v>250</v>
      </c>
      <c r="E862" s="2316" t="n">
        <f aca="false">E831</f>
        <v>510</v>
      </c>
      <c r="F862" s="2563" t="n">
        <f aca="false">F831</f>
        <v>41.7516</v>
      </c>
      <c r="G862" s="2563" t="n">
        <f aca="false">G831</f>
        <v>1495.26725758797</v>
      </c>
      <c r="H862" s="2578" t="n">
        <f aca="false">IF(G862&gt;0,1,0)</f>
        <v>1</v>
      </c>
    </row>
    <row r="863" customFormat="false" ht="15.5" hidden="false" customHeight="false" outlineLevel="0" collapsed="false">
      <c r="A863" s="2577" t="s">
        <v>4183</v>
      </c>
      <c r="B863" s="2576" t="s">
        <v>135</v>
      </c>
      <c r="C863" s="2316" t="n">
        <f aca="false">C832</f>
        <v>219</v>
      </c>
      <c r="D863" s="2316" t="n">
        <f aca="false">D832</f>
        <v>250</v>
      </c>
      <c r="E863" s="2316" t="n">
        <f aca="false">E832</f>
        <v>510</v>
      </c>
      <c r="F863" s="2563" t="n">
        <f aca="false">F832</f>
        <v>12.672</v>
      </c>
      <c r="G863" s="2563" t="n">
        <f aca="false">G832</f>
        <v>453.827558420629</v>
      </c>
      <c r="H863" s="2578" t="n">
        <f aca="false">IF(G863&gt;0,1,0)</f>
        <v>1</v>
      </c>
    </row>
    <row r="864" customFormat="false" ht="15.5" hidden="false" customHeight="false" outlineLevel="0" collapsed="false">
      <c r="A864" s="2577" t="s">
        <v>4184</v>
      </c>
      <c r="B864" s="2576" t="s">
        <v>135</v>
      </c>
      <c r="C864" s="2316" t="n">
        <f aca="false">C833</f>
        <v>219</v>
      </c>
      <c r="D864" s="2316" t="n">
        <f aca="false">D833</f>
        <v>250</v>
      </c>
      <c r="E864" s="2316" t="n">
        <f aca="false">E833</f>
        <v>510</v>
      </c>
      <c r="F864" s="2563" t="n">
        <f aca="false">F833</f>
        <v>4.1184</v>
      </c>
      <c r="G864" s="2563" t="n">
        <f aca="false">G833</f>
        <v>147.493956486704</v>
      </c>
      <c r="H864" s="2578" t="n">
        <f aca="false">IF(G864&gt;0,1,0)</f>
        <v>1</v>
      </c>
    </row>
    <row r="865" customFormat="false" ht="14.5" hidden="false" customHeight="false" outlineLevel="0" collapsed="false">
      <c r="A865" s="2577" t="s">
        <v>4187</v>
      </c>
      <c r="B865" s="2583" t="s">
        <v>156</v>
      </c>
      <c r="C865" s="2316"/>
      <c r="D865" s="2316"/>
      <c r="E865" s="2316"/>
      <c r="F865" s="2316" t="n">
        <f aca="false">SUM(H834:H847)+SUM(H858:H860)</f>
        <v>1</v>
      </c>
      <c r="G865" s="2316"/>
      <c r="H865" s="2578" t="n">
        <f aca="false">IF(F865&gt;0,1,0)</f>
        <v>1</v>
      </c>
    </row>
    <row r="866" customFormat="false" ht="14.5" hidden="false" customHeight="false" outlineLevel="0" collapsed="false">
      <c r="A866" s="2577" t="s">
        <v>4188</v>
      </c>
      <c r="B866" s="2583" t="s">
        <v>156</v>
      </c>
      <c r="C866" s="2316"/>
      <c r="D866" s="2316"/>
      <c r="E866" s="2316"/>
      <c r="F866" s="2316" t="n">
        <f aca="false">SUM(H848:H857)</f>
        <v>0</v>
      </c>
      <c r="G866" s="2316"/>
      <c r="H866" s="2578" t="n">
        <f aca="false">IF(F866&gt;0,1,0)</f>
        <v>0</v>
      </c>
    </row>
    <row r="867" customFormat="false" ht="23.5" hidden="false" customHeight="false" outlineLevel="0" collapsed="false">
      <c r="A867" s="2591" t="s">
        <v>4191</v>
      </c>
      <c r="B867" s="2591"/>
      <c r="C867" s="2591"/>
      <c r="D867" s="2591"/>
      <c r="E867" s="2591"/>
      <c r="F867" s="2591"/>
      <c r="G867" s="2559"/>
      <c r="H867" s="2560" t="n">
        <f aca="false">H868</f>
        <v>0</v>
      </c>
    </row>
    <row r="868" customFormat="false" ht="36.75" hidden="false" customHeight="true" outlineLevel="0" collapsed="false">
      <c r="A868" s="2574" t="s">
        <v>1093</v>
      </c>
      <c r="B868" s="2574" t="s">
        <v>208</v>
      </c>
      <c r="C868" s="2574" t="s">
        <v>209</v>
      </c>
      <c r="D868" s="2574" t="s">
        <v>273</v>
      </c>
      <c r="E868" s="2574" t="s">
        <v>257</v>
      </c>
      <c r="F868" s="2585" t="s">
        <v>4192</v>
      </c>
      <c r="G868" s="2592" t="s">
        <v>4193</v>
      </c>
      <c r="H868" s="2589" t="n">
        <f aca="false">SUM(H869:H872)</f>
        <v>0</v>
      </c>
    </row>
    <row r="869" customFormat="false" ht="14.5" hidden="false" customHeight="false" outlineLevel="0" collapsed="false">
      <c r="A869" s="2577" t="str">
        <f aca="false">дома!A1396</f>
        <v>Sip панель 2800*1250*174мм</v>
      </c>
      <c r="B869" s="2583" t="s">
        <v>159</v>
      </c>
      <c r="C869" s="2577" t="n">
        <f aca="false">дома!I1396</f>
        <v>2.8</v>
      </c>
      <c r="D869" s="2577" t="n">
        <f aca="false">дома!J1396</f>
        <v>1.25</v>
      </c>
      <c r="E869" s="2577" t="n">
        <f aca="false">дома!K1396</f>
        <v>0.174</v>
      </c>
      <c r="F869" s="2577" t="n">
        <f aca="false">дома!C1396</f>
        <v>-1.8</v>
      </c>
      <c r="G869" s="2577" t="n">
        <f aca="false">дома!G1396</f>
        <v>1</v>
      </c>
      <c r="H869" s="2584" t="n">
        <f aca="false">G869*(IF('Ввод данных'!$A$8=связи1!$A$157,1,0)+IF('Ввод данных'!$A$8=связи1!$A$168,1,0)+IF('Ввод данных'!$A$8=связи1!$A$176,1,0)+IF('Ввод данных'!$A$8=связи1!$A$183,1,0))</f>
        <v>0</v>
      </c>
    </row>
    <row r="870" customFormat="false" ht="14.5" hidden="false" customHeight="false" outlineLevel="0" collapsed="false">
      <c r="A870" s="2577" t="str">
        <f aca="false">дома!A1397</f>
        <v>Sip панель 2800*1250*174мм</v>
      </c>
      <c r="B870" s="2583" t="s">
        <v>159</v>
      </c>
      <c r="C870" s="2577" t="n">
        <f aca="false">дома!I1397</f>
        <v>2.8</v>
      </c>
      <c r="D870" s="2577" t="n">
        <f aca="false">дома!J1397</f>
        <v>1.25</v>
      </c>
      <c r="E870" s="2577" t="n">
        <f aca="false">дома!K1397</f>
        <v>0.174</v>
      </c>
      <c r="F870" s="2577" t="n">
        <f aca="false">дома!C1397</f>
        <v>0</v>
      </c>
      <c r="G870" s="2577" t="n">
        <f aca="false">дома!G1397</f>
        <v>1</v>
      </c>
      <c r="H870" s="2584" t="n">
        <f aca="false">G870*(IF('Ввод данных'!$A$8=связи1!$A$157,1,0)+IF('Ввод данных'!$A$8=связи1!$A$168,1,0)+IF('Ввод данных'!$A$8=связи1!$A$176,1,0)+IF('Ввод данных'!$A$8=связи1!$A$183,1,0))</f>
        <v>0</v>
      </c>
    </row>
    <row r="871" customFormat="false" ht="14.5" hidden="false" customHeight="false" outlineLevel="0" collapsed="false">
      <c r="A871" s="2577" t="str">
        <f aca="false">дома!A1398</f>
        <v>Sip панель 2800*1250*124мм</v>
      </c>
      <c r="B871" s="2583" t="s">
        <v>159</v>
      </c>
      <c r="C871" s="2577" t="n">
        <f aca="false">дома!I1398</f>
        <v>2.8</v>
      </c>
      <c r="D871" s="2577" t="n">
        <f aca="false">дома!J1398</f>
        <v>1.25</v>
      </c>
      <c r="E871" s="2577" t="n">
        <f aca="false">дома!K1398</f>
        <v>0.124</v>
      </c>
      <c r="F871" s="2577" t="n">
        <f aca="false">дома!C1398</f>
        <v>0</v>
      </c>
      <c r="G871" s="2577" t="n">
        <f aca="false">дома!G1398</f>
        <v>1</v>
      </c>
      <c r="H871" s="2584" t="n">
        <f aca="false">G871*(IF('Ввод данных'!$A$8=связи1!$A$157,1,0)+IF('Ввод данных'!$A$8=связи1!$A$168,1,0)+IF('Ввод данных'!$A$8=связи1!$A$176,1,0)+IF('Ввод данных'!$A$8=связи1!$A$183,1,0))</f>
        <v>0</v>
      </c>
    </row>
    <row r="872" customFormat="false" ht="14.5" hidden="false" customHeight="false" outlineLevel="0" collapsed="false">
      <c r="A872" s="2577" t="str">
        <f aca="false">дома!A1408</f>
        <v>Нет</v>
      </c>
      <c r="B872" s="2583" t="s">
        <v>159</v>
      </c>
      <c r="C872" s="2577" t="n">
        <f aca="false">дома!I1408</f>
        <v>0</v>
      </c>
      <c r="D872" s="2577" t="n">
        <f aca="false">дома!J1408</f>
        <v>0</v>
      </c>
      <c r="E872" s="2577" t="n">
        <f aca="false">дома!K1408</f>
        <v>0</v>
      </c>
      <c r="F872" s="2577" t="n">
        <f aca="false">дома!C1408</f>
        <v>0</v>
      </c>
      <c r="G872" s="2577" t="n">
        <f aca="false">дома!G1408</f>
        <v>0</v>
      </c>
      <c r="H872" s="2584" t="n">
        <f aca="false">G872*(IF('Ввод данных'!$A$8=связи1!$A$157,1,0)+IF('Ввод данных'!$A$8=связи1!$A$168,1,0)+IF('Ввод данных'!$A$8=связи1!$A$176,1,0)+IF('Ввод данных'!$A$8=связи1!$A$183,1,0))</f>
        <v>0</v>
      </c>
    </row>
  </sheetData>
  <autoFilter ref="H3:H872"/>
  <mergeCells count="19">
    <mergeCell ref="A1:D2"/>
    <mergeCell ref="E1:G1"/>
    <mergeCell ref="E2:G2"/>
    <mergeCell ref="A5:F5"/>
    <mergeCell ref="A210:F210"/>
    <mergeCell ref="A408:F408"/>
    <mergeCell ref="A449:F449"/>
    <mergeCell ref="A490:F490"/>
    <mergeCell ref="A531:F531"/>
    <mergeCell ref="A572:F572"/>
    <mergeCell ref="A613:F613"/>
    <mergeCell ref="A654:F654"/>
    <mergeCell ref="A695:F695"/>
    <mergeCell ref="A736:F736"/>
    <mergeCell ref="A740:F740"/>
    <mergeCell ref="A748:F748"/>
    <mergeCell ref="A791:F791"/>
    <mergeCell ref="A829:F829"/>
    <mergeCell ref="A867:F867"/>
  </mergeCells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1069"/>
  <sheetViews>
    <sheetView showFormulas="false" showGridLines="true" showRowColHeaders="true" showZeros="true" rightToLeft="false" tabSelected="false" showOutlineSymbols="true" defaultGridColor="true" view="normal" topLeftCell="A256" colorId="64" zoomScale="60" zoomScaleNormal="60" zoomScalePageLayoutView="100" workbookViewId="0">
      <pane xSplit="1" ySplit="0" topLeftCell="B256" activePane="topRight" state="frozen"/>
      <selection pane="topLeft" activeCell="A256" activeCellId="0" sqref="A256"/>
      <selection pane="topRight" activeCell="C154" activeCellId="0" sqref="C154"/>
    </sheetView>
  </sheetViews>
  <sheetFormatPr defaultColWidth="9.19140625" defaultRowHeight="14.5" zeroHeight="false" outlineLevelRow="0" outlineLevelCol="0"/>
  <cols>
    <col collapsed="false" customWidth="true" hidden="false" outlineLevel="0" max="1" min="1" style="896" width="45.27"/>
    <col collapsed="false" customWidth="true" hidden="false" outlineLevel="0" max="2" min="2" style="896" width="39.72"/>
    <col collapsed="false" customWidth="false" hidden="false" outlineLevel="0" max="3" min="3" style="896" width="9.18"/>
    <col collapsed="false" customWidth="true" hidden="false" outlineLevel="0" max="4" min="4" style="896" width="10.27"/>
    <col collapsed="false" customWidth="true" hidden="false" outlineLevel="0" max="5" min="5" style="896" width="15.18"/>
    <col collapsed="false" customWidth="true" hidden="false" outlineLevel="0" max="6" min="6" style="896" width="39.44"/>
    <col collapsed="false" customWidth="true" hidden="false" outlineLevel="0" max="7" min="7" style="896" width="10.27"/>
    <col collapsed="false" customWidth="true" hidden="false" outlineLevel="0" max="8" min="8" style="896" width="16.45"/>
    <col collapsed="false" customWidth="true" hidden="false" outlineLevel="0" max="9" min="9" style="896" width="41.54"/>
    <col collapsed="false" customWidth="true" hidden="false" outlineLevel="0" max="10" min="10" style="896" width="28.54"/>
    <col collapsed="false" customWidth="false" hidden="false" outlineLevel="0" max="11" min="11" style="896" width="9.18"/>
    <col collapsed="false" customWidth="true" hidden="false" outlineLevel="0" max="13" min="12" style="896" width="13.02"/>
    <col collapsed="false" customWidth="true" hidden="false" outlineLevel="0" max="16" min="14" style="896" width="40"/>
    <col collapsed="false" customWidth="false" hidden="false" outlineLevel="0" max="18" min="17" style="896" width="9.18"/>
    <col collapsed="false" customWidth="true" hidden="false" outlineLevel="0" max="19" min="19" style="896" width="31.54"/>
    <col collapsed="false" customWidth="false" hidden="false" outlineLevel="0" max="1024" min="20" style="896" width="9.18"/>
  </cols>
  <sheetData>
    <row r="1" customFormat="false" ht="15.5" hidden="false" customHeight="false" outlineLevel="0" collapsed="false">
      <c r="A1" s="2315" t="s">
        <v>1820</v>
      </c>
      <c r="B1" s="2315"/>
      <c r="C1" s="2321"/>
      <c r="D1" s="2321"/>
      <c r="E1" s="896" t="s">
        <v>4194</v>
      </c>
      <c r="F1" s="2315" t="s">
        <v>4195</v>
      </c>
      <c r="G1" s="2315"/>
      <c r="N1" s="2593"/>
      <c r="O1" s="2443" t="s">
        <v>4196</v>
      </c>
      <c r="R1" s="896" t="s">
        <v>4197</v>
      </c>
      <c r="S1" s="896" t="s">
        <v>853</v>
      </c>
    </row>
    <row r="2" customFormat="false" ht="15.5" hidden="false" customHeight="false" outlineLevel="0" collapsed="false">
      <c r="A2" s="2315" t="s">
        <v>1821</v>
      </c>
      <c r="B2" s="2594" t="n">
        <v>1</v>
      </c>
      <c r="C2" s="2594"/>
      <c r="D2" s="2594"/>
      <c r="E2" s="2315" t="n">
        <v>0</v>
      </c>
      <c r="F2" s="2595" t="s">
        <v>4198</v>
      </c>
      <c r="G2" s="2315" t="n">
        <v>0</v>
      </c>
      <c r="H2" s="896" t="s">
        <v>4199</v>
      </c>
      <c r="N2" s="2593" t="s">
        <v>4200</v>
      </c>
      <c r="O2" s="2443" t="s">
        <v>4201</v>
      </c>
      <c r="Q2" s="896" t="n">
        <v>0</v>
      </c>
      <c r="R2" s="896" t="n">
        <v>0</v>
      </c>
      <c r="S2" s="896" t="n">
        <v>0</v>
      </c>
    </row>
    <row r="3" customFormat="false" ht="15.5" hidden="false" customHeight="false" outlineLevel="0" collapsed="false">
      <c r="A3" s="2315" t="s">
        <v>1798</v>
      </c>
      <c r="B3" s="2594" t="n">
        <v>0</v>
      </c>
      <c r="C3" s="2594"/>
      <c r="D3" s="2594"/>
      <c r="E3" s="2315" t="n">
        <v>0.1</v>
      </c>
      <c r="F3" s="2595" t="s">
        <v>1747</v>
      </c>
      <c r="G3" s="2315" t="n">
        <v>1</v>
      </c>
      <c r="H3" s="896" t="s">
        <v>493</v>
      </c>
      <c r="N3" s="2593"/>
      <c r="O3" s="2443"/>
      <c r="Q3" s="896" t="n">
        <v>0.05</v>
      </c>
      <c r="R3" s="896" t="n">
        <v>1</v>
      </c>
      <c r="S3" s="896" t="n">
        <v>2</v>
      </c>
    </row>
    <row r="4" customFormat="false" ht="15.5" hidden="false" customHeight="false" outlineLevel="0" collapsed="false">
      <c r="E4" s="2315" t="n">
        <v>0.15</v>
      </c>
      <c r="H4" s="896" t="s">
        <v>2462</v>
      </c>
      <c r="N4" s="2593" t="s">
        <v>4202</v>
      </c>
      <c r="O4" s="2443"/>
      <c r="Q4" s="896" t="n">
        <v>0.1</v>
      </c>
      <c r="R4" s="896" t="n">
        <v>2</v>
      </c>
      <c r="S4" s="896" t="n">
        <v>2.1</v>
      </c>
    </row>
    <row r="5" customFormat="false" ht="15.5" hidden="false" customHeight="false" outlineLevel="0" collapsed="false">
      <c r="A5" s="2315" t="s">
        <v>2747</v>
      </c>
      <c r="B5" s="2594"/>
      <c r="C5" s="2594"/>
      <c r="D5" s="2594"/>
      <c r="E5" s="2315" t="n">
        <v>0.18</v>
      </c>
      <c r="F5" s="2595" t="s">
        <v>2373</v>
      </c>
      <c r="H5" s="896" t="s">
        <v>4203</v>
      </c>
      <c r="N5" s="2593"/>
      <c r="O5" s="2443"/>
      <c r="Q5" s="896" t="n">
        <v>0.15</v>
      </c>
      <c r="R5" s="896" t="n">
        <v>3</v>
      </c>
      <c r="S5" s="896" t="n">
        <v>2.2</v>
      </c>
    </row>
    <row r="6" customFormat="false" ht="14.5" hidden="false" customHeight="true" outlineLevel="0" collapsed="false">
      <c r="A6" s="2315" t="s">
        <v>1890</v>
      </c>
      <c r="B6" s="2594" t="n">
        <v>1</v>
      </c>
      <c r="C6" s="2594"/>
      <c r="D6" s="2594"/>
      <c r="E6" s="2315" t="n">
        <v>0.2</v>
      </c>
      <c r="F6" s="2595" t="n">
        <v>0</v>
      </c>
      <c r="N6" s="2596" t="s">
        <v>4204</v>
      </c>
      <c r="O6" s="2596"/>
      <c r="Q6" s="896" t="n">
        <v>0.2</v>
      </c>
      <c r="R6" s="896" t="n">
        <v>4</v>
      </c>
      <c r="S6" s="896" t="n">
        <v>2.3</v>
      </c>
    </row>
    <row r="7" customFormat="false" ht="15.5" hidden="false" customHeight="false" outlineLevel="0" collapsed="false">
      <c r="A7" s="2315" t="s">
        <v>4205</v>
      </c>
      <c r="B7" s="2594" t="n">
        <v>1</v>
      </c>
      <c r="C7" s="2594"/>
      <c r="D7" s="2594"/>
      <c r="E7" s="2315" t="n">
        <v>0.25</v>
      </c>
      <c r="F7" s="2595" t="n">
        <v>0.1</v>
      </c>
      <c r="H7" s="896" t="s">
        <v>4206</v>
      </c>
      <c r="N7" s="2597" t="s">
        <v>4207</v>
      </c>
      <c r="O7" s="2443" t="s">
        <v>4208</v>
      </c>
      <c r="Q7" s="896" t="n">
        <v>0.25</v>
      </c>
      <c r="R7" s="896" t="n">
        <v>5</v>
      </c>
      <c r="S7" s="896" t="n">
        <v>2.4</v>
      </c>
    </row>
    <row r="8" customFormat="false" ht="15.5" hidden="false" customHeight="false" outlineLevel="0" collapsed="false">
      <c r="A8" s="2315" t="s">
        <v>1068</v>
      </c>
      <c r="B8" s="2594" t="n">
        <v>1</v>
      </c>
      <c r="C8" s="2594"/>
      <c r="D8" s="2594"/>
      <c r="E8" s="2315" t="n">
        <v>0.3</v>
      </c>
      <c r="F8" s="2595" t="n">
        <v>0.15</v>
      </c>
      <c r="H8" s="896" t="s">
        <v>2469</v>
      </c>
      <c r="N8" s="2598" t="s">
        <v>4209</v>
      </c>
      <c r="O8" s="2443" t="s">
        <v>4210</v>
      </c>
      <c r="Q8" s="896" t="n">
        <v>0.3</v>
      </c>
      <c r="R8" s="896" t="n">
        <v>6</v>
      </c>
      <c r="S8" s="896" t="n">
        <v>2.5</v>
      </c>
    </row>
    <row r="9" customFormat="false" ht="15.5" hidden="false" customHeight="false" outlineLevel="0" collapsed="false">
      <c r="A9" s="2315"/>
      <c r="B9" s="2594" t="n">
        <v>1</v>
      </c>
      <c r="C9" s="2594"/>
      <c r="D9" s="2594"/>
      <c r="E9" s="2315"/>
      <c r="F9" s="2595" t="n">
        <v>0.18</v>
      </c>
      <c r="H9" s="896" t="s">
        <v>4211</v>
      </c>
      <c r="N9" s="2599" t="s">
        <v>207</v>
      </c>
      <c r="O9" s="2443" t="s">
        <v>4212</v>
      </c>
      <c r="Q9" s="896" t="n">
        <v>0.35</v>
      </c>
      <c r="R9" s="896" t="n">
        <v>7</v>
      </c>
      <c r="S9" s="896" t="n">
        <v>2.6</v>
      </c>
    </row>
    <row r="10" customFormat="false" ht="15.5" hidden="false" customHeight="false" outlineLevel="0" collapsed="false">
      <c r="F10" s="2315" t="n">
        <v>0.2</v>
      </c>
      <c r="H10" s="896" t="s">
        <v>4213</v>
      </c>
      <c r="N10" s="2599" t="s">
        <v>4214</v>
      </c>
      <c r="O10" s="2443" t="s">
        <v>4215</v>
      </c>
      <c r="Q10" s="896" t="n">
        <v>0.4</v>
      </c>
      <c r="R10" s="896" t="n">
        <v>8</v>
      </c>
      <c r="S10" s="896" t="n">
        <v>2.7</v>
      </c>
    </row>
    <row r="11" customFormat="false" ht="14.5" hidden="false" customHeight="true" outlineLevel="0" collapsed="false">
      <c r="E11" s="2315" t="s">
        <v>4216</v>
      </c>
      <c r="F11" s="2595" t="n">
        <v>0.25</v>
      </c>
      <c r="N11" s="2596" t="s">
        <v>4217</v>
      </c>
      <c r="O11" s="2596"/>
      <c r="Q11" s="896" t="n">
        <v>0.45</v>
      </c>
      <c r="R11" s="896" t="n">
        <v>9</v>
      </c>
      <c r="S11" s="896" t="n">
        <v>2.8</v>
      </c>
    </row>
    <row r="12" customFormat="false" ht="15.5" hidden="false" customHeight="false" outlineLevel="0" collapsed="false">
      <c r="A12" s="896" t="s">
        <v>4218</v>
      </c>
      <c r="E12" s="2315" t="n">
        <v>0</v>
      </c>
      <c r="F12" s="2595"/>
      <c r="H12" s="896" t="s">
        <v>1590</v>
      </c>
      <c r="N12" s="2598" t="s">
        <v>4219</v>
      </c>
      <c r="O12" s="2443" t="s">
        <v>4208</v>
      </c>
      <c r="Q12" s="896" t="n">
        <v>0.5</v>
      </c>
      <c r="R12" s="896" t="n">
        <v>10</v>
      </c>
      <c r="S12" s="896" t="n">
        <v>2.9</v>
      </c>
    </row>
    <row r="13" customFormat="false" ht="15.5" hidden="false" customHeight="false" outlineLevel="0" collapsed="false">
      <c r="A13" s="2404" t="s">
        <v>3943</v>
      </c>
      <c r="E13" s="2315" t="n">
        <v>0.025</v>
      </c>
      <c r="H13" s="896" t="s">
        <v>2472</v>
      </c>
      <c r="N13" s="2598" t="s">
        <v>4220</v>
      </c>
      <c r="O13" s="2443" t="s">
        <v>4210</v>
      </c>
      <c r="Q13" s="896" t="n">
        <v>0.55</v>
      </c>
      <c r="R13" s="896" t="n">
        <v>11</v>
      </c>
      <c r="S13" s="896" t="n">
        <v>3</v>
      </c>
    </row>
    <row r="14" customFormat="false" ht="15.5" hidden="false" customHeight="false" outlineLevel="0" collapsed="false">
      <c r="A14" s="2404" t="s">
        <v>3960</v>
      </c>
      <c r="E14" s="2315" t="n">
        <v>0.035</v>
      </c>
      <c r="F14" s="2595" t="s">
        <v>4221</v>
      </c>
      <c r="H14" s="896" t="s">
        <v>4222</v>
      </c>
      <c r="N14" s="2599" t="s">
        <v>4200</v>
      </c>
      <c r="O14" s="2443" t="s">
        <v>4212</v>
      </c>
      <c r="Q14" s="896" t="n">
        <v>0.6</v>
      </c>
      <c r="R14" s="896" t="n">
        <v>12</v>
      </c>
      <c r="S14" s="896" t="n">
        <v>3.1</v>
      </c>
    </row>
    <row r="15" customFormat="false" ht="15.5" hidden="false" customHeight="false" outlineLevel="0" collapsed="false">
      <c r="E15" s="2315" t="n">
        <v>0.04</v>
      </c>
      <c r="F15" s="2595" t="n">
        <v>0</v>
      </c>
      <c r="H15" s="896" t="s">
        <v>2475</v>
      </c>
      <c r="N15" s="2599" t="s">
        <v>2026</v>
      </c>
      <c r="O15" s="2443" t="s">
        <v>4215</v>
      </c>
      <c r="Q15" s="896" t="n">
        <v>0.65</v>
      </c>
      <c r="R15" s="896" t="n">
        <v>13</v>
      </c>
      <c r="S15" s="896" t="n">
        <v>3.2</v>
      </c>
    </row>
    <row r="16" customFormat="false" ht="14.5" hidden="false" customHeight="false" outlineLevel="0" collapsed="false">
      <c r="E16" s="2315" t="n">
        <v>0.045</v>
      </c>
      <c r="F16" s="2595" t="n">
        <v>0.124</v>
      </c>
      <c r="Q16" s="896" t="n">
        <v>0.7</v>
      </c>
      <c r="R16" s="896" t="n">
        <v>14</v>
      </c>
      <c r="S16" s="896" t="n">
        <v>3.3</v>
      </c>
    </row>
    <row r="17" customFormat="false" ht="14.5" hidden="false" customHeight="false" outlineLevel="0" collapsed="false">
      <c r="A17" s="2315" t="s">
        <v>4223</v>
      </c>
      <c r="E17" s="2315" t="n">
        <v>0.05</v>
      </c>
      <c r="F17" s="2595" t="n">
        <v>0.174</v>
      </c>
      <c r="H17" s="2315" t="s">
        <v>1582</v>
      </c>
      <c r="Q17" s="896" t="n">
        <v>0.75</v>
      </c>
      <c r="R17" s="896" t="n">
        <v>15</v>
      </c>
      <c r="S17" s="896" t="n">
        <v>3.4</v>
      </c>
    </row>
    <row r="18" customFormat="false" ht="15.5" hidden="false" customHeight="false" outlineLevel="0" collapsed="false">
      <c r="A18" s="368" t="s">
        <v>4224</v>
      </c>
      <c r="E18" s="2315" t="n">
        <v>0.055</v>
      </c>
      <c r="F18" s="2595" t="n">
        <v>0.224</v>
      </c>
      <c r="H18" s="896" t="s">
        <v>2472</v>
      </c>
      <c r="Q18" s="896" t="n">
        <v>0.8</v>
      </c>
      <c r="R18" s="896" t="n">
        <v>16</v>
      </c>
      <c r="S18" s="896" t="n">
        <v>3.5</v>
      </c>
    </row>
    <row r="19" customFormat="false" ht="15.5" hidden="false" customHeight="false" outlineLevel="0" collapsed="false">
      <c r="A19" s="368" t="s">
        <v>2443</v>
      </c>
      <c r="E19" s="2315" t="n">
        <v>0.06</v>
      </c>
      <c r="F19" s="2595"/>
      <c r="H19" s="864" t="s">
        <v>3968</v>
      </c>
      <c r="Q19" s="896" t="n">
        <v>0.85</v>
      </c>
      <c r="R19" s="896" t="n">
        <v>17</v>
      </c>
      <c r="S19" s="896" t="n">
        <v>3.6</v>
      </c>
    </row>
    <row r="20" customFormat="false" ht="15.5" hidden="false" customHeight="false" outlineLevel="0" collapsed="false">
      <c r="A20" s="226" t="s">
        <v>1249</v>
      </c>
      <c r="E20" s="2315" t="n">
        <v>0.065</v>
      </c>
      <c r="H20" s="864" t="s">
        <v>1255</v>
      </c>
      <c r="Q20" s="896" t="n">
        <v>0.9</v>
      </c>
      <c r="R20" s="896" t="n">
        <v>18</v>
      </c>
      <c r="S20" s="896" t="n">
        <v>3.7</v>
      </c>
    </row>
    <row r="21" customFormat="false" ht="15.5" hidden="false" customHeight="false" outlineLevel="0" collapsed="false">
      <c r="A21" s="226" t="s">
        <v>1253</v>
      </c>
      <c r="E21" s="2315" t="n">
        <v>0.07</v>
      </c>
      <c r="F21" s="2595" t="s">
        <v>1568</v>
      </c>
      <c r="G21" s="2594"/>
      <c r="H21" s="864" t="s">
        <v>1281</v>
      </c>
      <c r="Q21" s="896" t="n">
        <v>0.95</v>
      </c>
      <c r="R21" s="896" t="n">
        <v>19</v>
      </c>
      <c r="S21" s="896" t="n">
        <v>3.8</v>
      </c>
    </row>
    <row r="22" customFormat="false" ht="15.5" hidden="false" customHeight="false" outlineLevel="0" collapsed="false">
      <c r="A22" s="226" t="s">
        <v>4225</v>
      </c>
      <c r="E22" s="2315" t="n">
        <v>0.075</v>
      </c>
      <c r="F22" s="2595" t="s">
        <v>134</v>
      </c>
      <c r="G22" s="2594" t="n">
        <v>1</v>
      </c>
      <c r="H22" s="864" t="s">
        <v>1282</v>
      </c>
      <c r="Q22" s="896" t="n">
        <v>1</v>
      </c>
      <c r="R22" s="896" t="n">
        <v>20</v>
      </c>
      <c r="S22" s="896" t="n">
        <v>3.9</v>
      </c>
    </row>
    <row r="23" customFormat="false" ht="15.5" hidden="false" customHeight="false" outlineLevel="0" collapsed="false">
      <c r="A23" s="226" t="s">
        <v>4226</v>
      </c>
      <c r="E23" s="2315" t="n">
        <v>0.08</v>
      </c>
      <c r="F23" s="2595" t="s">
        <v>4227</v>
      </c>
      <c r="G23" s="2594" t="n">
        <v>1</v>
      </c>
      <c r="H23" s="2315"/>
      <c r="Q23" s="896" t="n">
        <v>1.05</v>
      </c>
      <c r="R23" s="896" t="n">
        <v>21</v>
      </c>
      <c r="S23" s="896" t="n">
        <v>4</v>
      </c>
    </row>
    <row r="24" customFormat="false" ht="15.5" hidden="false" customHeight="false" outlineLevel="0" collapsed="false">
      <c r="A24" s="368" t="s">
        <v>4228</v>
      </c>
      <c r="E24" s="2315" t="s">
        <v>4229</v>
      </c>
      <c r="F24" s="2595" t="s">
        <v>4042</v>
      </c>
      <c r="G24" s="2315"/>
      <c r="Q24" s="896" t="n">
        <v>1.15</v>
      </c>
      <c r="R24" s="896" t="n">
        <v>23</v>
      </c>
      <c r="S24" s="896" t="n">
        <v>4.2</v>
      </c>
    </row>
    <row r="25" customFormat="false" ht="14.5" hidden="false" customHeight="false" outlineLevel="0" collapsed="false">
      <c r="A25" s="2315" t="s">
        <v>4230</v>
      </c>
      <c r="E25" s="2315" t="n">
        <v>0</v>
      </c>
      <c r="F25" s="2595" t="s">
        <v>2142</v>
      </c>
      <c r="G25" s="2315" t="n">
        <v>1</v>
      </c>
      <c r="H25" s="2315" t="s">
        <v>1552</v>
      </c>
      <c r="Q25" s="896" t="n">
        <v>1.2</v>
      </c>
      <c r="R25" s="896" t="n">
        <v>24</v>
      </c>
      <c r="S25" s="896" t="n">
        <v>4.3</v>
      </c>
    </row>
    <row r="26" customFormat="false" ht="14.5" hidden="false" customHeight="false" outlineLevel="0" collapsed="false">
      <c r="E26" s="2315" t="n">
        <v>0.2</v>
      </c>
      <c r="F26" s="2595" t="s">
        <v>4231</v>
      </c>
      <c r="G26" s="2315" t="n">
        <v>1</v>
      </c>
      <c r="H26" s="2315" t="s">
        <v>2472</v>
      </c>
      <c r="Q26" s="896" t="n">
        <v>1.25</v>
      </c>
      <c r="R26" s="896" t="n">
        <v>25</v>
      </c>
      <c r="S26" s="896" t="n">
        <v>4.4</v>
      </c>
    </row>
    <row r="27" customFormat="false" ht="15.5" hidden="false" customHeight="false" outlineLevel="0" collapsed="false">
      <c r="A27" s="2315" t="s">
        <v>3905</v>
      </c>
      <c r="E27" s="2315" t="n">
        <v>0.3</v>
      </c>
      <c r="H27" s="864" t="s">
        <v>1255</v>
      </c>
      <c r="Q27" s="896" t="n">
        <v>1.3</v>
      </c>
      <c r="R27" s="896" t="n">
        <v>26</v>
      </c>
      <c r="S27" s="896" t="n">
        <v>4.5</v>
      </c>
    </row>
    <row r="28" customFormat="false" ht="15.5" hidden="false" customHeight="false" outlineLevel="0" collapsed="false">
      <c r="A28" s="226" t="s">
        <v>1253</v>
      </c>
      <c r="E28" s="2594" t="n">
        <v>0.4</v>
      </c>
      <c r="F28" s="2315" t="s">
        <v>4232</v>
      </c>
      <c r="H28" s="864" t="s">
        <v>1281</v>
      </c>
      <c r="Q28" s="896" t="n">
        <v>1.35</v>
      </c>
      <c r="R28" s="896" t="n">
        <v>27</v>
      </c>
      <c r="S28" s="896" t="n">
        <v>4.6</v>
      </c>
    </row>
    <row r="29" customFormat="false" ht="15.5" hidden="false" customHeight="false" outlineLevel="0" collapsed="false">
      <c r="A29" s="226" t="s">
        <v>1261</v>
      </c>
      <c r="E29" s="2594" t="n">
        <v>0.5</v>
      </c>
      <c r="F29" s="2315" t="n">
        <v>0</v>
      </c>
      <c r="H29" s="864" t="s">
        <v>1282</v>
      </c>
      <c r="Q29" s="896" t="n">
        <v>1.4</v>
      </c>
      <c r="R29" s="896" t="n">
        <v>28</v>
      </c>
      <c r="S29" s="896" t="n">
        <v>4.7</v>
      </c>
    </row>
    <row r="30" customFormat="false" ht="15.5" hidden="false" customHeight="false" outlineLevel="0" collapsed="false">
      <c r="A30" s="226" t="s">
        <v>1258</v>
      </c>
      <c r="E30" s="2594" t="n">
        <v>0.6</v>
      </c>
      <c r="F30" s="2315" t="n">
        <v>1</v>
      </c>
      <c r="H30" s="2315"/>
      <c r="Q30" s="896" t="n">
        <v>1.45</v>
      </c>
      <c r="R30" s="896" t="n">
        <v>29</v>
      </c>
      <c r="S30" s="896" t="n">
        <v>4.8</v>
      </c>
    </row>
    <row r="31" customFormat="false" ht="15.5" hidden="false" customHeight="false" outlineLevel="0" collapsed="false">
      <c r="A31" s="226" t="s">
        <v>3945</v>
      </c>
      <c r="E31" s="2594" t="n">
        <v>0.7</v>
      </c>
      <c r="F31" s="2315" t="n">
        <v>2</v>
      </c>
      <c r="H31" s="2315"/>
      <c r="Q31" s="896" t="n">
        <v>1.5</v>
      </c>
      <c r="R31" s="896" t="n">
        <v>30</v>
      </c>
      <c r="S31" s="896" t="n">
        <v>4.9</v>
      </c>
    </row>
    <row r="32" customFormat="false" ht="14.5" hidden="false" customHeight="false" outlineLevel="0" collapsed="false">
      <c r="E32" s="2594" t="n">
        <v>0.8</v>
      </c>
      <c r="F32" s="2315" t="n">
        <v>3</v>
      </c>
      <c r="Q32" s="896" t="n">
        <v>1.55</v>
      </c>
      <c r="R32" s="896" t="n">
        <v>31</v>
      </c>
      <c r="S32" s="896" t="n">
        <v>5</v>
      </c>
    </row>
    <row r="33" customFormat="false" ht="14.5" hidden="false" customHeight="false" outlineLevel="0" collapsed="false">
      <c r="E33" s="2594" t="n">
        <v>0.9</v>
      </c>
      <c r="F33" s="2315" t="n">
        <v>4</v>
      </c>
      <c r="H33" s="2315" t="s">
        <v>4233</v>
      </c>
      <c r="Q33" s="896" t="n">
        <v>1.6</v>
      </c>
      <c r="R33" s="896" t="n">
        <v>32</v>
      </c>
      <c r="S33" s="896" t="n">
        <v>5.1</v>
      </c>
    </row>
    <row r="34" customFormat="false" ht="15.5" hidden="false" customHeight="false" outlineLevel="0" collapsed="false">
      <c r="A34" s="226" t="s">
        <v>4219</v>
      </c>
      <c r="E34" s="2594" t="n">
        <v>1</v>
      </c>
      <c r="F34" s="2315" t="n">
        <v>5</v>
      </c>
      <c r="H34" s="2315" t="s">
        <v>2472</v>
      </c>
      <c r="Q34" s="896" t="n">
        <v>1.65</v>
      </c>
      <c r="R34" s="896" t="n">
        <v>33</v>
      </c>
      <c r="S34" s="896" t="n">
        <v>5.2</v>
      </c>
    </row>
    <row r="35" customFormat="false" ht="15.5" hidden="false" customHeight="false" outlineLevel="0" collapsed="false">
      <c r="A35" s="226" t="s">
        <v>4234</v>
      </c>
      <c r="E35" s="2594" t="n">
        <v>1.1</v>
      </c>
      <c r="F35" s="2315" t="n">
        <v>6</v>
      </c>
      <c r="H35" s="2315" t="s">
        <v>2481</v>
      </c>
      <c r="Q35" s="896" t="n">
        <v>1.7</v>
      </c>
      <c r="R35" s="896" t="n">
        <v>34</v>
      </c>
      <c r="S35" s="896" t="n">
        <v>5.3</v>
      </c>
    </row>
    <row r="36" customFormat="false" ht="15.5" hidden="false" customHeight="false" outlineLevel="0" collapsed="false">
      <c r="A36" s="226" t="s">
        <v>4235</v>
      </c>
      <c r="E36" s="2594" t="n">
        <v>1.2</v>
      </c>
      <c r="F36" s="2315" t="n">
        <v>7</v>
      </c>
      <c r="H36" s="2315" t="s">
        <v>4236</v>
      </c>
      <c r="Q36" s="896" t="n">
        <v>1.75</v>
      </c>
      <c r="R36" s="896" t="n">
        <v>35</v>
      </c>
      <c r="S36" s="896" t="n">
        <v>5.4</v>
      </c>
    </row>
    <row r="37" customFormat="false" ht="15.5" hidden="false" customHeight="false" outlineLevel="0" collapsed="false">
      <c r="A37" s="226" t="s">
        <v>4237</v>
      </c>
      <c r="E37" s="2594" t="n">
        <v>1.3</v>
      </c>
      <c r="F37" s="2315" t="n">
        <v>8</v>
      </c>
      <c r="H37" s="2600"/>
      <c r="Q37" s="896" t="n">
        <v>1.8</v>
      </c>
      <c r="R37" s="896" t="n">
        <v>36</v>
      </c>
      <c r="S37" s="896" t="n">
        <v>5.5</v>
      </c>
    </row>
    <row r="38" customFormat="false" ht="15.5" hidden="false" customHeight="false" outlineLevel="0" collapsed="false">
      <c r="A38" s="226" t="s">
        <v>4238</v>
      </c>
      <c r="E38" s="2594" t="n">
        <v>1.4</v>
      </c>
      <c r="F38" s="2315" t="n">
        <v>9</v>
      </c>
      <c r="H38" s="2321"/>
      <c r="Q38" s="896" t="n">
        <v>1.85</v>
      </c>
      <c r="R38" s="896" t="n">
        <v>37</v>
      </c>
      <c r="S38" s="896" t="n">
        <v>5.6</v>
      </c>
    </row>
    <row r="39" customFormat="false" ht="14.5" hidden="false" customHeight="false" outlineLevel="0" collapsed="false">
      <c r="A39" s="2315"/>
      <c r="E39" s="2594" t="n">
        <v>1.5</v>
      </c>
      <c r="F39" s="2315" t="n">
        <v>10</v>
      </c>
      <c r="H39" s="2600" t="s">
        <v>4239</v>
      </c>
      <c r="Q39" s="896" t="n">
        <v>1.9</v>
      </c>
      <c r="R39" s="896" t="n">
        <v>38</v>
      </c>
      <c r="S39" s="896" t="n">
        <v>5.7</v>
      </c>
    </row>
    <row r="40" customFormat="false" ht="14.5" hidden="false" customHeight="false" outlineLevel="0" collapsed="false">
      <c r="A40" s="2315"/>
      <c r="E40" s="2315" t="s">
        <v>4240</v>
      </c>
      <c r="F40" s="2595" t="n">
        <v>11</v>
      </c>
      <c r="H40" s="2315" t="s">
        <v>2472</v>
      </c>
      <c r="Q40" s="896" t="n">
        <v>1.95</v>
      </c>
      <c r="R40" s="896" t="n">
        <v>39</v>
      </c>
      <c r="S40" s="896" t="n">
        <v>5.8</v>
      </c>
    </row>
    <row r="41" customFormat="false" ht="14.5" hidden="false" customHeight="false" outlineLevel="0" collapsed="false">
      <c r="A41" s="2315"/>
      <c r="E41" s="2315" t="n">
        <v>0.1</v>
      </c>
      <c r="F41" s="2595" t="n">
        <v>12</v>
      </c>
      <c r="H41" s="2600" t="s">
        <v>2482</v>
      </c>
      <c r="Q41" s="896" t="n">
        <v>2</v>
      </c>
      <c r="R41" s="896" t="n">
        <v>40</v>
      </c>
      <c r="S41" s="896" t="n">
        <v>5.9</v>
      </c>
    </row>
    <row r="42" customFormat="false" ht="14.5" hidden="false" customHeight="false" outlineLevel="0" collapsed="false">
      <c r="B42" s="2601" t="s">
        <v>4241</v>
      </c>
      <c r="C42" s="2601"/>
      <c r="D42" s="2601"/>
      <c r="E42" s="2315" t="n">
        <v>0.15</v>
      </c>
      <c r="F42" s="2595" t="n">
        <v>13</v>
      </c>
      <c r="H42" s="2600" t="s">
        <v>4242</v>
      </c>
      <c r="Q42" s="896" t="n">
        <v>2.05</v>
      </c>
      <c r="R42" s="896" t="n">
        <v>41</v>
      </c>
      <c r="S42" s="896" t="n">
        <v>6</v>
      </c>
    </row>
    <row r="43" customFormat="false" ht="14.5" hidden="false" customHeight="false" outlineLevel="0" collapsed="false">
      <c r="A43" s="2315" t="s">
        <v>4243</v>
      </c>
      <c r="B43" s="2315" t="s">
        <v>293</v>
      </c>
      <c r="C43" s="2315" t="s">
        <v>1800</v>
      </c>
      <c r="D43" s="2315" t="s">
        <v>2156</v>
      </c>
      <c r="E43" s="2315" t="n">
        <v>0.2</v>
      </c>
      <c r="F43" s="2595" t="n">
        <v>14</v>
      </c>
      <c r="H43" s="2600" t="s">
        <v>4244</v>
      </c>
      <c r="Q43" s="896" t="n">
        <v>2.1</v>
      </c>
      <c r="R43" s="896" t="n">
        <v>42</v>
      </c>
      <c r="S43" s="896" t="n">
        <v>6.1</v>
      </c>
    </row>
    <row r="44" customFormat="false" ht="14.5" hidden="false" customHeight="false" outlineLevel="0" collapsed="false">
      <c r="A44" s="2315" t="s">
        <v>1780</v>
      </c>
      <c r="B44" s="2315" t="n">
        <v>0</v>
      </c>
      <c r="C44" s="2315" t="n">
        <v>0</v>
      </c>
      <c r="D44" s="2315" t="n">
        <v>0</v>
      </c>
      <c r="E44" s="2315" t="n">
        <v>0.25</v>
      </c>
      <c r="F44" s="2595" t="n">
        <v>15</v>
      </c>
      <c r="H44" s="2321"/>
      <c r="Q44" s="896" t="n">
        <v>2.15</v>
      </c>
      <c r="R44" s="896" t="n">
        <v>43</v>
      </c>
      <c r="S44" s="896" t="n">
        <v>6.2</v>
      </c>
    </row>
    <row r="45" customFormat="false" ht="14.5" hidden="false" customHeight="false" outlineLevel="0" collapsed="false">
      <c r="A45" s="2315" t="s">
        <v>4245</v>
      </c>
      <c r="B45" s="2315" t="n">
        <v>0.1</v>
      </c>
      <c r="C45" s="2315" t="n">
        <v>0.05</v>
      </c>
      <c r="D45" s="2315" t="n">
        <v>0.1</v>
      </c>
      <c r="E45" s="2315" t="n">
        <v>0.3</v>
      </c>
      <c r="F45" s="2595" t="n">
        <v>16</v>
      </c>
      <c r="H45" s="2602" t="s">
        <v>4246</v>
      </c>
      <c r="Q45" s="896" t="n">
        <v>2.2</v>
      </c>
      <c r="R45" s="896" t="n">
        <v>44</v>
      </c>
      <c r="S45" s="896" t="n">
        <v>6.3</v>
      </c>
    </row>
    <row r="46" customFormat="false" ht="14.5" hidden="false" customHeight="false" outlineLevel="0" collapsed="false">
      <c r="A46" s="2315" t="s">
        <v>3988</v>
      </c>
      <c r="B46" s="2315" t="n">
        <v>0.15</v>
      </c>
      <c r="C46" s="2315" t="n">
        <v>0.1</v>
      </c>
      <c r="D46" s="2315" t="n">
        <v>0.15</v>
      </c>
      <c r="E46" s="2315" t="n">
        <v>0.35</v>
      </c>
      <c r="F46" s="2595" t="n">
        <v>17</v>
      </c>
      <c r="H46" s="2315" t="s">
        <v>2472</v>
      </c>
      <c r="Q46" s="896" t="n">
        <v>2.25</v>
      </c>
      <c r="R46" s="896" t="n">
        <v>45</v>
      </c>
      <c r="S46" s="896" t="n">
        <v>6.4</v>
      </c>
    </row>
    <row r="47" customFormat="false" ht="14.5" hidden="false" customHeight="false" outlineLevel="0" collapsed="false">
      <c r="A47" s="2315" t="s">
        <v>4247</v>
      </c>
      <c r="B47" s="2315" t="n">
        <v>0.18</v>
      </c>
      <c r="C47" s="2315" t="n">
        <v>0.15</v>
      </c>
      <c r="D47" s="2315" t="n">
        <v>0.2</v>
      </c>
      <c r="E47" s="2315" t="n">
        <v>0.375</v>
      </c>
      <c r="H47" s="2600" t="s">
        <v>2483</v>
      </c>
      <c r="Q47" s="896" t="n">
        <v>2.3</v>
      </c>
      <c r="R47" s="896" t="n">
        <v>46</v>
      </c>
      <c r="S47" s="896" t="n">
        <v>6.5</v>
      </c>
    </row>
    <row r="48" customFormat="false" ht="14.5" hidden="false" customHeight="false" outlineLevel="0" collapsed="false">
      <c r="A48" s="2315" t="s">
        <v>4248</v>
      </c>
      <c r="B48" s="2315" t="n">
        <v>0.2</v>
      </c>
      <c r="C48" s="2315" t="n">
        <v>0.18</v>
      </c>
      <c r="D48" s="2315" t="n">
        <v>0.3</v>
      </c>
      <c r="E48" s="2315" t="n">
        <v>0.4</v>
      </c>
      <c r="H48" s="2600"/>
      <c r="Q48" s="896" t="n">
        <v>2.35</v>
      </c>
      <c r="R48" s="896" t="n">
        <v>47</v>
      </c>
      <c r="S48" s="896" t="n">
        <v>6.6</v>
      </c>
    </row>
    <row r="49" customFormat="false" ht="14.5" hidden="false" customHeight="false" outlineLevel="0" collapsed="false">
      <c r="A49" s="2315"/>
      <c r="B49" s="2315" t="n">
        <v>0.25</v>
      </c>
      <c r="C49" s="2315" t="n">
        <v>0.2</v>
      </c>
      <c r="D49" s="2315" t="n">
        <v>0.4</v>
      </c>
      <c r="E49" s="2315" t="n">
        <v>0.425</v>
      </c>
      <c r="H49" s="2600"/>
      <c r="Q49" s="896" t="n">
        <v>2.4</v>
      </c>
      <c r="R49" s="896" t="n">
        <v>48</v>
      </c>
      <c r="S49" s="896" t="n">
        <v>6.7</v>
      </c>
    </row>
    <row r="50" customFormat="false" ht="14.5" hidden="false" customHeight="false" outlineLevel="0" collapsed="false">
      <c r="A50" s="2315"/>
      <c r="B50" s="2315" t="n">
        <v>0.3</v>
      </c>
      <c r="C50" s="2315" t="n">
        <v>0.25</v>
      </c>
      <c r="D50" s="2315" t="n">
        <v>0.5</v>
      </c>
      <c r="E50" s="2315" t="n">
        <v>0.45</v>
      </c>
      <c r="H50" s="2600"/>
      <c r="Q50" s="896" t="n">
        <v>2.45</v>
      </c>
      <c r="R50" s="896" t="n">
        <v>49</v>
      </c>
      <c r="S50" s="896" t="n">
        <v>6.8</v>
      </c>
    </row>
    <row r="51" customFormat="false" ht="14.5" hidden="false" customHeight="false" outlineLevel="0" collapsed="false">
      <c r="A51" s="2315"/>
      <c r="B51" s="2315"/>
      <c r="C51" s="2315" t="n">
        <v>0.3</v>
      </c>
      <c r="D51" s="2315" t="n">
        <v>0.6</v>
      </c>
      <c r="E51" s="2315" t="n">
        <v>0.475</v>
      </c>
      <c r="Q51" s="896" t="n">
        <v>2.5</v>
      </c>
      <c r="R51" s="896" t="n">
        <v>50</v>
      </c>
      <c r="S51" s="896" t="n">
        <v>6.9</v>
      </c>
    </row>
    <row r="52" customFormat="false" ht="14.5" hidden="false" customHeight="false" outlineLevel="0" collapsed="false">
      <c r="A52" s="2315" t="s">
        <v>1782</v>
      </c>
      <c r="B52" s="2315"/>
      <c r="D52" s="2315" t="n">
        <v>0.7</v>
      </c>
      <c r="E52" s="2315" t="n">
        <v>0.5</v>
      </c>
      <c r="Q52" s="896" t="n">
        <v>2.55</v>
      </c>
      <c r="R52" s="896" t="n">
        <v>51</v>
      </c>
      <c r="S52" s="896" t="n">
        <v>7</v>
      </c>
    </row>
    <row r="53" customFormat="false" ht="14.5" hidden="false" customHeight="false" outlineLevel="0" collapsed="false">
      <c r="A53" s="2315" t="s">
        <v>4249</v>
      </c>
      <c r="B53" s="2315" t="n">
        <v>1</v>
      </c>
      <c r="D53" s="2315" t="n">
        <v>0.8</v>
      </c>
      <c r="E53" s="2315" t="n">
        <v>0.525</v>
      </c>
      <c r="H53" s="896" t="s">
        <v>3905</v>
      </c>
      <c r="Q53" s="896" t="n">
        <v>2.6</v>
      </c>
      <c r="R53" s="896" t="n">
        <v>52</v>
      </c>
      <c r="S53" s="896" t="n">
        <v>7.1</v>
      </c>
    </row>
    <row r="54" customFormat="false" ht="14.5" hidden="false" customHeight="false" outlineLevel="0" collapsed="false">
      <c r="A54" s="2315" t="s">
        <v>4250</v>
      </c>
      <c r="B54" s="2315" t="n">
        <v>0</v>
      </c>
      <c r="D54" s="2315" t="n">
        <v>0.9</v>
      </c>
      <c r="E54" s="2315" t="n">
        <v>0.55</v>
      </c>
      <c r="H54" s="896" t="s">
        <v>4251</v>
      </c>
      <c r="Q54" s="896" t="n">
        <v>2.65</v>
      </c>
      <c r="R54" s="896" t="n">
        <v>53</v>
      </c>
      <c r="S54" s="896" t="n">
        <v>7.2</v>
      </c>
    </row>
    <row r="55" customFormat="false" ht="14.5" hidden="false" customHeight="false" outlineLevel="0" collapsed="false">
      <c r="D55" s="2315" t="n">
        <v>1</v>
      </c>
      <c r="E55" s="2315" t="n">
        <v>0.575</v>
      </c>
      <c r="H55" s="896" t="s">
        <v>134</v>
      </c>
      <c r="Q55" s="896" t="n">
        <v>2.7</v>
      </c>
      <c r="R55" s="896" t="n">
        <v>54</v>
      </c>
      <c r="S55" s="896" t="n">
        <v>7.3</v>
      </c>
    </row>
    <row r="56" customFormat="false" ht="14.5" hidden="false" customHeight="false" outlineLevel="0" collapsed="false">
      <c r="A56" s="2315" t="s">
        <v>2237</v>
      </c>
      <c r="B56" s="2315"/>
      <c r="D56" s="2315" t="n">
        <v>1.1</v>
      </c>
      <c r="E56" s="2315" t="n">
        <v>0.6</v>
      </c>
      <c r="Q56" s="896" t="n">
        <v>2.75</v>
      </c>
      <c r="R56" s="896" t="n">
        <v>55</v>
      </c>
      <c r="S56" s="896" t="n">
        <v>7.4</v>
      </c>
    </row>
    <row r="57" customFormat="false" ht="14.5" hidden="false" customHeight="false" outlineLevel="0" collapsed="false">
      <c r="A57" s="2321" t="s">
        <v>4252</v>
      </c>
      <c r="B57" s="2315"/>
      <c r="D57" s="2315" t="n">
        <v>1.2</v>
      </c>
      <c r="E57" s="2315" t="n">
        <v>0.625</v>
      </c>
      <c r="F57" s="2315" t="s">
        <v>4253</v>
      </c>
      <c r="Q57" s="896" t="n">
        <v>2.8</v>
      </c>
      <c r="R57" s="896" t="n">
        <v>56</v>
      </c>
      <c r="S57" s="896" t="n">
        <v>7.5</v>
      </c>
    </row>
    <row r="58" customFormat="false" ht="14.5" hidden="false" customHeight="false" outlineLevel="0" collapsed="false">
      <c r="A58" s="2315" t="s">
        <v>4254</v>
      </c>
      <c r="B58" s="2315"/>
      <c r="D58" s="2315" t="n">
        <v>1.3</v>
      </c>
      <c r="E58" s="2315" t="n">
        <v>0.65</v>
      </c>
      <c r="F58" s="2315" t="s">
        <v>4255</v>
      </c>
      <c r="Q58" s="896" t="n">
        <v>2.85</v>
      </c>
      <c r="R58" s="896" t="n">
        <v>57</v>
      </c>
      <c r="S58" s="896" t="n">
        <v>7.60000000000001</v>
      </c>
    </row>
    <row r="59" customFormat="false" ht="14.5" hidden="false" customHeight="false" outlineLevel="0" collapsed="false">
      <c r="A59" s="2315" t="s">
        <v>4256</v>
      </c>
      <c r="B59" s="2315"/>
      <c r="D59" s="2315" t="n">
        <v>1.4</v>
      </c>
      <c r="E59" s="2315" t="n">
        <v>0.675</v>
      </c>
      <c r="F59" s="903" t="s">
        <v>4257</v>
      </c>
      <c r="Q59" s="896" t="n">
        <v>2.9</v>
      </c>
      <c r="R59" s="896" t="n">
        <v>58</v>
      </c>
      <c r="S59" s="896" t="n">
        <v>7.7</v>
      </c>
    </row>
    <row r="60" customFormat="false" ht="14.5" hidden="false" customHeight="false" outlineLevel="0" collapsed="false">
      <c r="A60" s="2315" t="s">
        <v>4258</v>
      </c>
      <c r="B60" s="2315"/>
      <c r="D60" s="2315" t="n">
        <v>1.5</v>
      </c>
      <c r="E60" s="2315" t="n">
        <v>0.7</v>
      </c>
      <c r="F60" s="903" t="s">
        <v>4259</v>
      </c>
      <c r="Q60" s="896" t="n">
        <v>2.95</v>
      </c>
      <c r="R60" s="896" t="n">
        <v>59</v>
      </c>
      <c r="S60" s="896" t="n">
        <v>7.8</v>
      </c>
    </row>
    <row r="61" customFormat="false" ht="14.5" hidden="false" customHeight="false" outlineLevel="0" collapsed="false">
      <c r="A61" s="2315"/>
      <c r="B61" s="2315"/>
      <c r="D61" s="2315" t="n">
        <v>1.6</v>
      </c>
      <c r="E61" s="2315" t="n">
        <v>0.725</v>
      </c>
      <c r="F61" s="903" t="s">
        <v>4260</v>
      </c>
      <c r="Q61" s="896" t="n">
        <v>3</v>
      </c>
      <c r="R61" s="896" t="n">
        <v>60</v>
      </c>
      <c r="S61" s="896" t="n">
        <v>7.90000000000001</v>
      </c>
    </row>
    <row r="62" customFormat="false" ht="14.5" hidden="false" customHeight="false" outlineLevel="0" collapsed="false">
      <c r="A62" s="2315" t="s">
        <v>4261</v>
      </c>
      <c r="B62" s="2315"/>
      <c r="D62" s="2315" t="n">
        <v>1.7</v>
      </c>
      <c r="E62" s="2315" t="n">
        <v>0.75</v>
      </c>
      <c r="Q62" s="896" t="n">
        <v>3.05</v>
      </c>
      <c r="R62" s="896" t="n">
        <v>61</v>
      </c>
      <c r="S62" s="896" t="n">
        <v>8.00000000000001</v>
      </c>
    </row>
    <row r="63" customFormat="false" ht="14.5" hidden="false" customHeight="false" outlineLevel="0" collapsed="false">
      <c r="A63" s="2321" t="s">
        <v>4252</v>
      </c>
      <c r="B63" s="2315"/>
      <c r="D63" s="2315" t="n">
        <v>1.8</v>
      </c>
      <c r="E63" s="2315" t="n">
        <v>0.775</v>
      </c>
      <c r="Q63" s="896" t="n">
        <v>3.1</v>
      </c>
      <c r="R63" s="896" t="n">
        <v>62</v>
      </c>
      <c r="S63" s="896" t="n">
        <v>8.10000000000001</v>
      </c>
    </row>
    <row r="64" customFormat="false" ht="14.5" hidden="false" customHeight="false" outlineLevel="0" collapsed="false">
      <c r="A64" s="2315" t="s">
        <v>4262</v>
      </c>
      <c r="B64" s="2315"/>
      <c r="D64" s="2315" t="n">
        <v>1.9</v>
      </c>
      <c r="E64" s="2315" t="n">
        <v>0.8</v>
      </c>
      <c r="F64" s="908" t="s">
        <v>4263</v>
      </c>
      <c r="Q64" s="896" t="n">
        <v>3.15</v>
      </c>
      <c r="R64" s="896" t="n">
        <v>63</v>
      </c>
      <c r="S64" s="896" t="n">
        <v>8.2</v>
      </c>
    </row>
    <row r="65" customFormat="false" ht="14.5" hidden="false" customHeight="false" outlineLevel="0" collapsed="false">
      <c r="A65" s="2315" t="s">
        <v>4264</v>
      </c>
      <c r="B65" s="2315"/>
      <c r="D65" s="2315" t="n">
        <v>2</v>
      </c>
      <c r="E65" s="2315" t="n">
        <v>0.825</v>
      </c>
      <c r="F65" s="908" t="s">
        <v>1780</v>
      </c>
      <c r="Q65" s="896" t="n">
        <v>3.2</v>
      </c>
      <c r="R65" s="896" t="n">
        <v>64</v>
      </c>
      <c r="S65" s="896" t="n">
        <v>8.30000000000001</v>
      </c>
    </row>
    <row r="66" customFormat="false" ht="14.5" hidden="false" customHeight="false" outlineLevel="0" collapsed="false">
      <c r="A66" s="2315"/>
      <c r="B66" s="2315"/>
      <c r="D66" s="2315" t="n">
        <v>2.1</v>
      </c>
      <c r="E66" s="2315" t="n">
        <v>0.85</v>
      </c>
      <c r="F66" s="908" t="s">
        <v>4202</v>
      </c>
      <c r="Q66" s="896" t="n">
        <v>3.25</v>
      </c>
      <c r="R66" s="896" t="n">
        <v>65</v>
      </c>
      <c r="S66" s="896" t="n">
        <v>8.40000000000001</v>
      </c>
    </row>
    <row r="67" customFormat="false" ht="14.5" hidden="false" customHeight="false" outlineLevel="0" collapsed="false">
      <c r="D67" s="2315" t="n">
        <v>2.2</v>
      </c>
      <c r="E67" s="2315" t="n">
        <v>0.875</v>
      </c>
      <c r="F67" s="908" t="s">
        <v>4265</v>
      </c>
      <c r="Q67" s="896" t="n">
        <v>3.3</v>
      </c>
      <c r="R67" s="896" t="n">
        <v>66</v>
      </c>
      <c r="S67" s="896" t="n">
        <v>8.50000000000001</v>
      </c>
    </row>
    <row r="68" customFormat="false" ht="14.5" hidden="false" customHeight="false" outlineLevel="0" collapsed="false">
      <c r="A68" s="896" t="s">
        <v>4266</v>
      </c>
      <c r="D68" s="2315" t="n">
        <v>2.3</v>
      </c>
      <c r="E68" s="2315" t="n">
        <v>0.9</v>
      </c>
      <c r="Q68" s="896" t="n">
        <v>3.35</v>
      </c>
      <c r="R68" s="896" t="n">
        <v>67</v>
      </c>
      <c r="S68" s="896" t="n">
        <v>8.60000000000001</v>
      </c>
    </row>
    <row r="69" customFormat="false" ht="14.5" hidden="false" customHeight="false" outlineLevel="0" collapsed="false">
      <c r="A69" s="896" t="s">
        <v>4267</v>
      </c>
      <c r="D69" s="2315" t="n">
        <v>2.4</v>
      </c>
      <c r="E69" s="2315" t="n">
        <v>0.925</v>
      </c>
      <c r="Q69" s="896" t="n">
        <v>3.4</v>
      </c>
      <c r="R69" s="896" t="n">
        <v>68</v>
      </c>
      <c r="S69" s="896" t="n">
        <v>8.70000000000001</v>
      </c>
    </row>
    <row r="70" customFormat="false" ht="14.5" hidden="false" customHeight="false" outlineLevel="0" collapsed="false">
      <c r="A70" s="896" t="s">
        <v>2506</v>
      </c>
      <c r="D70" s="2315" t="n">
        <v>2.5</v>
      </c>
      <c r="E70" s="2315" t="n">
        <v>0.950000000000001</v>
      </c>
      <c r="Q70" s="896" t="n">
        <v>3.45</v>
      </c>
      <c r="R70" s="896" t="n">
        <v>69</v>
      </c>
      <c r="S70" s="896" t="n">
        <v>8.80000000000001</v>
      </c>
    </row>
    <row r="71" customFormat="false" ht="14.5" hidden="false" customHeight="false" outlineLevel="0" collapsed="false">
      <c r="D71" s="2315" t="n">
        <v>2.6</v>
      </c>
      <c r="E71" s="2315" t="n">
        <v>0.975000000000001</v>
      </c>
      <c r="Q71" s="896" t="n">
        <v>3.5</v>
      </c>
      <c r="R71" s="896" t="n">
        <v>70</v>
      </c>
      <c r="S71" s="896" t="n">
        <v>8.90000000000001</v>
      </c>
    </row>
    <row r="72" customFormat="false" ht="14.5" hidden="false" customHeight="false" outlineLevel="0" collapsed="false">
      <c r="D72" s="2315" t="n">
        <v>2.7</v>
      </c>
      <c r="E72" s="2315" t="n">
        <v>1</v>
      </c>
      <c r="Q72" s="896" t="n">
        <v>3.55</v>
      </c>
      <c r="R72" s="896" t="n">
        <v>71</v>
      </c>
      <c r="S72" s="896" t="n">
        <v>9.00000000000001</v>
      </c>
    </row>
    <row r="73" customFormat="false" ht="14.5" hidden="false" customHeight="false" outlineLevel="0" collapsed="false">
      <c r="A73" s="2315" t="s">
        <v>1622</v>
      </c>
      <c r="B73" s="2315"/>
      <c r="D73" s="2315" t="n">
        <v>2.8</v>
      </c>
      <c r="Q73" s="896" t="n">
        <v>3.6</v>
      </c>
      <c r="R73" s="896" t="n">
        <v>72</v>
      </c>
      <c r="S73" s="896" t="n">
        <v>9.10000000000001</v>
      </c>
    </row>
    <row r="74" customFormat="false" ht="14.5" hidden="false" customHeight="false" outlineLevel="0" collapsed="false">
      <c r="A74" s="2600" t="s">
        <v>4268</v>
      </c>
      <c r="B74" s="2315" t="n">
        <v>0</v>
      </c>
      <c r="C74" s="2321"/>
      <c r="D74" s="2315" t="n">
        <v>2.9</v>
      </c>
      <c r="E74" s="2321"/>
      <c r="F74" s="2321"/>
      <c r="R74" s="896" t="n">
        <v>73</v>
      </c>
      <c r="S74" s="896" t="n">
        <v>9.20000000000001</v>
      </c>
    </row>
    <row r="75" customFormat="false" ht="14.5" hidden="false" customHeight="false" outlineLevel="0" collapsed="false">
      <c r="A75" s="933" t="str">
        <f aca="false">'Прайс лист'!B1186</f>
        <v>дно бетонное, диаметр 1м.п.</v>
      </c>
      <c r="B75" s="2362" t="n">
        <f aca="false">'Прайс лист'!G1186</f>
        <v>2000</v>
      </c>
      <c r="C75" s="2321"/>
      <c r="D75" s="2315" t="n">
        <v>3</v>
      </c>
      <c r="E75" s="2321"/>
      <c r="F75" s="2321"/>
      <c r="R75" s="896" t="n">
        <v>74</v>
      </c>
      <c r="S75" s="896" t="n">
        <v>9.30000000000001</v>
      </c>
    </row>
    <row r="76" customFormat="false" ht="14.5" hidden="false" customHeight="false" outlineLevel="0" collapsed="false">
      <c r="A76" s="933" t="str">
        <f aca="false">'Прайс лист'!B1187</f>
        <v>дно бетонное, диаметр 1,5м.п.</v>
      </c>
      <c r="B76" s="2362" t="n">
        <f aca="false">'Прайс лист'!G1187</f>
        <v>2000</v>
      </c>
      <c r="C76" s="2321"/>
      <c r="D76" s="2603"/>
      <c r="E76" s="2321"/>
      <c r="F76" s="2321"/>
      <c r="R76" s="896" t="n">
        <v>75</v>
      </c>
      <c r="S76" s="896" t="n">
        <v>9.40000000000001</v>
      </c>
    </row>
    <row r="77" customFormat="false" ht="14.5" hidden="false" customHeight="false" outlineLevel="0" collapsed="false">
      <c r="A77" s="933" t="str">
        <f aca="false">'Прайс лист'!B1188</f>
        <v>дно бетонное, диаметр 2м.п.</v>
      </c>
      <c r="B77" s="2362" t="n">
        <f aca="false">'Прайс лист'!G1188</f>
        <v>2000</v>
      </c>
      <c r="C77" s="2321"/>
      <c r="D77" s="2603"/>
      <c r="E77" s="2321"/>
      <c r="F77" s="2321"/>
      <c r="R77" s="896" t="n">
        <v>76</v>
      </c>
      <c r="S77" s="896" t="n">
        <v>9.50000000000001</v>
      </c>
    </row>
    <row r="78" customFormat="false" ht="14.5" hidden="false" customHeight="false" outlineLevel="0" collapsed="false">
      <c r="A78" s="933" t="str">
        <f aca="false">'Прайс лист'!B1189</f>
        <v>дно бетонное, диаметр 3м.п.</v>
      </c>
      <c r="B78" s="2362" t="n">
        <f aca="false">'Прайс лист'!G1189</f>
        <v>2800</v>
      </c>
      <c r="F78" s="2321"/>
      <c r="R78" s="896" t="n">
        <v>77</v>
      </c>
      <c r="S78" s="896" t="n">
        <v>9.60000000000001</v>
      </c>
    </row>
    <row r="79" customFormat="false" ht="14.5" hidden="false" customHeight="false" outlineLevel="0" collapsed="false">
      <c r="A79" s="2315" t="s">
        <v>4269</v>
      </c>
      <c r="B79" s="2315" t="n">
        <v>0</v>
      </c>
      <c r="F79" s="2321"/>
      <c r="R79" s="896" t="n">
        <v>78</v>
      </c>
      <c r="S79" s="896" t="n">
        <v>9.70000000000001</v>
      </c>
    </row>
    <row r="80" customFormat="false" ht="14.5" hidden="false" customHeight="false" outlineLevel="0" collapsed="false">
      <c r="A80" s="933" t="str">
        <f aca="false">'Прайс лист'!B1190</f>
        <v>кольцо бетонное, диаметр 1м.п.</v>
      </c>
      <c r="B80" s="2362" t="n">
        <f aca="false">'Прайс лист'!G1190</f>
        <v>2800</v>
      </c>
      <c r="R80" s="896" t="n">
        <v>79</v>
      </c>
      <c r="S80" s="896" t="n">
        <v>9.80000000000001</v>
      </c>
    </row>
    <row r="81" customFormat="false" ht="14.5" hidden="false" customHeight="false" outlineLevel="0" collapsed="false">
      <c r="A81" s="933" t="str">
        <f aca="false">'Прайс лист'!B1191</f>
        <v>кольцо бетонное, диаметр 1,5м.п.</v>
      </c>
      <c r="B81" s="2362" t="n">
        <f aca="false">'Прайс лист'!G1191</f>
        <v>2800</v>
      </c>
      <c r="R81" s="896" t="n">
        <v>80</v>
      </c>
      <c r="S81" s="896" t="n">
        <v>9.90000000000001</v>
      </c>
    </row>
    <row r="82" customFormat="false" ht="14.5" hidden="false" customHeight="false" outlineLevel="0" collapsed="false">
      <c r="A82" s="933" t="str">
        <f aca="false">'Прайс лист'!B1192</f>
        <v>кольцо бетонное, диаметр 2м.п.</v>
      </c>
      <c r="B82" s="2362" t="n">
        <f aca="false">'Прайс лист'!G1192</f>
        <v>3300</v>
      </c>
      <c r="R82" s="896" t="n">
        <v>81</v>
      </c>
      <c r="S82" s="896" t="n">
        <v>10</v>
      </c>
    </row>
    <row r="83" customFormat="false" ht="14.5" hidden="false" customHeight="false" outlineLevel="0" collapsed="false">
      <c r="A83" s="933" t="str">
        <f aca="false">'Прайс лист'!B1193</f>
        <v>кольцо бетонное, диаметр 3м.п.</v>
      </c>
      <c r="B83" s="2362" t="n">
        <f aca="false">'Прайс лист'!G1193</f>
        <v>3300</v>
      </c>
      <c r="R83" s="896" t="n">
        <v>82</v>
      </c>
      <c r="S83" s="896" t="n">
        <v>10.1</v>
      </c>
    </row>
    <row r="84" customFormat="false" ht="14.5" hidden="false" customHeight="false" outlineLevel="0" collapsed="false">
      <c r="A84" s="2315" t="s">
        <v>4270</v>
      </c>
      <c r="B84" s="2315" t="n">
        <v>0</v>
      </c>
      <c r="R84" s="896" t="n">
        <v>83</v>
      </c>
      <c r="S84" s="896" t="n">
        <v>10.2</v>
      </c>
    </row>
    <row r="85" customFormat="false" ht="14.5" hidden="false" customHeight="false" outlineLevel="0" collapsed="false">
      <c r="A85" s="933" t="str">
        <f aca="false">'Прайс лист'!B1194</f>
        <v>крышка бетонная, диаметр 1м.п.</v>
      </c>
      <c r="B85" s="2362" t="n">
        <f aca="false">'Прайс лист'!G1194</f>
        <v>3300</v>
      </c>
      <c r="R85" s="896" t="n">
        <v>84</v>
      </c>
      <c r="S85" s="896" t="n">
        <v>10.3</v>
      </c>
    </row>
    <row r="86" customFormat="false" ht="14.5" hidden="false" customHeight="false" outlineLevel="0" collapsed="false">
      <c r="A86" s="933" t="str">
        <f aca="false">'Прайс лист'!B1195</f>
        <v>крышка бетонная, диаметр 1,5м.п.</v>
      </c>
      <c r="B86" s="2362" t="n">
        <f aca="false">'Прайс лист'!G1195</f>
        <v>4000</v>
      </c>
      <c r="R86" s="896" t="n">
        <v>85</v>
      </c>
      <c r="S86" s="896" t="n">
        <v>10.4</v>
      </c>
    </row>
    <row r="87" customFormat="false" ht="14.5" hidden="false" customHeight="false" outlineLevel="0" collapsed="false">
      <c r="A87" s="933" t="str">
        <f aca="false">'Прайс лист'!B1196</f>
        <v>крышка бетонная, диаметр 2м.п.</v>
      </c>
      <c r="B87" s="2362" t="n">
        <f aca="false">'Прайс лист'!G1196</f>
        <v>4000</v>
      </c>
      <c r="R87" s="896" t="n">
        <v>86</v>
      </c>
      <c r="S87" s="896" t="n">
        <v>10.5</v>
      </c>
    </row>
    <row r="88" customFormat="false" ht="14.5" hidden="false" customHeight="false" outlineLevel="0" collapsed="false">
      <c r="A88" s="933" t="str">
        <f aca="false">'Прайс лист'!B1197</f>
        <v>крышка бетонная, диаметр 3м.п.</v>
      </c>
      <c r="B88" s="2362" t="n">
        <f aca="false">'Прайс лист'!G1197</f>
        <v>4000</v>
      </c>
      <c r="R88" s="896" t="n">
        <v>87</v>
      </c>
      <c r="S88" s="896" t="n">
        <v>10.6</v>
      </c>
    </row>
    <row r="89" customFormat="false" ht="14.5" hidden="false" customHeight="false" outlineLevel="0" collapsed="false">
      <c r="A89" s="2315" t="s">
        <v>2516</v>
      </c>
      <c r="B89" s="2315" t="n">
        <v>0</v>
      </c>
      <c r="R89" s="896" t="n">
        <v>88</v>
      </c>
      <c r="S89" s="896" t="n">
        <v>10.7</v>
      </c>
    </row>
    <row r="90" customFormat="false" ht="14.5" hidden="false" customHeight="false" outlineLevel="0" collapsed="false">
      <c r="A90" s="933" t="str">
        <f aca="false">'Прайс лист'!B1198</f>
        <v>Люк для крышки пластиковый</v>
      </c>
      <c r="B90" s="933" t="n">
        <f aca="false">'Прайс лист'!G1198</f>
        <v>2000</v>
      </c>
      <c r="R90" s="896" t="n">
        <v>89</v>
      </c>
      <c r="S90" s="896" t="n">
        <v>10.8</v>
      </c>
    </row>
    <row r="91" customFormat="false" ht="14.5" hidden="false" customHeight="false" outlineLevel="0" collapsed="false">
      <c r="A91" s="933" t="str">
        <f aca="false">'Прайс лист'!B1199</f>
        <v>Люк для крышки чугунный</v>
      </c>
      <c r="B91" s="933" t="n">
        <f aca="false">'Прайс лист'!G1199</f>
        <v>3000</v>
      </c>
      <c r="R91" s="896" t="n">
        <v>90</v>
      </c>
      <c r="S91" s="896" t="n">
        <v>10.9</v>
      </c>
    </row>
    <row r="92" customFormat="false" ht="14.5" hidden="false" customHeight="false" outlineLevel="0" collapsed="false">
      <c r="R92" s="896" t="n">
        <v>91</v>
      </c>
      <c r="S92" s="896" t="n">
        <v>11</v>
      </c>
    </row>
    <row r="93" customFormat="false" ht="14.5" hidden="false" customHeight="false" outlineLevel="0" collapsed="false">
      <c r="A93" s="2315" t="s">
        <v>3587</v>
      </c>
      <c r="B93" s="2315"/>
      <c r="R93" s="896" t="n">
        <v>92</v>
      </c>
      <c r="S93" s="896" t="n">
        <v>11.1</v>
      </c>
    </row>
    <row r="94" customFormat="false" ht="14.5" hidden="false" customHeight="false" outlineLevel="0" collapsed="false">
      <c r="A94" s="2315" t="s">
        <v>1749</v>
      </c>
      <c r="B94" s="2315" t="n">
        <v>1</v>
      </c>
      <c r="R94" s="896" t="n">
        <v>93</v>
      </c>
      <c r="S94" s="896" t="n">
        <v>11.2</v>
      </c>
    </row>
    <row r="95" customFormat="false" ht="14.5" hidden="false" customHeight="false" outlineLevel="0" collapsed="false">
      <c r="A95" s="2315" t="s">
        <v>1998</v>
      </c>
      <c r="B95" s="2315" t="n">
        <v>2</v>
      </c>
      <c r="R95" s="896" t="n">
        <v>94</v>
      </c>
      <c r="S95" s="896" t="n">
        <v>11.3</v>
      </c>
    </row>
    <row r="96" customFormat="false" ht="14.5" hidden="false" customHeight="false" outlineLevel="0" collapsed="false">
      <c r="A96" s="2315" t="s">
        <v>2005</v>
      </c>
      <c r="B96" s="2315" t="n">
        <v>2</v>
      </c>
      <c r="R96" s="896" t="n">
        <v>95</v>
      </c>
      <c r="S96" s="896" t="n">
        <v>11.4</v>
      </c>
    </row>
    <row r="97" customFormat="false" ht="14.5" hidden="false" customHeight="false" outlineLevel="0" collapsed="false">
      <c r="A97" s="2315" t="s">
        <v>1990</v>
      </c>
      <c r="B97" s="2315" t="n">
        <v>1</v>
      </c>
      <c r="R97" s="896" t="n">
        <v>96</v>
      </c>
      <c r="S97" s="896" t="n">
        <v>11.5</v>
      </c>
    </row>
    <row r="98" customFormat="false" ht="14.5" hidden="false" customHeight="false" outlineLevel="0" collapsed="false">
      <c r="A98" s="2315" t="s">
        <v>4271</v>
      </c>
      <c r="B98" s="2315" t="n">
        <v>2</v>
      </c>
      <c r="R98" s="896" t="n">
        <v>97</v>
      </c>
      <c r="S98" s="896" t="n">
        <v>11.6</v>
      </c>
    </row>
    <row r="99" customFormat="false" ht="14.5" hidden="false" customHeight="false" outlineLevel="0" collapsed="false">
      <c r="A99" s="2604" t="s">
        <v>4272</v>
      </c>
      <c r="R99" s="896" t="n">
        <v>98</v>
      </c>
      <c r="S99" s="896" t="n">
        <v>11.7</v>
      </c>
    </row>
    <row r="100" customFormat="false" ht="14.5" hidden="false" customHeight="false" outlineLevel="0" collapsed="false">
      <c r="A100" s="2315" t="s">
        <v>4273</v>
      </c>
      <c r="B100" s="2315" t="n">
        <v>0</v>
      </c>
      <c r="R100" s="896" t="n">
        <v>99</v>
      </c>
      <c r="S100" s="896" t="n">
        <v>11.8</v>
      </c>
    </row>
    <row r="101" customFormat="false" ht="14.5" hidden="false" customHeight="false" outlineLevel="0" collapsed="false">
      <c r="A101" s="902" t="s">
        <v>2276</v>
      </c>
      <c r="B101" s="933" t="n">
        <f aca="false">дома!C1765</f>
        <v>110.4</v>
      </c>
      <c r="R101" s="896" t="n">
        <v>100</v>
      </c>
      <c r="S101" s="896" t="n">
        <v>11.9</v>
      </c>
    </row>
    <row r="102" customFormat="false" ht="14.5" hidden="false" customHeight="false" outlineLevel="0" collapsed="false">
      <c r="A102" s="902" t="s">
        <v>4274</v>
      </c>
      <c r="B102" s="933" t="n">
        <f aca="false">дома!C1766</f>
        <v>0</v>
      </c>
      <c r="R102" s="896" t="n">
        <v>101</v>
      </c>
      <c r="S102" s="896" t="n">
        <v>12</v>
      </c>
    </row>
    <row r="103" customFormat="false" ht="14.5" hidden="false" customHeight="false" outlineLevel="0" collapsed="false">
      <c r="R103" s="896" t="n">
        <v>102</v>
      </c>
      <c r="S103" s="896" t="n">
        <v>12.1</v>
      </c>
    </row>
    <row r="104" customFormat="false" ht="14.5" hidden="false" customHeight="false" outlineLevel="0" collapsed="false">
      <c r="A104" s="2315" t="s">
        <v>4275</v>
      </c>
      <c r="B104" s="2315"/>
      <c r="R104" s="896" t="n">
        <v>103</v>
      </c>
      <c r="S104" s="896" t="n">
        <v>12.2</v>
      </c>
    </row>
    <row r="105" customFormat="false" ht="14.5" hidden="false" customHeight="false" outlineLevel="0" collapsed="false">
      <c r="A105" s="2321" t="s">
        <v>2706</v>
      </c>
      <c r="B105" s="2315"/>
      <c r="R105" s="896" t="n">
        <v>104</v>
      </c>
      <c r="S105" s="896" t="n">
        <v>12.3</v>
      </c>
    </row>
    <row r="106" customFormat="false" ht="14.5" hidden="false" customHeight="false" outlineLevel="0" collapsed="false">
      <c r="A106" s="2315" t="s">
        <v>2133</v>
      </c>
      <c r="B106" s="2315"/>
      <c r="R106" s="896" t="n">
        <v>105</v>
      </c>
      <c r="S106" s="896" t="n">
        <v>12.4</v>
      </c>
    </row>
    <row r="107" customFormat="false" ht="14.5" hidden="false" customHeight="false" outlineLevel="0" collapsed="false">
      <c r="A107" s="2315" t="s">
        <v>1988</v>
      </c>
      <c r="B107" s="2315"/>
      <c r="R107" s="896" t="n">
        <v>106</v>
      </c>
      <c r="S107" s="896" t="n">
        <v>12.5</v>
      </c>
    </row>
    <row r="108" customFormat="false" ht="14.5" hidden="false" customHeight="false" outlineLevel="0" collapsed="false">
      <c r="A108" s="2315" t="s">
        <v>2707</v>
      </c>
      <c r="B108" s="2315"/>
      <c r="R108" s="896" t="n">
        <v>107</v>
      </c>
      <c r="S108" s="896" t="n">
        <v>12.6</v>
      </c>
    </row>
    <row r="109" customFormat="false" ht="14.5" hidden="false" customHeight="false" outlineLevel="0" collapsed="false">
      <c r="A109" s="2315"/>
      <c r="B109" s="2315"/>
      <c r="R109" s="896" t="n">
        <v>108</v>
      </c>
      <c r="S109" s="896" t="n">
        <v>12.7</v>
      </c>
    </row>
    <row r="110" customFormat="false" ht="14.5" hidden="false" customHeight="false" outlineLevel="0" collapsed="false">
      <c r="A110" s="2315"/>
      <c r="B110" s="2315"/>
      <c r="R110" s="896" t="n">
        <v>109</v>
      </c>
      <c r="S110" s="896" t="n">
        <v>12.8</v>
      </c>
    </row>
    <row r="111" customFormat="false" ht="14.5" hidden="false" customHeight="false" outlineLevel="0" collapsed="false">
      <c r="A111" s="2315"/>
      <c r="B111" s="2315"/>
      <c r="R111" s="896" t="n">
        <v>110</v>
      </c>
      <c r="S111" s="896" t="n">
        <v>12.9</v>
      </c>
    </row>
    <row r="112" customFormat="false" ht="14.5" hidden="false" customHeight="false" outlineLevel="0" collapsed="false">
      <c r="R112" s="896" t="n">
        <v>111</v>
      </c>
      <c r="S112" s="896" t="n">
        <v>13</v>
      </c>
    </row>
    <row r="113" customFormat="false" ht="14.5" hidden="false" customHeight="false" outlineLevel="0" collapsed="false">
      <c r="A113" s="2315" t="s">
        <v>4276</v>
      </c>
      <c r="B113" s="2315"/>
      <c r="R113" s="896" t="n">
        <v>112</v>
      </c>
      <c r="S113" s="896" t="n">
        <v>13.1</v>
      </c>
    </row>
    <row r="114" customFormat="false" ht="14.5" hidden="false" customHeight="false" outlineLevel="0" collapsed="false">
      <c r="A114" s="2315" t="s">
        <v>4277</v>
      </c>
      <c r="B114" s="2315"/>
      <c r="R114" s="896" t="n">
        <v>113</v>
      </c>
      <c r="S114" s="896" t="n">
        <v>13.2</v>
      </c>
    </row>
    <row r="115" customFormat="false" ht="14.5" hidden="false" customHeight="false" outlineLevel="0" collapsed="false">
      <c r="A115" s="2315" t="s">
        <v>4278</v>
      </c>
      <c r="B115" s="2315"/>
      <c r="R115" s="896" t="n">
        <v>114</v>
      </c>
      <c r="S115" s="896" t="n">
        <v>13.3</v>
      </c>
    </row>
    <row r="116" customFormat="false" ht="14.5" hidden="false" customHeight="false" outlineLevel="0" collapsed="false">
      <c r="A116" s="2315" t="s">
        <v>4279</v>
      </c>
      <c r="B116" s="2315"/>
      <c r="R116" s="896" t="n">
        <v>115</v>
      </c>
      <c r="S116" s="896" t="n">
        <v>13.4</v>
      </c>
    </row>
    <row r="117" customFormat="false" ht="14.5" hidden="false" customHeight="false" outlineLevel="0" collapsed="false">
      <c r="A117" s="2315"/>
      <c r="B117" s="2315"/>
      <c r="R117" s="896" t="n">
        <v>116</v>
      </c>
      <c r="S117" s="896" t="n">
        <v>13.5</v>
      </c>
    </row>
    <row r="118" customFormat="false" ht="14.5" hidden="false" customHeight="false" outlineLevel="0" collapsed="false">
      <c r="R118" s="896" t="n">
        <v>117</v>
      </c>
      <c r="S118" s="896" t="n">
        <v>13.6</v>
      </c>
    </row>
    <row r="119" customFormat="false" ht="14.5" hidden="false" customHeight="false" outlineLevel="0" collapsed="false">
      <c r="A119" s="2315" t="s">
        <v>4280</v>
      </c>
      <c r="B119" s="2315"/>
      <c r="R119" s="896" t="n">
        <v>118</v>
      </c>
      <c r="S119" s="896" t="n">
        <v>13.7</v>
      </c>
    </row>
    <row r="120" customFormat="false" ht="14.5" hidden="false" customHeight="false" outlineLevel="0" collapsed="false">
      <c r="A120" s="2315" t="s">
        <v>2000</v>
      </c>
      <c r="B120" s="2315"/>
      <c r="R120" s="896" t="n">
        <v>119</v>
      </c>
      <c r="S120" s="896" t="n">
        <v>13.8</v>
      </c>
    </row>
    <row r="121" customFormat="false" ht="14.5" hidden="false" customHeight="false" outlineLevel="0" collapsed="false">
      <c r="A121" s="2315" t="s">
        <v>2012</v>
      </c>
      <c r="B121" s="2315"/>
      <c r="R121" s="896" t="n">
        <v>120</v>
      </c>
      <c r="S121" s="896" t="n">
        <v>13.9</v>
      </c>
    </row>
    <row r="122" customFormat="false" ht="14.5" hidden="false" customHeight="false" outlineLevel="0" collapsed="false">
      <c r="A122" s="2315" t="s">
        <v>4281</v>
      </c>
      <c r="B122" s="2315"/>
      <c r="R122" s="896" t="n">
        <v>121</v>
      </c>
      <c r="S122" s="896" t="n">
        <v>14</v>
      </c>
    </row>
    <row r="123" customFormat="false" ht="14.5" hidden="false" customHeight="false" outlineLevel="0" collapsed="false">
      <c r="A123" s="2315" t="s">
        <v>2006</v>
      </c>
      <c r="B123" s="2315"/>
      <c r="R123" s="896" t="n">
        <v>122</v>
      </c>
      <c r="S123" s="896" t="n">
        <v>14.1</v>
      </c>
    </row>
    <row r="124" customFormat="false" ht="14.5" hidden="false" customHeight="false" outlineLevel="0" collapsed="false">
      <c r="A124" s="2600" t="s">
        <v>2682</v>
      </c>
      <c r="B124" s="2315"/>
      <c r="R124" s="896" t="n">
        <v>123</v>
      </c>
      <c r="S124" s="896" t="n">
        <v>14.2</v>
      </c>
    </row>
    <row r="125" customFormat="false" ht="14.5" hidden="false" customHeight="false" outlineLevel="0" collapsed="false">
      <c r="A125" s="2600" t="s">
        <v>1993</v>
      </c>
      <c r="B125" s="2315"/>
    </row>
    <row r="126" customFormat="false" ht="14.5" hidden="false" customHeight="false" outlineLevel="0" collapsed="false">
      <c r="F126" s="2321"/>
      <c r="R126" s="896" t="n">
        <v>124</v>
      </c>
      <c r="S126" s="896" t="n">
        <v>14.3</v>
      </c>
    </row>
    <row r="127" customFormat="false" ht="14.5" hidden="false" customHeight="false" outlineLevel="0" collapsed="false">
      <c r="A127" s="2315" t="s">
        <v>4282</v>
      </c>
      <c r="B127" s="2315"/>
      <c r="F127" s="2321"/>
      <c r="R127" s="896" t="n">
        <v>125</v>
      </c>
      <c r="S127" s="896" t="n">
        <v>14.4</v>
      </c>
    </row>
    <row r="128" customFormat="false" ht="14.5" hidden="false" customHeight="false" outlineLevel="0" collapsed="false">
      <c r="A128" s="2315" t="s">
        <v>1762</v>
      </c>
      <c r="B128" s="2315"/>
      <c r="F128" s="2321"/>
      <c r="R128" s="896" t="n">
        <v>126</v>
      </c>
      <c r="S128" s="896" t="n">
        <v>14.5</v>
      </c>
    </row>
    <row r="129" customFormat="false" ht="14.5" hidden="false" customHeight="false" outlineLevel="0" collapsed="false">
      <c r="A129" s="2315" t="s">
        <v>4283</v>
      </c>
      <c r="B129" s="2315"/>
      <c r="F129" s="2321"/>
      <c r="R129" s="896" t="n">
        <v>127</v>
      </c>
      <c r="S129" s="896" t="n">
        <v>14.6</v>
      </c>
    </row>
    <row r="130" customFormat="false" ht="14.5" hidden="false" customHeight="false" outlineLevel="0" collapsed="false">
      <c r="F130" s="2321"/>
      <c r="R130" s="896" t="n">
        <v>128</v>
      </c>
      <c r="S130" s="896" t="n">
        <v>14.7</v>
      </c>
    </row>
    <row r="131" customFormat="false" ht="14.5" hidden="false" customHeight="false" outlineLevel="0" collapsed="false">
      <c r="A131" s="2315" t="s">
        <v>4284</v>
      </c>
      <c r="B131" s="2315"/>
      <c r="F131" s="2321"/>
      <c r="R131" s="896" t="n">
        <v>129</v>
      </c>
      <c r="S131" s="896" t="n">
        <v>14.8</v>
      </c>
    </row>
    <row r="132" customFormat="false" ht="14.5" hidden="false" customHeight="false" outlineLevel="0" collapsed="false">
      <c r="A132" s="2315" t="s">
        <v>1770</v>
      </c>
      <c r="B132" s="2315"/>
      <c r="F132" s="2321"/>
      <c r="R132" s="896" t="n">
        <v>130</v>
      </c>
      <c r="S132" s="896" t="n">
        <v>14.9</v>
      </c>
    </row>
    <row r="133" customFormat="false" ht="14.5" hidden="false" customHeight="false" outlineLevel="0" collapsed="false">
      <c r="A133" s="2315" t="s">
        <v>4285</v>
      </c>
      <c r="B133" s="2315"/>
      <c r="F133" s="2321"/>
      <c r="R133" s="896" t="n">
        <v>131</v>
      </c>
      <c r="S133" s="896" t="n">
        <v>15</v>
      </c>
    </row>
    <row r="134" customFormat="false" ht="14.5" hidden="false" customHeight="false" outlineLevel="0" collapsed="false">
      <c r="F134" s="2321"/>
      <c r="R134" s="896" t="n">
        <v>132</v>
      </c>
      <c r="S134" s="896" t="n">
        <v>15.1</v>
      </c>
    </row>
    <row r="135" customFormat="false" ht="14.5" hidden="false" customHeight="false" outlineLevel="0" collapsed="false">
      <c r="A135" s="896" t="s">
        <v>4286</v>
      </c>
      <c r="F135" s="2321"/>
      <c r="R135" s="896" t="n">
        <v>133</v>
      </c>
      <c r="S135" s="896" t="n">
        <v>15.2</v>
      </c>
    </row>
    <row r="136" customFormat="false" ht="14.5" hidden="false" customHeight="false" outlineLevel="0" collapsed="false">
      <c r="A136" s="896" t="s">
        <v>4287</v>
      </c>
      <c r="F136" s="2321"/>
      <c r="R136" s="896" t="n">
        <v>134</v>
      </c>
      <c r="S136" s="896" t="n">
        <v>15.3</v>
      </c>
    </row>
    <row r="137" customFormat="false" ht="14.5" hidden="false" customHeight="false" outlineLevel="0" collapsed="false">
      <c r="F137" s="2321"/>
      <c r="R137" s="896" t="n">
        <v>135</v>
      </c>
      <c r="S137" s="896" t="n">
        <v>15.4</v>
      </c>
    </row>
    <row r="138" customFormat="false" ht="14.5" hidden="false" customHeight="false" outlineLevel="0" collapsed="false">
      <c r="A138" s="896" t="s">
        <v>1865</v>
      </c>
      <c r="F138" s="2321"/>
      <c r="R138" s="896" t="n">
        <v>136</v>
      </c>
      <c r="S138" s="896" t="n">
        <v>15.5</v>
      </c>
    </row>
    <row r="139" customFormat="false" ht="14.5" hidden="false" customHeight="false" outlineLevel="0" collapsed="false">
      <c r="A139" s="2315" t="s">
        <v>4288</v>
      </c>
      <c r="B139" s="2315"/>
      <c r="F139" s="2321"/>
      <c r="R139" s="896" t="n">
        <v>137</v>
      </c>
      <c r="S139" s="896" t="n">
        <v>15.6</v>
      </c>
    </row>
    <row r="140" customFormat="false" ht="14.5" hidden="false" customHeight="false" outlineLevel="0" collapsed="false">
      <c r="A140" s="2315" t="s">
        <v>4289</v>
      </c>
      <c r="B140" s="2315"/>
      <c r="F140" s="2321"/>
      <c r="R140" s="896" t="n">
        <v>138</v>
      </c>
      <c r="S140" s="896" t="n">
        <v>15.7</v>
      </c>
    </row>
    <row r="141" customFormat="false" ht="14.5" hidden="false" customHeight="false" outlineLevel="0" collapsed="false">
      <c r="F141" s="2321"/>
      <c r="R141" s="896" t="n">
        <v>139</v>
      </c>
      <c r="S141" s="896" t="n">
        <v>15.8</v>
      </c>
    </row>
    <row r="142" customFormat="false" ht="14.5" hidden="false" customHeight="false" outlineLevel="0" collapsed="false">
      <c r="A142" s="2315" t="s">
        <v>4290</v>
      </c>
      <c r="B142" s="2315"/>
      <c r="F142" s="2321"/>
      <c r="R142" s="896" t="n">
        <v>140</v>
      </c>
      <c r="S142" s="896" t="n">
        <v>15.9</v>
      </c>
    </row>
    <row r="143" customFormat="false" ht="14.5" hidden="false" customHeight="false" outlineLevel="0" collapsed="false">
      <c r="A143" s="2315" t="s">
        <v>4291</v>
      </c>
      <c r="B143" s="2315"/>
      <c r="F143" s="2321"/>
      <c r="R143" s="896" t="n">
        <v>141</v>
      </c>
      <c r="S143" s="896" t="n">
        <v>16</v>
      </c>
    </row>
    <row r="144" customFormat="false" ht="14.5" hidden="false" customHeight="false" outlineLevel="0" collapsed="false">
      <c r="A144" s="2315" t="s">
        <v>4292</v>
      </c>
      <c r="B144" s="2315"/>
      <c r="F144" s="2321"/>
      <c r="R144" s="896" t="n">
        <v>142</v>
      </c>
      <c r="S144" s="896" t="n">
        <v>16.1</v>
      </c>
    </row>
    <row r="145" customFormat="false" ht="14.5" hidden="false" customHeight="false" outlineLevel="0" collapsed="false">
      <c r="A145" s="2315" t="s">
        <v>4293</v>
      </c>
      <c r="B145" s="2315"/>
      <c r="F145" s="2321"/>
      <c r="R145" s="896" t="n">
        <v>143</v>
      </c>
      <c r="S145" s="896" t="n">
        <v>16.2</v>
      </c>
    </row>
    <row r="146" customFormat="false" ht="14.5" hidden="false" customHeight="false" outlineLevel="0" collapsed="false">
      <c r="A146" s="2315" t="s">
        <v>4294</v>
      </c>
      <c r="B146" s="2315"/>
      <c r="F146" s="2601" t="s">
        <v>4295</v>
      </c>
      <c r="G146" s="2601"/>
      <c r="H146" s="2601"/>
      <c r="I146" s="2601" t="s">
        <v>4296</v>
      </c>
      <c r="J146" s="2601"/>
      <c r="K146" s="2601"/>
      <c r="R146" s="896" t="n">
        <v>144</v>
      </c>
      <c r="S146" s="896" t="n">
        <v>16.3</v>
      </c>
    </row>
    <row r="147" customFormat="false" ht="14.5" hidden="false" customHeight="false" outlineLevel="0" collapsed="false">
      <c r="A147" s="2321"/>
      <c r="B147" s="2321"/>
      <c r="C147" s="2321" t="s">
        <v>2377</v>
      </c>
      <c r="D147" s="896" t="s">
        <v>4297</v>
      </c>
      <c r="E147" s="896" t="s">
        <v>4298</v>
      </c>
      <c r="F147" s="2315" t="s">
        <v>4299</v>
      </c>
      <c r="G147" s="2315" t="s">
        <v>4300</v>
      </c>
      <c r="H147" s="2315" t="s">
        <v>4301</v>
      </c>
      <c r="I147" s="2315" t="s">
        <v>4299</v>
      </c>
      <c r="J147" s="2315" t="s">
        <v>4300</v>
      </c>
      <c r="K147" s="2315" t="s">
        <v>4301</v>
      </c>
      <c r="R147" s="896" t="n">
        <v>145</v>
      </c>
      <c r="S147" s="896" t="n">
        <v>16.4</v>
      </c>
    </row>
    <row r="148" customFormat="false" ht="14.5" hidden="false" customHeight="false" outlineLevel="0" collapsed="false">
      <c r="A148" s="2321"/>
      <c r="B148" s="2321"/>
      <c r="R148" s="896" t="n">
        <v>146</v>
      </c>
      <c r="S148" s="896" t="n">
        <v>16.5</v>
      </c>
    </row>
    <row r="149" customFormat="false" ht="14.5" hidden="false" customHeight="false" outlineLevel="0" collapsed="false">
      <c r="A149" s="2321" t="s">
        <v>4302</v>
      </c>
      <c r="B149" s="896" t="n">
        <v>0</v>
      </c>
      <c r="C149" s="896" t="n">
        <v>0</v>
      </c>
      <c r="D149" s="896" t="n">
        <v>0</v>
      </c>
      <c r="E149" s="896" t="n">
        <v>0</v>
      </c>
      <c r="F149" s="896" t="n">
        <v>0</v>
      </c>
      <c r="G149" s="896" t="n">
        <v>0</v>
      </c>
      <c r="H149" s="896" t="n">
        <v>0</v>
      </c>
      <c r="I149" s="896" t="n">
        <v>0</v>
      </c>
      <c r="J149" s="896" t="n">
        <v>0</v>
      </c>
      <c r="K149" s="896" t="n">
        <v>0</v>
      </c>
      <c r="L149" s="896" t="n">
        <v>0</v>
      </c>
      <c r="R149" s="896" t="n">
        <v>147</v>
      </c>
      <c r="S149" s="896" t="n">
        <v>16.6</v>
      </c>
    </row>
    <row r="150" customFormat="false" ht="14.5" hidden="false" customHeight="false" outlineLevel="0" collapsed="false">
      <c r="A150" s="2605" t="s">
        <v>4303</v>
      </c>
      <c r="C150" s="2605" t="n">
        <f aca="false">IF('Ввод данных'!$A$8=связи1!A150,дома!$S$93,0)+IF('Ввод данных'!$A$8=связи1!A169,дома!$S$94,0)+IF('Ввод данных'!$A$8=связи1!A177,дома!$S$94,0)+IF('Ввод данных'!$A$8=связи1!A184,дома!$S$94,0)+IF('Ввод данных'!$A$8=связи1!A185,дома!$S$94,0)</f>
        <v>0</v>
      </c>
      <c r="D150" s="2315" t="n">
        <f aca="false">IF('Ввод данных'!$A$8=связи1!A150,дома!$K$112,0)+IF('Ввод данных'!$A$8=связи1!A169,дома!$G$114,0)+IF('Ввод данных'!$A$8=связи1!A177,дома!$G$114,0)+IF('Ввод данных'!$A$8=связи1!A184,дома!$G$114,0)+IF('Ввод данных'!$A$8=связи1!A185,дома!$G$114,0)</f>
        <v>0</v>
      </c>
      <c r="E150" s="2315" t="n">
        <f aca="false">IF('Ввод данных'!$A$8=связи1!A150,дома!K114,0)+IF('Ввод данных'!$A$8=связи1!A169,дома!G117,0)+IF('Ввод данных'!$A$8=связи1!A177,дома!G117,0)+IF('Ввод данных'!$A$8=связи1!A184,дома!G117,0)+IF('Ввод данных'!$A$8=связи1!A185,дома!G117,0)</f>
        <v>0</v>
      </c>
      <c r="F150" s="2315" t="n">
        <f aca="false">IF('Ввод данных'!$A$8=связи1!A150,связи1!C163,0)</f>
        <v>0</v>
      </c>
      <c r="G150" s="2315" t="n">
        <f aca="false">IF('Ввод данных'!$A$8=связи1!A150,связи1!D163,0)</f>
        <v>0</v>
      </c>
      <c r="H150" s="2315" t="n">
        <f aca="false">IF('Ввод данных'!$A$8=связи1!A150,связи1!E163,0)</f>
        <v>0</v>
      </c>
      <c r="I150" s="2315" t="n">
        <f aca="false">IF('Ввод данных'!$A$8=связи1!A150,связи1!C163,0)</f>
        <v>0</v>
      </c>
      <c r="J150" s="2315" t="n">
        <f aca="false">IF('Ввод данных'!$A$8=связи1!A150,связи1!D163,0)</f>
        <v>0</v>
      </c>
      <c r="K150" s="2315" t="n">
        <f aca="false">IF('Ввод данных'!$A$8=связи1!A150,связи1!E163,0)</f>
        <v>0</v>
      </c>
      <c r="R150" s="896" t="n">
        <v>148</v>
      </c>
      <c r="S150" s="896" t="n">
        <v>16.7</v>
      </c>
    </row>
    <row r="151" customFormat="false" ht="14.5" hidden="false" customHeight="false" outlineLevel="0" collapsed="false">
      <c r="A151" s="2605" t="s">
        <v>4304</v>
      </c>
      <c r="C151" s="2605" t="n">
        <f aca="false">IF('Ввод данных'!$A$8=связи1!A151,дома!$S$93,0)+IF('Ввод данных'!$A$8=связи1!A169,дома!$S$94,0)+IF('Ввод данных'!$A$8=связи1!A177,дома!$S$94,0)+IF('Ввод данных'!$A$8=связи1!A184,дома!$S$94,0)+IF('Ввод данных'!$A$8=связи1!A185,дома!$S$94,0)</f>
        <v>0</v>
      </c>
      <c r="D151" s="2315" t="n">
        <f aca="false">IF('Ввод данных'!$A$8=связи1!A151,дома!$K$112,0)+IF('Ввод данных'!$A$8=связи1!A169,дома!$G$114,0)+IF('Ввод данных'!$A$8=связи1!A177,дома!$G$114,0)+IF('Ввод данных'!$A$8=связи1!A184,дома!$G$114,0)+IF('Ввод данных'!$A$8=связи1!A185,дома!$G$114,0)</f>
        <v>0</v>
      </c>
      <c r="E151" s="2315" t="n">
        <f aca="false">IF('Ввод данных'!$A$8=связи1!A151,дома!K114,0)+IF('Ввод данных'!$A$8=связи1!A169,дома!G117,0)+IF('Ввод данных'!$A$8=связи1!A177,дома!G117,0)+IF('Ввод данных'!$A$8=связи1!A184,дома!G117,0)+IF('Ввод данных'!$A$8=связи1!A185,дома!G117,0)</f>
        <v>0</v>
      </c>
      <c r="F151" s="2315" t="n">
        <f aca="false">IF('Ввод данных'!$A$8=связи1!A151,связи1!C163,0)</f>
        <v>0</v>
      </c>
      <c r="G151" s="2315" t="n">
        <f aca="false">IF('Ввод данных'!$A$8=связи1!A151,связи1!D163,0)</f>
        <v>0</v>
      </c>
      <c r="H151" s="2315" t="n">
        <f aca="false">IF('Ввод данных'!$A$8=связи1!A151,связи1!E163,0)</f>
        <v>0</v>
      </c>
      <c r="I151" s="2315" t="n">
        <f aca="false">IF('Ввод данных'!$A$8=связи1!A151,связи1!C163,0)</f>
        <v>0</v>
      </c>
      <c r="J151" s="2315" t="n">
        <f aca="false">IF('Ввод данных'!$A$8=связи1!A151,связи1!D163,0)</f>
        <v>0</v>
      </c>
      <c r="K151" s="2315" t="n">
        <f aca="false">IF('Ввод данных'!$A$8=связи1!A151,связи1!E163,0)</f>
        <v>0</v>
      </c>
    </row>
    <row r="152" customFormat="false" ht="14.5" hidden="false" customHeight="false" outlineLevel="0" collapsed="false">
      <c r="A152" s="2605" t="s">
        <v>4305</v>
      </c>
      <c r="C152" s="2605" t="n">
        <f aca="false">IF('Ввод данных'!$A$8=связи1!A152,дома!$S$93,0)+IF('Ввод данных'!$A$8=связи1!A169,дома!$S$94,0)+IF('Ввод данных'!$A$8=связи1!A177,дома!$S$94,0)+IF('Ввод данных'!$A$8=связи1!A184,дома!$S$94,0)+IF('Ввод данных'!$A$8=связи1!A185,дома!$S$94,0)</f>
        <v>0</v>
      </c>
      <c r="D152" s="2315" t="n">
        <f aca="false">IF('Ввод данных'!$A$8=связи1!A152,дома!$K$112,0)+IF('Ввод данных'!$A$8=связи1!A169,дома!$G$114,0)+IF('Ввод данных'!$A$8=связи1!A177,дома!$G$114,0)+IF('Ввод данных'!$A$8=связи1!A184,дома!$G$114,0)+IF('Ввод данных'!$A$8=связи1!A185,дома!$G$114,0)</f>
        <v>0</v>
      </c>
      <c r="E152" s="2315" t="n">
        <f aca="false">IF('Ввод данных'!$A$8=связи1!A152,дома!K114,0)+IF('Ввод данных'!$A$8=связи1!A169,дома!G117,0)+IF('Ввод данных'!$A$8=связи1!A177,дома!G117,0)+IF('Ввод данных'!$A$8=связи1!A184,дома!G117,0)+IF('Ввод данных'!$A$8=связи1!A185,дома!G117,0)</f>
        <v>0</v>
      </c>
      <c r="F152" s="2315" t="n">
        <f aca="false">IF('Ввод данных'!$A$8=связи1!A152,связи1!C163,0)</f>
        <v>0</v>
      </c>
      <c r="G152" s="2315" t="n">
        <f aca="false">IF('Ввод данных'!$A$8=связи1!A152,связи1!D163,0)</f>
        <v>0</v>
      </c>
      <c r="H152" s="2315" t="n">
        <f aca="false">IF('Ввод данных'!$A$8=связи1!A152,связи1!E163,0)</f>
        <v>0</v>
      </c>
      <c r="I152" s="2315" t="n">
        <f aca="false">IF('Ввод данных'!$A$8=связи1!A152,связи1!C163,0)</f>
        <v>0</v>
      </c>
      <c r="J152" s="2315" t="n">
        <f aca="false">IF('Ввод данных'!$A$8=связи1!A152,связи1!D163,0)</f>
        <v>0</v>
      </c>
      <c r="K152" s="2315" t="n">
        <f aca="false">IF('Ввод данных'!$A$8=связи1!A152,связи1!E163,0)</f>
        <v>0</v>
      </c>
    </row>
    <row r="153" customFormat="false" ht="14.5" hidden="false" customHeight="false" outlineLevel="0" collapsed="false">
      <c r="A153" s="2605" t="s">
        <v>4306</v>
      </c>
      <c r="C153" s="2605" t="n">
        <f aca="false">IF('Ввод данных'!$A$8=связи1!A153,дома!$S$93,0)+IF('Ввод данных'!$A$8=связи1!A179,дома!$S$94,0)+IF('Ввод данных'!$A$8=связи1!A170,дома!$S$94,0)+IF('Ввод данных'!$A$8=связи1!A171,дома!$S$95,0)+IF('Ввод данных'!$A$8=связи1!A172,дома!$S$95,0)+IF('Ввод данных'!$A$8=связи1!A173,дома!$S$95,0)+IF('Ввод данных'!$A$8=связи1!A174,дома!$S$95,0)+IF('Ввод данных'!$A$8=связи1!A175,дома!$S$95,0)+IF('Ввод данных'!$A$8=связи1!A176,дома!$S$95,0)+IF('Ввод данных'!$A$8=связи1!A177,дома!$S$95,0)+IF('Ввод данных'!$A$8=связи1!A178,дома!$S$95,0)</f>
        <v>0</v>
      </c>
      <c r="D153" s="2315" t="n">
        <f aca="false">IF('Ввод данных'!$A$8=связи1!A153,дома!$K$112,0)+IF('Ввод данных'!$A$8=связи1!A179,дома!$G$114,0)+IF('Ввод данных'!$A$8=связи1!A170,дома!$G$114,0)+IF('Ввод данных'!$A$8=связи1!A171,дома!G112,0)+IF('Ввод данных'!$A$8=связи1!A172,дома!G112,0)+IF('Ввод данных'!$A$8=связи1!A173,дома!G112,0)+IF('Ввод данных'!$A$8=связи1!A174,дома!G112,0)+IF('Ввод данных'!$A$8=связи1!A175,дома!G112,0)+IF('Ввод данных'!$A$8=связи1!A176,дома!G112,0)+IF('Ввод данных'!$A$8=связи1!A177,дома!G112,0)+IF('Ввод данных'!$A$8=связи1!A178,дома!G112,0)</f>
        <v>0</v>
      </c>
      <c r="E153" s="2315" t="n">
        <f aca="false">IF('Ввод данных'!$A$8=связи1!A153,дома!K114,0)+IF('Ввод данных'!$A$8=связи1!A179,дома!G117,0)+IF('Ввод данных'!$A$8=связи1!A170,дома!G117,0)+IF('Ввод данных'!$A$8=связи1!A171,дома!G116,0)+IF('Ввод данных'!$A$8=связи1!A172,дома!G116,0)+IF('Ввод данных'!$A$8=связи1!A173,дома!G116,0)+IF('Ввод данных'!$A$8=связи1!A174,дома!G116,0)+IF('Ввод данных'!$A$8=связи1!A175,дома!G116,0)+IF('Ввод данных'!$A$8=связи1!A176,дома!G116,0)+IF('Ввод данных'!$A$8=связи1!A177,дома!G116,0)+IF('Ввод данных'!$A$8=связи1!A178,дома!G116,0)</f>
        <v>0</v>
      </c>
      <c r="F153" s="2315" t="n">
        <f aca="false">IF('Ввод данных'!$A$8=связи1!A153,связи1!C164,0)</f>
        <v>0</v>
      </c>
      <c r="G153" s="2315" t="n">
        <f aca="false">IF('Ввод данных'!$A$8=связи1!A153,связи1!D164,0)</f>
        <v>0</v>
      </c>
      <c r="H153" s="2315" t="n">
        <f aca="false">IF('Ввод данных'!$A$8=связи1!A153,связи1!E164,0)</f>
        <v>0</v>
      </c>
      <c r="I153" s="2315" t="n">
        <f aca="false">IF('Ввод данных'!$A$8=связи1!A153,связи1!C164,0)</f>
        <v>0</v>
      </c>
      <c r="J153" s="2315" t="n">
        <f aca="false">IF('Ввод данных'!$A$8=связи1!A153,связи1!D164,0)</f>
        <v>0</v>
      </c>
      <c r="K153" s="2315" t="n">
        <f aca="false">IF('Ввод данных'!$A$8=связи1!A153,связи1!E164,0)</f>
        <v>0</v>
      </c>
      <c r="R153" s="896" t="n">
        <v>149</v>
      </c>
      <c r="S153" s="896" t="n">
        <v>16.8</v>
      </c>
    </row>
    <row r="154" customFormat="false" ht="14.5" hidden="false" customHeight="false" outlineLevel="0" collapsed="false">
      <c r="A154" s="2605" t="s">
        <v>4307</v>
      </c>
      <c r="C154" s="2605" t="n">
        <f aca="false">IF('Ввод данных'!$A$8=связи1!A154,дома!$S$93,0)+IF('Ввод данных'!$A$8=связи1!A162,дома!$S$94,0)+IF('Ввод данных'!$A$8=связи1!A178,дома!$S$94,0)+IF('Ввод данных'!$A$8=связи1!A179,дома!$S$95,0)+IF('Ввод данных'!$A$8=связи1!A180,дома!$S$95,0)+IF('Ввод данных'!$A$8=связи1!A181,дома!$S$95,0)+IF('Ввод данных'!$A$8=связи1!A182,дома!$S$95,0)+IF('Ввод данных'!$A$8=связи1!A183,дома!$S$95,0)+IF('Ввод данных'!$A$8=связи1!A184,дома!$S$95,0)</f>
        <v>0</v>
      </c>
      <c r="D154" s="2315" t="n">
        <f aca="false">IF('Ввод данных'!$A$8=связи1!A154,дома!K112,0)+IF('Ввод данных'!$A$8=связи1!A162,дома!G114,0)+IF('Ввод данных'!$A$8=связи1!A178,дома!G114,0)+IF('Ввод данных'!$A$8=связи1!A179,дома!G112,0)+IF('Ввод данных'!$A$8=связи1!A180,дома!G112,0)+IF('Ввод данных'!$A$8=связи1!A181,дома!G112,0)+IF('Ввод данных'!$A$8=связи1!A182,дома!G112,0)+IF('Ввод данных'!$A$8=связи1!A183,дома!G112,0)+IF('Ввод данных'!$A$8=связи1!A184,дома!G112,0)</f>
        <v>0</v>
      </c>
      <c r="E154" s="2315" t="n">
        <f aca="false">IF('Ввод данных'!$A$8=связи1!A154,дома!K114,0)+IF('Ввод данных'!$A$8=связи1!A162,дома!G117,0)+IF('Ввод данных'!$A$8=связи1!A178,дома!G117,0)+IF('Ввод данных'!$A$8=связи1!A179,дома!G116,0)+IF('Ввод данных'!$A$8=связи1!A180,дома!G116,0)+IF('Ввод данных'!$A$8=связи1!A181,дома!G116,0)+IF('Ввод данных'!$A$8=связи1!A182,дома!G116,0)+IF('Ввод данных'!$A$8=связи1!A183,дома!G116,0)+IF('Ввод данных'!$A$8=связи1!A184,дома!G116,0)</f>
        <v>0</v>
      </c>
      <c r="F154" s="2315" t="n">
        <f aca="false">IF('Ввод данных'!$A$8=связи1!A154,связи1!C165,0)</f>
        <v>0</v>
      </c>
      <c r="G154" s="2315" t="n">
        <f aca="false">IF('Ввод данных'!$A$8=связи1!A154,связи1!D165,0)</f>
        <v>0</v>
      </c>
      <c r="H154" s="2315" t="n">
        <f aca="false">IF('Ввод данных'!$A$8=связи1!A154,связи1!E165,0)</f>
        <v>0</v>
      </c>
      <c r="I154" s="2315" t="n">
        <f aca="false">IF('Ввод данных'!$A$8=связи1!A154,связи1!C165,0)</f>
        <v>0</v>
      </c>
      <c r="J154" s="2315" t="n">
        <f aca="false">IF('Ввод данных'!$A$8=связи1!A154,связи1!D165,0)</f>
        <v>0</v>
      </c>
      <c r="K154" s="2315" t="n">
        <f aca="false">IF('Ввод данных'!$A$8=связи1!A154,связи1!E165,0)</f>
        <v>0</v>
      </c>
      <c r="R154" s="896" t="n">
        <v>150</v>
      </c>
      <c r="S154" s="896" t="n">
        <v>16.9</v>
      </c>
    </row>
    <row r="155" customFormat="false" ht="14.5" hidden="false" customHeight="false" outlineLevel="0" collapsed="false">
      <c r="A155" s="2605" t="s">
        <v>1751</v>
      </c>
      <c r="C155" s="2605" t="n">
        <f aca="false">IF('Ввод данных'!$A$8=связи1!A155,дома!$S$93,0)+IF('Ввод данных'!$A$8=A162,дома!S95,0)+IF('Ввод данных'!$A$8=A163,дома!S95,0)+IF('Ввод данных'!$A$8=A164,дома!S95,0)+IF('Ввод данных'!$A$8=A165,дома!S95,0)+IF('Ввод данных'!$A$8=A166,дома!S95,0)+IF('Ввод данных'!$A$8=A167,дома!S95,0)+IF('Ввод данных'!$A$8=A168,дома!S95,0)+IF('Ввод данных'!$A$8=A169,дома!S95,0)+IF('Ввод данных'!$A$8=A170,дома!S95,0)</f>
        <v>118.8</v>
      </c>
      <c r="D155" s="2315" t="n">
        <f aca="false">IF('Ввод данных'!$A$8=связи1!A155,дома!K112,0)+IF('Ввод данных'!$A$8=A162,дома!G112,0)+IF('Ввод данных'!$A$8=A163,дома!G112,0)+IF('Ввод данных'!$A$8=A164,дома!G112,0)+IF('Ввод данных'!$A$8=A165,дома!G112,0)+IF('Ввод данных'!$A$8=A166,дома!G112,0)+IF('Ввод данных'!$A$8=A167,дома!G112,0)+IF('Ввод данных'!$A$8=A168,дома!G112,0)+IF('Ввод данных'!$A$8=A169,дома!G112,0)+IF('Ввод данных'!$A$8=A170,дома!G112,0)</f>
        <v>48</v>
      </c>
      <c r="E155" s="2315" t="n">
        <f aca="false">IF('Ввод данных'!$A$8=связи1!A155,дома!K114,0)+IF('Ввод данных'!$A$8=A162,дома!G116,0)+IF('Ввод данных'!$A$8=A163,дома!G116,0)+IF('Ввод данных'!$A$8=A164,дома!G116,0)+IF('Ввод данных'!$A$8=A165,дома!G116,0)+IF('Ввод данных'!$A$8=A166,дома!G116,0)+IF('Ввод данных'!$A$8=A167,дома!G116,0)+IF('Ввод данных'!$A$8=A168,дома!G116,0)+IF('Ввод данных'!$A$8=A169,дома!G116,0)+IF('Ввод данных'!$A$8=A170,дома!G116,0)</f>
        <v>23.4</v>
      </c>
      <c r="F155" s="2315" t="n">
        <f aca="false">IF('Ввод данных'!$A$8=связи1!A155,связи1!C166,0)</f>
        <v>0.4</v>
      </c>
      <c r="G155" s="2315" t="n">
        <f aca="false">IF('Ввод данных'!$A$8=связи1!A155,связи1!D166,0)</f>
        <v>0.3</v>
      </c>
      <c r="H155" s="2315" t="n">
        <f aca="false">IF('Ввод данных'!$A$8=связи1!A155,связи1!E166,0)</f>
        <v>0.2</v>
      </c>
      <c r="I155" s="2315" t="n">
        <f aca="false">IF('Ввод данных'!$A$8=связи1!A155,связи1!C166,0)</f>
        <v>0.4</v>
      </c>
      <c r="J155" s="2315" t="n">
        <f aca="false">IF('Ввод данных'!$A$8=связи1!A155,связи1!D166,0)</f>
        <v>0.3</v>
      </c>
      <c r="K155" s="2315" t="n">
        <f aca="false">IF('Ввод данных'!$A$8=связи1!A155,связи1!E166,0)</f>
        <v>0.2</v>
      </c>
      <c r="R155" s="896" t="n">
        <v>151</v>
      </c>
      <c r="S155" s="896" t="n">
        <v>17</v>
      </c>
    </row>
    <row r="156" customFormat="false" ht="14.5" hidden="false" customHeight="false" outlineLevel="0" collapsed="false">
      <c r="A156" s="2605" t="s">
        <v>4308</v>
      </c>
      <c r="C156" s="2605" t="n">
        <f aca="false">IF('Ввод данных'!$A$8=связи1!A156,дома!$S$93,0)+IF('Ввод данных'!$A$8=связи1!A163,дома!$S$94,0)+IF('Ввод данных'!$A$8=связи1!A171,дома!$S$94,0)+IF('Ввод данных'!$A$8=связи1!A180,дома!$S$94,0)+IF('Ввод данных'!$A$8=связи1!A185,дома!$S$95,0)</f>
        <v>0</v>
      </c>
      <c r="D156" s="2315" t="n">
        <f aca="false">IF('Ввод данных'!$A$8=связи1!A156,дома!K112,0)+IF('Ввод данных'!$A$8=связи1!A163,дома!G114,0)+IF('Ввод данных'!$A$8=связи1!A171,дома!G114,0)+IF('Ввод данных'!$A$8=связи1!A180,дома!G114,0)+IF('Ввод данных'!$A$8=связи1!A185,дома!G112,0)</f>
        <v>0</v>
      </c>
      <c r="E156" s="2315" t="n">
        <f aca="false">IF('Ввод данных'!$A$8=связи1!A156,дома!K114,0)+IF('Ввод данных'!$A$8=связи1!A163,дома!G117,0)+IF('Ввод данных'!$A$8=связи1!A171,дома!G117,0)+IF('Ввод данных'!$A$8=связи1!A180,дома!G117,0)+IF('Ввод данных'!$A$8=связи1!A185,дома!G116,0)</f>
        <v>0</v>
      </c>
      <c r="F156" s="2315" t="n">
        <f aca="false">IF('Ввод данных'!$A$8=связи1!A156,связи1!C167,0)</f>
        <v>0</v>
      </c>
      <c r="G156" s="2315" t="n">
        <f aca="false">IF('Ввод данных'!$A$8=связи1!A156,связи1!D167,0)</f>
        <v>0</v>
      </c>
      <c r="H156" s="2315" t="n">
        <f aca="false">IF('Ввод данных'!$A$8=связи1!A156,связи1!E167,0)</f>
        <v>0</v>
      </c>
      <c r="I156" s="2315" t="n">
        <f aca="false">IF('Ввод данных'!$A$8=связи1!A156,связи1!C167,0)</f>
        <v>0</v>
      </c>
      <c r="J156" s="2315" t="n">
        <f aca="false">IF('Ввод данных'!$A$8=связи1!A156,связи1!D167,0)</f>
        <v>0</v>
      </c>
      <c r="K156" s="2315" t="n">
        <f aca="false">IF('Ввод данных'!$A$8=связи1!A156,связи1!E167,0)</f>
        <v>0</v>
      </c>
      <c r="R156" s="896" t="n">
        <v>152</v>
      </c>
      <c r="S156" s="896" t="n">
        <v>17.1</v>
      </c>
    </row>
    <row r="157" customFormat="false" ht="14.5" hidden="false" customHeight="false" outlineLevel="0" collapsed="false">
      <c r="A157" s="2605" t="s">
        <v>4309</v>
      </c>
      <c r="C157" s="2605" t="n">
        <f aca="false">IF('Ввод данных'!$A$8=связи1!A157,дома!$S$93,0)+IF('Ввод данных'!$A$8=связи1!A168,дома!$S$94,0)+IF('Ввод данных'!$A$8=связи1!A176,дома!$S$94,0)+IF('Ввод данных'!$A$8=связи1!A183,дома!$S$94,0)</f>
        <v>0</v>
      </c>
      <c r="D157" s="2315" t="n">
        <f aca="false">IF('Ввод данных'!$A$8=связи1!A157,дома!K112,0)+IF('Ввод данных'!$A$8=связи1!A168,дома!G114,0)+IF('Ввод данных'!$A$8=связи1!A176,дома!G114,0)+IF('Ввод данных'!$A$8=связи1!A183,дома!G114,0)</f>
        <v>0</v>
      </c>
      <c r="E157" s="2315" t="n">
        <f aca="false">IF('Ввод данных'!$A$8=связи1!A157,дома!K114,0)+IF('Ввод данных'!$A$8=связи1!A168,дома!G117,0)+IF('Ввод данных'!$A$8=связи1!A176,дома!G117,0)+IF('Ввод данных'!$A$8=связи1!A183,дома!G117,0)</f>
        <v>0</v>
      </c>
      <c r="F157" s="2315" t="n">
        <f aca="false">IF('Ввод данных'!$A$8=связи1!A157,связи1!C168,0)</f>
        <v>0</v>
      </c>
      <c r="G157" s="2315" t="n">
        <f aca="false">IF('Ввод данных'!$A$8=связи1!A157,связи1!D168,0)</f>
        <v>0</v>
      </c>
      <c r="H157" s="2315" t="n">
        <f aca="false">IF('Ввод данных'!$A$8=связи1!A157,связи1!E168,0)</f>
        <v>0</v>
      </c>
      <c r="I157" s="2315" t="n">
        <f aca="false">IF('Ввод данных'!$A$8=связи1!A157,связи1!C168,0)</f>
        <v>0</v>
      </c>
      <c r="J157" s="2315" t="n">
        <f aca="false">IF('Ввод данных'!$A$8=связи1!A157,связи1!D168,0)</f>
        <v>0</v>
      </c>
      <c r="K157" s="2315" t="n">
        <f aca="false">IF('Ввод данных'!$A$8=связи1!A157,связи1!E168,0)</f>
        <v>0</v>
      </c>
      <c r="R157" s="896" t="n">
        <v>153</v>
      </c>
      <c r="S157" s="896" t="n">
        <v>17.2</v>
      </c>
    </row>
    <row r="158" customFormat="false" ht="14.5" hidden="false" customHeight="false" outlineLevel="0" collapsed="false">
      <c r="A158" s="2605" t="s">
        <v>4310</v>
      </c>
      <c r="C158" s="2605" t="n">
        <f aca="false">IF('Ввод данных'!$A$8=связи1!A158,дома!$S$93,0)+IF('Ввод данных'!$A$8=связи1!A164,дома!$S$94,0)+IF('Ввод данных'!$A$8=связи1!A172,дома!$S$94,0)</f>
        <v>0</v>
      </c>
      <c r="D158" s="2315" t="n">
        <f aca="false">IF('Ввод данных'!$A$8=связи1!A158,дома!K112,0)+IF('Ввод данных'!$A$8=связи1!A164,дома!G114,0)+IF('Ввод данных'!$A$8=связи1!A172,дома!G114,0)</f>
        <v>0</v>
      </c>
      <c r="E158" s="2315" t="n">
        <f aca="false">IF('Ввод данных'!$A$8=связи1!A158,дома!K114,0)+IF('Ввод данных'!$A$8=связи1!A164,дома!G117,0)+IF('Ввод данных'!$A$8=связи1!A172,дома!G117,0)</f>
        <v>0</v>
      </c>
      <c r="F158" s="2315" t="n">
        <f aca="false">IF('Ввод данных'!$A$8=связи1!A158,связи1!C169,0)</f>
        <v>0</v>
      </c>
      <c r="G158" s="2315" t="n">
        <f aca="false">IF('Ввод данных'!$A$8=связи1!A158,связи1!D169,0)</f>
        <v>0</v>
      </c>
      <c r="H158" s="2315" t="n">
        <f aca="false">IF('Ввод данных'!$A$8=связи1!A158,связи1!E169,0)</f>
        <v>0</v>
      </c>
      <c r="I158" s="2315" t="n">
        <f aca="false">IF('Ввод данных'!$A$8=связи1!A158,связи1!C169,0)</f>
        <v>0</v>
      </c>
      <c r="J158" s="2315" t="n">
        <f aca="false">IF('Ввод данных'!$A$8=связи1!A158,связи1!D169,0)</f>
        <v>0</v>
      </c>
      <c r="K158" s="2315" t="n">
        <f aca="false">IF('Ввод данных'!$A$8=связи1!A158,связи1!E169,0)</f>
        <v>0</v>
      </c>
      <c r="S158" s="896" t="n">
        <v>17.3</v>
      </c>
    </row>
    <row r="159" customFormat="false" ht="14.5" hidden="false" customHeight="false" outlineLevel="0" collapsed="false">
      <c r="A159" s="2605" t="s">
        <v>4311</v>
      </c>
      <c r="C159" s="2605" t="n">
        <f aca="false">IF('Ввод данных'!$A$8=связи1!A159,дома!$S$93,0)+IF('Ввод данных'!$A$8=связи1!A165,дома!$S$94,0)+IF('Ввод данных'!$A$8=связи1!A173,дома!$S$94,0)+IF('Ввод данных'!$A$8=связи1!A181,дома!$S$94,0)</f>
        <v>0</v>
      </c>
      <c r="D159" s="2315" t="n">
        <f aca="false">IF('Ввод данных'!$A$8=связи1!A159,дома!K112,0)+IF('Ввод данных'!$A$8=связи1!A165,дома!G114,0)+IF('Ввод данных'!$A$8=связи1!A173,дома!G114,0)+IF('Ввод данных'!$A$8=связи1!A181,дома!G114,0)</f>
        <v>0</v>
      </c>
      <c r="E159" s="2315" t="n">
        <f aca="false">IF('Ввод данных'!$A$8=связи1!A159,дома!K114,0)+IF('Ввод данных'!$A$8=связи1!A165,дома!G117,0)+IF('Ввод данных'!$A$8=связи1!A173,дома!G117,0)+IF('Ввод данных'!$A$8=связи1!A181,дома!G117,0)</f>
        <v>0</v>
      </c>
      <c r="F159" s="2315" t="n">
        <f aca="false">IF('Ввод данных'!$A$8=связи1!A159,связи1!C170,0)</f>
        <v>0</v>
      </c>
      <c r="G159" s="2315" t="n">
        <f aca="false">IF('Ввод данных'!$A$8=связи1!A159,связи1!D170,0)</f>
        <v>0</v>
      </c>
      <c r="H159" s="2315" t="n">
        <f aca="false">IF('Ввод данных'!$A$8=связи1!A159,связи1!E170,0)</f>
        <v>0</v>
      </c>
      <c r="I159" s="2315" t="n">
        <f aca="false">IF('Ввод данных'!$A$8=связи1!A159,связи1!C170,0)</f>
        <v>0</v>
      </c>
      <c r="J159" s="2315" t="n">
        <f aca="false">IF('Ввод данных'!$A$8=связи1!A159,связи1!D170,0)</f>
        <v>0</v>
      </c>
      <c r="K159" s="2315" t="n">
        <f aca="false">IF('Ввод данных'!$A$8=связи1!A159,связи1!E170,0)</f>
        <v>0</v>
      </c>
      <c r="AG159" s="2315" t="s">
        <v>1937</v>
      </c>
      <c r="AH159" s="2315" t="s">
        <v>2997</v>
      </c>
      <c r="AI159" s="2315" t="s">
        <v>4312</v>
      </c>
      <c r="AJ159" s="2315"/>
      <c r="AK159" s="2315" t="s">
        <v>4313</v>
      </c>
      <c r="AL159" s="2600" t="s">
        <v>4314</v>
      </c>
    </row>
    <row r="160" customFormat="false" ht="14.5" hidden="false" customHeight="false" outlineLevel="0" collapsed="false">
      <c r="A160" s="2605" t="s">
        <v>4315</v>
      </c>
      <c r="C160" s="2605" t="n">
        <f aca="false">IF('Ввод данных'!$A$8=связи1!A160,дома!$S$93,0)+IF('Ввод данных'!$A$8=связи1!A166,дома!$S$94,0)+IF('Ввод данных'!$A$8=связи1!A174,дома!$S$94,0)</f>
        <v>0</v>
      </c>
      <c r="D160" s="2315" t="n">
        <f aca="false">IF('Ввод данных'!$A$8=связи1!A160,дома!K112,0)+IF('Ввод данных'!$A$8=связи1!A166,дома!G114,0)+IF('Ввод данных'!$A$8=связи1!A174,дома!G114,0)</f>
        <v>0</v>
      </c>
      <c r="E160" s="2315" t="n">
        <f aca="false">IF('Ввод данных'!$A$8=связи1!A160,дома!K114,0)+IF('Ввод данных'!$A$8=связи1!A166,дома!G117,0)+IF('Ввод данных'!$A$8=связи1!A174,дома!G117,0)</f>
        <v>0</v>
      </c>
      <c r="F160" s="2315" t="n">
        <f aca="false">IF('Ввод данных'!$A$8=связи1!A160,связи1!C171,0)</f>
        <v>0</v>
      </c>
      <c r="G160" s="2315" t="n">
        <f aca="false">IF('Ввод данных'!$A$8=связи1!A160,связи1!D171,0)</f>
        <v>0</v>
      </c>
      <c r="H160" s="2315" t="n">
        <f aca="false">IF('Ввод данных'!$A$8=связи1!A160,связи1!E171,0)</f>
        <v>0</v>
      </c>
      <c r="I160" s="2315" t="n">
        <f aca="false">IF('Ввод данных'!$A$8=связи1!A160,связи1!C171,0)</f>
        <v>0</v>
      </c>
      <c r="J160" s="2315" t="n">
        <f aca="false">IF('Ввод данных'!$A$8=связи1!A160,связи1!D171,0)</f>
        <v>0</v>
      </c>
      <c r="K160" s="2315" t="n">
        <f aca="false">IF('Ввод данных'!$A$8=связи1!A160,связи1!E171,0)</f>
        <v>0</v>
      </c>
      <c r="AG160" s="2315" t="n">
        <v>0</v>
      </c>
      <c r="AH160" s="2606" t="n">
        <f aca="false">AG160*3.14/180</f>
        <v>0</v>
      </c>
      <c r="AI160" s="2606" t="n">
        <f aca="false">AH160+0.0002</f>
        <v>0.0002</v>
      </c>
      <c r="AJ160" s="2315" t="n">
        <v>0</v>
      </c>
      <c r="AK160" s="2315" t="n">
        <f aca="false">IF(AND(дома!$Z$29&gt;=AJ160,дома!$Z$29&lt;=AI160),связи1!AG160,0)</f>
        <v>0</v>
      </c>
      <c r="AL160" s="2315" t="n">
        <f aca="false">IF(AND(дома!$AA$29&gt;=AJ160,дома!$AA$29&lt;=AI160),связи1!AG160,0)</f>
        <v>0</v>
      </c>
    </row>
    <row r="161" customFormat="false" ht="14.5" hidden="false" customHeight="false" outlineLevel="0" collapsed="false">
      <c r="A161" s="2605" t="s">
        <v>4316</v>
      </c>
      <c r="C161" s="2605" t="n">
        <f aca="false">IF('Ввод данных'!$A$8=связи1!A161,дома!$S$93,0)+IF('Ввод данных'!$A$8=связи1!A175,дома!$S$94,0)+IF('Ввод данных'!$A$8=связи1!A182,дома!$S$94,0)+IF('Ввод данных'!$A$8=связи1!A167,дома!$S$94,0)</f>
        <v>0</v>
      </c>
      <c r="D161" s="2315" t="n">
        <f aca="false">IF('Ввод данных'!$A$8=связи1!A161,дома!K112,0)+IF('Ввод данных'!$A$8=связи1!A175,дома!G114,0)+IF('Ввод данных'!$A$8=связи1!A182,дома!G114,0)+IF('Ввод данных'!$A$8=связи1!A167,дома!G114,0)</f>
        <v>0</v>
      </c>
      <c r="E161" s="2315" t="n">
        <f aca="false">IF('Ввод данных'!$A$8=связи1!A161,дома!K114,0)+IF('Ввод данных'!$A$8=связи1!A175,дома!G117,0)+IF('Ввод данных'!$A$8=связи1!A182,дома!G117,0)+IF('Ввод данных'!$A$8=связи1!A167,дома!G117,0)</f>
        <v>0</v>
      </c>
      <c r="F161" s="2315" t="n">
        <f aca="false">IF('Ввод данных'!$A$8=связи1!A161,связи1!C172,0)</f>
        <v>0</v>
      </c>
      <c r="G161" s="2315" t="n">
        <f aca="false">IF('Ввод данных'!$A$8=связи1!A161,связи1!D172,0)</f>
        <v>0</v>
      </c>
      <c r="H161" s="2315" t="n">
        <f aca="false">IF('Ввод данных'!$A$8=связи1!A161,связи1!E172,0)</f>
        <v>0</v>
      </c>
      <c r="I161" s="2315" t="n">
        <f aca="false">IF('Ввод данных'!$A$8=связи1!A161,связи1!C172,0)</f>
        <v>0</v>
      </c>
      <c r="J161" s="2315" t="n">
        <f aca="false">IF('Ввод данных'!$A$8=связи1!A161,связи1!D172,0)</f>
        <v>0</v>
      </c>
      <c r="K161" s="2315" t="n">
        <f aca="false">IF('Ввод данных'!$A$8=связи1!A161,связи1!E172,0)</f>
        <v>0</v>
      </c>
      <c r="AG161" s="2315" t="n">
        <v>1</v>
      </c>
      <c r="AH161" s="2606" t="n">
        <f aca="false">AG161*3.1415926535897/180</f>
        <v>0.0174532925199428</v>
      </c>
      <c r="AI161" s="2606" t="n">
        <f aca="false">AH161+0.0005</f>
        <v>0.0179532925199428</v>
      </c>
      <c r="AJ161" s="2606" t="n">
        <f aca="false">AH161-0.0005</f>
        <v>0.0169532925199428</v>
      </c>
      <c r="AK161" s="2315" t="n">
        <f aca="false">IF(AND(дома!$Z$29&gt;=AJ161,дома!$Z$29&lt;=AI161),связи1!AG161,0)</f>
        <v>0</v>
      </c>
      <c r="AL161" s="2315" t="n">
        <f aca="false">IF(AND(дома!$AA$29&gt;=AJ161,дома!$AA$29&lt;=AI161),связи1!AG161,0)</f>
        <v>0</v>
      </c>
    </row>
    <row r="162" customFormat="false" ht="14.5" hidden="false" customHeight="false" outlineLevel="0" collapsed="false">
      <c r="A162" s="2315" t="s">
        <v>4317</v>
      </c>
      <c r="C162" s="2315"/>
      <c r="D162" s="2315"/>
      <c r="E162" s="2315"/>
      <c r="F162" s="2315" t="n">
        <f aca="false">IF('Ввод данных'!$A$8=связи1!A162,связи1!$C$166,0)</f>
        <v>0</v>
      </c>
      <c r="G162" s="2315" t="n">
        <f aca="false">IF('Ввод данных'!$A$8=связи1!A162,связи1!$D$166,0)</f>
        <v>0</v>
      </c>
      <c r="H162" s="2315" t="n">
        <f aca="false">IF('Ввод данных'!$A$8=связи1!A162,связи1!$E$166,0)</f>
        <v>0</v>
      </c>
      <c r="I162" s="2315" t="n">
        <f aca="false">IF('Ввод данных'!$A$8=связи1!A162,связи1!C165,0)</f>
        <v>0</v>
      </c>
      <c r="J162" s="2315" t="n">
        <f aca="false">IF('Ввод данных'!$A$8=связи1!A162,связи1!D165,0)</f>
        <v>0</v>
      </c>
      <c r="K162" s="2315" t="n">
        <f aca="false">IF('Ввод данных'!$A$8=связи1!A162,связи1!E165,0)</f>
        <v>0</v>
      </c>
      <c r="AG162" s="2315" t="n">
        <v>1.1</v>
      </c>
      <c r="AH162" s="2606" t="n">
        <f aca="false">AG162*3.1415926535897/180</f>
        <v>0.0191986217719371</v>
      </c>
      <c r="AI162" s="2606" t="n">
        <f aca="false">AH162+0.0005</f>
        <v>0.0196986217719371</v>
      </c>
      <c r="AJ162" s="2606" t="n">
        <f aca="false">AH162-0.0005</f>
        <v>0.0186986217719371</v>
      </c>
      <c r="AK162" s="2315" t="n">
        <f aca="false">IF(AND(дома!$Z$29&gt;=AJ162,дома!$Z$29&lt;=AI162),связи1!AG162,0)</f>
        <v>0</v>
      </c>
      <c r="AL162" s="2315" t="n">
        <f aca="false">IF(AND(дома!$AA$29&gt;=AJ162,дома!$AA$29&lt;=AI162),связи1!AG162,0)</f>
        <v>0</v>
      </c>
    </row>
    <row r="163" customFormat="false" ht="14.5" hidden="false" customHeight="false" outlineLevel="0" collapsed="false">
      <c r="A163" s="2315" t="s">
        <v>4318</v>
      </c>
      <c r="B163" s="2605" t="s">
        <v>2372</v>
      </c>
      <c r="C163" s="933" t="n">
        <f aca="false">VLOOKUP('Ввод данных'!A1031,связи1!I458:O488,6,0)</f>
        <v>0.15</v>
      </c>
      <c r="D163" s="933" t="n">
        <f aca="false">VLOOKUP('Ввод данных'!A1033,связи1!I458:O488,6,0)</f>
        <v>0.12</v>
      </c>
      <c r="E163" s="933" t="n">
        <f aca="false">VLOOKUP('Ввод данных'!A1035,связи1!I458:O488,6,0)</f>
        <v>0.17</v>
      </c>
      <c r="F163" s="2315" t="n">
        <f aca="false">IF('Ввод данных'!$A$8=связи1!A163,связи1!$C$166,0)</f>
        <v>0</v>
      </c>
      <c r="G163" s="2315" t="n">
        <f aca="false">IF('Ввод данных'!$A$8=связи1!A163,связи1!$D$166,0)</f>
        <v>0</v>
      </c>
      <c r="H163" s="2315" t="n">
        <f aca="false">IF('Ввод данных'!$A$8=связи1!A163,связи1!$E$166,0)</f>
        <v>0</v>
      </c>
      <c r="I163" s="2315" t="n">
        <f aca="false">IF('Ввод данных'!$A$8=связи1!A163,связи1!C167,0)</f>
        <v>0</v>
      </c>
      <c r="J163" s="2315" t="n">
        <f aca="false">IF('Ввод данных'!$A$8=связи1!A163,связи1!D167,0)</f>
        <v>0</v>
      </c>
      <c r="K163" s="2315" t="n">
        <f aca="false">IF('Ввод данных'!$A$8=связи1!A163,связи1!D167,0)</f>
        <v>0</v>
      </c>
      <c r="AG163" s="2315" t="n">
        <v>1.2</v>
      </c>
      <c r="AH163" s="2606" t="n">
        <f aca="false">AG163*3.1415926535897/180</f>
        <v>0.0209439510239313</v>
      </c>
      <c r="AI163" s="2606" t="n">
        <f aca="false">AH163+0.0005</f>
        <v>0.0214439510239313</v>
      </c>
      <c r="AJ163" s="2606" t="n">
        <f aca="false">AH163-0.0005</f>
        <v>0.0204439510239313</v>
      </c>
      <c r="AK163" s="2315" t="n">
        <f aca="false">IF(AND(дома!$Z$29&gt;=AJ163,дома!$Z$29&lt;=AI163),связи1!AG163,0)</f>
        <v>0</v>
      </c>
      <c r="AL163" s="2315" t="n">
        <f aca="false">IF(AND(дома!$AA$29&gt;=AJ163,дома!$AA$29&lt;=AI163),связи1!AG163,0)</f>
        <v>0</v>
      </c>
    </row>
    <row r="164" customFormat="false" ht="14.5" hidden="false" customHeight="false" outlineLevel="0" collapsed="false">
      <c r="A164" s="2315" t="s">
        <v>4319</v>
      </c>
      <c r="B164" s="2605" t="s">
        <v>4306</v>
      </c>
      <c r="C164" s="2315" t="n">
        <f aca="false">VLOOKUP('Ввод данных'!A1075,связи1!A255:D296,3,0)/1000</f>
        <v>0.1</v>
      </c>
      <c r="D164" s="933" t="n">
        <f aca="false">VLOOKUP('Ввод данных'!A1077,связи1!A255:D296,3,0)/1000</f>
        <v>0.1</v>
      </c>
      <c r="E164" s="933" t="n">
        <f aca="false">VLOOKUP('Ввод данных'!A1079,связи1!A255:D296,3,0)/1000</f>
        <v>0.4</v>
      </c>
      <c r="F164" s="2315" t="n">
        <f aca="false">IF('Ввод данных'!$A$8=связи1!A164,связи1!$C$166,0)</f>
        <v>0</v>
      </c>
      <c r="G164" s="2315" t="n">
        <f aca="false">IF('Ввод данных'!$A$8=связи1!A164,связи1!$D$166,0)</f>
        <v>0</v>
      </c>
      <c r="H164" s="2315" t="n">
        <f aca="false">IF('Ввод данных'!$A$8=связи1!A164,связи1!$E$166,0)</f>
        <v>0</v>
      </c>
      <c r="I164" s="2315" t="n">
        <f aca="false">IF('Ввод данных'!$A$8=связи1!A164,связи1!C169,0)</f>
        <v>0</v>
      </c>
      <c r="J164" s="2315" t="n">
        <f aca="false">IF('Ввод данных'!$A$8=связи1!A164,связи1!D169,0)</f>
        <v>0</v>
      </c>
      <c r="K164" s="2315" t="n">
        <f aca="false">IF('Ввод данных'!$A$8=связи1!A164,связи1!E169,0)</f>
        <v>0</v>
      </c>
      <c r="AG164" s="2315" t="n">
        <v>1.3</v>
      </c>
      <c r="AH164" s="2606" t="n">
        <f aca="false">AG164*3.1415926535897/180</f>
        <v>0.0226892802759256</v>
      </c>
      <c r="AI164" s="2606" t="n">
        <f aca="false">AH164+0.0005</f>
        <v>0.0231892802759256</v>
      </c>
      <c r="AJ164" s="2606" t="n">
        <f aca="false">AH164-0.0005</f>
        <v>0.0221892802759256</v>
      </c>
      <c r="AK164" s="2315" t="n">
        <f aca="false">IF(AND(дома!$Z$29&gt;=AJ164,дома!$Z$29&lt;=AI164),связи1!AG164,0)</f>
        <v>0</v>
      </c>
      <c r="AL164" s="2315" t="n">
        <f aca="false">IF(AND(дома!$AA$29&gt;=AJ164,дома!$AA$29&lt;=AI164),связи1!AG164,0)</f>
        <v>0</v>
      </c>
    </row>
    <row r="165" customFormat="false" ht="14.5" hidden="false" customHeight="false" outlineLevel="0" collapsed="false">
      <c r="A165" s="2315" t="s">
        <v>4320</v>
      </c>
      <c r="B165" s="2605" t="s">
        <v>4307</v>
      </c>
      <c r="C165" s="2315" t="n">
        <f aca="false">VLOOKUP('Ввод данных'!A1082,'Прайс лист'!B236:G253,5,0)/1000</f>
        <v>0.39</v>
      </c>
      <c r="D165" s="933" t="n">
        <f aca="false">VLOOKUP('Ввод данных'!A1084,'Прайс лист'!B236:G253,5,0)/1000</f>
        <v>0.39</v>
      </c>
      <c r="E165" s="933" t="n">
        <f aca="false">VLOOKUP('Ввод данных'!A1086,'Прайс лист'!B236:G253,5,0)/1000</f>
        <v>0.39</v>
      </c>
      <c r="F165" s="2315" t="n">
        <f aca="false">IF('Ввод данных'!$A$8=связи1!A165,связи1!$C$166,0)</f>
        <v>0</v>
      </c>
      <c r="G165" s="2315" t="n">
        <f aca="false">IF('Ввод данных'!$A$8=связи1!A165,связи1!$D$166,0)</f>
        <v>0</v>
      </c>
      <c r="H165" s="2315" t="n">
        <f aca="false">IF('Ввод данных'!$A$8=связи1!A165,связи1!$E$166,0)</f>
        <v>0</v>
      </c>
      <c r="I165" s="2315" t="n">
        <f aca="false">IF('Ввод данных'!$A$8=связи1!A165,связи1!C170,0)</f>
        <v>0</v>
      </c>
      <c r="J165" s="2315" t="n">
        <f aca="false">IF('Ввод данных'!$A$8=связи1!A165,связи1!D170,0)</f>
        <v>0</v>
      </c>
      <c r="K165" s="2315" t="n">
        <f aca="false">IF('Ввод данных'!$A$8=связи1!A165,связи1!E170,0)</f>
        <v>0</v>
      </c>
      <c r="AG165" s="2315" t="n">
        <v>1.4</v>
      </c>
      <c r="AH165" s="2606" t="n">
        <f aca="false">AG165*3.1415926535897/180</f>
        <v>0.0244346095279199</v>
      </c>
      <c r="AI165" s="2606" t="n">
        <f aca="false">AH165+0.0005</f>
        <v>0.0249346095279199</v>
      </c>
      <c r="AJ165" s="2606" t="n">
        <f aca="false">AH165-0.0005</f>
        <v>0.0239346095279199</v>
      </c>
      <c r="AK165" s="2315" t="n">
        <f aca="false">IF(AND(дома!$Z$29&gt;=AJ165,дома!$Z$29&lt;=AI165),связи1!AG165,0)</f>
        <v>0</v>
      </c>
      <c r="AL165" s="2315" t="n">
        <f aca="false">IF(AND(дома!$AA$29&gt;=AJ165,дома!$AA$29&lt;=AI165),связи1!AG165,0)</f>
        <v>0</v>
      </c>
    </row>
    <row r="166" customFormat="false" ht="14.5" hidden="false" customHeight="false" outlineLevel="0" collapsed="false">
      <c r="A166" s="2315" t="s">
        <v>4321</v>
      </c>
      <c r="B166" s="2605" t="s">
        <v>1751</v>
      </c>
      <c r="C166" s="933" t="n">
        <f aca="false">'Ввод данных'!C1089</f>
        <v>0.4</v>
      </c>
      <c r="D166" s="933" t="n">
        <f aca="false">'Ввод данных'!C1091</f>
        <v>0.3</v>
      </c>
      <c r="E166" s="933" t="n">
        <f aca="false">'Ввод данных'!C1093</f>
        <v>0.2</v>
      </c>
      <c r="F166" s="2315" t="n">
        <f aca="false">IF('Ввод данных'!$A$8=связи1!A166,связи1!$C$166,0)</f>
        <v>0</v>
      </c>
      <c r="G166" s="2315" t="n">
        <f aca="false">IF('Ввод данных'!$A$8=связи1!A166,связи1!$D$166,0)</f>
        <v>0</v>
      </c>
      <c r="H166" s="2315" t="n">
        <f aca="false">IF('Ввод данных'!$A$8=связи1!A166,связи1!$E$166,0)</f>
        <v>0</v>
      </c>
      <c r="I166" s="2315" t="n">
        <f aca="false">IF('Ввод данных'!$A$8=связи1!A166,связи1!C171,0)</f>
        <v>0</v>
      </c>
      <c r="J166" s="2315" t="n">
        <f aca="false">IF('Ввод данных'!$A$8=связи1!A166,связи1!D171,0)</f>
        <v>0</v>
      </c>
      <c r="K166" s="2315" t="n">
        <f aca="false">IF('Ввод данных'!$A$8=связи1!A166,связи1!E171,0)</f>
        <v>0</v>
      </c>
      <c r="AG166" s="2315" t="n">
        <v>1.5</v>
      </c>
      <c r="AH166" s="2606" t="n">
        <f aca="false">AG166*3.1415926535897/180</f>
        <v>0.0261799387799142</v>
      </c>
      <c r="AI166" s="2606" t="n">
        <f aca="false">AH166+0.0005</f>
        <v>0.0266799387799142</v>
      </c>
      <c r="AJ166" s="2606" t="n">
        <f aca="false">AH166-0.0005</f>
        <v>0.0256799387799142</v>
      </c>
      <c r="AK166" s="2315" t="n">
        <f aca="false">IF(AND(дома!$Z$29&gt;=AJ166,дома!$Z$29&lt;=AI166),связи1!AG166,0)</f>
        <v>0</v>
      </c>
      <c r="AL166" s="2315" t="n">
        <f aca="false">IF(AND(дома!$AA$29&gt;=AJ166,дома!$AA$29&lt;=AI166),связи1!AG166,0)</f>
        <v>0</v>
      </c>
    </row>
    <row r="167" customFormat="false" ht="14.5" hidden="false" customHeight="false" outlineLevel="0" collapsed="false">
      <c r="A167" s="2315" t="s">
        <v>4322</v>
      </c>
      <c r="B167" s="2605" t="s">
        <v>4308</v>
      </c>
      <c r="C167" s="2315" t="n">
        <f aca="false">VLOOKUP('Ввод данных'!A899,'Прайс лист'!B333:G419,4,0)</f>
        <v>0.2</v>
      </c>
      <c r="D167" s="2315" t="n">
        <f aca="false">VLOOKUP('Ввод данных'!A901,'Прайс лист'!B333:G419,4,0)</f>
        <v>0.15</v>
      </c>
      <c r="E167" s="2315" t="n">
        <f aca="false">VLOOKUP('Ввод данных'!A903,'Прайс лист'!B333:G419,4,0)</f>
        <v>0.1</v>
      </c>
      <c r="F167" s="2315" t="n">
        <f aca="false">IF('Ввод данных'!$A$8=связи1!A167,связи1!$C$166,0)</f>
        <v>0</v>
      </c>
      <c r="G167" s="2315" t="n">
        <f aca="false">IF('Ввод данных'!$A$8=связи1!A167,связи1!$D$166,0)</f>
        <v>0</v>
      </c>
      <c r="H167" s="2315" t="n">
        <f aca="false">IF('Ввод данных'!$A$8=связи1!A167,связи1!$E$166,0)</f>
        <v>0</v>
      </c>
      <c r="I167" s="2315" t="n">
        <f aca="false">IF('Ввод данных'!$A$8=связи1!A167,связи1!C172,0)</f>
        <v>0</v>
      </c>
      <c r="J167" s="2315" t="n">
        <f aca="false">IF('Ввод данных'!$A$8=связи1!A167,связи1!D172,0)</f>
        <v>0</v>
      </c>
      <c r="K167" s="2315" t="n">
        <f aca="false">IF('Ввод данных'!$A$8=связи1!A167,связи1!E172,0)</f>
        <v>0</v>
      </c>
      <c r="AG167" s="2315" t="n">
        <v>1.6</v>
      </c>
      <c r="AH167" s="2606" t="n">
        <f aca="false">AG167*3.1415926535897/180</f>
        <v>0.0279252680319084</v>
      </c>
      <c r="AI167" s="2606" t="n">
        <f aca="false">AH167+0.0005</f>
        <v>0.0284252680319084</v>
      </c>
      <c r="AJ167" s="2606" t="n">
        <f aca="false">AH167-0.0005</f>
        <v>0.0274252680319084</v>
      </c>
      <c r="AK167" s="2315" t="n">
        <f aca="false">IF(AND(дома!$Z$29&gt;=AJ167,дома!$Z$29&lt;=AI167),связи1!AG167,0)</f>
        <v>0</v>
      </c>
      <c r="AL167" s="2315" t="n">
        <f aca="false">IF(AND(дома!$AA$29&gt;=AJ167,дома!$AA$29&lt;=AI167),связи1!AG167,0)</f>
        <v>0</v>
      </c>
    </row>
    <row r="168" customFormat="false" ht="14.5" hidden="false" customHeight="false" outlineLevel="0" collapsed="false">
      <c r="A168" s="2315" t="s">
        <v>4323</v>
      </c>
      <c r="B168" s="2605" t="s">
        <v>4309</v>
      </c>
      <c r="C168" s="933" t="n">
        <f aca="false">VLOOKUP('Ввод данных'!A1001,связи1!A297:F309,6,0)</f>
        <v>0.174</v>
      </c>
      <c r="D168" s="933" t="n">
        <f aca="false">VLOOKUP('Ввод данных'!A1003,связи1!A297:F309,6,0)</f>
        <v>0.174</v>
      </c>
      <c r="E168" s="933" t="n">
        <f aca="false">VLOOKUP('Ввод данных'!A1005,связи1!A297:F309,6,0)</f>
        <v>0.124</v>
      </c>
      <c r="F168" s="2315" t="n">
        <f aca="false">IF('Ввод данных'!$A$8=связи1!A168,связи1!$C$166,0)</f>
        <v>0</v>
      </c>
      <c r="G168" s="2315" t="n">
        <f aca="false">IF('Ввод данных'!$A$8=связи1!A168,связи1!$D$166,0)</f>
        <v>0</v>
      </c>
      <c r="H168" s="2315" t="n">
        <f aca="false">IF('Ввод данных'!$A$8=связи1!A168,связи1!$E$166,0)</f>
        <v>0</v>
      </c>
      <c r="I168" s="2315" t="n">
        <f aca="false">IF('Ввод данных'!$A$8=связи1!A168,связи1!C168,0)</f>
        <v>0</v>
      </c>
      <c r="J168" s="2315" t="n">
        <f aca="false">IF('Ввод данных'!$A$8=связи1!A168,связи1!D168,0)</f>
        <v>0</v>
      </c>
      <c r="K168" s="2315" t="n">
        <f aca="false">IF('Ввод данных'!$A$8=связи1!A168,связи1!E168,0)</f>
        <v>0</v>
      </c>
      <c r="AG168" s="2315" t="n">
        <v>1.7</v>
      </c>
      <c r="AH168" s="2606" t="n">
        <f aca="false">AG168*3.1415926535897/180</f>
        <v>0.0296705972839027</v>
      </c>
      <c r="AI168" s="2606" t="n">
        <f aca="false">AH168+0.0005</f>
        <v>0.0301705972839027</v>
      </c>
      <c r="AJ168" s="2606" t="n">
        <f aca="false">AH168-0.0005</f>
        <v>0.0291705972839027</v>
      </c>
      <c r="AK168" s="2315" t="n">
        <f aca="false">IF(AND(дома!$Z$29&gt;=AJ168,дома!$Z$29&lt;=AI168),связи1!AG168,0)</f>
        <v>0</v>
      </c>
      <c r="AL168" s="2315" t="n">
        <f aca="false">IF(AND(дома!$AA$29&gt;=AJ168,дома!$AA$29&lt;=AI168),связи1!AG168,0)</f>
        <v>0</v>
      </c>
    </row>
    <row r="169" customFormat="false" ht="14.5" hidden="false" customHeight="false" outlineLevel="0" collapsed="false">
      <c r="A169" s="2315" t="s">
        <v>4324</v>
      </c>
      <c r="B169" s="2605" t="s">
        <v>4310</v>
      </c>
      <c r="C169" s="2315" t="n">
        <f aca="false">VLOOKUP('Ввод данных'!A899,'Прайс лист'!B333:G419,4,0)</f>
        <v>0.2</v>
      </c>
      <c r="D169" s="2315" t="n">
        <f aca="false">VLOOKUP('Ввод данных'!A901,'Прайс лист'!B333:G419,4,0)</f>
        <v>0.15</v>
      </c>
      <c r="E169" s="2315" t="n">
        <f aca="false">VLOOKUP('Ввод данных'!A903,'Прайс лист'!B333:G419,4,0)</f>
        <v>0.1</v>
      </c>
      <c r="F169" s="2315" t="n">
        <f aca="false">IF('Ввод данных'!$A$8=связи1!A169,связи1!$C$166,0)</f>
        <v>0</v>
      </c>
      <c r="G169" s="2315" t="n">
        <f aca="false">IF('Ввод данных'!$A$8=связи1!A169,связи1!$D$166,0)</f>
        <v>0</v>
      </c>
      <c r="H169" s="2315" t="n">
        <f aca="false">IF('Ввод данных'!$A$8=связи1!A169,связи1!$E$166,0)</f>
        <v>0</v>
      </c>
      <c r="I169" s="2315" t="n">
        <f aca="false">IF('Ввод данных'!$A$8=связи1!A169,связи1!C163,0)</f>
        <v>0</v>
      </c>
      <c r="J169" s="2315" t="n">
        <f aca="false">IF('Ввод данных'!$A$8=связи1!A169,связи1!D163,0)</f>
        <v>0</v>
      </c>
      <c r="K169" s="2315" t="n">
        <f aca="false">IF('Ввод данных'!$A$8=связи1!A169,связи1!E163,0)</f>
        <v>0</v>
      </c>
      <c r="AG169" s="2315" t="n">
        <v>1.8</v>
      </c>
      <c r="AH169" s="2606" t="n">
        <f aca="false">AG169*3.1415926535897/180</f>
        <v>0.031415926535897</v>
      </c>
      <c r="AI169" s="2606" t="n">
        <f aca="false">AH169+0.0005</f>
        <v>0.031915926535897</v>
      </c>
      <c r="AJ169" s="2606" t="n">
        <f aca="false">AH169-0.0005</f>
        <v>0.030915926535897</v>
      </c>
      <c r="AK169" s="2315" t="n">
        <f aca="false">IF(AND(дома!$Z$29&gt;=AJ169,дома!$Z$29&lt;=AI169),связи1!AG169,0)</f>
        <v>0</v>
      </c>
      <c r="AL169" s="2315" t="n">
        <f aca="false">IF(AND(дома!$AA$29&gt;=AJ169,дома!$AA$29&lt;=AI169),связи1!AG169,0)</f>
        <v>0</v>
      </c>
    </row>
    <row r="170" customFormat="false" ht="14.5" hidden="false" customHeight="false" outlineLevel="0" collapsed="false">
      <c r="A170" s="2315" t="s">
        <v>4325</v>
      </c>
      <c r="B170" s="2605" t="s">
        <v>4311</v>
      </c>
      <c r="C170" s="2315" t="n">
        <f aca="false">VLOOKUP('Ввод данных'!A899,'Прайс лист'!B333:G419,4,0)</f>
        <v>0.2</v>
      </c>
      <c r="D170" s="2315" t="n">
        <f aca="false">VLOOKUP('Ввод данных'!A901,'Прайс лист'!B333:G419,4,0)</f>
        <v>0.15</v>
      </c>
      <c r="E170" s="2315" t="n">
        <f aca="false">VLOOKUP('Ввод данных'!A903,'Прайс лист'!B333:G419,4,0)</f>
        <v>0.1</v>
      </c>
      <c r="F170" s="2315" t="n">
        <f aca="false">IF('Ввод данных'!$A$8=связи1!A170,связи1!$C$166,0)</f>
        <v>0</v>
      </c>
      <c r="G170" s="2315" t="n">
        <f aca="false">IF('Ввод данных'!$A$8=связи1!A170,связи1!$D$166,0)</f>
        <v>0</v>
      </c>
      <c r="H170" s="2315" t="n">
        <f aca="false">IF('Ввод данных'!$A$8=связи1!A170,связи1!$E$166,0)</f>
        <v>0</v>
      </c>
      <c r="I170" s="2315" t="n">
        <f aca="false">IF('Ввод данных'!$A$8=связи1!A170,связи1!C164,0)</f>
        <v>0</v>
      </c>
      <c r="J170" s="2315" t="n">
        <f aca="false">IF('Ввод данных'!$A$8=связи1!A170,связи1!D164,0)</f>
        <v>0</v>
      </c>
      <c r="K170" s="2315" t="n">
        <f aca="false">IF('Ввод данных'!$A$8=связи1!A170,связи1!E164,0)</f>
        <v>0</v>
      </c>
      <c r="AG170" s="2315" t="n">
        <v>1.9</v>
      </c>
      <c r="AH170" s="2606" t="n">
        <f aca="false">AG170*3.1415926535897/180</f>
        <v>0.0331612557878913</v>
      </c>
      <c r="AI170" s="2606" t="n">
        <f aca="false">AH170+0.0005</f>
        <v>0.0336612557878913</v>
      </c>
      <c r="AJ170" s="2606" t="n">
        <f aca="false">AH170-0.0005</f>
        <v>0.0326612557878913</v>
      </c>
      <c r="AK170" s="2315" t="n">
        <f aca="false">IF(AND(дома!$Z$29&gt;=AJ170,дома!$Z$29&lt;=AI170),связи1!AG170,0)</f>
        <v>0</v>
      </c>
      <c r="AL170" s="2315" t="n">
        <f aca="false">IF(AND(дома!$AA$29&gt;=AJ170,дома!$AA$29&lt;=AI170),связи1!AG170,0)</f>
        <v>0</v>
      </c>
    </row>
    <row r="171" customFormat="false" ht="14.5" hidden="false" customHeight="false" outlineLevel="0" collapsed="false">
      <c r="A171" s="2315" t="s">
        <v>4326</v>
      </c>
      <c r="B171" s="2605" t="s">
        <v>4315</v>
      </c>
      <c r="C171" s="2315" t="n">
        <f aca="false">VLOOKUP('Ввод данных'!A909,'Прайс лист'!B441:G528,3,0)</f>
        <v>0.26</v>
      </c>
      <c r="D171" s="2315" t="n">
        <f aca="false">VLOOKUP('Ввод данных'!A911,'Прайс лист'!B441:G528,3,0)</f>
        <v>0.2</v>
      </c>
      <c r="E171" s="2315" t="n">
        <f aca="false">VLOOKUP('Ввод данных'!A913,'Прайс лист'!B441:G528,3,0)</f>
        <v>0.2</v>
      </c>
      <c r="F171" s="2315" t="n">
        <f aca="false">IF('Ввод данных'!$A$8=связи1!A171,связи1!$C$164,0)</f>
        <v>0</v>
      </c>
      <c r="G171" s="2315" t="n">
        <f aca="false">IF('Ввод данных'!$A$8=связи1!A171,связи1!$D$164,0)</f>
        <v>0</v>
      </c>
      <c r="H171" s="2315" t="n">
        <f aca="false">IF('Ввод данных'!$A$8=связи1!A171,связи1!$E$164,0)</f>
        <v>0</v>
      </c>
      <c r="I171" s="2315" t="n">
        <f aca="false">IF('Ввод данных'!$A$8=связи1!A171,связи1!C167,0)</f>
        <v>0</v>
      </c>
      <c r="J171" s="2315" t="n">
        <f aca="false">IF('Ввод данных'!$A$8=связи1!A171,связи1!D167,0)</f>
        <v>0</v>
      </c>
      <c r="K171" s="2315" t="n">
        <f aca="false">IF('Ввод данных'!$A$8=связи1!A171,связи1!E167,0)</f>
        <v>0</v>
      </c>
      <c r="AG171" s="2315" t="n">
        <v>2</v>
      </c>
      <c r="AH171" s="2606" t="n">
        <f aca="false">AG171*3.1415926535897/180</f>
        <v>0.0349065850398856</v>
      </c>
      <c r="AI171" s="2606" t="n">
        <f aca="false">AH171+0.0005</f>
        <v>0.0354065850398856</v>
      </c>
      <c r="AJ171" s="2606" t="n">
        <f aca="false">AH171-0.0005</f>
        <v>0.0344065850398856</v>
      </c>
      <c r="AK171" s="2315" t="n">
        <f aca="false">IF(AND(дома!$Z$29&gt;=AJ171,дома!$Z$29&lt;=AI171),связи1!AG171,0)</f>
        <v>0</v>
      </c>
      <c r="AL171" s="2315" t="n">
        <f aca="false">IF(AND(дома!$AA$29&gt;=AJ171,дома!$AA$29&lt;=AI171),связи1!AG171,0)</f>
        <v>0</v>
      </c>
    </row>
    <row r="172" customFormat="false" ht="14.5" hidden="false" customHeight="false" outlineLevel="0" collapsed="false">
      <c r="A172" s="2315" t="s">
        <v>4327</v>
      </c>
      <c r="B172" s="2605" t="s">
        <v>4316</v>
      </c>
      <c r="C172" s="2315" t="n">
        <f aca="false">VLOOKUP('Ввод данных'!A909,'Прайс лист'!B441:G528,3,0)</f>
        <v>0.26</v>
      </c>
      <c r="D172" s="2315" t="n">
        <f aca="false">VLOOKUP('Ввод данных'!A911,'Прайс лист'!B441:G528,3,0)</f>
        <v>0.2</v>
      </c>
      <c r="E172" s="2315" t="n">
        <f aca="false">VLOOKUP('Ввод данных'!A913,'Прайс лист'!B441:G528,3,0)</f>
        <v>0.2</v>
      </c>
      <c r="F172" s="2315" t="n">
        <f aca="false">IF('Ввод данных'!$A$8=связи1!A172,связи1!$C$164,0)</f>
        <v>0</v>
      </c>
      <c r="G172" s="2315" t="n">
        <f aca="false">IF('Ввод данных'!$A$8=связи1!A172,связи1!$D$164,0)</f>
        <v>0</v>
      </c>
      <c r="H172" s="2315" t="n">
        <f aca="false">IF('Ввод данных'!$A$8=связи1!A172,связи1!$E$164,0)</f>
        <v>0</v>
      </c>
      <c r="I172" s="2315" t="n">
        <f aca="false">IF('Ввод данных'!$A$8=связи1!A172,связи1!C169,0)</f>
        <v>0</v>
      </c>
      <c r="J172" s="2315" t="n">
        <f aca="false">IF('Ввод данных'!$A$8=связи1!A172,связи1!D169,0)</f>
        <v>0</v>
      </c>
      <c r="K172" s="2315" t="n">
        <f aca="false">IF('Ввод данных'!$A$8=связи1!A172,связи1!E169,0)</f>
        <v>0</v>
      </c>
      <c r="AG172" s="2315" t="n">
        <v>2.1</v>
      </c>
      <c r="AH172" s="2606" t="n">
        <f aca="false">AG172*3.1415926535897/180</f>
        <v>0.0366519142918798</v>
      </c>
      <c r="AI172" s="2606" t="n">
        <f aca="false">AH172+0.0005</f>
        <v>0.0371519142918798</v>
      </c>
      <c r="AJ172" s="2606" t="n">
        <f aca="false">AH172-0.0005</f>
        <v>0.0361519142918798</v>
      </c>
      <c r="AK172" s="2315" t="n">
        <f aca="false">IF(AND(дома!$Z$29&gt;=AJ172,дома!$Z$29&lt;=AI172),связи1!AG172,0)</f>
        <v>0</v>
      </c>
      <c r="AL172" s="2315" t="n">
        <f aca="false">IF(AND(дома!$AA$29&gt;=AJ172,дома!$AA$29&lt;=AI172),связи1!AG172,0)</f>
        <v>0</v>
      </c>
    </row>
    <row r="173" customFormat="false" ht="14.5" hidden="false" customHeight="false" outlineLevel="0" collapsed="false">
      <c r="A173" s="2315" t="s">
        <v>4328</v>
      </c>
      <c r="C173" s="2315"/>
      <c r="D173" s="2315"/>
      <c r="E173" s="2315"/>
      <c r="F173" s="2315" t="n">
        <f aca="false">IF('Ввод данных'!$A$8=связи1!A173,связи1!$C$164,0)</f>
        <v>0</v>
      </c>
      <c r="G173" s="2315" t="n">
        <f aca="false">IF('Ввод данных'!$A$8=связи1!A173,связи1!$D$164,0)</f>
        <v>0</v>
      </c>
      <c r="H173" s="2315" t="n">
        <f aca="false">IF('Ввод данных'!$A$8=связи1!A173,связи1!$E$164,0)</f>
        <v>0</v>
      </c>
      <c r="I173" s="2315" t="n">
        <f aca="false">IF('Ввод данных'!$A$8=связи1!A173,связи1!C170,0)</f>
        <v>0</v>
      </c>
      <c r="J173" s="2315" t="n">
        <f aca="false">IF('Ввод данных'!$A$8=связи1!A173,связи1!D170,0)</f>
        <v>0</v>
      </c>
      <c r="K173" s="2315" t="n">
        <f aca="false">IF('Ввод данных'!$A$8=связи1!A173,связи1!E170,0)</f>
        <v>0</v>
      </c>
      <c r="AG173" s="2315" t="n">
        <v>2.2</v>
      </c>
      <c r="AH173" s="2606" t="n">
        <f aca="false">AG173*3.1415926535897/180</f>
        <v>0.0383972435438741</v>
      </c>
      <c r="AI173" s="2606" t="n">
        <f aca="false">AH173+0.0005</f>
        <v>0.0388972435438741</v>
      </c>
      <c r="AJ173" s="2606" t="n">
        <f aca="false">AH173-0.0005</f>
        <v>0.0378972435438741</v>
      </c>
      <c r="AK173" s="2315" t="n">
        <f aca="false">IF(AND(дома!$Z$29&gt;=AJ173,дома!$Z$29&lt;=AI173),связи1!AG173,0)</f>
        <v>0</v>
      </c>
      <c r="AL173" s="2315" t="n">
        <f aca="false">IF(AND(дома!$AA$29&gt;=AJ173,дома!$AA$29&lt;=AI173),связи1!AG173,0)</f>
        <v>0</v>
      </c>
    </row>
    <row r="174" customFormat="false" ht="14.5" hidden="false" customHeight="false" outlineLevel="0" collapsed="false">
      <c r="A174" s="2315" t="s">
        <v>4329</v>
      </c>
      <c r="C174" s="2315"/>
      <c r="D174" s="2315"/>
      <c r="E174" s="2315"/>
      <c r="F174" s="2315" t="n">
        <f aca="false">IF('Ввод данных'!$A$8=связи1!A174,связи1!$C$164,0)</f>
        <v>0</v>
      </c>
      <c r="G174" s="2315" t="n">
        <f aca="false">IF('Ввод данных'!$A$8=связи1!A174,связи1!$D$164,0)</f>
        <v>0</v>
      </c>
      <c r="H174" s="2315" t="n">
        <f aca="false">IF('Ввод данных'!$A$8=связи1!A174,связи1!$E$164,0)</f>
        <v>0</v>
      </c>
      <c r="I174" s="2315" t="n">
        <f aca="false">IF('Ввод данных'!$A$8=связи1!A174,связи1!C171,0)</f>
        <v>0</v>
      </c>
      <c r="J174" s="2315" t="n">
        <f aca="false">IF('Ввод данных'!$A$8=связи1!A174,связи1!D171,0)</f>
        <v>0</v>
      </c>
      <c r="K174" s="2315" t="n">
        <f aca="false">IF('Ввод данных'!$A$8=связи1!A174,связи1!E171,0)</f>
        <v>0</v>
      </c>
      <c r="AG174" s="2315" t="n">
        <v>2.3</v>
      </c>
      <c r="AH174" s="2606" t="n">
        <f aca="false">AG174*3.1415926535897/180</f>
        <v>0.0401425727958684</v>
      </c>
      <c r="AI174" s="2606" t="n">
        <f aca="false">AH174+0.0005</f>
        <v>0.0406425727958684</v>
      </c>
      <c r="AJ174" s="2606" t="n">
        <f aca="false">AH174-0.0005</f>
        <v>0.0396425727958684</v>
      </c>
      <c r="AK174" s="2315" t="n">
        <f aca="false">IF(AND(дома!$Z$29&gt;=AJ174,дома!$Z$29&lt;=AI174),связи1!AG174,0)</f>
        <v>0</v>
      </c>
      <c r="AL174" s="2315" t="n">
        <f aca="false">IF(AND(дома!$AA$29&gt;=AJ174,дома!$AA$29&lt;=AI174),связи1!AG174,0)</f>
        <v>0</v>
      </c>
    </row>
    <row r="175" customFormat="false" ht="14.5" hidden="false" customHeight="false" outlineLevel="0" collapsed="false">
      <c r="A175" s="2315" t="s">
        <v>4330</v>
      </c>
      <c r="C175" s="2315"/>
      <c r="D175" s="2315"/>
      <c r="E175" s="2315"/>
      <c r="F175" s="2315" t="n">
        <f aca="false">IF('Ввод данных'!$A$8=связи1!A175,связи1!$C$164,0)</f>
        <v>0</v>
      </c>
      <c r="G175" s="2315" t="n">
        <f aca="false">IF('Ввод данных'!$A$8=связи1!A175,связи1!$D$164,0)</f>
        <v>0</v>
      </c>
      <c r="H175" s="2315" t="n">
        <f aca="false">IF('Ввод данных'!$A$8=связи1!A175,связи1!$E$164,0)</f>
        <v>0</v>
      </c>
      <c r="I175" s="2315" t="n">
        <f aca="false">IF('Ввод данных'!$A$8=связи1!A175,связи1!C172,0)</f>
        <v>0</v>
      </c>
      <c r="J175" s="2315" t="n">
        <f aca="false">IF('Ввод данных'!$A$8=связи1!A175,связи1!D172,0)</f>
        <v>0</v>
      </c>
      <c r="K175" s="2315" t="n">
        <f aca="false">IF('Ввод данных'!$A$8=связи1!A175,связи1!E172,0)</f>
        <v>0</v>
      </c>
      <c r="AG175" s="2315" t="n">
        <v>2.4</v>
      </c>
      <c r="AH175" s="2606" t="n">
        <f aca="false">AG175*3.1415926535897/180</f>
        <v>0.0418879020478627</v>
      </c>
      <c r="AI175" s="2606" t="n">
        <f aca="false">AH175+0.0005</f>
        <v>0.0423879020478627</v>
      </c>
      <c r="AJ175" s="2606" t="n">
        <f aca="false">AH175-0.0005</f>
        <v>0.0413879020478627</v>
      </c>
      <c r="AK175" s="2315" t="n">
        <f aca="false">IF(AND(дома!$Z$29&gt;=AJ175,дома!$Z$29&lt;=AI175),связи1!AG175,0)</f>
        <v>0</v>
      </c>
      <c r="AL175" s="2315" t="n">
        <f aca="false">IF(AND(дома!$AA$29&gt;=AJ175,дома!$AA$29&lt;=AI175),связи1!AG175,0)</f>
        <v>0</v>
      </c>
    </row>
    <row r="176" customFormat="false" ht="14.5" hidden="false" customHeight="false" outlineLevel="0" collapsed="false">
      <c r="A176" s="2315" t="s">
        <v>4331</v>
      </c>
      <c r="C176" s="2315"/>
      <c r="D176" s="2315"/>
      <c r="E176" s="2315"/>
      <c r="F176" s="2315" t="n">
        <f aca="false">IF('Ввод данных'!$A$8=связи1!A176,связи1!$C$164,0)</f>
        <v>0</v>
      </c>
      <c r="G176" s="2315" t="n">
        <f aca="false">IF('Ввод данных'!$A$8=связи1!A176,связи1!$D$164,0)</f>
        <v>0</v>
      </c>
      <c r="H176" s="2315" t="n">
        <f aca="false">IF('Ввод данных'!$A$8=связи1!A176,связи1!$E$164,0)</f>
        <v>0</v>
      </c>
      <c r="I176" s="2315" t="n">
        <f aca="false">IF('Ввод данных'!$A$8=связи1!A176,связи1!C168,0)</f>
        <v>0</v>
      </c>
      <c r="J176" s="2315" t="n">
        <f aca="false">IF('Ввод данных'!$A$8=связи1!A176,связи1!D168,0)</f>
        <v>0</v>
      </c>
      <c r="K176" s="2315" t="n">
        <f aca="false">IF('Ввод данных'!$A$8=связи1!A176,связи1!E168,0)</f>
        <v>0</v>
      </c>
      <c r="AG176" s="2315" t="n">
        <v>2.5</v>
      </c>
      <c r="AH176" s="2606" t="n">
        <f aca="false">AG176*3.1415926535897/180</f>
        <v>0.0436332312998569</v>
      </c>
      <c r="AI176" s="2606" t="n">
        <f aca="false">AH176+0.0005</f>
        <v>0.0441332312998569</v>
      </c>
      <c r="AJ176" s="2606" t="n">
        <f aca="false">AH176-0.0005</f>
        <v>0.0431332312998569</v>
      </c>
      <c r="AK176" s="2315" t="n">
        <f aca="false">IF(AND(дома!$Z$29&gt;=AJ176,дома!$Z$29&lt;=AI176),связи1!AG176,0)</f>
        <v>0</v>
      </c>
      <c r="AL176" s="2315" t="n">
        <f aca="false">IF(AND(дома!$AA$29&gt;=AJ176,дома!$AA$29&lt;=AI176),связи1!AG176,0)</f>
        <v>0</v>
      </c>
    </row>
    <row r="177" customFormat="false" ht="14.5" hidden="false" customHeight="false" outlineLevel="0" collapsed="false">
      <c r="A177" s="2315" t="s">
        <v>4332</v>
      </c>
      <c r="C177" s="2315"/>
      <c r="D177" s="2315"/>
      <c r="E177" s="2315"/>
      <c r="F177" s="2315" t="n">
        <f aca="false">IF('Ввод данных'!$A$8=связи1!A177,связи1!$C$164,0)</f>
        <v>0</v>
      </c>
      <c r="G177" s="2315" t="n">
        <f aca="false">IF('Ввод данных'!$A$8=связи1!A177,связи1!$D$164,0)</f>
        <v>0</v>
      </c>
      <c r="H177" s="2315" t="n">
        <f aca="false">IF('Ввод данных'!$A$8=связи1!A177,связи1!$E$164,0)</f>
        <v>0</v>
      </c>
      <c r="I177" s="2315" t="n">
        <f aca="false">IF('Ввод данных'!$A$8=связи1!A177,связи1!C163,0)</f>
        <v>0</v>
      </c>
      <c r="J177" s="2315" t="n">
        <f aca="false">IF('Ввод данных'!$A$8=связи1!A177,связи1!D163,0)</f>
        <v>0</v>
      </c>
      <c r="K177" s="2315" t="n">
        <f aca="false">IF('Ввод данных'!$A$8=связи1!A177,связи1!E163,0)</f>
        <v>0</v>
      </c>
      <c r="AG177" s="2315" t="n">
        <v>2.6</v>
      </c>
      <c r="AH177" s="2606" t="n">
        <f aca="false">AG177*3.1415926535897/180</f>
        <v>0.0453785605518512</v>
      </c>
      <c r="AI177" s="2606" t="n">
        <f aca="false">AH177+0.0005</f>
        <v>0.0458785605518512</v>
      </c>
      <c r="AJ177" s="2606" t="n">
        <f aca="false">AH177-0.0005</f>
        <v>0.0448785605518512</v>
      </c>
      <c r="AK177" s="2315" t="n">
        <f aca="false">IF(AND(дома!$Z$29&gt;=AJ177,дома!$Z$29&lt;=AI177),связи1!AG177,0)</f>
        <v>0</v>
      </c>
      <c r="AL177" s="2315" t="n">
        <f aca="false">IF(AND(дома!$AA$29&gt;=AJ177,дома!$AA$29&lt;=AI177),связи1!AG177,0)</f>
        <v>0</v>
      </c>
    </row>
    <row r="178" customFormat="false" ht="14.5" hidden="false" customHeight="false" outlineLevel="0" collapsed="false">
      <c r="A178" s="2315" t="s">
        <v>4333</v>
      </c>
      <c r="C178" s="2315"/>
      <c r="D178" s="2315"/>
      <c r="E178" s="2315"/>
      <c r="F178" s="2315" t="n">
        <f aca="false">IF('Ввод данных'!$A$8=связи1!A178,связи1!$C$164,0)</f>
        <v>0</v>
      </c>
      <c r="G178" s="2315" t="n">
        <f aca="false">IF('Ввод данных'!$A$8=связи1!A178,связи1!$D$164,0)</f>
        <v>0</v>
      </c>
      <c r="H178" s="2315" t="n">
        <f aca="false">IF('Ввод данных'!$A$8=связи1!A178,связи1!$E$164,0)</f>
        <v>0</v>
      </c>
      <c r="I178" s="2315" t="n">
        <f aca="false">IF('Ввод данных'!$A$8=связи1!A178,связи1!C165,0)</f>
        <v>0</v>
      </c>
      <c r="J178" s="2315" t="n">
        <f aca="false">IF('Ввод данных'!$A$8=связи1!A178,связи1!D165,0)</f>
        <v>0</v>
      </c>
      <c r="K178" s="2315" t="n">
        <f aca="false">IF('Ввод данных'!$A$8=связи1!A178,связи1!E165,0)</f>
        <v>0</v>
      </c>
      <c r="AG178" s="2315" t="n">
        <v>2.7</v>
      </c>
      <c r="AH178" s="2606" t="n">
        <f aca="false">AG178*3.1415926535897/180</f>
        <v>0.0471238898038455</v>
      </c>
      <c r="AI178" s="2606" t="n">
        <f aca="false">AH178+0.0005</f>
        <v>0.0476238898038455</v>
      </c>
      <c r="AJ178" s="2606" t="n">
        <f aca="false">AH178-0.0005</f>
        <v>0.0466238898038455</v>
      </c>
      <c r="AK178" s="2315" t="n">
        <f aca="false">IF(AND(дома!$Z$29&gt;=AJ178,дома!$Z$29&lt;=AI178),связи1!AG178,0)</f>
        <v>0</v>
      </c>
      <c r="AL178" s="2315" t="n">
        <f aca="false">IF(AND(дома!$AA$29&gt;=AJ178,дома!$AA$29&lt;=AI178),связи1!AG178,0)</f>
        <v>0</v>
      </c>
    </row>
    <row r="179" customFormat="false" ht="14.5" hidden="false" customHeight="false" outlineLevel="0" collapsed="false">
      <c r="A179" s="2315" t="s">
        <v>4334</v>
      </c>
      <c r="C179" s="2315"/>
      <c r="D179" s="2315"/>
      <c r="E179" s="2315"/>
      <c r="F179" s="2315" t="n">
        <f aca="false">IF('Ввод данных'!$A$8=связи1!A179,связи1!$C$165,0)</f>
        <v>0</v>
      </c>
      <c r="G179" s="2315" t="n">
        <f aca="false">IF('Ввод данных'!$A$8=связи1!A179,связи1!$D$165,0)</f>
        <v>0</v>
      </c>
      <c r="H179" s="2315" t="n">
        <f aca="false">IF('Ввод данных'!$A$8=связи1!A179,связи1!$E$165,0)</f>
        <v>0</v>
      </c>
      <c r="I179" s="2315" t="n">
        <f aca="false">IF('Ввод данных'!$A$8=связи1!A179,связи1!C164,0)</f>
        <v>0</v>
      </c>
      <c r="J179" s="2315" t="n">
        <f aca="false">IF('Ввод данных'!$A$8=связи1!A179,связи1!D164,0)</f>
        <v>0</v>
      </c>
      <c r="K179" s="2315" t="n">
        <f aca="false">IF('Ввод данных'!$A$8=связи1!A179,связи1!E164,0)</f>
        <v>0</v>
      </c>
      <c r="AG179" s="2315" t="n">
        <v>2.8</v>
      </c>
      <c r="AH179" s="2606" t="n">
        <f aca="false">AG179*3.1415926535897/180</f>
        <v>0.0488692190558398</v>
      </c>
      <c r="AI179" s="2606" t="n">
        <f aca="false">AH179+0.0005</f>
        <v>0.0493692190558398</v>
      </c>
      <c r="AJ179" s="2606" t="n">
        <f aca="false">AH179-0.0005</f>
        <v>0.0483692190558398</v>
      </c>
      <c r="AK179" s="2315" t="n">
        <f aca="false">IF(AND(дома!$Z$29&gt;=AJ179,дома!$Z$29&lt;=AI179),связи1!AG179,0)</f>
        <v>0</v>
      </c>
      <c r="AL179" s="2315" t="n">
        <f aca="false">IF(AND(дома!$AA$29&gt;=AJ179,дома!$AA$29&lt;=AI179),связи1!AG179,0)</f>
        <v>0</v>
      </c>
    </row>
    <row r="180" customFormat="false" ht="14.5" hidden="false" customHeight="false" outlineLevel="0" collapsed="false">
      <c r="A180" s="2315" t="s">
        <v>4335</v>
      </c>
      <c r="C180" s="2315"/>
      <c r="D180" s="2315"/>
      <c r="E180" s="2315"/>
      <c r="F180" s="2315" t="n">
        <f aca="false">IF('Ввод данных'!$A$8=связи1!A180,связи1!$C$165,0)</f>
        <v>0</v>
      </c>
      <c r="G180" s="2315" t="n">
        <f aca="false">IF('Ввод данных'!$A$8=связи1!A180,связи1!$D$165,0)</f>
        <v>0</v>
      </c>
      <c r="H180" s="2315" t="n">
        <f aca="false">IF('Ввод данных'!$A$8=связи1!A180,связи1!$E$165,0)</f>
        <v>0</v>
      </c>
      <c r="I180" s="2315" t="n">
        <f aca="false">IF('Ввод данных'!$A$8=связи1!A180,связи1!C167,0)</f>
        <v>0</v>
      </c>
      <c r="J180" s="2315" t="n">
        <f aca="false">IF('Ввод данных'!$A$8=связи1!A180,связи1!D167,0)</f>
        <v>0</v>
      </c>
      <c r="K180" s="2315" t="n">
        <f aca="false">IF('Ввод данных'!$A$8=связи1!A180,связи1!E167,0)</f>
        <v>0</v>
      </c>
      <c r="AG180" s="2315" t="n">
        <v>2.9</v>
      </c>
      <c r="AH180" s="2606" t="n">
        <f aca="false">AG180*3.1415926535897/180</f>
        <v>0.0506145483078341</v>
      </c>
      <c r="AI180" s="2606" t="n">
        <f aca="false">AH180+0.0005</f>
        <v>0.0511145483078341</v>
      </c>
      <c r="AJ180" s="2606" t="n">
        <f aca="false">AH180-0.0005</f>
        <v>0.0501145483078341</v>
      </c>
      <c r="AK180" s="2315" t="n">
        <f aca="false">IF(AND(дома!$Z$29&gt;=AJ180,дома!$Z$29&lt;=AI180),связи1!AG180,0)</f>
        <v>0</v>
      </c>
      <c r="AL180" s="2315" t="n">
        <f aca="false">IF(AND(дома!$AA$29&gt;=AJ180,дома!$AA$29&lt;=AI180),связи1!AG180,0)</f>
        <v>0</v>
      </c>
    </row>
    <row r="181" customFormat="false" ht="14.5" hidden="false" customHeight="false" outlineLevel="0" collapsed="false">
      <c r="A181" s="2315" t="s">
        <v>4336</v>
      </c>
      <c r="C181" s="2315"/>
      <c r="D181" s="2315"/>
      <c r="E181" s="2315"/>
      <c r="F181" s="2315" t="n">
        <f aca="false">IF('Ввод данных'!$A$8=связи1!A181,связи1!$C$165,0)</f>
        <v>0</v>
      </c>
      <c r="G181" s="2315" t="n">
        <f aca="false">IF('Ввод данных'!$A$8=связи1!A181,связи1!$D$165,0)</f>
        <v>0</v>
      </c>
      <c r="H181" s="2315" t="n">
        <f aca="false">IF('Ввод данных'!$A$8=связи1!A181,связи1!$E$165,0)</f>
        <v>0</v>
      </c>
      <c r="I181" s="2315" t="n">
        <f aca="false">IF('Ввод данных'!$A$8=связи1!A181,связи1!C170,0)</f>
        <v>0</v>
      </c>
      <c r="J181" s="2315" t="n">
        <f aca="false">IF('Ввод данных'!$A$8=связи1!A181,связи1!D170,0)</f>
        <v>0</v>
      </c>
      <c r="K181" s="2315" t="n">
        <f aca="false">IF('Ввод данных'!$A$8=связи1!A181,связи1!E170,0)</f>
        <v>0</v>
      </c>
      <c r="AG181" s="2315" t="n">
        <v>3</v>
      </c>
      <c r="AH181" s="2606" t="n">
        <f aca="false">AG181*3.1415926535897/180</f>
        <v>0.0523598775598283</v>
      </c>
      <c r="AI181" s="2606" t="n">
        <f aca="false">AH181+0.0005</f>
        <v>0.0528598775598283</v>
      </c>
      <c r="AJ181" s="2606" t="n">
        <f aca="false">AH181-0.0005</f>
        <v>0.0518598775598283</v>
      </c>
      <c r="AK181" s="2315" t="n">
        <f aca="false">IF(AND(дома!$Z$29&gt;=AJ181,дома!$Z$29&lt;=AI181),связи1!AG181,0)</f>
        <v>0</v>
      </c>
      <c r="AL181" s="2315" t="n">
        <f aca="false">IF(AND(дома!$AA$29&gt;=AJ181,дома!$AA$29&lt;=AI181),связи1!AG181,0)</f>
        <v>0</v>
      </c>
    </row>
    <row r="182" customFormat="false" ht="14.5" hidden="false" customHeight="false" outlineLevel="0" collapsed="false">
      <c r="A182" s="2315" t="s">
        <v>4337</v>
      </c>
      <c r="C182" s="2315"/>
      <c r="D182" s="2315"/>
      <c r="E182" s="2315"/>
      <c r="F182" s="2315" t="n">
        <f aca="false">IF('Ввод данных'!$A$8=связи1!A182,связи1!$C$165,0)</f>
        <v>0</v>
      </c>
      <c r="G182" s="2315" t="n">
        <f aca="false">IF('Ввод данных'!$A$8=связи1!A182,связи1!$D$165,0)</f>
        <v>0</v>
      </c>
      <c r="H182" s="2315" t="n">
        <f aca="false">IF('Ввод данных'!$A$8=связи1!A182,связи1!$E$165,0)</f>
        <v>0</v>
      </c>
      <c r="I182" s="2315" t="n">
        <f aca="false">IF('Ввод данных'!$A$8=связи1!A182,связи1!C172,0)</f>
        <v>0</v>
      </c>
      <c r="J182" s="2315" t="n">
        <f aca="false">IF('Ввод данных'!$A$8=связи1!A182,связи1!D172,0)</f>
        <v>0</v>
      </c>
      <c r="K182" s="2315" t="n">
        <f aca="false">IF('Ввод данных'!$A$8=связи1!A182,связи1!E172,0)</f>
        <v>0</v>
      </c>
      <c r="AG182" s="2315" t="n">
        <v>3.1</v>
      </c>
      <c r="AH182" s="2606" t="n">
        <f aca="false">AG182*3.1415926535897/180</f>
        <v>0.0541052068118226</v>
      </c>
      <c r="AI182" s="2606" t="n">
        <f aca="false">AH182+0.0005</f>
        <v>0.0546052068118226</v>
      </c>
      <c r="AJ182" s="2606" t="n">
        <f aca="false">AH182-0.0005</f>
        <v>0.0536052068118226</v>
      </c>
      <c r="AK182" s="2315" t="n">
        <f aca="false">IF(AND(дома!$Z$29&gt;=AJ182,дома!$Z$29&lt;=AI182),связи1!AG182,0)</f>
        <v>0</v>
      </c>
      <c r="AL182" s="2315" t="n">
        <f aca="false">IF(AND(дома!$AA$29&gt;=AJ182,дома!$AA$29&lt;=AI182),связи1!AG182,0)</f>
        <v>0</v>
      </c>
    </row>
    <row r="183" customFormat="false" ht="14.5" hidden="false" customHeight="false" outlineLevel="0" collapsed="false">
      <c r="A183" s="2315" t="s">
        <v>4338</v>
      </c>
      <c r="C183" s="2315"/>
      <c r="D183" s="2315"/>
      <c r="E183" s="2315"/>
      <c r="F183" s="2315" t="n">
        <f aca="false">IF('Ввод данных'!$A$8=связи1!A183,связи1!$C$165,0)</f>
        <v>0</v>
      </c>
      <c r="G183" s="2315" t="n">
        <f aca="false">IF('Ввод данных'!$A$8=связи1!A183,связи1!$D$165,0)</f>
        <v>0</v>
      </c>
      <c r="H183" s="2315" t="n">
        <f aca="false">IF('Ввод данных'!$A$8=связи1!A183,связи1!$E$165,0)</f>
        <v>0</v>
      </c>
      <c r="I183" s="2315" t="n">
        <f aca="false">IF('Ввод данных'!$A$8=связи1!A183,связи1!C168,0)</f>
        <v>0</v>
      </c>
      <c r="J183" s="2315" t="n">
        <f aca="false">IF('Ввод данных'!$A$8=связи1!A183,связи1!D168,0)</f>
        <v>0</v>
      </c>
      <c r="K183" s="2315" t="n">
        <f aca="false">IF('Ввод данных'!$A$8=связи1!A183,связи1!E168,0)</f>
        <v>0</v>
      </c>
      <c r="AG183" s="2315" t="n">
        <v>3.2</v>
      </c>
      <c r="AH183" s="2606" t="n">
        <f aca="false">AG183*3.1415926535897/180</f>
        <v>0.0558505360638169</v>
      </c>
      <c r="AI183" s="2606" t="n">
        <f aca="false">AH183+0.0005</f>
        <v>0.0563505360638169</v>
      </c>
      <c r="AJ183" s="2606" t="n">
        <f aca="false">AH183-0.0005</f>
        <v>0.0553505360638169</v>
      </c>
      <c r="AK183" s="2315" t="n">
        <f aca="false">IF(AND(дома!$Z$29&gt;=AJ183,дома!$Z$29&lt;=AI183),связи1!AG183,0)</f>
        <v>0</v>
      </c>
      <c r="AL183" s="2315" t="n">
        <f aca="false">IF(AND(дома!$AA$29&gt;=AJ183,дома!$AA$29&lt;=AI183),связи1!AG183,0)</f>
        <v>0</v>
      </c>
    </row>
    <row r="184" customFormat="false" ht="14.5" hidden="false" customHeight="false" outlineLevel="0" collapsed="false">
      <c r="A184" s="2315" t="s">
        <v>4339</v>
      </c>
      <c r="C184" s="2315"/>
      <c r="D184" s="2315"/>
      <c r="E184" s="2315"/>
      <c r="F184" s="2315" t="n">
        <f aca="false">IF('Ввод данных'!$A$8=связи1!A184,связи1!$C$165,0)</f>
        <v>0</v>
      </c>
      <c r="G184" s="2315" t="n">
        <f aca="false">IF('Ввод данных'!$A$8=связи1!A184,связи1!$D$165,0)</f>
        <v>0</v>
      </c>
      <c r="H184" s="2315" t="n">
        <f aca="false">IF('Ввод данных'!$A$8=связи1!A184,связи1!$E$165,0)</f>
        <v>0</v>
      </c>
      <c r="I184" s="2315" t="n">
        <f aca="false">IF('Ввод данных'!$A$8=связи1!A184,связи1!C163,0)</f>
        <v>0</v>
      </c>
      <c r="J184" s="2315" t="n">
        <f aca="false">IF('Ввод данных'!$A$8=связи1!A184,связи1!D163,0)</f>
        <v>0</v>
      </c>
      <c r="K184" s="2315" t="n">
        <f aca="false">IF('Ввод данных'!$A$8=связи1!A184,связи1!E163,0)</f>
        <v>0</v>
      </c>
      <c r="AG184" s="2315" t="n">
        <v>3.3</v>
      </c>
      <c r="AH184" s="2606" t="n">
        <f aca="false">AG184*3.1415926535897/180</f>
        <v>0.0575958653158112</v>
      </c>
      <c r="AI184" s="2606" t="n">
        <f aca="false">AH184+0.0005</f>
        <v>0.0580958653158112</v>
      </c>
      <c r="AJ184" s="2606" t="n">
        <f aca="false">AH184-0.0005</f>
        <v>0.0570958653158112</v>
      </c>
      <c r="AK184" s="2315" t="n">
        <f aca="false">IF(AND(дома!$Z$29&gt;=AJ184,дома!$Z$29&lt;=AI184),связи1!AG184,0)</f>
        <v>0</v>
      </c>
      <c r="AL184" s="2315" t="n">
        <f aca="false">IF(AND(дома!$AA$29&gt;=AJ184,дома!$AA$29&lt;=AI184),связи1!AG184,0)</f>
        <v>0</v>
      </c>
    </row>
    <row r="185" customFormat="false" ht="14.5" hidden="false" customHeight="false" outlineLevel="0" collapsed="false">
      <c r="A185" s="2315" t="s">
        <v>4340</v>
      </c>
      <c r="C185" s="2315"/>
      <c r="D185" s="2315"/>
      <c r="E185" s="2315"/>
      <c r="F185" s="2315" t="n">
        <f aca="false">IF('Ввод данных'!$A$8=связи1!A185,связи1!$C$167,0)</f>
        <v>0</v>
      </c>
      <c r="G185" s="2315" t="n">
        <f aca="false">IF('Ввод данных'!$A$8=связи1!A185,связи1!$D$167,0)</f>
        <v>0</v>
      </c>
      <c r="H185" s="2315" t="n">
        <f aca="false">IF('Ввод данных'!$A$8=связи1!A185,связи1!$E$167,0)</f>
        <v>0</v>
      </c>
      <c r="I185" s="2315" t="n">
        <f aca="false">IF('Ввод данных'!$A$8=связи1!A185,связи1!C163,0)</f>
        <v>0</v>
      </c>
      <c r="J185" s="2315" t="n">
        <f aca="false">IF('Ввод данных'!$A$8=связи1!A185,связи1!D163,0)</f>
        <v>0</v>
      </c>
      <c r="K185" s="2315" t="n">
        <f aca="false">IF('Ввод данных'!$A$8=связи1!A185,связи1!E163,0)</f>
        <v>0</v>
      </c>
      <c r="AG185" s="2315" t="n">
        <v>3.4</v>
      </c>
      <c r="AH185" s="2606" t="n">
        <f aca="false">AG185*3.1415926535897/180</f>
        <v>0.0593411945678054</v>
      </c>
      <c r="AI185" s="2606" t="n">
        <f aca="false">AH185+0.0005</f>
        <v>0.0598411945678054</v>
      </c>
      <c r="AJ185" s="2606" t="n">
        <f aca="false">AH185-0.0005</f>
        <v>0.0588411945678054</v>
      </c>
      <c r="AK185" s="2315" t="n">
        <f aca="false">IF(AND(дома!$Z$29&gt;=AJ185,дома!$Z$29&lt;=AI185),связи1!AG185,0)</f>
        <v>0</v>
      </c>
      <c r="AL185" s="2315" t="n">
        <f aca="false">IF(AND(дома!$AA$29&gt;=AJ185,дома!$AA$29&lt;=AI185),связи1!AG185,0)</f>
        <v>0</v>
      </c>
    </row>
    <row r="186" customFormat="false" ht="14.5" hidden="false" customHeight="false" outlineLevel="0" collapsed="false">
      <c r="C186" s="2315"/>
      <c r="D186" s="2315"/>
      <c r="E186" s="2315" t="s">
        <v>2591</v>
      </c>
      <c r="F186" s="2315" t="n">
        <f aca="false">SUM(F150:F185)</f>
        <v>0.4</v>
      </c>
      <c r="G186" s="2315" t="n">
        <f aca="false">SUM(G150:G185)</f>
        <v>0.3</v>
      </c>
      <c r="H186" s="2315" t="n">
        <f aca="false">SUM(H150:H185)</f>
        <v>0.2</v>
      </c>
      <c r="I186" s="2315" t="n">
        <f aca="false">SUM(I150:I185)</f>
        <v>0.4</v>
      </c>
      <c r="J186" s="2315" t="n">
        <f aca="false">SUM(J150:J185)</f>
        <v>0.3</v>
      </c>
      <c r="K186" s="2315" t="n">
        <f aca="false">SUM(K150:K185)</f>
        <v>0.2</v>
      </c>
      <c r="AG186" s="2315" t="n">
        <v>3.5</v>
      </c>
      <c r="AH186" s="2606" t="n">
        <f aca="false">AG186*3.1415926535897/180</f>
        <v>0.0610865238197997</v>
      </c>
      <c r="AI186" s="2606" t="n">
        <f aca="false">AH186+0.0005</f>
        <v>0.0615865238197997</v>
      </c>
      <c r="AJ186" s="2606" t="n">
        <f aca="false">AH186-0.0005</f>
        <v>0.0605865238197997</v>
      </c>
      <c r="AK186" s="2315" t="n">
        <f aca="false">IF(AND(дома!$Z$29&gt;=AJ186,дома!$Z$29&lt;=AI186),связи1!AG186,0)</f>
        <v>0</v>
      </c>
      <c r="AL186" s="2315" t="n">
        <f aca="false">IF(AND(дома!$AA$29&gt;=AJ186,дома!$AA$29&lt;=AI186),связи1!AG186,0)</f>
        <v>0</v>
      </c>
    </row>
    <row r="187" customFormat="false" ht="14.5" hidden="false" customHeight="false" outlineLevel="0" collapsed="false">
      <c r="E187" s="2605" t="s">
        <v>4341</v>
      </c>
      <c r="F187" s="2605" t="n">
        <f aca="false">F186</f>
        <v>0.4</v>
      </c>
      <c r="AG187" s="2315" t="n">
        <v>3.6</v>
      </c>
      <c r="AH187" s="2606" t="n">
        <f aca="false">AG187*3.1415926535897/180</f>
        <v>0.062831853071794</v>
      </c>
      <c r="AI187" s="2606" t="n">
        <f aca="false">AH187+0.0005</f>
        <v>0.063331853071794</v>
      </c>
      <c r="AJ187" s="2606" t="n">
        <f aca="false">AH187-0.0005</f>
        <v>0.062331853071794</v>
      </c>
      <c r="AK187" s="2315" t="n">
        <f aca="false">IF(AND(дома!$Z$29&gt;=AJ187,дома!$Z$29&lt;=AI187),связи1!AG187,0)</f>
        <v>0</v>
      </c>
      <c r="AL187" s="2315" t="n">
        <f aca="false">IF(AND(дома!$AA$29&gt;=AJ187,дома!$AA$29&lt;=AI187),связи1!AG187,0)</f>
        <v>0</v>
      </c>
    </row>
    <row r="188" customFormat="false" ht="14.5" hidden="false" customHeight="false" outlineLevel="0" collapsed="false">
      <c r="E188" s="2605" t="s">
        <v>4342</v>
      </c>
      <c r="F188" s="2605" t="n">
        <f aca="false">G186</f>
        <v>0.3</v>
      </c>
      <c r="AG188" s="2315" t="n">
        <v>3.7</v>
      </c>
      <c r="AH188" s="2606" t="n">
        <f aca="false">AG188*3.1415926535897/180</f>
        <v>0.0645771823237883</v>
      </c>
      <c r="AI188" s="2606" t="n">
        <f aca="false">AH188+0.0005</f>
        <v>0.0650771823237883</v>
      </c>
      <c r="AJ188" s="2606" t="n">
        <f aca="false">AH188-0.0005</f>
        <v>0.0640771823237883</v>
      </c>
      <c r="AK188" s="2315" t="n">
        <f aca="false">IF(AND(дома!$Z$29&gt;=AJ188,дома!$Z$29&lt;=AI188),связи1!AG188,0)</f>
        <v>0</v>
      </c>
      <c r="AL188" s="2315" t="n">
        <f aca="false">IF(AND(дома!$AA$29&gt;=AJ188,дома!$AA$29&lt;=AI188),связи1!AG188,0)</f>
        <v>0</v>
      </c>
    </row>
    <row r="189" customFormat="false" ht="14.5" hidden="false" customHeight="false" outlineLevel="0" collapsed="false">
      <c r="E189" s="2605" t="s">
        <v>4343</v>
      </c>
      <c r="F189" s="2605" t="n">
        <f aca="false">H186</f>
        <v>0.2</v>
      </c>
      <c r="AG189" s="2315" t="n">
        <v>3.8</v>
      </c>
      <c r="AH189" s="2606" t="n">
        <f aca="false">AG189*3.1415926535897/180</f>
        <v>0.0663225115757825</v>
      </c>
      <c r="AI189" s="2606" t="n">
        <f aca="false">AH189+0.0005</f>
        <v>0.0668225115757825</v>
      </c>
      <c r="AJ189" s="2606" t="n">
        <f aca="false">AH189-0.0005</f>
        <v>0.0658225115757826</v>
      </c>
      <c r="AK189" s="2315" t="n">
        <f aca="false">IF(AND(дома!$Z$29&gt;=AJ189,дома!$Z$29&lt;=AI189),связи1!AG189,0)</f>
        <v>0</v>
      </c>
      <c r="AL189" s="2315" t="n">
        <f aca="false">IF(AND(дома!$AA$29&gt;=AJ189,дома!$AA$29&lt;=AI189),связи1!AG189,0)</f>
        <v>0</v>
      </c>
    </row>
    <row r="190" customFormat="false" ht="14.5" hidden="false" customHeight="false" outlineLevel="0" collapsed="false">
      <c r="A190" s="2315" t="s">
        <v>4344</v>
      </c>
      <c r="E190" s="2605" t="s">
        <v>4345</v>
      </c>
      <c r="F190" s="2605" t="n">
        <f aca="false">I186</f>
        <v>0.4</v>
      </c>
      <c r="AG190" s="2315" t="n">
        <v>3.9</v>
      </c>
      <c r="AH190" s="2606" t="n">
        <f aca="false">AG190*3.1415926535897/180</f>
        <v>0.0680678408277768</v>
      </c>
      <c r="AI190" s="2606" t="n">
        <f aca="false">AH190+0.0005</f>
        <v>0.0685678408277768</v>
      </c>
      <c r="AJ190" s="2606" t="n">
        <f aca="false">AH190-0.0005</f>
        <v>0.0675678408277768</v>
      </c>
      <c r="AK190" s="2315" t="n">
        <f aca="false">IF(AND(дома!$Z$29&gt;=AJ190,дома!$Z$29&lt;=AI190),связи1!AG190,0)</f>
        <v>0</v>
      </c>
      <c r="AL190" s="2315" t="n">
        <f aca="false">IF(AND(дома!$AA$29&gt;=AJ190,дома!$AA$29&lt;=AI190),связи1!AG190,0)</f>
        <v>0</v>
      </c>
    </row>
    <row r="191" customFormat="false" ht="14.5" hidden="false" customHeight="false" outlineLevel="0" collapsed="false">
      <c r="A191" s="2315" t="s">
        <v>4346</v>
      </c>
      <c r="E191" s="2605" t="s">
        <v>4347</v>
      </c>
      <c r="F191" s="2605" t="n">
        <f aca="false">J186</f>
        <v>0.3</v>
      </c>
      <c r="AG191" s="2315" t="n">
        <v>4</v>
      </c>
      <c r="AH191" s="2606" t="n">
        <f aca="false">AG191*3.1415926535897/180</f>
        <v>0.0698131700797711</v>
      </c>
      <c r="AI191" s="2606" t="n">
        <f aca="false">AH191+0.0005</f>
        <v>0.0703131700797711</v>
      </c>
      <c r="AJ191" s="2606" t="n">
        <f aca="false">AH191-0.0005</f>
        <v>0.0693131700797711</v>
      </c>
      <c r="AK191" s="2315" t="n">
        <f aca="false">IF(AND(дома!$Z$29&gt;=AJ191,дома!$Z$29&lt;=AI191),связи1!AG191,0)</f>
        <v>0</v>
      </c>
      <c r="AL191" s="2315" t="n">
        <f aca="false">IF(AND(дома!$AA$29&gt;=AJ191,дома!$AA$29&lt;=AI191),связи1!AG191,0)</f>
        <v>0</v>
      </c>
    </row>
    <row r="192" customFormat="false" ht="14.5" hidden="false" customHeight="false" outlineLevel="0" collapsed="false">
      <c r="A192" s="2315" t="s">
        <v>4348</v>
      </c>
      <c r="E192" s="2605" t="s">
        <v>4349</v>
      </c>
      <c r="F192" s="2605" t="n">
        <f aca="false">K186</f>
        <v>0.2</v>
      </c>
      <c r="AG192" s="2315" t="n">
        <v>4.1</v>
      </c>
      <c r="AH192" s="2606" t="n">
        <f aca="false">AG192*3.1415926535897/180</f>
        <v>0.0715584993317654</v>
      </c>
      <c r="AI192" s="2606" t="n">
        <f aca="false">AH192+0.0005</f>
        <v>0.0720584993317654</v>
      </c>
      <c r="AJ192" s="2606" t="n">
        <f aca="false">AH192-0.0005</f>
        <v>0.0710584993317654</v>
      </c>
      <c r="AK192" s="2315" t="n">
        <f aca="false">IF(AND(дома!$Z$29&gt;=AJ192,дома!$Z$29&lt;=AI192),связи1!AG192,0)</f>
        <v>0</v>
      </c>
      <c r="AL192" s="2315" t="n">
        <f aca="false">IF(AND(дома!$AA$29&gt;=AJ192,дома!$AA$29&lt;=AI192),связи1!AG192,0)</f>
        <v>0</v>
      </c>
    </row>
    <row r="193" customFormat="false" ht="14.5" hidden="false" customHeight="false" outlineLevel="0" collapsed="false">
      <c r="A193" s="2315" t="s">
        <v>4350</v>
      </c>
      <c r="AG193" s="2315" t="n">
        <v>4.2</v>
      </c>
      <c r="AH193" s="2606" t="n">
        <f aca="false">AG193*3.1415926535897/180</f>
        <v>0.0733038285837597</v>
      </c>
      <c r="AI193" s="2606" t="n">
        <f aca="false">AH193+0.0005</f>
        <v>0.0738038285837597</v>
      </c>
      <c r="AJ193" s="2606" t="n">
        <f aca="false">AH193-0.0005</f>
        <v>0.0728038285837597</v>
      </c>
      <c r="AK193" s="2315" t="n">
        <f aca="false">IF(AND(дома!$Z$29&gt;=AJ193,дома!$Z$29&lt;=AI193),связи1!AG193,0)</f>
        <v>0</v>
      </c>
      <c r="AL193" s="2315" t="n">
        <f aca="false">IF(AND(дома!$AA$29&gt;=AJ193,дома!$AA$29&lt;=AI193),связи1!AG193,0)</f>
        <v>0</v>
      </c>
    </row>
    <row r="194" customFormat="false" ht="14.5" hidden="false" customHeight="false" outlineLevel="0" collapsed="false">
      <c r="A194" s="2315"/>
      <c r="AG194" s="2315" t="n">
        <v>4.3</v>
      </c>
      <c r="AH194" s="2606" t="n">
        <f aca="false">AG194*3.1415926535897/180</f>
        <v>0.0750491578357539</v>
      </c>
      <c r="AI194" s="2606" t="n">
        <f aca="false">AH194+0.0005</f>
        <v>0.0755491578357539</v>
      </c>
      <c r="AJ194" s="2606" t="n">
        <f aca="false">AH194-0.0005</f>
        <v>0.0745491578357539</v>
      </c>
      <c r="AK194" s="2315" t="n">
        <f aca="false">IF(AND(дома!$Z$29&gt;=AJ194,дома!$Z$29&lt;=AI194),связи1!AG194,0)</f>
        <v>0</v>
      </c>
      <c r="AL194" s="2315" t="n">
        <f aca="false">IF(AND(дома!$AA$29&gt;=AJ194,дома!$AA$29&lt;=AI194),связи1!AG194,0)</f>
        <v>0</v>
      </c>
    </row>
    <row r="195" customFormat="false" ht="14.5" hidden="false" customHeight="false" outlineLevel="0" collapsed="false">
      <c r="A195" s="2315" t="s">
        <v>4344</v>
      </c>
      <c r="AG195" s="2315" t="n">
        <v>4.4</v>
      </c>
      <c r="AH195" s="2606" t="n">
        <f aca="false">AG195*3.1415926535897/180</f>
        <v>0.0767944870877482</v>
      </c>
      <c r="AI195" s="2606" t="n">
        <f aca="false">AH195+0.0005</f>
        <v>0.0772944870877482</v>
      </c>
      <c r="AJ195" s="2606" t="n">
        <f aca="false">AH195-0.0005</f>
        <v>0.0762944870877482</v>
      </c>
      <c r="AK195" s="2315" t="n">
        <f aca="false">IF(AND(дома!$Z$29&gt;=AJ195,дома!$Z$29&lt;=AI195),связи1!AG195,0)</f>
        <v>0</v>
      </c>
      <c r="AL195" s="2315" t="n">
        <f aca="false">IF(AND(дома!$AA$29&gt;=AJ195,дома!$AA$29&lt;=AI195),связи1!AG195,0)</f>
        <v>0</v>
      </c>
    </row>
    <row r="196" customFormat="false" ht="14.5" hidden="false" customHeight="false" outlineLevel="0" collapsed="false">
      <c r="A196" s="2315" t="s">
        <v>4346</v>
      </c>
      <c r="AG196" s="2315" t="n">
        <v>4.5</v>
      </c>
      <c r="AH196" s="2606" t="n">
        <f aca="false">AG196*3.1415926535897/180</f>
        <v>0.0785398163397425</v>
      </c>
      <c r="AI196" s="2606" t="n">
        <f aca="false">AH196+0.0005</f>
        <v>0.0790398163397425</v>
      </c>
      <c r="AJ196" s="2606" t="n">
        <f aca="false">AH196-0.0005</f>
        <v>0.0780398163397425</v>
      </c>
      <c r="AK196" s="2315" t="n">
        <f aca="false">IF(AND(дома!$Z$29&gt;=AJ196,дома!$Z$29&lt;=AI196),связи1!AG196,0)</f>
        <v>0</v>
      </c>
      <c r="AL196" s="2315" t="n">
        <f aca="false">IF(AND(дома!$AA$29&gt;=AJ196,дома!$AA$29&lt;=AI196),связи1!AG196,0)</f>
        <v>0</v>
      </c>
    </row>
    <row r="197" customFormat="false" ht="14.5" hidden="false" customHeight="false" outlineLevel="0" collapsed="false">
      <c r="A197" s="2315" t="s">
        <v>4351</v>
      </c>
      <c r="AG197" s="2315" t="n">
        <v>4.6</v>
      </c>
      <c r="AH197" s="2606" t="n">
        <f aca="false">AG197*3.1415926535897/180</f>
        <v>0.0802851455917368</v>
      </c>
      <c r="AI197" s="2606" t="n">
        <f aca="false">AH197+0.0005</f>
        <v>0.0807851455917368</v>
      </c>
      <c r="AJ197" s="2606" t="n">
        <f aca="false">AH197-0.0005</f>
        <v>0.0797851455917368</v>
      </c>
      <c r="AK197" s="2315" t="n">
        <f aca="false">IF(AND(дома!$Z$29&gt;=AJ197,дома!$Z$29&lt;=AI197),связи1!AG197,0)</f>
        <v>0</v>
      </c>
      <c r="AL197" s="2315" t="n">
        <f aca="false">IF(AND(дома!$AA$29&gt;=AJ197,дома!$AA$29&lt;=AI197),связи1!AG197,0)</f>
        <v>0</v>
      </c>
    </row>
    <row r="198" customFormat="false" ht="14.5" hidden="false" customHeight="false" outlineLevel="0" collapsed="false">
      <c r="A198" s="2315" t="s">
        <v>4352</v>
      </c>
      <c r="AG198" s="2315" t="n">
        <v>4.7</v>
      </c>
      <c r="AH198" s="2606" t="n">
        <f aca="false">AG198*3.1415926535897/180</f>
        <v>0.0820304748437311</v>
      </c>
      <c r="AI198" s="2606" t="n">
        <f aca="false">AH198+0.0005</f>
        <v>0.0825304748437311</v>
      </c>
      <c r="AJ198" s="2606" t="n">
        <f aca="false">AH198-0.0005</f>
        <v>0.0815304748437311</v>
      </c>
      <c r="AK198" s="2315" t="n">
        <f aca="false">IF(AND(дома!$Z$29&gt;=AJ198,дома!$Z$29&lt;=AI198),связи1!AG198,0)</f>
        <v>0</v>
      </c>
      <c r="AL198" s="2315" t="n">
        <f aca="false">IF(AND(дома!$AA$29&gt;=AJ198,дома!$AA$29&lt;=AI198),связи1!AG198,0)</f>
        <v>0</v>
      </c>
    </row>
    <row r="199" customFormat="false" ht="14.5" hidden="false" customHeight="false" outlineLevel="0" collapsed="false">
      <c r="I199" s="896" t="s">
        <v>4353</v>
      </c>
      <c r="AG199" s="2315" t="n">
        <v>4.8</v>
      </c>
      <c r="AH199" s="2606" t="n">
        <f aca="false">AG199*3.1415926535897/180</f>
        <v>0.0837758040957253</v>
      </c>
      <c r="AI199" s="2606" t="n">
        <f aca="false">AH199+0.0005</f>
        <v>0.0842758040957253</v>
      </c>
      <c r="AJ199" s="2606" t="n">
        <f aca="false">AH199-0.0005</f>
        <v>0.0832758040957253</v>
      </c>
      <c r="AK199" s="2315" t="n">
        <f aca="false">IF(AND(дома!$Z$29&gt;=AJ199,дома!$Z$29&lt;=AI199),связи1!AG199,0)</f>
        <v>0</v>
      </c>
      <c r="AL199" s="2315" t="n">
        <f aca="false">IF(AND(дома!$AA$29&gt;=AJ199,дома!$AA$29&lt;=AI199),связи1!AG199,0)</f>
        <v>0</v>
      </c>
    </row>
    <row r="200" customFormat="false" ht="14.5" hidden="false" customHeight="false" outlineLevel="0" collapsed="false">
      <c r="A200" s="2315" t="s">
        <v>1780</v>
      </c>
      <c r="B200" s="2315" t="str">
        <f aca="false">A200</f>
        <v>Нет перекрытия</v>
      </c>
      <c r="C200" s="2315" t="s">
        <v>2975</v>
      </c>
      <c r="D200" s="2315" t="s">
        <v>2156</v>
      </c>
      <c r="I200" s="2315" t="s">
        <v>1908</v>
      </c>
      <c r="J200" s="2315"/>
      <c r="K200" s="2315"/>
      <c r="AG200" s="2315" t="n">
        <v>4.9</v>
      </c>
      <c r="AH200" s="2606" t="n">
        <f aca="false">AG200*3.1415926535897/180</f>
        <v>0.0855211333477196</v>
      </c>
      <c r="AI200" s="2606" t="n">
        <f aca="false">AH200+0.0005</f>
        <v>0.0860211333477196</v>
      </c>
      <c r="AJ200" s="2606" t="n">
        <f aca="false">AH200-0.0005</f>
        <v>0.0850211333477196</v>
      </c>
      <c r="AK200" s="2315" t="n">
        <f aca="false">IF(AND(дома!$Z$29&gt;=AJ200,дома!$Z$29&lt;=AI200),связи1!AG200,0)</f>
        <v>0</v>
      </c>
      <c r="AL200" s="2315" t="n">
        <f aca="false">IF(AND(дома!$AA$29&gt;=AJ200,дома!$AA$29&lt;=AI200),связи1!AG200,0)</f>
        <v>0</v>
      </c>
    </row>
    <row r="201" customFormat="false" ht="14.5" hidden="false" customHeight="false" outlineLevel="0" collapsed="false">
      <c r="A201" s="2315" t="str">
        <f aca="false">'Прайс лист'!B268</f>
        <v>Sip панель 2500*625*124мм</v>
      </c>
      <c r="B201" s="2315" t="str">
        <f aca="false">A201</f>
        <v>Sip панель 2500*625*124мм</v>
      </c>
      <c r="C201" s="2315" t="n">
        <v>0.124</v>
      </c>
      <c r="D201" s="933" t="n">
        <f aca="false">'Прайс лист'!G268</f>
        <v>800</v>
      </c>
      <c r="I201" s="2315" t="s">
        <v>2134</v>
      </c>
      <c r="J201" s="2315"/>
      <c r="K201" s="2315"/>
      <c r="AG201" s="2315" t="n">
        <v>5</v>
      </c>
      <c r="AH201" s="2606" t="n">
        <f aca="false">AG201*3.1415926535897/180</f>
        <v>0.0872664625997139</v>
      </c>
      <c r="AI201" s="2606" t="n">
        <f aca="false">AH201+0.0005</f>
        <v>0.0877664625997139</v>
      </c>
      <c r="AJ201" s="2606" t="n">
        <f aca="false">AH201-0.0005</f>
        <v>0.0867664625997139</v>
      </c>
      <c r="AK201" s="2315" t="n">
        <f aca="false">IF(AND(дома!$Z$29&gt;=AJ201,дома!$Z$29&lt;=AI201),связи1!AG201,0)</f>
        <v>0</v>
      </c>
      <c r="AL201" s="2315" t="n">
        <f aca="false">IF(AND(дома!$AA$29&gt;=AJ201,дома!$AA$29&lt;=AI201),связи1!AG201,0)</f>
        <v>0</v>
      </c>
    </row>
    <row r="202" customFormat="false" ht="14.5" hidden="false" customHeight="false" outlineLevel="0" collapsed="false">
      <c r="A202" s="2315" t="str">
        <f aca="false">'Прайс лист'!B269</f>
        <v>Sip панель 2500*625*174мм</v>
      </c>
      <c r="B202" s="2315" t="str">
        <f aca="false">A202</f>
        <v>Sip панель 2500*625*174мм</v>
      </c>
      <c r="C202" s="2315" t="n">
        <v>0.174</v>
      </c>
      <c r="D202" s="933" t="n">
        <f aca="false">'Прайс лист'!G269</f>
        <v>1200</v>
      </c>
      <c r="F202" s="896" t="s">
        <v>1891</v>
      </c>
      <c r="I202" s="2315" t="s">
        <v>2312</v>
      </c>
      <c r="J202" s="2315"/>
      <c r="K202" s="2315"/>
      <c r="AG202" s="2315" t="n">
        <v>5.1</v>
      </c>
      <c r="AH202" s="2606" t="n">
        <f aca="false">AG202*3.1415926535897/180</f>
        <v>0.0890117918517081</v>
      </c>
      <c r="AI202" s="2606" t="n">
        <f aca="false">AH202+0.0005</f>
        <v>0.0895117918517082</v>
      </c>
      <c r="AJ202" s="2606" t="n">
        <f aca="false">AH202-0.0005</f>
        <v>0.0885117918517082</v>
      </c>
      <c r="AK202" s="2315" t="n">
        <f aca="false">IF(AND(дома!$Z$29&gt;=AJ202,дома!$Z$29&lt;=AI202),связи1!AG202,0)</f>
        <v>0</v>
      </c>
      <c r="AL202" s="2315" t="n">
        <f aca="false">IF(AND(дома!$AA$29&gt;=AJ202,дома!$AA$29&lt;=AI202),связи1!AG202,0)</f>
        <v>0</v>
      </c>
    </row>
    <row r="203" customFormat="false" ht="14.5" hidden="false" customHeight="false" outlineLevel="0" collapsed="false">
      <c r="A203" s="2315" t="str">
        <f aca="false">'Прайс лист'!B270</f>
        <v>Sip панель 2500*625*224мм</v>
      </c>
      <c r="B203" s="2315" t="str">
        <f aca="false">A203</f>
        <v>Sip панель 2500*625*224мм</v>
      </c>
      <c r="C203" s="2315" t="n">
        <v>0.224</v>
      </c>
      <c r="D203" s="933" t="n">
        <f aca="false">'Прайс лист'!G270</f>
        <v>1400</v>
      </c>
      <c r="F203" s="2315" t="s">
        <v>493</v>
      </c>
      <c r="G203" s="2315" t="n">
        <v>0</v>
      </c>
      <c r="H203" s="2315" t="n">
        <v>0</v>
      </c>
      <c r="AG203" s="2315" t="n">
        <v>5.2</v>
      </c>
      <c r="AH203" s="2606" t="n">
        <f aca="false">AG203*3.1415926535897/180</f>
        <v>0.0907571211037024</v>
      </c>
      <c r="AI203" s="2606" t="n">
        <f aca="false">AH203+0.0005</f>
        <v>0.0912571211037024</v>
      </c>
      <c r="AJ203" s="2606" t="n">
        <f aca="false">AH203-0.0005</f>
        <v>0.0902571211037025</v>
      </c>
      <c r="AK203" s="2315" t="n">
        <f aca="false">IF(AND(дома!$Z$29&gt;=AJ203,дома!$Z$29&lt;=AI203),связи1!AG203,0)</f>
        <v>0</v>
      </c>
      <c r="AL203" s="2315" t="n">
        <f aca="false">IF(AND(дома!$AA$29&gt;=AJ203,дома!$AA$29&lt;=AI203),связи1!AG203,0)</f>
        <v>0</v>
      </c>
    </row>
    <row r="204" customFormat="false" ht="14.5" hidden="false" customHeight="false" outlineLevel="0" collapsed="false">
      <c r="A204" s="2315" t="s">
        <v>4028</v>
      </c>
      <c r="B204" s="2315" t="str">
        <f aca="false">A204</f>
        <v>Брус естественной влажности, 200*100мм</v>
      </c>
      <c r="C204" s="2315" t="n">
        <v>200</v>
      </c>
      <c r="D204" s="2315" t="n">
        <f aca="false">'Прайс лист'!G347</f>
        <v>6500</v>
      </c>
      <c r="E204" s="2594" t="n">
        <f aca="false">0.2*0.1</f>
        <v>0.02</v>
      </c>
      <c r="F204" s="2315" t="s">
        <v>4028</v>
      </c>
      <c r="G204" s="2315" t="n">
        <f aca="false">D204</f>
        <v>6500</v>
      </c>
      <c r="H204" s="2315" t="n">
        <f aca="false">E204</f>
        <v>0.02</v>
      </c>
      <c r="AG204" s="2315" t="n">
        <v>5.3</v>
      </c>
      <c r="AH204" s="2606" t="n">
        <f aca="false">AG204*3.1415926535897/180</f>
        <v>0.0925024503556967</v>
      </c>
      <c r="AI204" s="2606" t="n">
        <f aca="false">AH204+0.0005</f>
        <v>0.0930024503556967</v>
      </c>
      <c r="AJ204" s="2606" t="n">
        <f aca="false">AH204-0.0005</f>
        <v>0.0920024503556967</v>
      </c>
      <c r="AK204" s="2315" t="n">
        <f aca="false">IF(AND(дома!$Z$29&gt;=AJ204,дома!$Z$29&lt;=AI204),связи1!AG204,0)</f>
        <v>0</v>
      </c>
      <c r="AL204" s="2315" t="n">
        <f aca="false">IF(AND(дома!$AA$29&gt;=AJ204,дома!$AA$29&lt;=AI204),связи1!AG204,0)</f>
        <v>0</v>
      </c>
    </row>
    <row r="205" customFormat="false" ht="15" hidden="false" customHeight="false" outlineLevel="0" collapsed="false">
      <c r="A205" s="2315" t="s">
        <v>4029</v>
      </c>
      <c r="B205" s="2315" t="str">
        <f aca="false">A205</f>
        <v>Брус естественной влажности, 150*100мм</v>
      </c>
      <c r="C205" s="2315" t="n">
        <v>150</v>
      </c>
      <c r="D205" s="2315" t="n">
        <f aca="false">'Прайс лист'!G352</f>
        <v>6500</v>
      </c>
      <c r="E205" s="2594" t="n">
        <f aca="false">0.15*0.1</f>
        <v>0.015</v>
      </c>
      <c r="F205" s="2315" t="s">
        <v>4029</v>
      </c>
      <c r="G205" s="2315" t="n">
        <f aca="false">D205</f>
        <v>6500</v>
      </c>
      <c r="H205" s="2315" t="n">
        <f aca="false">E205</f>
        <v>0.015</v>
      </c>
      <c r="AG205" s="2315" t="n">
        <v>5.4</v>
      </c>
      <c r="AH205" s="2606" t="n">
        <f aca="false">AG205*3.1415926535897/180</f>
        <v>0.094247779607691</v>
      </c>
      <c r="AI205" s="2606" t="n">
        <f aca="false">AH205+0.0005</f>
        <v>0.094747779607691</v>
      </c>
      <c r="AJ205" s="2606" t="n">
        <f aca="false">AH205-0.0005</f>
        <v>0.093747779607691</v>
      </c>
      <c r="AK205" s="2315" t="n">
        <f aca="false">IF(AND(дома!$Z$29&gt;=AJ205,дома!$Z$29&lt;=AI205),связи1!AG205,0)</f>
        <v>0</v>
      </c>
      <c r="AL205" s="2315" t="n">
        <f aca="false">IF(AND(дома!$AA$29&gt;=AJ205,дома!$AA$29&lt;=AI205),связи1!AG205,0)</f>
        <v>0</v>
      </c>
    </row>
    <row r="206" customFormat="false" ht="15.5" hidden="false" customHeight="false" outlineLevel="0" collapsed="false">
      <c r="A206" s="2315" t="s">
        <v>1967</v>
      </c>
      <c r="B206" s="2315" t="str">
        <f aca="false">A206</f>
        <v>Брус естественной влажности, 100*100мм</v>
      </c>
      <c r="C206" s="2315" t="n">
        <v>100</v>
      </c>
      <c r="D206" s="2315" t="n">
        <f aca="false">'Прайс лист'!G353</f>
        <v>6500</v>
      </c>
      <c r="E206" s="2594" t="n">
        <f aca="false">0.1*0.1</f>
        <v>0.01</v>
      </c>
      <c r="F206" s="2315" t="s">
        <v>1967</v>
      </c>
      <c r="G206" s="2315" t="n">
        <f aca="false">D206</f>
        <v>6500</v>
      </c>
      <c r="H206" s="2315" t="n">
        <f aca="false">E206</f>
        <v>0.01</v>
      </c>
      <c r="I206" s="2607" t="s">
        <v>2790</v>
      </c>
      <c r="J206" s="2608" t="s">
        <v>156</v>
      </c>
      <c r="K206" s="2609" t="n">
        <f aca="false">'Ввод данных'!C14-'Ввод данных'!C13-0.2</f>
        <v>4.8</v>
      </c>
      <c r="AG206" s="2315" t="n">
        <v>5.5</v>
      </c>
      <c r="AH206" s="2606" t="n">
        <f aca="false">AG206*3.1415926535897/180</f>
        <v>0.0959931088596853</v>
      </c>
      <c r="AI206" s="2606" t="n">
        <f aca="false">AH206+0.0005</f>
        <v>0.0964931088596853</v>
      </c>
      <c r="AJ206" s="2606" t="n">
        <f aca="false">AH206-0.0005</f>
        <v>0.0954931088596853</v>
      </c>
      <c r="AK206" s="2315" t="n">
        <f aca="false">IF(AND(дома!$Z$29&gt;=AJ206,дома!$Z$29&lt;=AI206),связи1!AG206,0)</f>
        <v>0</v>
      </c>
      <c r="AL206" s="2315" t="n">
        <f aca="false">IF(AND(дома!$AA$29&gt;=AJ206,дома!$AA$29&lt;=AI206),связи1!AG206,0)</f>
        <v>0</v>
      </c>
    </row>
    <row r="207" customFormat="false" ht="16" hidden="false" customHeight="false" outlineLevel="0" collapsed="false">
      <c r="A207" s="2315" t="s">
        <v>2366</v>
      </c>
      <c r="B207" s="2315" t="str">
        <f aca="false">A207</f>
        <v>Брус естественной влажности, 150*150мм</v>
      </c>
      <c r="C207" s="2315" t="n">
        <v>150</v>
      </c>
      <c r="D207" s="2315" t="n">
        <f aca="false">'Прайс лист'!G351</f>
        <v>6500</v>
      </c>
      <c r="E207" s="2594" t="n">
        <f aca="false">0.15*0.15</f>
        <v>0.0225</v>
      </c>
      <c r="F207" s="2315" t="s">
        <v>2366</v>
      </c>
      <c r="G207" s="2315" t="n">
        <f aca="false">D207</f>
        <v>6500</v>
      </c>
      <c r="H207" s="2315" t="n">
        <f aca="false">E207</f>
        <v>0.0225</v>
      </c>
      <c r="I207" s="2610" t="s">
        <v>4354</v>
      </c>
      <c r="J207" s="2611" t="s">
        <v>156</v>
      </c>
      <c r="K207" s="2612" t="n">
        <f aca="false">'Ввод данных'!C15</f>
        <v>1.2</v>
      </c>
      <c r="AG207" s="2315" t="n">
        <v>5.6</v>
      </c>
      <c r="AH207" s="2606" t="n">
        <f aca="false">AG207*3.1415926535897/180</f>
        <v>0.0977384381116796</v>
      </c>
      <c r="AI207" s="2606" t="n">
        <f aca="false">AH207+0.0005</f>
        <v>0.0982384381116795</v>
      </c>
      <c r="AJ207" s="2606" t="n">
        <f aca="false">AH207-0.0005</f>
        <v>0.0972384381116795</v>
      </c>
      <c r="AK207" s="2315" t="n">
        <f aca="false">IF(AND(дома!$Z$29&gt;=AJ207,дома!$Z$29&lt;=AI207),связи1!AG207,0)</f>
        <v>0</v>
      </c>
      <c r="AL207" s="2315" t="n">
        <f aca="false">IF(AND(дома!$AA$29&gt;=AJ207,дома!$AA$29&lt;=AI207),связи1!AG207,0)</f>
        <v>0</v>
      </c>
    </row>
    <row r="208" customFormat="false" ht="14.5" hidden="false" customHeight="false" outlineLevel="0" collapsed="false">
      <c r="A208" s="2315" t="s">
        <v>2068</v>
      </c>
      <c r="B208" s="2315" t="str">
        <f aca="false">A208</f>
        <v>Доска естественной влажности, 200*50мм</v>
      </c>
      <c r="C208" s="2315" t="n">
        <v>200</v>
      </c>
      <c r="D208" s="2315" t="n">
        <f aca="false">'Прайс лист'!G291</f>
        <v>6500</v>
      </c>
      <c r="E208" s="2594" t="n">
        <f aca="false">0.2*0.05</f>
        <v>0.01</v>
      </c>
      <c r="F208" s="2315" t="s">
        <v>2068</v>
      </c>
      <c r="G208" s="2315" t="n">
        <f aca="false">D208</f>
        <v>6500</v>
      </c>
      <c r="H208" s="2315" t="n">
        <f aca="false">E208</f>
        <v>0.01</v>
      </c>
      <c r="AG208" s="2315" t="n">
        <v>5.8</v>
      </c>
      <c r="AH208" s="2606" t="n">
        <f aca="false">AG208*3.1415926535897/180</f>
        <v>0.101229096615668</v>
      </c>
      <c r="AI208" s="2606" t="n">
        <f aca="false">AH208+0.0005</f>
        <v>0.101729096615668</v>
      </c>
      <c r="AJ208" s="2606" t="n">
        <f aca="false">AH208-0.0005</f>
        <v>0.100729096615668</v>
      </c>
      <c r="AK208" s="2315" t="n">
        <f aca="false">IF(AND(дома!$Z$29&gt;=AJ208,дома!$Z$29&lt;=AI208),связи1!AG208,0)</f>
        <v>0</v>
      </c>
      <c r="AL208" s="2315" t="n">
        <f aca="false">IF(AND(дома!$AA$29&gt;=AJ208,дома!$AA$29&lt;=AI208),связи1!AG208,0)</f>
        <v>0</v>
      </c>
    </row>
    <row r="209" customFormat="false" ht="14.5" hidden="false" customHeight="false" outlineLevel="0" collapsed="false">
      <c r="A209" s="2315" t="s">
        <v>4030</v>
      </c>
      <c r="B209" s="2315" t="str">
        <f aca="false">A209</f>
        <v>Доска естественной влажности, 150*50мм</v>
      </c>
      <c r="C209" s="2315" t="n">
        <v>150</v>
      </c>
      <c r="D209" s="2315" t="n">
        <f aca="false">'Прайс лист'!G293</f>
        <v>6500</v>
      </c>
      <c r="E209" s="2594" t="n">
        <f aca="false">0.15*0.05</f>
        <v>0.0075</v>
      </c>
      <c r="F209" s="2315" t="s">
        <v>4030</v>
      </c>
      <c r="G209" s="2315" t="n">
        <f aca="false">D209</f>
        <v>6500</v>
      </c>
      <c r="H209" s="2315" t="n">
        <f aca="false">E209</f>
        <v>0.0075</v>
      </c>
      <c r="AG209" s="2315" t="n">
        <v>5.9</v>
      </c>
      <c r="AH209" s="2606" t="n">
        <f aca="false">AG209*3.1415926535897/180</f>
        <v>0.102974425867662</v>
      </c>
      <c r="AI209" s="2606" t="n">
        <f aca="false">AH209+0.0005</f>
        <v>0.103474425867662</v>
      </c>
      <c r="AJ209" s="2606" t="n">
        <f aca="false">AH209-0.0005</f>
        <v>0.102474425867662</v>
      </c>
      <c r="AK209" s="2315" t="n">
        <f aca="false">IF(AND(дома!$Z$29&gt;=AJ209,дома!$Z$29&lt;=AI209),связи1!AG209,0)</f>
        <v>0</v>
      </c>
      <c r="AL209" s="2315" t="n">
        <f aca="false">IF(AND(дома!$AA$29&gt;=AJ209,дома!$AA$29&lt;=AI209),связи1!AG209,0)</f>
        <v>0</v>
      </c>
    </row>
    <row r="210" customFormat="false" ht="14.5" hidden="false" customHeight="false" outlineLevel="0" collapsed="false">
      <c r="A210" s="2315" t="s">
        <v>1908</v>
      </c>
      <c r="B210" s="2315" t="str">
        <f aca="false">A210</f>
        <v>Доска сухая, 200*50мм</v>
      </c>
      <c r="C210" s="2315" t="n">
        <v>200</v>
      </c>
      <c r="D210" s="2315" t="n">
        <f aca="false">'Прайс лист'!G316</f>
        <v>9000</v>
      </c>
      <c r="E210" s="2594" t="n">
        <f aca="false">0.2*0.05</f>
        <v>0.01</v>
      </c>
      <c r="F210" s="2315" t="s">
        <v>1908</v>
      </c>
      <c r="G210" s="2315" t="n">
        <f aca="false">D210</f>
        <v>9000</v>
      </c>
      <c r="H210" s="2315" t="n">
        <f aca="false">E210</f>
        <v>0.01</v>
      </c>
      <c r="AG210" s="2315" t="n">
        <v>6</v>
      </c>
      <c r="AH210" s="2606" t="n">
        <f aca="false">AG210*3.1415926535897/180</f>
        <v>0.104719755119657</v>
      </c>
      <c r="AI210" s="2606" t="n">
        <f aca="false">AH210+0.0005</f>
        <v>0.105219755119657</v>
      </c>
      <c r="AJ210" s="2606" t="n">
        <f aca="false">AH210-0.0005</f>
        <v>0.104219755119657</v>
      </c>
      <c r="AK210" s="2315" t="n">
        <f aca="false">IF(AND(дома!$Z$29&gt;=AJ210,дома!$Z$29&lt;=AI210),связи1!AG210,0)</f>
        <v>0</v>
      </c>
      <c r="AL210" s="2315" t="n">
        <f aca="false">IF(AND(дома!$AA$29&gt;=AJ210,дома!$AA$29&lt;=AI210),связи1!AG210,0)</f>
        <v>0</v>
      </c>
    </row>
    <row r="211" customFormat="false" ht="14.5" hidden="false" customHeight="false" outlineLevel="0" collapsed="false">
      <c r="A211" s="2315" t="s">
        <v>2134</v>
      </c>
      <c r="B211" s="2315" t="str">
        <f aca="false">A211</f>
        <v>Доска сухая, 150*50мм</v>
      </c>
      <c r="C211" s="2315" t="n">
        <v>150</v>
      </c>
      <c r="D211" s="2315" t="n">
        <f aca="false">'Прайс лист'!G318</f>
        <v>9000</v>
      </c>
      <c r="E211" s="2594" t="n">
        <f aca="false">0.15*0.05</f>
        <v>0.0075</v>
      </c>
      <c r="F211" s="2315" t="s">
        <v>2134</v>
      </c>
      <c r="G211" s="2315" t="n">
        <f aca="false">D211</f>
        <v>9000</v>
      </c>
      <c r="H211" s="2315" t="n">
        <f aca="false">E211</f>
        <v>0.0075</v>
      </c>
      <c r="AG211" s="2315" t="n">
        <v>6.1</v>
      </c>
      <c r="AH211" s="2606" t="n">
        <f aca="false">AG211*3.1415926535897/180</f>
        <v>0.106465084371651</v>
      </c>
      <c r="AI211" s="2606" t="n">
        <f aca="false">AH211+0.0005</f>
        <v>0.106965084371651</v>
      </c>
      <c r="AJ211" s="2606" t="n">
        <f aca="false">AH211-0.0005</f>
        <v>0.105965084371651</v>
      </c>
      <c r="AK211" s="2315" t="n">
        <f aca="false">IF(AND(дома!$Z$29&gt;=AJ211,дома!$Z$29&lt;=AI211),связи1!AG211,0)</f>
        <v>0</v>
      </c>
      <c r="AL211" s="2315" t="n">
        <f aca="false">IF(AND(дома!$AA$29&gt;=AJ211,дома!$AA$29&lt;=AI211),связи1!AG211,0)</f>
        <v>0</v>
      </c>
    </row>
    <row r="212" customFormat="false" ht="14.5" hidden="false" customHeight="false" outlineLevel="0" collapsed="false">
      <c r="A212" s="2315" t="s">
        <v>2026</v>
      </c>
      <c r="B212" s="2315" t="str">
        <f aca="false">A212</f>
        <v>Доска сухая калиброванная, 190*45мм</v>
      </c>
      <c r="C212" s="2315" t="n">
        <v>190</v>
      </c>
      <c r="D212" s="2315" t="n">
        <f aca="false">'Прайс лист'!G308</f>
        <v>12500</v>
      </c>
      <c r="E212" s="2594" t="n">
        <f aca="false">0.19*0.045</f>
        <v>0.00855</v>
      </c>
      <c r="F212" s="2315" t="s">
        <v>2026</v>
      </c>
      <c r="G212" s="2315" t="n">
        <f aca="false">D212</f>
        <v>12500</v>
      </c>
      <c r="H212" s="2315" t="n">
        <f aca="false">E212</f>
        <v>0.00855</v>
      </c>
      <c r="AG212" s="2315" t="n">
        <v>6.2</v>
      </c>
      <c r="AH212" s="2606" t="n">
        <f aca="false">AG212*3.1415926535897/180</f>
        <v>0.108210413623645</v>
      </c>
      <c r="AI212" s="2606" t="n">
        <f aca="false">AH212+0.0005</f>
        <v>0.108710413623645</v>
      </c>
      <c r="AJ212" s="2606" t="n">
        <f aca="false">AH212-0.0005</f>
        <v>0.107710413623645</v>
      </c>
      <c r="AK212" s="2315" t="n">
        <f aca="false">IF(AND(дома!$Z$29&gt;=AJ212,дома!$Z$29&lt;=AI212),связи1!AG212,0)</f>
        <v>0</v>
      </c>
      <c r="AL212" s="2315" t="n">
        <f aca="false">IF(AND(дома!$AA$29&gt;=AJ212,дома!$AA$29&lt;=AI212),связи1!AG212,0)</f>
        <v>0</v>
      </c>
    </row>
    <row r="213" customFormat="false" ht="14.5" hidden="false" customHeight="false" outlineLevel="0" collapsed="false">
      <c r="A213" s="2315" t="s">
        <v>4031</v>
      </c>
      <c r="B213" s="2315" t="str">
        <f aca="false">A213</f>
        <v>Доска сухая калиброванная, 145*45мм</v>
      </c>
      <c r="C213" s="2315" t="n">
        <v>145</v>
      </c>
      <c r="D213" s="2315" t="n">
        <f aca="false">'Прайс лист'!G309</f>
        <v>12500</v>
      </c>
      <c r="E213" s="2594" t="n">
        <f aca="false">0.145*0.045</f>
        <v>0.006525</v>
      </c>
      <c r="F213" s="2315" t="s">
        <v>4031</v>
      </c>
      <c r="G213" s="2315" t="n">
        <f aca="false">D213</f>
        <v>12500</v>
      </c>
      <c r="H213" s="2315" t="n">
        <f aca="false">E213</f>
        <v>0.006525</v>
      </c>
      <c r="AG213" s="2315" t="n">
        <v>6.3</v>
      </c>
      <c r="AH213" s="2606" t="n">
        <f aca="false">AG213*3.1415926535897/180</f>
        <v>0.109955742875639</v>
      </c>
      <c r="AI213" s="2606" t="n">
        <f aca="false">AH213+0.0005</f>
        <v>0.110455742875639</v>
      </c>
      <c r="AJ213" s="2606" t="n">
        <f aca="false">AH213-0.0005</f>
        <v>0.109455742875639</v>
      </c>
      <c r="AK213" s="2315" t="n">
        <f aca="false">IF(AND(дома!$Z$29&gt;=AJ213,дома!$Z$29&lt;=AI213),связи1!AG213,0)</f>
        <v>0</v>
      </c>
      <c r="AL213" s="2315" t="n">
        <f aca="false">IF(AND(дома!$AA$29&gt;=AJ213,дома!$AA$29&lt;=AI213),связи1!AG213,0)</f>
        <v>0</v>
      </c>
    </row>
    <row r="214" customFormat="false" ht="14.5" hidden="false" customHeight="false" outlineLevel="0" collapsed="false">
      <c r="A214" s="2315" t="s">
        <v>4018</v>
      </c>
      <c r="B214" s="2315" t="str">
        <f aca="false">A214</f>
        <v>Монолит, бетон, 300мм, 2 слоя</v>
      </c>
      <c r="C214" s="2315" t="n">
        <v>300</v>
      </c>
      <c r="D214" s="2315"/>
      <c r="F214" s="2613" t="str">
        <f aca="false">'Прайс лист'!B579</f>
        <v>ГПН 102х35-1,2</v>
      </c>
      <c r="G214" s="2614" t="n">
        <f aca="false">'Прайс лист'!G579</f>
        <v>127</v>
      </c>
      <c r="H214" s="2613" t="n">
        <v>0.1</v>
      </c>
      <c r="J214" s="2315"/>
      <c r="AG214" s="2315" t="n">
        <v>6.4</v>
      </c>
      <c r="AH214" s="2606" t="n">
        <f aca="false">AG214*3.1415926535897/180</f>
        <v>0.111701072127634</v>
      </c>
      <c r="AI214" s="2606" t="n">
        <f aca="false">AH214+0.0005</f>
        <v>0.112201072127634</v>
      </c>
      <c r="AJ214" s="2606" t="n">
        <f aca="false">AH214-0.0005</f>
        <v>0.111201072127634</v>
      </c>
      <c r="AK214" s="2315" t="n">
        <f aca="false">IF(AND(дома!$Z$29&gt;=AJ214,дома!$Z$29&lt;=AI214),связи1!AG214,0)</f>
        <v>0</v>
      </c>
      <c r="AL214" s="2315" t="n">
        <f aca="false">IF(AND(дома!$AA$29&gt;=AJ214,дома!$AA$29&lt;=AI214),связи1!AG214,0)</f>
        <v>0</v>
      </c>
    </row>
    <row r="215" customFormat="false" ht="14.5" hidden="false" customHeight="false" outlineLevel="0" collapsed="false">
      <c r="A215" s="2315" t="s">
        <v>4019</v>
      </c>
      <c r="B215" s="2315" t="str">
        <f aca="false">A215</f>
        <v>Монолит, бетон, 300мм, 1 слой</v>
      </c>
      <c r="C215" s="2315" t="n">
        <v>300</v>
      </c>
      <c r="D215" s="2315"/>
      <c r="F215" s="2613" t="str">
        <f aca="false">'Прайс лист'!B580</f>
        <v>ГПН 102х35-1,5</v>
      </c>
      <c r="G215" s="2614" t="n">
        <f aca="false">'Прайс лист'!G580</f>
        <v>158</v>
      </c>
      <c r="H215" s="2613" t="n">
        <v>0.1</v>
      </c>
      <c r="J215" s="2315"/>
      <c r="AG215" s="2315" t="n">
        <v>6.50000000000001</v>
      </c>
      <c r="AH215" s="2606" t="n">
        <f aca="false">AG215*3.1415926535897/180</f>
        <v>0.113446401379628</v>
      </c>
      <c r="AI215" s="2606" t="n">
        <f aca="false">AH215+0.0005</f>
        <v>0.113946401379628</v>
      </c>
      <c r="AJ215" s="2606" t="n">
        <f aca="false">AH215-0.0005</f>
        <v>0.112946401379628</v>
      </c>
      <c r="AK215" s="2315" t="n">
        <f aca="false">IF(AND(дома!$Z$29&gt;=AJ215,дома!$Z$29&lt;=AI215),связи1!AG215,0)</f>
        <v>0</v>
      </c>
      <c r="AL215" s="2315" t="n">
        <f aca="false">IF(AND(дома!$AA$29&gt;=AJ215,дома!$AA$29&lt;=AI215),связи1!AG215,0)</f>
        <v>0</v>
      </c>
    </row>
    <row r="216" customFormat="false" ht="14.5" hidden="false" customHeight="false" outlineLevel="0" collapsed="false">
      <c r="A216" s="2315" t="s">
        <v>4020</v>
      </c>
      <c r="B216" s="2315" t="str">
        <f aca="false">A216</f>
        <v>Монолит, бетон, 250мм, 2 слоя</v>
      </c>
      <c r="C216" s="2315" t="n">
        <v>300</v>
      </c>
      <c r="D216" s="2315"/>
      <c r="F216" s="2613" t="str">
        <f aca="false">'Прайс лист'!B581</f>
        <v>ГПН 102х35-2,0</v>
      </c>
      <c r="G216" s="2614" t="n">
        <f aca="false">'Прайс лист'!G581</f>
        <v>199</v>
      </c>
      <c r="H216" s="2613" t="n">
        <v>0.1</v>
      </c>
      <c r="J216" s="2315"/>
      <c r="AG216" s="2315" t="n">
        <v>6.6</v>
      </c>
      <c r="AH216" s="2606" t="n">
        <f aca="false">AG216*3.1415926535897/180</f>
        <v>0.115191730631622</v>
      </c>
      <c r="AI216" s="2606" t="n">
        <f aca="false">AH216+0.0005</f>
        <v>0.115691730631622</v>
      </c>
      <c r="AJ216" s="2606" t="n">
        <f aca="false">AH216-0.0005</f>
        <v>0.114691730631622</v>
      </c>
      <c r="AK216" s="2315" t="n">
        <f aca="false">IF(AND(дома!$Z$29&gt;=AJ216,дома!$Z$29&lt;=AI216),связи1!AG216,0)</f>
        <v>0</v>
      </c>
      <c r="AL216" s="2315" t="n">
        <f aca="false">IF(AND(дома!$AA$29&gt;=AJ216,дома!$AA$29&lt;=AI216),связи1!AG216,0)</f>
        <v>0</v>
      </c>
    </row>
    <row r="217" customFormat="false" ht="14.5" hidden="false" customHeight="false" outlineLevel="0" collapsed="false">
      <c r="A217" s="2315" t="s">
        <v>4021</v>
      </c>
      <c r="B217" s="2315" t="str">
        <f aca="false">A217</f>
        <v>Монолит, бетон, 250мм, 1 слой</v>
      </c>
      <c r="C217" s="2315" t="n">
        <v>300</v>
      </c>
      <c r="D217" s="2315"/>
      <c r="F217" s="2613" t="str">
        <f aca="false">'Прайс лист'!B582</f>
        <v>ГПН 122х35-1,2</v>
      </c>
      <c r="G217" s="2614" t="n">
        <f aca="false">'Прайс лист'!G582</f>
        <v>131</v>
      </c>
      <c r="H217" s="2613" t="n">
        <v>0.12</v>
      </c>
      <c r="J217" s="2315"/>
      <c r="AG217" s="2315" t="n">
        <v>6.7</v>
      </c>
      <c r="AH217" s="2606" t="n">
        <f aca="false">AG217*3.1415926535897/180</f>
        <v>0.116937059883617</v>
      </c>
      <c r="AI217" s="2606" t="n">
        <f aca="false">AH217+0.0005</f>
        <v>0.117437059883617</v>
      </c>
      <c r="AJ217" s="2606" t="n">
        <f aca="false">AH217-0.0005</f>
        <v>0.116437059883617</v>
      </c>
      <c r="AK217" s="2315" t="n">
        <f aca="false">IF(AND(дома!$Z$29&gt;=AJ217,дома!$Z$29&lt;=AI217),связи1!AG217,0)</f>
        <v>0</v>
      </c>
      <c r="AL217" s="2315" t="n">
        <f aca="false">IF(AND(дома!$AA$29&gt;=AJ217,дома!$AA$29&lt;=AI217),связи1!AG217,0)</f>
        <v>0</v>
      </c>
    </row>
    <row r="218" customFormat="false" ht="14.5" hidden="false" customHeight="false" outlineLevel="0" collapsed="false">
      <c r="A218" s="2315" t="s">
        <v>4022</v>
      </c>
      <c r="B218" s="2315" t="str">
        <f aca="false">A218</f>
        <v>Монолит, бетон, 200мм, 2 слоя</v>
      </c>
      <c r="C218" s="2315" t="n">
        <v>300</v>
      </c>
      <c r="D218" s="2315"/>
      <c r="F218" s="2613" t="str">
        <f aca="false">'Прайс лист'!B583</f>
        <v>ГПН 122х35-1,5</v>
      </c>
      <c r="G218" s="2614" t="n">
        <f aca="false">'Прайс лист'!G583</f>
        <v>163</v>
      </c>
      <c r="H218" s="2613" t="n">
        <v>0.12</v>
      </c>
      <c r="J218" s="2315"/>
      <c r="AG218" s="2315" t="n">
        <v>6.80000000000001</v>
      </c>
      <c r="AH218" s="2606" t="n">
        <f aca="false">AG218*3.1415926535897/180</f>
        <v>0.118682389135611</v>
      </c>
      <c r="AI218" s="2606" t="n">
        <f aca="false">AH218+0.0005</f>
        <v>0.119182389135611</v>
      </c>
      <c r="AJ218" s="2606" t="n">
        <f aca="false">AH218-0.0005</f>
        <v>0.118182389135611</v>
      </c>
      <c r="AK218" s="2315" t="n">
        <f aca="false">IF(AND(дома!$Z$29&gt;=AJ218,дома!$Z$29&lt;=AI218),связи1!AG218,0)</f>
        <v>0</v>
      </c>
      <c r="AL218" s="2315" t="n">
        <f aca="false">IF(AND(дома!$AA$29&gt;=AJ218,дома!$AA$29&lt;=AI218),связи1!AG218,0)</f>
        <v>0</v>
      </c>
    </row>
    <row r="219" customFormat="false" ht="14.5" hidden="false" customHeight="false" outlineLevel="0" collapsed="false">
      <c r="A219" s="2315" t="s">
        <v>4023</v>
      </c>
      <c r="B219" s="2315" t="str">
        <f aca="false">A219</f>
        <v>Монолит, бетон, 200мм, 1 слой</v>
      </c>
      <c r="C219" s="2315" t="n">
        <v>300</v>
      </c>
      <c r="D219" s="2315"/>
      <c r="F219" s="2613" t="str">
        <f aca="false">'Прайс лист'!B584</f>
        <v>ГПН 122х35-2,0</v>
      </c>
      <c r="G219" s="2614" t="n">
        <f aca="false">'Прайс лист'!G584</f>
        <v>216</v>
      </c>
      <c r="H219" s="2613" t="n">
        <v>0.12</v>
      </c>
      <c r="J219" s="2315"/>
      <c r="AG219" s="2315" t="n">
        <v>6.90000000000001</v>
      </c>
      <c r="AH219" s="2606" t="n">
        <f aca="false">AG219*3.1415926535897/180</f>
        <v>0.120427718387605</v>
      </c>
      <c r="AI219" s="2606" t="n">
        <f aca="false">AH219+0.0005</f>
        <v>0.120927718387605</v>
      </c>
      <c r="AJ219" s="2606" t="n">
        <f aca="false">AH219-0.0005</f>
        <v>0.119927718387605</v>
      </c>
      <c r="AK219" s="2315" t="n">
        <f aca="false">IF(AND(дома!$Z$29&gt;=AJ219,дома!$Z$29&lt;=AI219),связи1!AG219,0)</f>
        <v>0</v>
      </c>
      <c r="AL219" s="2315" t="n">
        <f aca="false">IF(AND(дома!$AA$29&gt;=AJ219,дома!$AA$29&lt;=AI219),связи1!AG219,0)</f>
        <v>0</v>
      </c>
    </row>
    <row r="220" customFormat="false" ht="14.5" hidden="false" customHeight="false" outlineLevel="0" collapsed="false">
      <c r="A220" s="2315" t="s">
        <v>4024</v>
      </c>
      <c r="B220" s="2315" t="str">
        <f aca="false">A220</f>
        <v>Монолит, бетон, 150мм, 2 слоя</v>
      </c>
      <c r="C220" s="2315" t="n">
        <v>250</v>
      </c>
      <c r="D220" s="2315"/>
      <c r="F220" s="2613" t="str">
        <f aca="false">'Прайс лист'!B585</f>
        <v>ГПН 152х35-1,2</v>
      </c>
      <c r="G220" s="2614" t="n">
        <f aca="false">'Прайс лист'!G585</f>
        <v>163</v>
      </c>
      <c r="H220" s="2613" t="n">
        <v>0.15</v>
      </c>
      <c r="J220" s="2315"/>
      <c r="AG220" s="2315" t="n">
        <v>7.00000000000001</v>
      </c>
      <c r="AH220" s="2606" t="n">
        <f aca="false">AG220*3.1415926535897/180</f>
        <v>0.1221730476396</v>
      </c>
      <c r="AI220" s="2606" t="n">
        <f aca="false">AH220+0.0005</f>
        <v>0.1226730476396</v>
      </c>
      <c r="AJ220" s="2606" t="n">
        <f aca="false">AH220-0.0005</f>
        <v>0.1216730476396</v>
      </c>
      <c r="AK220" s="2315" t="n">
        <f aca="false">IF(AND(дома!$Z$29&gt;=AJ220,дома!$Z$29&lt;=AI220),связи1!AG220,0)</f>
        <v>0</v>
      </c>
      <c r="AL220" s="2315" t="n">
        <f aca="false">IF(AND(дома!$AA$29&gt;=AJ220,дома!$AA$29&lt;=AI220),связи1!AG220,0)</f>
        <v>0</v>
      </c>
    </row>
    <row r="221" customFormat="false" ht="14.5" hidden="false" customHeight="false" outlineLevel="0" collapsed="false">
      <c r="A221" s="2315" t="s">
        <v>4025</v>
      </c>
      <c r="B221" s="2315" t="str">
        <f aca="false">A221</f>
        <v>Монолит, бетон, 150мм, 1 слой</v>
      </c>
      <c r="C221" s="2315" t="n">
        <v>250</v>
      </c>
      <c r="D221" s="2315"/>
      <c r="F221" s="2613" t="str">
        <f aca="false">'Прайс лист'!B586</f>
        <v>ГПН 152х35-1,5</v>
      </c>
      <c r="G221" s="2614" t="n">
        <f aca="false">'Прайс лист'!G586</f>
        <v>203</v>
      </c>
      <c r="H221" s="2613" t="n">
        <v>0.15</v>
      </c>
      <c r="J221" s="2315"/>
      <c r="AG221" s="2315" t="n">
        <v>7.1</v>
      </c>
      <c r="AH221" s="2606" t="n">
        <f aca="false">AG221*3.1415926535897/180</f>
        <v>0.123918376891594</v>
      </c>
      <c r="AI221" s="2606" t="n">
        <f aca="false">AH221+0.0005</f>
        <v>0.124418376891594</v>
      </c>
      <c r="AJ221" s="2606" t="n">
        <f aca="false">AH221-0.0005</f>
        <v>0.123418376891594</v>
      </c>
      <c r="AK221" s="2315" t="n">
        <f aca="false">IF(AND(дома!$Z$29&gt;=AJ221,дома!$Z$29&lt;=AI221),связи1!AG221,0)</f>
        <v>0</v>
      </c>
      <c r="AL221" s="2315" t="n">
        <f aca="false">IF(AND(дома!$AA$29&gt;=AJ221,дома!$AA$29&lt;=AI221),связи1!AG221,0)</f>
        <v>0</v>
      </c>
    </row>
    <row r="222" customFormat="false" ht="14.5" hidden="false" customHeight="false" outlineLevel="0" collapsed="false">
      <c r="A222" s="2315" t="s">
        <v>131</v>
      </c>
      <c r="B222" s="2315" t="str">
        <f aca="false">A222</f>
        <v>Плита перекрытия ЖБИ</v>
      </c>
      <c r="C222" s="2315" t="n">
        <v>250</v>
      </c>
      <c r="D222" s="2315"/>
      <c r="F222" s="2613" t="str">
        <f aca="false">'Прайс лист'!B587</f>
        <v>ГПН 152х35-2,0</v>
      </c>
      <c r="G222" s="2614" t="n">
        <f aca="false">'Прайс лист'!G587</f>
        <v>259</v>
      </c>
      <c r="H222" s="2613" t="n">
        <v>0.15</v>
      </c>
      <c r="J222" s="2315"/>
      <c r="AG222" s="2315" t="n">
        <v>7.20000000000001</v>
      </c>
      <c r="AH222" s="2606" t="n">
        <f aca="false">AG222*3.1415926535897/180</f>
        <v>0.125663706143588</v>
      </c>
      <c r="AI222" s="2606" t="n">
        <f aca="false">AH222+0.0005</f>
        <v>0.126163706143588</v>
      </c>
      <c r="AJ222" s="2606" t="n">
        <f aca="false">AH222-0.0005</f>
        <v>0.125163706143588</v>
      </c>
      <c r="AK222" s="2315" t="n">
        <f aca="false">IF(AND(дома!$Z$29&gt;=AJ222,дома!$Z$29&lt;=AI222),связи1!AG222,0)</f>
        <v>0</v>
      </c>
      <c r="AL222" s="2315" t="n">
        <f aca="false">IF(AND(дома!$AA$29&gt;=AJ222,дома!$AA$29&lt;=AI222),связи1!AG222,0)</f>
        <v>0</v>
      </c>
    </row>
    <row r="223" customFormat="false" ht="14.5" hidden="false" customHeight="false" outlineLevel="0" collapsed="false">
      <c r="A223" s="2315" t="s">
        <v>243</v>
      </c>
      <c r="B223" s="2315" t="str">
        <f aca="false">A223</f>
        <v>Двутавровая деревянная балка, 400*65мм</v>
      </c>
      <c r="C223" s="2315"/>
      <c r="D223" s="2362" t="n">
        <f aca="false">'Прайс лист'!G274</f>
        <v>303</v>
      </c>
      <c r="F223" s="2613" t="str">
        <f aca="false">'Прайс лист'!B588</f>
        <v>ГПН 172х35-1,2</v>
      </c>
      <c r="G223" s="2614" t="n">
        <f aca="false">'Прайс лист'!G588</f>
        <v>166</v>
      </c>
      <c r="H223" s="2613" t="n">
        <v>0.17</v>
      </c>
      <c r="J223" s="2315"/>
      <c r="AG223" s="2315" t="n">
        <v>7.30000000000001</v>
      </c>
      <c r="AH223" s="2606" t="n">
        <f aca="false">AG223*3.1415926535897/180</f>
        <v>0.127409035395582</v>
      </c>
      <c r="AI223" s="2606" t="n">
        <f aca="false">AH223+0.0005</f>
        <v>0.127909035395582</v>
      </c>
      <c r="AJ223" s="2606" t="n">
        <f aca="false">AH223-0.0005</f>
        <v>0.126909035395582</v>
      </c>
      <c r="AK223" s="2315" t="n">
        <f aca="false">IF(AND(дома!$Z$29&gt;=AJ223,дома!$Z$29&lt;=AI223),связи1!AG223,0)</f>
        <v>0</v>
      </c>
      <c r="AL223" s="2315" t="n">
        <f aca="false">IF(AND(дома!$AA$29&gt;=AJ223,дома!$AA$29&lt;=AI223),связи1!AG223,0)</f>
        <v>0</v>
      </c>
    </row>
    <row r="224" customFormat="false" ht="14.5" hidden="false" customHeight="false" outlineLevel="0" collapsed="false">
      <c r="A224" s="2315" t="s">
        <v>244</v>
      </c>
      <c r="B224" s="2315" t="str">
        <f aca="false">A224</f>
        <v>Двутавровая деревянная балка, 400*90мм</v>
      </c>
      <c r="C224" s="2315"/>
      <c r="D224" s="2362" t="n">
        <f aca="false">'Прайс лист'!G275</f>
        <v>355</v>
      </c>
      <c r="F224" s="2613" t="str">
        <f aca="false">'Прайс лист'!B589</f>
        <v>ГПН 172х35-1,5</v>
      </c>
      <c r="G224" s="2614" t="n">
        <f aca="false">'Прайс лист'!G589</f>
        <v>207</v>
      </c>
      <c r="H224" s="2613" t="n">
        <v>0.17</v>
      </c>
      <c r="J224" s="2315"/>
      <c r="AG224" s="2315" t="n">
        <v>7.40000000000001</v>
      </c>
      <c r="AH224" s="2606" t="n">
        <f aca="false">AG224*3.1415926535897/180</f>
        <v>0.129154364647577</v>
      </c>
      <c r="AI224" s="2606" t="n">
        <f aca="false">AH224+0.0005</f>
        <v>0.129654364647577</v>
      </c>
      <c r="AJ224" s="2606" t="n">
        <f aca="false">AH224-0.0005</f>
        <v>0.128654364647577</v>
      </c>
      <c r="AK224" s="2315" t="n">
        <f aca="false">IF(AND(дома!$Z$29&gt;=AJ224,дома!$Z$29&lt;=AI224),связи1!AG224,0)</f>
        <v>0</v>
      </c>
      <c r="AL224" s="2315" t="n">
        <f aca="false">IF(AND(дома!$AA$29&gt;=AJ224,дома!$AA$29&lt;=AI224),связи1!AG224,0)</f>
        <v>0</v>
      </c>
    </row>
    <row r="225" customFormat="false" ht="14.5" hidden="false" customHeight="false" outlineLevel="0" collapsed="false">
      <c r="A225" s="2315" t="s">
        <v>245</v>
      </c>
      <c r="B225" s="2315" t="str">
        <f aca="false">A225</f>
        <v>Двутавровая деревянная балка, 350*65мм</v>
      </c>
      <c r="C225" s="2315"/>
      <c r="D225" s="2362" t="n">
        <f aca="false">'Прайс лист'!G276</f>
        <v>287</v>
      </c>
      <c r="F225" s="2613" t="str">
        <f aca="false">'Прайс лист'!B590</f>
        <v>ГПН 172х35-2,0</v>
      </c>
      <c r="G225" s="2614" t="n">
        <f aca="false">'Прайс лист'!G590</f>
        <v>274</v>
      </c>
      <c r="H225" s="2613" t="n">
        <v>0.17</v>
      </c>
      <c r="J225" s="2315"/>
      <c r="AG225" s="2315" t="n">
        <v>7.50000000000001</v>
      </c>
      <c r="AH225" s="2606" t="n">
        <f aca="false">AG225*3.1415926535897/180</f>
        <v>0.130899693899571</v>
      </c>
      <c r="AI225" s="2606" t="n">
        <f aca="false">AH225+0.0005</f>
        <v>0.131399693899571</v>
      </c>
      <c r="AJ225" s="2606" t="n">
        <f aca="false">AH225-0.0005</f>
        <v>0.130399693899571</v>
      </c>
      <c r="AK225" s="2315" t="n">
        <f aca="false">IF(AND(дома!$Z$29&gt;=AJ225,дома!$Z$29&lt;=AI225),связи1!AG225,0)</f>
        <v>0</v>
      </c>
      <c r="AL225" s="2315" t="n">
        <f aca="false">IF(AND(дома!$AA$29&gt;=AJ225,дома!$AA$29&lt;=AI225),связи1!AG225,0)</f>
        <v>0</v>
      </c>
    </row>
    <row r="226" customFormat="false" ht="14.5" hidden="false" customHeight="false" outlineLevel="0" collapsed="false">
      <c r="A226" s="2315" t="s">
        <v>246</v>
      </c>
      <c r="B226" s="2315" t="str">
        <f aca="false">A226</f>
        <v>Двутавровая деревянная балка, 350*90мм</v>
      </c>
      <c r="C226" s="2315"/>
      <c r="D226" s="2362" t="n">
        <f aca="false">'Прайс лист'!G277</f>
        <v>315</v>
      </c>
      <c r="F226" s="2613" t="str">
        <f aca="false">'Прайс лист'!B591</f>
        <v>ГПН 202х35-1,2</v>
      </c>
      <c r="G226" s="2614" t="n">
        <f aca="false">'Прайс лист'!G591</f>
        <v>201</v>
      </c>
      <c r="H226" s="2613" t="n">
        <v>0.2</v>
      </c>
      <c r="J226" s="2315"/>
      <c r="AG226" s="2315" t="n">
        <v>7.60000000000001</v>
      </c>
      <c r="AH226" s="2606" t="n">
        <f aca="false">AG226*3.1415926535897/180</f>
        <v>0.132645023151565</v>
      </c>
      <c r="AI226" s="2606" t="n">
        <f aca="false">AH226+0.0005</f>
        <v>0.133145023151565</v>
      </c>
      <c r="AJ226" s="2606" t="n">
        <f aca="false">AH226-0.0005</f>
        <v>0.132145023151565</v>
      </c>
      <c r="AK226" s="2315" t="n">
        <f aca="false">IF(AND(дома!$Z$29&gt;=AJ226,дома!$Z$29&lt;=AI226),связи1!AG226,0)</f>
        <v>0</v>
      </c>
      <c r="AL226" s="2315" t="n">
        <f aca="false">IF(AND(дома!$AA$29&gt;=AJ226,дома!$AA$29&lt;=AI226),связи1!AG226,0)</f>
        <v>0</v>
      </c>
    </row>
    <row r="227" customFormat="false" ht="14.5" hidden="false" customHeight="false" outlineLevel="0" collapsed="false">
      <c r="A227" s="2315" t="s">
        <v>247</v>
      </c>
      <c r="B227" s="2315" t="str">
        <f aca="false">A227</f>
        <v>Двутавровая деревянная балка, 300*65мм</v>
      </c>
      <c r="C227" s="2315"/>
      <c r="D227" s="2362" t="n">
        <f aca="false">'Прайс лист'!G278</f>
        <v>273</v>
      </c>
      <c r="F227" s="2613" t="str">
        <f aca="false">'Прайс лист'!B592</f>
        <v>ГПН 202х35-1,5</v>
      </c>
      <c r="G227" s="2614" t="n">
        <f aca="false">'Прайс лист'!G592</f>
        <v>252</v>
      </c>
      <c r="H227" s="2613" t="n">
        <v>0.2</v>
      </c>
      <c r="J227" s="2315"/>
      <c r="AG227" s="2315" t="n">
        <v>7.70000000000001</v>
      </c>
      <c r="AH227" s="2606" t="n">
        <f aca="false">AG227*3.1415926535897/180</f>
        <v>0.13439035240356</v>
      </c>
      <c r="AI227" s="2606" t="n">
        <f aca="false">AH227+0.0005</f>
        <v>0.13489035240356</v>
      </c>
      <c r="AJ227" s="2606" t="n">
        <f aca="false">AH227-0.0005</f>
        <v>0.13389035240356</v>
      </c>
      <c r="AK227" s="2315" t="n">
        <f aca="false">IF(AND(дома!$Z$29&gt;=AJ227,дома!$Z$29&lt;=AI227),связи1!AG227,0)</f>
        <v>0</v>
      </c>
      <c r="AL227" s="2315" t="n">
        <f aca="false">IF(AND(дома!$AA$29&gt;=AJ227,дома!$AA$29&lt;=AI227),связи1!AG227,0)</f>
        <v>0</v>
      </c>
    </row>
    <row r="228" customFormat="false" ht="14.5" hidden="false" customHeight="false" outlineLevel="0" collapsed="false">
      <c r="A228" s="2315" t="s">
        <v>248</v>
      </c>
      <c r="B228" s="2315" t="str">
        <f aca="false">A228</f>
        <v>Двутавровая деревянная балка, 300*90мм</v>
      </c>
      <c r="C228" s="2315"/>
      <c r="D228" s="2362" t="n">
        <f aca="false">'Прайс лист'!G279</f>
        <v>315</v>
      </c>
      <c r="F228" s="2613" t="str">
        <f aca="false">'Прайс лист'!B593</f>
        <v>ГПН 202х35-2,0</v>
      </c>
      <c r="G228" s="2614" t="n">
        <f aca="false">'Прайс лист'!G593</f>
        <v>318</v>
      </c>
      <c r="H228" s="2613" t="n">
        <v>0.2</v>
      </c>
      <c r="J228" s="2315"/>
      <c r="AG228" s="2315" t="n">
        <v>7.80000000000001</v>
      </c>
      <c r="AH228" s="2606" t="n">
        <f aca="false">AG228*3.1415926535897/180</f>
        <v>0.136135681655554</v>
      </c>
      <c r="AI228" s="2606" t="n">
        <f aca="false">AH228+0.0005</f>
        <v>0.136635681655554</v>
      </c>
      <c r="AJ228" s="2606" t="n">
        <f aca="false">AH228-0.0005</f>
        <v>0.135635681655554</v>
      </c>
      <c r="AK228" s="2315" t="n">
        <f aca="false">IF(AND(дома!$Z$29&gt;=AJ228,дома!$Z$29&lt;=AI228),связи1!AG228,0)</f>
        <v>0</v>
      </c>
      <c r="AL228" s="2315" t="n">
        <f aca="false">IF(AND(дома!$AA$29&gt;=AJ228,дома!$AA$29&lt;=AI228),связи1!AG228,0)</f>
        <v>0</v>
      </c>
    </row>
    <row r="229" customFormat="false" ht="14.5" hidden="false" customHeight="false" outlineLevel="0" collapsed="false">
      <c r="A229" s="2315" t="s">
        <v>249</v>
      </c>
      <c r="B229" s="2315" t="str">
        <f aca="false">A229</f>
        <v>Двутавровая деревянная балка, 240*65мм</v>
      </c>
      <c r="C229" s="2315"/>
      <c r="D229" s="2362" t="n">
        <f aca="false">'Прайс лист'!G280</f>
        <v>263</v>
      </c>
      <c r="F229" s="2613" t="str">
        <f aca="false">'Прайс лист'!B594</f>
        <v>ГПН 252х35-1,2</v>
      </c>
      <c r="G229" s="2614" t="n">
        <f aca="false">'Прайс лист'!G594</f>
        <v>226</v>
      </c>
      <c r="H229" s="2613" t="n">
        <v>0.25</v>
      </c>
      <c r="J229" s="2315"/>
      <c r="AG229" s="2315" t="n">
        <v>7.90000000000001</v>
      </c>
      <c r="AH229" s="2606" t="n">
        <f aca="false">AG229*3.1415926535897/180</f>
        <v>0.137881010907548</v>
      </c>
      <c r="AI229" s="2606" t="n">
        <f aca="false">AH229+0.0005</f>
        <v>0.138381010907548</v>
      </c>
      <c r="AJ229" s="2606" t="n">
        <f aca="false">AH229-0.0005</f>
        <v>0.137381010907548</v>
      </c>
      <c r="AK229" s="2315" t="n">
        <f aca="false">IF(AND(дома!$Z$29&gt;=AJ229,дома!$Z$29&lt;=AI229),связи1!AG229,0)</f>
        <v>0</v>
      </c>
      <c r="AL229" s="2315" t="n">
        <f aca="false">IF(AND(дома!$AA$29&gt;=AJ229,дома!$AA$29&lt;=AI229),связи1!AG229,0)</f>
        <v>0</v>
      </c>
    </row>
    <row r="230" customFormat="false" ht="14.5" hidden="false" customHeight="false" outlineLevel="0" collapsed="false">
      <c r="A230" s="2315" t="s">
        <v>250</v>
      </c>
      <c r="B230" s="2315" t="str">
        <f aca="false">A230</f>
        <v>Двутавровая деревянная балка, 240*90мм</v>
      </c>
      <c r="C230" s="2315"/>
      <c r="D230" s="2362" t="n">
        <f aca="false">'Прайс лист'!G281</f>
        <v>291</v>
      </c>
      <c r="F230" s="2613" t="str">
        <f aca="false">'Прайс лист'!B595</f>
        <v>ГПН 252х35-1,5</v>
      </c>
      <c r="G230" s="2614" t="n">
        <f aca="false">'Прайс лист'!G595</f>
        <v>283</v>
      </c>
      <c r="H230" s="2613" t="n">
        <v>0.25</v>
      </c>
      <c r="J230" s="2315"/>
      <c r="AG230" s="2315" t="n">
        <v>8.00000000000001</v>
      </c>
      <c r="AH230" s="2606" t="n">
        <f aca="false">AG230*3.1415926535897/180</f>
        <v>0.139626340159542</v>
      </c>
      <c r="AI230" s="2606" t="n">
        <f aca="false">AH230+0.0005</f>
        <v>0.140126340159542</v>
      </c>
      <c r="AJ230" s="2606" t="n">
        <f aca="false">AH230-0.0005</f>
        <v>0.139126340159542</v>
      </c>
      <c r="AK230" s="2315" t="n">
        <f aca="false">IF(AND(дома!$Z$29&gt;=AJ230,дома!$Z$29&lt;=AI230),связи1!AG230,0)</f>
        <v>0</v>
      </c>
      <c r="AL230" s="2315" t="n">
        <f aca="false">IF(AND(дома!$AA$29&gt;=AJ230,дома!$AA$29&lt;=AI230),связи1!AG230,0)</f>
        <v>0</v>
      </c>
    </row>
    <row r="231" customFormat="false" ht="14.5" hidden="false" customHeight="false" outlineLevel="0" collapsed="false">
      <c r="A231" s="2315" t="s">
        <v>251</v>
      </c>
      <c r="B231" s="2315" t="str">
        <f aca="false">A231</f>
        <v>Двутавровая деревянная балка, 200*65мм</v>
      </c>
      <c r="C231" s="2315"/>
      <c r="D231" s="2362" t="n">
        <f aca="false">'Прайс лист'!G282</f>
        <v>250</v>
      </c>
      <c r="F231" s="2613" t="str">
        <f aca="false">'Прайс лист'!B596</f>
        <v>ГПН 252х35-2,0</v>
      </c>
      <c r="G231" s="2614" t="n">
        <f aca="false">'Прайс лист'!G596</f>
        <v>378</v>
      </c>
      <c r="H231" s="2613" t="n">
        <v>0.25</v>
      </c>
      <c r="J231" s="2315"/>
      <c r="AG231" s="2315" t="n">
        <v>8.10000000000001</v>
      </c>
      <c r="AH231" s="2606" t="n">
        <f aca="false">AG231*3.1415926535897/180</f>
        <v>0.141371669411537</v>
      </c>
      <c r="AI231" s="2606" t="n">
        <f aca="false">AH231+0.0005</f>
        <v>0.141871669411537</v>
      </c>
      <c r="AJ231" s="2606" t="n">
        <f aca="false">AH231-0.0005</f>
        <v>0.140871669411537</v>
      </c>
      <c r="AK231" s="2315" t="n">
        <f aca="false">IF(AND(дома!$Z$29&gt;=AJ231,дома!$Z$29&lt;=AI231),связи1!AG231,0)</f>
        <v>0</v>
      </c>
      <c r="AL231" s="2315" t="n">
        <f aca="false">IF(AND(дома!$AA$29&gt;=AJ231,дома!$AA$29&lt;=AI231),связи1!AG231,0)</f>
        <v>0</v>
      </c>
    </row>
    <row r="232" customFormat="false" ht="14.5" hidden="false" customHeight="false" outlineLevel="0" collapsed="false">
      <c r="A232" s="2315" t="s">
        <v>252</v>
      </c>
      <c r="B232" s="2315" t="str">
        <f aca="false">A232</f>
        <v>Двутавровая деревянная балка, 200*90мм</v>
      </c>
      <c r="C232" s="2315"/>
      <c r="D232" s="2362" t="n">
        <f aca="false">'Прайс лист'!G283</f>
        <v>280</v>
      </c>
      <c r="F232" s="2613" t="str">
        <f aca="false">'Прайс лист'!B597</f>
        <v>ГПН 282х35-1,2</v>
      </c>
      <c r="G232" s="2614" t="n">
        <f aca="false">'Прайс лист'!G597</f>
        <v>275</v>
      </c>
      <c r="H232" s="2613" t="n">
        <v>0.28</v>
      </c>
      <c r="J232" s="2315"/>
      <c r="AG232" s="2315" t="n">
        <v>8.20000000000001</v>
      </c>
      <c r="AH232" s="2606" t="n">
        <f aca="false">AG232*3.1415926535897/180</f>
        <v>0.143116998663531</v>
      </c>
      <c r="AI232" s="2606" t="n">
        <f aca="false">AH232+0.0005</f>
        <v>0.143616998663531</v>
      </c>
      <c r="AJ232" s="2606" t="n">
        <f aca="false">AH232-0.0005</f>
        <v>0.142616998663531</v>
      </c>
      <c r="AK232" s="2315" t="n">
        <f aca="false">IF(AND(дома!$Z$29&gt;=AJ232,дома!$Z$29&lt;=AI232),связи1!AG232,0)</f>
        <v>0</v>
      </c>
      <c r="AL232" s="2315" t="n">
        <f aca="false">IF(AND(дома!$AA$29&gt;=AJ232,дома!$AA$29&lt;=AI232),связи1!AG232,0)</f>
        <v>0</v>
      </c>
    </row>
    <row r="233" customFormat="false" ht="14.5" hidden="false" customHeight="false" outlineLevel="0" collapsed="false">
      <c r="A233" s="2315" t="s">
        <v>253</v>
      </c>
      <c r="B233" s="2315" t="str">
        <f aca="false">A233</f>
        <v>Двутавровая деревянная балка, 150*65мм</v>
      </c>
      <c r="C233" s="2315"/>
      <c r="D233" s="2362" t="n">
        <f aca="false">'Прайс лист'!G284</f>
        <v>220</v>
      </c>
      <c r="F233" s="2613" t="str">
        <f aca="false">'Прайс лист'!B598</f>
        <v>ГПН 282х35-1,5</v>
      </c>
      <c r="G233" s="2614" t="n">
        <f aca="false">'Прайс лист'!G598</f>
        <v>306</v>
      </c>
      <c r="H233" s="2613" t="n">
        <v>0.28</v>
      </c>
      <c r="J233" s="2315"/>
      <c r="AG233" s="2315" t="n">
        <v>8.30000000000001</v>
      </c>
      <c r="AH233" s="2606" t="n">
        <f aca="false">AG233*3.1415926535897/180</f>
        <v>0.144862327915525</v>
      </c>
      <c r="AI233" s="2606" t="n">
        <f aca="false">AH233+0.0005</f>
        <v>0.145362327915525</v>
      </c>
      <c r="AJ233" s="2606" t="n">
        <f aca="false">AH233-0.0005</f>
        <v>0.144362327915525</v>
      </c>
      <c r="AK233" s="2315" t="n">
        <f aca="false">IF(AND(дома!$Z$29&gt;=AJ233,дома!$Z$29&lt;=AI233),связи1!AG233,0)</f>
        <v>0</v>
      </c>
      <c r="AL233" s="2315" t="n">
        <f aca="false">IF(AND(дома!$AA$29&gt;=AJ233,дома!$AA$29&lt;=AI233),связи1!AG233,0)</f>
        <v>0</v>
      </c>
    </row>
    <row r="234" customFormat="false" ht="14.5" hidden="false" customHeight="false" outlineLevel="0" collapsed="false">
      <c r="A234" s="2315" t="s">
        <v>254</v>
      </c>
      <c r="B234" s="2315" t="str">
        <f aca="false">A234</f>
        <v>Двутавровая деревянная балка, 150*90мм</v>
      </c>
      <c r="C234" s="2315"/>
      <c r="D234" s="2362" t="n">
        <f aca="false">'Прайс лист'!G285</f>
        <v>250</v>
      </c>
      <c r="F234" s="2613" t="str">
        <f aca="false">'Прайс лист'!B599</f>
        <v>ГПН 282х35-2,0</v>
      </c>
      <c r="G234" s="2614" t="n">
        <f aca="false">'Прайс лист'!G599</f>
        <v>407</v>
      </c>
      <c r="H234" s="2613" t="n">
        <v>0.28</v>
      </c>
      <c r="J234" s="2315"/>
      <c r="AG234" s="2315" t="n">
        <v>8.40000000000001</v>
      </c>
      <c r="AH234" s="2606" t="n">
        <f aca="false">AG234*3.1415926535897/180</f>
        <v>0.146607657167519</v>
      </c>
      <c r="AI234" s="2606" t="n">
        <f aca="false">AH234+0.0005</f>
        <v>0.14710765716752</v>
      </c>
      <c r="AJ234" s="2606" t="n">
        <f aca="false">AH234-0.0005</f>
        <v>0.14610765716752</v>
      </c>
      <c r="AK234" s="2315" t="n">
        <f aca="false">IF(AND(дома!$Z$29&gt;=AJ234,дома!$Z$29&lt;=AI234),связи1!AG234,0)</f>
        <v>0</v>
      </c>
      <c r="AL234" s="2315" t="n">
        <f aca="false">IF(AND(дома!$AA$29&gt;=AJ234,дома!$AA$29&lt;=AI234),связи1!AG234,0)</f>
        <v>0</v>
      </c>
    </row>
    <row r="235" customFormat="false" ht="14.5" hidden="false" customHeight="false" outlineLevel="0" collapsed="false">
      <c r="A235" s="2615" t="str">
        <f aca="false">'Прайс лист'!B558</f>
        <v>ГПС 100х50-1,2</v>
      </c>
      <c r="B235" s="2615" t="str">
        <f aca="false">A235</f>
        <v>ГПС 100х50-1,2</v>
      </c>
      <c r="C235" s="2613" t="n">
        <v>0.1</v>
      </c>
      <c r="D235" s="2614" t="n">
        <f aca="false">'Прайс лист'!G558</f>
        <v>163</v>
      </c>
      <c r="F235" s="2315"/>
      <c r="H235" s="2616"/>
      <c r="I235" s="2362"/>
      <c r="AG235" s="2315" t="n">
        <v>8.50000000000001</v>
      </c>
      <c r="AH235" s="2606" t="n">
        <f aca="false">AG235*3.1415926535897/180</f>
        <v>0.148352986419514</v>
      </c>
      <c r="AI235" s="2606" t="n">
        <f aca="false">AH235+0.0005</f>
        <v>0.148852986419514</v>
      </c>
      <c r="AJ235" s="2606" t="n">
        <f aca="false">AH235-0.0005</f>
        <v>0.147852986419514</v>
      </c>
      <c r="AK235" s="2315" t="n">
        <f aca="false">IF(AND(дома!$Z$29&gt;=AJ235,дома!$Z$29&lt;=AI235),связи1!AG235,0)</f>
        <v>0</v>
      </c>
      <c r="AL235" s="2315" t="n">
        <f aca="false">IF(AND(дома!$AA$29&gt;=AJ235,дома!$AA$29&lt;=AI235),связи1!AG235,0)</f>
        <v>0</v>
      </c>
    </row>
    <row r="236" customFormat="false" ht="14.5" hidden="false" customHeight="false" outlineLevel="0" collapsed="false">
      <c r="A236" s="2615" t="str">
        <f aca="false">'Прайс лист'!B559</f>
        <v>ГПС 100х50-1,5</v>
      </c>
      <c r="B236" s="2615" t="str">
        <f aca="false">A236</f>
        <v>ГПС 100х50-1,5</v>
      </c>
      <c r="C236" s="2613" t="n">
        <v>0.1</v>
      </c>
      <c r="D236" s="2614" t="n">
        <f aca="false">'Прайс лист'!G559</f>
        <v>204</v>
      </c>
      <c r="F236" s="2315"/>
      <c r="AG236" s="2315" t="n">
        <v>8.60000000000001</v>
      </c>
      <c r="AH236" s="2606" t="n">
        <f aca="false">AG236*3.1415926535897/180</f>
        <v>0.150098315671508</v>
      </c>
      <c r="AI236" s="2606" t="n">
        <f aca="false">AH236+0.0005</f>
        <v>0.150598315671508</v>
      </c>
      <c r="AJ236" s="2606" t="n">
        <f aca="false">AH236-0.0005</f>
        <v>0.149598315671508</v>
      </c>
      <c r="AK236" s="2315" t="n">
        <f aca="false">IF(AND(дома!$Z$29&gt;=AJ236,дома!$Z$29&lt;=AI236),связи1!AG236,0)</f>
        <v>0</v>
      </c>
      <c r="AL236" s="2315" t="n">
        <f aca="false">IF(AND(дома!$AA$29&gt;=AJ236,дома!$AA$29&lt;=AI236),связи1!AG236,0)</f>
        <v>0</v>
      </c>
    </row>
    <row r="237" customFormat="false" ht="14.5" hidden="false" customHeight="false" outlineLevel="0" collapsed="false">
      <c r="A237" s="2615" t="str">
        <f aca="false">'Прайс лист'!B562</f>
        <v>ГПС 120х50-1,5</v>
      </c>
      <c r="B237" s="2615" t="str">
        <f aca="false">A237</f>
        <v>ГПС 120х50-1,5</v>
      </c>
      <c r="C237" s="2613" t="n">
        <v>0.1</v>
      </c>
      <c r="D237" s="2614" t="n">
        <f aca="false">'Прайс лист'!G560</f>
        <v>272</v>
      </c>
      <c r="F237" s="2315"/>
      <c r="J237" s="2617" t="s">
        <v>1783</v>
      </c>
      <c r="K237" s="896" t="n">
        <v>0</v>
      </c>
      <c r="AG237" s="2315" t="n">
        <v>8.70000000000001</v>
      </c>
      <c r="AH237" s="2606" t="n">
        <f aca="false">AG237*3.1415926535897/180</f>
        <v>0.151843644923502</v>
      </c>
      <c r="AI237" s="2606" t="n">
        <f aca="false">AH237+0.0005</f>
        <v>0.152343644923502</v>
      </c>
      <c r="AJ237" s="2606" t="n">
        <f aca="false">AH237-0.0005</f>
        <v>0.151343644923502</v>
      </c>
      <c r="AK237" s="2315" t="n">
        <f aca="false">IF(AND(дома!$Z$29&gt;=AJ237,дома!$Z$29&lt;=AI237),связи1!AG237,0)</f>
        <v>0</v>
      </c>
      <c r="AL237" s="2315" t="n">
        <f aca="false">IF(AND(дома!$AA$29&gt;=AJ237,дома!$AA$29&lt;=AI237),связи1!AG237,0)</f>
        <v>0</v>
      </c>
    </row>
    <row r="238" customFormat="false" ht="14.5" hidden="false" customHeight="false" outlineLevel="0" collapsed="false">
      <c r="A238" s="2615" t="str">
        <f aca="false">'Прайс лист'!B563</f>
        <v>ГПС 120х50-2,0</v>
      </c>
      <c r="B238" s="2615" t="str">
        <f aca="false">A238</f>
        <v>ГПС 120х50-2,0</v>
      </c>
      <c r="C238" s="2613" t="n">
        <v>0.12</v>
      </c>
      <c r="D238" s="2614" t="n">
        <f aca="false">'Прайс лист'!G561</f>
        <v>179</v>
      </c>
      <c r="F238" s="2315"/>
      <c r="J238" s="2315" t="s">
        <v>4355</v>
      </c>
      <c r="K238" s="2315" t="n">
        <f aca="false">'Прайс лист'!G294</f>
        <v>6500</v>
      </c>
      <c r="L238" s="2315"/>
      <c r="AG238" s="2315" t="n">
        <v>8.80000000000001</v>
      </c>
      <c r="AH238" s="2606" t="n">
        <f aca="false">AG238*3.1415926535897/180</f>
        <v>0.153588974175497</v>
      </c>
      <c r="AI238" s="2606" t="n">
        <f aca="false">AH238+0.0005</f>
        <v>0.154088974175497</v>
      </c>
      <c r="AJ238" s="2606" t="n">
        <f aca="false">AH238-0.0005</f>
        <v>0.153088974175497</v>
      </c>
      <c r="AK238" s="2315" t="n">
        <f aca="false">IF(AND(дома!$Z$29&gt;=AJ238,дома!$Z$29&lt;=AI238),связи1!AG238,0)</f>
        <v>0</v>
      </c>
      <c r="AL238" s="2315" t="n">
        <f aca="false">IF(AND(дома!$AA$29&gt;=AJ238,дома!$AA$29&lt;=AI238),связи1!AG238,0)</f>
        <v>0</v>
      </c>
    </row>
    <row r="239" customFormat="false" ht="14.5" hidden="false" customHeight="false" outlineLevel="0" collapsed="false">
      <c r="A239" s="2615" t="str">
        <f aca="false">'Прайс лист'!B564</f>
        <v>ГПС 150х50-1,2</v>
      </c>
      <c r="B239" s="2615" t="str">
        <f aca="false">A239</f>
        <v>ГПС 150х50-1,2</v>
      </c>
      <c r="C239" s="2613" t="n">
        <v>0.12</v>
      </c>
      <c r="D239" s="2614" t="n">
        <f aca="false">'Прайс лист'!G562</f>
        <v>224</v>
      </c>
      <c r="F239" s="2315"/>
      <c r="J239" s="2315" t="s">
        <v>4356</v>
      </c>
      <c r="K239" s="2315" t="n">
        <f aca="false">'Прайс лист'!G319</f>
        <v>9000</v>
      </c>
      <c r="L239" s="2315"/>
      <c r="AG239" s="2315" t="n">
        <v>8.90000000000001</v>
      </c>
      <c r="AH239" s="2606" t="n">
        <f aca="false">AG239*3.1415926535897/180</f>
        <v>0.155334303427491</v>
      </c>
      <c r="AI239" s="2606" t="n">
        <f aca="false">AH239+0.0005</f>
        <v>0.155834303427491</v>
      </c>
      <c r="AJ239" s="2606" t="n">
        <f aca="false">AH239-0.0005</f>
        <v>0.154834303427491</v>
      </c>
      <c r="AK239" s="2315" t="n">
        <f aca="false">IF(AND(дома!$Z$29&gt;=AJ239,дома!$Z$29&lt;=AI239),связи1!AG239,0)</f>
        <v>0</v>
      </c>
      <c r="AL239" s="2315" t="n">
        <f aca="false">IF(AND(дома!$AA$29&gt;=AJ239,дома!$AA$29&lt;=AI239),связи1!AG239,0)</f>
        <v>0</v>
      </c>
    </row>
    <row r="240" customFormat="false" ht="14.5" hidden="false" customHeight="false" outlineLevel="0" collapsed="false">
      <c r="A240" s="2615" t="str">
        <f aca="false">'Прайс лист'!B565</f>
        <v>ГПС 150х50-1,5</v>
      </c>
      <c r="B240" s="2615" t="str">
        <f aca="false">A240</f>
        <v>ГПС 150х50-1,5</v>
      </c>
      <c r="C240" s="2613" t="n">
        <v>0.12</v>
      </c>
      <c r="D240" s="2614" t="n">
        <f aca="false">'Прайс лист'!G563</f>
        <v>299</v>
      </c>
      <c r="F240" s="2315"/>
      <c r="J240" s="2315" t="s">
        <v>4357</v>
      </c>
      <c r="K240" s="2315" t="n">
        <f aca="false">'Прайс лист'!G310</f>
        <v>12500</v>
      </c>
      <c r="L240" s="2315"/>
      <c r="AG240" s="2315" t="n">
        <v>9.00000000000001</v>
      </c>
      <c r="AH240" s="2606" t="n">
        <f aca="false">AG240*3.1415926535897/180</f>
        <v>0.157079632679485</v>
      </c>
      <c r="AI240" s="2606" t="n">
        <f aca="false">AH240+0.0005</f>
        <v>0.157579632679485</v>
      </c>
      <c r="AJ240" s="2606" t="n">
        <f aca="false">AH240-0.0005</f>
        <v>0.156579632679485</v>
      </c>
      <c r="AK240" s="2315" t="n">
        <f aca="false">IF(AND(дома!$Z$29&gt;=AJ240,дома!$Z$29&lt;=AI240),связи1!AG240,0)</f>
        <v>0</v>
      </c>
      <c r="AL240" s="2315" t="n">
        <f aca="false">IF(AND(дома!$AA$29&gt;=AJ240,дома!$AA$29&lt;=AI240),связи1!AG240,0)</f>
        <v>0</v>
      </c>
    </row>
    <row r="241" customFormat="false" ht="14.5" hidden="false" customHeight="false" outlineLevel="0" collapsed="false">
      <c r="A241" s="2615" t="str">
        <f aca="false">'Прайс лист'!B566</f>
        <v>ГПС 150х50-2,0</v>
      </c>
      <c r="B241" s="2615" t="str">
        <f aca="false">A241</f>
        <v>ГПС 150х50-2,0</v>
      </c>
      <c r="C241" s="2613" t="n">
        <v>0.15</v>
      </c>
      <c r="D241" s="2614" t="n">
        <f aca="false">'Прайс лист'!G564</f>
        <v>201</v>
      </c>
      <c r="F241" s="2315"/>
      <c r="J241" s="2618" t="str">
        <f aca="false">'Прайс лист'!B630</f>
        <v>ГПО 30-0,7</v>
      </c>
      <c r="K241" s="2614" t="n">
        <f aca="false">'Прайс лист'!G630</f>
        <v>58</v>
      </c>
      <c r="AG241" s="2315" t="n">
        <v>9.10000000000001</v>
      </c>
      <c r="AH241" s="2606" t="n">
        <f aca="false">AG241*3.1415926535897/180</f>
        <v>0.158824961931479</v>
      </c>
      <c r="AI241" s="2606" t="n">
        <f aca="false">AH241+0.0005</f>
        <v>0.159324961931479</v>
      </c>
      <c r="AJ241" s="2606" t="n">
        <f aca="false">AH241-0.0005</f>
        <v>0.158324961931479</v>
      </c>
      <c r="AK241" s="2315" t="n">
        <f aca="false">IF(AND(дома!$Z$29&gt;=AJ241,дома!$Z$29&lt;=AI241),связи1!AG241,0)</f>
        <v>0</v>
      </c>
      <c r="AL241" s="2315" t="n">
        <f aca="false">IF(AND(дома!$AA$29&gt;=AJ241,дома!$AA$29&lt;=AI241),связи1!AG241,0)</f>
        <v>0</v>
      </c>
    </row>
    <row r="242" customFormat="false" ht="14.5" hidden="false" customHeight="false" outlineLevel="0" collapsed="false">
      <c r="A242" s="2615" t="str">
        <f aca="false">'Прайс лист'!B567</f>
        <v>ГПС 170х50-1,2</v>
      </c>
      <c r="B242" s="2615" t="str">
        <f aca="false">A242</f>
        <v>ГПС 170х50-1,2</v>
      </c>
      <c r="C242" s="2613" t="n">
        <v>0.15</v>
      </c>
      <c r="D242" s="2614" t="n">
        <f aca="false">'Прайс лист'!G565</f>
        <v>252</v>
      </c>
      <c r="F242" s="2315"/>
      <c r="J242" s="2618" t="str">
        <f aca="false">'Прайс лист'!B631</f>
        <v>ГПО 30-1,2</v>
      </c>
      <c r="K242" s="2614" t="n">
        <f aca="false">'Прайс лист'!G631</f>
        <v>100</v>
      </c>
      <c r="S242" s="2321"/>
      <c r="T242" s="2619"/>
      <c r="U242" s="2619"/>
      <c r="V242" s="2619"/>
      <c r="W242" s="2619"/>
      <c r="X242" s="2619"/>
      <c r="Y242" s="2619"/>
      <c r="Z242" s="2619"/>
      <c r="AG242" s="2315" t="n">
        <v>9.20000000000001</v>
      </c>
      <c r="AH242" s="2606" t="n">
        <f aca="false">AG242*3.1415926535897/180</f>
        <v>0.160570291183474</v>
      </c>
      <c r="AI242" s="2606" t="n">
        <f aca="false">AH242+0.0005</f>
        <v>0.161070291183474</v>
      </c>
      <c r="AJ242" s="2606" t="n">
        <f aca="false">AH242-0.0005</f>
        <v>0.160070291183474</v>
      </c>
      <c r="AK242" s="2315" t="n">
        <f aca="false">IF(AND(дома!$Z$29&gt;=AJ242,дома!$Z$29&lt;=AI242),связи1!AG242,0)</f>
        <v>0</v>
      </c>
      <c r="AL242" s="2315" t="n">
        <f aca="false">IF(AND(дома!$AA$29&gt;=AJ242,дома!$AA$29&lt;=AI242),связи1!AG242,0)</f>
        <v>0</v>
      </c>
    </row>
    <row r="243" customFormat="false" ht="14.5" hidden="false" customHeight="false" outlineLevel="0" collapsed="false">
      <c r="A243" s="2615" t="str">
        <f aca="false">'Прайс лист'!B568</f>
        <v>ГПС 170х50-1,5</v>
      </c>
      <c r="B243" s="2615" t="str">
        <f aca="false">A243</f>
        <v>ГПС 170х50-1,5</v>
      </c>
      <c r="C243" s="2613" t="n">
        <v>0.15</v>
      </c>
      <c r="D243" s="2614" t="n">
        <f aca="false">'Прайс лист'!G566</f>
        <v>330</v>
      </c>
      <c r="F243" s="2315"/>
      <c r="J243" s="2618" t="str">
        <f aca="false">'Прайс лист'!B632</f>
        <v>ГПО 30-1,5</v>
      </c>
      <c r="K243" s="2614" t="n">
        <f aca="false">'Прайс лист'!G632</f>
        <v>125</v>
      </c>
      <c r="S243" s="2321"/>
      <c r="T243" s="2619"/>
      <c r="U243" s="2619"/>
      <c r="V243" s="2619"/>
      <c r="W243" s="2619"/>
      <c r="X243" s="2619"/>
      <c r="Y243" s="2619"/>
      <c r="Z243" s="2619"/>
      <c r="AG243" s="2315" t="n">
        <v>9.30000000000001</v>
      </c>
      <c r="AH243" s="2606" t="n">
        <f aca="false">AG243*3.1415926535897/180</f>
        <v>0.162315620435468</v>
      </c>
      <c r="AI243" s="2606" t="n">
        <f aca="false">AH243+0.0005</f>
        <v>0.162815620435468</v>
      </c>
      <c r="AJ243" s="2606" t="n">
        <f aca="false">AH243-0.0005</f>
        <v>0.161815620435468</v>
      </c>
      <c r="AK243" s="2315" t="n">
        <f aca="false">IF(AND(дома!$Z$29&gt;=AJ243,дома!$Z$29&lt;=AI243),связи1!AG243,0)</f>
        <v>0</v>
      </c>
      <c r="AL243" s="2315" t="n">
        <f aca="false">IF(AND(дома!$AA$29&gt;=AJ243,дома!$AA$29&lt;=AI243),связи1!AG243,0)</f>
        <v>0</v>
      </c>
    </row>
    <row r="244" customFormat="false" ht="14.5" hidden="false" customHeight="false" outlineLevel="0" collapsed="false">
      <c r="A244" s="2615" t="str">
        <f aca="false">'Прайс лист'!B569</f>
        <v>ГПС 170х50-2,0</v>
      </c>
      <c r="B244" s="2615" t="str">
        <f aca="false">A244</f>
        <v>ГПС 170х50-2,0</v>
      </c>
      <c r="C244" s="2613" t="n">
        <v>0.17</v>
      </c>
      <c r="D244" s="2614" t="n">
        <f aca="false">'Прайс лист'!G567</f>
        <v>215</v>
      </c>
      <c r="F244" s="2315"/>
      <c r="J244" s="2618" t="str">
        <f aca="false">'Прайс лист'!B633</f>
        <v>ГПО 35-0,7</v>
      </c>
      <c r="K244" s="2614" t="n">
        <f aca="false">'Прайс лист'!G633</f>
        <v>64</v>
      </c>
      <c r="S244" s="2321"/>
      <c r="T244" s="2619"/>
      <c r="U244" s="2619"/>
      <c r="V244" s="2619"/>
      <c r="W244" s="2619"/>
      <c r="X244" s="2619"/>
      <c r="Y244" s="2619"/>
      <c r="Z244" s="2619"/>
      <c r="AG244" s="2315" t="n">
        <v>9.40000000000001</v>
      </c>
      <c r="AH244" s="2606" t="n">
        <f aca="false">AG244*3.1415926535897/180</f>
        <v>0.164060949687462</v>
      </c>
      <c r="AI244" s="2606" t="n">
        <f aca="false">AH244+0.0005</f>
        <v>0.164560949687462</v>
      </c>
      <c r="AJ244" s="2606" t="n">
        <f aca="false">AH244-0.0005</f>
        <v>0.163560949687462</v>
      </c>
      <c r="AK244" s="2315" t="n">
        <f aca="false">IF(AND(дома!$Z$29&gt;=AJ244,дома!$Z$29&lt;=AI244),связи1!AG244,0)</f>
        <v>0</v>
      </c>
      <c r="AL244" s="2315" t="n">
        <f aca="false">IF(AND(дома!$AA$29&gt;=AJ244,дома!$AA$29&lt;=AI244),связи1!AG244,0)</f>
        <v>0</v>
      </c>
    </row>
    <row r="245" customFormat="false" ht="14.5" hidden="false" customHeight="false" outlineLevel="0" collapsed="false">
      <c r="A245" s="2615" t="str">
        <f aca="false">'Прайс лист'!B570</f>
        <v>ГПС 200х50-1,2</v>
      </c>
      <c r="B245" s="2615" t="str">
        <f aca="false">A245</f>
        <v>ГПС 200х50-1,2</v>
      </c>
      <c r="C245" s="2613" t="n">
        <v>0.17</v>
      </c>
      <c r="D245" s="2614" t="n">
        <f aca="false">'Прайс лист'!G568</f>
        <v>269</v>
      </c>
      <c r="F245" s="2315"/>
      <c r="J245" s="2618" t="str">
        <f aca="false">'Прайс лист'!B634</f>
        <v>ГПО 35-1,2</v>
      </c>
      <c r="K245" s="2614" t="n">
        <f aca="false">'Прайс лист'!G634</f>
        <v>110</v>
      </c>
      <c r="S245" s="2620"/>
      <c r="T245" s="2619"/>
      <c r="U245" s="2619"/>
      <c r="V245" s="2619"/>
      <c r="W245" s="2619"/>
      <c r="X245" s="2619"/>
      <c r="Y245" s="2619"/>
      <c r="Z245" s="2619"/>
      <c r="AG245" s="2315" t="n">
        <v>9.50000000000001</v>
      </c>
      <c r="AH245" s="2606" t="n">
        <f aca="false">AG245*3.1415926535897/180</f>
        <v>0.165806278939457</v>
      </c>
      <c r="AI245" s="2606" t="n">
        <f aca="false">AH245+0.0005</f>
        <v>0.166306278939457</v>
      </c>
      <c r="AJ245" s="2606" t="n">
        <f aca="false">AH245-0.0005</f>
        <v>0.165306278939457</v>
      </c>
      <c r="AK245" s="2315" t="n">
        <f aca="false">IF(AND(дома!$Z$29&gt;=AJ245,дома!$Z$29&lt;=AI245),связи1!AG245,0)</f>
        <v>0</v>
      </c>
      <c r="AL245" s="2315" t="n">
        <f aca="false">IF(AND(дома!$AA$29&gt;=AJ245,дома!$AA$29&lt;=AI245),связи1!AG245,0)</f>
        <v>0</v>
      </c>
    </row>
    <row r="246" customFormat="false" ht="14.5" hidden="false" customHeight="false" outlineLevel="0" collapsed="false">
      <c r="A246" s="2615" t="str">
        <f aca="false">'Прайс лист'!B571</f>
        <v>ГПС 200х50-1,5</v>
      </c>
      <c r="B246" s="2615" t="str">
        <f aca="false">A246</f>
        <v>ГПС 200х50-1,5</v>
      </c>
      <c r="C246" s="2613" t="n">
        <v>0.17</v>
      </c>
      <c r="D246" s="2614" t="n">
        <f aca="false">'Прайс лист'!G569</f>
        <v>358</v>
      </c>
      <c r="F246" s="2315"/>
      <c r="J246" s="2618" t="str">
        <f aca="false">'Прайс лист'!B635</f>
        <v>ГПО 35-1,5</v>
      </c>
      <c r="K246" s="2614" t="n">
        <f aca="false">'Прайс лист'!G635</f>
        <v>127</v>
      </c>
      <c r="Q246" s="2621" t="s">
        <v>36</v>
      </c>
      <c r="R246" s="2622" t="n">
        <v>0.031</v>
      </c>
      <c r="S246" s="2622" t="n">
        <v>32.25</v>
      </c>
      <c r="T246" s="2601" t="n">
        <v>160</v>
      </c>
      <c r="U246" s="2601" t="n">
        <v>5161.3</v>
      </c>
      <c r="V246" s="2619"/>
      <c r="W246" s="2619"/>
      <c r="X246" s="2619"/>
      <c r="Y246" s="2619"/>
      <c r="Z246" s="2619"/>
      <c r="AG246" s="2315" t="n">
        <v>9.60000000000001</v>
      </c>
      <c r="AH246" s="2606" t="n">
        <f aca="false">AG246*3.1415926535897/180</f>
        <v>0.167551608191451</v>
      </c>
      <c r="AI246" s="2606" t="n">
        <f aca="false">AH246+0.0005</f>
        <v>0.168051608191451</v>
      </c>
      <c r="AJ246" s="2606" t="n">
        <f aca="false">AH246-0.0005</f>
        <v>0.167051608191451</v>
      </c>
      <c r="AK246" s="2315" t="n">
        <f aca="false">IF(AND(дома!$Z$29&gt;=AJ246,дома!$Z$29&lt;=AI246),связи1!AG246,0)</f>
        <v>0</v>
      </c>
      <c r="AL246" s="2315" t="n">
        <f aca="false">IF(AND(дома!$AA$29&gt;=AJ246,дома!$AA$29&lt;=AI246),связи1!AG246,0)</f>
        <v>0</v>
      </c>
    </row>
    <row r="247" customFormat="false" ht="14.5" hidden="false" customHeight="false" outlineLevel="0" collapsed="false">
      <c r="A247" s="2615" t="str">
        <f aca="false">'Прайс лист'!B572</f>
        <v>ГПС 200х50-2,0</v>
      </c>
      <c r="B247" s="2615" t="str">
        <f aca="false">A247</f>
        <v>ГПС 200х50-2,0</v>
      </c>
      <c r="C247" s="2613" t="n">
        <v>0.2</v>
      </c>
      <c r="D247" s="2614" t="n">
        <f aca="false">'Прайс лист'!G570</f>
        <v>239</v>
      </c>
      <c r="F247" s="2315"/>
      <c r="J247" s="2618" t="str">
        <f aca="false">'Прайс лист'!B636</f>
        <v>ГПО 35-2,0</v>
      </c>
      <c r="K247" s="2614" t="n">
        <f aca="false">'Прайс лист'!G636</f>
        <v>169</v>
      </c>
      <c r="Q247" s="2621" t="s">
        <v>14</v>
      </c>
      <c r="R247" s="2622" t="n">
        <v>0.047</v>
      </c>
      <c r="S247" s="2622" t="n">
        <v>21.27</v>
      </c>
      <c r="T247" s="2601" t="n">
        <v>310</v>
      </c>
      <c r="U247" s="2601" t="n">
        <v>6595.74</v>
      </c>
      <c r="V247" s="2619"/>
      <c r="W247" s="2619"/>
      <c r="X247" s="2619"/>
      <c r="Y247" s="2619"/>
      <c r="Z247" s="2619"/>
      <c r="AG247" s="2315" t="n">
        <v>9.70000000000001</v>
      </c>
      <c r="AH247" s="2606" t="n">
        <f aca="false">AG247*3.1415926535897/180</f>
        <v>0.169296937443445</v>
      </c>
      <c r="AI247" s="2606" t="n">
        <f aca="false">AH247+0.0005</f>
        <v>0.169796937443445</v>
      </c>
      <c r="AJ247" s="2606" t="n">
        <f aca="false">AH247-0.0005</f>
        <v>0.168796937443445</v>
      </c>
      <c r="AK247" s="2315" t="n">
        <f aca="false">IF(AND(дома!$Z$29&gt;=AJ247,дома!$Z$29&lt;=AI247),связи1!AG247,0)</f>
        <v>0</v>
      </c>
      <c r="AL247" s="2315" t="n">
        <f aca="false">IF(AND(дома!$AA$29&gt;=AJ247,дома!$AA$29&lt;=AI247),связи1!AG247,0)</f>
        <v>0</v>
      </c>
    </row>
    <row r="248" customFormat="false" ht="14.5" hidden="false" customHeight="false" outlineLevel="0" collapsed="false">
      <c r="A248" s="2615" t="str">
        <f aca="false">'Прайс лист'!B573</f>
        <v>ГПС 250х50-1,2</v>
      </c>
      <c r="B248" s="2615" t="str">
        <f aca="false">A248</f>
        <v>ГПС 250х50-1,2</v>
      </c>
      <c r="C248" s="2613" t="n">
        <v>0.2</v>
      </c>
      <c r="D248" s="2614" t="n">
        <f aca="false">'Прайс лист'!G571</f>
        <v>299</v>
      </c>
      <c r="F248" s="2315"/>
      <c r="J248" s="2618" t="str">
        <f aca="false">'Прайс лист'!B637</f>
        <v>ГПО 50-0,7</v>
      </c>
      <c r="K248" s="2614" t="n">
        <f aca="false">'Прайс лист'!G637</f>
        <v>80</v>
      </c>
      <c r="Q248" s="2621" t="s">
        <v>37</v>
      </c>
      <c r="R248" s="2622" t="n">
        <v>0.036</v>
      </c>
      <c r="S248" s="2622" t="n">
        <v>27.77</v>
      </c>
      <c r="T248" s="2622" t="n">
        <v>242</v>
      </c>
      <c r="U248" s="2622" t="n">
        <v>6720.34</v>
      </c>
      <c r="V248" s="2619"/>
      <c r="W248" s="2619"/>
      <c r="X248" s="2619"/>
      <c r="Y248" s="2619"/>
      <c r="Z248" s="2619"/>
      <c r="AG248" s="2315" t="n">
        <v>9.80000000000001</v>
      </c>
      <c r="AH248" s="2606" t="n">
        <f aca="false">AG248*3.1415926535897/180</f>
        <v>0.171042266695439</v>
      </c>
      <c r="AI248" s="2606" t="n">
        <f aca="false">AH248+0.0005</f>
        <v>0.171542266695439</v>
      </c>
      <c r="AJ248" s="2606" t="n">
        <f aca="false">AH248-0.0005</f>
        <v>0.170542266695439</v>
      </c>
      <c r="AK248" s="2315" t="n">
        <f aca="false">IF(AND(дома!$Z$29&gt;=AJ248,дома!$Z$29&lt;=AI248),связи1!AG248,0)</f>
        <v>0</v>
      </c>
      <c r="AL248" s="2315" t="n">
        <f aca="false">IF(AND(дома!$AA$29&gt;=AJ248,дома!$AA$29&lt;=AI248),связи1!AG248,0)</f>
        <v>0</v>
      </c>
    </row>
    <row r="249" customFormat="false" ht="14.5" hidden="false" customHeight="false" outlineLevel="0" collapsed="false">
      <c r="A249" s="2615" t="str">
        <f aca="false">'Прайс лист'!B574</f>
        <v>ГПС 250х50-1,5</v>
      </c>
      <c r="B249" s="2615" t="str">
        <f aca="false">A249</f>
        <v>ГПС 250х50-1,5</v>
      </c>
      <c r="C249" s="2613" t="n">
        <v>0.2</v>
      </c>
      <c r="D249" s="2614" t="n">
        <f aca="false">'Прайс лист'!G572</f>
        <v>397</v>
      </c>
      <c r="F249" s="2315"/>
      <c r="J249" s="2618" t="str">
        <f aca="false">'Прайс лист'!B638</f>
        <v>ГПО 50-1,0</v>
      </c>
      <c r="K249" s="2614" t="n">
        <f aca="false">'Прайс лист'!G638</f>
        <v>111</v>
      </c>
      <c r="Q249" s="2621" t="s">
        <v>22</v>
      </c>
      <c r="R249" s="2622" t="n">
        <v>0.029</v>
      </c>
      <c r="S249" s="2622" t="n">
        <v>34.48</v>
      </c>
      <c r="T249" s="2601" t="n">
        <v>205</v>
      </c>
      <c r="U249" s="2601" t="n">
        <v>7068.96</v>
      </c>
      <c r="V249" s="2619"/>
      <c r="W249" s="2619"/>
      <c r="X249" s="2619"/>
      <c r="Y249" s="2619"/>
      <c r="Z249" s="2619"/>
      <c r="AG249" s="2315" t="n">
        <v>9.90000000000001</v>
      </c>
      <c r="AH249" s="2606" t="n">
        <f aca="false">AG249*3.1415926535897/180</f>
        <v>0.172787595947434</v>
      </c>
      <c r="AI249" s="2606" t="n">
        <f aca="false">AH249+0.0005</f>
        <v>0.173287595947434</v>
      </c>
      <c r="AJ249" s="2606" t="n">
        <f aca="false">AH249-0.0005</f>
        <v>0.172287595947434</v>
      </c>
      <c r="AK249" s="2315" t="n">
        <f aca="false">IF(AND(дома!$Z$29&gt;=AJ249,дома!$Z$29&lt;=AI249),связи1!AG249,0)</f>
        <v>0</v>
      </c>
      <c r="AL249" s="2315" t="n">
        <f aca="false">IF(AND(дома!$AA$29&gt;=AJ249,дома!$AA$29&lt;=AI249),связи1!AG249,0)</f>
        <v>0</v>
      </c>
    </row>
    <row r="250" customFormat="false" ht="14.5" hidden="false" customHeight="false" outlineLevel="0" collapsed="false">
      <c r="A250" s="2615" t="str">
        <f aca="false">'Прайс лист'!B575</f>
        <v>ГПС 250х50-2,0</v>
      </c>
      <c r="B250" s="2615" t="str">
        <f aca="false">A250</f>
        <v>ГПС 250х50-2,0</v>
      </c>
      <c r="C250" s="2613" t="n">
        <v>0.25</v>
      </c>
      <c r="D250" s="2614" t="n">
        <f aca="false">'Прайс лист'!G573</f>
        <v>274</v>
      </c>
      <c r="F250" s="2315"/>
      <c r="J250" s="2618" t="str">
        <f aca="false">'Прайс лист'!B639</f>
        <v>ГПО 50-1,2</v>
      </c>
      <c r="K250" s="2614" t="n">
        <f aca="false">'Прайс лист'!G639</f>
        <v>136</v>
      </c>
      <c r="Q250" s="2622"/>
      <c r="S250" s="2321"/>
      <c r="T250" s="2619"/>
      <c r="U250" s="2619"/>
      <c r="V250" s="2619"/>
      <c r="W250" s="2619"/>
      <c r="X250" s="2619"/>
      <c r="Y250" s="2619"/>
      <c r="Z250" s="2619"/>
      <c r="AG250" s="2315" t="n">
        <v>10</v>
      </c>
      <c r="AH250" s="2606" t="n">
        <f aca="false">AG250*3.1415926535897/180</f>
        <v>0.174532925199428</v>
      </c>
      <c r="AI250" s="2606" t="n">
        <f aca="false">AH250+0.0005</f>
        <v>0.175032925199428</v>
      </c>
      <c r="AJ250" s="2606" t="n">
        <f aca="false">AH250-0.0005</f>
        <v>0.174032925199428</v>
      </c>
      <c r="AK250" s="2315" t="n">
        <f aca="false">IF(AND(дома!$Z$29&gt;=AJ250,дома!$Z$29&lt;=AI250),связи1!AG250,0)</f>
        <v>0</v>
      </c>
      <c r="AL250" s="2315" t="n">
        <f aca="false">IF(AND(дома!$AA$29&gt;=AJ250,дома!$AA$29&lt;=AI250),связи1!AG250,0)</f>
        <v>0</v>
      </c>
    </row>
    <row r="251" customFormat="false" ht="14.5" hidden="false" customHeight="false" outlineLevel="0" collapsed="false">
      <c r="A251" s="2615" t="str">
        <f aca="false">'Прайс лист'!B576</f>
        <v>ГПС 280х50-1,2</v>
      </c>
      <c r="B251" s="2615" t="str">
        <f aca="false">A251</f>
        <v>ГПС 280х50-1,2</v>
      </c>
      <c r="C251" s="2613" t="n">
        <v>0.25</v>
      </c>
      <c r="D251" s="2614" t="n">
        <f aca="false">'Прайс лист'!G574</f>
        <v>344</v>
      </c>
      <c r="F251" s="2315"/>
      <c r="J251" s="2618" t="str">
        <f aca="false">'Прайс лист'!B640</f>
        <v>ГПО 50-1,5</v>
      </c>
      <c r="K251" s="2614" t="n">
        <f aca="false">'Прайс лист'!G640</f>
        <v>169</v>
      </c>
      <c r="Q251" s="2622"/>
      <c r="S251" s="2321"/>
      <c r="T251" s="2619"/>
      <c r="U251" s="2619"/>
      <c r="V251" s="2619"/>
      <c r="W251" s="2619"/>
      <c r="X251" s="2619"/>
      <c r="Y251" s="2619"/>
      <c r="Z251" s="2619"/>
      <c r="AG251" s="2315" t="n">
        <v>10.1</v>
      </c>
      <c r="AH251" s="2606" t="n">
        <f aca="false">AG251*3.1415926535897/180</f>
        <v>0.176278254451422</v>
      </c>
      <c r="AI251" s="2606" t="n">
        <f aca="false">AH251+0.0005</f>
        <v>0.176778254451422</v>
      </c>
      <c r="AJ251" s="2606" t="n">
        <f aca="false">AH251-0.0005</f>
        <v>0.175778254451422</v>
      </c>
      <c r="AK251" s="2315" t="n">
        <f aca="false">IF(AND(дома!$Z$29&gt;=AJ251,дома!$Z$29&lt;=AI251),связи1!AG251,0)</f>
        <v>0</v>
      </c>
      <c r="AL251" s="2315" t="n">
        <f aca="false">IF(AND(дома!$AA$29&gt;=AJ251,дома!$AA$29&lt;=AI251),связи1!AG251,0)</f>
        <v>0</v>
      </c>
    </row>
    <row r="252" customFormat="false" ht="15.5" hidden="false" customHeight="false" outlineLevel="0" collapsed="false">
      <c r="A252" s="2615" t="str">
        <f aca="false">'Прайс лист'!B577</f>
        <v>ГПС 280х50-1,5</v>
      </c>
      <c r="B252" s="2615" t="str">
        <f aca="false">A252</f>
        <v>ГПС 280х50-1,5</v>
      </c>
      <c r="C252" s="2613" t="n">
        <v>0.25</v>
      </c>
      <c r="D252" s="2614" t="n">
        <f aca="false">'Прайс лист'!G575</f>
        <v>450</v>
      </c>
      <c r="F252" s="2315"/>
      <c r="J252" s="2613" t="str">
        <f aca="false">'Прайс лист'!B641</f>
        <v>ГПО 50-2,0</v>
      </c>
      <c r="K252" s="2614" t="n">
        <f aca="false">'Прайс лист'!G641</f>
        <v>226</v>
      </c>
      <c r="Q252" s="2623"/>
      <c r="S252" s="2624"/>
      <c r="T252" s="596"/>
      <c r="U252" s="596"/>
      <c r="V252" s="596"/>
      <c r="W252" s="596"/>
      <c r="X252" s="596"/>
      <c r="Y252" s="596"/>
      <c r="Z252" s="596"/>
      <c r="AG252" s="2315" t="n">
        <v>10.2</v>
      </c>
      <c r="AH252" s="2606" t="n">
        <f aca="false">AG252*3.1415926535897/180</f>
        <v>0.178023583703416</v>
      </c>
      <c r="AI252" s="2606" t="n">
        <f aca="false">AH252+0.0005</f>
        <v>0.178523583703416</v>
      </c>
      <c r="AJ252" s="2606" t="n">
        <f aca="false">AH252-0.0005</f>
        <v>0.177523583703416</v>
      </c>
      <c r="AK252" s="2315" t="n">
        <f aca="false">IF(AND(дома!$Z$29&gt;=AJ252,дома!$Z$29&lt;=AI252),связи1!AG252,0)</f>
        <v>0</v>
      </c>
      <c r="AL252" s="2315" t="n">
        <f aca="false">IF(AND(дома!$AA$29&gt;=AJ252,дома!$AA$29&lt;=AI252),связи1!AG252,0)</f>
        <v>0</v>
      </c>
    </row>
    <row r="253" customFormat="false" ht="14.5" hidden="false" customHeight="false" outlineLevel="0" collapsed="false">
      <c r="A253" s="2615" t="str">
        <f aca="false">'Прайс лист'!B578</f>
        <v>ГПС 280х50-2,0</v>
      </c>
      <c r="B253" s="2615" t="str">
        <f aca="false">A253</f>
        <v>ГПС 280х50-2,0</v>
      </c>
      <c r="C253" s="2613" t="n">
        <v>0.28</v>
      </c>
      <c r="D253" s="2614" t="n">
        <f aca="false">'Прайс лист'!G576</f>
        <v>293</v>
      </c>
      <c r="S253" s="2620"/>
      <c r="T253" s="2619"/>
      <c r="U253" s="2619"/>
      <c r="V253" s="2619"/>
      <c r="W253" s="2619"/>
      <c r="X253" s="2619"/>
      <c r="Y253" s="2619"/>
      <c r="Z253" s="2619"/>
      <c r="AG253" s="2315" t="n">
        <v>10.3</v>
      </c>
      <c r="AH253" s="2606" t="n">
        <f aca="false">AG253*3.1415926535897/180</f>
        <v>0.179768912955411</v>
      </c>
      <c r="AI253" s="2606" t="n">
        <f aca="false">AH253+0.0005</f>
        <v>0.180268912955411</v>
      </c>
      <c r="AJ253" s="2606" t="n">
        <f aca="false">AH253-0.0005</f>
        <v>0.179268912955411</v>
      </c>
      <c r="AK253" s="2315" t="n">
        <f aca="false">IF(AND(дома!$Z$29&gt;=AJ253,дома!$Z$29&lt;=AI253),связи1!AG253,0)</f>
        <v>0</v>
      </c>
      <c r="AL253" s="2315" t="n">
        <f aca="false">IF(AND(дома!$AA$29&gt;=AJ253,дома!$AA$29&lt;=AI253),связи1!AG253,0)</f>
        <v>0</v>
      </c>
    </row>
    <row r="254" customFormat="false" ht="14.5" hidden="false" customHeight="false" outlineLevel="0" collapsed="false">
      <c r="A254" s="2315" t="s">
        <v>4358</v>
      </c>
      <c r="B254" s="2315" t="s">
        <v>293</v>
      </c>
      <c r="C254" s="2315" t="s">
        <v>1800</v>
      </c>
      <c r="D254" s="2600" t="s">
        <v>853</v>
      </c>
      <c r="E254" s="2625" t="s">
        <v>4359</v>
      </c>
      <c r="F254" s="2626" t="s">
        <v>4360</v>
      </c>
      <c r="G254" s="2627" t="s">
        <v>3697</v>
      </c>
      <c r="H254" s="2627" t="s">
        <v>4361</v>
      </c>
      <c r="I254" s="2600" t="s">
        <v>4362</v>
      </c>
      <c r="J254" s="2628" t="s">
        <v>4363</v>
      </c>
      <c r="K254" s="2628" t="s">
        <v>293</v>
      </c>
      <c r="L254" s="2628" t="s">
        <v>1800</v>
      </c>
      <c r="M254" s="2628" t="s">
        <v>853</v>
      </c>
      <c r="N254" s="2628" t="s">
        <v>4364</v>
      </c>
      <c r="O254" s="2628"/>
      <c r="P254" s="2628"/>
      <c r="Q254" s="2315" t="s">
        <v>293</v>
      </c>
      <c r="R254" s="2315" t="s">
        <v>1800</v>
      </c>
      <c r="S254" s="2600" t="s">
        <v>853</v>
      </c>
      <c r="T254" s="2625" t="s">
        <v>4359</v>
      </c>
      <c r="U254" s="2594" t="s">
        <v>4360</v>
      </c>
      <c r="V254" s="2629" t="s">
        <v>3697</v>
      </c>
      <c r="W254" s="2629" t="s">
        <v>4361</v>
      </c>
      <c r="X254" s="2619"/>
      <c r="Y254" s="2619"/>
      <c r="Z254" s="2619"/>
      <c r="AA254" s="2315"/>
      <c r="AB254" s="2628" t="s">
        <v>293</v>
      </c>
      <c r="AC254" s="2628" t="s">
        <v>1800</v>
      </c>
      <c r="AD254" s="2628" t="s">
        <v>853</v>
      </c>
      <c r="AG254" s="2315" t="n">
        <v>10.4</v>
      </c>
      <c r="AH254" s="2606" t="n">
        <f aca="false">AG254*3.1415926535897/180</f>
        <v>0.181514242207405</v>
      </c>
      <c r="AI254" s="2606" t="n">
        <f aca="false">AH254+0.0005</f>
        <v>0.182014242207405</v>
      </c>
      <c r="AJ254" s="2606" t="n">
        <f aca="false">AH254-0.0005</f>
        <v>0.181014242207405</v>
      </c>
      <c r="AK254" s="2315" t="n">
        <f aca="false">IF(AND(дома!$Z$29&gt;=AJ254,дома!$Z$29&lt;=AI254),связи1!AG254,0)</f>
        <v>0</v>
      </c>
      <c r="AL254" s="2315" t="n">
        <f aca="false">IF(AND(дома!$AA$29&gt;=AJ254,дома!$AA$29&lt;=AI254),связи1!AG254,0)</f>
        <v>0</v>
      </c>
    </row>
    <row r="255" customFormat="false" ht="14.5" hidden="false" customHeight="false" outlineLevel="0" collapsed="false">
      <c r="A255" s="2621" t="s">
        <v>4365</v>
      </c>
      <c r="B255" s="2315" t="n">
        <v>200</v>
      </c>
      <c r="C255" s="2315" t="n">
        <v>390</v>
      </c>
      <c r="D255" s="2315" t="n">
        <v>390</v>
      </c>
      <c r="E255" s="2630" t="n">
        <f aca="false">B255*C255*D255/1000000000</f>
        <v>0.03042</v>
      </c>
      <c r="F255" s="2631" t="n">
        <v>7000</v>
      </c>
      <c r="G255" s="2629" t="n">
        <v>2200</v>
      </c>
      <c r="H255" s="2629" t="n">
        <v>450</v>
      </c>
      <c r="I255" s="2621" t="s">
        <v>4366</v>
      </c>
      <c r="J255" s="2621" t="s">
        <v>4367</v>
      </c>
      <c r="K255" s="1002" t="n">
        <v>200</v>
      </c>
      <c r="L255" s="1002" t="n">
        <v>390</v>
      </c>
      <c r="M255" s="1002" t="n">
        <v>590</v>
      </c>
      <c r="N255" s="2621" t="s">
        <v>4368</v>
      </c>
      <c r="O255" s="2621" t="s">
        <v>4369</v>
      </c>
      <c r="P255" s="2621" t="s">
        <v>4370</v>
      </c>
      <c r="Q255" s="2315" t="n">
        <v>200</v>
      </c>
      <c r="R255" s="2315" t="n">
        <v>390</v>
      </c>
      <c r="S255" s="2315" t="n">
        <v>390</v>
      </c>
      <c r="T255" s="2630" t="n">
        <f aca="false">Q255*R255*S255/1000000000</f>
        <v>0.03042</v>
      </c>
      <c r="U255" s="2631" t="n">
        <v>7000</v>
      </c>
      <c r="V255" s="2629" t="n">
        <v>2200</v>
      </c>
      <c r="W255" s="2629" t="n">
        <v>450</v>
      </c>
      <c r="X255" s="2601"/>
      <c r="Y255" s="2601"/>
      <c r="Z255" s="2601"/>
      <c r="AA255" s="2621" t="s">
        <v>15</v>
      </c>
      <c r="AB255" s="2600" t="n">
        <v>200</v>
      </c>
      <c r="AC255" s="2600" t="n">
        <v>390</v>
      </c>
      <c r="AD255" s="2600" t="n">
        <v>194</v>
      </c>
      <c r="AG255" s="2315" t="n">
        <v>10.5</v>
      </c>
      <c r="AH255" s="2606" t="n">
        <f aca="false">AG255*3.1415926535897/180</f>
        <v>0.183259571459399</v>
      </c>
      <c r="AI255" s="2606" t="n">
        <f aca="false">AH255+0.0005</f>
        <v>0.183759571459399</v>
      </c>
      <c r="AJ255" s="2606" t="n">
        <f aca="false">AH255-0.0005</f>
        <v>0.182759571459399</v>
      </c>
      <c r="AK255" s="2315" t="n">
        <f aca="false">IF(AND(дома!$Z$29&gt;=AJ255,дома!$Z$29&lt;=AI255),связи1!AG255,0)</f>
        <v>0</v>
      </c>
      <c r="AL255" s="2315" t="n">
        <f aca="false">IF(AND(дома!$AA$29&gt;=AJ255,дома!$AA$29&lt;=AI255),связи1!AG255,0)</f>
        <v>0</v>
      </c>
    </row>
    <row r="256" customFormat="false" ht="14.5" hidden="false" customHeight="false" outlineLevel="0" collapsed="false">
      <c r="A256" s="2315" t="s">
        <v>4371</v>
      </c>
      <c r="B256" s="2315" t="n">
        <v>198</v>
      </c>
      <c r="C256" s="2315" t="n">
        <v>340</v>
      </c>
      <c r="D256" s="2315" t="n">
        <v>398</v>
      </c>
      <c r="E256" s="2630" t="n">
        <f aca="false">B256*C256*D256/1000000000</f>
        <v>0.02679336</v>
      </c>
      <c r="F256" s="2632" t="n">
        <v>7074.07</v>
      </c>
      <c r="G256" s="2629" t="n">
        <v>2200</v>
      </c>
      <c r="H256" s="2629" t="n">
        <v>450</v>
      </c>
      <c r="I256" s="2315" t="s">
        <v>4372</v>
      </c>
      <c r="J256" s="2315" t="s">
        <v>4373</v>
      </c>
      <c r="K256" s="2622" t="n">
        <v>198</v>
      </c>
      <c r="L256" s="2622" t="n">
        <v>340</v>
      </c>
      <c r="M256" s="1002" t="n">
        <v>538</v>
      </c>
      <c r="N256" s="2315" t="s">
        <v>4374</v>
      </c>
      <c r="O256" s="2315" t="s">
        <v>4375</v>
      </c>
      <c r="P256" s="2315" t="s">
        <v>4376</v>
      </c>
      <c r="Q256" s="2315" t="n">
        <v>198</v>
      </c>
      <c r="R256" s="2315" t="n">
        <v>340</v>
      </c>
      <c r="S256" s="2315" t="n">
        <v>398</v>
      </c>
      <c r="T256" s="2630" t="n">
        <f aca="false">Q256*R256*S256/1000000000</f>
        <v>0.02679336</v>
      </c>
      <c r="U256" s="2632" t="n">
        <v>7074.07</v>
      </c>
      <c r="V256" s="2629" t="n">
        <v>2200</v>
      </c>
      <c r="W256" s="2629" t="n">
        <v>450</v>
      </c>
      <c r="X256" s="2601"/>
      <c r="Y256" s="2601"/>
      <c r="Z256" s="2601"/>
      <c r="AA256" s="2633" t="s">
        <v>20</v>
      </c>
      <c r="AB256" s="2622" t="n">
        <v>198</v>
      </c>
      <c r="AC256" s="2622" t="n">
        <v>340</v>
      </c>
      <c r="AD256" s="2315" t="n">
        <v>198</v>
      </c>
      <c r="AG256" s="2315" t="n">
        <v>10.6</v>
      </c>
      <c r="AH256" s="2606" t="n">
        <f aca="false">AG256*3.1415926535897/180</f>
        <v>0.185004900711393</v>
      </c>
      <c r="AI256" s="2606" t="n">
        <f aca="false">AH256+0.0005</f>
        <v>0.185504900711393</v>
      </c>
      <c r="AJ256" s="2606" t="n">
        <f aca="false">AH256-0.0005</f>
        <v>0.184504900711393</v>
      </c>
      <c r="AK256" s="2315" t="n">
        <f aca="false">IF(AND(дома!$Z$29&gt;=AJ256,дома!$Z$29&lt;=AI256),связи1!AG256,0)</f>
        <v>0</v>
      </c>
      <c r="AL256" s="2315" t="n">
        <f aca="false">IF(AND(дома!$AA$29&gt;=AJ256,дома!$AA$29&lt;=AI256),связи1!AG256,0)</f>
        <v>0</v>
      </c>
    </row>
    <row r="257" customFormat="false" ht="14.5" hidden="false" customHeight="false" outlineLevel="0" collapsed="false">
      <c r="A257" s="2621" t="s">
        <v>4220</v>
      </c>
      <c r="B257" s="2315" t="n">
        <v>200</v>
      </c>
      <c r="C257" s="2315" t="n">
        <v>290</v>
      </c>
      <c r="D257" s="2315" t="n">
        <v>390</v>
      </c>
      <c r="E257" s="2630" t="n">
        <f aca="false">B257*C257*D257/1000000000</f>
        <v>0.02262</v>
      </c>
      <c r="F257" s="2632" t="n">
        <v>7173.91</v>
      </c>
      <c r="G257" s="2629" t="n">
        <v>2200</v>
      </c>
      <c r="H257" s="2629" t="n">
        <v>450</v>
      </c>
      <c r="I257" s="2621" t="s">
        <v>4377</v>
      </c>
      <c r="J257" s="2621" t="s">
        <v>4378</v>
      </c>
      <c r="K257" s="2622" t="n">
        <v>200</v>
      </c>
      <c r="L257" s="2622" t="n">
        <v>290</v>
      </c>
      <c r="M257" s="1002" t="n">
        <v>490</v>
      </c>
      <c r="N257" s="2621" t="s">
        <v>4379</v>
      </c>
      <c r="O257" s="2621" t="s">
        <v>4380</v>
      </c>
      <c r="P257" s="2621" t="s">
        <v>4381</v>
      </c>
      <c r="Q257" s="2315" t="n">
        <v>200</v>
      </c>
      <c r="R257" s="2315" t="n">
        <v>290</v>
      </c>
      <c r="S257" s="2315" t="n">
        <v>390</v>
      </c>
      <c r="T257" s="2630" t="n">
        <f aca="false">Q257*R257*S257/1000000000</f>
        <v>0.02262</v>
      </c>
      <c r="U257" s="2632" t="n">
        <v>7173.91</v>
      </c>
      <c r="V257" s="2629" t="n">
        <v>2200</v>
      </c>
      <c r="W257" s="2629" t="n">
        <v>450</v>
      </c>
      <c r="X257" s="2622"/>
      <c r="Y257" s="2622"/>
      <c r="Z257" s="2622"/>
      <c r="AA257" s="2621" t="s">
        <v>23</v>
      </c>
      <c r="AB257" s="2622" t="n">
        <v>200</v>
      </c>
      <c r="AC257" s="2622" t="n">
        <v>290</v>
      </c>
      <c r="AD257" s="2315" t="n">
        <v>194</v>
      </c>
      <c r="AG257" s="2315" t="n">
        <v>10.7</v>
      </c>
      <c r="AH257" s="2606" t="n">
        <f aca="false">AG257*3.1415926535897/180</f>
        <v>0.186750229963388</v>
      </c>
      <c r="AI257" s="2606" t="n">
        <f aca="false">AH257+0.0005</f>
        <v>0.187250229963388</v>
      </c>
      <c r="AJ257" s="2606" t="n">
        <f aca="false">AH257-0.0005</f>
        <v>0.186250229963388</v>
      </c>
      <c r="AK257" s="2315" t="n">
        <f aca="false">IF(AND(дома!$Z$29&gt;=AJ257,дома!$Z$29&lt;=AI257),связи1!AG257,0)</f>
        <v>0</v>
      </c>
      <c r="AL257" s="2315" t="n">
        <f aca="false">IF(AND(дома!$AA$29&gt;=AJ257,дома!$AA$29&lt;=AI257),связи1!AG257,0)</f>
        <v>0</v>
      </c>
    </row>
    <row r="258" customFormat="false" ht="14.5" hidden="false" customHeight="false" outlineLevel="0" collapsed="false">
      <c r="A258" s="2621" t="s">
        <v>4382</v>
      </c>
      <c r="B258" s="2315" t="n">
        <v>200</v>
      </c>
      <c r="C258" s="2315" t="n">
        <v>400</v>
      </c>
      <c r="D258" s="2315" t="n">
        <v>390</v>
      </c>
      <c r="E258" s="2630" t="n">
        <f aca="false">B258*C258*D258/1000000000</f>
        <v>0.0312</v>
      </c>
      <c r="F258" s="2632" t="n">
        <v>6125</v>
      </c>
      <c r="G258" s="2629" t="n">
        <v>2200</v>
      </c>
      <c r="H258" s="2629" t="n">
        <v>450</v>
      </c>
      <c r="I258" s="2621" t="s">
        <v>4383</v>
      </c>
      <c r="J258" s="2621" t="s">
        <v>4384</v>
      </c>
      <c r="K258" s="2622" t="n">
        <v>200</v>
      </c>
      <c r="L258" s="2622" t="n">
        <v>400</v>
      </c>
      <c r="M258" s="1002" t="n">
        <v>600</v>
      </c>
      <c r="N258" s="2621" t="s">
        <v>4385</v>
      </c>
      <c r="O258" s="2621" t="s">
        <v>4386</v>
      </c>
      <c r="P258" s="2621" t="s">
        <v>4387</v>
      </c>
      <c r="Q258" s="2315" t="n">
        <v>200</v>
      </c>
      <c r="R258" s="2315" t="n">
        <v>400</v>
      </c>
      <c r="S258" s="2315" t="n">
        <v>390</v>
      </c>
      <c r="T258" s="2630" t="n">
        <f aca="false">Q258*R258*S258/1000000000</f>
        <v>0.0312</v>
      </c>
      <c r="U258" s="2632" t="n">
        <v>6125</v>
      </c>
      <c r="V258" s="2629" t="n">
        <v>2200</v>
      </c>
      <c r="W258" s="2629" t="n">
        <v>450</v>
      </c>
      <c r="X258" s="2601"/>
      <c r="Y258" s="2601"/>
      <c r="Z258" s="2601"/>
      <c r="AA258" s="2621" t="s">
        <v>27</v>
      </c>
      <c r="AB258" s="2622" t="n">
        <v>200</v>
      </c>
      <c r="AC258" s="2622" t="n">
        <v>400</v>
      </c>
      <c r="AD258" s="2315" t="n">
        <v>194</v>
      </c>
      <c r="AG258" s="2315" t="n">
        <v>10.8</v>
      </c>
      <c r="AH258" s="2606" t="n">
        <f aca="false">AG258*3.1415926535897/180</f>
        <v>0.188495559215382</v>
      </c>
      <c r="AI258" s="2606" t="n">
        <f aca="false">AH258+0.0005</f>
        <v>0.188995559215382</v>
      </c>
      <c r="AJ258" s="2606" t="n">
        <f aca="false">AH258-0.0005</f>
        <v>0.187995559215382</v>
      </c>
      <c r="AK258" s="2315" t="n">
        <f aca="false">IF(AND(дома!$Z$29&gt;=AJ258,дома!$Z$29&lt;=AI258),связи1!AG258,0)</f>
        <v>0</v>
      </c>
      <c r="AL258" s="2315" t="n">
        <f aca="false">IF(AND(дома!$AA$29&gt;=AJ258,дома!$AA$29&lt;=AI258),связи1!AG258,0)</f>
        <v>0</v>
      </c>
    </row>
    <row r="259" customFormat="false" ht="14.5" hidden="false" customHeight="false" outlineLevel="0" collapsed="false">
      <c r="A259" s="2621" t="s">
        <v>4388</v>
      </c>
      <c r="B259" s="2315" t="n">
        <v>198</v>
      </c>
      <c r="C259" s="2315" t="n">
        <v>350</v>
      </c>
      <c r="D259" s="2315" t="n">
        <v>398</v>
      </c>
      <c r="E259" s="2630" t="n">
        <f aca="false">B259*C259*D259/1000000000</f>
        <v>0.0275814</v>
      </c>
      <c r="F259" s="2631" t="n">
        <v>5713.6</v>
      </c>
      <c r="G259" s="2629" t="n">
        <v>2200</v>
      </c>
      <c r="H259" s="2629" t="n">
        <v>450</v>
      </c>
      <c r="I259" s="2621" t="s">
        <v>4389</v>
      </c>
      <c r="J259" s="2621" t="s">
        <v>4390</v>
      </c>
      <c r="K259" s="2622" t="n">
        <v>198</v>
      </c>
      <c r="L259" s="2622" t="n">
        <v>350</v>
      </c>
      <c r="M259" s="1002" t="n">
        <v>548</v>
      </c>
      <c r="N259" s="2621" t="s">
        <v>4391</v>
      </c>
      <c r="O259" s="2621" t="s">
        <v>4392</v>
      </c>
      <c r="P259" s="2621" t="s">
        <v>4393</v>
      </c>
      <c r="Q259" s="2315" t="n">
        <v>198</v>
      </c>
      <c r="R259" s="2315" t="n">
        <v>350</v>
      </c>
      <c r="S259" s="2315" t="n">
        <v>398</v>
      </c>
      <c r="T259" s="2630" t="n">
        <f aca="false">Q259*R259*S259/1000000000</f>
        <v>0.0275814</v>
      </c>
      <c r="U259" s="2631" t="n">
        <v>5713.6</v>
      </c>
      <c r="V259" s="2629" t="n">
        <v>2200</v>
      </c>
      <c r="W259" s="2629" t="n">
        <v>450</v>
      </c>
      <c r="X259" s="2619"/>
      <c r="Y259" s="2619"/>
      <c r="Z259" s="2619"/>
      <c r="AA259" s="2621" t="s">
        <v>30</v>
      </c>
      <c r="AB259" s="2622" t="n">
        <v>198</v>
      </c>
      <c r="AC259" s="2622" t="n">
        <v>350</v>
      </c>
      <c r="AD259" s="2315" t="n">
        <v>198</v>
      </c>
      <c r="AG259" s="2315" t="n">
        <v>10.9</v>
      </c>
      <c r="AH259" s="2606" t="n">
        <f aca="false">AG259*3.1415926535897/180</f>
        <v>0.190240888467376</v>
      </c>
      <c r="AI259" s="2606" t="n">
        <f aca="false">AH259+0.0005</f>
        <v>0.190740888467376</v>
      </c>
      <c r="AJ259" s="2606" t="n">
        <f aca="false">AH259-0.0005</f>
        <v>0.189740888467376</v>
      </c>
      <c r="AK259" s="2315" t="n">
        <f aca="false">IF(AND(дома!$Z$29&gt;=AJ259,дома!$Z$29&lt;=AI259),связи1!AG259,0)</f>
        <v>0</v>
      </c>
      <c r="AL259" s="2315" t="n">
        <f aca="false">IF(AND(дома!$AA$29&gt;=AJ259,дома!$AA$29&lt;=AI259),связи1!AG259,0)</f>
        <v>0</v>
      </c>
    </row>
    <row r="260" customFormat="false" ht="14.5" hidden="false" customHeight="false" outlineLevel="0" collapsed="false">
      <c r="A260" s="2621" t="s">
        <v>4394</v>
      </c>
      <c r="B260" s="2315" t="n">
        <v>200</v>
      </c>
      <c r="C260" s="2315" t="n">
        <v>300</v>
      </c>
      <c r="D260" s="2315" t="n">
        <v>390</v>
      </c>
      <c r="E260" s="2630" t="n">
        <f aca="false">B260*C260*D260/1000000000</f>
        <v>0.0234</v>
      </c>
      <c r="F260" s="2632" t="n">
        <v>6250</v>
      </c>
      <c r="G260" s="2629" t="n">
        <v>2200</v>
      </c>
      <c r="H260" s="2629" t="n">
        <v>450</v>
      </c>
      <c r="I260" s="2621" t="s">
        <v>4395</v>
      </c>
      <c r="J260" s="2621" t="s">
        <v>4396</v>
      </c>
      <c r="K260" s="2622" t="n">
        <v>200</v>
      </c>
      <c r="L260" s="2622" t="n">
        <v>300</v>
      </c>
      <c r="M260" s="2622" t="n">
        <v>500</v>
      </c>
      <c r="N260" s="2621" t="s">
        <v>4397</v>
      </c>
      <c r="O260" s="2621" t="s">
        <v>4398</v>
      </c>
      <c r="P260" s="2621" t="s">
        <v>4399</v>
      </c>
      <c r="Q260" s="2315" t="n">
        <v>200</v>
      </c>
      <c r="R260" s="2315" t="n">
        <v>300</v>
      </c>
      <c r="S260" s="2315" t="n">
        <v>390</v>
      </c>
      <c r="T260" s="2630" t="n">
        <f aca="false">Q260*R260*S260/1000000000</f>
        <v>0.0234</v>
      </c>
      <c r="U260" s="2632" t="n">
        <v>6250</v>
      </c>
      <c r="V260" s="2629" t="n">
        <v>2200</v>
      </c>
      <c r="W260" s="2629" t="n">
        <v>450</v>
      </c>
      <c r="X260" s="2619"/>
      <c r="Y260" s="2619"/>
      <c r="Z260" s="2619"/>
      <c r="AA260" s="2621" t="s">
        <v>33</v>
      </c>
      <c r="AB260" s="2601" t="n">
        <v>200</v>
      </c>
      <c r="AC260" s="2601" t="n">
        <v>300</v>
      </c>
      <c r="AD260" s="2315" t="n">
        <v>194</v>
      </c>
      <c r="AG260" s="2315" t="n">
        <v>11</v>
      </c>
      <c r="AH260" s="2606" t="n">
        <f aca="false">AG260*3.1415926535897/180</f>
        <v>0.191986217719371</v>
      </c>
      <c r="AI260" s="2606" t="n">
        <f aca="false">AH260+0.0005</f>
        <v>0.192486217719371</v>
      </c>
      <c r="AJ260" s="2606" t="n">
        <f aca="false">AH260-0.0005</f>
        <v>0.191486217719371</v>
      </c>
      <c r="AK260" s="2315" t="n">
        <f aca="false">IF(AND(дома!$Z$29&gt;=AJ260,дома!$Z$29&lt;=AI260),связи1!AG260,0)</f>
        <v>0</v>
      </c>
      <c r="AL260" s="2315" t="n">
        <f aca="false">IF(AND(дома!$AA$29&gt;=AJ260,дома!$AA$29&lt;=AI260),связи1!AG260,0)</f>
        <v>0</v>
      </c>
    </row>
    <row r="261" customFormat="false" ht="14.5" hidden="false" customHeight="false" outlineLevel="0" collapsed="false">
      <c r="A261" s="2621" t="s">
        <v>4400</v>
      </c>
      <c r="B261" s="2315" t="n">
        <v>200</v>
      </c>
      <c r="C261" s="2315" t="n">
        <v>390</v>
      </c>
      <c r="D261" s="2315" t="n">
        <v>390</v>
      </c>
      <c r="E261" s="2630" t="n">
        <f aca="false">B261*C261*D261/1000000000</f>
        <v>0.03042</v>
      </c>
      <c r="F261" s="2631" t="n">
        <v>4419.35</v>
      </c>
      <c r="G261" s="2629" t="n">
        <v>2200</v>
      </c>
      <c r="H261" s="2629" t="n">
        <v>450</v>
      </c>
      <c r="I261" s="2621" t="s">
        <v>4366</v>
      </c>
      <c r="J261" s="2621" t="s">
        <v>4367</v>
      </c>
      <c r="K261" s="2622" t="n">
        <v>200</v>
      </c>
      <c r="L261" s="2622" t="n">
        <v>390</v>
      </c>
      <c r="M261" s="2622" t="n">
        <v>590</v>
      </c>
      <c r="N261" s="2621" t="s">
        <v>4401</v>
      </c>
      <c r="O261" s="2621" t="s">
        <v>4402</v>
      </c>
      <c r="P261" s="2621" t="s">
        <v>4370</v>
      </c>
      <c r="Q261" s="2315" t="n">
        <v>200</v>
      </c>
      <c r="R261" s="2315" t="n">
        <v>390</v>
      </c>
      <c r="S261" s="2315" t="n">
        <v>390</v>
      </c>
      <c r="T261" s="2630" t="n">
        <f aca="false">Q261*R261*S261/1000000000</f>
        <v>0.03042</v>
      </c>
      <c r="U261" s="2631" t="n">
        <v>4419.35</v>
      </c>
      <c r="V261" s="2629" t="n">
        <v>2200</v>
      </c>
      <c r="W261" s="2629" t="n">
        <v>450</v>
      </c>
      <c r="X261" s="2619"/>
      <c r="Y261" s="2619"/>
      <c r="Z261" s="2619"/>
      <c r="AA261" s="2621" t="s">
        <v>15</v>
      </c>
      <c r="AB261" s="2601" t="n">
        <v>200</v>
      </c>
      <c r="AC261" s="2633" t="n">
        <v>390</v>
      </c>
      <c r="AD261" s="2315" t="n">
        <v>194</v>
      </c>
      <c r="AG261" s="2315" t="n">
        <v>11.1</v>
      </c>
      <c r="AH261" s="2606" t="n">
        <f aca="false">AG261*3.1415926535897/180</f>
        <v>0.193731546971365</v>
      </c>
      <c r="AI261" s="2606" t="n">
        <f aca="false">AH261+0.0005</f>
        <v>0.194231546971365</v>
      </c>
      <c r="AJ261" s="2606" t="n">
        <f aca="false">AH261-0.0005</f>
        <v>0.193231546971365</v>
      </c>
      <c r="AK261" s="2315" t="n">
        <f aca="false">IF(AND(дома!$Z$29&gt;=AJ261,дома!$Z$29&lt;=AI261),связи1!AG261,0)</f>
        <v>0</v>
      </c>
      <c r="AL261" s="2315" t="n">
        <f aca="false">IF(AND(дома!$AA$29&gt;=AJ261,дома!$AA$29&lt;=AI261),связи1!AG261,0)</f>
        <v>0</v>
      </c>
    </row>
    <row r="262" customFormat="false" ht="15.5" hidden="false" customHeight="false" outlineLevel="0" collapsed="false">
      <c r="A262" s="2315" t="s">
        <v>4403</v>
      </c>
      <c r="B262" s="2315" t="n">
        <v>198</v>
      </c>
      <c r="C262" s="2315" t="n">
        <v>340</v>
      </c>
      <c r="D262" s="2315" t="n">
        <v>398</v>
      </c>
      <c r="E262" s="2630" t="n">
        <f aca="false">B262*C262*D262/1000000000</f>
        <v>0.02679336</v>
      </c>
      <c r="F262" s="2631" t="n">
        <v>4407.41</v>
      </c>
      <c r="G262" s="2629" t="n">
        <v>2200</v>
      </c>
      <c r="H262" s="2629" t="n">
        <v>450</v>
      </c>
      <c r="I262" s="2315" t="s">
        <v>4372</v>
      </c>
      <c r="J262" s="2315" t="s">
        <v>4373</v>
      </c>
      <c r="K262" s="2622" t="n">
        <v>198</v>
      </c>
      <c r="L262" s="2622" t="n">
        <v>340</v>
      </c>
      <c r="M262" s="2622" t="n">
        <v>538</v>
      </c>
      <c r="N262" s="2315" t="s">
        <v>4404</v>
      </c>
      <c r="O262" s="2315" t="s">
        <v>4375</v>
      </c>
      <c r="P262" s="2315" t="s">
        <v>4376</v>
      </c>
      <c r="Q262" s="2315" t="n">
        <v>198</v>
      </c>
      <c r="R262" s="2315" t="n">
        <v>340</v>
      </c>
      <c r="S262" s="2315" t="n">
        <v>398</v>
      </c>
      <c r="T262" s="2630" t="n">
        <f aca="false">Q262*R262*S262/1000000000</f>
        <v>0.02679336</v>
      </c>
      <c r="U262" s="2631" t="n">
        <v>4407.41</v>
      </c>
      <c r="V262" s="2629" t="n">
        <v>2200</v>
      </c>
      <c r="W262" s="2629" t="n">
        <v>450</v>
      </c>
      <c r="X262" s="596"/>
      <c r="Y262" s="596"/>
      <c r="Z262" s="596"/>
      <c r="AA262" s="2633" t="s">
        <v>20</v>
      </c>
      <c r="AB262" s="2622" t="n">
        <v>198</v>
      </c>
      <c r="AC262" s="2622" t="n">
        <v>340</v>
      </c>
      <c r="AD262" s="2315" t="n">
        <v>198</v>
      </c>
      <c r="AG262" s="2315" t="n">
        <v>11.2</v>
      </c>
      <c r="AH262" s="2606" t="n">
        <f aca="false">AG262*3.1415926535897/180</f>
        <v>0.195476876223359</v>
      </c>
      <c r="AI262" s="2606" t="n">
        <f aca="false">AH262+0.0005</f>
        <v>0.195976876223359</v>
      </c>
      <c r="AJ262" s="2606" t="n">
        <f aca="false">AH262-0.0005</f>
        <v>0.194976876223359</v>
      </c>
      <c r="AK262" s="2315" t="n">
        <f aca="false">IF(AND(дома!$Z$29&gt;=AJ262,дома!$Z$29&lt;=AI262),связи1!AG262,0)</f>
        <v>0</v>
      </c>
      <c r="AL262" s="2315" t="n">
        <f aca="false">IF(AND(дома!$AA$29&gt;=AJ262,дома!$AA$29&lt;=AI262),связи1!AG262,0)</f>
        <v>0</v>
      </c>
    </row>
    <row r="263" customFormat="false" ht="14.5" hidden="false" customHeight="false" outlineLevel="0" collapsed="false">
      <c r="A263" s="2621" t="s">
        <v>4405</v>
      </c>
      <c r="B263" s="2315" t="n">
        <v>200</v>
      </c>
      <c r="C263" s="2315" t="n">
        <v>290</v>
      </c>
      <c r="D263" s="2315" t="n">
        <v>390</v>
      </c>
      <c r="E263" s="2630" t="n">
        <f aca="false">B263*C263*D263/1000000000</f>
        <v>0.02262</v>
      </c>
      <c r="F263" s="2631" t="n">
        <v>4434.78</v>
      </c>
      <c r="G263" s="2629" t="n">
        <v>2200</v>
      </c>
      <c r="H263" s="2629" t="n">
        <v>450</v>
      </c>
      <c r="I263" s="2621" t="s">
        <v>4377</v>
      </c>
      <c r="J263" s="2621" t="s">
        <v>4378</v>
      </c>
      <c r="K263" s="2622" t="n">
        <v>200</v>
      </c>
      <c r="L263" s="2622" t="n">
        <v>290</v>
      </c>
      <c r="M263" s="2622" t="n">
        <v>490</v>
      </c>
      <c r="N263" s="2621" t="s">
        <v>4406</v>
      </c>
      <c r="O263" s="2621" t="s">
        <v>4380</v>
      </c>
      <c r="P263" s="2621" t="s">
        <v>4381</v>
      </c>
      <c r="Q263" s="2315" t="n">
        <v>200</v>
      </c>
      <c r="R263" s="2315" t="n">
        <v>290</v>
      </c>
      <c r="S263" s="2315" t="n">
        <v>390</v>
      </c>
      <c r="T263" s="2630" t="n">
        <f aca="false">Q263*R263*S263/1000000000</f>
        <v>0.02262</v>
      </c>
      <c r="U263" s="2631" t="n">
        <v>4434.78</v>
      </c>
      <c r="V263" s="2629" t="n">
        <v>2200</v>
      </c>
      <c r="W263" s="2629" t="n">
        <v>450</v>
      </c>
      <c r="X263" s="2619"/>
      <c r="Y263" s="2619"/>
      <c r="Z263" s="2619"/>
      <c r="AA263" s="2621" t="s">
        <v>23</v>
      </c>
      <c r="AB263" s="2601" t="n">
        <v>200</v>
      </c>
      <c r="AC263" s="2601" t="n">
        <v>290</v>
      </c>
      <c r="AD263" s="2315" t="n">
        <v>194</v>
      </c>
      <c r="AG263" s="2315" t="n">
        <v>11.3</v>
      </c>
      <c r="AH263" s="2606" t="n">
        <f aca="false">AG263*3.1415926535897/180</f>
        <v>0.197222205475353</v>
      </c>
      <c r="AI263" s="2606" t="n">
        <f aca="false">AH263+0.0005</f>
        <v>0.197722205475353</v>
      </c>
      <c r="AJ263" s="2606" t="n">
        <f aca="false">AH263-0.0005</f>
        <v>0.196722205475353</v>
      </c>
      <c r="AK263" s="2315" t="n">
        <f aca="false">IF(AND(дома!$Z$29&gt;=AJ263,дома!$Z$29&lt;=AI263),связи1!AG263,0)</f>
        <v>0</v>
      </c>
      <c r="AL263" s="2315" t="n">
        <f aca="false">IF(AND(дома!$AA$29&gt;=AJ263,дома!$AA$29&lt;=AI263),связи1!AG263,0)</f>
        <v>0</v>
      </c>
    </row>
    <row r="264" customFormat="false" ht="14.5" hidden="false" customHeight="false" outlineLevel="0" collapsed="false">
      <c r="A264" s="2621" t="s">
        <v>39</v>
      </c>
      <c r="B264" s="2315" t="n">
        <v>200</v>
      </c>
      <c r="C264" s="2315" t="n">
        <v>300</v>
      </c>
      <c r="D264" s="2315" t="n">
        <v>390</v>
      </c>
      <c r="E264" s="2630" t="n">
        <f aca="false">B264*C264*D264/1000000000</f>
        <v>0.0234</v>
      </c>
      <c r="F264" s="2631" t="n">
        <v>4200</v>
      </c>
      <c r="G264" s="2622" t="n">
        <v>3000</v>
      </c>
      <c r="H264" s="2629" t="n">
        <v>450</v>
      </c>
      <c r="I264" s="2621" t="s">
        <v>4366</v>
      </c>
      <c r="J264" s="2621" t="s">
        <v>4367</v>
      </c>
      <c r="K264" s="2622" t="n">
        <v>200</v>
      </c>
      <c r="L264" s="2622" t="n">
        <v>390</v>
      </c>
      <c r="M264" s="2622" t="n">
        <v>600</v>
      </c>
      <c r="N264" s="2621" t="s">
        <v>4407</v>
      </c>
      <c r="O264" s="2621" t="s">
        <v>4402</v>
      </c>
      <c r="P264" s="2621" t="s">
        <v>4370</v>
      </c>
      <c r="Q264" s="2315" t="n">
        <v>200</v>
      </c>
      <c r="R264" s="2315" t="n">
        <v>300</v>
      </c>
      <c r="S264" s="2315" t="n">
        <v>390</v>
      </c>
      <c r="T264" s="2630" t="n">
        <f aca="false">Q264*R264*S264/1000000000</f>
        <v>0.0234</v>
      </c>
      <c r="U264" s="2631" t="n">
        <v>4200</v>
      </c>
      <c r="V264" s="2622" t="n">
        <v>3000</v>
      </c>
      <c r="W264" s="2629" t="n">
        <v>450</v>
      </c>
      <c r="X264" s="2619"/>
      <c r="Y264" s="2619"/>
      <c r="Z264" s="2619"/>
      <c r="AA264" s="2621" t="s">
        <v>33</v>
      </c>
      <c r="AB264" s="2315"/>
      <c r="AC264" s="2315"/>
      <c r="AD264" s="2315" t="n">
        <v>194</v>
      </c>
      <c r="AG264" s="2315" t="n">
        <v>11.4</v>
      </c>
      <c r="AH264" s="2606" t="n">
        <f aca="false">AG264*3.1415926535897/180</f>
        <v>0.198967534727348</v>
      </c>
      <c r="AI264" s="2606" t="n">
        <f aca="false">AH264+0.0005</f>
        <v>0.199467534727348</v>
      </c>
      <c r="AJ264" s="2606" t="n">
        <f aca="false">AH264-0.0005</f>
        <v>0.198467534727348</v>
      </c>
      <c r="AK264" s="2315" t="n">
        <f aca="false">IF(AND(дома!$Z$29&gt;=AJ264,дома!$Z$29&lt;=AI264),связи1!AG264,0)</f>
        <v>0</v>
      </c>
      <c r="AL264" s="2315" t="n">
        <f aca="false">IF(AND(дома!$AA$29&gt;=AJ264,дома!$AA$29&lt;=AI264),связи1!AG264,0)</f>
        <v>0</v>
      </c>
    </row>
    <row r="265" customFormat="false" ht="14.5" hidden="false" customHeight="false" outlineLevel="0" collapsed="false">
      <c r="A265" s="2621" t="s">
        <v>40</v>
      </c>
      <c r="B265" s="2315" t="n">
        <v>200</v>
      </c>
      <c r="C265" s="2315" t="n">
        <v>400</v>
      </c>
      <c r="D265" s="2315" t="n">
        <v>390</v>
      </c>
      <c r="E265" s="2630" t="n">
        <f aca="false">B265*C265*D265/1000000000</f>
        <v>0.0312</v>
      </c>
      <c r="F265" s="2631" t="n">
        <v>4200</v>
      </c>
      <c r="G265" s="2622" t="n">
        <v>3000</v>
      </c>
      <c r="H265" s="2629" t="n">
        <v>450</v>
      </c>
      <c r="I265" s="2621" t="s">
        <v>4383</v>
      </c>
      <c r="J265" s="2621" t="s">
        <v>4384</v>
      </c>
      <c r="K265" s="2622" t="n">
        <v>200</v>
      </c>
      <c r="L265" s="2622" t="n">
        <v>400</v>
      </c>
      <c r="M265" s="2622" t="n">
        <v>600</v>
      </c>
      <c r="N265" s="2621" t="s">
        <v>4408</v>
      </c>
      <c r="O265" s="2621" t="s">
        <v>4409</v>
      </c>
      <c r="P265" s="2621" t="s">
        <v>4387</v>
      </c>
      <c r="Q265" s="2315" t="n">
        <v>200</v>
      </c>
      <c r="R265" s="2315" t="n">
        <v>400</v>
      </c>
      <c r="S265" s="2315" t="n">
        <v>390</v>
      </c>
      <c r="T265" s="2630" t="n">
        <f aca="false">Q265*R265*S265/1000000000</f>
        <v>0.0312</v>
      </c>
      <c r="U265" s="2631" t="n">
        <v>4200</v>
      </c>
      <c r="V265" s="2622" t="n">
        <v>3000</v>
      </c>
      <c r="W265" s="2629" t="n">
        <v>450</v>
      </c>
      <c r="X265" s="2619"/>
      <c r="Y265" s="2619"/>
      <c r="Z265" s="2619"/>
      <c r="AA265" s="2621" t="s">
        <v>27</v>
      </c>
      <c r="AB265" s="2315"/>
      <c r="AC265" s="2315"/>
      <c r="AD265" s="2315" t="n">
        <v>194</v>
      </c>
      <c r="AG265" s="2315" t="n">
        <v>11.5</v>
      </c>
      <c r="AH265" s="2606" t="n">
        <f aca="false">AG265*3.1415926535897/180</f>
        <v>0.200712863979342</v>
      </c>
      <c r="AI265" s="2606" t="n">
        <f aca="false">AH265+0.0005</f>
        <v>0.201212863979342</v>
      </c>
      <c r="AJ265" s="2606" t="n">
        <f aca="false">AH265-0.0005</f>
        <v>0.200212863979342</v>
      </c>
      <c r="AK265" s="2315" t="n">
        <f aca="false">IF(AND(дома!$Z$29&gt;=AJ265,дома!$Z$29&lt;=AI265),связи1!AG265,0)</f>
        <v>0</v>
      </c>
      <c r="AL265" s="2315" t="n">
        <f aca="false">IF(AND(дома!$AA$29&gt;=AJ265,дома!$AA$29&lt;=AI265),связи1!AG265,0)</f>
        <v>0</v>
      </c>
    </row>
    <row r="266" customFormat="false" ht="14.5" hidden="false" customHeight="false" outlineLevel="0" collapsed="false">
      <c r="A266" s="2621" t="s">
        <v>2399</v>
      </c>
      <c r="B266" s="2315" t="n">
        <v>200</v>
      </c>
      <c r="C266" s="2315" t="n">
        <v>100</v>
      </c>
      <c r="D266" s="2315" t="n">
        <v>390</v>
      </c>
      <c r="E266" s="2630" t="n">
        <f aca="false">B266*C266*D266/1000000000</f>
        <v>0.0078</v>
      </c>
      <c r="F266" s="2631" t="n">
        <v>4200</v>
      </c>
      <c r="G266" s="2622" t="n">
        <v>3000</v>
      </c>
      <c r="H266" s="2629" t="n">
        <v>450</v>
      </c>
      <c r="I266" s="2621" t="s">
        <v>4410</v>
      </c>
      <c r="J266" s="2621" t="s">
        <v>4411</v>
      </c>
      <c r="K266" s="2622" t="n">
        <v>200</v>
      </c>
      <c r="L266" s="2622" t="n">
        <v>100</v>
      </c>
      <c r="M266" s="2622" t="n">
        <v>600</v>
      </c>
      <c r="N266" s="2621" t="s">
        <v>4412</v>
      </c>
      <c r="O266" s="2621" t="s">
        <v>4413</v>
      </c>
      <c r="P266" s="2621" t="s">
        <v>4414</v>
      </c>
      <c r="Q266" s="2315" t="n">
        <v>200</v>
      </c>
      <c r="R266" s="2315" t="n">
        <v>100</v>
      </c>
      <c r="S266" s="2315" t="n">
        <v>390</v>
      </c>
      <c r="T266" s="2630" t="n">
        <f aca="false">Q266*R266*S266/1000000000</f>
        <v>0.0078</v>
      </c>
      <c r="U266" s="2631" t="n">
        <v>4200</v>
      </c>
      <c r="V266" s="2622" t="n">
        <v>3000</v>
      </c>
      <c r="W266" s="2629" t="n">
        <v>450</v>
      </c>
      <c r="X266" s="2619"/>
      <c r="Y266" s="2619"/>
      <c r="Z266" s="2619"/>
      <c r="AA266" s="2621"/>
      <c r="AB266" s="2315"/>
      <c r="AC266" s="2315"/>
      <c r="AD266" s="2315"/>
      <c r="AG266" s="2315"/>
      <c r="AH266" s="2606"/>
      <c r="AI266" s="2606"/>
      <c r="AJ266" s="2606"/>
      <c r="AK266" s="2315"/>
      <c r="AL266" s="2315"/>
    </row>
    <row r="267" customFormat="false" ht="14.5" hidden="false" customHeight="false" outlineLevel="0" collapsed="false">
      <c r="A267" s="2621" t="s">
        <v>4415</v>
      </c>
      <c r="B267" s="2315" t="n">
        <v>200</v>
      </c>
      <c r="C267" s="2315" t="n">
        <v>200</v>
      </c>
      <c r="D267" s="2315" t="n">
        <v>390</v>
      </c>
      <c r="E267" s="2630" t="n">
        <f aca="false">B267*C267*D267/1000000000</f>
        <v>0.0156</v>
      </c>
      <c r="F267" s="2631" t="n">
        <v>4200</v>
      </c>
      <c r="G267" s="2622" t="n">
        <v>3000</v>
      </c>
      <c r="H267" s="2629" t="n">
        <v>450</v>
      </c>
      <c r="I267" s="2621" t="s">
        <v>4416</v>
      </c>
      <c r="J267" s="2621" t="s">
        <v>4417</v>
      </c>
      <c r="K267" s="2622" t="n">
        <v>200</v>
      </c>
      <c r="L267" s="2622" t="n">
        <v>200</v>
      </c>
      <c r="M267" s="2622" t="n">
        <v>600</v>
      </c>
      <c r="N267" s="2621" t="s">
        <v>4418</v>
      </c>
      <c r="O267" s="2621" t="s">
        <v>4419</v>
      </c>
      <c r="P267" s="2621" t="s">
        <v>4420</v>
      </c>
      <c r="Q267" s="2315" t="n">
        <v>200</v>
      </c>
      <c r="R267" s="2315" t="n">
        <v>200</v>
      </c>
      <c r="S267" s="2315" t="n">
        <v>390</v>
      </c>
      <c r="T267" s="2630" t="n">
        <f aca="false">Q267*R267*S267/1000000000</f>
        <v>0.0156</v>
      </c>
      <c r="U267" s="2631" t="n">
        <v>4200</v>
      </c>
      <c r="V267" s="2622" t="n">
        <v>3000</v>
      </c>
      <c r="W267" s="2629" t="n">
        <v>450</v>
      </c>
      <c r="X267" s="2619"/>
      <c r="Y267" s="2619"/>
      <c r="Z267" s="2619"/>
      <c r="AA267" s="2621"/>
      <c r="AB267" s="2315"/>
      <c r="AC267" s="2315"/>
      <c r="AD267" s="2315"/>
      <c r="AG267" s="2315"/>
      <c r="AH267" s="2606"/>
      <c r="AI267" s="2606"/>
      <c r="AJ267" s="2606"/>
      <c r="AK267" s="2315"/>
      <c r="AL267" s="2315"/>
    </row>
    <row r="268" customFormat="false" ht="14.5" hidden="false" customHeight="false" outlineLevel="0" collapsed="false">
      <c r="A268" s="2621" t="s">
        <v>42</v>
      </c>
      <c r="B268" s="2315" t="n">
        <v>200</v>
      </c>
      <c r="C268" s="2315" t="n">
        <v>300</v>
      </c>
      <c r="D268" s="2315" t="n">
        <v>390</v>
      </c>
      <c r="E268" s="2630" t="n">
        <f aca="false">B268*C268*D268/1000000000</f>
        <v>0.0234</v>
      </c>
      <c r="F268" s="2631" t="n">
        <v>4200</v>
      </c>
      <c r="G268" s="2622" t="n">
        <v>3000</v>
      </c>
      <c r="H268" s="2629" t="n">
        <v>450</v>
      </c>
      <c r="I268" s="2621" t="s">
        <v>4421</v>
      </c>
      <c r="J268" s="2621" t="s">
        <v>4422</v>
      </c>
      <c r="K268" s="2622" t="n">
        <v>200</v>
      </c>
      <c r="L268" s="2629" t="n">
        <v>300</v>
      </c>
      <c r="M268" s="2622" t="n">
        <v>600</v>
      </c>
      <c r="N268" s="2621" t="s">
        <v>4423</v>
      </c>
      <c r="O268" s="2621" t="s">
        <v>4424</v>
      </c>
      <c r="P268" s="2621" t="s">
        <v>4425</v>
      </c>
      <c r="Q268" s="2315" t="n">
        <v>200</v>
      </c>
      <c r="R268" s="2315" t="n">
        <v>300</v>
      </c>
      <c r="S268" s="2315" t="n">
        <v>390</v>
      </c>
      <c r="T268" s="2630" t="n">
        <f aca="false">Q268*R268*S268/1000000000</f>
        <v>0.0234</v>
      </c>
      <c r="U268" s="2631" t="n">
        <v>4200</v>
      </c>
      <c r="V268" s="2622" t="n">
        <v>3000</v>
      </c>
      <c r="W268" s="2629" t="n">
        <v>450</v>
      </c>
      <c r="X268" s="2619"/>
      <c r="Y268" s="2619"/>
      <c r="Z268" s="2619"/>
      <c r="AA268" s="2621" t="s">
        <v>33</v>
      </c>
      <c r="AB268" s="2315"/>
      <c r="AC268" s="2315"/>
      <c r="AD268" s="2315" t="n">
        <v>194</v>
      </c>
      <c r="AG268" s="2315" t="n">
        <v>11.6</v>
      </c>
      <c r="AH268" s="2606" t="n">
        <f aca="false">AG268*3.1415926535897/180</f>
        <v>0.202458193231336</v>
      </c>
      <c r="AI268" s="2606" t="n">
        <f aca="false">AH268+0.0005</f>
        <v>0.202958193231336</v>
      </c>
      <c r="AJ268" s="2606" t="n">
        <f aca="false">AH268-0.0005</f>
        <v>0.201958193231336</v>
      </c>
      <c r="AK268" s="2315" t="n">
        <f aca="false">IF(AND(дома!$Z$29&gt;=AJ268,дома!$Z$29&lt;=AI268),связи1!AG268,0)</f>
        <v>0</v>
      </c>
      <c r="AL268" s="2315" t="n">
        <f aca="false">IF(AND(дома!$AA$29&gt;=AJ268,дома!$AA$29&lt;=AI268),связи1!AG268,0)</f>
        <v>0</v>
      </c>
    </row>
    <row r="269" customFormat="false" ht="14.5" hidden="false" customHeight="false" outlineLevel="0" collapsed="false">
      <c r="A269" s="2621" t="s">
        <v>43</v>
      </c>
      <c r="B269" s="2315" t="n">
        <v>200</v>
      </c>
      <c r="C269" s="2315" t="n">
        <v>400</v>
      </c>
      <c r="D269" s="2315" t="n">
        <v>390</v>
      </c>
      <c r="E269" s="2630" t="n">
        <f aca="false">B269*C269*D269/1000000000</f>
        <v>0.0312</v>
      </c>
      <c r="F269" s="2631" t="n">
        <v>4200</v>
      </c>
      <c r="G269" s="2622" t="n">
        <v>3000</v>
      </c>
      <c r="H269" s="2629" t="n">
        <v>450</v>
      </c>
      <c r="I269" s="2621" t="s">
        <v>4383</v>
      </c>
      <c r="J269" s="2621" t="s">
        <v>4384</v>
      </c>
      <c r="K269" s="2622" t="n">
        <v>200</v>
      </c>
      <c r="L269" s="2622" t="n">
        <v>400</v>
      </c>
      <c r="M269" s="2622" t="n">
        <v>600</v>
      </c>
      <c r="N269" s="2621" t="s">
        <v>4426</v>
      </c>
      <c r="O269" s="2621" t="s">
        <v>4409</v>
      </c>
      <c r="P269" s="2621" t="s">
        <v>4387</v>
      </c>
      <c r="Q269" s="2315" t="n">
        <v>200</v>
      </c>
      <c r="R269" s="2315" t="n">
        <v>400</v>
      </c>
      <c r="S269" s="2315" t="n">
        <v>390</v>
      </c>
      <c r="T269" s="2630" t="n">
        <f aca="false">Q269*R269*S269/1000000000</f>
        <v>0.0312</v>
      </c>
      <c r="U269" s="2631" t="n">
        <v>4200</v>
      </c>
      <c r="V269" s="2622" t="n">
        <v>3000</v>
      </c>
      <c r="W269" s="2629" t="n">
        <v>450</v>
      </c>
      <c r="X269" s="2619"/>
      <c r="Y269" s="2619"/>
      <c r="Z269" s="2619"/>
      <c r="AA269" s="2621" t="s">
        <v>27</v>
      </c>
      <c r="AB269" s="2315"/>
      <c r="AC269" s="2315"/>
      <c r="AD269" s="2315" t="n">
        <v>194</v>
      </c>
      <c r="AG269" s="2315" t="n">
        <v>11.7</v>
      </c>
      <c r="AH269" s="2606" t="n">
        <f aca="false">AG269*3.1415926535897/180</f>
        <v>0.20420352248333</v>
      </c>
      <c r="AI269" s="2606" t="n">
        <f aca="false">AH269+0.0005</f>
        <v>0.20470352248333</v>
      </c>
      <c r="AJ269" s="2606" t="n">
        <f aca="false">AH269-0.0005</f>
        <v>0.20370352248333</v>
      </c>
      <c r="AK269" s="2315" t="n">
        <f aca="false">IF(AND(дома!$Z$29&gt;=AJ269,дома!$Z$29&lt;=AI269),связи1!AG269,0)</f>
        <v>0</v>
      </c>
      <c r="AL269" s="2315" t="n">
        <f aca="false">IF(AND(дома!$AA$29&gt;=AJ269,дома!$AA$29&lt;=AI269),связи1!AG269,0)</f>
        <v>0</v>
      </c>
    </row>
    <row r="270" customFormat="false" ht="14.5" hidden="false" customHeight="false" outlineLevel="0" collapsed="false">
      <c r="A270" s="2621" t="s">
        <v>2401</v>
      </c>
      <c r="B270" s="2315" t="n">
        <v>200</v>
      </c>
      <c r="C270" s="2315" t="n">
        <v>100</v>
      </c>
      <c r="D270" s="2315" t="n">
        <v>390</v>
      </c>
      <c r="E270" s="2630" t="n">
        <f aca="false">B270*C270*D270/1000000000</f>
        <v>0.0078</v>
      </c>
      <c r="F270" s="2631" t="n">
        <v>4200</v>
      </c>
      <c r="G270" s="2622" t="n">
        <v>3000</v>
      </c>
      <c r="H270" s="2629" t="n">
        <v>450</v>
      </c>
      <c r="I270" s="2621" t="s">
        <v>4410</v>
      </c>
      <c r="J270" s="2621" t="s">
        <v>4411</v>
      </c>
      <c r="K270" s="2622" t="n">
        <v>200</v>
      </c>
      <c r="L270" s="2622" t="n">
        <v>100</v>
      </c>
      <c r="M270" s="2622" t="n">
        <v>600</v>
      </c>
      <c r="N270" s="2621" t="s">
        <v>4427</v>
      </c>
      <c r="O270" s="2621" t="s">
        <v>4413</v>
      </c>
      <c r="P270" s="2621" t="s">
        <v>4414</v>
      </c>
      <c r="Q270" s="2315" t="n">
        <v>200</v>
      </c>
      <c r="R270" s="2315" t="n">
        <v>100</v>
      </c>
      <c r="S270" s="2315" t="n">
        <v>390</v>
      </c>
      <c r="T270" s="2630" t="n">
        <f aca="false">Q270*R270*S270/1000000000</f>
        <v>0.0078</v>
      </c>
      <c r="U270" s="2631" t="n">
        <v>4200</v>
      </c>
      <c r="V270" s="2622" t="n">
        <v>3000</v>
      </c>
      <c r="W270" s="2629" t="n">
        <v>450</v>
      </c>
      <c r="X270" s="2619"/>
      <c r="Y270" s="2619"/>
      <c r="Z270" s="2619"/>
      <c r="AA270" s="2621"/>
      <c r="AB270" s="2315"/>
      <c r="AC270" s="2315"/>
      <c r="AD270" s="2315"/>
      <c r="AG270" s="2315"/>
      <c r="AH270" s="2606"/>
      <c r="AI270" s="2606"/>
      <c r="AJ270" s="2606"/>
      <c r="AK270" s="2315"/>
      <c r="AL270" s="2315"/>
    </row>
    <row r="271" customFormat="false" ht="14.5" hidden="false" customHeight="false" outlineLevel="0" collapsed="false">
      <c r="A271" s="2621" t="s">
        <v>4428</v>
      </c>
      <c r="B271" s="2315" t="n">
        <v>200</v>
      </c>
      <c r="C271" s="2315" t="n">
        <v>200</v>
      </c>
      <c r="D271" s="2315" t="n">
        <v>390</v>
      </c>
      <c r="E271" s="2630" t="n">
        <f aca="false">B271*C271*D271/1000000000</f>
        <v>0.0156</v>
      </c>
      <c r="F271" s="2631" t="n">
        <v>4200</v>
      </c>
      <c r="G271" s="2622" t="n">
        <v>3000</v>
      </c>
      <c r="H271" s="2629" t="n">
        <v>450</v>
      </c>
      <c r="I271" s="2621" t="s">
        <v>4416</v>
      </c>
      <c r="J271" s="2621" t="s">
        <v>4417</v>
      </c>
      <c r="K271" s="2622" t="n">
        <v>200</v>
      </c>
      <c r="L271" s="2622" t="n">
        <v>200</v>
      </c>
      <c r="M271" s="2622" t="n">
        <v>600</v>
      </c>
      <c r="N271" s="2621" t="s">
        <v>4429</v>
      </c>
      <c r="O271" s="2621" t="s">
        <v>4419</v>
      </c>
      <c r="P271" s="2621" t="s">
        <v>4420</v>
      </c>
      <c r="Q271" s="2315" t="n">
        <v>200</v>
      </c>
      <c r="R271" s="2315" t="n">
        <v>200</v>
      </c>
      <c r="S271" s="2315" t="n">
        <v>390</v>
      </c>
      <c r="T271" s="2630" t="n">
        <f aca="false">Q271*R271*S271/1000000000</f>
        <v>0.0156</v>
      </c>
      <c r="U271" s="2631" t="n">
        <v>4200</v>
      </c>
      <c r="V271" s="2622" t="n">
        <v>3000</v>
      </c>
      <c r="W271" s="2629" t="n">
        <v>450</v>
      </c>
      <c r="X271" s="2619"/>
      <c r="Y271" s="2619"/>
      <c r="Z271" s="2619"/>
      <c r="AA271" s="2621"/>
      <c r="AB271" s="2315"/>
      <c r="AC271" s="2315"/>
      <c r="AD271" s="2315"/>
      <c r="AG271" s="2315"/>
      <c r="AH271" s="2606"/>
      <c r="AI271" s="2606"/>
      <c r="AJ271" s="2606"/>
      <c r="AK271" s="2315"/>
      <c r="AL271" s="2315"/>
    </row>
    <row r="272" customFormat="false" ht="14.5" hidden="false" customHeight="false" outlineLevel="0" collapsed="false">
      <c r="A272" s="2621" t="s">
        <v>45</v>
      </c>
      <c r="B272" s="2315" t="n">
        <v>200</v>
      </c>
      <c r="C272" s="2315" t="n">
        <v>300</v>
      </c>
      <c r="D272" s="2315" t="n">
        <v>390</v>
      </c>
      <c r="E272" s="2630" t="n">
        <f aca="false">B272*C272*D272/1000000000</f>
        <v>0.0234</v>
      </c>
      <c r="F272" s="2631" t="n">
        <v>4200</v>
      </c>
      <c r="G272" s="2622" t="n">
        <v>3000</v>
      </c>
      <c r="H272" s="2629" t="n">
        <v>450</v>
      </c>
      <c r="I272" s="2621" t="s">
        <v>4421</v>
      </c>
      <c r="J272" s="2621" t="s">
        <v>4422</v>
      </c>
      <c r="K272" s="2622" t="n">
        <v>200</v>
      </c>
      <c r="L272" s="2629" t="n">
        <v>300</v>
      </c>
      <c r="M272" s="2622" t="n">
        <v>600</v>
      </c>
      <c r="N272" s="2621" t="s">
        <v>4430</v>
      </c>
      <c r="O272" s="2621" t="s">
        <v>4424</v>
      </c>
      <c r="P272" s="2621" t="s">
        <v>4425</v>
      </c>
      <c r="Q272" s="2315" t="n">
        <v>200</v>
      </c>
      <c r="R272" s="2315" t="n">
        <v>300</v>
      </c>
      <c r="S272" s="2315" t="n">
        <v>390</v>
      </c>
      <c r="T272" s="2630" t="n">
        <f aca="false">Q272*R272*S272/1000000000</f>
        <v>0.0234</v>
      </c>
      <c r="U272" s="2631" t="n">
        <v>4200</v>
      </c>
      <c r="V272" s="2622" t="n">
        <v>3000</v>
      </c>
      <c r="W272" s="2629" t="n">
        <v>450</v>
      </c>
      <c r="X272" s="2619"/>
      <c r="Y272" s="2619"/>
      <c r="Z272" s="2619"/>
      <c r="AA272" s="2621" t="s">
        <v>33</v>
      </c>
      <c r="AB272" s="2315"/>
      <c r="AC272" s="2315"/>
      <c r="AD272" s="2315" t="n">
        <v>194</v>
      </c>
      <c r="AG272" s="2315" t="n">
        <v>11.8</v>
      </c>
      <c r="AH272" s="2606" t="n">
        <f aca="false">AG272*3.1415926535897/180</f>
        <v>0.205948851735325</v>
      </c>
      <c r="AI272" s="2606" t="n">
        <f aca="false">AH272+0.0005</f>
        <v>0.206448851735325</v>
      </c>
      <c r="AJ272" s="2606" t="n">
        <f aca="false">AH272-0.0005</f>
        <v>0.205448851735325</v>
      </c>
      <c r="AK272" s="2315" t="n">
        <f aca="false">IF(AND(дома!$Z$29&gt;=AJ272,дома!$Z$29&lt;=AI272),связи1!AG272,0)</f>
        <v>0</v>
      </c>
      <c r="AL272" s="2315" t="n">
        <f aca="false">IF(AND(дома!$AA$29&gt;=AJ272,дома!$AA$29&lt;=AI272),связи1!AG272,0)</f>
        <v>0</v>
      </c>
    </row>
    <row r="273" customFormat="false" ht="14.5" hidden="false" customHeight="false" outlineLevel="0" collapsed="false">
      <c r="A273" s="2621" t="s">
        <v>46</v>
      </c>
      <c r="B273" s="2315" t="n">
        <v>200</v>
      </c>
      <c r="C273" s="2315" t="n">
        <v>400</v>
      </c>
      <c r="D273" s="2315" t="n">
        <v>390</v>
      </c>
      <c r="E273" s="2630" t="n">
        <f aca="false">B273*C273*D273/1000000000</f>
        <v>0.0312</v>
      </c>
      <c r="F273" s="2631" t="n">
        <v>4200</v>
      </c>
      <c r="G273" s="2622" t="n">
        <v>3000</v>
      </c>
      <c r="H273" s="2629" t="n">
        <v>450</v>
      </c>
      <c r="I273" s="2621" t="s">
        <v>4383</v>
      </c>
      <c r="J273" s="2621" t="s">
        <v>4384</v>
      </c>
      <c r="K273" s="2622" t="n">
        <v>200</v>
      </c>
      <c r="L273" s="2622" t="n">
        <v>400</v>
      </c>
      <c r="M273" s="2622" t="n">
        <v>600</v>
      </c>
      <c r="N273" s="2621" t="s">
        <v>4431</v>
      </c>
      <c r="O273" s="2621" t="s">
        <v>4409</v>
      </c>
      <c r="P273" s="2621" t="s">
        <v>4387</v>
      </c>
      <c r="Q273" s="2315" t="n">
        <v>200</v>
      </c>
      <c r="R273" s="2315" t="n">
        <v>400</v>
      </c>
      <c r="S273" s="2315" t="n">
        <v>390</v>
      </c>
      <c r="T273" s="2630" t="n">
        <f aca="false">Q273*R273*S273/1000000000</f>
        <v>0.0312</v>
      </c>
      <c r="U273" s="2631" t="n">
        <v>4200</v>
      </c>
      <c r="V273" s="2622" t="n">
        <v>3000</v>
      </c>
      <c r="W273" s="2629" t="n">
        <v>450</v>
      </c>
      <c r="X273" s="2619"/>
      <c r="Y273" s="2619"/>
      <c r="Z273" s="2619"/>
      <c r="AA273" s="2621" t="s">
        <v>27</v>
      </c>
      <c r="AB273" s="2315"/>
      <c r="AC273" s="2315"/>
      <c r="AD273" s="2315" t="n">
        <v>194</v>
      </c>
      <c r="AG273" s="2315" t="n">
        <v>11.9</v>
      </c>
      <c r="AH273" s="2606" t="n">
        <f aca="false">AG273*3.1415926535897/180</f>
        <v>0.207694180987319</v>
      </c>
      <c r="AI273" s="2606" t="n">
        <f aca="false">AH273+0.0005</f>
        <v>0.208194180987319</v>
      </c>
      <c r="AJ273" s="2606" t="n">
        <f aca="false">AH273-0.0005</f>
        <v>0.207194180987319</v>
      </c>
      <c r="AK273" s="2315" t="n">
        <f aca="false">IF(AND(дома!$Z$29&gt;=AJ273,дома!$Z$29&lt;=AI273),связи1!AG273,0)</f>
        <v>0</v>
      </c>
      <c r="AL273" s="2315" t="n">
        <f aca="false">IF(AND(дома!$AA$29&gt;=AJ273,дома!$AA$29&lt;=AI273),связи1!AG273,0)</f>
        <v>0</v>
      </c>
    </row>
    <row r="274" customFormat="false" ht="14.5" hidden="false" customHeight="false" outlineLevel="0" collapsed="false">
      <c r="A274" s="2621" t="s">
        <v>4432</v>
      </c>
      <c r="B274" s="2315" t="n">
        <v>200</v>
      </c>
      <c r="C274" s="2315" t="n">
        <v>100</v>
      </c>
      <c r="D274" s="2315" t="n">
        <v>390</v>
      </c>
      <c r="E274" s="2630" t="n">
        <f aca="false">B274*C274*D274/1000000000</f>
        <v>0.0078</v>
      </c>
      <c r="F274" s="2631" t="n">
        <v>4200</v>
      </c>
      <c r="G274" s="2622" t="n">
        <v>3000</v>
      </c>
      <c r="H274" s="2629" t="n">
        <v>450</v>
      </c>
      <c r="I274" s="2621" t="s">
        <v>4410</v>
      </c>
      <c r="J274" s="2621" t="s">
        <v>4411</v>
      </c>
      <c r="K274" s="2622" t="n">
        <v>200</v>
      </c>
      <c r="L274" s="2622" t="n">
        <v>100</v>
      </c>
      <c r="M274" s="2622" t="n">
        <v>600</v>
      </c>
      <c r="N274" s="2621" t="s">
        <v>4433</v>
      </c>
      <c r="O274" s="2621" t="s">
        <v>4413</v>
      </c>
      <c r="P274" s="2621" t="s">
        <v>4414</v>
      </c>
      <c r="Q274" s="2315" t="n">
        <v>200</v>
      </c>
      <c r="R274" s="2315" t="n">
        <v>100</v>
      </c>
      <c r="S274" s="2315" t="n">
        <v>390</v>
      </c>
      <c r="T274" s="2630" t="n">
        <f aca="false">Q274*R274*S274/1000000000</f>
        <v>0.0078</v>
      </c>
      <c r="U274" s="2631" t="n">
        <v>4200</v>
      </c>
      <c r="V274" s="2622" t="n">
        <v>3000</v>
      </c>
      <c r="W274" s="2629" t="n">
        <v>450</v>
      </c>
      <c r="X274" s="2619"/>
      <c r="Y274" s="2619"/>
      <c r="Z274" s="2619"/>
      <c r="AA274" s="2621"/>
      <c r="AB274" s="2315"/>
      <c r="AC274" s="2315"/>
      <c r="AD274" s="2315"/>
      <c r="AG274" s="2315"/>
      <c r="AH274" s="2606"/>
      <c r="AI274" s="2606"/>
      <c r="AJ274" s="2606"/>
      <c r="AK274" s="2315"/>
      <c r="AL274" s="2315"/>
    </row>
    <row r="275" customFormat="false" ht="14.5" hidden="false" customHeight="false" outlineLevel="0" collapsed="false">
      <c r="A275" s="2621" t="s">
        <v>4434</v>
      </c>
      <c r="B275" s="2315" t="n">
        <v>200</v>
      </c>
      <c r="C275" s="2315" t="n">
        <v>200</v>
      </c>
      <c r="D275" s="2315" t="n">
        <v>390</v>
      </c>
      <c r="E275" s="2630" t="n">
        <f aca="false">B275*C275*D275/1000000000</f>
        <v>0.0156</v>
      </c>
      <c r="F275" s="2631" t="n">
        <v>4200</v>
      </c>
      <c r="G275" s="2622" t="n">
        <v>3000</v>
      </c>
      <c r="H275" s="2629" t="n">
        <v>450</v>
      </c>
      <c r="I275" s="2621" t="s">
        <v>4416</v>
      </c>
      <c r="J275" s="2621" t="s">
        <v>4417</v>
      </c>
      <c r="K275" s="2622" t="n">
        <v>200</v>
      </c>
      <c r="L275" s="2622" t="n">
        <v>200</v>
      </c>
      <c r="M275" s="2622" t="n">
        <v>600</v>
      </c>
      <c r="N275" s="2621" t="s">
        <v>4435</v>
      </c>
      <c r="O275" s="2621" t="s">
        <v>4419</v>
      </c>
      <c r="P275" s="2621" t="s">
        <v>4420</v>
      </c>
      <c r="Q275" s="2315" t="n">
        <v>200</v>
      </c>
      <c r="R275" s="2315" t="n">
        <v>200</v>
      </c>
      <c r="S275" s="2315" t="n">
        <v>390</v>
      </c>
      <c r="T275" s="2630" t="n">
        <f aca="false">Q275*R275*S275/1000000000</f>
        <v>0.0156</v>
      </c>
      <c r="U275" s="2631" t="n">
        <v>4200</v>
      </c>
      <c r="V275" s="2622" t="n">
        <v>3000</v>
      </c>
      <c r="W275" s="2629" t="n">
        <v>450</v>
      </c>
      <c r="X275" s="2619"/>
      <c r="Y275" s="2619"/>
      <c r="Z275" s="2619"/>
      <c r="AA275" s="2621"/>
      <c r="AB275" s="2315"/>
      <c r="AC275" s="2315"/>
      <c r="AD275" s="2315"/>
      <c r="AG275" s="2315"/>
      <c r="AH275" s="2606"/>
      <c r="AI275" s="2606"/>
      <c r="AJ275" s="2606"/>
      <c r="AK275" s="2315"/>
      <c r="AL275" s="2315"/>
    </row>
    <row r="276" customFormat="false" ht="14.5" hidden="false" customHeight="false" outlineLevel="0" collapsed="false">
      <c r="A276" s="2621" t="s">
        <v>48</v>
      </c>
      <c r="B276" s="2315" t="n">
        <v>200</v>
      </c>
      <c r="C276" s="2315" t="n">
        <v>300</v>
      </c>
      <c r="D276" s="2315" t="n">
        <v>390</v>
      </c>
      <c r="E276" s="2630" t="n">
        <f aca="false">B276*C276*D276/1000000000</f>
        <v>0.0234</v>
      </c>
      <c r="F276" s="2631" t="n">
        <v>4200</v>
      </c>
      <c r="G276" s="2622" t="n">
        <v>3000</v>
      </c>
      <c r="H276" s="2629" t="n">
        <v>450</v>
      </c>
      <c r="I276" s="2621" t="s">
        <v>4421</v>
      </c>
      <c r="J276" s="2621" t="s">
        <v>4422</v>
      </c>
      <c r="K276" s="2622" t="n">
        <v>200</v>
      </c>
      <c r="L276" s="2629" t="n">
        <v>300</v>
      </c>
      <c r="M276" s="2622" t="n">
        <v>600</v>
      </c>
      <c r="N276" s="2621" t="s">
        <v>4436</v>
      </c>
      <c r="O276" s="2621" t="s">
        <v>4424</v>
      </c>
      <c r="P276" s="2621" t="s">
        <v>4425</v>
      </c>
      <c r="Q276" s="2315" t="n">
        <v>200</v>
      </c>
      <c r="R276" s="2315" t="n">
        <v>300</v>
      </c>
      <c r="S276" s="2315" t="n">
        <v>390</v>
      </c>
      <c r="T276" s="2630" t="n">
        <f aca="false">Q276*R276*S276/1000000000</f>
        <v>0.0234</v>
      </c>
      <c r="U276" s="2631" t="n">
        <v>4200</v>
      </c>
      <c r="V276" s="2622" t="n">
        <v>3000</v>
      </c>
      <c r="W276" s="2629" t="n">
        <v>450</v>
      </c>
      <c r="X276" s="2619"/>
      <c r="Y276" s="2619"/>
      <c r="Z276" s="2619"/>
      <c r="AA276" s="2621" t="s">
        <v>33</v>
      </c>
      <c r="AB276" s="2315"/>
      <c r="AC276" s="2315"/>
      <c r="AD276" s="2315" t="n">
        <v>194</v>
      </c>
      <c r="AG276" s="2315" t="n">
        <v>12</v>
      </c>
      <c r="AH276" s="2606" t="n">
        <f aca="false">AG276*3.1415926535897/180</f>
        <v>0.209439510239313</v>
      </c>
      <c r="AI276" s="2606" t="n">
        <f aca="false">AH276+0.0005</f>
        <v>0.209939510239313</v>
      </c>
      <c r="AJ276" s="2606" t="n">
        <f aca="false">AH276-0.0005</f>
        <v>0.208939510239313</v>
      </c>
      <c r="AK276" s="2315" t="n">
        <f aca="false">IF(AND(дома!$Z$29&gt;=AJ276,дома!$Z$29&lt;=AI276),связи1!AG276,0)</f>
        <v>0</v>
      </c>
      <c r="AL276" s="2315" t="n">
        <f aca="false">IF(AND(дома!$AA$29&gt;=AJ276,дома!$AA$29&lt;=AI276),связи1!AG276,0)</f>
        <v>0</v>
      </c>
    </row>
    <row r="277" customFormat="false" ht="14.5" hidden="false" customHeight="false" outlineLevel="0" collapsed="false">
      <c r="A277" s="2621" t="s">
        <v>49</v>
      </c>
      <c r="B277" s="2315" t="n">
        <v>200</v>
      </c>
      <c r="C277" s="2315" t="n">
        <v>400</v>
      </c>
      <c r="D277" s="2315" t="n">
        <v>390</v>
      </c>
      <c r="E277" s="2630" t="n">
        <f aca="false">B277*C277*D277/1000000000</f>
        <v>0.0312</v>
      </c>
      <c r="F277" s="2631" t="n">
        <v>4200</v>
      </c>
      <c r="G277" s="2622" t="n">
        <v>3000</v>
      </c>
      <c r="H277" s="2629" t="n">
        <v>450</v>
      </c>
      <c r="I277" s="2621" t="s">
        <v>4383</v>
      </c>
      <c r="J277" s="2621" t="s">
        <v>4384</v>
      </c>
      <c r="K277" s="2622" t="n">
        <v>200</v>
      </c>
      <c r="L277" s="2622" t="n">
        <v>400</v>
      </c>
      <c r="M277" s="2622" t="n">
        <v>600</v>
      </c>
      <c r="N277" s="2621" t="s">
        <v>4437</v>
      </c>
      <c r="O277" s="2621" t="s">
        <v>4409</v>
      </c>
      <c r="P277" s="2621" t="s">
        <v>4387</v>
      </c>
      <c r="Q277" s="2315" t="n">
        <v>200</v>
      </c>
      <c r="R277" s="2315" t="n">
        <v>400</v>
      </c>
      <c r="S277" s="2315" t="n">
        <v>390</v>
      </c>
      <c r="T277" s="2630" t="n">
        <f aca="false">Q277*R277*S277/1000000000</f>
        <v>0.0312</v>
      </c>
      <c r="U277" s="2631" t="n">
        <v>4200</v>
      </c>
      <c r="V277" s="2622" t="n">
        <v>3000</v>
      </c>
      <c r="W277" s="2629" t="n">
        <v>450</v>
      </c>
      <c r="X277" s="2619"/>
      <c r="Y277" s="2619"/>
      <c r="Z277" s="2619"/>
      <c r="AA277" s="2621" t="s">
        <v>27</v>
      </c>
      <c r="AB277" s="2315"/>
      <c r="AC277" s="2315"/>
      <c r="AD277" s="2315" t="n">
        <v>194</v>
      </c>
      <c r="AG277" s="2315" t="n">
        <v>12.1</v>
      </c>
      <c r="AH277" s="2606" t="n">
        <f aca="false">AG277*3.1415926535897/180</f>
        <v>0.211184839491308</v>
      </c>
      <c r="AI277" s="2606" t="n">
        <f aca="false">AH277+0.0005</f>
        <v>0.211684839491308</v>
      </c>
      <c r="AJ277" s="2606" t="n">
        <f aca="false">AH277-0.0005</f>
        <v>0.210684839491308</v>
      </c>
      <c r="AK277" s="2315" t="n">
        <f aca="false">IF(AND(дома!$Z$29&gt;=AJ277,дома!$Z$29&lt;=AI277),связи1!AG277,0)</f>
        <v>0</v>
      </c>
      <c r="AL277" s="2315" t="n">
        <f aca="false">IF(AND(дома!$AA$29&gt;=AJ277,дома!$AA$29&lt;=AI277),связи1!AG277,0)</f>
        <v>0</v>
      </c>
    </row>
    <row r="278" customFormat="false" ht="14.5" hidden="false" customHeight="false" outlineLevel="0" collapsed="false">
      <c r="A278" s="2621" t="s">
        <v>4438</v>
      </c>
      <c r="B278" s="2315" t="n">
        <v>200</v>
      </c>
      <c r="C278" s="2315" t="n">
        <v>100</v>
      </c>
      <c r="D278" s="2315" t="n">
        <v>390</v>
      </c>
      <c r="E278" s="2630" t="n">
        <f aca="false">B278*C278*D278/1000000000</f>
        <v>0.0078</v>
      </c>
      <c r="F278" s="2631" t="n">
        <v>4050</v>
      </c>
      <c r="G278" s="2622" t="n">
        <v>3000</v>
      </c>
      <c r="H278" s="2629" t="n">
        <v>450</v>
      </c>
      <c r="I278" s="2621" t="s">
        <v>4410</v>
      </c>
      <c r="J278" s="2621" t="s">
        <v>4411</v>
      </c>
      <c r="K278" s="2622" t="n">
        <v>200</v>
      </c>
      <c r="L278" s="2622" t="n">
        <v>100</v>
      </c>
      <c r="M278" s="2622" t="n">
        <v>600</v>
      </c>
      <c r="N278" s="2621" t="s">
        <v>4439</v>
      </c>
      <c r="O278" s="2621" t="s">
        <v>4413</v>
      </c>
      <c r="P278" s="2621" t="s">
        <v>4414</v>
      </c>
      <c r="Q278" s="2315" t="n">
        <v>200</v>
      </c>
      <c r="R278" s="2315" t="n">
        <v>100</v>
      </c>
      <c r="S278" s="2315" t="n">
        <v>390</v>
      </c>
      <c r="T278" s="2630" t="n">
        <f aca="false">Q278*R278*S278/1000000000</f>
        <v>0.0078</v>
      </c>
      <c r="U278" s="2631" t="n">
        <v>4050</v>
      </c>
      <c r="V278" s="2622" t="n">
        <v>3000</v>
      </c>
      <c r="W278" s="2629" t="n">
        <v>450</v>
      </c>
      <c r="X278" s="2619"/>
      <c r="Y278" s="2619"/>
      <c r="Z278" s="2619"/>
      <c r="AA278" s="2621"/>
      <c r="AB278" s="2315"/>
      <c r="AC278" s="2315"/>
      <c r="AD278" s="2315"/>
      <c r="AG278" s="2315"/>
      <c r="AH278" s="2606"/>
      <c r="AI278" s="2606"/>
      <c r="AJ278" s="2606"/>
      <c r="AK278" s="2315"/>
      <c r="AL278" s="2315"/>
    </row>
    <row r="279" customFormat="false" ht="14.5" hidden="false" customHeight="false" outlineLevel="0" collapsed="false">
      <c r="A279" s="2621" t="s">
        <v>4440</v>
      </c>
      <c r="B279" s="2315" t="n">
        <v>200</v>
      </c>
      <c r="C279" s="2315" t="n">
        <v>200</v>
      </c>
      <c r="D279" s="2315" t="n">
        <v>390</v>
      </c>
      <c r="E279" s="2630" t="n">
        <f aca="false">B279*C279*D279/1000000000</f>
        <v>0.0156</v>
      </c>
      <c r="F279" s="2631" t="n">
        <v>4050</v>
      </c>
      <c r="G279" s="2622" t="n">
        <v>3000</v>
      </c>
      <c r="H279" s="2629" t="n">
        <v>450</v>
      </c>
      <c r="I279" s="2621" t="s">
        <v>4416</v>
      </c>
      <c r="J279" s="2621" t="s">
        <v>4417</v>
      </c>
      <c r="K279" s="2622" t="n">
        <v>200</v>
      </c>
      <c r="L279" s="2622" t="n">
        <v>200</v>
      </c>
      <c r="M279" s="2622" t="n">
        <v>600</v>
      </c>
      <c r="N279" s="2621" t="s">
        <v>4441</v>
      </c>
      <c r="O279" s="2621" t="s">
        <v>4419</v>
      </c>
      <c r="P279" s="2621" t="s">
        <v>4420</v>
      </c>
      <c r="Q279" s="2315" t="n">
        <v>200</v>
      </c>
      <c r="R279" s="2315" t="n">
        <v>200</v>
      </c>
      <c r="S279" s="2315" t="n">
        <v>390</v>
      </c>
      <c r="T279" s="2630" t="n">
        <f aca="false">Q279*R279*S279/1000000000</f>
        <v>0.0156</v>
      </c>
      <c r="U279" s="2631" t="n">
        <v>4050</v>
      </c>
      <c r="V279" s="2622" t="n">
        <v>3000</v>
      </c>
      <c r="W279" s="2629" t="n">
        <v>450</v>
      </c>
      <c r="X279" s="2619"/>
      <c r="Y279" s="2619"/>
      <c r="Z279" s="2619"/>
      <c r="AA279" s="2621"/>
      <c r="AB279" s="2315"/>
      <c r="AC279" s="2315"/>
      <c r="AD279" s="2315"/>
      <c r="AG279" s="2315"/>
      <c r="AH279" s="2606"/>
      <c r="AI279" s="2606"/>
      <c r="AJ279" s="2606"/>
      <c r="AK279" s="2315"/>
      <c r="AL279" s="2315"/>
    </row>
    <row r="280" customFormat="false" ht="15.5" hidden="false" customHeight="false" outlineLevel="0" collapsed="false">
      <c r="A280" s="2621" t="s">
        <v>51</v>
      </c>
      <c r="B280" s="2315" t="n">
        <v>200</v>
      </c>
      <c r="C280" s="2315" t="n">
        <v>300</v>
      </c>
      <c r="D280" s="2315" t="n">
        <v>390</v>
      </c>
      <c r="E280" s="2630" t="n">
        <f aca="false">B280*C280*D280/1000000000</f>
        <v>0.0234</v>
      </c>
      <c r="F280" s="2631" t="n">
        <v>4050</v>
      </c>
      <c r="G280" s="2622" t="n">
        <v>3000</v>
      </c>
      <c r="H280" s="2629" t="n">
        <v>450</v>
      </c>
      <c r="I280" s="2621" t="s">
        <v>4421</v>
      </c>
      <c r="J280" s="2621" t="s">
        <v>4422</v>
      </c>
      <c r="K280" s="2622" t="n">
        <v>200</v>
      </c>
      <c r="L280" s="2629" t="n">
        <v>300</v>
      </c>
      <c r="M280" s="2622" t="n">
        <v>600</v>
      </c>
      <c r="N280" s="2621" t="s">
        <v>4442</v>
      </c>
      <c r="O280" s="2621" t="s">
        <v>4424</v>
      </c>
      <c r="P280" s="2621" t="s">
        <v>4425</v>
      </c>
      <c r="Q280" s="2315" t="n">
        <v>200</v>
      </c>
      <c r="R280" s="2315" t="n">
        <v>300</v>
      </c>
      <c r="S280" s="2315" t="n">
        <v>390</v>
      </c>
      <c r="T280" s="2630" t="n">
        <f aca="false">Q280*R280*S280/1000000000</f>
        <v>0.0234</v>
      </c>
      <c r="U280" s="2631" t="n">
        <v>4050</v>
      </c>
      <c r="V280" s="2622" t="n">
        <v>3000</v>
      </c>
      <c r="W280" s="2629" t="n">
        <v>450</v>
      </c>
      <c r="X280" s="596"/>
      <c r="Y280" s="596"/>
      <c r="Z280" s="596"/>
      <c r="AA280" s="2621" t="s">
        <v>33</v>
      </c>
      <c r="AB280" s="2315"/>
      <c r="AC280" s="2315"/>
      <c r="AD280" s="2315" t="n">
        <v>194</v>
      </c>
      <c r="AG280" s="2315" t="n">
        <v>12.2</v>
      </c>
      <c r="AH280" s="2606" t="n">
        <f aca="false">AG280*3.1415926535897/180</f>
        <v>0.212930168743302</v>
      </c>
      <c r="AI280" s="2606" t="n">
        <f aca="false">AH280+0.0005</f>
        <v>0.213430168743302</v>
      </c>
      <c r="AJ280" s="2606" t="n">
        <f aca="false">AH280-0.0005</f>
        <v>0.212430168743302</v>
      </c>
      <c r="AK280" s="2315" t="n">
        <f aca="false">IF(AND(дома!$Z$29&gt;=AJ280,дома!$Z$29&lt;=AI280),связи1!AG280,0)</f>
        <v>0</v>
      </c>
      <c r="AL280" s="2315" t="n">
        <f aca="false">IF(AND(дома!$AA$29&gt;=AJ280,дома!$AA$29&lt;=AI280),связи1!AG280,0)</f>
        <v>0</v>
      </c>
    </row>
    <row r="281" customFormat="false" ht="14.5" hidden="false" customHeight="false" outlineLevel="0" collapsed="false">
      <c r="A281" s="2621" t="s">
        <v>52</v>
      </c>
      <c r="B281" s="2315" t="n">
        <v>200</v>
      </c>
      <c r="C281" s="2315" t="n">
        <v>400</v>
      </c>
      <c r="D281" s="2315" t="n">
        <v>390</v>
      </c>
      <c r="E281" s="2630" t="n">
        <f aca="false">B281*C281*D281/1000000000</f>
        <v>0.0312</v>
      </c>
      <c r="F281" s="2631" t="n">
        <v>4050</v>
      </c>
      <c r="G281" s="2622" t="n">
        <v>3000</v>
      </c>
      <c r="H281" s="2629" t="n">
        <v>450</v>
      </c>
      <c r="I281" s="2621" t="s">
        <v>4383</v>
      </c>
      <c r="J281" s="2621" t="s">
        <v>4384</v>
      </c>
      <c r="K281" s="2622" t="n">
        <v>200</v>
      </c>
      <c r="L281" s="2622" t="n">
        <v>400</v>
      </c>
      <c r="M281" s="2622" t="n">
        <v>600</v>
      </c>
      <c r="N281" s="2621" t="s">
        <v>4443</v>
      </c>
      <c r="O281" s="2621" t="s">
        <v>4409</v>
      </c>
      <c r="P281" s="2621" t="s">
        <v>4387</v>
      </c>
      <c r="Q281" s="2315" t="n">
        <v>200</v>
      </c>
      <c r="R281" s="2315" t="n">
        <v>400</v>
      </c>
      <c r="S281" s="2315" t="n">
        <v>390</v>
      </c>
      <c r="T281" s="2630" t="n">
        <f aca="false">Q281*R281*S281/1000000000</f>
        <v>0.0312</v>
      </c>
      <c r="U281" s="2631" t="n">
        <v>4050</v>
      </c>
      <c r="V281" s="2622" t="n">
        <v>3000</v>
      </c>
      <c r="W281" s="2629" t="n">
        <v>450</v>
      </c>
      <c r="X281" s="2619"/>
      <c r="Y281" s="2619"/>
      <c r="Z281" s="2619"/>
      <c r="AA281" s="2621" t="s">
        <v>27</v>
      </c>
      <c r="AB281" s="2315"/>
      <c r="AC281" s="2315"/>
      <c r="AD281" s="2315" t="n">
        <v>194</v>
      </c>
      <c r="AG281" s="2315" t="n">
        <v>12.3</v>
      </c>
      <c r="AH281" s="2606" t="n">
        <f aca="false">AG281*3.1415926535897/180</f>
        <v>0.214675497995296</v>
      </c>
      <c r="AI281" s="2606" t="n">
        <f aca="false">AH281+0.0005</f>
        <v>0.215175497995296</v>
      </c>
      <c r="AJ281" s="2606" t="n">
        <f aca="false">AH281-0.0005</f>
        <v>0.214175497995296</v>
      </c>
      <c r="AK281" s="2315" t="n">
        <f aca="false">IF(AND(дома!$Z$29&gt;=AJ281,дома!$Z$29&lt;=AI281),связи1!AG281,0)</f>
        <v>0</v>
      </c>
      <c r="AL281" s="2315" t="n">
        <f aca="false">IF(AND(дома!$AA$29&gt;=AJ281,дома!$AA$29&lt;=AI281),связи1!AG281,0)</f>
        <v>0</v>
      </c>
    </row>
    <row r="282" customFormat="false" ht="15.5" hidden="false" customHeight="false" outlineLevel="0" collapsed="false">
      <c r="A282" s="2634" t="s">
        <v>4444</v>
      </c>
      <c r="B282" s="114" t="n">
        <v>250</v>
      </c>
      <c r="C282" s="114" t="n">
        <v>100</v>
      </c>
      <c r="D282" s="2634" t="n">
        <v>625</v>
      </c>
      <c r="E282" s="2635" t="n">
        <f aca="false">B282*C282*D282/100000000</f>
        <v>0.15625</v>
      </c>
      <c r="F282" s="2636" t="n">
        <v>4500</v>
      </c>
      <c r="G282" s="2622" t="n">
        <v>3500</v>
      </c>
      <c r="H282" s="2629" t="n">
        <v>450</v>
      </c>
      <c r="I282" s="2621" t="s">
        <v>4445</v>
      </c>
      <c r="J282" s="2621" t="s">
        <v>4446</v>
      </c>
      <c r="K282" s="2622" t="n">
        <v>250</v>
      </c>
      <c r="L282" s="2622" t="n">
        <v>100</v>
      </c>
      <c r="M282" s="2622" t="n">
        <v>625</v>
      </c>
      <c r="N282" s="2634" t="s">
        <v>4447</v>
      </c>
      <c r="O282" s="2621" t="s">
        <v>4448</v>
      </c>
      <c r="P282" s="2621" t="s">
        <v>4449</v>
      </c>
      <c r="Q282" s="114" t="n">
        <v>250</v>
      </c>
      <c r="R282" s="114" t="n">
        <v>100</v>
      </c>
      <c r="S282" s="2634" t="n">
        <v>625</v>
      </c>
      <c r="T282" s="2635" t="n">
        <f aca="false">Q282*R282*S282/100000000</f>
        <v>0.15625</v>
      </c>
      <c r="U282" s="2636" t="n">
        <v>4500</v>
      </c>
      <c r="V282" s="2622" t="n">
        <v>3500</v>
      </c>
      <c r="W282" s="2629" t="n">
        <v>450</v>
      </c>
      <c r="X282" s="2619"/>
      <c r="Y282" s="2619"/>
      <c r="Z282" s="2619"/>
      <c r="AA282" s="2621"/>
      <c r="AB282" s="2315"/>
      <c r="AC282" s="2315"/>
      <c r="AD282" s="2315"/>
      <c r="AG282" s="2315"/>
      <c r="AH282" s="2606"/>
      <c r="AI282" s="2606"/>
      <c r="AJ282" s="2606"/>
      <c r="AK282" s="2315"/>
      <c r="AL282" s="2315"/>
    </row>
    <row r="283" customFormat="false" ht="15.5" hidden="false" customHeight="false" outlineLevel="0" collapsed="false">
      <c r="A283" s="2634" t="s">
        <v>4450</v>
      </c>
      <c r="B283" s="114" t="n">
        <v>250</v>
      </c>
      <c r="C283" s="114" t="n">
        <v>200</v>
      </c>
      <c r="D283" s="2634" t="n">
        <v>625</v>
      </c>
      <c r="E283" s="2635" t="n">
        <f aca="false">B283*C283*D283/100000000</f>
        <v>0.3125</v>
      </c>
      <c r="F283" s="2636" t="n">
        <v>4500</v>
      </c>
      <c r="G283" s="2622" t="n">
        <v>3500</v>
      </c>
      <c r="H283" s="2629" t="n">
        <v>450</v>
      </c>
      <c r="I283" s="2621" t="s">
        <v>4451</v>
      </c>
      <c r="J283" s="2621" t="s">
        <v>4452</v>
      </c>
      <c r="K283" s="2622" t="n">
        <v>250</v>
      </c>
      <c r="L283" s="2622" t="n">
        <v>200</v>
      </c>
      <c r="M283" s="2622" t="n">
        <v>625</v>
      </c>
      <c r="N283" s="2634" t="s">
        <v>4453</v>
      </c>
      <c r="O283" s="2621" t="s">
        <v>4454</v>
      </c>
      <c r="P283" s="2621" t="s">
        <v>4455</v>
      </c>
      <c r="Q283" s="114" t="n">
        <v>250</v>
      </c>
      <c r="R283" s="114" t="n">
        <v>200</v>
      </c>
      <c r="S283" s="2634" t="n">
        <v>625</v>
      </c>
      <c r="T283" s="2635" t="n">
        <f aca="false">Q283*R283*S283/100000000</f>
        <v>0.3125</v>
      </c>
      <c r="U283" s="2636" t="n">
        <v>4500</v>
      </c>
      <c r="V283" s="2622" t="n">
        <v>3500</v>
      </c>
      <c r="W283" s="2629" t="n">
        <v>450</v>
      </c>
      <c r="X283" s="2619"/>
      <c r="Y283" s="2619"/>
      <c r="Z283" s="2619"/>
      <c r="AA283" s="2315" t="s">
        <v>4456</v>
      </c>
      <c r="AB283" s="2315" t="n">
        <v>250</v>
      </c>
      <c r="AC283" s="2315" t="n">
        <v>200</v>
      </c>
      <c r="AD283" s="2315" t="n">
        <v>200</v>
      </c>
      <c r="AG283" s="2315" t="n">
        <v>12.4</v>
      </c>
      <c r="AH283" s="2606" t="n">
        <f aca="false">AG283*3.1415926535897/180</f>
        <v>0.21642082724729</v>
      </c>
      <c r="AI283" s="2606" t="n">
        <f aca="false">AH283+0.0005</f>
        <v>0.21692082724729</v>
      </c>
      <c r="AJ283" s="2606" t="n">
        <f aca="false">AH283-0.0005</f>
        <v>0.21592082724729</v>
      </c>
      <c r="AK283" s="2315" t="n">
        <f aca="false">IF(AND(дома!$Z$29&gt;=AJ283,дома!$Z$29&lt;=AI283),связи1!AG283,0)</f>
        <v>0</v>
      </c>
      <c r="AL283" s="2315" t="n">
        <f aca="false">IF(AND(дома!$AA$29&gt;=AJ283,дома!$AA$29&lt;=AI283),связи1!AG283,0)</f>
        <v>0</v>
      </c>
    </row>
    <row r="284" customFormat="false" ht="15.5" hidden="false" customHeight="false" outlineLevel="0" collapsed="false">
      <c r="A284" s="2634" t="s">
        <v>4457</v>
      </c>
      <c r="B284" s="114" t="n">
        <v>250</v>
      </c>
      <c r="C284" s="114" t="n">
        <v>240</v>
      </c>
      <c r="D284" s="2634" t="n">
        <v>625</v>
      </c>
      <c r="E284" s="2635" t="n">
        <f aca="false">B284*C284*D284/100000000</f>
        <v>0.375</v>
      </c>
      <c r="F284" s="2636" t="n">
        <v>4500</v>
      </c>
      <c r="G284" s="2622" t="n">
        <v>3500</v>
      </c>
      <c r="H284" s="2629" t="n">
        <v>450</v>
      </c>
      <c r="I284" s="2621" t="s">
        <v>4458</v>
      </c>
      <c r="J284" s="2621" t="s">
        <v>4459</v>
      </c>
      <c r="K284" s="2622" t="n">
        <v>250</v>
      </c>
      <c r="L284" s="2622" t="n">
        <v>240</v>
      </c>
      <c r="M284" s="2622" t="n">
        <v>625</v>
      </c>
      <c r="N284" s="2634" t="s">
        <v>4460</v>
      </c>
      <c r="O284" s="2621" t="s">
        <v>4461</v>
      </c>
      <c r="P284" s="2621" t="s">
        <v>4462</v>
      </c>
      <c r="Q284" s="114" t="n">
        <v>250</v>
      </c>
      <c r="R284" s="114" t="n">
        <v>240</v>
      </c>
      <c r="S284" s="2634" t="n">
        <v>625</v>
      </c>
      <c r="T284" s="2635" t="n">
        <f aca="false">Q284*R284*S284/100000000</f>
        <v>0.375</v>
      </c>
      <c r="U284" s="2636" t="n">
        <v>4500</v>
      </c>
      <c r="V284" s="2622" t="n">
        <v>3500</v>
      </c>
      <c r="W284" s="2629" t="n">
        <v>450</v>
      </c>
      <c r="X284" s="2619"/>
      <c r="Y284" s="2619"/>
      <c r="Z284" s="2619"/>
      <c r="AA284" s="2315" t="s">
        <v>4463</v>
      </c>
      <c r="AB284" s="2315" t="n">
        <v>250</v>
      </c>
      <c r="AC284" s="2315" t="n">
        <v>240</v>
      </c>
      <c r="AD284" s="2315" t="n">
        <v>200</v>
      </c>
      <c r="AG284" s="2315" t="n">
        <v>12.5</v>
      </c>
      <c r="AH284" s="2606" t="n">
        <f aca="false">AG284*3.1415926535897/180</f>
        <v>0.218166156499285</v>
      </c>
      <c r="AI284" s="2606" t="n">
        <f aca="false">AH284+0.0005</f>
        <v>0.218666156499285</v>
      </c>
      <c r="AJ284" s="2606" t="n">
        <f aca="false">AH284-0.0005</f>
        <v>0.217666156499285</v>
      </c>
      <c r="AK284" s="2315" t="n">
        <f aca="false">IF(AND(дома!$Z$29&gt;=AJ284,дома!$Z$29&lt;=AI284),связи1!AG284,0)</f>
        <v>0</v>
      </c>
      <c r="AL284" s="2315" t="n">
        <f aca="false">IF(AND(дома!$AA$29&gt;=AJ284,дома!$AA$29&lt;=AI284),связи1!AG284,0)</f>
        <v>0</v>
      </c>
    </row>
    <row r="285" customFormat="false" ht="15.5" hidden="false" customHeight="false" outlineLevel="0" collapsed="false">
      <c r="A285" s="2634" t="s">
        <v>4464</v>
      </c>
      <c r="B285" s="114" t="n">
        <v>250</v>
      </c>
      <c r="C285" s="114" t="n">
        <v>300</v>
      </c>
      <c r="D285" s="2634" t="n">
        <v>625</v>
      </c>
      <c r="E285" s="2635" t="n">
        <f aca="false">B285*C285*D285/100000000</f>
        <v>0.46875</v>
      </c>
      <c r="F285" s="2636" t="n">
        <v>4500</v>
      </c>
      <c r="G285" s="2622" t="n">
        <v>3500</v>
      </c>
      <c r="H285" s="2629" t="n">
        <v>450</v>
      </c>
      <c r="I285" s="2621" t="s">
        <v>4465</v>
      </c>
      <c r="J285" s="2621" t="s">
        <v>4466</v>
      </c>
      <c r="K285" s="2622" t="n">
        <v>250</v>
      </c>
      <c r="L285" s="2629" t="n">
        <v>300</v>
      </c>
      <c r="M285" s="2622" t="n">
        <v>625</v>
      </c>
      <c r="N285" s="2634" t="s">
        <v>4467</v>
      </c>
      <c r="O285" s="2621" t="s">
        <v>4468</v>
      </c>
      <c r="P285" s="2621" t="s">
        <v>4469</v>
      </c>
      <c r="Q285" s="114" t="n">
        <v>250</v>
      </c>
      <c r="R285" s="114" t="n">
        <v>300</v>
      </c>
      <c r="S285" s="2634" t="n">
        <v>625</v>
      </c>
      <c r="T285" s="2635" t="n">
        <f aca="false">Q285*R285*S285/100000000</f>
        <v>0.46875</v>
      </c>
      <c r="U285" s="2636" t="n">
        <v>4500</v>
      </c>
      <c r="V285" s="2622" t="n">
        <v>3500</v>
      </c>
      <c r="W285" s="2629" t="n">
        <v>450</v>
      </c>
      <c r="X285" s="2619"/>
      <c r="Y285" s="2619"/>
      <c r="Z285" s="2619"/>
      <c r="AA285" s="2315" t="s">
        <v>4470</v>
      </c>
      <c r="AB285" s="2315" t="n">
        <v>250</v>
      </c>
      <c r="AC285" s="2315" t="n">
        <v>300</v>
      </c>
      <c r="AD285" s="2315" t="n">
        <v>200</v>
      </c>
      <c r="AG285" s="2315" t="n">
        <v>12.6</v>
      </c>
      <c r="AH285" s="2606" t="n">
        <f aca="false">AG285*3.1415926535897/180</f>
        <v>0.219911485751279</v>
      </c>
      <c r="AI285" s="2606" t="n">
        <f aca="false">AH285+0.0005</f>
        <v>0.220411485751279</v>
      </c>
      <c r="AJ285" s="2606" t="n">
        <f aca="false">AH285-0.0005</f>
        <v>0.219411485751279</v>
      </c>
      <c r="AK285" s="2315" t="n">
        <f aca="false">IF(AND(дома!$Z$29&gt;=AJ285,дома!$Z$29&lt;=AI285),связи1!AG285,0)</f>
        <v>0</v>
      </c>
      <c r="AL285" s="2315" t="n">
        <f aca="false">IF(AND(дома!$AA$29&gt;=AJ285,дома!$AA$29&lt;=AI285),связи1!AG285,0)</f>
        <v>0</v>
      </c>
    </row>
    <row r="286" customFormat="false" ht="15.5" hidden="false" customHeight="false" outlineLevel="0" collapsed="false">
      <c r="A286" s="2634" t="s">
        <v>4471</v>
      </c>
      <c r="B286" s="114" t="n">
        <v>250</v>
      </c>
      <c r="C286" s="114" t="n">
        <v>400</v>
      </c>
      <c r="D286" s="2634" t="n">
        <v>625</v>
      </c>
      <c r="E286" s="2635" t="n">
        <f aca="false">B286*C286*D286/100000000</f>
        <v>0.625</v>
      </c>
      <c r="F286" s="2636" t="n">
        <v>4500</v>
      </c>
      <c r="G286" s="2622" t="n">
        <v>3500</v>
      </c>
      <c r="H286" s="2629" t="n">
        <v>450</v>
      </c>
      <c r="I286" s="2621" t="s">
        <v>4472</v>
      </c>
      <c r="J286" s="2621" t="s">
        <v>4473</v>
      </c>
      <c r="K286" s="2622" t="n">
        <v>250</v>
      </c>
      <c r="L286" s="2622" t="n">
        <v>400</v>
      </c>
      <c r="M286" s="2622" t="n">
        <v>625</v>
      </c>
      <c r="N286" s="2634" t="s">
        <v>4474</v>
      </c>
      <c r="O286" s="2621" t="s">
        <v>4475</v>
      </c>
      <c r="P286" s="2621" t="s">
        <v>4476</v>
      </c>
      <c r="Q286" s="114" t="n">
        <v>250</v>
      </c>
      <c r="R286" s="114" t="n">
        <v>400</v>
      </c>
      <c r="S286" s="2634" t="n">
        <v>625</v>
      </c>
      <c r="T286" s="2635" t="n">
        <f aca="false">Q286*R286*S286/100000000</f>
        <v>0.625</v>
      </c>
      <c r="U286" s="2636" t="n">
        <v>4500</v>
      </c>
      <c r="V286" s="2622" t="n">
        <v>3500</v>
      </c>
      <c r="W286" s="2629" t="n">
        <v>450</v>
      </c>
      <c r="X286" s="596"/>
      <c r="Y286" s="596"/>
      <c r="Z286" s="596"/>
      <c r="AA286" s="2315" t="s">
        <v>4477</v>
      </c>
      <c r="AB286" s="2315" t="n">
        <v>250</v>
      </c>
      <c r="AC286" s="2315" t="n">
        <v>400</v>
      </c>
      <c r="AD286" s="2315" t="n">
        <v>200</v>
      </c>
      <c r="AG286" s="2315" t="n">
        <v>12.7</v>
      </c>
      <c r="AH286" s="2606" t="n">
        <f aca="false">AG286*3.1415926535897/180</f>
        <v>0.221656815003273</v>
      </c>
      <c r="AI286" s="2606" t="n">
        <f aca="false">AH286+0.0005</f>
        <v>0.222156815003273</v>
      </c>
      <c r="AJ286" s="2606" t="n">
        <f aca="false">AH286-0.0005</f>
        <v>0.221156815003273</v>
      </c>
      <c r="AK286" s="2315" t="n">
        <f aca="false">IF(AND(дома!$Z$29&gt;=AJ286,дома!$Z$29&lt;=AI286),связи1!AG286,0)</f>
        <v>0</v>
      </c>
      <c r="AL286" s="2315" t="n">
        <f aca="false">IF(AND(дома!$AA$29&gt;=AJ286,дома!$AA$29&lt;=AI286),связи1!AG286,0)</f>
        <v>0</v>
      </c>
    </row>
    <row r="287" customFormat="false" ht="15.5" hidden="false" customHeight="false" outlineLevel="0" collapsed="false">
      <c r="A287" s="2634" t="s">
        <v>4478</v>
      </c>
      <c r="B287" s="114" t="n">
        <v>250</v>
      </c>
      <c r="C287" s="114" t="n">
        <v>100</v>
      </c>
      <c r="D287" s="2634" t="n">
        <v>625</v>
      </c>
      <c r="E287" s="2635" t="n">
        <f aca="false">B287*C287*D287/100000000</f>
        <v>0.15625</v>
      </c>
      <c r="F287" s="2636" t="n">
        <v>4500</v>
      </c>
      <c r="G287" s="2622" t="n">
        <v>3500</v>
      </c>
      <c r="H287" s="2629" t="n">
        <v>450</v>
      </c>
      <c r="I287" s="2621" t="s">
        <v>4445</v>
      </c>
      <c r="J287" s="2621" t="s">
        <v>4446</v>
      </c>
      <c r="K287" s="2622" t="n">
        <v>250</v>
      </c>
      <c r="L287" s="2622" t="n">
        <v>100</v>
      </c>
      <c r="M287" s="2622" t="n">
        <v>625</v>
      </c>
      <c r="N287" s="2634" t="s">
        <v>4479</v>
      </c>
      <c r="O287" s="2621" t="s">
        <v>4448</v>
      </c>
      <c r="P287" s="2621" t="s">
        <v>4449</v>
      </c>
      <c r="Q287" s="114" t="n">
        <v>250</v>
      </c>
      <c r="R287" s="114" t="n">
        <v>100</v>
      </c>
      <c r="S287" s="2634" t="n">
        <v>625</v>
      </c>
      <c r="T287" s="2635" t="n">
        <f aca="false">Q287*R287*S287/100000000</f>
        <v>0.15625</v>
      </c>
      <c r="U287" s="2636" t="n">
        <v>4500</v>
      </c>
      <c r="V287" s="2622" t="n">
        <v>3500</v>
      </c>
      <c r="W287" s="2629" t="n">
        <v>450</v>
      </c>
      <c r="X287" s="596"/>
      <c r="Y287" s="596"/>
      <c r="Z287" s="596"/>
      <c r="AA287" s="2315"/>
      <c r="AB287" s="2315"/>
      <c r="AC287" s="2315"/>
      <c r="AD287" s="2315"/>
      <c r="AG287" s="2315"/>
      <c r="AH287" s="2606"/>
      <c r="AI287" s="2606"/>
      <c r="AJ287" s="2606"/>
      <c r="AK287" s="2315"/>
      <c r="AL287" s="2315"/>
    </row>
    <row r="288" customFormat="false" ht="15.5" hidden="false" customHeight="false" outlineLevel="0" collapsed="false">
      <c r="A288" s="2634" t="s">
        <v>4480</v>
      </c>
      <c r="B288" s="114" t="n">
        <v>250</v>
      </c>
      <c r="C288" s="114" t="n">
        <v>200</v>
      </c>
      <c r="D288" s="2634" t="n">
        <v>625</v>
      </c>
      <c r="E288" s="2635" t="n">
        <f aca="false">B288*C288*D288/100000000</f>
        <v>0.3125</v>
      </c>
      <c r="F288" s="2636" t="n">
        <v>4500</v>
      </c>
      <c r="G288" s="2622" t="n">
        <v>3500</v>
      </c>
      <c r="H288" s="2629" t="n">
        <v>450</v>
      </c>
      <c r="I288" s="2621" t="s">
        <v>4451</v>
      </c>
      <c r="J288" s="2621" t="s">
        <v>4452</v>
      </c>
      <c r="K288" s="2622" t="n">
        <v>250</v>
      </c>
      <c r="L288" s="2622" t="n">
        <v>200</v>
      </c>
      <c r="M288" s="2622" t="n">
        <v>625</v>
      </c>
      <c r="N288" s="2634" t="s">
        <v>4481</v>
      </c>
      <c r="O288" s="2621" t="s">
        <v>4454</v>
      </c>
      <c r="P288" s="2621" t="s">
        <v>4455</v>
      </c>
      <c r="Q288" s="114" t="n">
        <v>250</v>
      </c>
      <c r="R288" s="114" t="n">
        <v>200</v>
      </c>
      <c r="S288" s="2634" t="n">
        <v>625</v>
      </c>
      <c r="T288" s="2635" t="n">
        <f aca="false">Q288*R288*S288/100000000</f>
        <v>0.3125</v>
      </c>
      <c r="U288" s="2636" t="n">
        <v>4500</v>
      </c>
      <c r="V288" s="2622" t="n">
        <v>3500</v>
      </c>
      <c r="W288" s="2629" t="n">
        <v>450</v>
      </c>
      <c r="X288" s="2619"/>
      <c r="Y288" s="2619"/>
      <c r="Z288" s="2619"/>
      <c r="AA288" s="2315" t="s">
        <v>4456</v>
      </c>
      <c r="AB288" s="2315" t="n">
        <v>250</v>
      </c>
      <c r="AC288" s="2315" t="n">
        <v>200</v>
      </c>
      <c r="AD288" s="2315" t="n">
        <v>200</v>
      </c>
      <c r="AG288" s="2315" t="n">
        <v>12.8</v>
      </c>
      <c r="AH288" s="2606" t="n">
        <f aca="false">AG288*3.1415926535897/180</f>
        <v>0.223402144255268</v>
      </c>
      <c r="AI288" s="2606" t="n">
        <f aca="false">AH288+0.0005</f>
        <v>0.223902144255268</v>
      </c>
      <c r="AJ288" s="2606" t="n">
        <f aca="false">AH288-0.0005</f>
        <v>0.222902144255268</v>
      </c>
      <c r="AK288" s="2315" t="n">
        <f aca="false">IF(AND(дома!$Z$29&gt;=AJ288,дома!$Z$29&lt;=AI288),связи1!AG288,0)</f>
        <v>0</v>
      </c>
      <c r="AL288" s="2315" t="n">
        <f aca="false">IF(AND(дома!$AA$29&gt;=AJ288,дома!$AA$29&lt;=AI288),связи1!AG288,0)</f>
        <v>0</v>
      </c>
    </row>
    <row r="289" customFormat="false" ht="15.5" hidden="false" customHeight="false" outlineLevel="0" collapsed="false">
      <c r="A289" s="2634" t="s">
        <v>4482</v>
      </c>
      <c r="B289" s="114" t="n">
        <v>250</v>
      </c>
      <c r="C289" s="114" t="n">
        <v>240</v>
      </c>
      <c r="D289" s="2634" t="n">
        <v>625</v>
      </c>
      <c r="E289" s="2635" t="n">
        <f aca="false">B289*C289*D289/100000000</f>
        <v>0.375</v>
      </c>
      <c r="F289" s="2636" t="n">
        <v>4500</v>
      </c>
      <c r="G289" s="2622" t="n">
        <v>3500</v>
      </c>
      <c r="H289" s="2629" t="n">
        <v>450</v>
      </c>
      <c r="I289" s="2621" t="s">
        <v>4458</v>
      </c>
      <c r="J289" s="2621" t="s">
        <v>4459</v>
      </c>
      <c r="K289" s="2622" t="n">
        <v>250</v>
      </c>
      <c r="L289" s="2622" t="n">
        <v>240</v>
      </c>
      <c r="M289" s="2622" t="n">
        <v>625</v>
      </c>
      <c r="N289" s="2634" t="s">
        <v>4483</v>
      </c>
      <c r="O289" s="2621" t="s">
        <v>4461</v>
      </c>
      <c r="P289" s="2621" t="s">
        <v>4462</v>
      </c>
      <c r="Q289" s="114" t="n">
        <v>250</v>
      </c>
      <c r="R289" s="114" t="n">
        <v>240</v>
      </c>
      <c r="S289" s="2634" t="n">
        <v>625</v>
      </c>
      <c r="T289" s="2635" t="n">
        <f aca="false">Q289*R289*S289/100000000</f>
        <v>0.375</v>
      </c>
      <c r="U289" s="2636" t="n">
        <v>4500</v>
      </c>
      <c r="V289" s="2622" t="n">
        <v>3500</v>
      </c>
      <c r="W289" s="2629" t="n">
        <v>450</v>
      </c>
      <c r="X289" s="2619"/>
      <c r="Y289" s="2619"/>
      <c r="Z289" s="2619"/>
      <c r="AA289" s="2315" t="s">
        <v>4463</v>
      </c>
      <c r="AB289" s="2315" t="n">
        <v>250</v>
      </c>
      <c r="AC289" s="2315" t="n">
        <v>240</v>
      </c>
      <c r="AD289" s="2315" t="n">
        <v>200</v>
      </c>
      <c r="AG289" s="2315" t="n">
        <v>12.9</v>
      </c>
      <c r="AH289" s="2606" t="n">
        <f aca="false">AG289*3.1415926535897/180</f>
        <v>0.225147473507262</v>
      </c>
      <c r="AI289" s="2606" t="n">
        <f aca="false">AH289+0.0005</f>
        <v>0.225647473507262</v>
      </c>
      <c r="AJ289" s="2606" t="n">
        <f aca="false">AH289-0.0005</f>
        <v>0.224647473507262</v>
      </c>
      <c r="AK289" s="2315" t="n">
        <f aca="false">IF(AND(дома!$Z$29&gt;=AJ289,дома!$Z$29&lt;=AI289),связи1!AG289,0)</f>
        <v>0</v>
      </c>
      <c r="AL289" s="2315" t="n">
        <f aca="false">IF(AND(дома!$AA$29&gt;=AJ289,дома!$AA$29&lt;=AI289),связи1!AG289,0)</f>
        <v>0</v>
      </c>
    </row>
    <row r="290" customFormat="false" ht="15.5" hidden="false" customHeight="false" outlineLevel="0" collapsed="false">
      <c r="A290" s="2634" t="s">
        <v>4484</v>
      </c>
      <c r="B290" s="114" t="n">
        <v>250</v>
      </c>
      <c r="C290" s="114" t="n">
        <v>300</v>
      </c>
      <c r="D290" s="2634" t="n">
        <v>625</v>
      </c>
      <c r="E290" s="2635" t="n">
        <f aca="false">B290*C290*D290/100000000</f>
        <v>0.46875</v>
      </c>
      <c r="F290" s="2636" t="n">
        <v>4500</v>
      </c>
      <c r="G290" s="2622" t="n">
        <v>3500</v>
      </c>
      <c r="H290" s="2629" t="n">
        <v>450</v>
      </c>
      <c r="I290" s="2621" t="s">
        <v>4465</v>
      </c>
      <c r="J290" s="2621" t="s">
        <v>4466</v>
      </c>
      <c r="K290" s="2622" t="n">
        <v>250</v>
      </c>
      <c r="L290" s="2629" t="n">
        <v>300</v>
      </c>
      <c r="M290" s="2622" t="n">
        <v>625</v>
      </c>
      <c r="N290" s="2634" t="s">
        <v>4485</v>
      </c>
      <c r="O290" s="2621" t="s">
        <v>4468</v>
      </c>
      <c r="P290" s="2621" t="s">
        <v>4469</v>
      </c>
      <c r="Q290" s="114" t="n">
        <v>250</v>
      </c>
      <c r="R290" s="114" t="n">
        <v>300</v>
      </c>
      <c r="S290" s="2634" t="n">
        <v>625</v>
      </c>
      <c r="T290" s="2635" t="n">
        <f aca="false">Q290*R290*S290/100000000</f>
        <v>0.46875</v>
      </c>
      <c r="U290" s="2636" t="n">
        <v>4500</v>
      </c>
      <c r="V290" s="2622" t="n">
        <v>3500</v>
      </c>
      <c r="W290" s="2629" t="n">
        <v>450</v>
      </c>
      <c r="X290" s="596"/>
      <c r="Y290" s="596"/>
      <c r="Z290" s="596"/>
      <c r="AA290" s="2315" t="s">
        <v>4470</v>
      </c>
      <c r="AB290" s="2315" t="n">
        <v>250</v>
      </c>
      <c r="AC290" s="2315" t="n">
        <v>300</v>
      </c>
      <c r="AD290" s="2315" t="n">
        <v>200</v>
      </c>
      <c r="AG290" s="2315" t="n">
        <v>13</v>
      </c>
      <c r="AH290" s="2606" t="n">
        <f aca="false">AG290*3.1415926535897/180</f>
        <v>0.226892802759256</v>
      </c>
      <c r="AI290" s="2606" t="n">
        <f aca="false">AH290+0.0005</f>
        <v>0.227392802759256</v>
      </c>
      <c r="AJ290" s="2606" t="n">
        <f aca="false">AH290-0.0005</f>
        <v>0.226392802759256</v>
      </c>
      <c r="AK290" s="2315" t="n">
        <f aca="false">IF(AND(дома!$Z$29&gt;=AJ290,дома!$Z$29&lt;=AI290),связи1!AG290,0)</f>
        <v>0</v>
      </c>
      <c r="AL290" s="2315" t="n">
        <f aca="false">IF(AND(дома!$AA$29&gt;=AJ290,дома!$AA$29&lt;=AI290),связи1!AG290,0)</f>
        <v>0</v>
      </c>
    </row>
    <row r="291" customFormat="false" ht="15.5" hidden="false" customHeight="false" outlineLevel="0" collapsed="false">
      <c r="A291" s="2634" t="s">
        <v>4486</v>
      </c>
      <c r="B291" s="114" t="n">
        <v>250</v>
      </c>
      <c r="C291" s="114" t="n">
        <v>400</v>
      </c>
      <c r="D291" s="2634" t="n">
        <v>625</v>
      </c>
      <c r="E291" s="2635" t="n">
        <f aca="false">B291*C291*D291/100000000</f>
        <v>0.625</v>
      </c>
      <c r="F291" s="2636" t="n">
        <v>4500</v>
      </c>
      <c r="G291" s="2622" t="n">
        <v>3500</v>
      </c>
      <c r="H291" s="2629" t="n">
        <v>450</v>
      </c>
      <c r="I291" s="2621" t="s">
        <v>4472</v>
      </c>
      <c r="J291" s="2621" t="s">
        <v>4473</v>
      </c>
      <c r="K291" s="2622" t="n">
        <v>250</v>
      </c>
      <c r="L291" s="2622" t="n">
        <v>400</v>
      </c>
      <c r="M291" s="2622" t="n">
        <v>625</v>
      </c>
      <c r="N291" s="2634" t="s">
        <v>4487</v>
      </c>
      <c r="O291" s="2621" t="s">
        <v>4475</v>
      </c>
      <c r="P291" s="2621" t="s">
        <v>4476</v>
      </c>
      <c r="Q291" s="114" t="n">
        <v>250</v>
      </c>
      <c r="R291" s="114" t="n">
        <v>400</v>
      </c>
      <c r="S291" s="2634" t="n">
        <v>625</v>
      </c>
      <c r="T291" s="2635" t="n">
        <f aca="false">Q291*R291*S291/100000000</f>
        <v>0.625</v>
      </c>
      <c r="U291" s="2636" t="n">
        <v>4500</v>
      </c>
      <c r="V291" s="2622" t="n">
        <v>3500</v>
      </c>
      <c r="W291" s="2629" t="n">
        <v>450</v>
      </c>
      <c r="X291" s="2619"/>
      <c r="Y291" s="2619"/>
      <c r="Z291" s="2619"/>
      <c r="AA291" s="2315" t="s">
        <v>4477</v>
      </c>
      <c r="AB291" s="2315" t="n">
        <v>250</v>
      </c>
      <c r="AC291" s="2315" t="n">
        <v>400</v>
      </c>
      <c r="AD291" s="2315" t="n">
        <v>200</v>
      </c>
      <c r="AG291" s="2315" t="n">
        <v>13.1</v>
      </c>
      <c r="AH291" s="2606" t="n">
        <f aca="false">AG291*3.1415926535897/180</f>
        <v>0.22863813201125</v>
      </c>
      <c r="AI291" s="2606" t="n">
        <f aca="false">AH291+0.0005</f>
        <v>0.22913813201125</v>
      </c>
      <c r="AJ291" s="2606" t="n">
        <f aca="false">AH291-0.0005</f>
        <v>0.22813813201125</v>
      </c>
      <c r="AK291" s="2315" t="n">
        <f aca="false">IF(AND(дома!$Z$29&gt;=AJ291,дома!$Z$29&lt;=AI291),связи1!AG291,0)</f>
        <v>0</v>
      </c>
      <c r="AL291" s="2315" t="n">
        <f aca="false">IF(AND(дома!$AA$29&gt;=AJ291,дома!$AA$29&lt;=AI291),связи1!AG291,0)</f>
        <v>0</v>
      </c>
    </row>
    <row r="292" customFormat="false" ht="15.5" hidden="false" customHeight="false" outlineLevel="0" collapsed="false">
      <c r="A292" s="2634" t="s">
        <v>4488</v>
      </c>
      <c r="B292" s="114" t="n">
        <v>250</v>
      </c>
      <c r="C292" s="114" t="n">
        <v>100</v>
      </c>
      <c r="D292" s="2634" t="n">
        <v>625</v>
      </c>
      <c r="E292" s="2635" t="n">
        <f aca="false">B292*C292*D292/100000000</f>
        <v>0.15625</v>
      </c>
      <c r="F292" s="2636" t="n">
        <v>4500</v>
      </c>
      <c r="G292" s="2622" t="n">
        <v>3500</v>
      </c>
      <c r="H292" s="2629" t="n">
        <v>450</v>
      </c>
      <c r="I292" s="2621" t="s">
        <v>4445</v>
      </c>
      <c r="J292" s="2621" t="s">
        <v>4446</v>
      </c>
      <c r="K292" s="2622" t="n">
        <v>250</v>
      </c>
      <c r="L292" s="2622" t="n">
        <v>100</v>
      </c>
      <c r="M292" s="2622" t="n">
        <v>625</v>
      </c>
      <c r="N292" s="2634" t="s">
        <v>4489</v>
      </c>
      <c r="O292" s="2621" t="s">
        <v>4448</v>
      </c>
      <c r="P292" s="2621" t="s">
        <v>4449</v>
      </c>
      <c r="Q292" s="114" t="n">
        <v>250</v>
      </c>
      <c r="R292" s="114" t="n">
        <v>100</v>
      </c>
      <c r="S292" s="2634" t="n">
        <v>625</v>
      </c>
      <c r="T292" s="2635" t="n">
        <f aca="false">Q292*R292*S292/100000000</f>
        <v>0.15625</v>
      </c>
      <c r="U292" s="2636" t="n">
        <v>4500</v>
      </c>
      <c r="V292" s="2622" t="n">
        <v>3500</v>
      </c>
      <c r="W292" s="2629" t="n">
        <v>450</v>
      </c>
      <c r="X292" s="2619"/>
      <c r="Y292" s="2619"/>
      <c r="Z292" s="2619"/>
      <c r="AA292" s="2315"/>
      <c r="AB292" s="2315"/>
      <c r="AC292" s="2315"/>
      <c r="AD292" s="2315"/>
      <c r="AG292" s="2315"/>
      <c r="AH292" s="2606"/>
      <c r="AI292" s="2606"/>
      <c r="AJ292" s="2606"/>
      <c r="AK292" s="2315"/>
      <c r="AL292" s="2315"/>
    </row>
    <row r="293" customFormat="false" ht="15.5" hidden="false" customHeight="false" outlineLevel="0" collapsed="false">
      <c r="A293" s="2634" t="s">
        <v>4490</v>
      </c>
      <c r="B293" s="114" t="n">
        <v>250</v>
      </c>
      <c r="C293" s="114" t="n">
        <v>200</v>
      </c>
      <c r="D293" s="2634" t="n">
        <v>625</v>
      </c>
      <c r="E293" s="2635" t="n">
        <f aca="false">B293*C293*D293/100000000</f>
        <v>0.3125</v>
      </c>
      <c r="F293" s="2636" t="n">
        <v>4500</v>
      </c>
      <c r="G293" s="2622" t="n">
        <v>3500</v>
      </c>
      <c r="H293" s="2629" t="n">
        <v>450</v>
      </c>
      <c r="I293" s="2621" t="s">
        <v>4451</v>
      </c>
      <c r="J293" s="2621" t="s">
        <v>4452</v>
      </c>
      <c r="K293" s="2622" t="n">
        <v>250</v>
      </c>
      <c r="L293" s="2622" t="n">
        <v>200</v>
      </c>
      <c r="M293" s="2622" t="n">
        <v>625</v>
      </c>
      <c r="N293" s="2634" t="s">
        <v>4491</v>
      </c>
      <c r="O293" s="2621" t="s">
        <v>4454</v>
      </c>
      <c r="P293" s="2621" t="s">
        <v>4455</v>
      </c>
      <c r="Q293" s="114" t="n">
        <v>250</v>
      </c>
      <c r="R293" s="114" t="n">
        <v>200</v>
      </c>
      <c r="S293" s="2634" t="n">
        <v>625</v>
      </c>
      <c r="T293" s="2635" t="n">
        <f aca="false">Q293*R293*S293/100000000</f>
        <v>0.3125</v>
      </c>
      <c r="U293" s="2636" t="n">
        <v>4500</v>
      </c>
      <c r="V293" s="2622" t="n">
        <v>3500</v>
      </c>
      <c r="W293" s="2629" t="n">
        <v>450</v>
      </c>
      <c r="X293" s="2619"/>
      <c r="Y293" s="2619"/>
      <c r="Z293" s="2619"/>
      <c r="AA293" s="2315" t="s">
        <v>4456</v>
      </c>
      <c r="AB293" s="2315" t="n">
        <v>250</v>
      </c>
      <c r="AC293" s="2315" t="n">
        <v>200</v>
      </c>
      <c r="AD293" s="2315" t="n">
        <v>200</v>
      </c>
      <c r="AG293" s="2315" t="n">
        <v>13.2</v>
      </c>
      <c r="AH293" s="2606" t="n">
        <f aca="false">AG293*3.1415926535897/180</f>
        <v>0.230383461263245</v>
      </c>
      <c r="AI293" s="2606" t="n">
        <f aca="false">AH293+0.0005</f>
        <v>0.230883461263245</v>
      </c>
      <c r="AJ293" s="2606" t="n">
        <f aca="false">AH293-0.0005</f>
        <v>0.229883461263245</v>
      </c>
      <c r="AK293" s="2315" t="n">
        <f aca="false">IF(AND(дома!$Z$29&gt;=AJ293,дома!$Z$29&lt;=AI293),связи1!AG293,0)</f>
        <v>0</v>
      </c>
      <c r="AL293" s="2315" t="n">
        <f aca="false">IF(AND(дома!$AA$29&gt;=AJ293,дома!$AA$29&lt;=AI293),связи1!AG293,0)</f>
        <v>0</v>
      </c>
    </row>
    <row r="294" customFormat="false" ht="15.5" hidden="false" customHeight="false" outlineLevel="0" collapsed="false">
      <c r="A294" s="2634" t="s">
        <v>4492</v>
      </c>
      <c r="B294" s="114" t="n">
        <v>250</v>
      </c>
      <c r="C294" s="114" t="n">
        <v>240</v>
      </c>
      <c r="D294" s="2634" t="n">
        <v>625</v>
      </c>
      <c r="E294" s="2635" t="n">
        <f aca="false">B294*C294*D294/100000000</f>
        <v>0.375</v>
      </c>
      <c r="F294" s="2636" t="n">
        <v>4500</v>
      </c>
      <c r="G294" s="2622" t="n">
        <v>3500</v>
      </c>
      <c r="H294" s="2629" t="n">
        <v>450</v>
      </c>
      <c r="I294" s="2621" t="s">
        <v>4458</v>
      </c>
      <c r="J294" s="2621" t="s">
        <v>4459</v>
      </c>
      <c r="K294" s="2622" t="n">
        <v>250</v>
      </c>
      <c r="L294" s="2622" t="n">
        <v>240</v>
      </c>
      <c r="M294" s="2622" t="n">
        <v>625</v>
      </c>
      <c r="N294" s="2634" t="s">
        <v>4493</v>
      </c>
      <c r="O294" s="2621" t="s">
        <v>4461</v>
      </c>
      <c r="P294" s="2621" t="s">
        <v>4462</v>
      </c>
      <c r="Q294" s="114" t="n">
        <v>250</v>
      </c>
      <c r="R294" s="114" t="n">
        <v>240</v>
      </c>
      <c r="S294" s="2634" t="n">
        <v>625</v>
      </c>
      <c r="T294" s="2635" t="n">
        <f aca="false">Q294*R294*S294/100000000</f>
        <v>0.375</v>
      </c>
      <c r="U294" s="2636" t="n">
        <v>4500</v>
      </c>
      <c r="V294" s="2622" t="n">
        <v>3500</v>
      </c>
      <c r="W294" s="2629" t="n">
        <v>450</v>
      </c>
      <c r="X294" s="596"/>
      <c r="Y294" s="596"/>
      <c r="Z294" s="596"/>
      <c r="AA294" s="2315" t="s">
        <v>4463</v>
      </c>
      <c r="AB294" s="2315" t="n">
        <v>250</v>
      </c>
      <c r="AC294" s="2315" t="n">
        <v>240</v>
      </c>
      <c r="AD294" s="2315" t="n">
        <v>200</v>
      </c>
      <c r="AG294" s="2315" t="n">
        <v>13.3</v>
      </c>
      <c r="AH294" s="2606" t="n">
        <f aca="false">AG294*3.1415926535897/180</f>
        <v>0.232128790515239</v>
      </c>
      <c r="AI294" s="2606" t="n">
        <f aca="false">AH294+0.0005</f>
        <v>0.232628790515239</v>
      </c>
      <c r="AJ294" s="2606" t="n">
        <f aca="false">AH294-0.0005</f>
        <v>0.231628790515239</v>
      </c>
      <c r="AK294" s="2315" t="n">
        <f aca="false">IF(AND(дома!$Z$29&gt;=AJ294,дома!$Z$29&lt;=AI294),связи1!AG294,0)</f>
        <v>0</v>
      </c>
      <c r="AL294" s="2315" t="n">
        <f aca="false">IF(AND(дома!$AA$29&gt;=AJ294,дома!$AA$29&lt;=AI294),связи1!AG294,0)</f>
        <v>0</v>
      </c>
    </row>
    <row r="295" customFormat="false" ht="15.5" hidden="false" customHeight="false" outlineLevel="0" collapsed="false">
      <c r="A295" s="2634" t="s">
        <v>4494</v>
      </c>
      <c r="B295" s="114" t="n">
        <v>250</v>
      </c>
      <c r="C295" s="114" t="n">
        <v>300</v>
      </c>
      <c r="D295" s="2634" t="n">
        <v>625</v>
      </c>
      <c r="E295" s="2635" t="n">
        <f aca="false">B295*C295*D295/100000000</f>
        <v>0.46875</v>
      </c>
      <c r="F295" s="2636" t="n">
        <v>4500</v>
      </c>
      <c r="G295" s="2622" t="n">
        <v>3500</v>
      </c>
      <c r="H295" s="2629" t="n">
        <v>450</v>
      </c>
      <c r="I295" s="2621" t="s">
        <v>4465</v>
      </c>
      <c r="J295" s="2621" t="s">
        <v>4466</v>
      </c>
      <c r="K295" s="2622" t="n">
        <v>250</v>
      </c>
      <c r="L295" s="2629" t="n">
        <v>300</v>
      </c>
      <c r="M295" s="2622" t="n">
        <v>625</v>
      </c>
      <c r="N295" s="2634" t="s">
        <v>4495</v>
      </c>
      <c r="O295" s="2621" t="s">
        <v>4468</v>
      </c>
      <c r="P295" s="2621" t="s">
        <v>4469</v>
      </c>
      <c r="Q295" s="114" t="n">
        <v>250</v>
      </c>
      <c r="R295" s="114" t="n">
        <v>300</v>
      </c>
      <c r="S295" s="2634" t="n">
        <v>625</v>
      </c>
      <c r="T295" s="2635" t="n">
        <f aca="false">Q295*R295*S295/100000000</f>
        <v>0.46875</v>
      </c>
      <c r="U295" s="2636" t="n">
        <v>4500</v>
      </c>
      <c r="V295" s="2622" t="n">
        <v>3500</v>
      </c>
      <c r="W295" s="2629" t="n">
        <v>450</v>
      </c>
      <c r="X295" s="2619"/>
      <c r="Y295" s="2619"/>
      <c r="Z295" s="2619"/>
      <c r="AA295" s="2315" t="s">
        <v>4470</v>
      </c>
      <c r="AB295" s="2315" t="n">
        <v>250</v>
      </c>
      <c r="AC295" s="2315" t="n">
        <v>300</v>
      </c>
      <c r="AD295" s="2315" t="n">
        <v>200</v>
      </c>
      <c r="AG295" s="2315" t="n">
        <v>13.4</v>
      </c>
      <c r="AH295" s="2606" t="n">
        <f aca="false">AG295*3.1415926535897/180</f>
        <v>0.233874119767233</v>
      </c>
      <c r="AI295" s="2606" t="n">
        <f aca="false">AH295+0.0005</f>
        <v>0.234374119767233</v>
      </c>
      <c r="AJ295" s="2606" t="n">
        <f aca="false">AH295-0.0005</f>
        <v>0.233374119767233</v>
      </c>
      <c r="AK295" s="2315" t="n">
        <f aca="false">IF(AND(дома!$Z$29&gt;=AJ295,дома!$Z$29&lt;=AI295),связи1!AG295,0)</f>
        <v>0</v>
      </c>
      <c r="AL295" s="2315" t="n">
        <f aca="false">IF(AND(дома!$AA$29&gt;=AJ295,дома!$AA$29&lt;=AI295),связи1!AG295,0)</f>
        <v>0</v>
      </c>
    </row>
    <row r="296" customFormat="false" ht="15.5" hidden="false" customHeight="false" outlineLevel="0" collapsed="false">
      <c r="A296" s="2634" t="s">
        <v>4496</v>
      </c>
      <c r="B296" s="114" t="n">
        <v>250</v>
      </c>
      <c r="C296" s="114" t="n">
        <v>400</v>
      </c>
      <c r="D296" s="2634" t="n">
        <v>625</v>
      </c>
      <c r="E296" s="2635" t="n">
        <f aca="false">B296*C296*D296/100000000</f>
        <v>0.625</v>
      </c>
      <c r="F296" s="2636" t="n">
        <v>4500</v>
      </c>
      <c r="G296" s="2622" t="n">
        <v>3500</v>
      </c>
      <c r="H296" s="2629" t="n">
        <v>450</v>
      </c>
      <c r="I296" s="2621" t="s">
        <v>4472</v>
      </c>
      <c r="J296" s="2621" t="s">
        <v>4473</v>
      </c>
      <c r="K296" s="2622" t="n">
        <v>250</v>
      </c>
      <c r="L296" s="2622" t="n">
        <v>400</v>
      </c>
      <c r="M296" s="2622" t="n">
        <v>625</v>
      </c>
      <c r="N296" s="2634" t="s">
        <v>4497</v>
      </c>
      <c r="O296" s="2621" t="s">
        <v>4475</v>
      </c>
      <c r="P296" s="2621" t="s">
        <v>4476</v>
      </c>
      <c r="Q296" s="114" t="n">
        <v>250</v>
      </c>
      <c r="R296" s="114" t="n">
        <v>400</v>
      </c>
      <c r="S296" s="2634" t="n">
        <v>625</v>
      </c>
      <c r="T296" s="2635" t="n">
        <f aca="false">Q296*R296*S296/100000000</f>
        <v>0.625</v>
      </c>
      <c r="U296" s="2636" t="n">
        <v>4500</v>
      </c>
      <c r="V296" s="2622" t="n">
        <v>3500</v>
      </c>
      <c r="W296" s="2629" t="n">
        <v>450</v>
      </c>
      <c r="X296" s="2619"/>
      <c r="Y296" s="2619"/>
      <c r="Z296" s="2619"/>
      <c r="AA296" s="2315" t="s">
        <v>4477</v>
      </c>
      <c r="AB296" s="2315" t="n">
        <v>250</v>
      </c>
      <c r="AC296" s="2315" t="n">
        <v>400</v>
      </c>
      <c r="AD296" s="2315" t="n">
        <v>200</v>
      </c>
      <c r="AG296" s="2315" t="n">
        <v>13.5</v>
      </c>
      <c r="AH296" s="2606" t="n">
        <f aca="false">AG296*3.1415926535897/180</f>
        <v>0.235619449019227</v>
      </c>
      <c r="AI296" s="2606" t="n">
        <f aca="false">AH296+0.0005</f>
        <v>0.236119449019227</v>
      </c>
      <c r="AJ296" s="2606" t="n">
        <f aca="false">AH296-0.0005</f>
        <v>0.235119449019227</v>
      </c>
      <c r="AK296" s="2315" t="n">
        <f aca="false">IF(AND(дома!$Z$29&gt;=AJ296,дома!$Z$29&lt;=AI296),связи1!AG296,0)</f>
        <v>0</v>
      </c>
      <c r="AL296" s="2315" t="n">
        <f aca="false">IF(AND(дома!$AA$29&gt;=AJ296,дома!$AA$29&lt;=AI296),связи1!AG296,0)</f>
        <v>0</v>
      </c>
    </row>
    <row r="297" customFormat="false" ht="14.5" hidden="false" customHeight="false" outlineLevel="0" collapsed="false">
      <c r="A297" s="2315" t="str">
        <f aca="false">'Прайс лист'!B258</f>
        <v>Нет</v>
      </c>
      <c r="B297" s="933" t="n">
        <f aca="false">'Прайс лист'!G258</f>
        <v>0</v>
      </c>
      <c r="C297" s="2315" t="str">
        <f aca="false">A297</f>
        <v>Нет</v>
      </c>
      <c r="D297" s="2315"/>
      <c r="E297" s="2315"/>
      <c r="F297" s="2315" t="n">
        <v>0</v>
      </c>
      <c r="G297" s="2620" t="str">
        <f aca="false">A297</f>
        <v>Нет</v>
      </c>
      <c r="H297" s="2619"/>
      <c r="I297" s="2619"/>
      <c r="J297" s="2637"/>
      <c r="K297" s="2637"/>
      <c r="S297" s="2620"/>
      <c r="T297" s="2619"/>
      <c r="U297" s="2619"/>
      <c r="V297" s="2619"/>
      <c r="W297" s="2619"/>
      <c r="X297" s="2619"/>
      <c r="Y297" s="2619"/>
      <c r="Z297" s="2619"/>
      <c r="AG297" s="2315" t="n">
        <v>13.7</v>
      </c>
      <c r="AH297" s="2606" t="n">
        <f aca="false">AG297*3.1415926535897/180</f>
        <v>0.239110107523216</v>
      </c>
      <c r="AI297" s="2606" t="n">
        <f aca="false">AH297+0.0005</f>
        <v>0.239610107523216</v>
      </c>
      <c r="AJ297" s="2606" t="n">
        <f aca="false">AH297-0.0005</f>
        <v>0.238610107523216</v>
      </c>
      <c r="AK297" s="2315" t="n">
        <f aca="false">IF(AND(дома!$Z$29&gt;=AJ297,дома!$Z$29&lt;=AI297),связи1!AG297,0)</f>
        <v>0</v>
      </c>
      <c r="AL297" s="2315" t="n">
        <f aca="false">IF(AND(дома!$AA$29&gt;=AJ297,дома!$AA$29&lt;=AI297),связи1!AG297,0)</f>
        <v>0</v>
      </c>
    </row>
    <row r="298" customFormat="false" ht="14.5" hidden="false" customHeight="false" outlineLevel="0" collapsed="false">
      <c r="A298" s="2315" t="str">
        <f aca="false">'Прайс лист'!B259</f>
        <v>Sip панель 2500*1250*124мм</v>
      </c>
      <c r="B298" s="933" t="n">
        <f aca="false">'Прайс лист'!G259</f>
        <v>800</v>
      </c>
      <c r="C298" s="2315" t="s">
        <v>2312</v>
      </c>
      <c r="D298" s="2315" t="n">
        <v>0.1</v>
      </c>
      <c r="E298" s="933" t="n">
        <f aca="false">'Прайс лист'!G319</f>
        <v>9000</v>
      </c>
      <c r="F298" s="1002" t="n">
        <v>0.124</v>
      </c>
      <c r="G298" s="2620" t="str">
        <f aca="false">A298</f>
        <v>Sip панель 2500*1250*124мм</v>
      </c>
      <c r="H298" s="1506" t="n">
        <f aca="false">'Прайс лист'!D259</f>
        <v>3</v>
      </c>
      <c r="I298" s="2619" t="n">
        <v>2.5</v>
      </c>
      <c r="J298" s="2637" t="n">
        <v>1.25</v>
      </c>
      <c r="K298" s="2637"/>
      <c r="S298" s="2620"/>
      <c r="T298" s="2619"/>
      <c r="U298" s="2619"/>
      <c r="V298" s="2619"/>
      <c r="W298" s="2619"/>
      <c r="X298" s="2619"/>
      <c r="Y298" s="2619"/>
      <c r="Z298" s="2619"/>
      <c r="AG298" s="2315" t="n">
        <v>13.8</v>
      </c>
      <c r="AH298" s="2606" t="n">
        <f aca="false">AG298*3.1415926535897/180</f>
        <v>0.24085543677521</v>
      </c>
      <c r="AI298" s="2606" t="n">
        <f aca="false">AH298+0.0005</f>
        <v>0.24135543677521</v>
      </c>
      <c r="AJ298" s="2606" t="n">
        <f aca="false">AH298-0.0005</f>
        <v>0.24035543677521</v>
      </c>
      <c r="AK298" s="2315" t="n">
        <f aca="false">IF(AND(дома!$Z$29&gt;=AJ298,дома!$Z$29&lt;=AI298),связи1!AG298,0)</f>
        <v>0</v>
      </c>
      <c r="AL298" s="2315" t="n">
        <f aca="false">IF(AND(дома!$AA$29&gt;=AJ298,дома!$AA$29&lt;=AI298),связи1!AG298,0)</f>
        <v>0</v>
      </c>
    </row>
    <row r="299" customFormat="false" ht="15.5" hidden="false" customHeight="false" outlineLevel="0" collapsed="false">
      <c r="A299" s="2315" t="str">
        <f aca="false">'Прайс лист'!B260</f>
        <v>Sip панель 2500*1250*174мм</v>
      </c>
      <c r="B299" s="933" t="n">
        <f aca="false">'Прайс лист'!G260</f>
        <v>1200</v>
      </c>
      <c r="C299" s="2315" t="s">
        <v>2134</v>
      </c>
      <c r="D299" s="2315" t="n">
        <v>0.15</v>
      </c>
      <c r="E299" s="933" t="n">
        <f aca="false">'Прайс лист'!G318</f>
        <v>9000</v>
      </c>
      <c r="F299" s="1002" t="n">
        <v>0.174</v>
      </c>
      <c r="G299" s="2620" t="str">
        <f aca="false">A299</f>
        <v>Sip панель 2500*1250*174мм</v>
      </c>
      <c r="H299" s="1506" t="n">
        <f aca="false">'Прайс лист'!D260</f>
        <v>3</v>
      </c>
      <c r="I299" s="2619" t="n">
        <v>2.5</v>
      </c>
      <c r="J299" s="2637" t="n">
        <v>1.25</v>
      </c>
      <c r="K299" s="2619"/>
      <c r="S299" s="2638"/>
      <c r="T299" s="596"/>
      <c r="U299" s="596"/>
      <c r="V299" s="596"/>
      <c r="W299" s="596"/>
      <c r="X299" s="596"/>
      <c r="Y299" s="596"/>
      <c r="Z299" s="596"/>
      <c r="AG299" s="2315" t="n">
        <v>13.9</v>
      </c>
      <c r="AH299" s="2606" t="n">
        <f aca="false">AG299*3.1415926535897/180</f>
        <v>0.242600766027205</v>
      </c>
      <c r="AI299" s="2606" t="n">
        <f aca="false">AH299+0.0005</f>
        <v>0.243100766027205</v>
      </c>
      <c r="AJ299" s="2606" t="n">
        <f aca="false">AH299-0.0005</f>
        <v>0.242100766027205</v>
      </c>
      <c r="AK299" s="2315" t="n">
        <f aca="false">IF(AND(дома!$Z$29&gt;=AJ299,дома!$Z$29&lt;=AI299),связи1!AG299,0)</f>
        <v>0</v>
      </c>
      <c r="AL299" s="2315" t="n">
        <f aca="false">IF(AND(дома!$AA$29&gt;=AJ299,дома!$AA$29&lt;=AI299),связи1!AG299,0)</f>
        <v>0</v>
      </c>
    </row>
    <row r="300" customFormat="false" ht="15.5" hidden="false" customHeight="false" outlineLevel="0" collapsed="false">
      <c r="A300" s="2315" t="str">
        <f aca="false">'Прайс лист'!B261</f>
        <v>Sip панель 2500*1250*224мм</v>
      </c>
      <c r="B300" s="933" t="n">
        <f aca="false">'Прайс лист'!G261</f>
        <v>1400</v>
      </c>
      <c r="C300" s="2315" t="s">
        <v>1908</v>
      </c>
      <c r="D300" s="114" t="n">
        <v>0.2</v>
      </c>
      <c r="E300" s="226" t="n">
        <f aca="false">'Прайс лист'!G316</f>
        <v>9000</v>
      </c>
      <c r="F300" s="1002" t="n">
        <v>0.224</v>
      </c>
      <c r="G300" s="2620" t="str">
        <f aca="false">A300</f>
        <v>Sip панель 2500*1250*224мм</v>
      </c>
      <c r="H300" s="1506" t="n">
        <f aca="false">'Прайс лист'!D261</f>
        <v>3</v>
      </c>
      <c r="I300" s="2619" t="n">
        <v>2.5</v>
      </c>
      <c r="J300" s="2637" t="n">
        <v>1.25</v>
      </c>
      <c r="K300" s="2619"/>
      <c r="S300" s="2638"/>
      <c r="T300" s="596"/>
      <c r="U300" s="596"/>
      <c r="V300" s="596"/>
      <c r="W300" s="596"/>
      <c r="X300" s="596"/>
      <c r="Y300" s="596"/>
      <c r="Z300" s="596"/>
      <c r="AG300" s="2315"/>
      <c r="AH300" s="2606"/>
      <c r="AI300" s="2606"/>
      <c r="AJ300" s="2606"/>
      <c r="AK300" s="2315"/>
      <c r="AL300" s="2315"/>
    </row>
    <row r="301" customFormat="false" ht="15.5" hidden="false" customHeight="false" outlineLevel="0" collapsed="false">
      <c r="A301" s="2315" t="str">
        <f aca="false">'Прайс лист'!B262</f>
        <v>Sip панель 2800*1250*124мм</v>
      </c>
      <c r="B301" s="933" t="n">
        <f aca="false">'Прайс лист'!G262</f>
        <v>800</v>
      </c>
      <c r="C301" s="2315" t="s">
        <v>2312</v>
      </c>
      <c r="D301" s="2315" t="n">
        <v>0.1</v>
      </c>
      <c r="E301" s="933" t="n">
        <f aca="false">'Прайс лист'!G319</f>
        <v>9000</v>
      </c>
      <c r="F301" s="1002" t="n">
        <v>0.124</v>
      </c>
      <c r="G301" s="2620" t="str">
        <f aca="false">A301</f>
        <v>Sip панель 2800*1250*124мм</v>
      </c>
      <c r="H301" s="1506" t="n">
        <f aca="false">'Прайс лист'!D262</f>
        <v>3.5</v>
      </c>
      <c r="I301" s="2619" t="n">
        <v>2.8</v>
      </c>
      <c r="J301" s="2637" t="n">
        <v>1.25</v>
      </c>
      <c r="K301" s="2619"/>
      <c r="S301" s="2638"/>
      <c r="T301" s="596"/>
      <c r="U301" s="596"/>
      <c r="V301" s="596"/>
      <c r="W301" s="596"/>
      <c r="X301" s="596"/>
      <c r="Y301" s="596"/>
      <c r="Z301" s="596"/>
      <c r="AG301" s="2315"/>
      <c r="AH301" s="2606"/>
      <c r="AI301" s="2606"/>
      <c r="AJ301" s="2606"/>
      <c r="AK301" s="2315"/>
      <c r="AL301" s="2315"/>
    </row>
    <row r="302" customFormat="false" ht="15.5" hidden="false" customHeight="false" outlineLevel="0" collapsed="false">
      <c r="A302" s="2315" t="str">
        <f aca="false">'Прайс лист'!B263</f>
        <v>Sip панель 2800*1250*174мм</v>
      </c>
      <c r="B302" s="933" t="n">
        <f aca="false">'Прайс лист'!G263</f>
        <v>1200</v>
      </c>
      <c r="C302" s="2315" t="s">
        <v>2134</v>
      </c>
      <c r="D302" s="2315" t="n">
        <v>0.15</v>
      </c>
      <c r="E302" s="933" t="n">
        <f aca="false">'Прайс лист'!G318</f>
        <v>9000</v>
      </c>
      <c r="F302" s="1002" t="n">
        <v>0.174</v>
      </c>
      <c r="G302" s="2620" t="str">
        <f aca="false">A302</f>
        <v>Sip панель 2800*1250*174мм</v>
      </c>
      <c r="H302" s="1506" t="n">
        <f aca="false">'Прайс лист'!D263</f>
        <v>3.5</v>
      </c>
      <c r="I302" s="2619" t="n">
        <v>2.8</v>
      </c>
      <c r="J302" s="2637" t="n">
        <v>1.25</v>
      </c>
      <c r="K302" s="2619"/>
      <c r="S302" s="2638"/>
      <c r="T302" s="596"/>
      <c r="U302" s="596"/>
      <c r="V302" s="596"/>
      <c r="W302" s="596"/>
      <c r="X302" s="596"/>
      <c r="Y302" s="596"/>
      <c r="Z302" s="596"/>
      <c r="AG302" s="2315"/>
      <c r="AH302" s="2606"/>
      <c r="AI302" s="2606"/>
      <c r="AJ302" s="2606"/>
      <c r="AK302" s="2315"/>
      <c r="AL302" s="2315"/>
    </row>
    <row r="303" customFormat="false" ht="15.5" hidden="false" customHeight="false" outlineLevel="0" collapsed="false">
      <c r="A303" s="2315" t="str">
        <f aca="false">'Прайс лист'!B264</f>
        <v>Sip панель 2800*1250*224мм</v>
      </c>
      <c r="B303" s="933" t="n">
        <f aca="false">'Прайс лист'!G264</f>
        <v>1400</v>
      </c>
      <c r="C303" s="2315" t="s">
        <v>1908</v>
      </c>
      <c r="D303" s="114" t="n">
        <v>0.2</v>
      </c>
      <c r="E303" s="933" t="n">
        <f aca="false">'Прайс лист'!G316</f>
        <v>9000</v>
      </c>
      <c r="F303" s="1002" t="n">
        <v>0.224</v>
      </c>
      <c r="G303" s="2620" t="str">
        <f aca="false">A303</f>
        <v>Sip панель 2800*1250*224мм</v>
      </c>
      <c r="H303" s="1506" t="n">
        <f aca="false">'Прайс лист'!D264</f>
        <v>3.5</v>
      </c>
      <c r="I303" s="2619" t="n">
        <v>2.8</v>
      </c>
      <c r="J303" s="2637" t="n">
        <v>1.25</v>
      </c>
      <c r="K303" s="2619"/>
      <c r="S303" s="2638"/>
      <c r="T303" s="596"/>
      <c r="U303" s="596"/>
      <c r="V303" s="596"/>
      <c r="W303" s="596"/>
      <c r="X303" s="596"/>
      <c r="Y303" s="596"/>
      <c r="Z303" s="596"/>
      <c r="AG303" s="2315"/>
      <c r="AH303" s="2606"/>
      <c r="AI303" s="2606"/>
      <c r="AJ303" s="2606"/>
      <c r="AK303" s="2315"/>
      <c r="AL303" s="2315"/>
    </row>
    <row r="304" customFormat="false" ht="15.5" hidden="false" customHeight="false" outlineLevel="0" collapsed="false">
      <c r="A304" s="2315" t="str">
        <f aca="false">'Прайс лист'!B265</f>
        <v>Sip панель 3000*1250*124мм</v>
      </c>
      <c r="B304" s="933" t="n">
        <f aca="false">'Прайс лист'!G265</f>
        <v>800</v>
      </c>
      <c r="C304" s="2315" t="s">
        <v>2312</v>
      </c>
      <c r="D304" s="2315" t="n">
        <v>0.1</v>
      </c>
      <c r="E304" s="933" t="n">
        <f aca="false">'Прайс лист'!G319</f>
        <v>9000</v>
      </c>
      <c r="F304" s="1002" t="n">
        <v>0.124</v>
      </c>
      <c r="G304" s="2620" t="str">
        <f aca="false">A304</f>
        <v>Sip панель 3000*1250*124мм</v>
      </c>
      <c r="H304" s="1506" t="n">
        <f aca="false">'Прайс лист'!D265</f>
        <v>3.75</v>
      </c>
      <c r="I304" s="2619" t="n">
        <v>3</v>
      </c>
      <c r="J304" s="2637" t="n">
        <v>1.25</v>
      </c>
      <c r="K304" s="2619"/>
      <c r="S304" s="2638"/>
      <c r="T304" s="596"/>
      <c r="U304" s="596"/>
      <c r="V304" s="596"/>
      <c r="W304" s="596"/>
      <c r="X304" s="596"/>
      <c r="Y304" s="596"/>
      <c r="Z304" s="596"/>
      <c r="AG304" s="2315"/>
      <c r="AH304" s="2606"/>
      <c r="AI304" s="2606"/>
      <c r="AJ304" s="2606"/>
      <c r="AK304" s="2315"/>
      <c r="AL304" s="2315"/>
    </row>
    <row r="305" customFormat="false" ht="15.5" hidden="false" customHeight="false" outlineLevel="0" collapsed="false">
      <c r="A305" s="2315" t="str">
        <f aca="false">'Прайс лист'!B266</f>
        <v>Sip панель 3000*1250*174мм</v>
      </c>
      <c r="B305" s="933" t="n">
        <f aca="false">'Прайс лист'!G266</f>
        <v>1200</v>
      </c>
      <c r="C305" s="2315" t="s">
        <v>2134</v>
      </c>
      <c r="D305" s="2315" t="n">
        <v>0.15</v>
      </c>
      <c r="E305" s="933" t="n">
        <f aca="false">'Прайс лист'!G318</f>
        <v>9000</v>
      </c>
      <c r="F305" s="1002" t="n">
        <v>0.174</v>
      </c>
      <c r="G305" s="2620" t="str">
        <f aca="false">A305</f>
        <v>Sip панель 3000*1250*174мм</v>
      </c>
      <c r="H305" s="1506" t="n">
        <f aca="false">'Прайс лист'!D266</f>
        <v>3.75</v>
      </c>
      <c r="I305" s="2619" t="n">
        <v>3</v>
      </c>
      <c r="J305" s="2637" t="n">
        <v>1.25</v>
      </c>
      <c r="K305" s="2619"/>
      <c r="S305" s="2638"/>
      <c r="T305" s="596"/>
      <c r="U305" s="596"/>
      <c r="V305" s="596"/>
      <c r="W305" s="596"/>
      <c r="X305" s="596"/>
      <c r="Y305" s="596"/>
      <c r="Z305" s="596"/>
      <c r="AG305" s="2315"/>
      <c r="AH305" s="2606"/>
      <c r="AI305" s="2606"/>
      <c r="AJ305" s="2606"/>
      <c r="AK305" s="2315"/>
      <c r="AL305" s="2315"/>
    </row>
    <row r="306" customFormat="false" ht="15.5" hidden="false" customHeight="false" outlineLevel="0" collapsed="false">
      <c r="A306" s="2315" t="str">
        <f aca="false">'Прайс лист'!B267</f>
        <v>Sip панель 3000*1250*224мм</v>
      </c>
      <c r="B306" s="933" t="n">
        <f aca="false">'Прайс лист'!G267</f>
        <v>1400</v>
      </c>
      <c r="C306" s="2315" t="s">
        <v>1908</v>
      </c>
      <c r="D306" s="114" t="n">
        <v>0.2</v>
      </c>
      <c r="E306" s="933" t="n">
        <f aca="false">'Прайс лист'!G316</f>
        <v>9000</v>
      </c>
      <c r="F306" s="1002" t="n">
        <v>0.224</v>
      </c>
      <c r="G306" s="2620" t="str">
        <f aca="false">A306</f>
        <v>Sip панель 3000*1250*224мм</v>
      </c>
      <c r="H306" s="1506" t="n">
        <f aca="false">'Прайс лист'!D267</f>
        <v>3.75</v>
      </c>
      <c r="I306" s="2619" t="n">
        <v>3</v>
      </c>
      <c r="J306" s="2637" t="n">
        <v>1.25</v>
      </c>
      <c r="K306" s="2619"/>
      <c r="S306" s="2638"/>
      <c r="T306" s="596"/>
      <c r="U306" s="596"/>
      <c r="V306" s="596"/>
      <c r="W306" s="596"/>
      <c r="X306" s="596"/>
      <c r="Y306" s="596"/>
      <c r="Z306" s="596"/>
      <c r="AG306" s="2315"/>
      <c r="AH306" s="2606"/>
      <c r="AI306" s="2606"/>
      <c r="AJ306" s="2606"/>
      <c r="AK306" s="2315"/>
      <c r="AL306" s="2315"/>
    </row>
    <row r="307" customFormat="false" ht="15.5" hidden="false" customHeight="false" outlineLevel="0" collapsed="false">
      <c r="A307" s="2315" t="str">
        <f aca="false">'Прайс лист'!B268</f>
        <v>Sip панель 2500*625*124мм</v>
      </c>
      <c r="B307" s="933" t="n">
        <f aca="false">'Прайс лист'!G268</f>
        <v>800</v>
      </c>
      <c r="C307" s="2315" t="s">
        <v>2312</v>
      </c>
      <c r="D307" s="2315" t="n">
        <v>0.1</v>
      </c>
      <c r="E307" s="933" t="n">
        <f aca="false">'Прайс лист'!G319</f>
        <v>9000</v>
      </c>
      <c r="F307" s="1002" t="n">
        <v>0.124</v>
      </c>
      <c r="G307" s="2620" t="str">
        <f aca="false">A307</f>
        <v>Sip панель 2500*625*124мм</v>
      </c>
      <c r="H307" s="1506" t="n">
        <f aca="false">'Прайс лист'!D268</f>
        <v>1.5</v>
      </c>
      <c r="I307" s="2619" t="n">
        <v>2.5</v>
      </c>
      <c r="J307" s="2619" t="n">
        <v>0.625</v>
      </c>
      <c r="K307" s="2619"/>
      <c r="S307" s="2638"/>
      <c r="T307" s="596"/>
      <c r="U307" s="596"/>
      <c r="V307" s="596"/>
      <c r="W307" s="596"/>
      <c r="X307" s="596"/>
      <c r="Y307" s="596"/>
      <c r="Z307" s="596"/>
      <c r="AG307" s="2315"/>
      <c r="AH307" s="2606"/>
      <c r="AI307" s="2606"/>
      <c r="AJ307" s="2606"/>
      <c r="AK307" s="2315"/>
      <c r="AL307" s="2315"/>
    </row>
    <row r="308" customFormat="false" ht="15.5" hidden="false" customHeight="false" outlineLevel="0" collapsed="false">
      <c r="A308" s="2315" t="str">
        <f aca="false">'Прайс лист'!B269</f>
        <v>Sip панель 2500*625*174мм</v>
      </c>
      <c r="B308" s="933" t="n">
        <f aca="false">'Прайс лист'!G269</f>
        <v>1200</v>
      </c>
      <c r="C308" s="2315" t="s">
        <v>2134</v>
      </c>
      <c r="D308" s="2315" t="n">
        <v>0.15</v>
      </c>
      <c r="E308" s="933" t="n">
        <f aca="false">'Прайс лист'!G318</f>
        <v>9000</v>
      </c>
      <c r="F308" s="1002" t="n">
        <v>0.174</v>
      </c>
      <c r="G308" s="2620" t="str">
        <f aca="false">A308</f>
        <v>Sip панель 2500*625*174мм</v>
      </c>
      <c r="H308" s="1506" t="n">
        <f aca="false">'Прайс лист'!D269</f>
        <v>1.5</v>
      </c>
      <c r="I308" s="2619" t="n">
        <v>2.8</v>
      </c>
      <c r="J308" s="2619" t="n">
        <v>0.625</v>
      </c>
      <c r="K308" s="2619"/>
      <c r="S308" s="2638"/>
      <c r="T308" s="596"/>
      <c r="U308" s="596"/>
      <c r="V308" s="596"/>
      <c r="W308" s="596"/>
      <c r="X308" s="596"/>
      <c r="Y308" s="596"/>
      <c r="Z308" s="596"/>
      <c r="AG308" s="2315"/>
      <c r="AH308" s="2606"/>
      <c r="AI308" s="2606"/>
      <c r="AJ308" s="2606"/>
      <c r="AK308" s="2315"/>
      <c r="AL308" s="2315"/>
    </row>
    <row r="309" customFormat="false" ht="15.5" hidden="false" customHeight="false" outlineLevel="0" collapsed="false">
      <c r="A309" s="2315" t="str">
        <f aca="false">'Прайс лист'!B270</f>
        <v>Sip панель 2500*625*224мм</v>
      </c>
      <c r="B309" s="933" t="n">
        <f aca="false">'Прайс лист'!G270</f>
        <v>1400</v>
      </c>
      <c r="C309" s="2315" t="s">
        <v>1908</v>
      </c>
      <c r="D309" s="114" t="n">
        <v>0.2</v>
      </c>
      <c r="E309" s="226" t="n">
        <f aca="false">'Прайс лист'!G316</f>
        <v>9000</v>
      </c>
      <c r="F309" s="1002" t="n">
        <v>0.224</v>
      </c>
      <c r="G309" s="2620" t="str">
        <f aca="false">A309</f>
        <v>Sip панель 2500*625*224мм</v>
      </c>
      <c r="H309" s="1506" t="n">
        <f aca="false">'Прайс лист'!D270</f>
        <v>1.5</v>
      </c>
      <c r="I309" s="2619" t="n">
        <v>3</v>
      </c>
      <c r="J309" s="2619" t="n">
        <v>0.625</v>
      </c>
      <c r="K309" s="2637"/>
      <c r="S309" s="2620"/>
      <c r="T309" s="2619"/>
      <c r="U309" s="2619"/>
      <c r="V309" s="2619"/>
      <c r="W309" s="2619"/>
      <c r="X309" s="2619"/>
      <c r="Y309" s="2619"/>
      <c r="Z309" s="2619"/>
      <c r="AG309" s="2315" t="n">
        <v>14</v>
      </c>
      <c r="AH309" s="2606" t="n">
        <f aca="false">AG309*3.1415926535897/180</f>
        <v>0.244346095279199</v>
      </c>
      <c r="AI309" s="2606" t="n">
        <f aca="false">AH309+0.0005</f>
        <v>0.244846095279199</v>
      </c>
      <c r="AJ309" s="2606" t="n">
        <f aca="false">AH309-0.0005</f>
        <v>0.243846095279199</v>
      </c>
      <c r="AK309" s="2315" t="n">
        <f aca="false">IF(AND(дома!$Z$29&gt;=AJ309,дома!$Z$29&lt;=AI309),связи1!AG309,0)</f>
        <v>0</v>
      </c>
      <c r="AL309" s="2315" t="n">
        <f aca="false">IF(AND(дома!$AA$29&gt;=AJ309,дома!$AA$29&lt;=AI309),связи1!AG309,0)</f>
        <v>0</v>
      </c>
    </row>
    <row r="310" customFormat="false" ht="15.5" hidden="false" customHeight="false" outlineLevel="0" collapsed="false">
      <c r="A310" s="2371"/>
      <c r="B310" s="2184"/>
      <c r="C310" s="2639"/>
      <c r="D310" s="296"/>
      <c r="E310" s="296"/>
      <c r="G310" s="2640"/>
      <c r="H310" s="2638"/>
      <c r="I310" s="2641"/>
      <c r="J310" s="2638"/>
      <c r="K310" s="2638"/>
      <c r="S310" s="2620"/>
      <c r="T310" s="2619"/>
      <c r="U310" s="2619"/>
      <c r="V310" s="2619"/>
      <c r="W310" s="2619"/>
      <c r="X310" s="2619"/>
      <c r="Y310" s="2619"/>
      <c r="Z310" s="2619"/>
      <c r="AG310" s="2315" t="n">
        <v>14.1</v>
      </c>
      <c r="AH310" s="2606" t="n">
        <f aca="false">AG310*3.1415926535897/180</f>
        <v>0.246091424531193</v>
      </c>
      <c r="AI310" s="2606" t="n">
        <f aca="false">AH310+0.0005</f>
        <v>0.246591424531193</v>
      </c>
      <c r="AJ310" s="2606" t="n">
        <f aca="false">AH310-0.0005</f>
        <v>0.245591424531193</v>
      </c>
      <c r="AK310" s="2315" t="n">
        <f aca="false">IF(AND(дома!$Z$29&gt;=AJ310,дома!$Z$29&lt;=AI310),связи1!AG310,0)</f>
        <v>0</v>
      </c>
      <c r="AL310" s="2315" t="n">
        <f aca="false">IF(AND(дома!$AA$29&gt;=AJ310,дома!$AA$29&lt;=AI310),связи1!AG310,0)</f>
        <v>0</v>
      </c>
    </row>
    <row r="311" customFormat="false" ht="15.5" hidden="false" customHeight="false" outlineLevel="0" collapsed="false">
      <c r="A311" s="2371"/>
      <c r="B311" s="2315" t="s">
        <v>1908</v>
      </c>
      <c r="C311" s="2639"/>
      <c r="D311" s="296"/>
      <c r="E311" s="296"/>
      <c r="G311" s="2620"/>
      <c r="H311" s="2619"/>
      <c r="I311" s="2619"/>
      <c r="J311" s="2619"/>
      <c r="K311" s="2619"/>
      <c r="S311" s="2642"/>
      <c r="T311" s="596"/>
      <c r="U311" s="596"/>
      <c r="V311" s="596"/>
      <c r="W311" s="596"/>
      <c r="X311" s="596"/>
      <c r="Y311" s="596"/>
      <c r="Z311" s="596"/>
      <c r="AG311" s="2315" t="n">
        <v>14.2</v>
      </c>
      <c r="AH311" s="2606" t="n">
        <f aca="false">AG311*3.1415926535897/180</f>
        <v>0.247836753783187</v>
      </c>
      <c r="AI311" s="2606" t="n">
        <f aca="false">AH311+0.0005</f>
        <v>0.248336753783187</v>
      </c>
      <c r="AJ311" s="2606" t="n">
        <f aca="false">AH311-0.0005</f>
        <v>0.247336753783187</v>
      </c>
      <c r="AK311" s="2315" t="n">
        <f aca="false">IF(AND(дома!$Z$29&gt;=AJ311,дома!$Z$29&lt;=AI311),связи1!AG311,0)</f>
        <v>0</v>
      </c>
      <c r="AL311" s="2315" t="n">
        <f aca="false">IF(AND(дома!$AA$29&gt;=AJ311,дома!$AA$29&lt;=AI311),связи1!AG311,0)</f>
        <v>0</v>
      </c>
    </row>
    <row r="312" customFormat="false" ht="15.5" hidden="false" customHeight="false" outlineLevel="0" collapsed="false">
      <c r="A312" s="2371"/>
      <c r="B312" s="2315" t="s">
        <v>2134</v>
      </c>
      <c r="C312" s="2639"/>
      <c r="D312" s="296"/>
      <c r="E312" s="296"/>
      <c r="G312" s="2643"/>
      <c r="H312" s="2619"/>
      <c r="I312" s="2619"/>
      <c r="J312" s="2619"/>
      <c r="K312" s="2619"/>
      <c r="S312" s="454"/>
      <c r="T312" s="2644"/>
      <c r="U312" s="2644"/>
      <c r="V312" s="2644"/>
      <c r="W312" s="2644"/>
      <c r="X312" s="2644"/>
      <c r="Y312" s="2644"/>
      <c r="Z312" s="2644"/>
      <c r="AG312" s="2315" t="n">
        <v>14.3</v>
      </c>
      <c r="AH312" s="2606" t="n">
        <f aca="false">AG312*3.1415926535897/180</f>
        <v>0.249582083035182</v>
      </c>
      <c r="AI312" s="2606" t="n">
        <f aca="false">AH312+0.0005</f>
        <v>0.250082083035182</v>
      </c>
      <c r="AJ312" s="2606" t="n">
        <f aca="false">AH312-0.0005</f>
        <v>0.249082083035182</v>
      </c>
      <c r="AK312" s="2315" t="n">
        <f aca="false">IF(AND(дома!$Z$29&gt;=AJ312,дома!$Z$29&lt;=AI312),связи1!AG312,0)</f>
        <v>0</v>
      </c>
      <c r="AL312" s="2315" t="n">
        <f aca="false">IF(AND(дома!$AA$29&gt;=AJ312,дома!$AA$29&lt;=AI312),связи1!AG312,0)</f>
        <v>0</v>
      </c>
    </row>
    <row r="313" customFormat="false" ht="15.5" hidden="false" customHeight="false" outlineLevel="0" collapsed="false">
      <c r="A313" s="2371"/>
      <c r="B313" s="2315" t="s">
        <v>2312</v>
      </c>
      <c r="C313" s="2639"/>
      <c r="D313" s="296"/>
      <c r="E313" s="296"/>
      <c r="G313" s="2640"/>
      <c r="H313" s="2638"/>
      <c r="I313" s="2638"/>
      <c r="J313" s="2638"/>
      <c r="K313" s="2638"/>
      <c r="S313" s="454"/>
      <c r="T313" s="2644"/>
      <c r="U313" s="2644"/>
      <c r="V313" s="2644"/>
      <c r="W313" s="2644"/>
      <c r="X313" s="2644"/>
      <c r="Y313" s="2644"/>
      <c r="Z313" s="2644"/>
      <c r="AG313" s="2315" t="n">
        <v>14.4</v>
      </c>
      <c r="AH313" s="2606" t="n">
        <f aca="false">AG313*3.1415926535897/180</f>
        <v>0.251327412287176</v>
      </c>
      <c r="AI313" s="2606" t="n">
        <f aca="false">AH313+0.0005</f>
        <v>0.251827412287176</v>
      </c>
      <c r="AJ313" s="2606" t="n">
        <f aca="false">AH313-0.0005</f>
        <v>0.250827412287176</v>
      </c>
      <c r="AK313" s="2315" t="n">
        <f aca="false">IF(AND(дома!$Z$29&gt;=AJ313,дома!$Z$29&lt;=AI313),связи1!AG313,0)</f>
        <v>0</v>
      </c>
      <c r="AL313" s="2315" t="n">
        <f aca="false">IF(AND(дома!$AA$29&gt;=AJ313,дома!$AA$29&lt;=AI313),связи1!AG313,0)</f>
        <v>0</v>
      </c>
    </row>
    <row r="314" customFormat="false" ht="15.5" hidden="false" customHeight="false" outlineLevel="0" collapsed="false">
      <c r="A314" s="2371"/>
      <c r="B314" s="2184"/>
      <c r="C314" s="2645"/>
      <c r="D314" s="296"/>
      <c r="E314" s="296"/>
      <c r="G314" s="2643"/>
      <c r="H314" s="2619"/>
      <c r="I314" s="312" t="s">
        <v>4207</v>
      </c>
      <c r="J314" s="2619"/>
      <c r="K314" s="2619"/>
      <c r="S314" s="454"/>
      <c r="T314" s="2644"/>
      <c r="U314" s="2644"/>
      <c r="V314" s="2644"/>
      <c r="W314" s="2644"/>
      <c r="X314" s="2644"/>
      <c r="Y314" s="2644"/>
      <c r="Z314" s="2644"/>
      <c r="AG314" s="2315" t="n">
        <v>14.5</v>
      </c>
      <c r="AH314" s="2606" t="n">
        <f aca="false">AG314*3.1415926535897/180</f>
        <v>0.25307274153917</v>
      </c>
      <c r="AI314" s="2606" t="n">
        <f aca="false">AH314+0.0005</f>
        <v>0.25357274153917</v>
      </c>
      <c r="AJ314" s="2606" t="n">
        <f aca="false">AH314-0.0005</f>
        <v>0.25257274153917</v>
      </c>
      <c r="AK314" s="2315" t="n">
        <f aca="false">IF(AND(дома!$Z$29&gt;=AJ314,дома!$Z$29&lt;=AI314),связи1!AG314,0)</f>
        <v>0</v>
      </c>
      <c r="AL314" s="2315" t="n">
        <f aca="false">IF(AND(дома!$AA$29&gt;=AJ314,дома!$AA$29&lt;=AI314),связи1!AG314,0)</f>
        <v>0</v>
      </c>
    </row>
    <row r="315" customFormat="false" ht="15.5" hidden="false" customHeight="false" outlineLevel="0" collapsed="false">
      <c r="A315" s="2646" t="s">
        <v>125</v>
      </c>
      <c r="D315" s="2647" t="n">
        <f aca="false">'Прайс лист'!G156</f>
        <v>185</v>
      </c>
      <c r="E315" s="296"/>
      <c r="G315" s="2643"/>
      <c r="H315" s="2619"/>
      <c r="I315" s="2621" t="s">
        <v>4358</v>
      </c>
      <c r="J315" s="2619"/>
      <c r="K315" s="2619"/>
      <c r="S315" s="454"/>
      <c r="T315" s="2644"/>
      <c r="U315" s="2644"/>
      <c r="V315" s="2644"/>
      <c r="W315" s="2644"/>
      <c r="X315" s="2644"/>
      <c r="Y315" s="2644"/>
      <c r="Z315" s="2644"/>
      <c r="AG315" s="2315" t="n">
        <v>14.6</v>
      </c>
      <c r="AH315" s="2606" t="n">
        <f aca="false">AG315*3.1415926535897/180</f>
        <v>0.254818070791165</v>
      </c>
      <c r="AI315" s="2606" t="n">
        <f aca="false">AH315+0.0005</f>
        <v>0.255318070791164</v>
      </c>
      <c r="AJ315" s="2606" t="n">
        <f aca="false">AH315-0.0005</f>
        <v>0.254318070791165</v>
      </c>
      <c r="AK315" s="2315" t="n">
        <f aca="false">IF(AND(дома!$Z$29&gt;=AJ315,дома!$Z$29&lt;=AI315),связи1!AG315,0)</f>
        <v>0</v>
      </c>
      <c r="AL315" s="2315" t="n">
        <f aca="false">IF(AND(дома!$AA$29&gt;=AJ315,дома!$AA$29&lt;=AI315),связи1!AG315,0)</f>
        <v>0</v>
      </c>
    </row>
    <row r="316" customFormat="false" ht="15.5" hidden="false" customHeight="false" outlineLevel="0" collapsed="false">
      <c r="A316" s="2646" t="s">
        <v>129</v>
      </c>
      <c r="D316" s="2647" t="n">
        <f aca="false">'Прайс лист'!G157</f>
        <v>215</v>
      </c>
      <c r="E316" s="296"/>
      <c r="G316" s="2640"/>
      <c r="H316" s="2638"/>
      <c r="I316" s="2648" t="s">
        <v>207</v>
      </c>
      <c r="J316" s="2638"/>
      <c r="K316" s="2638"/>
      <c r="S316" s="454"/>
      <c r="T316" s="2644"/>
      <c r="U316" s="2644"/>
      <c r="V316" s="2644"/>
      <c r="W316" s="2644"/>
      <c r="X316" s="2644"/>
      <c r="Y316" s="2644"/>
      <c r="Z316" s="2644"/>
      <c r="AG316" s="2315" t="n">
        <v>14.7</v>
      </c>
      <c r="AH316" s="2606" t="n">
        <f aca="false">AG316*3.1415926535897/180</f>
        <v>0.256563400043159</v>
      </c>
      <c r="AI316" s="2606" t="n">
        <f aca="false">AH316+0.0005</f>
        <v>0.257063400043159</v>
      </c>
      <c r="AJ316" s="2606" t="n">
        <f aca="false">AH316-0.0005</f>
        <v>0.256063400043159</v>
      </c>
      <c r="AK316" s="2315" t="n">
        <f aca="false">IF(AND(дома!$Z$29&gt;=AJ316,дома!$Z$29&lt;=AI316),связи1!AG316,0)</f>
        <v>0</v>
      </c>
      <c r="AL316" s="2315" t="n">
        <f aca="false">IF(AND(дома!$AA$29&gt;=AJ316,дома!$AA$29&lt;=AI316),связи1!AG316,0)</f>
        <v>0</v>
      </c>
    </row>
    <row r="317" customFormat="false" ht="15.5" hidden="false" customHeight="false" outlineLevel="0" collapsed="false">
      <c r="A317" s="2315" t="s">
        <v>4498</v>
      </c>
      <c r="B317" s="2315" t="s">
        <v>4499</v>
      </c>
      <c r="C317" s="2315" t="s">
        <v>4500</v>
      </c>
      <c r="D317" s="2315" t="n">
        <v>4000</v>
      </c>
      <c r="G317" s="2643"/>
      <c r="H317" s="2619"/>
      <c r="I317" s="2648" t="s">
        <v>4219</v>
      </c>
      <c r="J317" s="2619"/>
      <c r="K317" s="2619"/>
      <c r="S317" s="454"/>
      <c r="T317" s="2644"/>
      <c r="U317" s="2644"/>
      <c r="V317" s="2644"/>
      <c r="W317" s="2644"/>
      <c r="X317" s="2644"/>
      <c r="Y317" s="2644"/>
      <c r="Z317" s="2644"/>
      <c r="AG317" s="2315" t="n">
        <v>14.8</v>
      </c>
      <c r="AH317" s="2606" t="n">
        <f aca="false">AG317*3.1415926535897/180</f>
        <v>0.258308729295153</v>
      </c>
      <c r="AI317" s="2606" t="n">
        <f aca="false">AH317+0.0005</f>
        <v>0.258808729295153</v>
      </c>
      <c r="AJ317" s="2606" t="n">
        <f aca="false">AH317-0.0005</f>
        <v>0.257808729295153</v>
      </c>
      <c r="AK317" s="2315" t="n">
        <f aca="false">IF(AND(дома!$Z$29&gt;=AJ317,дома!$Z$29&lt;=AI317),связи1!AG317,0)</f>
        <v>0</v>
      </c>
      <c r="AL317" s="2315" t="n">
        <f aca="false">IF(AND(дома!$AA$29&gt;=AJ317,дома!$AA$29&lt;=AI317),связи1!AG317,0)</f>
        <v>0</v>
      </c>
    </row>
    <row r="318" customFormat="false" ht="15.5" hidden="false" customHeight="false" outlineLevel="0" collapsed="false">
      <c r="A318" s="87" t="s">
        <v>203</v>
      </c>
      <c r="D318" s="2633" t="n">
        <v>2100</v>
      </c>
      <c r="E318" s="2649"/>
      <c r="G318" s="2643"/>
      <c r="H318" s="2619"/>
      <c r="I318" s="2648" t="s">
        <v>4200</v>
      </c>
      <c r="J318" s="2619"/>
      <c r="K318" s="2619"/>
      <c r="S318" s="454"/>
      <c r="T318" s="2644"/>
      <c r="U318" s="2644"/>
      <c r="V318" s="2644"/>
      <c r="W318" s="2644"/>
      <c r="X318" s="2644"/>
      <c r="Y318" s="2644"/>
      <c r="Z318" s="2644"/>
      <c r="AG318" s="2315" t="n">
        <v>14.9</v>
      </c>
      <c r="AH318" s="2606" t="n">
        <f aca="false">AG318*3.1415926535897/180</f>
        <v>0.260054058547147</v>
      </c>
      <c r="AI318" s="2606" t="n">
        <f aca="false">AH318+0.0005</f>
        <v>0.260554058547147</v>
      </c>
      <c r="AJ318" s="2606" t="n">
        <f aca="false">AH318-0.0005</f>
        <v>0.259554058547147</v>
      </c>
      <c r="AK318" s="2315" t="n">
        <f aca="false">IF(AND(дома!$Z$29&gt;=AJ318,дома!$Z$29&lt;=AI318),связи1!AG318,0)</f>
        <v>0</v>
      </c>
      <c r="AL318" s="2315" t="n">
        <f aca="false">IF(AND(дома!$AA$29&gt;=AJ318,дома!$AA$29&lt;=AI318),связи1!AG318,0)</f>
        <v>0</v>
      </c>
    </row>
    <row r="319" customFormat="false" ht="15.5" hidden="false" customHeight="false" outlineLevel="0" collapsed="false">
      <c r="A319" s="87" t="s">
        <v>204</v>
      </c>
      <c r="D319" s="2633" t="n">
        <v>2500</v>
      </c>
      <c r="E319" s="2649"/>
      <c r="G319" s="2638"/>
      <c r="H319" s="2638"/>
      <c r="I319" s="2648" t="s">
        <v>4202</v>
      </c>
      <c r="J319" s="2638"/>
      <c r="K319" s="2638"/>
      <c r="S319" s="454"/>
      <c r="T319" s="2644"/>
      <c r="U319" s="2644"/>
      <c r="V319" s="2644"/>
      <c r="W319" s="2644"/>
      <c r="X319" s="2644"/>
      <c r="Y319" s="2644"/>
      <c r="Z319" s="2644"/>
      <c r="AG319" s="2315" t="n">
        <v>15</v>
      </c>
      <c r="AH319" s="2606" t="n">
        <f aca="false">AG319*3.1415926535897/180</f>
        <v>0.261799387799142</v>
      </c>
      <c r="AI319" s="2606" t="n">
        <f aca="false">AH319+0.0005</f>
        <v>0.262299387799142</v>
      </c>
      <c r="AJ319" s="2606" t="n">
        <f aca="false">AH319-0.0005</f>
        <v>0.261299387799142</v>
      </c>
      <c r="AK319" s="2315" t="n">
        <f aca="false">IF(AND(дома!$Z$29&gt;=AJ319,дома!$Z$29&lt;=AI319),связи1!AG319,0)</f>
        <v>0</v>
      </c>
      <c r="AL319" s="2315" t="n">
        <f aca="false">IF(AND(дома!$AA$29&gt;=AJ319,дома!$AA$29&lt;=AI319),связи1!AG319,0)</f>
        <v>0</v>
      </c>
    </row>
    <row r="320" customFormat="false" ht="15.5" hidden="false" customHeight="false" outlineLevel="0" collapsed="false">
      <c r="A320" s="87" t="s">
        <v>205</v>
      </c>
      <c r="D320" s="2633" t="n">
        <v>3000</v>
      </c>
      <c r="E320" s="2649"/>
      <c r="G320" s="2620"/>
      <c r="H320" s="2619"/>
      <c r="I320" s="114" t="s">
        <v>4501</v>
      </c>
      <c r="J320" s="2619"/>
      <c r="K320" s="2619"/>
      <c r="S320" s="454"/>
      <c r="T320" s="2644"/>
      <c r="U320" s="2644"/>
      <c r="V320" s="2644"/>
      <c r="W320" s="2644"/>
      <c r="X320" s="2644"/>
      <c r="Y320" s="2644"/>
      <c r="Z320" s="2644"/>
      <c r="AG320" s="2315" t="n">
        <v>15.1</v>
      </c>
      <c r="AH320" s="2606" t="n">
        <f aca="false">AG320*3.1415926535897/180</f>
        <v>0.263544717051136</v>
      </c>
      <c r="AI320" s="2606" t="n">
        <f aca="false">AH320+0.0005</f>
        <v>0.264044717051136</v>
      </c>
      <c r="AJ320" s="2606" t="n">
        <f aca="false">AH320-0.0005</f>
        <v>0.263044717051136</v>
      </c>
      <c r="AK320" s="2315" t="n">
        <f aca="false">IF(AND(дома!$Z$29&gt;=AJ320,дома!$Z$29&lt;=AI320),связи1!AG320,0)</f>
        <v>0</v>
      </c>
      <c r="AL320" s="2315" t="n">
        <f aca="false">IF(AND(дома!$AA$29&gt;=AJ320,дома!$AA$29&lt;=AI320),связи1!AG320,0)</f>
        <v>0</v>
      </c>
    </row>
    <row r="321" customFormat="false" ht="15.5" hidden="false" customHeight="false" outlineLevel="0" collapsed="false">
      <c r="A321" s="87" t="s">
        <v>206</v>
      </c>
      <c r="D321" s="2633" t="n">
        <v>3500</v>
      </c>
      <c r="E321" s="2649"/>
      <c r="G321" s="2620"/>
      <c r="H321" s="2619"/>
      <c r="I321" s="114" t="s">
        <v>4502</v>
      </c>
      <c r="J321" s="2619"/>
      <c r="K321" s="2619"/>
      <c r="S321" s="454"/>
      <c r="T321" s="2644"/>
      <c r="U321" s="2644"/>
      <c r="V321" s="2644"/>
      <c r="W321" s="2644"/>
      <c r="X321" s="2644"/>
      <c r="Y321" s="2644"/>
      <c r="Z321" s="2644"/>
      <c r="AG321" s="2315" t="n">
        <v>15.2</v>
      </c>
      <c r="AH321" s="2606" t="n">
        <f aca="false">AG321*3.1415926535897/180</f>
        <v>0.26529004630313</v>
      </c>
      <c r="AI321" s="2606" t="n">
        <f aca="false">AH321+0.0005</f>
        <v>0.26579004630313</v>
      </c>
      <c r="AJ321" s="2606" t="n">
        <f aca="false">AH321-0.0005</f>
        <v>0.26479004630313</v>
      </c>
      <c r="AK321" s="2315" t="n">
        <f aca="false">IF(AND(дома!$Z$29&gt;=AJ321,дома!$Z$29&lt;=AI321),связи1!AG321,0)</f>
        <v>0</v>
      </c>
      <c r="AL321" s="2315" t="n">
        <f aca="false">IF(AND(дома!$AA$29&gt;=AJ321,дома!$AA$29&lt;=AI321),связи1!AG321,0)</f>
        <v>0</v>
      </c>
    </row>
    <row r="322" customFormat="false" ht="15.5" hidden="false" customHeight="false" outlineLevel="0" collapsed="false">
      <c r="G322" s="2638"/>
      <c r="H322" s="2638"/>
      <c r="I322" s="114" t="s">
        <v>4503</v>
      </c>
      <c r="J322" s="2638"/>
      <c r="K322" s="2638"/>
      <c r="S322" s="454"/>
      <c r="T322" s="2644"/>
      <c r="U322" s="2644"/>
      <c r="V322" s="2644"/>
      <c r="W322" s="2644"/>
      <c r="X322" s="2644"/>
      <c r="Y322" s="2644"/>
      <c r="Z322" s="2644"/>
      <c r="AG322" s="2315" t="n">
        <v>15.3</v>
      </c>
      <c r="AH322" s="2606" t="n">
        <f aca="false">AG322*3.1415926535897/180</f>
        <v>0.267035375555124</v>
      </c>
      <c r="AI322" s="2606" t="n">
        <f aca="false">AH322+0.0005</f>
        <v>0.267535375555124</v>
      </c>
      <c r="AJ322" s="2606" t="n">
        <f aca="false">AH322-0.0005</f>
        <v>0.266535375555124</v>
      </c>
      <c r="AK322" s="2315" t="n">
        <f aca="false">IF(AND(дома!$Z$29&gt;=AJ322,дома!$Z$29&lt;=AI322),связи1!AG322,0)</f>
        <v>0</v>
      </c>
      <c r="AL322" s="2315" t="n">
        <f aca="false">IF(AND(дома!$AA$29&gt;=AJ322,дома!$AA$29&lt;=AI322),связи1!AG322,0)</f>
        <v>0</v>
      </c>
    </row>
    <row r="323" customFormat="false" ht="15.5" hidden="false" customHeight="false" outlineLevel="0" collapsed="false">
      <c r="G323" s="2620"/>
      <c r="H323" s="2619"/>
      <c r="I323" s="114" t="s">
        <v>4504</v>
      </c>
      <c r="J323" s="2619"/>
      <c r="K323" s="2619"/>
      <c r="S323" s="454"/>
      <c r="T323" s="2644"/>
      <c r="U323" s="2644"/>
      <c r="V323" s="2644"/>
      <c r="W323" s="2644"/>
      <c r="X323" s="2644"/>
      <c r="Y323" s="2644"/>
      <c r="Z323" s="2644"/>
      <c r="AG323" s="2315" t="n">
        <v>15.4</v>
      </c>
      <c r="AH323" s="2606" t="n">
        <f aca="false">AG323*3.1415926535897/180</f>
        <v>0.268780704807119</v>
      </c>
      <c r="AI323" s="2606" t="n">
        <f aca="false">AH323+0.0005</f>
        <v>0.269280704807119</v>
      </c>
      <c r="AJ323" s="2606" t="n">
        <f aca="false">AH323-0.0005</f>
        <v>0.268280704807119</v>
      </c>
      <c r="AK323" s="2315" t="n">
        <f aca="false">IF(AND(дома!$Z$29&gt;=AJ323,дома!$Z$29&lt;=AI323),связи1!AG323,0)</f>
        <v>0</v>
      </c>
      <c r="AL323" s="2315" t="n">
        <f aca="false">IF(AND(дома!$AA$29&gt;=AJ323,дома!$AA$29&lt;=AI323),связи1!AG323,0)</f>
        <v>0</v>
      </c>
    </row>
    <row r="324" customFormat="false" ht="15.5" hidden="false" customHeight="false" outlineLevel="0" collapsed="false">
      <c r="G324" s="2620"/>
      <c r="H324" s="2619"/>
      <c r="I324" s="114" t="s">
        <v>4505</v>
      </c>
      <c r="J324" s="2619"/>
      <c r="K324" s="2619"/>
      <c r="AG324" s="2315" t="n">
        <v>15.5</v>
      </c>
      <c r="AH324" s="2606" t="n">
        <f aca="false">AG324*3.1415926535897/180</f>
        <v>0.270526034059113</v>
      </c>
      <c r="AI324" s="2606" t="n">
        <f aca="false">AH324+0.0005</f>
        <v>0.271026034059113</v>
      </c>
      <c r="AJ324" s="2606" t="n">
        <f aca="false">AH324-0.0005</f>
        <v>0.270026034059113</v>
      </c>
      <c r="AK324" s="2315" t="n">
        <f aca="false">IF(AND(дома!$Z$29&gt;=AJ324,дома!$Z$29&lt;=AI324),связи1!AG324,0)</f>
        <v>0</v>
      </c>
      <c r="AL324" s="2315" t="n">
        <f aca="false">IF(AND(дома!$AA$29&gt;=AJ324,дома!$AA$29&lt;=AI324),связи1!AG324,0)</f>
        <v>0</v>
      </c>
    </row>
    <row r="325" customFormat="false" ht="14.5" hidden="false" customHeight="false" outlineLevel="0" collapsed="false">
      <c r="E325" s="896" t="n">
        <v>1</v>
      </c>
      <c r="F325" s="896" t="n">
        <v>2</v>
      </c>
      <c r="G325" s="2321"/>
      <c r="H325" s="2619"/>
      <c r="I325" s="2321"/>
      <c r="J325" s="2321"/>
      <c r="K325" s="2321"/>
      <c r="AG325" s="2315" t="n">
        <v>15.6</v>
      </c>
      <c r="AH325" s="2606" t="n">
        <f aca="false">AG325*3.1415926535897/180</f>
        <v>0.272271363311107</v>
      </c>
      <c r="AI325" s="2606" t="n">
        <f aca="false">AH325+0.0005</f>
        <v>0.272771363311107</v>
      </c>
      <c r="AJ325" s="2606" t="n">
        <f aca="false">AH325-0.0005</f>
        <v>0.271771363311107</v>
      </c>
      <c r="AK325" s="2315" t="n">
        <f aca="false">IF(AND(дома!$Z$29&gt;=AJ325,дома!$Z$29&lt;=AI325),связи1!AG325,0)</f>
        <v>0</v>
      </c>
      <c r="AL325" s="2315" t="n">
        <f aca="false">IF(AND(дома!$AA$29&gt;=AJ325,дома!$AA$29&lt;=AI325),связи1!AG325,0)</f>
        <v>0</v>
      </c>
    </row>
    <row r="326" customFormat="false" ht="15.5" hidden="false" customHeight="false" outlineLevel="0" collapsed="false">
      <c r="A326" s="2417" t="s">
        <v>4506</v>
      </c>
      <c r="B326" s="2650" t="s">
        <v>120</v>
      </c>
      <c r="C326" s="2418" t="s">
        <v>1800</v>
      </c>
      <c r="D326" s="2418" t="s">
        <v>293</v>
      </c>
      <c r="E326" s="2651" t="s">
        <v>1802</v>
      </c>
      <c r="F326" s="2652" t="s">
        <v>4507</v>
      </c>
      <c r="G326" s="2653" t="s">
        <v>1800</v>
      </c>
      <c r="H326" s="2654" t="s">
        <v>293</v>
      </c>
      <c r="I326" s="2654" t="s">
        <v>1698</v>
      </c>
      <c r="J326" s="2655" t="s">
        <v>4508</v>
      </c>
      <c r="K326" s="2655" t="s">
        <v>3696</v>
      </c>
      <c r="AG326" s="2315" t="n">
        <v>15.7</v>
      </c>
      <c r="AH326" s="2606" t="n">
        <f aca="false">AG326*3.1415926535897/180</f>
        <v>0.274016692563102</v>
      </c>
      <c r="AI326" s="2606" t="n">
        <f aca="false">AH326+0.0005</f>
        <v>0.274516692563102</v>
      </c>
      <c r="AJ326" s="2606" t="n">
        <f aca="false">AH326-0.0005</f>
        <v>0.273516692563102</v>
      </c>
      <c r="AK326" s="2315" t="n">
        <f aca="false">IF(AND(дома!$Z$29&gt;=AJ326,дома!$Z$29&lt;=AI326),связи1!AG326,0)</f>
        <v>0</v>
      </c>
      <c r="AL326" s="2315" t="n">
        <f aca="false">IF(AND(дома!$AA$29&gt;=AJ326,дома!$AA$29&lt;=AI326),связи1!AG326,0)</f>
        <v>0</v>
      </c>
    </row>
    <row r="327" customFormat="false" ht="15.5" hidden="false" customHeight="false" outlineLevel="0" collapsed="false">
      <c r="A327" s="226" t="s">
        <v>4509</v>
      </c>
      <c r="B327" s="2351" t="s">
        <v>156</v>
      </c>
      <c r="C327" s="2656" t="n">
        <f aca="false">'Ввод данных'!C68</f>
        <v>1</v>
      </c>
      <c r="D327" s="2656" t="n">
        <f aca="false">'Ввод данных'!D68</f>
        <v>1.2</v>
      </c>
      <c r="E327" s="2657" t="n">
        <f aca="false">'Ввод данных'!E68</f>
        <v>1</v>
      </c>
      <c r="F327" s="933" t="n">
        <f aca="false">C327+0.4</f>
        <v>1.4</v>
      </c>
      <c r="G327" s="2315" t="n">
        <f aca="false">VLOOKUP('Ввод данных'!$A$1075,связи1!$A$255:$F$296,3,0)</f>
        <v>100</v>
      </c>
      <c r="H327" s="2315" t="n">
        <f aca="false">VLOOKUP('Ввод данных'!A1075,связи1!A255:F296,2,0)</f>
        <v>200</v>
      </c>
      <c r="I327" s="2315" t="n">
        <f aca="false">E327*F327*G327*H327/1000000</f>
        <v>0.028</v>
      </c>
      <c r="J327" s="2315" t="n">
        <v>1000</v>
      </c>
      <c r="K327" s="2315" t="n">
        <f aca="false">F327*J327</f>
        <v>1400</v>
      </c>
      <c r="AG327" s="2315" t="n">
        <v>15.8</v>
      </c>
      <c r="AH327" s="2606" t="n">
        <f aca="false">AG327*3.1415926535897/180</f>
        <v>0.275762021815096</v>
      </c>
      <c r="AI327" s="2606" t="n">
        <f aca="false">AH327+0.0005</f>
        <v>0.276262021815096</v>
      </c>
      <c r="AJ327" s="2606" t="n">
        <f aca="false">AH327-0.0005</f>
        <v>0.275262021815096</v>
      </c>
      <c r="AK327" s="2315" t="n">
        <f aca="false">IF(AND(дома!$Z$29&gt;=AJ327,дома!$Z$29&lt;=AI327),связи1!AG327,0)</f>
        <v>0</v>
      </c>
      <c r="AL327" s="2315" t="n">
        <f aca="false">IF(AND(дома!$AA$29&gt;=AJ327,дома!$AA$29&lt;=AI327),связи1!AG327,0)</f>
        <v>0</v>
      </c>
    </row>
    <row r="328" customFormat="false" ht="15.5" hidden="false" customHeight="false" outlineLevel="0" collapsed="false">
      <c r="A328" s="226" t="s">
        <v>4510</v>
      </c>
      <c r="B328" s="2351" t="s">
        <v>156</v>
      </c>
      <c r="C328" s="2656" t="n">
        <f aca="false">'Ввод данных'!C69</f>
        <v>0.6</v>
      </c>
      <c r="D328" s="2656" t="n">
        <f aca="false">'Ввод данных'!D69</f>
        <v>0.6</v>
      </c>
      <c r="E328" s="2657" t="n">
        <f aca="false">'Ввод данных'!E69</f>
        <v>0</v>
      </c>
      <c r="F328" s="933" t="n">
        <f aca="false">C328+0.4</f>
        <v>1</v>
      </c>
      <c r="G328" s="2315" t="n">
        <f aca="false">VLOOKUP('Ввод данных'!$A$1075,связи1!$A$255:$F$296,3,0)</f>
        <v>100</v>
      </c>
      <c r="H328" s="2315" t="n">
        <f aca="false">VLOOKUP('Ввод данных'!A1075,связи1!A255:F296,2,0)</f>
        <v>200</v>
      </c>
      <c r="I328" s="2315" t="n">
        <f aca="false">E328*F328*G328*H328/1000000</f>
        <v>0</v>
      </c>
      <c r="J328" s="2315" t="n">
        <v>1000</v>
      </c>
      <c r="K328" s="2315" t="n">
        <f aca="false">F328*J328</f>
        <v>1000</v>
      </c>
      <c r="AG328" s="2315" t="n">
        <v>15.9</v>
      </c>
      <c r="AH328" s="2606" t="n">
        <f aca="false">AG328*3.1415926535897/180</f>
        <v>0.27750735106709</v>
      </c>
      <c r="AI328" s="2606" t="n">
        <f aca="false">AH328+0.0005</f>
        <v>0.27800735106709</v>
      </c>
      <c r="AJ328" s="2606" t="n">
        <f aca="false">AH328-0.0005</f>
        <v>0.27700735106709</v>
      </c>
      <c r="AK328" s="2315" t="n">
        <f aca="false">IF(AND(дома!$Z$29&gt;=AJ328,дома!$Z$29&lt;=AI328),связи1!AG328,0)</f>
        <v>0</v>
      </c>
      <c r="AL328" s="2315" t="n">
        <f aca="false">IF(AND(дома!$AA$29&gt;=AJ328,дома!$AA$29&lt;=AI328),связи1!AG328,0)</f>
        <v>0</v>
      </c>
    </row>
    <row r="329" customFormat="false" ht="15.5" hidden="false" customHeight="false" outlineLevel="0" collapsed="false">
      <c r="A329" s="226" t="s">
        <v>4511</v>
      </c>
      <c r="B329" s="2351" t="s">
        <v>156</v>
      </c>
      <c r="C329" s="2656" t="n">
        <f aca="false">'Ввод данных'!C70</f>
        <v>1</v>
      </c>
      <c r="D329" s="2656" t="n">
        <f aca="false">'Ввод данных'!D70</f>
        <v>2</v>
      </c>
      <c r="E329" s="2657" t="n">
        <f aca="false">'Ввод данных'!E70</f>
        <v>0</v>
      </c>
      <c r="F329" s="933" t="n">
        <f aca="false">C329+0.4</f>
        <v>1.4</v>
      </c>
      <c r="G329" s="2315" t="n">
        <f aca="false">VLOOKUP('Ввод данных'!$A$1075,связи1!$A$255:$F$296,3,0)</f>
        <v>100</v>
      </c>
      <c r="H329" s="2315" t="n">
        <f aca="false">VLOOKUP('Ввод данных'!A1075,связи1!A255:F296,2,0)</f>
        <v>200</v>
      </c>
      <c r="I329" s="2315" t="n">
        <f aca="false">E329*F329*G329*H329/1000000</f>
        <v>0</v>
      </c>
      <c r="J329" s="2315" t="n">
        <v>1000</v>
      </c>
      <c r="K329" s="2315" t="n">
        <f aca="false">F329*J329</f>
        <v>1400</v>
      </c>
      <c r="AG329" s="2315" t="n">
        <v>16</v>
      </c>
      <c r="AH329" s="2606" t="n">
        <f aca="false">AG329*3.1415926535897/180</f>
        <v>0.279252680319084</v>
      </c>
      <c r="AI329" s="2606" t="n">
        <f aca="false">AH329+0.0005</f>
        <v>0.279752680319084</v>
      </c>
      <c r="AJ329" s="2606" t="n">
        <f aca="false">AH329-0.0005</f>
        <v>0.278752680319084</v>
      </c>
      <c r="AK329" s="2315" t="n">
        <f aca="false">IF(AND(дома!$Z$29&gt;=AJ329,дома!$Z$29&lt;=AI329),связи1!AG329,0)</f>
        <v>0</v>
      </c>
      <c r="AL329" s="2315" t="n">
        <f aca="false">IF(AND(дома!$AA$29&gt;=AJ329,дома!$AA$29&lt;=AI329),связи1!AG329,0)</f>
        <v>0</v>
      </c>
    </row>
    <row r="330" customFormat="false" ht="15.5" hidden="false" customHeight="false" outlineLevel="0" collapsed="false">
      <c r="A330" s="226" t="s">
        <v>4512</v>
      </c>
      <c r="B330" s="2658" t="s">
        <v>156</v>
      </c>
      <c r="C330" s="2656" t="n">
        <f aca="false">'Ввод данных'!C71</f>
        <v>0.6</v>
      </c>
      <c r="D330" s="2656" t="n">
        <f aca="false">'Ввод данных'!D71</f>
        <v>1.5</v>
      </c>
      <c r="E330" s="2657" t="n">
        <f aca="false">'Ввод данных'!E71</f>
        <v>0</v>
      </c>
      <c r="F330" s="933" t="n">
        <f aca="false">C330+0.4</f>
        <v>1</v>
      </c>
      <c r="G330" s="2315" t="n">
        <f aca="false">VLOOKUP('Ввод данных'!$A$1075,связи1!$A$255:$F$296,3,0)</f>
        <v>100</v>
      </c>
      <c r="H330" s="2315" t="n">
        <f aca="false">VLOOKUP('Ввод данных'!A1075,связи1!A255:F296,2,0)</f>
        <v>200</v>
      </c>
      <c r="I330" s="2315" t="n">
        <f aca="false">E330*F330*G330*H330/1000000</f>
        <v>0</v>
      </c>
      <c r="J330" s="2315" t="n">
        <v>1000</v>
      </c>
      <c r="K330" s="2315" t="n">
        <f aca="false">F330*J330</f>
        <v>1000</v>
      </c>
      <c r="AG330" s="2315" t="n">
        <v>16.1</v>
      </c>
      <c r="AH330" s="2606" t="n">
        <f aca="false">AG330*3.1415926535897/180</f>
        <v>0.280998009571079</v>
      </c>
      <c r="AI330" s="2606" t="n">
        <f aca="false">AH330+0.0005</f>
        <v>0.281498009571079</v>
      </c>
      <c r="AJ330" s="2606" t="n">
        <f aca="false">AH330-0.0005</f>
        <v>0.280498009571079</v>
      </c>
      <c r="AK330" s="2315" t="n">
        <f aca="false">IF(AND(дома!$Z$29&gt;=AJ330,дома!$Z$29&lt;=AI330),связи1!AG330,0)</f>
        <v>0</v>
      </c>
      <c r="AL330" s="2315" t="n">
        <f aca="false">IF(AND(дома!$AA$29&gt;=AJ330,дома!$AA$29&lt;=AI330),связи1!AG330,0)</f>
        <v>0</v>
      </c>
    </row>
    <row r="331" customFormat="false" ht="15.5" hidden="false" customHeight="false" outlineLevel="0" collapsed="false">
      <c r="A331" s="226" t="s">
        <v>4513</v>
      </c>
      <c r="B331" s="2658" t="s">
        <v>156</v>
      </c>
      <c r="C331" s="2656" t="n">
        <f aca="false">'Ввод данных'!C72</f>
        <v>0.5</v>
      </c>
      <c r="D331" s="2656" t="n">
        <f aca="false">'Ввод данных'!D72</f>
        <v>1.5</v>
      </c>
      <c r="E331" s="2657" t="n">
        <f aca="false">'Ввод данных'!E72</f>
        <v>0</v>
      </c>
      <c r="F331" s="933" t="n">
        <f aca="false">C331+0.4</f>
        <v>0.9</v>
      </c>
      <c r="G331" s="2315" t="n">
        <f aca="false">VLOOKUP('Ввод данных'!$A$1075,связи1!$A$255:$F$296,3,0)</f>
        <v>100</v>
      </c>
      <c r="H331" s="2315" t="n">
        <f aca="false">VLOOKUP('Ввод данных'!A1075,связи1!A255:F296,2,0)</f>
        <v>200</v>
      </c>
      <c r="I331" s="2315" t="n">
        <f aca="false">E331*F331*G331*H331/1000000</f>
        <v>0</v>
      </c>
      <c r="J331" s="2315" t="n">
        <v>1000</v>
      </c>
      <c r="K331" s="2315" t="n">
        <f aca="false">F331*J331</f>
        <v>900</v>
      </c>
      <c r="AG331" s="2315" t="n">
        <v>16.2</v>
      </c>
      <c r="AH331" s="2606" t="n">
        <f aca="false">AG331*3.1415926535897/180</f>
        <v>0.282743338823073</v>
      </c>
      <c r="AI331" s="2606" t="n">
        <f aca="false">AH331+0.0005</f>
        <v>0.283243338823073</v>
      </c>
      <c r="AJ331" s="2606" t="n">
        <f aca="false">AH331-0.0005</f>
        <v>0.282243338823073</v>
      </c>
      <c r="AK331" s="2315" t="n">
        <f aca="false">IF(AND(дома!$Z$29&gt;=AJ331,дома!$Z$29&lt;=AI331),связи1!AG331,0)</f>
        <v>0</v>
      </c>
      <c r="AL331" s="2315" t="n">
        <f aca="false">IF(AND(дома!$AA$29&gt;=AJ331,дома!$AA$29&lt;=AI331),связи1!AG331,0)</f>
        <v>0</v>
      </c>
    </row>
    <row r="332" customFormat="false" ht="15.5" hidden="false" customHeight="false" outlineLevel="0" collapsed="false">
      <c r="A332" s="226" t="s">
        <v>4514</v>
      </c>
      <c r="B332" s="2658" t="s">
        <v>156</v>
      </c>
      <c r="C332" s="2656" t="n">
        <f aca="false">'Ввод данных'!C77</f>
        <v>0.6</v>
      </c>
      <c r="D332" s="2656" t="n">
        <f aca="false">'Ввод данных'!D77</f>
        <v>0.6</v>
      </c>
      <c r="E332" s="2657" t="n">
        <f aca="false">'Ввод данных'!E77</f>
        <v>0</v>
      </c>
      <c r="F332" s="933" t="n">
        <f aca="false">C332+0.4</f>
        <v>1</v>
      </c>
      <c r="G332" s="2315" t="n">
        <f aca="false">VLOOKUP('Ввод данных'!$A$1075,связи1!$A$255:$F$296,3,0)</f>
        <v>100</v>
      </c>
      <c r="H332" s="2315" t="n">
        <f aca="false">VLOOKUP('Ввод данных'!A1075,связи1!A255:F296,2,0)</f>
        <v>200</v>
      </c>
      <c r="I332" s="2315" t="n">
        <f aca="false">E332*F332*G332*H332/1000000</f>
        <v>0</v>
      </c>
      <c r="J332" s="2315" t="n">
        <v>1000</v>
      </c>
      <c r="K332" s="2315" t="n">
        <f aca="false">F332*J332</f>
        <v>1000</v>
      </c>
      <c r="AG332" s="2315" t="n">
        <v>16.3</v>
      </c>
      <c r="AH332" s="2606" t="n">
        <f aca="false">AG332*3.1415926535897/180</f>
        <v>0.284488668075067</v>
      </c>
      <c r="AI332" s="2606" t="n">
        <f aca="false">AH332+0.0005</f>
        <v>0.284988668075067</v>
      </c>
      <c r="AJ332" s="2606" t="n">
        <f aca="false">AH332-0.0005</f>
        <v>0.283988668075067</v>
      </c>
      <c r="AK332" s="2315" t="n">
        <f aca="false">IF(AND(дома!$Z$29&gt;=AJ332,дома!$Z$29&lt;=AI332),связи1!AG332,0)</f>
        <v>0</v>
      </c>
      <c r="AL332" s="2315" t="n">
        <f aca="false">IF(AND(дома!$AA$29&gt;=AJ332,дома!$AA$29&lt;=AI332),связи1!AG332,0)</f>
        <v>0</v>
      </c>
    </row>
    <row r="333" customFormat="false" ht="15.5" hidden="false" customHeight="false" outlineLevel="0" collapsed="false">
      <c r="A333" s="226" t="s">
        <v>4515</v>
      </c>
      <c r="B333" s="2658" t="s">
        <v>156</v>
      </c>
      <c r="C333" s="2656" t="n">
        <f aca="false">'Ввод данных'!C78</f>
        <v>0.8</v>
      </c>
      <c r="D333" s="2656" t="n">
        <f aca="false">'Ввод данных'!D78</f>
        <v>0.8</v>
      </c>
      <c r="E333" s="2657" t="n">
        <f aca="false">'Ввод данных'!E78</f>
        <v>0</v>
      </c>
      <c r="F333" s="933" t="n">
        <f aca="false">C333+0.4</f>
        <v>1.2</v>
      </c>
      <c r="G333" s="2315" t="n">
        <f aca="false">VLOOKUP('Ввод данных'!$A$1075,связи1!$A$255:$F$296,3,0)</f>
        <v>100</v>
      </c>
      <c r="H333" s="2315" t="n">
        <f aca="false">VLOOKUP('Ввод данных'!A1075,связи1!A255:F296,2,0)</f>
        <v>200</v>
      </c>
      <c r="I333" s="2315" t="n">
        <f aca="false">E333*F333*G333*H333/1000000</f>
        <v>0</v>
      </c>
      <c r="J333" s="2315" t="n">
        <v>1000</v>
      </c>
      <c r="K333" s="2315" t="n">
        <f aca="false">F333*J333</f>
        <v>1200</v>
      </c>
      <c r="AG333" s="2315" t="n">
        <v>16.4</v>
      </c>
      <c r="AH333" s="2606" t="n">
        <f aca="false">AG333*3.1415926535897/180</f>
        <v>0.286233997327061</v>
      </c>
      <c r="AI333" s="2606" t="n">
        <f aca="false">AH333+0.0005</f>
        <v>0.286733997327061</v>
      </c>
      <c r="AJ333" s="2606" t="n">
        <f aca="false">AH333-0.0005</f>
        <v>0.285733997327061</v>
      </c>
      <c r="AK333" s="2315" t="n">
        <f aca="false">IF(AND(дома!$Z$29&gt;=AJ333,дома!$Z$29&lt;=AI333),связи1!AG333,0)</f>
        <v>0</v>
      </c>
      <c r="AL333" s="2315" t="n">
        <f aca="false">IF(AND(дома!$AA$29&gt;=AJ333,дома!$AA$29&lt;=AI333),связи1!AG333,0)</f>
        <v>0</v>
      </c>
    </row>
    <row r="334" customFormat="false" ht="15.5" hidden="false" customHeight="false" outlineLevel="0" collapsed="false">
      <c r="A334" s="226" t="s">
        <v>4516</v>
      </c>
      <c r="B334" s="2658" t="s">
        <v>156</v>
      </c>
      <c r="C334" s="2656" t="n">
        <f aca="false">'Ввод данных'!C79</f>
        <v>1</v>
      </c>
      <c r="D334" s="2656" t="n">
        <f aca="false">'Ввод данных'!D79</f>
        <v>0.7</v>
      </c>
      <c r="E334" s="2657" t="n">
        <f aca="false">'Ввод данных'!E79</f>
        <v>0</v>
      </c>
      <c r="F334" s="933" t="n">
        <f aca="false">C334+0.4</f>
        <v>1.4</v>
      </c>
      <c r="G334" s="2315" t="n">
        <f aca="false">VLOOKUP('Ввод данных'!$A$1075,связи1!$A$255:$F$296,3,0)</f>
        <v>100</v>
      </c>
      <c r="H334" s="2315" t="n">
        <f aca="false">VLOOKUP('Ввод данных'!A1075,связи1!A255:F296,2,0)</f>
        <v>200</v>
      </c>
      <c r="I334" s="2315" t="n">
        <f aca="false">E334*F334*G334*H334/1000000</f>
        <v>0</v>
      </c>
      <c r="J334" s="2315" t="n">
        <v>1000</v>
      </c>
      <c r="K334" s="2315" t="n">
        <f aca="false">F334*J334</f>
        <v>1400</v>
      </c>
      <c r="AG334" s="2315" t="n">
        <v>16.5</v>
      </c>
      <c r="AH334" s="2606" t="n">
        <f aca="false">AG334*3.1415926535897/180</f>
        <v>0.287979326579056</v>
      </c>
      <c r="AI334" s="2606" t="n">
        <f aca="false">AH334+0.0005</f>
        <v>0.288479326579056</v>
      </c>
      <c r="AJ334" s="2606" t="n">
        <f aca="false">AH334-0.0005</f>
        <v>0.287479326579056</v>
      </c>
      <c r="AK334" s="2315" t="n">
        <f aca="false">IF(AND(дома!$Z$29&gt;=AJ334,дома!$Z$29&lt;=AI334),связи1!AG334,0)</f>
        <v>0</v>
      </c>
      <c r="AL334" s="2315" t="n">
        <f aca="false">IF(AND(дома!$AA$29&gt;=AJ334,дома!$AA$29&lt;=AI334),связи1!AG334,0)</f>
        <v>0</v>
      </c>
    </row>
    <row r="335" customFormat="false" ht="15.5" hidden="false" customHeight="false" outlineLevel="0" collapsed="false">
      <c r="A335" s="226" t="s">
        <v>4517</v>
      </c>
      <c r="B335" s="2658" t="s">
        <v>156</v>
      </c>
      <c r="C335" s="2656" t="n">
        <f aca="false">'Ввод данных'!C80</f>
        <v>5</v>
      </c>
      <c r="D335" s="2656" t="n">
        <f aca="false">'Ввод данных'!D80</f>
        <v>3</v>
      </c>
      <c r="E335" s="2657" t="n">
        <f aca="false">'Ввод данных'!E80</f>
        <v>0</v>
      </c>
      <c r="F335" s="933" t="n">
        <f aca="false">C335+0.4</f>
        <v>5.4</v>
      </c>
      <c r="G335" s="2315" t="n">
        <f aca="false">VLOOKUP('Ввод данных'!$A$1075,связи1!$A$255:$F$296,3,0)</f>
        <v>100</v>
      </c>
      <c r="H335" s="2315" t="n">
        <f aca="false">VLOOKUP('Ввод данных'!A1075,связи1!A255:F296,2,0)</f>
        <v>200</v>
      </c>
      <c r="I335" s="2315" t="n">
        <f aca="false">E335*F335*G335*H335/1000000</f>
        <v>0</v>
      </c>
      <c r="J335" s="2315" t="n">
        <v>1000</v>
      </c>
      <c r="K335" s="2315" t="n">
        <f aca="false">F335*J335</f>
        <v>5400</v>
      </c>
      <c r="AG335" s="2315" t="n">
        <v>16.6</v>
      </c>
      <c r="AH335" s="2606" t="n">
        <f aca="false">AG335*3.1415926535897/180</f>
        <v>0.28972465583105</v>
      </c>
      <c r="AI335" s="2606" t="n">
        <f aca="false">AH335+0.0005</f>
        <v>0.29022465583105</v>
      </c>
      <c r="AJ335" s="2606" t="n">
        <f aca="false">AH335-0.0005</f>
        <v>0.28922465583105</v>
      </c>
      <c r="AK335" s="2315" t="n">
        <f aca="false">IF(AND(дома!$Z$29&gt;=AJ335,дома!$Z$29&lt;=AI335),связи1!AG335,0)</f>
        <v>0</v>
      </c>
      <c r="AL335" s="2315" t="n">
        <f aca="false">IF(AND(дома!$AA$29&gt;=AJ335,дома!$AA$29&lt;=AI335),связи1!AG335,0)</f>
        <v>0</v>
      </c>
    </row>
    <row r="336" customFormat="false" ht="15.5" hidden="false" customHeight="false" outlineLevel="0" collapsed="false">
      <c r="A336" s="226" t="s">
        <v>4518</v>
      </c>
      <c r="B336" s="2658" t="s">
        <v>156</v>
      </c>
      <c r="C336" s="2656" t="n">
        <f aca="false">'Ввод данных'!C81</f>
        <v>6</v>
      </c>
      <c r="D336" s="2656" t="n">
        <f aca="false">'Ввод данных'!D81</f>
        <v>2</v>
      </c>
      <c r="E336" s="2657" t="n">
        <f aca="false">'Ввод данных'!E81</f>
        <v>0</v>
      </c>
      <c r="F336" s="933" t="n">
        <f aca="false">C336+0.4</f>
        <v>6.4</v>
      </c>
      <c r="G336" s="2315" t="n">
        <f aca="false">VLOOKUP('Ввод данных'!$A$1075,связи1!$A$255:$F$296,3,0)</f>
        <v>100</v>
      </c>
      <c r="H336" s="2315" t="n">
        <f aca="false">VLOOKUP('Ввод данных'!A1075,связи1!A255:F296,2,0)</f>
        <v>200</v>
      </c>
      <c r="I336" s="2315" t="n">
        <f aca="false">E336*F336*G336*H336/1000000</f>
        <v>0</v>
      </c>
      <c r="J336" s="2315" t="n">
        <v>1000</v>
      </c>
      <c r="K336" s="2315" t="n">
        <f aca="false">F336*J336</f>
        <v>6400</v>
      </c>
      <c r="AG336" s="2315" t="n">
        <v>16.7</v>
      </c>
      <c r="AH336" s="2606" t="n">
        <f aca="false">AG336*3.1415926535897/180</f>
        <v>0.291469985083044</v>
      </c>
      <c r="AI336" s="2606" t="n">
        <f aca="false">AH336+0.0005</f>
        <v>0.291969985083044</v>
      </c>
      <c r="AJ336" s="2606" t="n">
        <f aca="false">AH336-0.0005</f>
        <v>0.290969985083044</v>
      </c>
      <c r="AK336" s="2315" t="n">
        <f aca="false">IF(AND(дома!$Z$29&gt;=AJ336,дома!$Z$29&lt;=AI336),связи1!AG336,0)</f>
        <v>0</v>
      </c>
      <c r="AL336" s="2315" t="n">
        <f aca="false">IF(AND(дома!$AA$29&gt;=AJ336,дома!$AA$29&lt;=AI336),связи1!AG336,0)</f>
        <v>0</v>
      </c>
    </row>
    <row r="337" customFormat="false" ht="15.5" hidden="false" customHeight="false" outlineLevel="0" collapsed="false">
      <c r="A337" s="2350" t="s">
        <v>4519</v>
      </c>
      <c r="B337" s="2351" t="s">
        <v>156</v>
      </c>
      <c r="C337" s="2656" t="n">
        <f aca="false">'Ввод данных'!C73</f>
        <v>0.8</v>
      </c>
      <c r="D337" s="2656" t="n">
        <f aca="false">'Ввод данных'!D73</f>
        <v>2.1</v>
      </c>
      <c r="E337" s="2657" t="n">
        <f aca="false">'Ввод данных'!E73</f>
        <v>0</v>
      </c>
      <c r="F337" s="933" t="n">
        <f aca="false">C337+0.4</f>
        <v>1.2</v>
      </c>
      <c r="G337" s="2315" t="n">
        <f aca="false">VLOOKUP('Ввод данных'!$A$1075,связи1!$A$255:$F$296,3,0)</f>
        <v>100</v>
      </c>
      <c r="H337" s="2315" t="n">
        <f aca="false">VLOOKUP('Ввод данных'!A1075,связи1!A255:F296,2,0)</f>
        <v>200</v>
      </c>
      <c r="I337" s="2315" t="n">
        <f aca="false">E337*F337*G337*H337/1000000</f>
        <v>0</v>
      </c>
      <c r="J337" s="2315" t="n">
        <v>1000</v>
      </c>
      <c r="K337" s="2315" t="n">
        <f aca="false">F337*J337</f>
        <v>1200</v>
      </c>
      <c r="AG337" s="2315" t="n">
        <v>16.8</v>
      </c>
      <c r="AH337" s="2606" t="n">
        <f aca="false">AG337*3.1415926535897/180</f>
        <v>0.293215314335039</v>
      </c>
      <c r="AI337" s="2606" t="n">
        <f aca="false">AH337+0.0005</f>
        <v>0.293715314335039</v>
      </c>
      <c r="AJ337" s="2606" t="n">
        <f aca="false">AH337-0.0005</f>
        <v>0.292715314335039</v>
      </c>
      <c r="AK337" s="2315" t="n">
        <f aca="false">IF(AND(дома!$Z$29&gt;=AJ337,дома!$Z$29&lt;=AI337),связи1!AG337,0)</f>
        <v>0</v>
      </c>
      <c r="AL337" s="2315" t="n">
        <f aca="false">IF(AND(дома!$AA$29&gt;=AJ337,дома!$AA$29&lt;=AI337),связи1!AG337,0)</f>
        <v>0</v>
      </c>
    </row>
    <row r="338" customFormat="false" ht="15.5" hidden="false" customHeight="false" outlineLevel="0" collapsed="false">
      <c r="A338" s="2350" t="s">
        <v>4520</v>
      </c>
      <c r="B338" s="2351" t="s">
        <v>156</v>
      </c>
      <c r="C338" s="2656" t="n">
        <f aca="false">'Ввод данных'!C82</f>
        <v>0.8</v>
      </c>
      <c r="D338" s="2656" t="n">
        <f aca="false">'Ввод данных'!D82</f>
        <v>2.1</v>
      </c>
      <c r="E338" s="2657" t="n">
        <f aca="false">'Ввод данных'!E82</f>
        <v>0</v>
      </c>
      <c r="F338" s="933" t="n">
        <f aca="false">C338+0.4</f>
        <v>1.2</v>
      </c>
      <c r="G338" s="2315" t="n">
        <f aca="false">VLOOKUP('Ввод данных'!$A$1075,связи1!$A$255:$F$296,3,0)</f>
        <v>100</v>
      </c>
      <c r="H338" s="2315" t="n">
        <f aca="false">VLOOKUP('Ввод данных'!A1075,связи1!A255:F296,2,0)</f>
        <v>200</v>
      </c>
      <c r="I338" s="2315" t="n">
        <f aca="false">E338*F338*G338*H338/1000000</f>
        <v>0</v>
      </c>
      <c r="J338" s="2315" t="n">
        <v>1000</v>
      </c>
      <c r="K338" s="2315" t="n">
        <f aca="false">F338*J338</f>
        <v>1200</v>
      </c>
      <c r="AG338" s="2315" t="n">
        <v>16.9</v>
      </c>
      <c r="AH338" s="2606" t="n">
        <f aca="false">AG338*3.1415926535897/180</f>
        <v>0.294960643587033</v>
      </c>
      <c r="AI338" s="2606" t="n">
        <f aca="false">AH338+0.0005</f>
        <v>0.295460643587033</v>
      </c>
      <c r="AJ338" s="2606" t="n">
        <f aca="false">AH338-0.0005</f>
        <v>0.294460643587033</v>
      </c>
      <c r="AK338" s="2315" t="n">
        <f aca="false">IF(AND(дома!$Z$29&gt;=AJ338,дома!$Z$29&lt;=AI338),связи1!AG338,0)</f>
        <v>0</v>
      </c>
      <c r="AL338" s="2315" t="n">
        <f aca="false">IF(AND(дома!$AA$29&gt;=AJ338,дома!$AA$29&lt;=AI338),связи1!AG338,0)</f>
        <v>0</v>
      </c>
    </row>
    <row r="339" customFormat="false" ht="15.5" hidden="false" customHeight="false" outlineLevel="0" collapsed="false">
      <c r="A339" s="2421" t="s">
        <v>4521</v>
      </c>
      <c r="B339" s="2658" t="s">
        <v>156</v>
      </c>
      <c r="C339" s="2656" t="n">
        <f aca="false">'Ввод данных'!C74</f>
        <v>2</v>
      </c>
      <c r="D339" s="2656" t="n">
        <f aca="false">'Ввод данных'!D74</f>
        <v>2</v>
      </c>
      <c r="E339" s="2657" t="n">
        <f aca="false">'Ввод данных'!E74</f>
        <v>0</v>
      </c>
      <c r="F339" s="933" t="n">
        <f aca="false">C339+0.4</f>
        <v>2.4</v>
      </c>
      <c r="G339" s="2315" t="n">
        <f aca="false">VLOOKUP('Ввод данных'!$A$1075,связи1!$A$255:$F$296,3,0)</f>
        <v>100</v>
      </c>
      <c r="H339" s="2315" t="n">
        <f aca="false">VLOOKUP('Ввод данных'!A1075,связи1!A255:F296,2,0)</f>
        <v>200</v>
      </c>
      <c r="I339" s="2315" t="n">
        <f aca="false">E339*F339*G339*H339/1000000</f>
        <v>0</v>
      </c>
      <c r="J339" s="2315" t="n">
        <v>1000</v>
      </c>
      <c r="K339" s="2315" t="n">
        <f aca="false">F339*J339</f>
        <v>2400</v>
      </c>
      <c r="AG339" s="2315" t="n">
        <v>17</v>
      </c>
      <c r="AH339" s="2606" t="n">
        <f aca="false">AG339*3.1415926535897/180</f>
        <v>0.296705972839027</v>
      </c>
      <c r="AI339" s="2606" t="n">
        <f aca="false">AH339+0.0005</f>
        <v>0.297205972839027</v>
      </c>
      <c r="AJ339" s="2606" t="n">
        <f aca="false">AH339-0.0005</f>
        <v>0.296205972839027</v>
      </c>
      <c r="AK339" s="2315" t="n">
        <f aca="false">IF(AND(дома!$Z$29&gt;=AJ339,дома!$Z$29&lt;=AI339),связи1!AG339,0)</f>
        <v>0</v>
      </c>
      <c r="AL339" s="2315" t="n">
        <f aca="false">IF(AND(дома!$AA$29&gt;=AJ339,дома!$AA$29&lt;=AI339),связи1!AG339,0)</f>
        <v>0</v>
      </c>
    </row>
    <row r="340" customFormat="false" ht="15.5" hidden="false" customHeight="false" outlineLevel="0" collapsed="false">
      <c r="A340" s="2421" t="s">
        <v>4522</v>
      </c>
      <c r="B340" s="2658" t="s">
        <v>156</v>
      </c>
      <c r="C340" s="2656" t="n">
        <f aca="false">'Ввод данных'!C75</f>
        <v>0</v>
      </c>
      <c r="D340" s="2656" t="n">
        <f aca="false">'Ввод данных'!D75</f>
        <v>3</v>
      </c>
      <c r="E340" s="2657" t="n">
        <f aca="false">'Ввод данных'!E75</f>
        <v>0</v>
      </c>
      <c r="F340" s="933" t="n">
        <f aca="false">C340+0.4</f>
        <v>0.4</v>
      </c>
      <c r="G340" s="2315" t="n">
        <f aca="false">VLOOKUP('Ввод данных'!$A$1075,связи1!$A$255:$F$296,3,0)</f>
        <v>100</v>
      </c>
      <c r="H340" s="2315" t="n">
        <f aca="false">VLOOKUP('Ввод данных'!A1075,связи1!A255:F296,2,0)</f>
        <v>200</v>
      </c>
      <c r="I340" s="2315" t="n">
        <f aca="false">E340*F340*G340*H340/1000000</f>
        <v>0</v>
      </c>
      <c r="J340" s="2315" t="n">
        <v>1000</v>
      </c>
      <c r="K340" s="2315" t="n">
        <f aca="false">F340*J340</f>
        <v>400</v>
      </c>
      <c r="AG340" s="2315" t="n">
        <v>17.1</v>
      </c>
      <c r="AH340" s="2606" t="n">
        <f aca="false">AG340*3.1415926535897/180</f>
        <v>0.298451302091021</v>
      </c>
      <c r="AI340" s="2606" t="n">
        <f aca="false">AH340+0.0005</f>
        <v>0.298951302091021</v>
      </c>
      <c r="AJ340" s="2606" t="n">
        <f aca="false">AH340-0.0005</f>
        <v>0.297951302091021</v>
      </c>
      <c r="AK340" s="2315" t="n">
        <f aca="false">IF(AND(дома!$Z$29&gt;=AJ340,дома!$Z$29&lt;=AI340),связи1!AG340,0)</f>
        <v>0</v>
      </c>
      <c r="AL340" s="2315" t="n">
        <f aca="false">IF(AND(дома!$AA$29&gt;=AJ340,дома!$AA$29&lt;=AI340),связи1!AG340,0)</f>
        <v>0</v>
      </c>
    </row>
    <row r="341" customFormat="false" ht="15.5" hidden="false" customHeight="false" outlineLevel="0" collapsed="false">
      <c r="A341" s="2350" t="s">
        <v>4523</v>
      </c>
      <c r="B341" s="2351" t="s">
        <v>156</v>
      </c>
      <c r="C341" s="2656" t="n">
        <f aca="false">'Ввод данных'!C91</f>
        <v>0.8</v>
      </c>
      <c r="D341" s="2656" t="n">
        <f aca="false">'Ввод данных'!D91</f>
        <v>2.1</v>
      </c>
      <c r="E341" s="2657" t="n">
        <f aca="false">'Ввод данных'!E91</f>
        <v>0</v>
      </c>
      <c r="F341" s="933" t="n">
        <f aca="false">C341+0.4</f>
        <v>1.2</v>
      </c>
      <c r="G341" s="2315" t="n">
        <f aca="false">VLOOKUP('Ввод данных'!$A$1077,связи1!$A$255:$F$296,3,0)</f>
        <v>100</v>
      </c>
      <c r="H341" s="2315" t="n">
        <f aca="false">VLOOKUP('Ввод данных'!A1077,связи1!A255:F296,2,0)</f>
        <v>200</v>
      </c>
      <c r="I341" s="2315" t="n">
        <f aca="false">E341*F341*G341*H341/1000000</f>
        <v>0</v>
      </c>
      <c r="J341" s="2315" t="n">
        <v>1000</v>
      </c>
      <c r="K341" s="2315" t="n">
        <f aca="false">F341*J341</f>
        <v>1200</v>
      </c>
      <c r="AG341" s="2315" t="n">
        <v>17.2</v>
      </c>
      <c r="AH341" s="2606" t="n">
        <f aca="false">AG341*3.1415926535897/180</f>
        <v>0.300196631343016</v>
      </c>
      <c r="AI341" s="2606" t="n">
        <f aca="false">AH341+0.0005</f>
        <v>0.300696631343016</v>
      </c>
      <c r="AJ341" s="2606" t="n">
        <f aca="false">AH341-0.0005</f>
        <v>0.299696631343016</v>
      </c>
      <c r="AK341" s="2315" t="n">
        <f aca="false">IF(AND(дома!$Z$29&gt;=AJ341,дома!$Z$29&lt;=AI341),связи1!AG341,0)</f>
        <v>0</v>
      </c>
      <c r="AL341" s="2315" t="n">
        <f aca="false">IF(AND(дома!$AA$29&gt;=AJ341,дома!$AA$29&lt;=AI341),связи1!AG341,0)</f>
        <v>0</v>
      </c>
    </row>
    <row r="342" customFormat="false" ht="15.5" hidden="false" customHeight="false" outlineLevel="0" collapsed="false">
      <c r="A342" s="2350" t="s">
        <v>4524</v>
      </c>
      <c r="B342" s="2351" t="s">
        <v>156</v>
      </c>
      <c r="C342" s="2656" t="n">
        <f aca="false">'Ввод данных'!C92</f>
        <v>0.6</v>
      </c>
      <c r="D342" s="2656" t="n">
        <f aca="false">'Ввод данных'!D92</f>
        <v>2</v>
      </c>
      <c r="E342" s="2657" t="n">
        <f aca="false">'Ввод данных'!E92</f>
        <v>0</v>
      </c>
      <c r="F342" s="933" t="n">
        <f aca="false">C342+0.4</f>
        <v>1</v>
      </c>
      <c r="G342" s="2315" t="n">
        <f aca="false">VLOOKUP('Ввод данных'!$A$1077,связи1!$A$255:$F$296,3,0)</f>
        <v>100</v>
      </c>
      <c r="H342" s="2315" t="n">
        <f aca="false">VLOOKUP('Ввод данных'!A1077,связи1!A255:F296,2,0)</f>
        <v>200</v>
      </c>
      <c r="I342" s="2315" t="n">
        <f aca="false">E342*F342*G342*H342/1000000</f>
        <v>0</v>
      </c>
      <c r="J342" s="2315" t="n">
        <v>1000</v>
      </c>
      <c r="K342" s="2315" t="n">
        <f aca="false">F342*J342</f>
        <v>1000</v>
      </c>
      <c r="AG342" s="2315" t="n">
        <v>17.3</v>
      </c>
      <c r="AH342" s="2606" t="n">
        <f aca="false">AG342*3.1415926535897/180</f>
        <v>0.30194196059501</v>
      </c>
      <c r="AI342" s="2606" t="n">
        <f aca="false">AH342+0.0005</f>
        <v>0.30244196059501</v>
      </c>
      <c r="AJ342" s="2606" t="n">
        <f aca="false">AH342-0.0005</f>
        <v>0.30144196059501</v>
      </c>
      <c r="AK342" s="2315" t="n">
        <f aca="false">IF(AND(дома!$Z$29&gt;=AJ342,дома!$Z$29&lt;=AI342),связи1!AG342,0)</f>
        <v>0</v>
      </c>
      <c r="AL342" s="2315" t="n">
        <f aca="false">IF(AND(дома!$AA$29&gt;=AJ342,дома!$AA$29&lt;=AI342),связи1!AG342,0)</f>
        <v>0</v>
      </c>
    </row>
    <row r="343" customFormat="false" ht="15.5" hidden="false" customHeight="false" outlineLevel="0" collapsed="false">
      <c r="A343" s="2350" t="s">
        <v>4525</v>
      </c>
      <c r="B343" s="2351" t="s">
        <v>156</v>
      </c>
      <c r="C343" s="2656" t="n">
        <f aca="false">'Ввод данных'!C95</f>
        <v>0.9</v>
      </c>
      <c r="D343" s="2656" t="n">
        <f aca="false">'Ввод данных'!D95</f>
        <v>2.1</v>
      </c>
      <c r="E343" s="2657" t="n">
        <f aca="false">'Ввод данных'!E95</f>
        <v>0</v>
      </c>
      <c r="F343" s="933" t="n">
        <f aca="false">C343+0.4</f>
        <v>1.3</v>
      </c>
      <c r="G343" s="2315" t="n">
        <f aca="false">VLOOKUP('Ввод данных'!$A$1077,связи1!$A$255:$F$296,3,0)</f>
        <v>100</v>
      </c>
      <c r="H343" s="2315" t="n">
        <f aca="false">VLOOKUP('Ввод данных'!A1077,связи1!A255:F296,2,0)</f>
        <v>200</v>
      </c>
      <c r="I343" s="2315" t="n">
        <f aca="false">E343*F343*G343*H343/1000000</f>
        <v>0</v>
      </c>
      <c r="J343" s="2315" t="n">
        <v>1000</v>
      </c>
      <c r="K343" s="2315" t="n">
        <f aca="false">F343*J343</f>
        <v>1300</v>
      </c>
      <c r="AG343" s="2315" t="n">
        <v>17.4</v>
      </c>
      <c r="AH343" s="2606" t="n">
        <f aca="false">AG343*3.1415926535897/180</f>
        <v>0.303687289847004</v>
      </c>
      <c r="AI343" s="2606" t="n">
        <f aca="false">AH343+0.0005</f>
        <v>0.304187289847004</v>
      </c>
      <c r="AJ343" s="2606" t="n">
        <f aca="false">AH343-0.0005</f>
        <v>0.303187289847004</v>
      </c>
      <c r="AK343" s="2315" t="n">
        <f aca="false">IF(AND(дома!$Z$29&gt;=AJ343,дома!$Z$29&lt;=AI343),связи1!AG343,0)</f>
        <v>0</v>
      </c>
      <c r="AL343" s="2315" t="n">
        <f aca="false">IF(AND(дома!$AA$29&gt;=AJ343,дома!$AA$29&lt;=AI343),связи1!AG343,0)</f>
        <v>0</v>
      </c>
    </row>
    <row r="344" customFormat="false" ht="15.5" hidden="false" customHeight="false" outlineLevel="0" collapsed="false">
      <c r="A344" s="2350" t="s">
        <v>4526</v>
      </c>
      <c r="B344" s="2351" t="s">
        <v>156</v>
      </c>
      <c r="C344" s="2656" t="n">
        <f aca="false">'Ввод данных'!C99</f>
        <v>0.8</v>
      </c>
      <c r="D344" s="2656" t="n">
        <f aca="false">'Ввод данных'!D99</f>
        <v>2.1</v>
      </c>
      <c r="E344" s="2657" t="n">
        <f aca="false">'Ввод данных'!E99</f>
        <v>0</v>
      </c>
      <c r="F344" s="933" t="n">
        <f aca="false">C344+0.4</f>
        <v>1.2</v>
      </c>
      <c r="G344" s="2315" t="n">
        <f aca="false">VLOOKUP('Ввод данных'!$A$1077,связи1!$A$255:$F$296,3,0)</f>
        <v>100</v>
      </c>
      <c r="H344" s="2315" t="n">
        <f aca="false">VLOOKUP('Ввод данных'!A1077,связи1!A255:F296,2,0)</f>
        <v>200</v>
      </c>
      <c r="I344" s="2315" t="n">
        <f aca="false">E344*F344*G344*H344/1000000</f>
        <v>0</v>
      </c>
      <c r="J344" s="2315" t="n">
        <v>1000</v>
      </c>
      <c r="K344" s="2315" t="n">
        <f aca="false">F344*J344</f>
        <v>1200</v>
      </c>
      <c r="AG344" s="2315" t="n">
        <v>17.5</v>
      </c>
      <c r="AH344" s="2606" t="n">
        <f aca="false">AG344*3.1415926535897/180</f>
        <v>0.305432619098999</v>
      </c>
      <c r="AI344" s="2606" t="n">
        <f aca="false">AH344+0.0005</f>
        <v>0.305932619098999</v>
      </c>
      <c r="AJ344" s="2606" t="n">
        <f aca="false">AH344-0.0005</f>
        <v>0.304932619098999</v>
      </c>
      <c r="AK344" s="2315" t="n">
        <f aca="false">IF(AND(дома!$Z$29&gt;=AJ344,дома!$Z$29&lt;=AI344),связи1!AG344,0)</f>
        <v>0</v>
      </c>
      <c r="AL344" s="2315" t="n">
        <f aca="false">IF(AND(дома!$AA$29&gt;=AJ344,дома!$AA$29&lt;=AI344),связи1!AG344,0)</f>
        <v>0</v>
      </c>
    </row>
    <row r="345" customFormat="false" ht="15.5" hidden="false" customHeight="false" outlineLevel="0" collapsed="false">
      <c r="A345" s="2350" t="s">
        <v>4527</v>
      </c>
      <c r="B345" s="2351" t="s">
        <v>156</v>
      </c>
      <c r="C345" s="2656" t="n">
        <f aca="false">'Ввод данных'!C100</f>
        <v>1</v>
      </c>
      <c r="D345" s="2656" t="n">
        <f aca="false">'Ввод данных'!D100</f>
        <v>2</v>
      </c>
      <c r="E345" s="2657" t="n">
        <f aca="false">'Ввод данных'!E100</f>
        <v>0</v>
      </c>
      <c r="F345" s="933" t="n">
        <f aca="false">C345+0.4</f>
        <v>1.4</v>
      </c>
      <c r="G345" s="2315" t="n">
        <f aca="false">VLOOKUP('Ввод данных'!$A$1077,связи1!$A$255:$F$296,3,0)</f>
        <v>100</v>
      </c>
      <c r="H345" s="2315" t="n">
        <f aca="false">VLOOKUP('Ввод данных'!A1077,связи1!A255:F296,2,0)</f>
        <v>200</v>
      </c>
      <c r="I345" s="2315" t="n">
        <f aca="false">E345*F345*G345*H345/1000000</f>
        <v>0</v>
      </c>
      <c r="J345" s="2315" t="n">
        <v>1000</v>
      </c>
      <c r="K345" s="2315" t="n">
        <f aca="false">F345*J345</f>
        <v>1400</v>
      </c>
      <c r="AG345" s="2315" t="n">
        <v>17.6</v>
      </c>
      <c r="AH345" s="2606" t="n">
        <f aca="false">AG345*3.1415926535897/180</f>
        <v>0.307177948350993</v>
      </c>
      <c r="AI345" s="2606" t="n">
        <f aca="false">AH345+0.0005</f>
        <v>0.307677948350993</v>
      </c>
      <c r="AJ345" s="2606" t="n">
        <f aca="false">AH345-0.0005</f>
        <v>0.306677948350993</v>
      </c>
      <c r="AK345" s="2315" t="n">
        <f aca="false">IF(AND(дома!$Z$29&gt;=AJ345,дома!$Z$29&lt;=AI345),связи1!AG345,0)</f>
        <v>0</v>
      </c>
      <c r="AL345" s="2315" t="n">
        <f aca="false">IF(AND(дома!$AA$29&gt;=AJ345,дома!$AA$29&lt;=AI345),связи1!AG345,0)</f>
        <v>0</v>
      </c>
    </row>
    <row r="346" customFormat="false" ht="15.5" hidden="false" customHeight="false" outlineLevel="0" collapsed="false">
      <c r="A346" s="2350" t="s">
        <v>4528</v>
      </c>
      <c r="B346" s="2351" t="s">
        <v>156</v>
      </c>
      <c r="C346" s="2656" t="n">
        <f aca="false">'Ввод данных'!C103</f>
        <v>1</v>
      </c>
      <c r="D346" s="2656" t="n">
        <f aca="false">'Ввод данных'!D103</f>
        <v>2</v>
      </c>
      <c r="E346" s="2657" t="n">
        <f aca="false">'Ввод данных'!E103</f>
        <v>0</v>
      </c>
      <c r="F346" s="933" t="n">
        <f aca="false">C346+0.4</f>
        <v>1.4</v>
      </c>
      <c r="G346" s="2315" t="n">
        <f aca="false">VLOOKUP('Ввод данных'!$A$1077,связи1!$A$255:$F$296,3,0)</f>
        <v>100</v>
      </c>
      <c r="H346" s="2315" t="n">
        <f aca="false">VLOOKUP('Ввод данных'!A1077,связи1!A255:F296,2,0)</f>
        <v>200</v>
      </c>
      <c r="I346" s="2315" t="n">
        <f aca="false">E346*F346*G346*H346/1000000</f>
        <v>0</v>
      </c>
      <c r="J346" s="2315" t="n">
        <v>1000</v>
      </c>
      <c r="K346" s="2315" t="n">
        <f aca="false">F346*J346</f>
        <v>1400</v>
      </c>
      <c r="AG346" s="2315" t="n">
        <v>17.7</v>
      </c>
      <c r="AH346" s="2606" t="n">
        <f aca="false">AG346*3.1415926535897/180</f>
        <v>0.308923277602987</v>
      </c>
      <c r="AI346" s="2606" t="n">
        <f aca="false">AH346+0.0005</f>
        <v>0.309423277602987</v>
      </c>
      <c r="AJ346" s="2606" t="n">
        <f aca="false">AH346-0.0005</f>
        <v>0.308423277602987</v>
      </c>
      <c r="AK346" s="2315" t="n">
        <f aca="false">IF(AND(дома!$Z$29&gt;=AJ346,дома!$Z$29&lt;=AI346),связи1!AG346,0)</f>
        <v>0</v>
      </c>
      <c r="AL346" s="2315" t="n">
        <f aca="false">IF(AND(дома!$AA$29&gt;=AJ346,дома!$AA$29&lt;=AI346),связи1!AG346,0)</f>
        <v>0</v>
      </c>
    </row>
    <row r="347" customFormat="false" ht="15.5" hidden="false" customHeight="false" outlineLevel="0" collapsed="false">
      <c r="A347" s="2350" t="s">
        <v>4529</v>
      </c>
      <c r="B347" s="2351" t="s">
        <v>156</v>
      </c>
      <c r="C347" s="2656" t="n">
        <f aca="false">'Ввод данных'!C93</f>
        <v>2</v>
      </c>
      <c r="D347" s="2656" t="n">
        <f aca="false">'Ввод данных'!D93</f>
        <v>2.3</v>
      </c>
      <c r="E347" s="2657" t="n">
        <f aca="false">'Ввод данных'!E93</f>
        <v>0</v>
      </c>
      <c r="F347" s="933" t="n">
        <f aca="false">C347+0.4</f>
        <v>2.4</v>
      </c>
      <c r="G347" s="2315" t="n">
        <f aca="false">VLOOKUP('Ввод данных'!$A$1077,связи1!$A$255:$F$296,3,0)</f>
        <v>100</v>
      </c>
      <c r="H347" s="2315" t="n">
        <f aca="false">VLOOKUP('Ввод данных'!A1077,связи1!A255:F296,2,0)</f>
        <v>200</v>
      </c>
      <c r="I347" s="2315" t="n">
        <f aca="false">E347*F347*G347*H347/1000000</f>
        <v>0</v>
      </c>
      <c r="J347" s="2315" t="n">
        <v>1000</v>
      </c>
      <c r="K347" s="2315" t="n">
        <f aca="false">F347*J347</f>
        <v>2400</v>
      </c>
      <c r="AG347" s="2315" t="n">
        <v>17.8</v>
      </c>
      <c r="AH347" s="2606" t="n">
        <f aca="false">AG347*3.1415926535897/180</f>
        <v>0.310668606854981</v>
      </c>
      <c r="AI347" s="2606" t="n">
        <f aca="false">AH347+0.0005</f>
        <v>0.311168606854981</v>
      </c>
      <c r="AJ347" s="2606" t="n">
        <f aca="false">AH347-0.0005</f>
        <v>0.310168606854981</v>
      </c>
      <c r="AK347" s="2315" t="n">
        <f aca="false">IF(AND(дома!$Z$29&gt;=AJ347,дома!$Z$29&lt;=AI347),связи1!AG347,0)</f>
        <v>0</v>
      </c>
      <c r="AL347" s="2315" t="n">
        <f aca="false">IF(AND(дома!$AA$29&gt;=AJ347,дома!$AA$29&lt;=AI347),связи1!AG347,0)</f>
        <v>0</v>
      </c>
    </row>
    <row r="348" customFormat="false" ht="15.5" hidden="false" customHeight="false" outlineLevel="0" collapsed="false">
      <c r="A348" s="2350" t="s">
        <v>4530</v>
      </c>
      <c r="B348" s="2351" t="s">
        <v>156</v>
      </c>
      <c r="C348" s="2656" t="n">
        <f aca="false">'Ввод данных'!C97</f>
        <v>1.4</v>
      </c>
      <c r="D348" s="2656" t="n">
        <f aca="false">'Ввод данных'!D97</f>
        <v>3</v>
      </c>
      <c r="E348" s="2657" t="n">
        <f aca="false">'Ввод данных'!E97</f>
        <v>0</v>
      </c>
      <c r="F348" s="933" t="n">
        <f aca="false">C348+0.4</f>
        <v>1.8</v>
      </c>
      <c r="G348" s="2315" t="n">
        <f aca="false">VLOOKUP('Ввод данных'!$A$1077,связи1!$A$255:$F$296,3,0)</f>
        <v>100</v>
      </c>
      <c r="H348" s="2315" t="n">
        <f aca="false">VLOOKUP('Ввод данных'!A1077,связи1!A255:F296,2,0)</f>
        <v>200</v>
      </c>
      <c r="I348" s="2315" t="n">
        <f aca="false">E348*F348*G348*H348/1000000</f>
        <v>0</v>
      </c>
      <c r="J348" s="2315" t="n">
        <v>1000</v>
      </c>
      <c r="K348" s="2315" t="n">
        <f aca="false">F348*J348</f>
        <v>1800</v>
      </c>
      <c r="AG348" s="2315" t="n">
        <v>17.9</v>
      </c>
      <c r="AH348" s="2606" t="n">
        <f aca="false">AG348*3.1415926535897/180</f>
        <v>0.312413936106976</v>
      </c>
      <c r="AI348" s="2606" t="n">
        <f aca="false">AH348+0.0005</f>
        <v>0.312913936106976</v>
      </c>
      <c r="AJ348" s="2606" t="n">
        <f aca="false">AH348-0.0005</f>
        <v>0.311913936106976</v>
      </c>
      <c r="AK348" s="2315" t="n">
        <f aca="false">IF(AND(дома!$Z$29&gt;=AJ348,дома!$Z$29&lt;=AI348),связи1!AG348,0)</f>
        <v>0</v>
      </c>
      <c r="AL348" s="2315" t="n">
        <f aca="false">IF(AND(дома!$AA$29&gt;=AJ348,дома!$AA$29&lt;=AI348),связи1!AG348,0)</f>
        <v>0</v>
      </c>
    </row>
    <row r="349" customFormat="false" ht="15.5" hidden="false" customHeight="false" outlineLevel="0" collapsed="false">
      <c r="A349" s="2350" t="s">
        <v>4531</v>
      </c>
      <c r="B349" s="2351" t="s">
        <v>156</v>
      </c>
      <c r="C349" s="2656" t="n">
        <f aca="false">'Ввод данных'!C101</f>
        <v>2</v>
      </c>
      <c r="D349" s="2656" t="n">
        <f aca="false">'Ввод данных'!D101</f>
        <v>2.2</v>
      </c>
      <c r="E349" s="2657" t="n">
        <f aca="false">'Ввод данных'!E101</f>
        <v>0</v>
      </c>
      <c r="F349" s="933" t="n">
        <f aca="false">C349+0.4</f>
        <v>2.4</v>
      </c>
      <c r="G349" s="2315" t="n">
        <f aca="false">VLOOKUP('Ввод данных'!$A$1077,связи1!$A$255:$F$296,3,0)</f>
        <v>100</v>
      </c>
      <c r="H349" s="2315" t="n">
        <f aca="false">VLOOKUP('Ввод данных'!A1077,связи1!A255:F296,2,0)</f>
        <v>200</v>
      </c>
      <c r="I349" s="2315" t="n">
        <f aca="false">E349*F349*G349*H349/1000000</f>
        <v>0</v>
      </c>
      <c r="J349" s="2315" t="n">
        <v>1000</v>
      </c>
      <c r="K349" s="2315" t="n">
        <f aca="false">F349*J349</f>
        <v>2400</v>
      </c>
      <c r="AG349" s="2315" t="n">
        <v>18</v>
      </c>
      <c r="AH349" s="2606" t="n">
        <f aca="false">AG349*3.1415926535897/180</f>
        <v>0.31415926535897</v>
      </c>
      <c r="AI349" s="2606" t="n">
        <f aca="false">AH349+0.0005</f>
        <v>0.31465926535897</v>
      </c>
      <c r="AJ349" s="2606" t="n">
        <f aca="false">AH349-0.0005</f>
        <v>0.31365926535897</v>
      </c>
      <c r="AK349" s="2315" t="n">
        <f aca="false">IF(AND(дома!$Z$29&gt;=AJ349,дома!$Z$29&lt;=AI349),связи1!AG349,0)</f>
        <v>0</v>
      </c>
      <c r="AL349" s="2315" t="n">
        <f aca="false">IF(AND(дома!$AA$29&gt;=AJ349,дома!$AA$29&lt;=AI349),связи1!AG349,0)</f>
        <v>0</v>
      </c>
    </row>
    <row r="350" customFormat="false" ht="15.5" hidden="false" customHeight="false" outlineLevel="0" collapsed="false">
      <c r="A350" s="2350" t="s">
        <v>4532</v>
      </c>
      <c r="B350" s="2351" t="s">
        <v>156</v>
      </c>
      <c r="C350" s="2656" t="n">
        <f aca="false">'Ввод данных'!C105</f>
        <v>2</v>
      </c>
      <c r="D350" s="2656" t="n">
        <f aca="false">'Ввод данных'!D105</f>
        <v>2</v>
      </c>
      <c r="E350" s="2657" t="n">
        <f aca="false">'Ввод данных'!E105</f>
        <v>0</v>
      </c>
      <c r="F350" s="933" t="n">
        <f aca="false">C350+0.4</f>
        <v>2.4</v>
      </c>
      <c r="G350" s="2315" t="n">
        <f aca="false">VLOOKUP('Ввод данных'!$A$1077,связи1!$A$255:$F$296,3,0)</f>
        <v>100</v>
      </c>
      <c r="H350" s="2315" t="n">
        <f aca="false">VLOOKUP('Ввод данных'!A1077,связи1!A255:F296,2,0)</f>
        <v>200</v>
      </c>
      <c r="I350" s="2315" t="n">
        <f aca="false">E350*F350*G350*H350/1000000</f>
        <v>0</v>
      </c>
      <c r="J350" s="2315" t="n">
        <v>1000</v>
      </c>
      <c r="K350" s="2315" t="n">
        <f aca="false">F350*J350</f>
        <v>2400</v>
      </c>
      <c r="AG350" s="2315" t="n">
        <v>18.1</v>
      </c>
      <c r="AH350" s="2606" t="n">
        <f aca="false">AG350*3.1415926535897/180</f>
        <v>0.315904594610964</v>
      </c>
      <c r="AI350" s="2606" t="n">
        <f aca="false">AH350+0.0005</f>
        <v>0.316404594610964</v>
      </c>
      <c r="AJ350" s="2606" t="n">
        <f aca="false">AH350-0.0005</f>
        <v>0.315404594610964</v>
      </c>
      <c r="AK350" s="2315" t="n">
        <f aca="false">IF(AND(дома!$Z$29&gt;=AJ350,дома!$Z$29&lt;=AI350),связи1!AG350,0)</f>
        <v>0</v>
      </c>
      <c r="AL350" s="2315" t="n">
        <f aca="false">IF(AND(дома!$AA$29&gt;=AJ350,дома!$AA$29&lt;=AI350),связи1!AG350,0)</f>
        <v>0</v>
      </c>
    </row>
    <row r="351" customFormat="false" ht="15.5" hidden="false" customHeight="false" outlineLevel="0" collapsed="false">
      <c r="A351" s="226" t="s">
        <v>4519</v>
      </c>
      <c r="B351" s="2351" t="s">
        <v>156</v>
      </c>
      <c r="C351" s="2656" t="n">
        <f aca="false">'Ввод данных'!C85</f>
        <v>0.8</v>
      </c>
      <c r="D351" s="2656" t="n">
        <f aca="false">'Ввод данных'!D85</f>
        <v>2</v>
      </c>
      <c r="E351" s="2659" t="n">
        <f aca="false">'Ввод данных'!E85</f>
        <v>0</v>
      </c>
      <c r="F351" s="933" t="n">
        <f aca="false">C351+0.4</f>
        <v>1.2</v>
      </c>
      <c r="G351" s="2315" t="n">
        <f aca="false">VLOOKUP('Ввод данных'!$A$1075,связи1!$A$255:$F$296,3,0)</f>
        <v>100</v>
      </c>
      <c r="H351" s="2315" t="n">
        <f aca="false">VLOOKUP('Ввод данных'!A1075,связи1!A255:F296,2,0)</f>
        <v>200</v>
      </c>
      <c r="I351" s="2315" t="n">
        <f aca="false">E351*F351*G351*H351/1000000</f>
        <v>0</v>
      </c>
      <c r="J351" s="2315" t="n">
        <v>1000</v>
      </c>
      <c r="K351" s="2315" t="n">
        <f aca="false">F351*J351</f>
        <v>1200</v>
      </c>
      <c r="AG351" s="2315" t="n">
        <v>18.2</v>
      </c>
      <c r="AH351" s="2606" t="n">
        <f aca="false">AG351*3.1415926535897/180</f>
        <v>0.317649923862959</v>
      </c>
      <c r="AI351" s="2606" t="n">
        <f aca="false">AH351+0.0005</f>
        <v>0.318149923862958</v>
      </c>
      <c r="AJ351" s="2606" t="n">
        <f aca="false">AH351-0.0005</f>
        <v>0.317149923862959</v>
      </c>
      <c r="AK351" s="2315" t="n">
        <f aca="false">IF(AND(дома!$Z$29&gt;=AJ351,дома!$Z$29&lt;=AI351),связи1!AG351,0)</f>
        <v>0</v>
      </c>
      <c r="AL351" s="2315" t="n">
        <f aca="false">IF(AND(дома!$AA$29&gt;=AJ351,дома!$AA$29&lt;=AI351),связи1!AG351,0)</f>
        <v>0</v>
      </c>
    </row>
    <row r="352" customFormat="false" ht="15.5" hidden="false" customHeight="false" outlineLevel="0" collapsed="false">
      <c r="A352" s="226" t="s">
        <v>4533</v>
      </c>
      <c r="B352" s="2351" t="s">
        <v>156</v>
      </c>
      <c r="C352" s="2656" t="n">
        <f aca="false">'Ввод данных'!C86</f>
        <v>0.9</v>
      </c>
      <c r="D352" s="2656" t="n">
        <f aca="false">'Ввод данных'!D86</f>
        <v>2.1</v>
      </c>
      <c r="E352" s="2659" t="n">
        <f aca="false">'Ввод данных'!E86</f>
        <v>0</v>
      </c>
      <c r="F352" s="933" t="n">
        <f aca="false">C352+0.4</f>
        <v>1.3</v>
      </c>
      <c r="G352" s="2315" t="n">
        <f aca="false">VLOOKUP('Ввод данных'!$A$1075,связи1!$A$255:$F$296,3,0)</f>
        <v>100</v>
      </c>
      <c r="H352" s="2315" t="n">
        <f aca="false">VLOOKUP('Ввод данных'!A1075,связи1!A255:F296,2,0)</f>
        <v>200</v>
      </c>
      <c r="I352" s="2315" t="n">
        <f aca="false">E352*F352*G352*H352/1000000</f>
        <v>0</v>
      </c>
      <c r="J352" s="2315" t="n">
        <v>1000</v>
      </c>
      <c r="K352" s="2315" t="n">
        <f aca="false">F352*J352</f>
        <v>1300</v>
      </c>
      <c r="AG352" s="2315" t="n">
        <v>18.3</v>
      </c>
      <c r="AH352" s="2606" t="n">
        <f aca="false">AG352*3.1415926535897/180</f>
        <v>0.319395253114953</v>
      </c>
      <c r="AI352" s="2606" t="n">
        <f aca="false">AH352+0.0005</f>
        <v>0.319895253114953</v>
      </c>
      <c r="AJ352" s="2606" t="n">
        <f aca="false">AH352-0.0005</f>
        <v>0.318895253114953</v>
      </c>
      <c r="AK352" s="2315" t="n">
        <f aca="false">IF(AND(дома!$Z$29&gt;=AJ352,дома!$Z$29&lt;=AI352),связи1!AG352,0)</f>
        <v>0</v>
      </c>
      <c r="AL352" s="2315" t="n">
        <f aca="false">IF(AND(дома!$AA$29&gt;=AJ352,дома!$AA$29&lt;=AI352),связи1!AG352,0)</f>
        <v>0</v>
      </c>
    </row>
    <row r="353" customFormat="false" ht="15.5" hidden="false" customHeight="false" outlineLevel="0" collapsed="false">
      <c r="A353" s="226" t="s">
        <v>4534</v>
      </c>
      <c r="B353" s="2351" t="s">
        <v>156</v>
      </c>
      <c r="C353" s="2656" t="n">
        <f aca="false">'Ввод данных'!C87</f>
        <v>1</v>
      </c>
      <c r="D353" s="2656" t="n">
        <f aca="false">'Ввод данных'!D87</f>
        <v>2</v>
      </c>
      <c r="E353" s="2659" t="n">
        <f aca="false">'Ввод данных'!E87</f>
        <v>0</v>
      </c>
      <c r="F353" s="933" t="n">
        <f aca="false">C353+0.4</f>
        <v>1.4</v>
      </c>
      <c r="G353" s="2315" t="n">
        <f aca="false">VLOOKUP('Ввод данных'!$A$1075,связи1!$A$255:$F$296,3,0)</f>
        <v>100</v>
      </c>
      <c r="H353" s="2315" t="n">
        <f aca="false">VLOOKUP('Ввод данных'!A1075,связи1!A255:F296,2,0)</f>
        <v>200</v>
      </c>
      <c r="I353" s="2315" t="n">
        <f aca="false">E353*F353*G353*H353/1000000</f>
        <v>0</v>
      </c>
      <c r="J353" s="2315" t="n">
        <v>1000</v>
      </c>
      <c r="K353" s="2315" t="n">
        <f aca="false">F353*J353</f>
        <v>1400</v>
      </c>
      <c r="AG353" s="2315" t="n">
        <v>18.4</v>
      </c>
      <c r="AH353" s="2606" t="n">
        <f aca="false">AG353*3.1415926535897/180</f>
        <v>0.321140582366947</v>
      </c>
      <c r="AI353" s="2606" t="n">
        <f aca="false">AH353+0.0005</f>
        <v>0.321640582366947</v>
      </c>
      <c r="AJ353" s="2606" t="n">
        <f aca="false">AH353-0.0005</f>
        <v>0.320640582366947</v>
      </c>
      <c r="AK353" s="2315" t="n">
        <f aca="false">IF(AND(дома!$Z$29&gt;=AJ353,дома!$Z$29&lt;=AI353),связи1!AG353,0)</f>
        <v>0</v>
      </c>
      <c r="AL353" s="2315" t="n">
        <f aca="false">IF(AND(дома!$AA$29&gt;=AJ353,дома!$AA$29&lt;=AI353),связи1!AG353,0)</f>
        <v>0</v>
      </c>
    </row>
    <row r="354" customFormat="false" ht="15.5" hidden="false" customHeight="false" outlineLevel="0" collapsed="false">
      <c r="A354" s="2404"/>
      <c r="B354" s="2660"/>
      <c r="C354" s="2404"/>
      <c r="D354" s="2404"/>
      <c r="E354" s="2661"/>
      <c r="F354" s="2388"/>
      <c r="AG354" s="2315" t="n">
        <v>18.5</v>
      </c>
      <c r="AH354" s="2606" t="n">
        <f aca="false">AG354*3.1415926535897/180</f>
        <v>0.322885911618941</v>
      </c>
      <c r="AI354" s="2606" t="n">
        <f aca="false">AH354+0.0005</f>
        <v>0.323385911618941</v>
      </c>
      <c r="AJ354" s="2606" t="n">
        <f aca="false">AH354-0.0005</f>
        <v>0.322385911618941</v>
      </c>
      <c r="AK354" s="2315" t="n">
        <f aca="false">IF(AND(дома!$Z$29&gt;=AJ354,дома!$Z$29&lt;=AI354),связи1!AG354,0)</f>
        <v>0</v>
      </c>
      <c r="AL354" s="2315" t="n">
        <f aca="false">IF(AND(дома!$AA$29&gt;=AJ354,дома!$AA$29&lt;=AI354),связи1!AG354,0)</f>
        <v>0</v>
      </c>
    </row>
    <row r="355" customFormat="false" ht="14.5" hidden="false" customHeight="false" outlineLevel="0" collapsed="false">
      <c r="F355" s="896" t="s">
        <v>4535</v>
      </c>
      <c r="AG355" s="2315" t="n">
        <v>18.6</v>
      </c>
      <c r="AH355" s="2606" t="n">
        <f aca="false">AG355*3.1415926535897/180</f>
        <v>0.324631240870936</v>
      </c>
      <c r="AI355" s="2606" t="n">
        <f aca="false">AH355+0.0005</f>
        <v>0.325131240870936</v>
      </c>
      <c r="AJ355" s="2606" t="n">
        <f aca="false">AH355-0.0005</f>
        <v>0.324131240870936</v>
      </c>
      <c r="AK355" s="2315" t="n">
        <f aca="false">IF(AND(дома!$Z$29&gt;=AJ355,дома!$Z$29&lt;=AI355),связи1!AG355,0)</f>
        <v>0</v>
      </c>
      <c r="AL355" s="2315" t="n">
        <f aca="false">IF(AND(дома!$AA$29&gt;=AJ355,дома!$AA$29&lt;=AI355),связи1!AG355,0)</f>
        <v>0</v>
      </c>
    </row>
    <row r="356" customFormat="false" ht="15.5" hidden="false" customHeight="false" outlineLevel="0" collapsed="false">
      <c r="A356" s="122" t="s">
        <v>2414</v>
      </c>
      <c r="B356" s="218" t="s">
        <v>156</v>
      </c>
      <c r="C356" s="2662"/>
      <c r="D356" s="2663" t="n">
        <v>40600</v>
      </c>
      <c r="E356" s="2664" t="n">
        <v>0.222</v>
      </c>
      <c r="F356" s="2664" t="n">
        <f aca="false">'Прайс лист'!G199</f>
        <v>0</v>
      </c>
      <c r="O356" s="2315" t="n">
        <f aca="false">'Прайс лист'!G199</f>
        <v>0</v>
      </c>
      <c r="AG356" s="2315" t="n">
        <v>18.7</v>
      </c>
      <c r="AH356" s="2606" t="n">
        <f aca="false">AG356*3.1415926535897/180</f>
        <v>0.32637657012293</v>
      </c>
      <c r="AI356" s="2606" t="n">
        <f aca="false">AH356+0.0005</f>
        <v>0.32687657012293</v>
      </c>
      <c r="AJ356" s="2606" t="n">
        <f aca="false">AH356-0.0005</f>
        <v>0.32587657012293</v>
      </c>
      <c r="AK356" s="2315" t="n">
        <f aca="false">IF(AND(дома!$Z$29&gt;=AJ356,дома!$Z$29&lt;=AI356),связи1!AG356,0)</f>
        <v>0</v>
      </c>
      <c r="AL356" s="2315" t="n">
        <f aca="false">IF(AND(дома!$AA$29&gt;=AJ356,дома!$AA$29&lt;=AI356),связи1!AG356,0)</f>
        <v>0</v>
      </c>
    </row>
    <row r="357" customFormat="false" ht="15.5" hidden="false" customHeight="false" outlineLevel="0" collapsed="false">
      <c r="A357" s="122" t="s">
        <v>4536</v>
      </c>
      <c r="B357" s="218" t="s">
        <v>156</v>
      </c>
      <c r="C357" s="2662"/>
      <c r="D357" s="2663" t="n">
        <v>40600</v>
      </c>
      <c r="E357" s="2664" t="n">
        <v>0.395</v>
      </c>
      <c r="F357" s="2664" t="n">
        <f aca="false">'Прайс лист'!G204</f>
        <v>16.037</v>
      </c>
      <c r="O357" s="2315" t="n">
        <f aca="false">'Прайс лист'!G204</f>
        <v>16.037</v>
      </c>
      <c r="AG357" s="2315" t="n">
        <v>18.8</v>
      </c>
      <c r="AH357" s="2606" t="n">
        <f aca="false">AG357*3.1415926535897/180</f>
        <v>0.328121899374924</v>
      </c>
      <c r="AI357" s="2606" t="n">
        <f aca="false">AH357+0.0005</f>
        <v>0.328621899374924</v>
      </c>
      <c r="AJ357" s="2606" t="n">
        <f aca="false">AH357-0.0005</f>
        <v>0.327621899374924</v>
      </c>
      <c r="AK357" s="2315" t="n">
        <f aca="false">IF(AND(дома!$Z$29&gt;=AJ357,дома!$Z$29&lt;=AI357),связи1!AG357,0)</f>
        <v>0</v>
      </c>
      <c r="AL357" s="2315" t="n">
        <f aca="false">IF(AND(дома!$AA$29&gt;=AJ357,дома!$AA$29&lt;=AI357),связи1!AG357,0)</f>
        <v>0</v>
      </c>
    </row>
    <row r="358" customFormat="false" ht="15.5" hidden="false" customHeight="false" outlineLevel="0" collapsed="false">
      <c r="A358" s="122" t="s">
        <v>4537</v>
      </c>
      <c r="B358" s="218" t="s">
        <v>156</v>
      </c>
      <c r="C358" s="2662"/>
      <c r="D358" s="2663" t="n">
        <v>34100</v>
      </c>
      <c r="E358" s="2664" t="n">
        <v>0.617</v>
      </c>
      <c r="F358" s="2664" t="n">
        <f aca="false">'Прайс лист'!G205</f>
        <v>21.0397</v>
      </c>
      <c r="O358" s="2315" t="n">
        <f aca="false">'Прайс лист'!G205</f>
        <v>21.0397</v>
      </c>
      <c r="AG358" s="2315" t="n">
        <v>18.9</v>
      </c>
      <c r="AH358" s="2606" t="n">
        <f aca="false">AG358*3.1415926535897/180</f>
        <v>0.329867228626918</v>
      </c>
      <c r="AI358" s="2606" t="n">
        <f aca="false">AH358+0.0005</f>
        <v>0.330367228626918</v>
      </c>
      <c r="AJ358" s="2606" t="n">
        <f aca="false">AH358-0.0005</f>
        <v>0.329367228626918</v>
      </c>
      <c r="AK358" s="2315" t="n">
        <f aca="false">IF(AND(дома!$Z$29&gt;=AJ358,дома!$Z$29&lt;=AI358),связи1!AG358,0)</f>
        <v>0</v>
      </c>
      <c r="AL358" s="2315" t="n">
        <f aca="false">IF(AND(дома!$AA$29&gt;=AJ358,дома!$AA$29&lt;=AI358),связи1!AG358,0)</f>
        <v>0</v>
      </c>
    </row>
    <row r="359" customFormat="false" ht="15.5" hidden="false" customHeight="false" outlineLevel="0" collapsed="false">
      <c r="A359" s="122" t="s">
        <v>4538</v>
      </c>
      <c r="B359" s="218" t="s">
        <v>156</v>
      </c>
      <c r="C359" s="2662"/>
      <c r="D359" s="2663" t="n">
        <v>32900</v>
      </c>
      <c r="E359" s="2664" t="n">
        <v>0.888</v>
      </c>
      <c r="F359" s="2664" t="n">
        <f aca="false">'Прайс лист'!G206</f>
        <v>29.2152</v>
      </c>
      <c r="O359" s="2315" t="n">
        <f aca="false">'Прайс лист'!G206</f>
        <v>29.2152</v>
      </c>
      <c r="AG359" s="2315" t="n">
        <v>19</v>
      </c>
      <c r="AH359" s="2606" t="n">
        <f aca="false">AG359*3.1415926535897/180</f>
        <v>0.331612557878913</v>
      </c>
      <c r="AI359" s="2606" t="n">
        <f aca="false">AH359+0.0005</f>
        <v>0.332112557878913</v>
      </c>
      <c r="AJ359" s="2606" t="n">
        <f aca="false">AH359-0.0005</f>
        <v>0.331112557878913</v>
      </c>
      <c r="AK359" s="2315" t="n">
        <f aca="false">IF(AND(дома!$Z$29&gt;=AJ359,дома!$Z$29&lt;=AI359),связи1!AG359,0)</f>
        <v>0</v>
      </c>
      <c r="AL359" s="2315" t="n">
        <f aca="false">IF(AND(дома!$AA$29&gt;=AJ359,дома!$AA$29&lt;=AI359),связи1!AG359,0)</f>
        <v>0</v>
      </c>
    </row>
    <row r="360" customFormat="false" ht="15.5" hidden="false" customHeight="false" outlineLevel="0" collapsed="false">
      <c r="A360" s="122" t="s">
        <v>4539</v>
      </c>
      <c r="B360" s="218" t="s">
        <v>156</v>
      </c>
      <c r="C360" s="2662"/>
      <c r="D360" s="2663" t="n">
        <v>32400</v>
      </c>
      <c r="E360" s="2664" t="n">
        <v>1.21</v>
      </c>
      <c r="F360" s="2664" t="n">
        <f aca="false">'Прайс лист'!G207</f>
        <v>39.204</v>
      </c>
      <c r="O360" s="2315" t="n">
        <f aca="false">'Прайс лист'!G207</f>
        <v>39.204</v>
      </c>
      <c r="AG360" s="2315" t="n">
        <v>19.1</v>
      </c>
      <c r="AH360" s="2606" t="n">
        <f aca="false">AG360*3.1415926535897/180</f>
        <v>0.333357887130907</v>
      </c>
      <c r="AI360" s="2606" t="n">
        <f aca="false">AH360+0.0005</f>
        <v>0.333857887130907</v>
      </c>
      <c r="AJ360" s="2606" t="n">
        <f aca="false">AH360-0.0005</f>
        <v>0.332857887130907</v>
      </c>
      <c r="AK360" s="2315" t="n">
        <f aca="false">IF(AND(дома!$Z$29&gt;=AJ360,дома!$Z$29&lt;=AI360),связи1!AG360,0)</f>
        <v>0</v>
      </c>
      <c r="AL360" s="2315" t="n">
        <f aca="false">IF(AND(дома!$AA$29&gt;=AJ360,дома!$AA$29&lt;=AI360),связи1!AG360,0)</f>
        <v>0</v>
      </c>
    </row>
    <row r="361" customFormat="false" ht="15.5" hidden="false" customHeight="false" outlineLevel="0" collapsed="false">
      <c r="A361" s="122" t="s">
        <v>4540</v>
      </c>
      <c r="B361" s="218" t="s">
        <v>156</v>
      </c>
      <c r="C361" s="2662"/>
      <c r="D361" s="2663" t="n">
        <v>32400</v>
      </c>
      <c r="E361" s="2664" t="n">
        <v>1.58</v>
      </c>
      <c r="F361" s="2664" t="n">
        <f aca="false">'Прайс лист'!G208</f>
        <v>51.192</v>
      </c>
      <c r="O361" s="2315" t="n">
        <f aca="false">'Прайс лист'!G208</f>
        <v>51.192</v>
      </c>
      <c r="AG361" s="2315" t="n">
        <v>19.2</v>
      </c>
      <c r="AH361" s="2606" t="n">
        <f aca="false">AG361*3.1415926535897/180</f>
        <v>0.335103216382901</v>
      </c>
      <c r="AI361" s="2606" t="n">
        <f aca="false">AH361+0.0005</f>
        <v>0.335603216382901</v>
      </c>
      <c r="AJ361" s="2606" t="n">
        <f aca="false">AH361-0.0005</f>
        <v>0.334603216382901</v>
      </c>
      <c r="AK361" s="2315" t="n">
        <f aca="false">IF(AND(дома!$Z$29&gt;=AJ361,дома!$Z$29&lt;=AI361),связи1!AG361,0)</f>
        <v>0</v>
      </c>
      <c r="AL361" s="2315" t="n">
        <f aca="false">IF(AND(дома!$AA$29&gt;=AJ361,дома!$AA$29&lt;=AI361),связи1!AG361,0)</f>
        <v>0</v>
      </c>
    </row>
    <row r="362" customFormat="false" ht="15.5" hidden="false" customHeight="false" outlineLevel="0" collapsed="false">
      <c r="A362" s="122" t="s">
        <v>4541</v>
      </c>
      <c r="B362" s="218" t="s">
        <v>156</v>
      </c>
      <c r="C362" s="2662"/>
      <c r="D362" s="2663" t="n">
        <v>32400</v>
      </c>
      <c r="E362" s="2664" t="n">
        <v>2</v>
      </c>
      <c r="F362" s="2664" t="n">
        <f aca="false">'Прайс лист'!G209</f>
        <v>64.8</v>
      </c>
      <c r="O362" s="2315" t="n">
        <f aca="false">'Прайс лист'!G209</f>
        <v>64.8</v>
      </c>
      <c r="AG362" s="2315" t="n">
        <v>19.3</v>
      </c>
      <c r="AH362" s="2606" t="n">
        <f aca="false">AG362*3.1415926535897/180</f>
        <v>0.336848545634896</v>
      </c>
      <c r="AI362" s="2606" t="n">
        <f aca="false">AH362+0.0005</f>
        <v>0.337348545634896</v>
      </c>
      <c r="AJ362" s="2606" t="n">
        <f aca="false">AH362-0.0005</f>
        <v>0.336348545634896</v>
      </c>
      <c r="AK362" s="2315" t="n">
        <f aca="false">IF(AND(дома!$Z$29&gt;=AJ362,дома!$Z$29&lt;=AI362),связи1!AG362,0)</f>
        <v>0</v>
      </c>
      <c r="AL362" s="2315" t="n">
        <f aca="false">IF(AND(дома!$AA$29&gt;=AJ362,дома!$AA$29&lt;=AI362),связи1!AG362,0)</f>
        <v>0</v>
      </c>
    </row>
    <row r="363" customFormat="false" ht="15.5" hidden="false" customHeight="false" outlineLevel="0" collapsed="false">
      <c r="A363" s="122" t="s">
        <v>4542</v>
      </c>
      <c r="B363" s="218" t="s">
        <v>156</v>
      </c>
      <c r="C363" s="2662"/>
      <c r="D363" s="2663" t="n">
        <v>32400</v>
      </c>
      <c r="E363" s="2664" t="n">
        <v>2.47</v>
      </c>
      <c r="F363" s="2664" t="n">
        <f aca="false">'Прайс лист'!G210</f>
        <v>80.028</v>
      </c>
      <c r="O363" s="2315" t="n">
        <f aca="false">'Прайс лист'!G210</f>
        <v>80.028</v>
      </c>
      <c r="AG363" s="2315" t="n">
        <v>19.4</v>
      </c>
      <c r="AH363" s="2606" t="n">
        <f aca="false">AG363*3.1415926535897/180</f>
        <v>0.33859387488689</v>
      </c>
      <c r="AI363" s="2606" t="n">
        <f aca="false">AH363+0.0005</f>
        <v>0.33909387488689</v>
      </c>
      <c r="AJ363" s="2606" t="n">
        <f aca="false">AH363-0.0005</f>
        <v>0.33809387488689</v>
      </c>
      <c r="AK363" s="2315" t="n">
        <f aca="false">IF(AND(дома!$Z$29&gt;=AJ363,дома!$Z$29&lt;=AI363),связи1!AG363,0)</f>
        <v>0</v>
      </c>
      <c r="AL363" s="2315" t="n">
        <f aca="false">IF(AND(дома!$AA$29&gt;=AJ363,дома!$AA$29&lt;=AI363),связи1!AG363,0)</f>
        <v>0</v>
      </c>
    </row>
    <row r="364" customFormat="false" ht="15.5" hidden="false" customHeight="false" outlineLevel="0" collapsed="false">
      <c r="A364" s="905" t="s">
        <v>2214</v>
      </c>
      <c r="AG364" s="2315" t="n">
        <v>19.5</v>
      </c>
      <c r="AH364" s="2606" t="n">
        <f aca="false">AG364*3.1415926535897/180</f>
        <v>0.340339204138884</v>
      </c>
      <c r="AI364" s="2606" t="n">
        <f aca="false">AH364+0.0005</f>
        <v>0.340839204138884</v>
      </c>
      <c r="AJ364" s="2606" t="n">
        <f aca="false">AH364-0.0005</f>
        <v>0.339839204138884</v>
      </c>
      <c r="AK364" s="2315" t="n">
        <f aca="false">IF(AND(дома!$Z$29&gt;=AJ364,дома!$Z$29&lt;=AI364),связи1!AG364,0)</f>
        <v>0</v>
      </c>
      <c r="AL364" s="2315" t="n">
        <f aca="false">IF(AND(дома!$AA$29&gt;=AJ364,дома!$AA$29&lt;=AI364),связи1!AG364,0)</f>
        <v>0</v>
      </c>
    </row>
    <row r="365" customFormat="false" ht="15.5" hidden="false" customHeight="false" outlineLevel="0" collapsed="false">
      <c r="A365" s="122" t="s">
        <v>4543</v>
      </c>
      <c r="B365" s="218" t="s">
        <v>156</v>
      </c>
      <c r="C365" s="2662"/>
      <c r="D365" s="2663" t="n">
        <v>40600</v>
      </c>
      <c r="E365" s="2664" t="n">
        <v>0.222</v>
      </c>
      <c r="F365" s="2664" t="n">
        <f aca="false">F356</f>
        <v>0</v>
      </c>
      <c r="AG365" s="2315" t="n">
        <v>19.6</v>
      </c>
      <c r="AH365" s="2606" t="n">
        <f aca="false">AG365*3.1415926535897/180</f>
        <v>0.342084533390878</v>
      </c>
      <c r="AI365" s="2606" t="n">
        <f aca="false">AH365+0.0005</f>
        <v>0.342584533390878</v>
      </c>
      <c r="AJ365" s="2606" t="n">
        <f aca="false">AH365-0.0005</f>
        <v>0.341584533390878</v>
      </c>
      <c r="AK365" s="2315" t="n">
        <f aca="false">IF(AND(дома!$Z$29&gt;=AJ365,дома!$Z$29&lt;=AI365),связи1!AG365,0)</f>
        <v>0</v>
      </c>
      <c r="AL365" s="2315" t="n">
        <f aca="false">IF(AND(дома!$AA$29&gt;=AJ365,дома!$AA$29&lt;=AI365),связи1!AG365,0)</f>
        <v>0</v>
      </c>
    </row>
    <row r="366" customFormat="false" ht="15.5" hidden="false" customHeight="false" outlineLevel="0" collapsed="false">
      <c r="A366" s="122" t="s">
        <v>4544</v>
      </c>
      <c r="B366" s="218" t="s">
        <v>156</v>
      </c>
      <c r="C366" s="2662"/>
      <c r="D366" s="2663" t="n">
        <v>40600</v>
      </c>
      <c r="E366" s="2664" t="n">
        <v>0.395</v>
      </c>
      <c r="F366" s="2664" t="n">
        <f aca="false">F357</f>
        <v>16.037</v>
      </c>
      <c r="AG366" s="2315" t="n">
        <v>19.7</v>
      </c>
      <c r="AH366" s="2606" t="n">
        <f aca="false">AG366*3.1415926535897/180</f>
        <v>0.343829862642873</v>
      </c>
      <c r="AI366" s="2606" t="n">
        <f aca="false">AH366+0.0005</f>
        <v>0.344329862642873</v>
      </c>
      <c r="AJ366" s="2606" t="n">
        <f aca="false">AH366-0.0005</f>
        <v>0.343329862642873</v>
      </c>
      <c r="AK366" s="2315" t="n">
        <f aca="false">IF(AND(дома!$Z$29&gt;=AJ366,дома!$Z$29&lt;=AI366),связи1!AG366,0)</f>
        <v>0</v>
      </c>
      <c r="AL366" s="2315" t="n">
        <f aca="false">IF(AND(дома!$AA$29&gt;=AJ366,дома!$AA$29&lt;=AI366),связи1!AG366,0)</f>
        <v>0</v>
      </c>
    </row>
    <row r="367" customFormat="false" ht="15.5" hidden="false" customHeight="false" outlineLevel="0" collapsed="false">
      <c r="A367" s="122" t="s">
        <v>2416</v>
      </c>
      <c r="B367" s="218" t="s">
        <v>156</v>
      </c>
      <c r="C367" s="2662"/>
      <c r="D367" s="2663" t="n">
        <v>34100</v>
      </c>
      <c r="E367" s="2664" t="n">
        <v>0.617</v>
      </c>
      <c r="F367" s="2664" t="n">
        <f aca="false">F358</f>
        <v>21.0397</v>
      </c>
      <c r="AG367" s="2315" t="n">
        <v>19.8</v>
      </c>
      <c r="AH367" s="2606" t="n">
        <f aca="false">AG367*3.1415926535897/180</f>
        <v>0.345575191894867</v>
      </c>
      <c r="AI367" s="2606" t="n">
        <f aca="false">AH367+0.0005</f>
        <v>0.346075191894867</v>
      </c>
      <c r="AJ367" s="2606" t="n">
        <f aca="false">AH367-0.0005</f>
        <v>0.345075191894867</v>
      </c>
      <c r="AK367" s="2315" t="n">
        <f aca="false">IF(AND(дома!$Z$29&gt;=AJ367,дома!$Z$29&lt;=AI367),связи1!AG367,0)</f>
        <v>0</v>
      </c>
      <c r="AL367" s="2315" t="n">
        <f aca="false">IF(AND(дома!$AA$29&gt;=AJ367,дома!$AA$29&lt;=AI367),связи1!AG367,0)</f>
        <v>0</v>
      </c>
    </row>
    <row r="368" customFormat="false" ht="15.5" hidden="false" customHeight="false" outlineLevel="0" collapsed="false">
      <c r="A368" s="122" t="s">
        <v>4545</v>
      </c>
      <c r="B368" s="218" t="s">
        <v>156</v>
      </c>
      <c r="C368" s="2662"/>
      <c r="D368" s="2663" t="n">
        <v>32900</v>
      </c>
      <c r="E368" s="2664" t="n">
        <v>0.888</v>
      </c>
      <c r="F368" s="2664" t="n">
        <f aca="false">F359</f>
        <v>29.2152</v>
      </c>
      <c r="AG368" s="2315" t="n">
        <v>19.9</v>
      </c>
      <c r="AH368" s="2606" t="n">
        <f aca="false">AG368*3.1415926535897/180</f>
        <v>0.347320521146861</v>
      </c>
      <c r="AI368" s="2606" t="n">
        <f aca="false">AH368+0.0005</f>
        <v>0.347820521146861</v>
      </c>
      <c r="AJ368" s="2606" t="n">
        <f aca="false">AH368-0.0005</f>
        <v>0.346820521146861</v>
      </c>
      <c r="AK368" s="2315" t="n">
        <f aca="false">IF(AND(дома!$Z$29&gt;=AJ368,дома!$Z$29&lt;=AI368),связи1!AG368,0)</f>
        <v>0</v>
      </c>
      <c r="AL368" s="2315" t="n">
        <f aca="false">IF(AND(дома!$AA$29&gt;=AJ368,дома!$AA$29&lt;=AI368),связи1!AG368,0)</f>
        <v>0</v>
      </c>
    </row>
    <row r="369" customFormat="false" ht="15.5" hidden="false" customHeight="false" outlineLevel="0" collapsed="false">
      <c r="A369" s="122" t="s">
        <v>4546</v>
      </c>
      <c r="B369" s="218" t="s">
        <v>156</v>
      </c>
      <c r="C369" s="2662"/>
      <c r="D369" s="2663" t="n">
        <v>32400</v>
      </c>
      <c r="E369" s="2664" t="n">
        <v>1.21</v>
      </c>
      <c r="F369" s="2664" t="n">
        <f aca="false">F360</f>
        <v>39.204</v>
      </c>
      <c r="AG369" s="2315" t="n">
        <v>20</v>
      </c>
      <c r="AH369" s="2606" t="n">
        <f aca="false">AG369*3.1415926535897/180</f>
        <v>0.349065850398856</v>
      </c>
      <c r="AI369" s="2606" t="n">
        <f aca="false">AH369+0.0005</f>
        <v>0.349565850398856</v>
      </c>
      <c r="AJ369" s="2606" t="n">
        <f aca="false">AH369-0.0005</f>
        <v>0.348565850398856</v>
      </c>
      <c r="AK369" s="2315" t="n">
        <f aca="false">IF(AND(дома!$Z$29&gt;=AJ369,дома!$Z$29&lt;=AI369),связи1!AG369,0)</f>
        <v>0</v>
      </c>
      <c r="AL369" s="2315" t="n">
        <f aca="false">IF(AND(дома!$AA$29&gt;=AJ369,дома!$AA$29&lt;=AI369),связи1!AG369,0)</f>
        <v>0</v>
      </c>
    </row>
    <row r="370" customFormat="false" ht="15.5" hidden="false" customHeight="false" outlineLevel="0" collapsed="false">
      <c r="A370" s="122" t="s">
        <v>4547</v>
      </c>
      <c r="B370" s="218" t="s">
        <v>156</v>
      </c>
      <c r="C370" s="2662"/>
      <c r="D370" s="2663" t="n">
        <v>32400</v>
      </c>
      <c r="E370" s="2664" t="n">
        <v>1.58</v>
      </c>
      <c r="F370" s="2664" t="n">
        <f aca="false">F361</f>
        <v>51.192</v>
      </c>
      <c r="AG370" s="2315" t="n">
        <v>20.1</v>
      </c>
      <c r="AH370" s="2606" t="n">
        <f aca="false">AG370*3.1415926535897/180</f>
        <v>0.35081117965085</v>
      </c>
      <c r="AI370" s="2606" t="n">
        <f aca="false">AH370+0.0005</f>
        <v>0.35131117965085</v>
      </c>
      <c r="AJ370" s="2606" t="n">
        <f aca="false">AH370-0.0005</f>
        <v>0.35031117965085</v>
      </c>
      <c r="AK370" s="2315" t="n">
        <f aca="false">IF(AND(дома!$Z$29&gt;=AJ370,дома!$Z$29&lt;=AI370),связи1!AG370,0)</f>
        <v>0</v>
      </c>
      <c r="AL370" s="2315" t="n">
        <f aca="false">IF(AND(дома!$AA$29&gt;=AJ370,дома!$AA$29&lt;=AI370),связи1!AG370,0)</f>
        <v>0</v>
      </c>
    </row>
    <row r="371" customFormat="false" ht="15.5" hidden="false" customHeight="false" outlineLevel="0" collapsed="false">
      <c r="A371" s="122" t="s">
        <v>4548</v>
      </c>
      <c r="B371" s="218" t="s">
        <v>156</v>
      </c>
      <c r="C371" s="2662"/>
      <c r="D371" s="2663" t="n">
        <v>32400</v>
      </c>
      <c r="E371" s="2664" t="n">
        <v>2</v>
      </c>
      <c r="F371" s="2664" t="n">
        <f aca="false">F362</f>
        <v>64.8</v>
      </c>
      <c r="AG371" s="2315" t="n">
        <v>20.2</v>
      </c>
      <c r="AH371" s="2606" t="n">
        <f aca="false">AG371*3.1415926535897/180</f>
        <v>0.352556508902844</v>
      </c>
      <c r="AI371" s="2606" t="n">
        <f aca="false">AH371+0.0005</f>
        <v>0.353056508902844</v>
      </c>
      <c r="AJ371" s="2606" t="n">
        <f aca="false">AH371-0.0005</f>
        <v>0.352056508902844</v>
      </c>
      <c r="AK371" s="2315" t="n">
        <f aca="false">IF(AND(дома!$Z$29&gt;=AJ371,дома!$Z$29&lt;=AI371),связи1!AG371,0)</f>
        <v>0</v>
      </c>
      <c r="AL371" s="2315" t="n">
        <f aca="false">IF(AND(дома!$AA$29&gt;=AJ371,дома!$AA$29&lt;=AI371),связи1!AG371,0)</f>
        <v>0</v>
      </c>
    </row>
    <row r="372" customFormat="false" ht="15.5" hidden="false" customHeight="false" outlineLevel="0" collapsed="false">
      <c r="A372" s="122" t="s">
        <v>4549</v>
      </c>
      <c r="B372" s="218" t="s">
        <v>156</v>
      </c>
      <c r="C372" s="2662"/>
      <c r="D372" s="2663" t="n">
        <v>32400</v>
      </c>
      <c r="E372" s="2664" t="n">
        <v>2.47</v>
      </c>
      <c r="F372" s="2664" t="n">
        <f aca="false">F363</f>
        <v>80.028</v>
      </c>
      <c r="AG372" s="2315" t="n">
        <v>20.3</v>
      </c>
      <c r="AH372" s="2606" t="n">
        <f aca="false">AG372*3.1415926535897/180</f>
        <v>0.354301838154838</v>
      </c>
      <c r="AI372" s="2606" t="n">
        <f aca="false">AH372+0.0005</f>
        <v>0.354801838154838</v>
      </c>
      <c r="AJ372" s="2606" t="n">
        <f aca="false">AH372-0.0005</f>
        <v>0.353801838154838</v>
      </c>
      <c r="AK372" s="2315" t="n">
        <f aca="false">IF(AND(дома!$Z$29&gt;=AJ372,дома!$Z$29&lt;=AI372),связи1!AG372,0)</f>
        <v>0</v>
      </c>
      <c r="AL372" s="2315" t="n">
        <f aca="false">IF(AND(дома!$AA$29&gt;=AJ372,дома!$AA$29&lt;=AI372),связи1!AG372,0)</f>
        <v>0</v>
      </c>
    </row>
    <row r="373" customFormat="false" ht="15.5" hidden="false" customHeight="false" outlineLevel="0" collapsed="false">
      <c r="A373" s="564" t="s">
        <v>4550</v>
      </c>
      <c r="AG373" s="2315" t="n">
        <v>20.4</v>
      </c>
      <c r="AH373" s="2606" t="n">
        <f aca="false">AG373*3.1415926535897/180</f>
        <v>0.356047167406833</v>
      </c>
      <c r="AI373" s="2606" t="n">
        <f aca="false">AH373+0.0005</f>
        <v>0.356547167406833</v>
      </c>
      <c r="AJ373" s="2606" t="n">
        <f aca="false">AH373-0.0005</f>
        <v>0.355547167406833</v>
      </c>
      <c r="AK373" s="2315" t="n">
        <f aca="false">IF(AND(дома!$Z$29&gt;=AJ373,дома!$Z$29&lt;=AI373),связи1!AG373,0)</f>
        <v>0</v>
      </c>
      <c r="AL373" s="2315" t="n">
        <f aca="false">IF(AND(дома!$AA$29&gt;=AJ373,дома!$AA$29&lt;=AI373),связи1!AG373,0)</f>
        <v>0</v>
      </c>
    </row>
    <row r="374" customFormat="false" ht="15.5" hidden="false" customHeight="false" outlineLevel="0" collapsed="false">
      <c r="A374" s="122" t="s">
        <v>4551</v>
      </c>
      <c r="B374" s="218" t="s">
        <v>156</v>
      </c>
      <c r="C374" s="2665" t="n">
        <v>0.6</v>
      </c>
      <c r="D374" s="2663" t="n">
        <v>40600</v>
      </c>
      <c r="E374" s="2664" t="n">
        <v>0.222</v>
      </c>
      <c r="F374" s="2664" t="n">
        <f aca="false">F356</f>
        <v>0</v>
      </c>
      <c r="AG374" s="2315" t="n">
        <v>20.5</v>
      </c>
      <c r="AH374" s="2606" t="n">
        <f aca="false">AG374*3.1415926535897/180</f>
        <v>0.357792496658827</v>
      </c>
      <c r="AI374" s="2606" t="n">
        <f aca="false">AH374+0.0005</f>
        <v>0.358292496658827</v>
      </c>
      <c r="AJ374" s="2606" t="n">
        <f aca="false">AH374-0.0005</f>
        <v>0.357292496658827</v>
      </c>
      <c r="AK374" s="2315" t="n">
        <f aca="false">IF(AND(дома!$Z$29&gt;=AJ374,дома!$Z$29&lt;=AI374),связи1!AG374,0)</f>
        <v>0</v>
      </c>
      <c r="AL374" s="2315" t="n">
        <f aca="false">IF(AND(дома!$AA$29&gt;=AJ374,дома!$AA$29&lt;=AI374),связи1!AG374,0)</f>
        <v>0</v>
      </c>
    </row>
    <row r="375" customFormat="false" ht="15.5" hidden="false" customHeight="false" outlineLevel="0" collapsed="false">
      <c r="A375" s="122" t="s">
        <v>2418</v>
      </c>
      <c r="B375" s="218" t="s">
        <v>156</v>
      </c>
      <c r="C375" s="2665" t="n">
        <v>0.4</v>
      </c>
      <c r="D375" s="2663" t="n">
        <v>40600</v>
      </c>
      <c r="E375" s="2664" t="n">
        <v>0.395</v>
      </c>
      <c r="F375" s="2664" t="n">
        <f aca="false">F356</f>
        <v>0</v>
      </c>
      <c r="AG375" s="2315" t="n">
        <v>20.6</v>
      </c>
      <c r="AH375" s="2606" t="n">
        <f aca="false">AG375*3.1415926535897/180</f>
        <v>0.359537825910821</v>
      </c>
      <c r="AI375" s="2606" t="n">
        <f aca="false">AH375+0.0005</f>
        <v>0.360037825910821</v>
      </c>
      <c r="AJ375" s="2606" t="n">
        <f aca="false">AH375-0.0005</f>
        <v>0.359037825910821</v>
      </c>
      <c r="AK375" s="2315" t="n">
        <f aca="false">IF(AND(дома!$Z$29&gt;=AJ375,дома!$Z$29&lt;=AI375),связи1!AG375,0)</f>
        <v>0</v>
      </c>
      <c r="AL375" s="2315" t="n">
        <f aca="false">IF(AND(дома!$AA$29&gt;=AJ375,дома!$AA$29&lt;=AI375),связи1!AG375,0)</f>
        <v>0</v>
      </c>
    </row>
    <row r="376" customFormat="false" ht="15.5" hidden="false" customHeight="false" outlineLevel="0" collapsed="false">
      <c r="A376" s="122" t="s">
        <v>4552</v>
      </c>
      <c r="B376" s="218" t="s">
        <v>156</v>
      </c>
      <c r="C376" s="2665" t="n">
        <v>0.3</v>
      </c>
      <c r="D376" s="2663" t="n">
        <v>34100</v>
      </c>
      <c r="E376" s="2664" t="n">
        <v>0.617</v>
      </c>
      <c r="F376" s="2664" t="n">
        <f aca="false">F356</f>
        <v>0</v>
      </c>
      <c r="AG376" s="2315" t="n">
        <v>20.7</v>
      </c>
      <c r="AH376" s="2606" t="n">
        <f aca="false">AG376*3.1415926535897/180</f>
        <v>0.361283155162815</v>
      </c>
      <c r="AI376" s="2606" t="n">
        <f aca="false">AH376+0.0005</f>
        <v>0.361783155162815</v>
      </c>
      <c r="AJ376" s="2606" t="n">
        <f aca="false">AH376-0.0005</f>
        <v>0.360783155162815</v>
      </c>
      <c r="AK376" s="2315" t="n">
        <f aca="false">IF(AND(дома!$Z$29&gt;=AJ376,дома!$Z$29&lt;=AI376),связи1!AG376,0)</f>
        <v>0</v>
      </c>
      <c r="AL376" s="2315" t="n">
        <f aca="false">IF(AND(дома!$AA$29&gt;=AJ376,дома!$AA$29&lt;=AI376),связи1!AG376,0)</f>
        <v>0</v>
      </c>
    </row>
    <row r="377" customFormat="false" ht="15.5" hidden="false" customHeight="false" outlineLevel="0" collapsed="false">
      <c r="A377" s="122" t="s">
        <v>4553</v>
      </c>
      <c r="B377" s="218" t="s">
        <v>156</v>
      </c>
      <c r="C377" s="2665" t="n">
        <v>0.6</v>
      </c>
      <c r="D377" s="2663" t="n">
        <v>32900</v>
      </c>
      <c r="E377" s="2664" t="n">
        <v>0.888</v>
      </c>
      <c r="F377" s="2664" t="n">
        <f aca="false">F357</f>
        <v>16.037</v>
      </c>
      <c r="AG377" s="2315" t="n">
        <v>20.8</v>
      </c>
      <c r="AH377" s="2606" t="n">
        <f aca="false">AG377*3.1415926535897/180</f>
        <v>0.36302848441481</v>
      </c>
      <c r="AI377" s="2606" t="n">
        <f aca="false">AH377+0.0005</f>
        <v>0.36352848441481</v>
      </c>
      <c r="AJ377" s="2606" t="n">
        <f aca="false">AH377-0.0005</f>
        <v>0.36252848441481</v>
      </c>
      <c r="AK377" s="2315" t="n">
        <f aca="false">IF(AND(дома!$Z$29&gt;=AJ377,дома!$Z$29&lt;=AI377),связи1!AG377,0)</f>
        <v>0</v>
      </c>
      <c r="AL377" s="2315" t="n">
        <f aca="false">IF(AND(дома!$AA$29&gt;=AJ377,дома!$AA$29&lt;=AI377),связи1!AG377,0)</f>
        <v>0</v>
      </c>
    </row>
    <row r="378" customFormat="false" ht="15.5" hidden="false" customHeight="false" outlineLevel="0" collapsed="false">
      <c r="A378" s="122" t="s">
        <v>4554</v>
      </c>
      <c r="B378" s="218" t="s">
        <v>156</v>
      </c>
      <c r="C378" s="2665" t="n">
        <v>0.4</v>
      </c>
      <c r="D378" s="2663" t="n">
        <v>32400</v>
      </c>
      <c r="E378" s="2664" t="n">
        <v>1.21</v>
      </c>
      <c r="F378" s="2664" t="n">
        <f aca="false">F357</f>
        <v>16.037</v>
      </c>
      <c r="AG378" s="2315" t="n">
        <v>20.9</v>
      </c>
      <c r="AH378" s="2606" t="n">
        <f aca="false">AG378*3.1415926535897/180</f>
        <v>0.364773813666804</v>
      </c>
      <c r="AI378" s="2606" t="n">
        <f aca="false">AH378+0.0005</f>
        <v>0.365273813666804</v>
      </c>
      <c r="AJ378" s="2606" t="n">
        <f aca="false">AH378-0.0005</f>
        <v>0.364273813666804</v>
      </c>
      <c r="AK378" s="2315" t="n">
        <f aca="false">IF(AND(дома!$Z$29&gt;=AJ378,дома!$Z$29&lt;=AI378),связи1!AG378,0)</f>
        <v>0</v>
      </c>
      <c r="AL378" s="2315" t="n">
        <f aca="false">IF(AND(дома!$AA$29&gt;=AJ378,дома!$AA$29&lt;=AI378),связи1!AG378,0)</f>
        <v>0</v>
      </c>
    </row>
    <row r="379" customFormat="false" ht="15.5" hidden="false" customHeight="false" outlineLevel="0" collapsed="false">
      <c r="A379" s="122" t="s">
        <v>4555</v>
      </c>
      <c r="B379" s="218" t="s">
        <v>156</v>
      </c>
      <c r="C379" s="2665" t="n">
        <v>0.3</v>
      </c>
      <c r="D379" s="2663" t="n">
        <v>32400</v>
      </c>
      <c r="E379" s="2664" t="n">
        <v>1.58</v>
      </c>
      <c r="F379" s="2664" t="n">
        <f aca="false">F357</f>
        <v>16.037</v>
      </c>
      <c r="AG379" s="2315" t="n">
        <v>21</v>
      </c>
      <c r="AH379" s="2606" t="n">
        <f aca="false">AG379*3.1415926535897/180</f>
        <v>0.366519142918798</v>
      </c>
      <c r="AI379" s="2606" t="n">
        <f aca="false">AH379+0.0005</f>
        <v>0.367019142918798</v>
      </c>
      <c r="AJ379" s="2606" t="n">
        <f aca="false">AH379-0.0005</f>
        <v>0.366019142918798</v>
      </c>
      <c r="AK379" s="2315" t="n">
        <f aca="false">IF(AND(дома!$Z$29&gt;=AJ379,дома!$Z$29&lt;=AI379),связи1!AG379,0)</f>
        <v>0</v>
      </c>
      <c r="AL379" s="2315" t="n">
        <f aca="false">IF(AND(дома!$AA$29&gt;=AJ379,дома!$AA$29&lt;=AI379),связи1!AG379,0)</f>
        <v>0</v>
      </c>
    </row>
    <row r="380" customFormat="false" ht="15.5" hidden="false" customHeight="false" outlineLevel="0" collapsed="false">
      <c r="A380" s="122"/>
      <c r="B380" s="218"/>
      <c r="C380" s="2662"/>
      <c r="D380" s="2663"/>
      <c r="E380" s="2664"/>
      <c r="F380" s="2664"/>
      <c r="AG380" s="2315" t="n">
        <v>21.1</v>
      </c>
      <c r="AH380" s="2606" t="n">
        <f aca="false">AG380*3.1415926535897/180</f>
        <v>0.368264472170793</v>
      </c>
      <c r="AI380" s="2606" t="n">
        <f aca="false">AH380+0.0005</f>
        <v>0.368764472170793</v>
      </c>
      <c r="AJ380" s="2606" t="n">
        <f aca="false">AH380-0.0005</f>
        <v>0.367764472170793</v>
      </c>
      <c r="AK380" s="2315" t="n">
        <f aca="false">IF(AND(дома!$Z$29&gt;=AJ380,дома!$Z$29&lt;=AI380),связи1!AG380,0)</f>
        <v>0</v>
      </c>
      <c r="AL380" s="2315" t="n">
        <f aca="false">IF(AND(дома!$AA$29&gt;=AJ380,дома!$AA$29&lt;=AI380),связи1!AG380,0)</f>
        <v>0</v>
      </c>
    </row>
    <row r="381" customFormat="false" ht="15.5" hidden="false" customHeight="false" outlineLevel="0" collapsed="false">
      <c r="A381" s="122"/>
      <c r="B381" s="218"/>
      <c r="C381" s="2662"/>
      <c r="D381" s="2663"/>
      <c r="E381" s="2664"/>
      <c r="F381" s="2664"/>
      <c r="AG381" s="2315" t="n">
        <v>21.2</v>
      </c>
      <c r="AH381" s="2606" t="n">
        <f aca="false">AG381*3.1415926535897/180</f>
        <v>0.370009801422787</v>
      </c>
      <c r="AI381" s="2606" t="n">
        <f aca="false">AH381+0.0005</f>
        <v>0.370509801422787</v>
      </c>
      <c r="AJ381" s="2606" t="n">
        <f aca="false">AH381-0.0005</f>
        <v>0.369509801422787</v>
      </c>
      <c r="AK381" s="2315" t="n">
        <f aca="false">IF(AND(дома!$Z$29&gt;=AJ381,дома!$Z$29&lt;=AI381),связи1!AG381,0)</f>
        <v>0</v>
      </c>
      <c r="AL381" s="2315" t="n">
        <f aca="false">IF(AND(дома!$AA$29&gt;=AJ381,дома!$AA$29&lt;=AI381),связи1!AG381,0)</f>
        <v>0</v>
      </c>
    </row>
    <row r="382" customFormat="false" ht="15.5" hidden="false" customHeight="false" outlineLevel="0" collapsed="false">
      <c r="A382" s="2666" t="s">
        <v>207</v>
      </c>
      <c r="B382" s="2667"/>
      <c r="C382" s="2667"/>
      <c r="D382" s="2667"/>
      <c r="E382" s="2667"/>
      <c r="F382" s="2667"/>
      <c r="AG382" s="2315" t="n">
        <v>21.3</v>
      </c>
      <c r="AH382" s="2606" t="n">
        <f aca="false">AG382*3.1415926535897/180</f>
        <v>0.371755130674781</v>
      </c>
      <c r="AI382" s="2606" t="n">
        <f aca="false">AH382+0.0005</f>
        <v>0.372255130674781</v>
      </c>
      <c r="AJ382" s="2606" t="n">
        <f aca="false">AH382-0.0005</f>
        <v>0.371255130674781</v>
      </c>
      <c r="AK382" s="2315" t="n">
        <f aca="false">IF(AND(дома!$Z$29&gt;=AJ382,дома!$Z$29&lt;=AI382),связи1!AG382,0)</f>
        <v>0</v>
      </c>
      <c r="AL382" s="2315" t="n">
        <f aca="false">IF(AND(дома!$AA$29&gt;=AJ382,дома!$AA$29&lt;=AI382),связи1!AG382,0)</f>
        <v>0</v>
      </c>
    </row>
    <row r="383" customFormat="false" ht="15.5" hidden="false" customHeight="false" outlineLevel="0" collapsed="false">
      <c r="A383" s="2668" t="str">
        <f aca="false">'Прайс лист'!B236</f>
        <v>Пенобетон 200x400x600</v>
      </c>
      <c r="B383" s="2668" t="str">
        <f aca="false">'Прайс лист'!C236</f>
        <v>м3</v>
      </c>
      <c r="C383" s="2668" t="n">
        <f aca="false">'Прайс лист'!D236</f>
        <v>200</v>
      </c>
      <c r="D383" s="2668" t="n">
        <f aca="false">'Прайс лист'!E236</f>
        <v>400</v>
      </c>
      <c r="E383" s="2668" t="n">
        <f aca="false">'Прайс лист'!F236</f>
        <v>600</v>
      </c>
      <c r="F383" s="2668" t="n">
        <f aca="false">'Прайс лист'!G236</f>
        <v>3950</v>
      </c>
      <c r="AG383" s="2315" t="n">
        <v>21.4</v>
      </c>
      <c r="AH383" s="2606" t="n">
        <f aca="false">AG383*3.1415926535897/180</f>
        <v>0.373500459926775</v>
      </c>
      <c r="AI383" s="2606" t="n">
        <f aca="false">AH383+0.0005</f>
        <v>0.374000459926775</v>
      </c>
      <c r="AJ383" s="2606" t="n">
        <f aca="false">AH383-0.0005</f>
        <v>0.373000459926775</v>
      </c>
      <c r="AK383" s="2315" t="n">
        <f aca="false">IF(AND(дома!$Z$29&gt;=AJ383,дома!$Z$29&lt;=AI383),связи1!AG383,0)</f>
        <v>0</v>
      </c>
      <c r="AL383" s="2315" t="n">
        <f aca="false">IF(AND(дома!$AA$29&gt;=AJ383,дома!$AA$29&lt;=AI383),связи1!AG383,0)</f>
        <v>0</v>
      </c>
    </row>
    <row r="384" customFormat="false" ht="15.5" hidden="false" customHeight="false" outlineLevel="0" collapsed="false">
      <c r="A384" s="2668" t="str">
        <f aca="false">'Прайс лист'!B237</f>
        <v>Пенобетон 200x300x600</v>
      </c>
      <c r="B384" s="2668" t="str">
        <f aca="false">'Прайс лист'!C237</f>
        <v>м3</v>
      </c>
      <c r="C384" s="2668" t="n">
        <f aca="false">'Прайс лист'!D237</f>
        <v>200</v>
      </c>
      <c r="D384" s="2668" t="n">
        <f aca="false">'Прайс лист'!E237</f>
        <v>300</v>
      </c>
      <c r="E384" s="2668" t="n">
        <f aca="false">'Прайс лист'!F237</f>
        <v>600</v>
      </c>
      <c r="F384" s="2668" t="n">
        <f aca="false">'Прайс лист'!G237</f>
        <v>3650</v>
      </c>
      <c r="AG384" s="2315"/>
      <c r="AH384" s="2606"/>
      <c r="AI384" s="2606"/>
      <c r="AJ384" s="2606"/>
      <c r="AK384" s="2315"/>
      <c r="AL384" s="2315"/>
    </row>
    <row r="385" customFormat="false" ht="15.5" hidden="false" customHeight="false" outlineLevel="0" collapsed="false">
      <c r="A385" s="2668" t="str">
        <f aca="false">'Прайс лист'!B238</f>
        <v>Пенобетон 200x200x600</v>
      </c>
      <c r="B385" s="2668" t="str">
        <f aca="false">'Прайс лист'!C238</f>
        <v>м3</v>
      </c>
      <c r="C385" s="2668" t="n">
        <f aca="false">'Прайс лист'!D238</f>
        <v>200</v>
      </c>
      <c r="D385" s="2668" t="n">
        <f aca="false">'Прайс лист'!E238</f>
        <v>200</v>
      </c>
      <c r="E385" s="2668" t="n">
        <f aca="false">'Прайс лист'!F238</f>
        <v>600</v>
      </c>
      <c r="F385" s="2668" t="n">
        <f aca="false">'Прайс лист'!G238</f>
        <v>3950</v>
      </c>
      <c r="AG385" s="2315"/>
      <c r="AH385" s="2606"/>
      <c r="AI385" s="2606"/>
      <c r="AJ385" s="2606"/>
      <c r="AK385" s="2315"/>
      <c r="AL385" s="2315"/>
    </row>
    <row r="386" customFormat="false" ht="15.5" hidden="false" customHeight="false" outlineLevel="0" collapsed="false">
      <c r="A386" s="2668" t="str">
        <f aca="false">'Прайс лист'!B239</f>
        <v>Пенобетон 200x150x600</v>
      </c>
      <c r="B386" s="2668" t="str">
        <f aca="false">'Прайс лист'!C239</f>
        <v>м3</v>
      </c>
      <c r="C386" s="2668" t="n">
        <f aca="false">'Прайс лист'!D239</f>
        <v>200</v>
      </c>
      <c r="D386" s="2668" t="n">
        <f aca="false">'Прайс лист'!E239</f>
        <v>150</v>
      </c>
      <c r="E386" s="2668" t="n">
        <f aca="false">'Прайс лист'!F239</f>
        <v>600</v>
      </c>
      <c r="F386" s="2668" t="n">
        <f aca="false">'Прайс лист'!G239</f>
        <v>3950</v>
      </c>
      <c r="AG386" s="2315"/>
      <c r="AH386" s="2606"/>
      <c r="AI386" s="2606"/>
      <c r="AJ386" s="2606"/>
      <c r="AK386" s="2315"/>
      <c r="AL386" s="2315"/>
    </row>
    <row r="387" customFormat="false" ht="15.5" hidden="false" customHeight="false" outlineLevel="0" collapsed="false">
      <c r="A387" s="2668" t="str">
        <f aca="false">'Прайс лист'!B240</f>
        <v>Пенобетон 200x100x600</v>
      </c>
      <c r="B387" s="2668" t="str">
        <f aca="false">'Прайс лист'!C240</f>
        <v>м3</v>
      </c>
      <c r="C387" s="2668" t="n">
        <f aca="false">'Прайс лист'!D240</f>
        <v>200</v>
      </c>
      <c r="D387" s="2668" t="n">
        <f aca="false">'Прайс лист'!E240</f>
        <v>100</v>
      </c>
      <c r="E387" s="2668" t="n">
        <f aca="false">'Прайс лист'!F240</f>
        <v>600</v>
      </c>
      <c r="F387" s="2668" t="n">
        <f aca="false">'Прайс лист'!G240</f>
        <v>3950</v>
      </c>
      <c r="AG387" s="2315"/>
      <c r="AH387" s="2606"/>
      <c r="AI387" s="2606"/>
      <c r="AJ387" s="2606"/>
      <c r="AK387" s="2315"/>
      <c r="AL387" s="2315"/>
    </row>
    <row r="388" customFormat="false" ht="15.5" hidden="false" customHeight="false" outlineLevel="0" collapsed="false">
      <c r="A388" s="2668" t="str">
        <f aca="false">'Прайс лист'!B241</f>
        <v>Пенобетон 150x400x600</v>
      </c>
      <c r="B388" s="2668" t="str">
        <f aca="false">'Прайс лист'!C241</f>
        <v>м3</v>
      </c>
      <c r="C388" s="2668" t="n">
        <f aca="false">'Прайс лист'!D241</f>
        <v>200</v>
      </c>
      <c r="D388" s="2668" t="n">
        <f aca="false">'Прайс лист'!E241</f>
        <v>400</v>
      </c>
      <c r="E388" s="2668" t="n">
        <f aca="false">'Прайс лист'!F241</f>
        <v>600</v>
      </c>
      <c r="F388" s="2668" t="n">
        <f aca="false">'Прайс лист'!G241</f>
        <v>3950</v>
      </c>
      <c r="AG388" s="2315"/>
      <c r="AH388" s="2606"/>
      <c r="AI388" s="2606"/>
      <c r="AJ388" s="2606"/>
      <c r="AK388" s="2315"/>
      <c r="AL388" s="2315"/>
    </row>
    <row r="389" customFormat="false" ht="15.5" hidden="false" customHeight="false" outlineLevel="0" collapsed="false">
      <c r="A389" s="2668" t="str">
        <f aca="false">'Прайс лист'!B242</f>
        <v>Пенобетон 150x300x600</v>
      </c>
      <c r="B389" s="2668" t="str">
        <f aca="false">'Прайс лист'!C242</f>
        <v>м3</v>
      </c>
      <c r="C389" s="2668" t="n">
        <f aca="false">'Прайс лист'!D242</f>
        <v>150</v>
      </c>
      <c r="D389" s="2668" t="n">
        <f aca="false">'Прайс лист'!E242</f>
        <v>300</v>
      </c>
      <c r="E389" s="2668" t="n">
        <f aca="false">'Прайс лист'!F242</f>
        <v>600</v>
      </c>
      <c r="F389" s="2668" t="n">
        <f aca="false">'Прайс лист'!G242</f>
        <v>3750</v>
      </c>
      <c r="I389" s="2613" t="s">
        <v>493</v>
      </c>
      <c r="J389" s="2613" t="n">
        <v>0</v>
      </c>
      <c r="K389" s="2613"/>
      <c r="L389" s="2613" t="n">
        <v>0</v>
      </c>
      <c r="M389" s="2613" t="n">
        <v>0</v>
      </c>
      <c r="N389" s="2613"/>
      <c r="AG389" s="2315"/>
      <c r="AH389" s="2606"/>
      <c r="AI389" s="2606"/>
      <c r="AJ389" s="2606"/>
      <c r="AK389" s="2315"/>
      <c r="AL389" s="2315"/>
    </row>
    <row r="390" customFormat="false" ht="15.5" hidden="false" customHeight="false" outlineLevel="0" collapsed="false">
      <c r="A390" s="2668" t="str">
        <f aca="false">'Прайс лист'!B243</f>
        <v>Пенобетон 150x200x600</v>
      </c>
      <c r="B390" s="2668" t="str">
        <f aca="false">'Прайс лист'!C243</f>
        <v>м3</v>
      </c>
      <c r="C390" s="2668" t="n">
        <f aca="false">'Прайс лист'!D243</f>
        <v>150</v>
      </c>
      <c r="D390" s="2668" t="n">
        <f aca="false">'Прайс лист'!E243</f>
        <v>200</v>
      </c>
      <c r="E390" s="2668" t="n">
        <f aca="false">'Прайс лист'!F243</f>
        <v>600</v>
      </c>
      <c r="F390" s="2668" t="n">
        <f aca="false">'Прайс лист'!G243</f>
        <v>3750</v>
      </c>
      <c r="I390" s="2615" t="str">
        <f aca="false">связи1!A419</f>
        <v>Сосна влаж, 50*50мм</v>
      </c>
      <c r="J390" s="2615" t="n">
        <f aca="false">B419</f>
        <v>6500</v>
      </c>
      <c r="K390" s="2613" t="n">
        <f aca="false">C419</f>
        <v>400</v>
      </c>
      <c r="L390" s="2613" t="n">
        <f aca="false">D419</f>
        <v>16.25</v>
      </c>
      <c r="M390" s="2613" t="n">
        <f aca="false">E419</f>
        <v>0.0025</v>
      </c>
      <c r="N390" s="2613"/>
      <c r="O390" s="896" t="str">
        <f aca="false">'Прайс лист'!B898</f>
        <v>Гвозди ершоные 2,8 х 90</v>
      </c>
      <c r="P390" s="1150" t="n">
        <f aca="false">'Прайс лист'!F898</f>
        <v>0.95</v>
      </c>
      <c r="AG390" s="2315" t="n">
        <v>21.5</v>
      </c>
      <c r="AH390" s="2606" t="n">
        <f aca="false">AG390*3.1415926535897/180</f>
        <v>0.37524578917877</v>
      </c>
      <c r="AI390" s="2606" t="n">
        <f aca="false">AH390+0.0005</f>
        <v>0.37574578917877</v>
      </c>
      <c r="AJ390" s="2606" t="n">
        <f aca="false">AH390-0.0005</f>
        <v>0.37474578917877</v>
      </c>
      <c r="AK390" s="2315" t="n">
        <f aca="false">IF(AND(дома!$Z$29&gt;=AJ390,дома!$Z$29&lt;=AI390),связи1!AG390,0)</f>
        <v>0</v>
      </c>
      <c r="AL390" s="2315" t="n">
        <f aca="false">IF(AND(дома!$AA$29&gt;=AJ390,дома!$AA$29&lt;=AI390),связи1!AG390,0)</f>
        <v>0</v>
      </c>
    </row>
    <row r="391" customFormat="false" ht="15.5" hidden="false" customHeight="false" outlineLevel="0" collapsed="false">
      <c r="A391" s="2668" t="str">
        <f aca="false">'Прайс лист'!B244</f>
        <v>Пенобетон 150x150x600</v>
      </c>
      <c r="B391" s="2668" t="str">
        <f aca="false">'Прайс лист'!C244</f>
        <v>м3</v>
      </c>
      <c r="C391" s="2668" t="n">
        <f aca="false">'Прайс лист'!D244</f>
        <v>150</v>
      </c>
      <c r="D391" s="2668" t="n">
        <f aca="false">'Прайс лист'!E244</f>
        <v>150</v>
      </c>
      <c r="E391" s="2668" t="n">
        <f aca="false">'Прайс лист'!F244</f>
        <v>600</v>
      </c>
      <c r="F391" s="2668" t="n">
        <f aca="false">'Прайс лист'!G244</f>
        <v>3750</v>
      </c>
      <c r="I391" s="2615" t="str">
        <f aca="false">связи1!A420</f>
        <v>Доска сухая, калибр., 35*45мм</v>
      </c>
      <c r="J391" s="2615" t="n">
        <f aca="false">B420</f>
        <v>12500</v>
      </c>
      <c r="K391" s="2613" t="n">
        <f aca="false">C420</f>
        <v>634.920634920635</v>
      </c>
      <c r="L391" s="2613" t="n">
        <f aca="false">D420</f>
        <v>19.6875</v>
      </c>
      <c r="M391" s="2613" t="n">
        <f aca="false">E420</f>
        <v>0.001225</v>
      </c>
      <c r="N391" s="2613"/>
      <c r="O391" s="896" t="str">
        <f aca="false">'Прайс лист'!B898</f>
        <v>Гвозди ершоные 2,8 х 90</v>
      </c>
      <c r="P391" s="1150" t="n">
        <f aca="false">'Прайс лист'!F898</f>
        <v>0.95</v>
      </c>
      <c r="AG391" s="2315" t="n">
        <v>21.6</v>
      </c>
      <c r="AH391" s="2606" t="n">
        <f aca="false">AG391*3.1415926535897/180</f>
        <v>0.376991118430764</v>
      </c>
      <c r="AI391" s="2606" t="n">
        <f aca="false">AH391+0.0005</f>
        <v>0.377491118430764</v>
      </c>
      <c r="AJ391" s="2606" t="n">
        <f aca="false">AH391-0.0005</f>
        <v>0.376491118430764</v>
      </c>
      <c r="AK391" s="2315" t="n">
        <f aca="false">IF(AND(дома!$Z$29&gt;=AJ391,дома!$Z$29&lt;=AI391),связи1!AG391,0)</f>
        <v>0</v>
      </c>
      <c r="AL391" s="2315" t="n">
        <f aca="false">IF(AND(дома!$AA$29&gt;=AJ391,дома!$AA$29&lt;=AI391),связи1!AG391,0)</f>
        <v>0</v>
      </c>
    </row>
    <row r="392" customFormat="false" ht="15.5" hidden="false" customHeight="false" outlineLevel="0" collapsed="false">
      <c r="A392" s="2668" t="str">
        <f aca="false">'Прайс лист'!B245</f>
        <v>Пенобетон 150x100x600</v>
      </c>
      <c r="B392" s="2668" t="str">
        <f aca="false">'Прайс лист'!C245</f>
        <v>м3</v>
      </c>
      <c r="C392" s="2668" t="n">
        <f aca="false">'Прайс лист'!D245</f>
        <v>150</v>
      </c>
      <c r="D392" s="2668" t="n">
        <f aca="false">'Прайс лист'!E245</f>
        <v>100</v>
      </c>
      <c r="E392" s="2668" t="n">
        <f aca="false">'Прайс лист'!F245</f>
        <v>600</v>
      </c>
      <c r="F392" s="2668" t="n">
        <f aca="false">'Прайс лист'!G245</f>
        <v>3750</v>
      </c>
      <c r="I392" s="2615" t="str">
        <f aca="false">связи1!A421</f>
        <v>Доска сухая 50*50мм</v>
      </c>
      <c r="J392" s="2615" t="n">
        <f aca="false">B421</f>
        <v>9000</v>
      </c>
      <c r="K392" s="2613" t="n">
        <f aca="false">C421</f>
        <v>400</v>
      </c>
      <c r="L392" s="2613" t="n">
        <f aca="false">D421</f>
        <v>22.5</v>
      </c>
      <c r="M392" s="2613" t="n">
        <f aca="false">E421</f>
        <v>0.0025</v>
      </c>
      <c r="N392" s="2613"/>
      <c r="O392" s="896" t="str">
        <f aca="false">'Прайс лист'!B898</f>
        <v>Гвозди ершоные 2,8 х 90</v>
      </c>
      <c r="P392" s="1150" t="n">
        <f aca="false">'Прайс лист'!F898</f>
        <v>0.95</v>
      </c>
      <c r="AG392" s="2315" t="n">
        <v>21.7</v>
      </c>
      <c r="AH392" s="2606" t="n">
        <f aca="false">AG392*3.1415926535897/180</f>
        <v>0.378736447682758</v>
      </c>
      <c r="AI392" s="2606" t="n">
        <f aca="false">AH392+0.0005</f>
        <v>0.379236447682758</v>
      </c>
      <c r="AJ392" s="2606" t="n">
        <f aca="false">AH392-0.0005</f>
        <v>0.378236447682758</v>
      </c>
      <c r="AK392" s="2315" t="n">
        <f aca="false">IF(AND(дома!$Z$29&gt;=AJ392,дома!$Z$29&lt;=AI392),связи1!AG392,0)</f>
        <v>0</v>
      </c>
      <c r="AL392" s="2315" t="n">
        <f aca="false">IF(AND(дома!$AA$29&gt;=AJ392,дома!$AA$29&lt;=AI392),связи1!AG392,0)</f>
        <v>0</v>
      </c>
    </row>
    <row r="393" customFormat="false" ht="15.5" hidden="false" customHeight="false" outlineLevel="0" collapsed="false">
      <c r="A393" s="2668" t="str">
        <f aca="false">'Прайс лист'!B246</f>
        <v>Пенобетон 100x400x600</v>
      </c>
      <c r="B393" s="2668" t="str">
        <f aca="false">'Прайс лист'!C246</f>
        <v>м3</v>
      </c>
      <c r="C393" s="2668" t="n">
        <f aca="false">'Прайс лист'!D246</f>
        <v>100</v>
      </c>
      <c r="D393" s="2668" t="n">
        <f aca="false">'Прайс лист'!E246</f>
        <v>400</v>
      </c>
      <c r="E393" s="2668" t="n">
        <f aca="false">'Прайс лист'!F246</f>
        <v>600</v>
      </c>
      <c r="F393" s="2668" t="n">
        <f aca="false">'Прайс лист'!G246</f>
        <v>3750</v>
      </c>
      <c r="I393" s="2613" t="str">
        <f aca="false">'Прайс лист'!B621</f>
        <v>Z 100-1,2</v>
      </c>
      <c r="J393" s="2614" t="n">
        <f aca="false">'Прайс лист'!G621</f>
        <v>163</v>
      </c>
      <c r="K393" s="2613"/>
      <c r="L393" s="2614" t="n">
        <f aca="false">'Прайс лист'!G621</f>
        <v>163</v>
      </c>
      <c r="M393" s="2613"/>
      <c r="N393" s="2613"/>
      <c r="O393" s="2388" t="str">
        <f aca="false">'Прайс лист'!B882</f>
        <v>Саморез 5,5 х 25</v>
      </c>
      <c r="P393" s="2388" t="n">
        <f aca="false">'Прайс лист'!F882</f>
        <v>2.5</v>
      </c>
      <c r="AG393" s="2315" t="n">
        <v>21.8</v>
      </c>
      <c r="AH393" s="2606" t="n">
        <f aca="false">AG393*3.1415926535897/180</f>
        <v>0.380481776934752</v>
      </c>
      <c r="AI393" s="2606" t="n">
        <f aca="false">AH393+0.0005</f>
        <v>0.380981776934753</v>
      </c>
      <c r="AJ393" s="2606" t="n">
        <f aca="false">AH393-0.0005</f>
        <v>0.379981776934753</v>
      </c>
      <c r="AK393" s="2315" t="n">
        <f aca="false">IF(AND(дома!$Z$29&gt;=AJ393,дома!$Z$29&lt;=AI393),связи1!AG393,0)</f>
        <v>0</v>
      </c>
      <c r="AL393" s="2315" t="n">
        <f aca="false">IF(AND(дома!$AA$29&gt;=AJ393,дома!$AA$29&lt;=AI393),связи1!AG393,0)</f>
        <v>0</v>
      </c>
    </row>
    <row r="394" customFormat="false" ht="15.5" hidden="false" customHeight="false" outlineLevel="0" collapsed="false">
      <c r="A394" s="2668" t="str">
        <f aca="false">'Прайс лист'!B247</f>
        <v>Пенобетон 100x300x600</v>
      </c>
      <c r="B394" s="2668" t="str">
        <f aca="false">'Прайс лист'!C247</f>
        <v>м3</v>
      </c>
      <c r="C394" s="2668" t="n">
        <f aca="false">'Прайс лист'!D247</f>
        <v>100</v>
      </c>
      <c r="D394" s="2668" t="n">
        <f aca="false">'Прайс лист'!E247</f>
        <v>300</v>
      </c>
      <c r="E394" s="2668" t="n">
        <f aca="false">'Прайс лист'!F247</f>
        <v>600</v>
      </c>
      <c r="F394" s="2668" t="n">
        <f aca="false">'Прайс лист'!G247</f>
        <v>3950</v>
      </c>
      <c r="I394" s="2613" t="str">
        <f aca="false">'Прайс лист'!B622</f>
        <v>Z 100-1,5</v>
      </c>
      <c r="J394" s="2614" t="n">
        <f aca="false">'Прайс лист'!G622</f>
        <v>204</v>
      </c>
      <c r="K394" s="2613"/>
      <c r="L394" s="2614" t="n">
        <f aca="false">'Прайс лист'!G622</f>
        <v>204</v>
      </c>
      <c r="M394" s="2613"/>
      <c r="N394" s="2613"/>
      <c r="O394" s="2388" t="str">
        <f aca="false">'Прайс лист'!B882</f>
        <v>Саморез 5,5 х 25</v>
      </c>
      <c r="P394" s="2388" t="n">
        <f aca="false">'Прайс лист'!F882</f>
        <v>2.5</v>
      </c>
      <c r="AG394" s="2315"/>
      <c r="AH394" s="2606"/>
      <c r="AI394" s="2606"/>
      <c r="AJ394" s="2606"/>
      <c r="AK394" s="2315"/>
      <c r="AL394" s="2315"/>
    </row>
    <row r="395" customFormat="false" ht="15.5" hidden="false" customHeight="false" outlineLevel="0" collapsed="false">
      <c r="A395" s="2668" t="str">
        <f aca="false">'Прайс лист'!B248</f>
        <v>Пенобетон 100x200x600</v>
      </c>
      <c r="B395" s="2668" t="str">
        <f aca="false">'Прайс лист'!C248</f>
        <v>м3</v>
      </c>
      <c r="C395" s="2668" t="n">
        <f aca="false">'Прайс лист'!D248</f>
        <v>100</v>
      </c>
      <c r="D395" s="2668" t="n">
        <f aca="false">'Прайс лист'!E248</f>
        <v>200</v>
      </c>
      <c r="E395" s="2668" t="n">
        <f aca="false">'Прайс лист'!F248</f>
        <v>600</v>
      </c>
      <c r="F395" s="2668" t="n">
        <f aca="false">'Прайс лист'!G248</f>
        <v>3950</v>
      </c>
      <c r="I395" s="2613" t="str">
        <f aca="false">'Прайс лист'!B623</f>
        <v>Z 100-2,0</v>
      </c>
      <c r="J395" s="2614" t="n">
        <f aca="false">'Прайс лист'!G623</f>
        <v>272</v>
      </c>
      <c r="K395" s="2613"/>
      <c r="L395" s="2614" t="n">
        <f aca="false">'Прайс лист'!G623</f>
        <v>272</v>
      </c>
      <c r="M395" s="2613"/>
      <c r="N395" s="2613"/>
      <c r="O395" s="2388" t="str">
        <f aca="false">'Прайс лист'!B882</f>
        <v>Саморез 5,5 х 25</v>
      </c>
      <c r="P395" s="2388" t="n">
        <f aca="false">'Прайс лист'!F882</f>
        <v>2.5</v>
      </c>
      <c r="AG395" s="2315"/>
      <c r="AH395" s="2606"/>
      <c r="AI395" s="2606"/>
      <c r="AJ395" s="2606"/>
      <c r="AK395" s="2315"/>
      <c r="AL395" s="2315"/>
    </row>
    <row r="396" customFormat="false" ht="15.5" hidden="false" customHeight="false" outlineLevel="0" collapsed="false">
      <c r="A396" s="2668" t="str">
        <f aca="false">'Прайс лист'!B249</f>
        <v>Пенобетон 100x150x600</v>
      </c>
      <c r="B396" s="2668" t="str">
        <f aca="false">'Прайс лист'!C249</f>
        <v>м3</v>
      </c>
      <c r="C396" s="2668" t="n">
        <f aca="false">'Прайс лист'!D249</f>
        <v>100</v>
      </c>
      <c r="D396" s="2668" t="n">
        <f aca="false">'Прайс лист'!E249</f>
        <v>150</v>
      </c>
      <c r="E396" s="2668" t="n">
        <f aca="false">'Прайс лист'!F249</f>
        <v>600</v>
      </c>
      <c r="F396" s="2668" t="n">
        <f aca="false">'Прайс лист'!G249</f>
        <v>3950</v>
      </c>
      <c r="I396" s="2613" t="str">
        <f aca="false">'Прайс лист'!B624</f>
        <v>Z 150-1,2</v>
      </c>
      <c r="J396" s="2614" t="n">
        <f aca="false">'Прайс лист'!G624</f>
        <v>201</v>
      </c>
      <c r="K396" s="2613"/>
      <c r="L396" s="2614" t="n">
        <f aca="false">'Прайс лист'!G624</f>
        <v>201</v>
      </c>
      <c r="M396" s="2613"/>
      <c r="N396" s="2613"/>
      <c r="O396" s="2321" t="str">
        <f aca="false">'Прайс лист'!B882</f>
        <v>Саморез 5,5 х 25</v>
      </c>
      <c r="P396" s="2388" t="n">
        <f aca="false">'Прайс лист'!F882</f>
        <v>2.5</v>
      </c>
      <c r="AG396" s="2315"/>
      <c r="AH396" s="2606"/>
      <c r="AI396" s="2606"/>
      <c r="AJ396" s="2606"/>
      <c r="AK396" s="2315"/>
      <c r="AL396" s="2315"/>
    </row>
    <row r="397" customFormat="false" ht="15.5" hidden="false" customHeight="false" outlineLevel="0" collapsed="false">
      <c r="A397" s="2668" t="str">
        <f aca="false">'Прайс лист'!B250</f>
        <v>Пенобетон 100x100x600</v>
      </c>
      <c r="B397" s="2668" t="str">
        <f aca="false">'Прайс лист'!C250</f>
        <v>м3</v>
      </c>
      <c r="C397" s="2668" t="n">
        <f aca="false">'Прайс лист'!D250</f>
        <v>100</v>
      </c>
      <c r="D397" s="2668" t="n">
        <f aca="false">'Прайс лист'!E250</f>
        <v>100</v>
      </c>
      <c r="E397" s="2668" t="n">
        <f aca="false">'Прайс лист'!F250</f>
        <v>600</v>
      </c>
      <c r="F397" s="2668" t="n">
        <f aca="false">'Прайс лист'!G250</f>
        <v>3950</v>
      </c>
      <c r="I397" s="2613" t="str">
        <f aca="false">'Прайс лист'!B625</f>
        <v>Z 150-1,5</v>
      </c>
      <c r="J397" s="2614" t="n">
        <f aca="false">'Прайс лист'!G625</f>
        <v>252</v>
      </c>
      <c r="K397" s="2613"/>
      <c r="L397" s="2614" t="n">
        <f aca="false">'Прайс лист'!G625</f>
        <v>252</v>
      </c>
      <c r="M397" s="2613"/>
      <c r="N397" s="2613"/>
      <c r="O397" s="2321" t="str">
        <f aca="false">'Прайс лист'!B882</f>
        <v>Саморез 5,5 х 25</v>
      </c>
      <c r="P397" s="2388" t="n">
        <f aca="false">'Прайс лист'!F882</f>
        <v>2.5</v>
      </c>
      <c r="AG397" s="2315" t="n">
        <v>21.9</v>
      </c>
      <c r="AH397" s="2606" t="n">
        <f aca="false">AG397*3.1415926535897/180</f>
        <v>0.382227106186747</v>
      </c>
      <c r="AI397" s="2606" t="n">
        <f aca="false">AH397+0.0005</f>
        <v>0.382727106186747</v>
      </c>
      <c r="AJ397" s="2606" t="n">
        <f aca="false">AH397-0.0005</f>
        <v>0.381727106186747</v>
      </c>
      <c r="AK397" s="2315" t="n">
        <f aca="false">IF(AND(дома!$Z$29&gt;=AJ397,дома!$Z$29&lt;=AI397),связи1!AG397,0)</f>
        <v>0</v>
      </c>
      <c r="AL397" s="2315" t="n">
        <f aca="false">IF(AND(дома!$AA$29&gt;=AJ397,дома!$AA$29&lt;=AI397),связи1!AG397,0)</f>
        <v>0</v>
      </c>
    </row>
    <row r="398" customFormat="false" ht="15.5" hidden="false" customHeight="false" outlineLevel="0" collapsed="false">
      <c r="A398" s="2669" t="s">
        <v>4556</v>
      </c>
      <c r="C398" s="2315"/>
      <c r="D398" s="2315"/>
      <c r="E398" s="2315"/>
      <c r="I398" s="2613" t="str">
        <f aca="false">'Прайс лист'!B626</f>
        <v>Z 150-2,0</v>
      </c>
      <c r="J398" s="2614" t="n">
        <f aca="false">'Прайс лист'!G626</f>
        <v>330</v>
      </c>
      <c r="K398" s="2613"/>
      <c r="L398" s="2614" t="n">
        <f aca="false">'Прайс лист'!G626</f>
        <v>330</v>
      </c>
      <c r="M398" s="2613"/>
      <c r="N398" s="2613"/>
      <c r="O398" s="2321" t="str">
        <f aca="false">'Прайс лист'!B882</f>
        <v>Саморез 5,5 х 25</v>
      </c>
      <c r="P398" s="2388" t="n">
        <f aca="false">'Прайс лист'!F882</f>
        <v>2.5</v>
      </c>
      <c r="AG398" s="2315" t="n">
        <v>22</v>
      </c>
      <c r="AH398" s="2606" t="n">
        <f aca="false">AG398*3.1415926535897/180</f>
        <v>0.383972435438741</v>
      </c>
      <c r="AI398" s="2606" t="n">
        <f aca="false">AH398+0.0005</f>
        <v>0.384472435438741</v>
      </c>
      <c r="AJ398" s="2606" t="n">
        <f aca="false">AH398-0.0005</f>
        <v>0.383472435438741</v>
      </c>
      <c r="AK398" s="2315" t="n">
        <f aca="false">IF(AND(дома!$Z$29&gt;=AJ398,дома!$Z$29&lt;=AI398),связи1!AG398,0)</f>
        <v>0</v>
      </c>
      <c r="AL398" s="2315" t="n">
        <f aca="false">IF(AND(дома!$AA$29&gt;=AJ398,дома!$AA$29&lt;=AI398),связи1!AG398,0)</f>
        <v>0</v>
      </c>
    </row>
    <row r="399" customFormat="false" ht="15.5" hidden="false" customHeight="false" outlineLevel="0" collapsed="false">
      <c r="A399" s="122" t="s">
        <v>4557</v>
      </c>
      <c r="B399" s="2670" t="n">
        <f aca="false">F357</f>
        <v>16.037</v>
      </c>
      <c r="C399" s="2662"/>
      <c r="D399" s="2663"/>
      <c r="E399" s="2664"/>
      <c r="I399" s="2613" t="str">
        <f aca="false">'Прайс лист'!B627</f>
        <v>Z 200-1,2</v>
      </c>
      <c r="J399" s="2614" t="n">
        <f aca="false">'Прайс лист'!G627</f>
        <v>239</v>
      </c>
      <c r="K399" s="2613"/>
      <c r="L399" s="2614" t="n">
        <f aca="false">'Прайс лист'!G627</f>
        <v>239</v>
      </c>
      <c r="M399" s="2613"/>
      <c r="N399" s="2613"/>
      <c r="O399" s="2321" t="str">
        <f aca="false">'Прайс лист'!B882</f>
        <v>Саморез 5,5 х 25</v>
      </c>
      <c r="P399" s="2388" t="n">
        <f aca="false">'Прайс лист'!F882</f>
        <v>2.5</v>
      </c>
      <c r="AG399" s="2315" t="n">
        <v>22.1</v>
      </c>
      <c r="AH399" s="2606" t="n">
        <f aca="false">AG399*3.1415926535897/180</f>
        <v>0.385717764690735</v>
      </c>
      <c r="AI399" s="2606" t="n">
        <f aca="false">AH399+0.0005</f>
        <v>0.386217764690735</v>
      </c>
      <c r="AJ399" s="2606" t="n">
        <f aca="false">AH399-0.0005</f>
        <v>0.385217764690735</v>
      </c>
      <c r="AK399" s="2315" t="n">
        <f aca="false">IF(AND(дома!$Z$29&gt;=AJ399,дома!$Z$29&lt;=AI399),связи1!AG399,0)</f>
        <v>0</v>
      </c>
      <c r="AL399" s="2315" t="n">
        <f aca="false">IF(AND(дома!$AA$29&gt;=AJ399,дома!$AA$29&lt;=AI399),связи1!AG399,0)</f>
        <v>0</v>
      </c>
    </row>
    <row r="400" customFormat="false" ht="15.5" hidden="false" customHeight="false" outlineLevel="0" collapsed="false">
      <c r="A400" s="122" t="s">
        <v>1781</v>
      </c>
      <c r="B400" s="2670" t="n">
        <f aca="false">F358</f>
        <v>21.0397</v>
      </c>
      <c r="C400" s="2662"/>
      <c r="D400" s="2663"/>
      <c r="E400" s="2664"/>
      <c r="I400" s="2613" t="str">
        <f aca="false">'Прайс лист'!B628</f>
        <v>Z 200-1,5</v>
      </c>
      <c r="J400" s="2614" t="n">
        <f aca="false">'Прайс лист'!G628</f>
        <v>299</v>
      </c>
      <c r="K400" s="2613"/>
      <c r="L400" s="2614" t="n">
        <f aca="false">'Прайс лист'!G628</f>
        <v>299</v>
      </c>
      <c r="M400" s="2613"/>
      <c r="N400" s="2613"/>
      <c r="O400" s="2321" t="str">
        <f aca="false">'Прайс лист'!B882</f>
        <v>Саморез 5,5 х 25</v>
      </c>
      <c r="P400" s="2388" t="n">
        <f aca="false">'Прайс лист'!F882</f>
        <v>2.5</v>
      </c>
      <c r="AG400" s="2315" t="n">
        <v>22.2</v>
      </c>
      <c r="AH400" s="2606" t="n">
        <f aca="false">AG400*3.1415926535897/180</f>
        <v>0.38746309394273</v>
      </c>
      <c r="AI400" s="2606" t="n">
        <f aca="false">AH400+0.0005</f>
        <v>0.38796309394273</v>
      </c>
      <c r="AJ400" s="2606" t="n">
        <f aca="false">AH400-0.0005</f>
        <v>0.38696309394273</v>
      </c>
      <c r="AK400" s="2315" t="n">
        <f aca="false">IF(AND(дома!$Z$29&gt;=AJ400,дома!$Z$29&lt;=AI400),связи1!AG400,0)</f>
        <v>0</v>
      </c>
      <c r="AL400" s="2315" t="n">
        <f aca="false">IF(AND(дома!$AA$29&gt;=AJ400,дома!$AA$29&lt;=AI400),связи1!AG400,0)</f>
        <v>0</v>
      </c>
    </row>
    <row r="401" customFormat="false" ht="15.5" hidden="false" customHeight="false" outlineLevel="0" collapsed="false">
      <c r="A401" s="122" t="s">
        <v>1788</v>
      </c>
      <c r="B401" s="2670" t="n">
        <f aca="false">F359</f>
        <v>29.2152</v>
      </c>
      <c r="C401" s="2662"/>
      <c r="D401" s="2663"/>
      <c r="E401" s="2664"/>
      <c r="I401" s="2613" t="str">
        <f aca="false">'Прайс лист'!B629</f>
        <v>Z 200-2,0</v>
      </c>
      <c r="J401" s="2614" t="n">
        <f aca="false">'Прайс лист'!G629</f>
        <v>397</v>
      </c>
      <c r="K401" s="2613"/>
      <c r="L401" s="2614" t="n">
        <f aca="false">'Прайс лист'!G629</f>
        <v>397</v>
      </c>
      <c r="M401" s="2613"/>
      <c r="N401" s="2613"/>
      <c r="O401" s="2321" t="str">
        <f aca="false">'Прайс лист'!B882</f>
        <v>Саморез 5,5 х 25</v>
      </c>
      <c r="P401" s="2388" t="n">
        <f aca="false">'Прайс лист'!F882</f>
        <v>2.5</v>
      </c>
      <c r="AG401" s="2315" t="n">
        <v>22.3</v>
      </c>
      <c r="AH401" s="2606" t="n">
        <f aca="false">AG401*3.1415926535897/180</f>
        <v>0.389208423194724</v>
      </c>
      <c r="AI401" s="2606" t="n">
        <f aca="false">AH401+0.0005</f>
        <v>0.389708423194724</v>
      </c>
      <c r="AJ401" s="2606" t="n">
        <f aca="false">AH401-0.0005</f>
        <v>0.388708423194724</v>
      </c>
      <c r="AK401" s="2315" t="n">
        <f aca="false">IF(AND(дома!$Z$29&gt;=AJ401,дома!$Z$29&lt;=AI401),связи1!AG401,0)</f>
        <v>0</v>
      </c>
      <c r="AL401" s="2315" t="n">
        <f aca="false">IF(AND(дома!$AA$29&gt;=AJ401,дома!$AA$29&lt;=AI401),связи1!AG401,0)</f>
        <v>0</v>
      </c>
    </row>
    <row r="402" customFormat="false" ht="15.5" hidden="false" customHeight="false" outlineLevel="0" collapsed="false">
      <c r="A402" s="122" t="s">
        <v>4558</v>
      </c>
      <c r="B402" s="2670" t="n">
        <f aca="false">F360</f>
        <v>39.204</v>
      </c>
      <c r="C402" s="2662"/>
      <c r="D402" s="2663"/>
      <c r="E402" s="2664"/>
      <c r="I402" s="2613" t="str">
        <f aca="false">'Прайс лист'!B630</f>
        <v>ГПО 30-0,7</v>
      </c>
      <c r="J402" s="2614" t="n">
        <f aca="false">'Прайс лист'!G630</f>
        <v>58</v>
      </c>
      <c r="K402" s="2613"/>
      <c r="L402" s="2614" t="n">
        <f aca="false">'Прайс лист'!G630</f>
        <v>58</v>
      </c>
      <c r="M402" s="2613"/>
      <c r="N402" s="2613"/>
      <c r="O402" s="896" t="str">
        <f aca="false">'Прайс лист'!B882</f>
        <v>Саморез 5,5 х 25</v>
      </c>
      <c r="P402" s="1150" t="n">
        <f aca="false">'Прайс лист'!F882</f>
        <v>2.5</v>
      </c>
      <c r="AG402" s="2315" t="n">
        <v>22.4</v>
      </c>
      <c r="AH402" s="2606" t="n">
        <f aca="false">AG402*3.1415926535897/180</f>
        <v>0.390953752446718</v>
      </c>
      <c r="AI402" s="2606" t="n">
        <f aca="false">AH402+0.0005</f>
        <v>0.391453752446718</v>
      </c>
      <c r="AJ402" s="2606" t="n">
        <f aca="false">AH402-0.0005</f>
        <v>0.390453752446718</v>
      </c>
      <c r="AK402" s="2315" t="n">
        <f aca="false">IF(AND(дома!$Z$29&gt;=AJ402,дома!$Z$29&lt;=AI402),связи1!AG402,0)</f>
        <v>0</v>
      </c>
      <c r="AL402" s="2315" t="n">
        <f aca="false">IF(AND(дома!$AA$29&gt;=AJ402,дома!$AA$29&lt;=AI402),связи1!AG402,0)</f>
        <v>0</v>
      </c>
    </row>
    <row r="403" customFormat="false" ht="15.5" hidden="false" customHeight="false" outlineLevel="0" collapsed="false">
      <c r="A403" s="122" t="s">
        <v>4559</v>
      </c>
      <c r="B403" s="2670" t="n">
        <f aca="false">F361</f>
        <v>51.192</v>
      </c>
      <c r="C403" s="2662"/>
      <c r="D403" s="2663"/>
      <c r="E403" s="2664"/>
      <c r="I403" s="2613" t="str">
        <f aca="false">'Прайс лист'!B631</f>
        <v>ГПО 30-1,2</v>
      </c>
      <c r="J403" s="2614" t="n">
        <f aca="false">'Прайс лист'!G631</f>
        <v>100</v>
      </c>
      <c r="K403" s="2613"/>
      <c r="L403" s="2614" t="n">
        <f aca="false">'Прайс лист'!G631</f>
        <v>100</v>
      </c>
      <c r="M403" s="2613"/>
      <c r="N403" s="2613"/>
      <c r="O403" s="896" t="str">
        <f aca="false">'Прайс лист'!B882</f>
        <v>Саморез 5,5 х 25</v>
      </c>
      <c r="P403" s="1150" t="n">
        <f aca="false">'Прайс лист'!F882</f>
        <v>2.5</v>
      </c>
      <c r="AG403" s="2315" t="n">
        <v>22.5</v>
      </c>
      <c r="AH403" s="2606" t="n">
        <f aca="false">AG403*3.1415926535897/180</f>
        <v>0.392699081698712</v>
      </c>
      <c r="AI403" s="2606" t="n">
        <f aca="false">AH403+0.0005</f>
        <v>0.393199081698712</v>
      </c>
      <c r="AJ403" s="2606" t="n">
        <f aca="false">AH403-0.0005</f>
        <v>0.392199081698712</v>
      </c>
      <c r="AK403" s="2315" t="n">
        <f aca="false">IF(AND(дома!$Z$29&gt;=AJ403,дома!$Z$29&lt;=AI403),связи1!AG403,0)</f>
        <v>0</v>
      </c>
      <c r="AL403" s="2315" t="n">
        <f aca="false">IF(AND(дома!$AA$29&gt;=AJ403,дома!$AA$29&lt;=AI403),связи1!AG403,0)</f>
        <v>0</v>
      </c>
    </row>
    <row r="404" customFormat="false" ht="15.5" hidden="false" customHeight="false" outlineLevel="0" collapsed="false">
      <c r="A404" s="122" t="s">
        <v>4560</v>
      </c>
      <c r="B404" s="2670" t="n">
        <f aca="false">F362</f>
        <v>64.8</v>
      </c>
      <c r="C404" s="2662"/>
      <c r="D404" s="2663"/>
      <c r="E404" s="2664"/>
      <c r="I404" s="2613" t="str">
        <f aca="false">'Прайс лист'!B632</f>
        <v>ГПО 30-1,5</v>
      </c>
      <c r="J404" s="2614" t="n">
        <f aca="false">'Прайс лист'!G632</f>
        <v>125</v>
      </c>
      <c r="K404" s="2613"/>
      <c r="L404" s="2614" t="n">
        <f aca="false">'Прайс лист'!G632</f>
        <v>125</v>
      </c>
      <c r="M404" s="2613"/>
      <c r="N404" s="2613"/>
      <c r="O404" s="896" t="str">
        <f aca="false">'Прайс лист'!B882</f>
        <v>Саморез 5,5 х 25</v>
      </c>
      <c r="P404" s="1150" t="n">
        <f aca="false">'Прайс лист'!F882</f>
        <v>2.5</v>
      </c>
      <c r="AG404" s="2315" t="n">
        <v>22.6</v>
      </c>
      <c r="AH404" s="2606" t="n">
        <f aca="false">AG404*3.1415926535897/180</f>
        <v>0.394444410950707</v>
      </c>
      <c r="AI404" s="2606" t="n">
        <f aca="false">AH404+0.0005</f>
        <v>0.394944410950707</v>
      </c>
      <c r="AJ404" s="2606" t="n">
        <f aca="false">AH404-0.0005</f>
        <v>0.393944410950707</v>
      </c>
      <c r="AK404" s="2315" t="n">
        <f aca="false">IF(AND(дома!$Z$29&gt;=AJ404,дома!$Z$29&lt;=AI404),связи1!AG404,0)</f>
        <v>0</v>
      </c>
      <c r="AL404" s="2315" t="n">
        <f aca="false">IF(AND(дома!$AA$29&gt;=AJ404,дома!$AA$29&lt;=AI404),связи1!AG404,0)</f>
        <v>0</v>
      </c>
    </row>
    <row r="405" customFormat="false" ht="15.5" hidden="false" customHeight="false" outlineLevel="0" collapsed="false">
      <c r="A405" s="122" t="s">
        <v>4561</v>
      </c>
      <c r="B405" s="2670" t="n">
        <f aca="false">F363</f>
        <v>80.028</v>
      </c>
      <c r="C405" s="2662"/>
      <c r="D405" s="2663"/>
      <c r="E405" s="2664"/>
      <c r="I405" s="2613" t="str">
        <f aca="false">'Прайс лист'!B633</f>
        <v>ГПО 35-0,7</v>
      </c>
      <c r="J405" s="2614" t="n">
        <f aca="false">'Прайс лист'!G633</f>
        <v>64</v>
      </c>
      <c r="K405" s="2613"/>
      <c r="L405" s="2614" t="n">
        <f aca="false">'Прайс лист'!G633</f>
        <v>64</v>
      </c>
      <c r="M405" s="2613"/>
      <c r="N405" s="2613"/>
      <c r="O405" s="896" t="str">
        <f aca="false">'Прайс лист'!B882</f>
        <v>Саморез 5,5 х 25</v>
      </c>
      <c r="P405" s="1150" t="n">
        <f aca="false">'Прайс лист'!F882</f>
        <v>2.5</v>
      </c>
      <c r="AG405" s="2315" t="n">
        <v>22.7</v>
      </c>
      <c r="AH405" s="2606" t="n">
        <f aca="false">AG405*3.1415926535897/180</f>
        <v>0.396189740202701</v>
      </c>
      <c r="AI405" s="2606" t="n">
        <f aca="false">AH405+0.0005</f>
        <v>0.396689740202701</v>
      </c>
      <c r="AJ405" s="2606" t="n">
        <f aca="false">AH405-0.0005</f>
        <v>0.395689740202701</v>
      </c>
      <c r="AK405" s="2315" t="n">
        <f aca="false">IF(AND(дома!$Z$29&gt;=AJ405,дома!$Z$29&lt;=AI405),связи1!AG405,0)</f>
        <v>0</v>
      </c>
      <c r="AL405" s="2315" t="n">
        <f aca="false">IF(AND(дома!$AA$29&gt;=AJ405,дома!$AA$29&lt;=AI405),связи1!AG405,0)</f>
        <v>0</v>
      </c>
    </row>
    <row r="406" customFormat="false" ht="14.5" hidden="false" customHeight="false" outlineLevel="0" collapsed="false">
      <c r="C406" s="2617"/>
      <c r="D406" s="2617"/>
      <c r="E406" s="2617"/>
      <c r="I406" s="2613" t="str">
        <f aca="false">'Прайс лист'!B634</f>
        <v>ГПО 35-1,2</v>
      </c>
      <c r="J406" s="2614" t="n">
        <f aca="false">'Прайс лист'!G634</f>
        <v>110</v>
      </c>
      <c r="K406" s="2613"/>
      <c r="L406" s="2614" t="n">
        <f aca="false">'Прайс лист'!G634</f>
        <v>110</v>
      </c>
      <c r="M406" s="2613"/>
      <c r="N406" s="2613"/>
      <c r="O406" s="896" t="str">
        <f aca="false">'Прайс лист'!B882</f>
        <v>Саморез 5,5 х 25</v>
      </c>
      <c r="P406" s="1150" t="n">
        <f aca="false">'Прайс лист'!F882</f>
        <v>2.5</v>
      </c>
      <c r="AG406" s="2315" t="n">
        <v>22.8</v>
      </c>
      <c r="AH406" s="2606" t="n">
        <f aca="false">AG406*3.1415926535897/180</f>
        <v>0.397935069454695</v>
      </c>
      <c r="AI406" s="2606" t="n">
        <f aca="false">AH406+0.0005</f>
        <v>0.398435069454695</v>
      </c>
      <c r="AJ406" s="2606" t="n">
        <f aca="false">AH406-0.0005</f>
        <v>0.397435069454695</v>
      </c>
      <c r="AK406" s="2315" t="n">
        <f aca="false">IF(AND(дома!$Z$29&gt;=AJ406,дома!$Z$29&lt;=AI406),связи1!AG406,0)</f>
        <v>0</v>
      </c>
      <c r="AL406" s="2315" t="n">
        <f aca="false">IF(AND(дома!$AA$29&gt;=AJ406,дома!$AA$29&lt;=AI406),связи1!AG406,0)</f>
        <v>0</v>
      </c>
    </row>
    <row r="407" customFormat="false" ht="15.5" hidden="false" customHeight="false" outlineLevel="0" collapsed="false">
      <c r="A407" s="122" t="s">
        <v>493</v>
      </c>
      <c r="B407" s="2315" t="n">
        <v>0</v>
      </c>
      <c r="C407" s="2315" t="n">
        <v>0</v>
      </c>
      <c r="D407" s="2315" t="n">
        <v>0</v>
      </c>
      <c r="E407" s="2315" t="n">
        <v>0</v>
      </c>
      <c r="F407" s="2315" t="n">
        <v>0</v>
      </c>
      <c r="G407" s="2315" t="n">
        <v>0</v>
      </c>
      <c r="I407" s="2613" t="str">
        <f aca="false">'Прайс лист'!B635</f>
        <v>ГПО 35-1,5</v>
      </c>
      <c r="J407" s="2614" t="n">
        <f aca="false">'Прайс лист'!G635</f>
        <v>127</v>
      </c>
      <c r="K407" s="2613"/>
      <c r="L407" s="2614" t="n">
        <f aca="false">'Прайс лист'!G635</f>
        <v>127</v>
      </c>
      <c r="M407" s="2613"/>
      <c r="N407" s="2613"/>
      <c r="O407" s="896" t="str">
        <f aca="false">'Прайс лист'!B882</f>
        <v>Саморез 5,5 х 25</v>
      </c>
      <c r="P407" s="1150" t="n">
        <f aca="false">'Прайс лист'!F882</f>
        <v>2.5</v>
      </c>
      <c r="AG407" s="2315"/>
      <c r="AH407" s="2606"/>
      <c r="AI407" s="2606"/>
      <c r="AJ407" s="2606"/>
      <c r="AK407" s="2315"/>
      <c r="AL407" s="2315"/>
    </row>
    <row r="408" customFormat="false" ht="14.5" hidden="false" customHeight="false" outlineLevel="0" collapsed="false">
      <c r="A408" s="2315" t="s">
        <v>1908</v>
      </c>
      <c r="B408" s="933" t="n">
        <f aca="false">'Прайс лист'!G316</f>
        <v>9000</v>
      </c>
      <c r="C408" s="2315" t="n">
        <f aca="false">1/0.05/0.2</f>
        <v>100</v>
      </c>
      <c r="D408" s="2315" t="n">
        <f aca="false">B408/C408</f>
        <v>90</v>
      </c>
      <c r="E408" s="2315" t="n">
        <f aca="false">0.2*0.05</f>
        <v>0.01</v>
      </c>
      <c r="F408" s="2315" t="n">
        <v>0.2</v>
      </c>
      <c r="G408" s="2315" t="n">
        <v>0.05</v>
      </c>
      <c r="I408" s="2613" t="str">
        <f aca="false">'Прайс лист'!B636</f>
        <v>ГПО 35-2,0</v>
      </c>
      <c r="J408" s="2614" t="n">
        <f aca="false">'Прайс лист'!G636</f>
        <v>169</v>
      </c>
      <c r="K408" s="2613"/>
      <c r="L408" s="2614" t="n">
        <f aca="false">'Прайс лист'!G636</f>
        <v>169</v>
      </c>
      <c r="M408" s="2613"/>
      <c r="N408" s="2613"/>
      <c r="O408" s="896" t="str">
        <f aca="false">'Прайс лист'!B882</f>
        <v>Саморез 5,5 х 25</v>
      </c>
      <c r="P408" s="1150" t="n">
        <f aca="false">'Прайс лист'!F882</f>
        <v>2.5</v>
      </c>
      <c r="AG408" s="2315" t="n">
        <v>22.9</v>
      </c>
      <c r="AH408" s="2606" t="n">
        <f aca="false">AG408*3.1415926535897/180</f>
        <v>0.39968039870669</v>
      </c>
      <c r="AI408" s="2606" t="n">
        <f aca="false">AH408+0.0005</f>
        <v>0.40018039870669</v>
      </c>
      <c r="AJ408" s="2606" t="n">
        <f aca="false">AH408-0.0005</f>
        <v>0.39918039870669</v>
      </c>
      <c r="AK408" s="2315" t="n">
        <f aca="false">IF(AND(дома!$Z$29&gt;=AJ408,дома!$Z$29&lt;=AI408),связи1!AG408,0)</f>
        <v>0</v>
      </c>
      <c r="AL408" s="2315" t="n">
        <f aca="false">IF(AND(дома!$AA$29&gt;=AJ408,дома!$AA$29&lt;=AI408),связи1!AG408,0)</f>
        <v>0</v>
      </c>
    </row>
    <row r="409" customFormat="false" ht="14.5" hidden="false" customHeight="false" outlineLevel="0" collapsed="false">
      <c r="A409" s="2315" t="s">
        <v>2134</v>
      </c>
      <c r="B409" s="933" t="n">
        <f aca="false">'Прайс лист'!G318</f>
        <v>9000</v>
      </c>
      <c r="C409" s="2315" t="n">
        <f aca="false">1/0.15/0.05</f>
        <v>133.333333333333</v>
      </c>
      <c r="D409" s="2315" t="n">
        <f aca="false">B409/C409</f>
        <v>67.5</v>
      </c>
      <c r="E409" s="2315" t="n">
        <f aca="false">0.15*0.05</f>
        <v>0.0075</v>
      </c>
      <c r="F409" s="2315" t="n">
        <v>0.15</v>
      </c>
      <c r="G409" s="2315" t="n">
        <v>0.05</v>
      </c>
      <c r="I409" s="2613" t="str">
        <f aca="false">'Прайс лист'!B637</f>
        <v>ГПО 50-0,7</v>
      </c>
      <c r="J409" s="2614" t="n">
        <f aca="false">'Прайс лист'!G637</f>
        <v>80</v>
      </c>
      <c r="K409" s="2613"/>
      <c r="L409" s="2614" t="n">
        <f aca="false">'Прайс лист'!G637</f>
        <v>80</v>
      </c>
      <c r="M409" s="2613"/>
      <c r="N409" s="2613"/>
      <c r="O409" s="896" t="str">
        <f aca="false">'Прайс лист'!B882</f>
        <v>Саморез 5,5 х 25</v>
      </c>
      <c r="P409" s="1150" t="n">
        <f aca="false">'Прайс лист'!F882</f>
        <v>2.5</v>
      </c>
      <c r="AG409" s="2315" t="n">
        <v>23</v>
      </c>
      <c r="AH409" s="2606" t="n">
        <f aca="false">AG409*3.1415926535897/180</f>
        <v>0.401425727958684</v>
      </c>
      <c r="AI409" s="2606" t="n">
        <f aca="false">AH409+0.0005</f>
        <v>0.401925727958684</v>
      </c>
      <c r="AJ409" s="2606" t="n">
        <f aca="false">AH409-0.0005</f>
        <v>0.400925727958684</v>
      </c>
      <c r="AK409" s="2315" t="n">
        <f aca="false">IF(AND(дома!$Z$29&gt;=AJ409,дома!$Z$29&lt;=AI409),связи1!AG409,0)</f>
        <v>0</v>
      </c>
      <c r="AL409" s="2315" t="n">
        <f aca="false">IF(AND(дома!$AA$29&gt;=AJ409,дома!$AA$29&lt;=AI409),связи1!AG409,0)</f>
        <v>0</v>
      </c>
    </row>
    <row r="410" customFormat="false" ht="14.5" hidden="false" customHeight="false" outlineLevel="0" collapsed="false">
      <c r="A410" s="2315" t="s">
        <v>2312</v>
      </c>
      <c r="B410" s="933" t="n">
        <f aca="false">'Прайс лист'!G319</f>
        <v>9000</v>
      </c>
      <c r="C410" s="2315" t="n">
        <f aca="false">1/0.1/0.05</f>
        <v>200</v>
      </c>
      <c r="D410" s="2315" t="n">
        <f aca="false">B410/C410</f>
        <v>45</v>
      </c>
      <c r="E410" s="2315" t="n">
        <f aca="false">0.1*0.05</f>
        <v>0.005</v>
      </c>
      <c r="F410" s="2315" t="n">
        <v>0.1</v>
      </c>
      <c r="G410" s="2315" t="n">
        <v>0.05</v>
      </c>
      <c r="I410" s="2613" t="str">
        <f aca="false">'Прайс лист'!B638</f>
        <v>ГПО 50-1,0</v>
      </c>
      <c r="J410" s="2614" t="n">
        <f aca="false">'Прайс лист'!G638</f>
        <v>111</v>
      </c>
      <c r="K410" s="2613"/>
      <c r="L410" s="2614" t="n">
        <f aca="false">'Прайс лист'!G638</f>
        <v>111</v>
      </c>
      <c r="M410" s="2613"/>
      <c r="N410" s="2613"/>
      <c r="O410" s="896" t="str">
        <f aca="false">'Прайс лист'!B882</f>
        <v>Саморез 5,5 х 25</v>
      </c>
      <c r="P410" s="1150" t="n">
        <f aca="false">'Прайс лист'!F882</f>
        <v>2.5</v>
      </c>
      <c r="AG410" s="2315"/>
      <c r="AH410" s="2606"/>
      <c r="AI410" s="2606"/>
      <c r="AJ410" s="2606"/>
      <c r="AK410" s="2315"/>
      <c r="AL410" s="2315"/>
    </row>
    <row r="411" customFormat="false" ht="14.5" hidden="false" customHeight="false" outlineLevel="0" collapsed="false">
      <c r="A411" s="2315" t="s">
        <v>2026</v>
      </c>
      <c r="B411" s="933" t="n">
        <f aca="false">'Прайс лист'!G308</f>
        <v>12500</v>
      </c>
      <c r="C411" s="2315" t="n">
        <f aca="false">1/0.19/0.045</f>
        <v>116.959064327485</v>
      </c>
      <c r="D411" s="2315" t="n">
        <f aca="false">B411/C411</f>
        <v>106.875</v>
      </c>
      <c r="E411" s="2315" t="n">
        <f aca="false">0.19*0.045</f>
        <v>0.00855</v>
      </c>
      <c r="F411" s="2315" t="n">
        <v>0.19</v>
      </c>
      <c r="G411" s="2315" t="n">
        <v>0.045</v>
      </c>
      <c r="I411" s="2613" t="str">
        <f aca="false">'Прайс лист'!B639</f>
        <v>ГПО 50-1,2</v>
      </c>
      <c r="J411" s="2614" t="n">
        <f aca="false">'Прайс лист'!G639</f>
        <v>136</v>
      </c>
      <c r="K411" s="2613"/>
      <c r="L411" s="2614" t="n">
        <f aca="false">'Прайс лист'!G639</f>
        <v>136</v>
      </c>
      <c r="M411" s="2613"/>
      <c r="N411" s="2613"/>
      <c r="O411" s="896" t="str">
        <f aca="false">'Прайс лист'!B882</f>
        <v>Саморез 5,5 х 25</v>
      </c>
      <c r="P411" s="1150" t="n">
        <f aca="false">'Прайс лист'!F882</f>
        <v>2.5</v>
      </c>
      <c r="AG411" s="2315" t="n">
        <v>23.1</v>
      </c>
      <c r="AH411" s="2606" t="n">
        <f aca="false">AG411*3.1415926535897/180</f>
        <v>0.403171057210678</v>
      </c>
      <c r="AI411" s="2606" t="n">
        <f aca="false">AH411+0.0005</f>
        <v>0.403671057210678</v>
      </c>
      <c r="AJ411" s="2606" t="n">
        <f aca="false">AH411-0.0005</f>
        <v>0.402671057210678</v>
      </c>
      <c r="AK411" s="2315" t="n">
        <f aca="false">IF(AND(дома!$Z$29&gt;=AJ411,дома!$Z$29&lt;=AI411),связи1!AG411,0)</f>
        <v>0</v>
      </c>
      <c r="AL411" s="2315" t="n">
        <f aca="false">IF(AND(дома!$AA$29&gt;=AJ411,дома!$AA$29&lt;=AI411),связи1!AG411,0)</f>
        <v>0</v>
      </c>
    </row>
    <row r="412" customFormat="false" ht="14.5" hidden="false" customHeight="false" outlineLevel="0" collapsed="false">
      <c r="A412" s="2315" t="s">
        <v>4031</v>
      </c>
      <c r="B412" s="933" t="n">
        <f aca="false">'Прайс лист'!G309</f>
        <v>12500</v>
      </c>
      <c r="C412" s="2315" t="n">
        <f aca="false">1/0.145/0.045</f>
        <v>153.256704980843</v>
      </c>
      <c r="D412" s="2315" t="n">
        <f aca="false">B412/C412</f>
        <v>81.5625</v>
      </c>
      <c r="E412" s="2315" t="n">
        <f aca="false">0.145*0.045</f>
        <v>0.006525</v>
      </c>
      <c r="F412" s="2315" t="n">
        <v>0.145</v>
      </c>
      <c r="G412" s="2315" t="n">
        <v>0.045</v>
      </c>
      <c r="I412" s="2613" t="str">
        <f aca="false">'Прайс лист'!B640</f>
        <v>ГПО 50-1,5</v>
      </c>
      <c r="J412" s="2614" t="n">
        <f aca="false">'Прайс лист'!G640</f>
        <v>169</v>
      </c>
      <c r="K412" s="2613"/>
      <c r="L412" s="2614" t="n">
        <f aca="false">'Прайс лист'!G640</f>
        <v>169</v>
      </c>
      <c r="M412" s="2613"/>
      <c r="N412" s="2613"/>
      <c r="O412" s="896" t="str">
        <f aca="false">'Прайс лист'!B882</f>
        <v>Саморез 5,5 х 25</v>
      </c>
      <c r="P412" s="1150" t="n">
        <f aca="false">'Прайс лист'!F882</f>
        <v>2.5</v>
      </c>
      <c r="AG412" s="2315" t="n">
        <v>23.2</v>
      </c>
      <c r="AH412" s="2606" t="n">
        <f aca="false">AG412*3.1415926535897/180</f>
        <v>0.404916386462672</v>
      </c>
      <c r="AI412" s="2606" t="n">
        <f aca="false">AH412+0.0005</f>
        <v>0.405416386462673</v>
      </c>
      <c r="AJ412" s="2606" t="n">
        <f aca="false">AH412-0.0005</f>
        <v>0.404416386462672</v>
      </c>
      <c r="AK412" s="2315" t="n">
        <f aca="false">IF(AND(дома!$Z$29&gt;=AJ412,дома!$Z$29&lt;=AI412),связи1!AG412,0)</f>
        <v>0</v>
      </c>
      <c r="AL412" s="2315" t="n">
        <f aca="false">IF(AND(дома!$AA$29&gt;=AJ412,дома!$AA$29&lt;=AI412),связи1!AG412,0)</f>
        <v>0</v>
      </c>
    </row>
    <row r="413" customFormat="false" ht="14.5" hidden="false" customHeight="false" outlineLevel="0" collapsed="false">
      <c r="A413" s="2315" t="s">
        <v>2318</v>
      </c>
      <c r="B413" s="933" t="n">
        <f aca="false">'Прайс лист'!G310</f>
        <v>12500</v>
      </c>
      <c r="C413" s="2315" t="n">
        <f aca="false">1/0.1/0.045</f>
        <v>222.222222222222</v>
      </c>
      <c r="D413" s="2315" t="n">
        <f aca="false">B413/C413</f>
        <v>56.25</v>
      </c>
      <c r="E413" s="2315" t="n">
        <f aca="false">0.1*0.045</f>
        <v>0.0045</v>
      </c>
      <c r="F413" s="2315" t="n">
        <v>0.1</v>
      </c>
      <c r="G413" s="2315" t="n">
        <v>0.045</v>
      </c>
      <c r="I413" s="2613" t="str">
        <f aca="false">'Прайс лист'!B641</f>
        <v>ГПО 50-2,0</v>
      </c>
      <c r="J413" s="2614" t="n">
        <f aca="false">'Прайс лист'!G641</f>
        <v>226</v>
      </c>
      <c r="K413" s="2613"/>
      <c r="L413" s="2614" t="n">
        <f aca="false">'Прайс лист'!G641</f>
        <v>226</v>
      </c>
      <c r="M413" s="2613"/>
      <c r="N413" s="2613"/>
      <c r="O413" s="896" t="str">
        <f aca="false">'Прайс лист'!B882</f>
        <v>Саморез 5,5 х 25</v>
      </c>
      <c r="P413" s="1150" t="n">
        <f aca="false">'Прайс лист'!F882</f>
        <v>2.5</v>
      </c>
      <c r="AG413" s="2315" t="n">
        <v>23.3</v>
      </c>
      <c r="AH413" s="2606" t="n">
        <f aca="false">AG413*3.1415926535897/180</f>
        <v>0.406661715714667</v>
      </c>
      <c r="AI413" s="2606" t="n">
        <f aca="false">AH413+0.0005</f>
        <v>0.407161715714667</v>
      </c>
      <c r="AJ413" s="2606" t="n">
        <f aca="false">AH413-0.0005</f>
        <v>0.406161715714667</v>
      </c>
      <c r="AK413" s="2315" t="n">
        <f aca="false">IF(AND(дома!$Z$29&gt;=AJ413,дома!$Z$29&lt;=AI413),связи1!AG413,0)</f>
        <v>0</v>
      </c>
      <c r="AL413" s="2315" t="n">
        <f aca="false">IF(AND(дома!$AA$29&gt;=AJ413,дома!$AA$29&lt;=AI413),связи1!AG413,0)</f>
        <v>0</v>
      </c>
    </row>
    <row r="414" customFormat="false" ht="14.5" hidden="false" customHeight="false" outlineLevel="0" collapsed="false">
      <c r="A414" s="2315" t="s">
        <v>4562</v>
      </c>
      <c r="B414" s="933" t="n">
        <f aca="false">'Прайс лист'!G291</f>
        <v>6500</v>
      </c>
      <c r="C414" s="2315" t="n">
        <f aca="false">1/0.05/0.2</f>
        <v>100</v>
      </c>
      <c r="D414" s="2315" t="n">
        <f aca="false">B414/C414</f>
        <v>65</v>
      </c>
      <c r="E414" s="2315" t="n">
        <f aca="false">0.2*0.05</f>
        <v>0.01</v>
      </c>
      <c r="F414" s="2315" t="n">
        <v>0.2</v>
      </c>
      <c r="G414" s="2315" t="n">
        <v>0.05</v>
      </c>
      <c r="AG414" s="2315" t="n">
        <v>23.4</v>
      </c>
      <c r="AH414" s="2606" t="n">
        <f aca="false">AG414*3.1415926535897/180</f>
        <v>0.408407044966661</v>
      </c>
      <c r="AI414" s="2606" t="n">
        <f aca="false">AH414+0.0005</f>
        <v>0.408907044966661</v>
      </c>
      <c r="AJ414" s="2606" t="n">
        <f aca="false">AH414-0.0005</f>
        <v>0.407907044966661</v>
      </c>
      <c r="AK414" s="2315" t="n">
        <f aca="false">IF(AND(дома!$Z$29&gt;=AJ414,дома!$Z$29&lt;=AI414),связи1!AG414,0)</f>
        <v>0</v>
      </c>
      <c r="AL414" s="2315" t="n">
        <f aca="false">IF(AND(дома!$AA$29&gt;=AJ414,дома!$AA$29&lt;=AI414),связи1!AG414,0)</f>
        <v>0</v>
      </c>
    </row>
    <row r="415" customFormat="false" ht="14.5" hidden="false" customHeight="false" outlineLevel="0" collapsed="false">
      <c r="A415" s="2315" t="s">
        <v>1960</v>
      </c>
      <c r="B415" s="933" t="n">
        <f aca="false">'Прайс лист'!G293</f>
        <v>6500</v>
      </c>
      <c r="C415" s="2315" t="n">
        <f aca="false">1/0.15/0.05</f>
        <v>133.333333333333</v>
      </c>
      <c r="D415" s="2315" t="n">
        <f aca="false">B415/C415</f>
        <v>48.75</v>
      </c>
      <c r="E415" s="2315" t="n">
        <f aca="false">0.15*0.05</f>
        <v>0.0075</v>
      </c>
      <c r="F415" s="2315" t="n">
        <v>0.15</v>
      </c>
      <c r="G415" s="2315" t="n">
        <v>0.05</v>
      </c>
      <c r="AG415" s="2315" t="n">
        <v>23.5</v>
      </c>
      <c r="AH415" s="2606" t="n">
        <f aca="false">AG415*3.1415926535897/180</f>
        <v>0.410152374218655</v>
      </c>
      <c r="AI415" s="2606" t="n">
        <f aca="false">AH415+0.0005</f>
        <v>0.410652374218655</v>
      </c>
      <c r="AJ415" s="2606" t="n">
        <f aca="false">AH415-0.0005</f>
        <v>0.409652374218655</v>
      </c>
      <c r="AK415" s="2315" t="n">
        <f aca="false">IF(AND(дома!$Z$29&gt;=AJ415,дома!$Z$29&lt;=AI415),связи1!AG415,0)</f>
        <v>0</v>
      </c>
      <c r="AL415" s="2315" t="n">
        <f aca="false">IF(AND(дома!$AA$29&gt;=AJ415,дома!$AA$29&lt;=AI415),связи1!AG415,0)</f>
        <v>0</v>
      </c>
    </row>
    <row r="416" customFormat="false" ht="14.5" hidden="false" customHeight="false" outlineLevel="0" collapsed="false">
      <c r="A416" s="2315" t="s">
        <v>4563</v>
      </c>
      <c r="B416" s="933" t="n">
        <f aca="false">'Прайс лист'!G294</f>
        <v>6500</v>
      </c>
      <c r="C416" s="2315" t="n">
        <f aca="false">1/0.1/0.05</f>
        <v>200</v>
      </c>
      <c r="D416" s="2315" t="n">
        <f aca="false">B416/C416</f>
        <v>32.5</v>
      </c>
      <c r="E416" s="2315" t="n">
        <f aca="false">0.1*0.05</f>
        <v>0.005</v>
      </c>
      <c r="F416" s="2315" t="n">
        <v>0.1</v>
      </c>
      <c r="G416" s="2315" t="n">
        <v>0.05</v>
      </c>
      <c r="AG416" s="2315" t="n">
        <v>23.6</v>
      </c>
      <c r="AH416" s="2606" t="n">
        <f aca="false">AG416*3.1415926535897/180</f>
        <v>0.41189770347065</v>
      </c>
      <c r="AI416" s="2606" t="n">
        <f aca="false">AH416+0.0005</f>
        <v>0.41239770347065</v>
      </c>
      <c r="AJ416" s="2606" t="n">
        <f aca="false">AH416-0.0005</f>
        <v>0.41139770347065</v>
      </c>
      <c r="AK416" s="2315" t="n">
        <f aca="false">IF(AND(дома!$Z$29&gt;=AJ416,дома!$Z$29&lt;=AI416),связи1!AG416,0)</f>
        <v>0</v>
      </c>
      <c r="AL416" s="2315" t="n">
        <f aca="false">IF(AND(дома!$AA$29&gt;=AJ416,дома!$AA$29&lt;=AI416),связи1!AG416,0)</f>
        <v>0</v>
      </c>
    </row>
    <row r="417" customFormat="false" ht="14.5" hidden="false" customHeight="false" outlineLevel="0" collapsed="false">
      <c r="AG417" s="2315" t="n">
        <v>23.7</v>
      </c>
      <c r="AH417" s="2606" t="n">
        <f aca="false">AG417*3.1415926535897/180</f>
        <v>0.413643032722644</v>
      </c>
      <c r="AI417" s="2606" t="n">
        <f aca="false">AH417+0.0005</f>
        <v>0.414143032722644</v>
      </c>
      <c r="AJ417" s="2606" t="n">
        <f aca="false">AH417-0.0005</f>
        <v>0.413143032722644</v>
      </c>
      <c r="AK417" s="2315" t="n">
        <f aca="false">IF(AND(дома!$Z$29&gt;=AJ417,дома!$Z$29&lt;=AI417),связи1!AG417,0)</f>
        <v>0</v>
      </c>
      <c r="AL417" s="2315" t="n">
        <f aca="false">IF(AND(дома!$AA$29&gt;=AJ417,дома!$AA$29&lt;=AI417),связи1!AG417,0)</f>
        <v>0</v>
      </c>
    </row>
    <row r="418" customFormat="false" ht="14.5" hidden="false" customHeight="false" outlineLevel="0" collapsed="false">
      <c r="A418" s="2600" t="s">
        <v>493</v>
      </c>
      <c r="B418" s="2315" t="n">
        <v>0</v>
      </c>
      <c r="C418" s="2315"/>
      <c r="D418" s="2315" t="n">
        <v>0</v>
      </c>
      <c r="E418" s="2315" t="n">
        <v>0</v>
      </c>
      <c r="F418" s="2315"/>
      <c r="AG418" s="2315"/>
      <c r="AH418" s="2606"/>
      <c r="AI418" s="2606"/>
      <c r="AJ418" s="2606"/>
      <c r="AK418" s="2315"/>
      <c r="AL418" s="2315"/>
    </row>
    <row r="419" customFormat="false" ht="14.5" hidden="false" customHeight="false" outlineLevel="0" collapsed="false">
      <c r="A419" s="933" t="str">
        <f aca="false">'Прайс лист'!B303</f>
        <v>Сосна влаж, 50*50мм</v>
      </c>
      <c r="B419" s="933" t="n">
        <f aca="false">'Прайс лист'!G303</f>
        <v>6500</v>
      </c>
      <c r="C419" s="2315" t="n">
        <f aca="false">1/0.05/0.05</f>
        <v>400</v>
      </c>
      <c r="D419" s="2315" t="n">
        <f aca="false">B419/C419</f>
        <v>16.25</v>
      </c>
      <c r="E419" s="2315" t="n">
        <f aca="false">0.05*0.05</f>
        <v>0.0025</v>
      </c>
      <c r="F419" s="2315"/>
      <c r="AG419" s="2315" t="n">
        <v>23.8</v>
      </c>
      <c r="AH419" s="2606" t="n">
        <f aca="false">AG419*3.1415926535897/180</f>
        <v>0.415388361974638</v>
      </c>
      <c r="AI419" s="2606" t="n">
        <f aca="false">AH419+0.0005</f>
        <v>0.415888361974638</v>
      </c>
      <c r="AJ419" s="2606" t="n">
        <f aca="false">AH419-0.0005</f>
        <v>0.414888361974638</v>
      </c>
      <c r="AK419" s="2315" t="n">
        <f aca="false">IF(AND(дома!$Z$29&gt;=AJ419,дома!$Z$29&lt;=AI419),связи1!AG419,0)</f>
        <v>0</v>
      </c>
      <c r="AL419" s="2315" t="n">
        <f aca="false">IF(AND(дома!$AA$29&gt;=AJ419,дома!$AA$29&lt;=AI419),связи1!AG419,0)</f>
        <v>0</v>
      </c>
    </row>
    <row r="420" customFormat="false" ht="14.5" hidden="false" customHeight="false" outlineLevel="0" collapsed="false">
      <c r="A420" s="933" t="str">
        <f aca="false">'Прайс лист'!B311</f>
        <v>Доска сухая, калибр., 35*45мм</v>
      </c>
      <c r="B420" s="933" t="n">
        <f aca="false">'Прайс лист'!G311</f>
        <v>12500</v>
      </c>
      <c r="C420" s="2315" t="n">
        <f aca="false">1/0.035/0.045</f>
        <v>634.920634920635</v>
      </c>
      <c r="D420" s="2315" t="n">
        <f aca="false">B420/C420</f>
        <v>19.6875</v>
      </c>
      <c r="E420" s="2315" t="n">
        <f aca="false">0.035*0.035</f>
        <v>0.001225</v>
      </c>
      <c r="F420" s="2315"/>
      <c r="AG420" s="2315" t="n">
        <v>23.9</v>
      </c>
      <c r="AH420" s="2606" t="n">
        <f aca="false">AG420*3.1415926535897/180</f>
        <v>0.417133691226632</v>
      </c>
      <c r="AI420" s="2606" t="n">
        <f aca="false">AH420+0.0005</f>
        <v>0.417633691226632</v>
      </c>
      <c r="AJ420" s="2606" t="n">
        <f aca="false">AH420-0.0005</f>
        <v>0.416633691226632</v>
      </c>
      <c r="AK420" s="2315" t="n">
        <f aca="false">IF(AND(дома!$Z$29&gt;=AJ420,дома!$Z$29&lt;=AI420),связи1!AG420,0)</f>
        <v>0</v>
      </c>
      <c r="AL420" s="2315" t="n">
        <f aca="false">IF(AND(дома!$AA$29&gt;=AJ420,дома!$AA$29&lt;=AI420),связи1!AG420,0)</f>
        <v>0</v>
      </c>
    </row>
    <row r="421" customFormat="false" ht="14.5" hidden="false" customHeight="false" outlineLevel="0" collapsed="false">
      <c r="A421" s="933" t="str">
        <f aca="false">'Прайс лист'!B328</f>
        <v>Доска сухая 50*50мм</v>
      </c>
      <c r="B421" s="933" t="n">
        <f aca="false">'Прайс лист'!G328</f>
        <v>9000</v>
      </c>
      <c r="C421" s="2315" t="n">
        <f aca="false">C419</f>
        <v>400</v>
      </c>
      <c r="D421" s="2594" t="n">
        <f aca="false">B421/C421</f>
        <v>22.5</v>
      </c>
      <c r="E421" s="2315" t="n">
        <f aca="false">0.05*0.05</f>
        <v>0.0025</v>
      </c>
      <c r="F421" s="2315"/>
      <c r="AG421" s="2315" t="n">
        <v>24</v>
      </c>
      <c r="AH421" s="2606" t="n">
        <f aca="false">AG421*3.1415926535897/180</f>
        <v>0.418879020478627</v>
      </c>
      <c r="AI421" s="2606" t="n">
        <f aca="false">AH421+0.0005</f>
        <v>0.419379020478627</v>
      </c>
      <c r="AJ421" s="2606" t="n">
        <f aca="false">AH421-0.0005</f>
        <v>0.418379020478627</v>
      </c>
      <c r="AK421" s="2315" t="n">
        <f aca="false">IF(AND(дома!$Z$29&gt;=AJ421,дома!$Z$29&lt;=AI421),связи1!AG421,0)</f>
        <v>0</v>
      </c>
      <c r="AL421" s="2315" t="n">
        <f aca="false">IF(AND(дома!$AA$29&gt;=AJ421,дома!$AA$29&lt;=AI421),связи1!AG421,0)</f>
        <v>0</v>
      </c>
    </row>
    <row r="422" customFormat="false" ht="14.5" hidden="false" customHeight="false" outlineLevel="0" collapsed="false">
      <c r="AG422" s="2315" t="n">
        <v>24.1</v>
      </c>
      <c r="AH422" s="2606" t="n">
        <f aca="false">AG422*3.1415926535897/180</f>
        <v>0.420624349730621</v>
      </c>
      <c r="AI422" s="2606" t="n">
        <f aca="false">AH422+0.0005</f>
        <v>0.421124349730621</v>
      </c>
      <c r="AJ422" s="2606" t="n">
        <f aca="false">AH422-0.0005</f>
        <v>0.420124349730621</v>
      </c>
      <c r="AK422" s="2315" t="n">
        <f aca="false">IF(AND(дома!$Z$29&gt;=AJ422,дома!$Z$29&lt;=AI422),связи1!AG422,0)</f>
        <v>0</v>
      </c>
      <c r="AL422" s="2315" t="n">
        <f aca="false">IF(AND(дома!$AA$29&gt;=AJ422,дома!$AA$29&lt;=AI422),связи1!AG422,0)</f>
        <v>0</v>
      </c>
    </row>
    <row r="423" customFormat="false" ht="15.5" hidden="false" customHeight="false" outlineLevel="0" collapsed="false">
      <c r="A423" s="192" t="s">
        <v>2181</v>
      </c>
      <c r="B423" s="2671" t="s">
        <v>135</v>
      </c>
      <c r="C423" s="7" t="n">
        <v>0</v>
      </c>
      <c r="D423" s="194"/>
      <c r="E423" s="194"/>
      <c r="F423" s="119" t="n">
        <v>0</v>
      </c>
      <c r="AG423" s="2315" t="n">
        <v>24.2</v>
      </c>
      <c r="AH423" s="2606" t="n">
        <f aca="false">AG423*3.1415926535897/180</f>
        <v>0.422369678982615</v>
      </c>
      <c r="AI423" s="2606" t="n">
        <f aca="false">AH423+0.0005</f>
        <v>0.422869678982615</v>
      </c>
      <c r="AJ423" s="2606" t="n">
        <f aca="false">AH423-0.0005</f>
        <v>0.421869678982615</v>
      </c>
      <c r="AK423" s="2315" t="n">
        <f aca="false">IF(AND(дома!$Z$29&gt;=AJ423,дома!$Z$29&lt;=AI423),связи1!AG423,0)</f>
        <v>0</v>
      </c>
      <c r="AL423" s="2315" t="n">
        <f aca="false">IF(AND(дома!$AA$29&gt;=AJ423,дома!$AA$29&lt;=AI423),связи1!AG423,0)</f>
        <v>0</v>
      </c>
    </row>
    <row r="424" customFormat="false" ht="17.5" hidden="false" customHeight="false" outlineLevel="0" collapsed="false">
      <c r="A424" s="192" t="s">
        <v>4564</v>
      </c>
      <c r="B424" s="2671" t="s">
        <v>135</v>
      </c>
      <c r="C424" s="7" t="n">
        <v>0.05</v>
      </c>
      <c r="D424" s="7"/>
      <c r="E424" s="194" t="s">
        <v>705</v>
      </c>
      <c r="F424" s="7" t="n">
        <f aca="false">'Прайс лист'!G745</f>
        <v>1700</v>
      </c>
      <c r="AG424" s="2315" t="n">
        <v>24.3</v>
      </c>
      <c r="AH424" s="2606" t="n">
        <f aca="false">AG424*3.1415926535897/180</f>
        <v>0.424115008234609</v>
      </c>
      <c r="AI424" s="2606" t="n">
        <f aca="false">AH424+0.0005</f>
        <v>0.424615008234609</v>
      </c>
      <c r="AJ424" s="2606" t="n">
        <f aca="false">AH424-0.0005</f>
        <v>0.42361500823461</v>
      </c>
      <c r="AK424" s="2315" t="n">
        <f aca="false">IF(AND(дома!$Z$29&gt;=AJ424,дома!$Z$29&lt;=AI424),связи1!AG424,0)</f>
        <v>0</v>
      </c>
      <c r="AL424" s="2315" t="n">
        <f aca="false">IF(AND(дома!$AA$29&gt;=AJ424,дома!$AA$29&lt;=AI424),связи1!AG424,0)</f>
        <v>0</v>
      </c>
    </row>
    <row r="425" customFormat="false" ht="17.5" hidden="false" customHeight="false" outlineLevel="0" collapsed="false">
      <c r="A425" s="192" t="s">
        <v>4565</v>
      </c>
      <c r="B425" s="2671" t="s">
        <v>135</v>
      </c>
      <c r="C425" s="7" t="n">
        <v>0.05</v>
      </c>
      <c r="D425" s="7"/>
      <c r="E425" s="194" t="s">
        <v>712</v>
      </c>
      <c r="F425" s="7" t="n">
        <f aca="false">'Прайс лист'!G751</f>
        <v>2500</v>
      </c>
      <c r="AG425" s="2315" t="n">
        <v>24.9</v>
      </c>
      <c r="AH425" s="2606" t="n">
        <f aca="false">AG425*3.1415926535897/180</f>
        <v>0.434586983746575</v>
      </c>
      <c r="AI425" s="2606" t="n">
        <f aca="false">AH425+0.0005</f>
        <v>0.435086983746575</v>
      </c>
      <c r="AJ425" s="2606" t="n">
        <f aca="false">AH425-0.0005</f>
        <v>0.434086983746575</v>
      </c>
      <c r="AK425" s="2315" t="n">
        <f aca="false">IF(AND(дома!$Z$29&gt;=AJ425,дома!$Z$29&lt;=AI425),связи1!AG425,0)</f>
        <v>0</v>
      </c>
      <c r="AL425" s="2315" t="n">
        <f aca="false">IF(AND(дома!$AA$29&gt;=AJ425,дома!$AA$29&lt;=AI425),связи1!AG425,0)</f>
        <v>0</v>
      </c>
    </row>
    <row r="426" customFormat="false" ht="17.5" hidden="false" customHeight="false" outlineLevel="0" collapsed="false">
      <c r="A426" s="195" t="s">
        <v>4566</v>
      </c>
      <c r="B426" s="2671" t="s">
        <v>135</v>
      </c>
      <c r="C426" s="7" t="n">
        <v>0.05</v>
      </c>
      <c r="D426" s="194"/>
      <c r="E426" s="194" t="s">
        <v>719</v>
      </c>
      <c r="F426" s="119" t="n">
        <f aca="false">'Прайс лист'!G757</f>
        <v>1400</v>
      </c>
      <c r="AG426" s="2315" t="n">
        <v>25.5</v>
      </c>
      <c r="AH426" s="2606" t="n">
        <f aca="false">AG426*3.1415926535897/180</f>
        <v>0.445058959258541</v>
      </c>
      <c r="AI426" s="2606" t="n">
        <f aca="false">AH426+0.0005</f>
        <v>0.445558959258541</v>
      </c>
      <c r="AJ426" s="2606" t="n">
        <f aca="false">AH426-0.0005</f>
        <v>0.444558959258541</v>
      </c>
      <c r="AK426" s="2315" t="n">
        <f aca="false">IF(AND(дома!$Z$29&gt;=AJ426,дома!$Z$29&lt;=AI426),связи1!AG426,0)</f>
        <v>0</v>
      </c>
      <c r="AL426" s="2315" t="n">
        <f aca="false">IF(AND(дома!$AA$29&gt;=AJ426,дома!$AA$29&lt;=AI426),связи1!AG426,0)</f>
        <v>0</v>
      </c>
    </row>
    <row r="427" customFormat="false" ht="17.5" hidden="false" customHeight="false" outlineLevel="0" collapsed="false">
      <c r="A427" s="195" t="s">
        <v>4567</v>
      </c>
      <c r="B427" s="2671" t="s">
        <v>135</v>
      </c>
      <c r="C427" s="7" t="n">
        <v>0.05</v>
      </c>
      <c r="D427" s="194"/>
      <c r="E427" s="194" t="s">
        <v>705</v>
      </c>
      <c r="F427" s="119" t="n">
        <f aca="false">'Прайс лист'!G764</f>
        <v>2200</v>
      </c>
      <c r="AG427" s="2315" t="n">
        <v>26.1</v>
      </c>
      <c r="AH427" s="2606" t="n">
        <f aca="false">AG427*3.1415926535897/180</f>
        <v>0.455530934770507</v>
      </c>
      <c r="AI427" s="2606" t="n">
        <f aca="false">AH427+0.0005</f>
        <v>0.456030934770507</v>
      </c>
      <c r="AJ427" s="2606" t="n">
        <f aca="false">AH427-0.0005</f>
        <v>0.455030934770506</v>
      </c>
      <c r="AK427" s="2315" t="n">
        <f aca="false">IF(AND(дома!$Z$29&gt;=AJ427,дома!$Z$29&lt;=AI427),связи1!AG427,0)</f>
        <v>0</v>
      </c>
      <c r="AL427" s="2315" t="n">
        <f aca="false">IF(AND(дома!$AA$29&gt;=AJ427,дома!$AA$29&lt;=AI427),связи1!AG427,0)</f>
        <v>0</v>
      </c>
    </row>
    <row r="428" customFormat="false" ht="17.5" hidden="false" customHeight="false" outlineLevel="0" collapsed="false">
      <c r="A428" s="195" t="s">
        <v>4568</v>
      </c>
      <c r="B428" s="2671" t="s">
        <v>135</v>
      </c>
      <c r="C428" s="7" t="n">
        <v>0.05</v>
      </c>
      <c r="D428" s="194"/>
      <c r="E428" s="194" t="s">
        <v>712</v>
      </c>
      <c r="F428" s="119" t="n">
        <f aca="false">'Прайс лист'!G771</f>
        <v>3400</v>
      </c>
      <c r="AG428" s="2315" t="n">
        <v>26.7</v>
      </c>
      <c r="AH428" s="2606" t="n">
        <f aca="false">AG428*3.1415926535897/180</f>
        <v>0.466002910282472</v>
      </c>
      <c r="AI428" s="2606" t="n">
        <f aca="false">AH428+0.0005</f>
        <v>0.466502910282472</v>
      </c>
      <c r="AJ428" s="2606" t="n">
        <f aca="false">AH428-0.0005</f>
        <v>0.465502910282472</v>
      </c>
      <c r="AK428" s="2315" t="n">
        <f aca="false">IF(AND(дома!$Z$29&gt;=AJ428,дома!$Z$29&lt;=AI428),связи1!AG428,0)</f>
        <v>0</v>
      </c>
      <c r="AL428" s="2315" t="n">
        <f aca="false">IF(AND(дома!$AA$29&gt;=AJ428,дома!$AA$29&lt;=AI428),связи1!AG428,0)</f>
        <v>0</v>
      </c>
    </row>
    <row r="429" customFormat="false" ht="17.5" hidden="false" customHeight="false" outlineLevel="0" collapsed="false">
      <c r="A429" s="192" t="s">
        <v>4569</v>
      </c>
      <c r="B429" s="2671" t="s">
        <v>135</v>
      </c>
      <c r="C429" s="7" t="n">
        <v>0.2</v>
      </c>
      <c r="D429" s="7"/>
      <c r="E429" s="194" t="s">
        <v>712</v>
      </c>
      <c r="F429" s="7" t="n">
        <f aca="false">'Прайс лист'!G776</f>
        <v>5000</v>
      </c>
      <c r="AG429" s="2315" t="n">
        <v>27.6</v>
      </c>
      <c r="AH429" s="2606" t="n">
        <f aca="false">AG429*3.1415926535897/180</f>
        <v>0.481710873550421</v>
      </c>
      <c r="AI429" s="2606" t="n">
        <f aca="false">AH429+0.0005</f>
        <v>0.482210873550421</v>
      </c>
      <c r="AJ429" s="2606" t="n">
        <f aca="false">AH429-0.0005</f>
        <v>0.481210873550421</v>
      </c>
      <c r="AK429" s="2315" t="n">
        <f aca="false">IF(AND(дома!$Z$29&gt;=AJ429,дома!$Z$29&lt;=AI429),связи1!AG429,0)</f>
        <v>0</v>
      </c>
      <c r="AL429" s="2315" t="n">
        <f aca="false">IF(AND(дома!$AA$29&gt;=AJ429,дома!$AA$29&lt;=AI429),связи1!AG429,0)</f>
        <v>0</v>
      </c>
    </row>
    <row r="430" customFormat="false" ht="17.5" hidden="false" customHeight="false" outlineLevel="0" collapsed="false">
      <c r="A430" s="192" t="s">
        <v>4570</v>
      </c>
      <c r="B430" s="2671" t="s">
        <v>135</v>
      </c>
      <c r="C430" s="7" t="n">
        <v>0.05</v>
      </c>
      <c r="D430" s="7"/>
      <c r="E430" s="194" t="s">
        <v>705</v>
      </c>
      <c r="F430" s="7" t="n">
        <f aca="false">'Прайс лист'!G781</f>
        <v>5000</v>
      </c>
      <c r="AG430" s="2315" t="n">
        <v>27.7</v>
      </c>
      <c r="AH430" s="2606" t="n">
        <f aca="false">AG430*3.1415926535897/180</f>
        <v>0.483456202802415</v>
      </c>
      <c r="AI430" s="2606" t="n">
        <f aca="false">AH430+0.0005</f>
        <v>0.483956202802415</v>
      </c>
      <c r="AJ430" s="2606" t="n">
        <f aca="false">AH430-0.0005</f>
        <v>0.482956202802415</v>
      </c>
      <c r="AK430" s="2315" t="n">
        <f aca="false">IF(AND(дома!$Z$29&gt;=AJ430,дома!$Z$29&lt;=AI430),связи1!AG430,0)</f>
        <v>0</v>
      </c>
      <c r="AL430" s="2315" t="n">
        <f aca="false">IF(AND(дома!$AA$29&gt;=AJ430,дома!$AA$29&lt;=AI430),связи1!AG430,0)</f>
        <v>0</v>
      </c>
    </row>
    <row r="431" customFormat="false" ht="14.5" hidden="false" customHeight="false" outlineLevel="0" collapsed="false">
      <c r="AG431" s="2315" t="n">
        <v>28.1</v>
      </c>
      <c r="AH431" s="2606" t="n">
        <f aca="false">AG431*3.1415926535897/180</f>
        <v>0.490437519810392</v>
      </c>
      <c r="AI431" s="2606" t="n">
        <f aca="false">AH431+0.0005</f>
        <v>0.490937519810392</v>
      </c>
      <c r="AJ431" s="2606" t="n">
        <f aca="false">AH431-0.0005</f>
        <v>0.489937519810392</v>
      </c>
      <c r="AK431" s="2315" t="n">
        <f aca="false">IF(AND(дома!$Z$29&gt;=AJ431,дома!$Z$29&lt;=AI431),связи1!AG431,0)</f>
        <v>0</v>
      </c>
      <c r="AL431" s="2315" t="n">
        <f aca="false">IF(AND(дома!$AA$29&gt;=AJ431,дома!$AA$29&lt;=AI431),связи1!AG431,0)</f>
        <v>0</v>
      </c>
    </row>
    <row r="432" customFormat="false" ht="14.5" hidden="false" customHeight="false" outlineLevel="0" collapsed="false">
      <c r="A432" s="896" t="s">
        <v>493</v>
      </c>
      <c r="F432" s="896" t="n">
        <v>0</v>
      </c>
      <c r="I432" s="2672" t="str">
        <f aca="false">A432</f>
        <v>нет</v>
      </c>
      <c r="J432" s="2672"/>
      <c r="K432" s="2672"/>
      <c r="L432" s="2672"/>
      <c r="M432" s="2672"/>
      <c r="N432" s="2672"/>
      <c r="O432" s="2672"/>
      <c r="AG432" s="2315" t="n">
        <v>28.2</v>
      </c>
      <c r="AH432" s="2606" t="n">
        <f aca="false">AG432*3.1415926535897/180</f>
        <v>0.492182849062386</v>
      </c>
      <c r="AI432" s="2606" t="n">
        <f aca="false">AH432+0.0005</f>
        <v>0.492682849062386</v>
      </c>
      <c r="AJ432" s="2606" t="n">
        <f aca="false">AH432-0.0005</f>
        <v>0.491682849062386</v>
      </c>
      <c r="AK432" s="2315" t="n">
        <f aca="false">IF(AND(дома!$Z$29&gt;=AJ432,дома!$Z$29&lt;=AI432),связи1!AG432,0)</f>
        <v>0</v>
      </c>
      <c r="AL432" s="2315" t="n">
        <f aca="false">IF(AND(дома!$AA$29&gt;=AJ432,дома!$AA$29&lt;=AI432),связи1!AG432,0)</f>
        <v>0</v>
      </c>
    </row>
    <row r="433" customFormat="false" ht="15.5" hidden="false" customHeight="false" outlineLevel="0" collapsed="false">
      <c r="A433" s="87" t="str">
        <f aca="false">'Прайс лист'!B299</f>
        <v>Сосна влаж,200*25мм</v>
      </c>
      <c r="B433" s="87" t="str">
        <f aca="false">'Прайс лист'!C299</f>
        <v>м3</v>
      </c>
      <c r="C433" s="87" t="n">
        <v>0.2</v>
      </c>
      <c r="D433" s="2673" t="n">
        <f aca="false">'Прайс лист'!E299</f>
        <v>0.025</v>
      </c>
      <c r="E433" s="2673" t="n">
        <f aca="false">C433*D433</f>
        <v>0.005</v>
      </c>
      <c r="F433" s="87" t="n">
        <f aca="false">'Прайс лист'!G299</f>
        <v>6500</v>
      </c>
      <c r="I433" s="2674" t="str">
        <f aca="false">A433</f>
        <v>Сосна влаж,200*25мм</v>
      </c>
      <c r="J433" s="2674" t="str">
        <f aca="false">B433</f>
        <v>м3</v>
      </c>
      <c r="K433" s="2674" t="n">
        <f aca="false">C433</f>
        <v>0.2</v>
      </c>
      <c r="L433" s="2675" t="n">
        <f aca="false">D433</f>
        <v>0.025</v>
      </c>
      <c r="M433" s="2675" t="n">
        <f aca="false">E433</f>
        <v>0.005</v>
      </c>
      <c r="N433" s="2674" t="n">
        <f aca="false">F433</f>
        <v>6500</v>
      </c>
      <c r="O433" s="2672" t="str">
        <f aca="false">'Прайс лист'!B897</f>
        <v>Гвозди ершоные 3,4 x 60</v>
      </c>
      <c r="AG433" s="2315" t="n">
        <v>28.3</v>
      </c>
      <c r="AH433" s="2606" t="n">
        <f aca="false">AG433*3.1415926535897/180</f>
        <v>0.493928178314381</v>
      </c>
      <c r="AI433" s="2606" t="n">
        <f aca="false">AH433+0.0005</f>
        <v>0.494428178314381</v>
      </c>
      <c r="AJ433" s="2606" t="n">
        <f aca="false">AH433-0.0005</f>
        <v>0.493428178314381</v>
      </c>
      <c r="AK433" s="2315" t="n">
        <f aca="false">IF(AND(дома!$Z$29&gt;=AJ433,дома!$Z$29&lt;=AI433),связи1!AG433,0)</f>
        <v>0</v>
      </c>
      <c r="AL433" s="2315" t="n">
        <f aca="false">IF(AND(дома!$AA$29&gt;=AJ433,дома!$AA$29&lt;=AI433),связи1!AG433,0)</f>
        <v>0</v>
      </c>
    </row>
    <row r="434" customFormat="false" ht="15.5" hidden="false" customHeight="false" outlineLevel="0" collapsed="false">
      <c r="A434" s="87" t="str">
        <f aca="false">'Прайс лист'!B300</f>
        <v>Сосна влаж,180*25мм</v>
      </c>
      <c r="B434" s="87" t="str">
        <f aca="false">'Прайс лист'!C300</f>
        <v>м3</v>
      </c>
      <c r="C434" s="87" t="n">
        <v>0.18</v>
      </c>
      <c r="D434" s="2673" t="n">
        <f aca="false">'Прайс лист'!E300</f>
        <v>0.025</v>
      </c>
      <c r="E434" s="2673" t="n">
        <f aca="false">C434*D434</f>
        <v>0.0045</v>
      </c>
      <c r="F434" s="87" t="n">
        <f aca="false">'Прайс лист'!G300</f>
        <v>6500</v>
      </c>
      <c r="I434" s="2674" t="str">
        <f aca="false">A434</f>
        <v>Сосна влаж,180*25мм</v>
      </c>
      <c r="J434" s="2674" t="str">
        <f aca="false">B434</f>
        <v>м3</v>
      </c>
      <c r="K434" s="2674" t="n">
        <f aca="false">C434</f>
        <v>0.18</v>
      </c>
      <c r="L434" s="2675" t="n">
        <f aca="false">D434</f>
        <v>0.025</v>
      </c>
      <c r="M434" s="2675" t="n">
        <f aca="false">E434</f>
        <v>0.0045</v>
      </c>
      <c r="N434" s="2674" t="n">
        <f aca="false">F434</f>
        <v>6500</v>
      </c>
      <c r="O434" s="2672" t="str">
        <f aca="false">'Прайс лист'!B897</f>
        <v>Гвозди ершоные 3,4 x 60</v>
      </c>
      <c r="AG434" s="2315" t="n">
        <v>28.4</v>
      </c>
      <c r="AH434" s="2606" t="n">
        <f aca="false">AG434*3.1415926535897/180</f>
        <v>0.495673507566375</v>
      </c>
      <c r="AI434" s="2606" t="n">
        <f aca="false">AH434+0.0005</f>
        <v>0.496173507566375</v>
      </c>
      <c r="AJ434" s="2606" t="n">
        <f aca="false">AH434-0.0005</f>
        <v>0.495173507566375</v>
      </c>
      <c r="AK434" s="2315" t="n">
        <f aca="false">IF(AND(дома!$Z$29&gt;=AJ434,дома!$Z$29&lt;=AI434),связи1!AG434,0)</f>
        <v>0</v>
      </c>
      <c r="AL434" s="2315" t="n">
        <f aca="false">IF(AND(дома!$AA$29&gt;=AJ434,дома!$AA$29&lt;=AI434),связи1!AG434,0)</f>
        <v>0</v>
      </c>
    </row>
    <row r="435" customFormat="false" ht="15.5" hidden="false" customHeight="false" outlineLevel="0" collapsed="false">
      <c r="A435" s="87" t="str">
        <f aca="false">'Прайс лист'!B301</f>
        <v>Сосна влаж, 150*25мм</v>
      </c>
      <c r="B435" s="87" t="str">
        <f aca="false">'Прайс лист'!C301</f>
        <v>м3</v>
      </c>
      <c r="C435" s="87" t="n">
        <v>0.15</v>
      </c>
      <c r="D435" s="2673" t="n">
        <f aca="false">'Прайс лист'!E301</f>
        <v>0.025</v>
      </c>
      <c r="E435" s="2673" t="n">
        <f aca="false">C435*D435</f>
        <v>0.00375</v>
      </c>
      <c r="F435" s="87" t="n">
        <f aca="false">'Прайс лист'!G301</f>
        <v>6500</v>
      </c>
      <c r="I435" s="2674" t="str">
        <f aca="false">A435</f>
        <v>Сосна влаж, 150*25мм</v>
      </c>
      <c r="J435" s="2674" t="str">
        <f aca="false">B435</f>
        <v>м3</v>
      </c>
      <c r="K435" s="2674" t="n">
        <f aca="false">C435</f>
        <v>0.15</v>
      </c>
      <c r="L435" s="2675" t="n">
        <f aca="false">D435</f>
        <v>0.025</v>
      </c>
      <c r="M435" s="2675" t="n">
        <f aca="false">E435</f>
        <v>0.00375</v>
      </c>
      <c r="N435" s="2674" t="n">
        <f aca="false">F435</f>
        <v>6500</v>
      </c>
      <c r="O435" s="2672" t="str">
        <f aca="false">'Прайс лист'!B897</f>
        <v>Гвозди ершоные 3,4 x 60</v>
      </c>
      <c r="AG435" s="2315" t="n">
        <v>28.5</v>
      </c>
      <c r="AH435" s="2606" t="n">
        <f aca="false">AG435*3.1415926535897/180</f>
        <v>0.497418836818369</v>
      </c>
      <c r="AI435" s="2606" t="n">
        <f aca="false">AH435+0.0005</f>
        <v>0.497918836818369</v>
      </c>
      <c r="AJ435" s="2606" t="n">
        <f aca="false">AH435-0.0005</f>
        <v>0.496918836818369</v>
      </c>
      <c r="AK435" s="2315" t="n">
        <f aca="false">IF(AND(дома!$Z$29&gt;=AJ435,дома!$Z$29&lt;=AI435),связи1!AG435,0)</f>
        <v>0</v>
      </c>
      <c r="AL435" s="2315" t="n">
        <f aca="false">IF(AND(дома!$AA$29&gt;=AJ435,дома!$AA$29&lt;=AI435),связи1!AG435,0)</f>
        <v>0</v>
      </c>
    </row>
    <row r="436" customFormat="false" ht="15.5" hidden="false" customHeight="false" outlineLevel="0" collapsed="false">
      <c r="A436" s="87" t="str">
        <f aca="false">'Прайс лист'!B302</f>
        <v>Сосна влаж,100*25мм</v>
      </c>
      <c r="B436" s="87" t="str">
        <f aca="false">'Прайс лист'!C302</f>
        <v>м3</v>
      </c>
      <c r="C436" s="87" t="n">
        <v>0.1</v>
      </c>
      <c r="D436" s="2673" t="n">
        <f aca="false">'Прайс лист'!E302</f>
        <v>0.025</v>
      </c>
      <c r="E436" s="2673" t="n">
        <f aca="false">C436*D436</f>
        <v>0.0025</v>
      </c>
      <c r="F436" s="87" t="n">
        <f aca="false">'Прайс лист'!G302</f>
        <v>6500</v>
      </c>
      <c r="I436" s="2674" t="str">
        <f aca="false">A436</f>
        <v>Сосна влаж,100*25мм</v>
      </c>
      <c r="J436" s="2674" t="str">
        <f aca="false">B436</f>
        <v>м3</v>
      </c>
      <c r="K436" s="2674" t="n">
        <f aca="false">C436</f>
        <v>0.1</v>
      </c>
      <c r="L436" s="2675" t="n">
        <f aca="false">D436</f>
        <v>0.025</v>
      </c>
      <c r="M436" s="2675" t="n">
        <f aca="false">E436</f>
        <v>0.0025</v>
      </c>
      <c r="N436" s="2674" t="n">
        <f aca="false">F436</f>
        <v>6500</v>
      </c>
      <c r="O436" s="2672" t="str">
        <f aca="false">'Прайс лист'!B897</f>
        <v>Гвозди ершоные 3,4 x 60</v>
      </c>
      <c r="AG436" s="2315" t="n">
        <v>28.6</v>
      </c>
      <c r="AH436" s="2606" t="n">
        <f aca="false">AG436*3.1415926535897/180</f>
        <v>0.499164166070363</v>
      </c>
      <c r="AI436" s="2606" t="n">
        <f aca="false">AH436+0.0005</f>
        <v>0.499664166070363</v>
      </c>
      <c r="AJ436" s="2606" t="n">
        <f aca="false">AH436-0.0005</f>
        <v>0.498664166070363</v>
      </c>
      <c r="AK436" s="2315" t="n">
        <f aca="false">IF(AND(дома!$Z$29&gt;=AJ436,дома!$Z$29&lt;=AI436),связи1!AG436,0)</f>
        <v>0</v>
      </c>
      <c r="AL436" s="2315" t="n">
        <f aca="false">IF(AND(дома!$AA$29&gt;=AJ436,дома!$AA$29&lt;=AI436),связи1!AG436,0)</f>
        <v>0</v>
      </c>
    </row>
    <row r="437" customFormat="false" ht="15.5" hidden="false" customHeight="false" outlineLevel="0" collapsed="false">
      <c r="A437" s="87" t="str">
        <f aca="false">'Прайс лист'!B324</f>
        <v>Доска сухая 200*25мм</v>
      </c>
      <c r="B437" s="87" t="str">
        <f aca="false">'Прайс лист'!C324</f>
        <v>м3</v>
      </c>
      <c r="C437" s="87" t="n">
        <v>0.2</v>
      </c>
      <c r="D437" s="2673" t="n">
        <v>0.025</v>
      </c>
      <c r="E437" s="2673" t="n">
        <f aca="false">C437*D437</f>
        <v>0.005</v>
      </c>
      <c r="F437" s="87" t="n">
        <f aca="false">'Прайс лист'!G324</f>
        <v>9000</v>
      </c>
      <c r="I437" s="2674" t="str">
        <f aca="false">A437</f>
        <v>Доска сухая 200*25мм</v>
      </c>
      <c r="J437" s="2674" t="str">
        <f aca="false">B437</f>
        <v>м3</v>
      </c>
      <c r="K437" s="2674" t="n">
        <f aca="false">C437</f>
        <v>0.2</v>
      </c>
      <c r="L437" s="2675" t="n">
        <f aca="false">D437</f>
        <v>0.025</v>
      </c>
      <c r="M437" s="2675" t="n">
        <f aca="false">E437</f>
        <v>0.005</v>
      </c>
      <c r="N437" s="2674" t="n">
        <f aca="false">F437</f>
        <v>9000</v>
      </c>
      <c r="O437" s="2672" t="str">
        <f aca="false">'Прайс лист'!B897</f>
        <v>Гвозди ершоные 3,4 x 60</v>
      </c>
      <c r="AG437" s="2315" t="n">
        <v>28.7</v>
      </c>
      <c r="AH437" s="2606" t="n">
        <f aca="false">AG437*3.1415926535897/180</f>
        <v>0.500909495322358</v>
      </c>
      <c r="AI437" s="2606" t="n">
        <f aca="false">AH437+0.0005</f>
        <v>0.501409495322358</v>
      </c>
      <c r="AJ437" s="2606" t="n">
        <f aca="false">AH437-0.0005</f>
        <v>0.500409495322358</v>
      </c>
      <c r="AK437" s="2315" t="n">
        <f aca="false">IF(AND(дома!$Z$29&gt;=AJ437,дома!$Z$29&lt;=AI437),связи1!AG437,0)</f>
        <v>0</v>
      </c>
      <c r="AL437" s="2315" t="n">
        <f aca="false">IF(AND(дома!$AA$29&gt;=AJ437,дома!$AA$29&lt;=AI437),связи1!AG437,0)</f>
        <v>0</v>
      </c>
    </row>
    <row r="438" customFormat="false" ht="15.5" hidden="false" customHeight="false" outlineLevel="0" collapsed="false">
      <c r="A438" s="87" t="str">
        <f aca="false">'Прайс лист'!B325</f>
        <v>Доска сухая 180*25мм</v>
      </c>
      <c r="B438" s="87" t="str">
        <f aca="false">'Прайс лист'!C325</f>
        <v>м3</v>
      </c>
      <c r="C438" s="87" t="n">
        <v>0.18</v>
      </c>
      <c r="D438" s="2673" t="n">
        <v>0.025</v>
      </c>
      <c r="E438" s="2673" t="n">
        <f aca="false">C438*D438</f>
        <v>0.0045</v>
      </c>
      <c r="F438" s="87" t="n">
        <f aca="false">'Прайс лист'!G325</f>
        <v>9000</v>
      </c>
      <c r="I438" s="2674" t="str">
        <f aca="false">A438</f>
        <v>Доска сухая 180*25мм</v>
      </c>
      <c r="J438" s="2674" t="str">
        <f aca="false">B438</f>
        <v>м3</v>
      </c>
      <c r="K438" s="2674" t="n">
        <f aca="false">C438</f>
        <v>0.18</v>
      </c>
      <c r="L438" s="2675" t="n">
        <f aca="false">D438</f>
        <v>0.025</v>
      </c>
      <c r="M438" s="2675" t="n">
        <f aca="false">E438</f>
        <v>0.0045</v>
      </c>
      <c r="N438" s="2674" t="n">
        <f aca="false">F438</f>
        <v>9000</v>
      </c>
      <c r="O438" s="2672" t="str">
        <f aca="false">'Прайс лист'!B897</f>
        <v>Гвозди ершоные 3,4 x 60</v>
      </c>
      <c r="AG438" s="2315" t="n">
        <v>28.8</v>
      </c>
      <c r="AH438" s="2606" t="n">
        <f aca="false">AG438*3.1415926535897/180</f>
        <v>0.502654824574352</v>
      </c>
      <c r="AI438" s="2606" t="n">
        <f aca="false">AH438+0.0005</f>
        <v>0.503154824574352</v>
      </c>
      <c r="AJ438" s="2606" t="n">
        <f aca="false">AH438-0.0005</f>
        <v>0.502154824574352</v>
      </c>
      <c r="AK438" s="2315" t="n">
        <f aca="false">IF(AND(дома!$Z$29&gt;=AJ438,дома!$Z$29&lt;=AI438),связи1!AG438,0)</f>
        <v>0</v>
      </c>
      <c r="AL438" s="2315" t="n">
        <f aca="false">IF(AND(дома!$AA$29&gt;=AJ438,дома!$AA$29&lt;=AI438),связи1!AG438,0)</f>
        <v>0</v>
      </c>
    </row>
    <row r="439" customFormat="false" ht="15.5" hidden="false" customHeight="false" outlineLevel="0" collapsed="false">
      <c r="A439" s="87" t="str">
        <f aca="false">'Прайс лист'!B326</f>
        <v>Доска сухая 150*25мм</v>
      </c>
      <c r="B439" s="87" t="str">
        <f aca="false">'Прайс лист'!C326</f>
        <v>м3</v>
      </c>
      <c r="C439" s="87" t="n">
        <v>0.15</v>
      </c>
      <c r="D439" s="2673" t="n">
        <v>0.025</v>
      </c>
      <c r="E439" s="2673" t="n">
        <f aca="false">C439*D439</f>
        <v>0.00375</v>
      </c>
      <c r="F439" s="87" t="n">
        <f aca="false">'Прайс лист'!G326</f>
        <v>9000</v>
      </c>
      <c r="I439" s="2674" t="str">
        <f aca="false">A439</f>
        <v>Доска сухая 150*25мм</v>
      </c>
      <c r="J439" s="2674" t="str">
        <f aca="false">B439</f>
        <v>м3</v>
      </c>
      <c r="K439" s="2674" t="n">
        <f aca="false">C439</f>
        <v>0.15</v>
      </c>
      <c r="L439" s="2675" t="n">
        <f aca="false">D439</f>
        <v>0.025</v>
      </c>
      <c r="M439" s="2675" t="n">
        <f aca="false">E439</f>
        <v>0.00375</v>
      </c>
      <c r="N439" s="2674" t="n">
        <f aca="false">F439</f>
        <v>9000</v>
      </c>
      <c r="O439" s="2672" t="str">
        <f aca="false">'Прайс лист'!B897</f>
        <v>Гвозди ершоные 3,4 x 60</v>
      </c>
      <c r="AG439" s="2315" t="n">
        <v>28.9</v>
      </c>
      <c r="AH439" s="2606" t="n">
        <f aca="false">AG439*3.1415926535897/180</f>
        <v>0.504400153826346</v>
      </c>
      <c r="AI439" s="2606" t="n">
        <f aca="false">AH439+0.0005</f>
        <v>0.504900153826346</v>
      </c>
      <c r="AJ439" s="2606" t="n">
        <f aca="false">AH439-0.0005</f>
        <v>0.503900153826346</v>
      </c>
      <c r="AK439" s="2315" t="n">
        <f aca="false">IF(AND(дома!$Z$29&gt;=AJ439,дома!$Z$29&lt;=AI439),связи1!AG439,0)</f>
        <v>0</v>
      </c>
      <c r="AL439" s="2315" t="n">
        <f aca="false">IF(AND(дома!$AA$29&gt;=AJ439,дома!$AA$29&lt;=AI439),связи1!AG439,0)</f>
        <v>0</v>
      </c>
    </row>
    <row r="440" customFormat="false" ht="15.5" hidden="false" customHeight="false" outlineLevel="0" collapsed="false">
      <c r="A440" s="87" t="str">
        <f aca="false">'Прайс лист'!B327</f>
        <v>Доска сухая 100*25мм</v>
      </c>
      <c r="B440" s="87" t="str">
        <f aca="false">'Прайс лист'!C327</f>
        <v>м3</v>
      </c>
      <c r="C440" s="87" t="n">
        <v>0.1</v>
      </c>
      <c r="D440" s="2673" t="n">
        <v>0.025</v>
      </c>
      <c r="E440" s="2673" t="n">
        <f aca="false">C440*D440</f>
        <v>0.0025</v>
      </c>
      <c r="F440" s="87" t="n">
        <f aca="false">'Прайс лист'!G327</f>
        <v>9000</v>
      </c>
      <c r="I440" s="2674" t="str">
        <f aca="false">A440</f>
        <v>Доска сухая 100*25мм</v>
      </c>
      <c r="J440" s="2674" t="str">
        <f aca="false">B440</f>
        <v>м3</v>
      </c>
      <c r="K440" s="2674" t="n">
        <f aca="false">C440</f>
        <v>0.1</v>
      </c>
      <c r="L440" s="2675" t="n">
        <f aca="false">D440</f>
        <v>0.025</v>
      </c>
      <c r="M440" s="2675" t="n">
        <f aca="false">E440</f>
        <v>0.0025</v>
      </c>
      <c r="N440" s="2674" t="n">
        <f aca="false">F440</f>
        <v>9000</v>
      </c>
      <c r="O440" s="2672" t="str">
        <f aca="false">'Прайс лист'!B897</f>
        <v>Гвозди ершоные 3,4 x 60</v>
      </c>
      <c r="AG440" s="2315" t="n">
        <v>29</v>
      </c>
      <c r="AH440" s="2606" t="n">
        <f aca="false">AG440*3.1415926535897/180</f>
        <v>0.506145483078341</v>
      </c>
      <c r="AI440" s="2606" t="n">
        <f aca="false">AH440+0.0005</f>
        <v>0.50664548307834</v>
      </c>
      <c r="AJ440" s="2606" t="n">
        <f aca="false">AH440-0.0005</f>
        <v>0.505645483078341</v>
      </c>
      <c r="AK440" s="2315" t="n">
        <f aca="false">IF(AND(дома!$Z$29&gt;=AJ440,дома!$Z$29&lt;=AI440),связи1!AG440,0)</f>
        <v>0</v>
      </c>
      <c r="AL440" s="2315" t="n">
        <f aca="false">IF(AND(дома!$AA$29&gt;=AJ440,дома!$AA$29&lt;=AI440),связи1!AG440,0)</f>
        <v>0</v>
      </c>
    </row>
    <row r="441" customFormat="false" ht="14.5" hidden="false" customHeight="false" outlineLevel="0" collapsed="false">
      <c r="I441" s="2613" t="str">
        <f aca="false">'Прайс лист'!B630</f>
        <v>ГПО 30-0,7</v>
      </c>
      <c r="J441" s="2613"/>
      <c r="K441" s="2613"/>
      <c r="L441" s="2613"/>
      <c r="M441" s="2613"/>
      <c r="N441" s="2676" t="n">
        <f aca="false">'Прайс лист'!G630</f>
        <v>58</v>
      </c>
      <c r="O441" s="2672" t="str">
        <f aca="false">'Прайс лист'!B882</f>
        <v>Саморез 5,5 х 25</v>
      </c>
      <c r="AG441" s="2315" t="n">
        <v>29.1</v>
      </c>
      <c r="AH441" s="2606" t="n">
        <f aca="false">AG441*3.1415926535897/180</f>
        <v>0.507890812330335</v>
      </c>
      <c r="AI441" s="2606" t="n">
        <f aca="false">AH441+0.0005</f>
        <v>0.508390812330335</v>
      </c>
      <c r="AJ441" s="2606" t="n">
        <f aca="false">AH441-0.0005</f>
        <v>0.507390812330335</v>
      </c>
      <c r="AK441" s="2315" t="n">
        <f aca="false">IF(AND(дома!$Z$29&gt;=AJ441,дома!$Z$29&lt;=AI441),связи1!AG441,0)</f>
        <v>0</v>
      </c>
      <c r="AL441" s="2315" t="n">
        <f aca="false">IF(AND(дома!$AA$29&gt;=AJ441,дома!$AA$29&lt;=AI441),связи1!AG441,0)</f>
        <v>0</v>
      </c>
    </row>
    <row r="442" customFormat="false" ht="14.5" hidden="false" customHeight="false" outlineLevel="0" collapsed="false">
      <c r="A442" s="896" t="s">
        <v>4571</v>
      </c>
      <c r="I442" s="2613" t="str">
        <f aca="false">'Прайс лист'!B631</f>
        <v>ГПО 30-1,2</v>
      </c>
      <c r="J442" s="2613"/>
      <c r="K442" s="2613"/>
      <c r="L442" s="2613"/>
      <c r="M442" s="2613"/>
      <c r="N442" s="2676" t="n">
        <f aca="false">'Прайс лист'!G631</f>
        <v>100</v>
      </c>
      <c r="O442" s="2672" t="str">
        <f aca="false">'Прайс лист'!B882</f>
        <v>Саморез 5,5 х 25</v>
      </c>
      <c r="AG442" s="2315" t="n">
        <v>29.2</v>
      </c>
      <c r="AH442" s="2606" t="n">
        <f aca="false">AG442*3.1415926535897/180</f>
        <v>0.509636141582329</v>
      </c>
      <c r="AI442" s="2606" t="n">
        <f aca="false">AH442+0.0005</f>
        <v>0.510136141582329</v>
      </c>
      <c r="AJ442" s="2606" t="n">
        <f aca="false">AH442-0.0005</f>
        <v>0.509136141582329</v>
      </c>
      <c r="AK442" s="2315" t="n">
        <f aca="false">IF(AND(дома!$Z$29&gt;=AJ442,дома!$Z$29&lt;=AI442),связи1!AG442,0)</f>
        <v>0</v>
      </c>
      <c r="AL442" s="2315" t="n">
        <f aca="false">IF(AND(дома!$AA$29&gt;=AJ442,дома!$AA$29&lt;=AI442),связи1!AG442,0)</f>
        <v>0</v>
      </c>
    </row>
    <row r="443" customFormat="false" ht="14.5" hidden="false" customHeight="false" outlineLevel="0" collapsed="false">
      <c r="A443" s="2600" t="s">
        <v>493</v>
      </c>
      <c r="B443" s="2315" t="n">
        <v>0</v>
      </c>
      <c r="C443" s="2315"/>
      <c r="D443" s="2315" t="n">
        <v>0</v>
      </c>
      <c r="E443" s="2315" t="n">
        <v>0</v>
      </c>
      <c r="I443" s="2613" t="str">
        <f aca="false">'Прайс лист'!B632</f>
        <v>ГПО 30-1,5</v>
      </c>
      <c r="J443" s="2613"/>
      <c r="K443" s="2613"/>
      <c r="L443" s="2613"/>
      <c r="M443" s="2613"/>
      <c r="N443" s="2676" t="n">
        <f aca="false">'Прайс лист'!G632</f>
        <v>125</v>
      </c>
      <c r="O443" s="2672" t="str">
        <f aca="false">'Прайс лист'!B882</f>
        <v>Саморез 5,5 х 25</v>
      </c>
      <c r="AG443" s="2315" t="n">
        <v>29.3</v>
      </c>
      <c r="AH443" s="2606" t="n">
        <f aca="false">AG443*3.1415926535897/180</f>
        <v>0.511381470834323</v>
      </c>
      <c r="AI443" s="2606" t="n">
        <f aca="false">AH443+0.0005</f>
        <v>0.511881470834323</v>
      </c>
      <c r="AJ443" s="2606" t="n">
        <f aca="false">AH443-0.0005</f>
        <v>0.510881470834323</v>
      </c>
      <c r="AK443" s="2315" t="n">
        <f aca="false">IF(AND(дома!$Z$29&gt;=AJ443,дома!$Z$29&lt;=AI443),связи1!AG443,0)</f>
        <v>0</v>
      </c>
      <c r="AL443" s="2315" t="n">
        <f aca="false">IF(AND(дома!$AA$29&gt;=AJ443,дома!$AA$29&lt;=AI443),связи1!AG443,0)</f>
        <v>0</v>
      </c>
    </row>
    <row r="444" customFormat="false" ht="14.5" hidden="false" customHeight="false" outlineLevel="0" collapsed="false">
      <c r="A444" s="933" t="str">
        <f aca="false">A419</f>
        <v>Сосна влаж, 50*50мм</v>
      </c>
      <c r="B444" s="933" t="n">
        <f aca="false">B419</f>
        <v>6500</v>
      </c>
      <c r="C444" s="933" t="n">
        <f aca="false">C419</f>
        <v>400</v>
      </c>
      <c r="D444" s="933" t="n">
        <f aca="false">'Прайс лист'!F303</f>
        <v>15</v>
      </c>
      <c r="E444" s="933" t="n">
        <f aca="false">E419</f>
        <v>0.0025</v>
      </c>
      <c r="I444" s="2613" t="str">
        <f aca="false">'Прайс лист'!B633</f>
        <v>ГПО 35-0,7</v>
      </c>
      <c r="J444" s="2613"/>
      <c r="K444" s="2613"/>
      <c r="L444" s="2613"/>
      <c r="M444" s="2613"/>
      <c r="N444" s="2676" t="n">
        <f aca="false">'Прайс лист'!G633</f>
        <v>64</v>
      </c>
      <c r="O444" s="2672" t="str">
        <f aca="false">'Прайс лист'!B882</f>
        <v>Саморез 5,5 х 25</v>
      </c>
      <c r="AG444" s="2315" t="n">
        <v>29.4</v>
      </c>
      <c r="AH444" s="2606" t="n">
        <f aca="false">AG444*3.1415926535897/180</f>
        <v>0.513126800086318</v>
      </c>
      <c r="AI444" s="2606" t="n">
        <f aca="false">AH444+0.0005</f>
        <v>0.513626800086318</v>
      </c>
      <c r="AJ444" s="2606" t="n">
        <f aca="false">AH444-0.0005</f>
        <v>0.512626800086318</v>
      </c>
      <c r="AK444" s="2315" t="n">
        <f aca="false">IF(AND(дома!$Z$29&gt;=AJ444,дома!$Z$29&lt;=AI444),связи1!AG444,0)</f>
        <v>0</v>
      </c>
      <c r="AL444" s="2315" t="n">
        <f aca="false">IF(AND(дома!$AA$29&gt;=AJ444,дома!$AA$29&lt;=AI444),связи1!AG444,0)</f>
        <v>0</v>
      </c>
    </row>
    <row r="445" customFormat="false" ht="14.5" hidden="false" customHeight="false" outlineLevel="0" collapsed="false">
      <c r="A445" s="933" t="str">
        <f aca="false">A420</f>
        <v>Доска сухая, калибр., 35*45мм</v>
      </c>
      <c r="B445" s="933" t="n">
        <f aca="false">B420</f>
        <v>12500</v>
      </c>
      <c r="C445" s="933" t="n">
        <f aca="false">C420</f>
        <v>634.920634920635</v>
      </c>
      <c r="D445" s="933" t="n">
        <f aca="false">'Прайс лист'!F311</f>
        <v>17</v>
      </c>
      <c r="E445" s="933" t="n">
        <f aca="false">E420</f>
        <v>0.001225</v>
      </c>
      <c r="I445" s="2613" t="str">
        <f aca="false">'Прайс лист'!B634</f>
        <v>ГПО 35-1,2</v>
      </c>
      <c r="J445" s="2613"/>
      <c r="K445" s="2613"/>
      <c r="L445" s="2613"/>
      <c r="M445" s="2613"/>
      <c r="N445" s="2676" t="n">
        <f aca="false">'Прайс лист'!G634</f>
        <v>110</v>
      </c>
      <c r="O445" s="2672" t="str">
        <f aca="false">'Прайс лист'!B882</f>
        <v>Саморез 5,5 х 25</v>
      </c>
      <c r="AG445" s="2315" t="n">
        <v>29.5</v>
      </c>
      <c r="AH445" s="2606" t="n">
        <f aca="false">AG445*3.1415926535897/180</f>
        <v>0.514872129338312</v>
      </c>
      <c r="AI445" s="2606" t="n">
        <f aca="false">AH445+0.0005</f>
        <v>0.515372129338312</v>
      </c>
      <c r="AJ445" s="2606" t="n">
        <f aca="false">AH445-0.0005</f>
        <v>0.514372129338312</v>
      </c>
      <c r="AK445" s="2315" t="n">
        <f aca="false">IF(AND(дома!$Z$29&gt;=AJ445,дома!$Z$29&lt;=AI445),связи1!AG445,0)</f>
        <v>0</v>
      </c>
      <c r="AL445" s="2315" t="n">
        <f aca="false">IF(AND(дома!$AA$29&gt;=AJ445,дома!$AA$29&lt;=AI445),связи1!AG445,0)</f>
        <v>0</v>
      </c>
    </row>
    <row r="446" customFormat="false" ht="14.5" hidden="false" customHeight="false" outlineLevel="0" collapsed="false">
      <c r="A446" s="933" t="str">
        <f aca="false">A421</f>
        <v>Доска сухая 50*50мм</v>
      </c>
      <c r="B446" s="933" t="n">
        <f aca="false">B421</f>
        <v>9000</v>
      </c>
      <c r="C446" s="933" t="n">
        <f aca="false">C421</f>
        <v>400</v>
      </c>
      <c r="D446" s="933" t="n">
        <f aca="false">'Прайс лист'!F328</f>
        <v>22.5</v>
      </c>
      <c r="E446" s="933" t="n">
        <f aca="false">E421</f>
        <v>0.0025</v>
      </c>
      <c r="I446" s="2613" t="str">
        <f aca="false">'Прайс лист'!B635</f>
        <v>ГПО 35-1,5</v>
      </c>
      <c r="J446" s="2613"/>
      <c r="K446" s="2613"/>
      <c r="L446" s="2613"/>
      <c r="M446" s="2613"/>
      <c r="N446" s="2676" t="n">
        <f aca="false">'Прайс лист'!G635</f>
        <v>127</v>
      </c>
      <c r="O446" s="2672" t="str">
        <f aca="false">'Прайс лист'!B882</f>
        <v>Саморез 5,5 х 25</v>
      </c>
      <c r="AG446" s="2315" t="n">
        <v>29.6</v>
      </c>
      <c r="AH446" s="2606" t="n">
        <f aca="false">AG446*3.1415926535897/180</f>
        <v>0.516617458590306</v>
      </c>
      <c r="AI446" s="2606" t="n">
        <f aca="false">AH446+0.0005</f>
        <v>0.517117458590306</v>
      </c>
      <c r="AJ446" s="2606" t="n">
        <f aca="false">AH446-0.0005</f>
        <v>0.516117458590306</v>
      </c>
      <c r="AK446" s="2315" t="n">
        <f aca="false">IF(AND(дома!$Z$29&gt;=AJ446,дома!$Z$29&lt;=AI446),связи1!AG446,0)</f>
        <v>0</v>
      </c>
      <c r="AL446" s="2315" t="n">
        <f aca="false">IF(AND(дома!$AA$29&gt;=AJ446,дома!$AA$29&lt;=AI446),связи1!AG446,0)</f>
        <v>0</v>
      </c>
    </row>
    <row r="447" customFormat="false" ht="14.5" hidden="false" customHeight="false" outlineLevel="0" collapsed="false">
      <c r="A447" s="2315" t="str">
        <f aca="false">'Прайс лист'!B1497</f>
        <v>Г-образный профиль 40*30, 9мм</v>
      </c>
      <c r="B447" s="2315"/>
      <c r="C447" s="2315"/>
      <c r="D447" s="933" t="n">
        <f aca="false">'Прайс лист'!G1497</f>
        <v>45</v>
      </c>
      <c r="E447" s="2315"/>
      <c r="I447" s="2613" t="str">
        <f aca="false">'Прайс лист'!B636</f>
        <v>ГПО 35-2,0</v>
      </c>
      <c r="J447" s="2613"/>
      <c r="K447" s="2613"/>
      <c r="L447" s="2613"/>
      <c r="M447" s="2613"/>
      <c r="N447" s="2676" t="n">
        <f aca="false">'Прайс лист'!G636</f>
        <v>169</v>
      </c>
      <c r="O447" s="2672" t="str">
        <f aca="false">'Прайс лист'!B882</f>
        <v>Саморез 5,5 х 25</v>
      </c>
      <c r="AG447" s="2315" t="n">
        <v>29.7</v>
      </c>
      <c r="AH447" s="2606" t="n">
        <f aca="false">AG447*3.1415926535897/180</f>
        <v>0.518362787842301</v>
      </c>
      <c r="AI447" s="2606" t="n">
        <f aca="false">AH447+0.0005</f>
        <v>0.5188627878423</v>
      </c>
      <c r="AJ447" s="2606" t="n">
        <f aca="false">AH447-0.0005</f>
        <v>0.517862787842301</v>
      </c>
      <c r="AK447" s="2315" t="n">
        <f aca="false">IF(AND(дома!$Z$29&gt;=AJ447,дома!$Z$29&lt;=AI447),связи1!AG447,0)</f>
        <v>0</v>
      </c>
      <c r="AL447" s="2315" t="n">
        <f aca="false">IF(AND(дома!$AA$29&gt;=AJ447,дома!$AA$29&lt;=AI447),связи1!AG447,0)</f>
        <v>0</v>
      </c>
    </row>
    <row r="448" customFormat="false" ht="14.5" hidden="false" customHeight="false" outlineLevel="0" collapsed="false">
      <c r="A448" s="2315" t="str">
        <f aca="false">'Прайс лист'!B1498</f>
        <v>Г-образный профиль 40*40, 9мм</v>
      </c>
      <c r="B448" s="2315"/>
      <c r="C448" s="2315"/>
      <c r="D448" s="933" t="n">
        <f aca="false">'Прайс лист'!G1498</f>
        <v>47</v>
      </c>
      <c r="E448" s="2315"/>
      <c r="I448" s="2613" t="str">
        <f aca="false">'Прайс лист'!B637</f>
        <v>ГПО 50-0,7</v>
      </c>
      <c r="J448" s="2613"/>
      <c r="K448" s="2613"/>
      <c r="L448" s="2613"/>
      <c r="M448" s="2613"/>
      <c r="N448" s="2676" t="n">
        <f aca="false">'Прайс лист'!G637</f>
        <v>80</v>
      </c>
      <c r="O448" s="2672" t="str">
        <f aca="false">'Прайс лист'!B882</f>
        <v>Саморез 5,5 х 25</v>
      </c>
      <c r="AG448" s="2315" t="n">
        <v>29.8</v>
      </c>
      <c r="AH448" s="2606" t="n">
        <f aca="false">AG448*3.1415926535897/180</f>
        <v>0.520108117094295</v>
      </c>
      <c r="AI448" s="2606" t="n">
        <f aca="false">AH448+0.0005</f>
        <v>0.520608117094295</v>
      </c>
      <c r="AJ448" s="2606" t="n">
        <f aca="false">AH448-0.0005</f>
        <v>0.519608117094295</v>
      </c>
      <c r="AK448" s="2315" t="n">
        <f aca="false">IF(AND(дома!$Z$29&gt;=AJ448,дома!$Z$29&lt;=AI448),связи1!AG448,0)</f>
        <v>0</v>
      </c>
      <c r="AL448" s="2315" t="n">
        <f aca="false">IF(AND(дома!$AA$29&gt;=AJ448,дома!$AA$29&lt;=AI448),связи1!AG448,0)</f>
        <v>0</v>
      </c>
    </row>
    <row r="449" customFormat="false" ht="14.5" hidden="false" customHeight="false" outlineLevel="0" collapsed="false">
      <c r="A449" s="2315" t="str">
        <f aca="false">'Прайс лист'!B1499</f>
        <v>Г-образный профиль 40*50, 9мм</v>
      </c>
      <c r="B449" s="2315"/>
      <c r="C449" s="2315"/>
      <c r="D449" s="933" t="n">
        <f aca="false">'Прайс лист'!G1499</f>
        <v>49</v>
      </c>
      <c r="E449" s="2315"/>
      <c r="I449" s="2613" t="str">
        <f aca="false">'Прайс лист'!B638</f>
        <v>ГПО 50-1,0</v>
      </c>
      <c r="J449" s="2613"/>
      <c r="K449" s="2613"/>
      <c r="L449" s="2613"/>
      <c r="M449" s="2613"/>
      <c r="N449" s="2676" t="n">
        <f aca="false">'Прайс лист'!G638</f>
        <v>111</v>
      </c>
      <c r="O449" s="2672" t="str">
        <f aca="false">'Прайс лист'!B882</f>
        <v>Саморез 5,5 х 25</v>
      </c>
      <c r="AG449" s="2315" t="n">
        <v>29.9</v>
      </c>
      <c r="AH449" s="2606" t="n">
        <f aca="false">AG449*3.1415926535897/180</f>
        <v>0.521853446346289</v>
      </c>
      <c r="AI449" s="2606" t="n">
        <f aca="false">AH449+0.0005</f>
        <v>0.522353446346289</v>
      </c>
      <c r="AJ449" s="2606" t="n">
        <f aca="false">AH449-0.0005</f>
        <v>0.521353446346289</v>
      </c>
      <c r="AK449" s="2315" t="n">
        <f aca="false">IF(AND(дома!$Z$29&gt;=AJ449,дома!$Z$29&lt;=AI449),связи1!AG449,0)</f>
        <v>0</v>
      </c>
      <c r="AL449" s="2315" t="n">
        <f aca="false">IF(AND(дома!$AA$29&gt;=AJ449,дома!$AA$29&lt;=AI449),связи1!AG449,0)</f>
        <v>0</v>
      </c>
    </row>
    <row r="450" customFormat="false" ht="14.5" hidden="false" customHeight="false" outlineLevel="0" collapsed="false">
      <c r="A450" s="2315" t="str">
        <f aca="false">'Прайс лист'!B1500</f>
        <v>Г-образный профиль 40*60, 9мм</v>
      </c>
      <c r="B450" s="2315"/>
      <c r="C450" s="2315"/>
      <c r="D450" s="933" t="n">
        <f aca="false">'Прайс лист'!G1500</f>
        <v>52</v>
      </c>
      <c r="E450" s="2315"/>
      <c r="I450" s="2613" t="str">
        <f aca="false">'Прайс лист'!B639</f>
        <v>ГПО 50-1,2</v>
      </c>
      <c r="J450" s="2613"/>
      <c r="K450" s="2613"/>
      <c r="L450" s="2613"/>
      <c r="M450" s="2613"/>
      <c r="N450" s="2676" t="n">
        <f aca="false">'Прайс лист'!G639</f>
        <v>136</v>
      </c>
      <c r="O450" s="2672" t="str">
        <f aca="false">'Прайс лист'!B882</f>
        <v>Саморез 5,5 х 25</v>
      </c>
      <c r="AG450" s="2315" t="n">
        <v>30</v>
      </c>
      <c r="AH450" s="2606" t="n">
        <f aca="false">AG450*3.1415926535897/180</f>
        <v>0.523598775598283</v>
      </c>
      <c r="AI450" s="2606" t="n">
        <f aca="false">AH450+0.0005</f>
        <v>0.524098775598283</v>
      </c>
      <c r="AJ450" s="2606" t="n">
        <f aca="false">AH450-0.0005</f>
        <v>0.523098775598283</v>
      </c>
      <c r="AK450" s="2315" t="n">
        <f aca="false">IF(AND(дома!$Z$29&gt;=AJ450,дома!$Z$29&lt;=AI450),связи1!AG450,0)</f>
        <v>0</v>
      </c>
      <c r="AL450" s="2315" t="n">
        <f aca="false">IF(AND(дома!$AA$29&gt;=AJ450,дома!$AA$29&lt;=AI450),связи1!AG450,0)</f>
        <v>0</v>
      </c>
    </row>
    <row r="451" customFormat="false" ht="14.5" hidden="false" customHeight="false" outlineLevel="0" collapsed="false">
      <c r="A451" s="2315" t="str">
        <f aca="false">'Прайс лист'!B1501</f>
        <v>Г-образный профиль 40*30, 12мм</v>
      </c>
      <c r="B451" s="2315"/>
      <c r="C451" s="2315"/>
      <c r="D451" s="933" t="n">
        <f aca="false">'Прайс лист'!G1501</f>
        <v>58</v>
      </c>
      <c r="E451" s="2315"/>
      <c r="I451" s="2613" t="str">
        <f aca="false">'Прайс лист'!B640</f>
        <v>ГПО 50-1,5</v>
      </c>
      <c r="J451" s="2613"/>
      <c r="K451" s="2613"/>
      <c r="L451" s="2613"/>
      <c r="M451" s="2613"/>
      <c r="N451" s="2676" t="n">
        <f aca="false">'Прайс лист'!G640</f>
        <v>169</v>
      </c>
      <c r="O451" s="2672" t="str">
        <f aca="false">'Прайс лист'!B882</f>
        <v>Саморез 5,5 х 25</v>
      </c>
      <c r="AG451" s="2315" t="n">
        <v>30.1</v>
      </c>
      <c r="AH451" s="2606" t="n">
        <f aca="false">AG451*3.1415926535897/180</f>
        <v>0.525344104850278</v>
      </c>
      <c r="AI451" s="2606" t="n">
        <f aca="false">AH451+0.0005</f>
        <v>0.525844104850278</v>
      </c>
      <c r="AJ451" s="2606" t="n">
        <f aca="false">AH451-0.0005</f>
        <v>0.524844104850278</v>
      </c>
      <c r="AK451" s="2315" t="n">
        <f aca="false">IF(AND(дома!$Z$29&gt;=AJ451,дома!$Z$29&lt;=AI451),связи1!AG451,0)</f>
        <v>0</v>
      </c>
      <c r="AL451" s="2315" t="n">
        <f aca="false">IF(AND(дома!$AA$29&gt;=AJ451,дома!$AA$29&lt;=AI451),связи1!AG451,0)</f>
        <v>0</v>
      </c>
    </row>
    <row r="452" customFormat="false" ht="14.5" hidden="false" customHeight="false" outlineLevel="0" collapsed="false">
      <c r="A452" s="2315" t="str">
        <f aca="false">'Прайс лист'!B1502</f>
        <v>Г-образный профиль 40*40, 12мм</v>
      </c>
      <c r="B452" s="2315"/>
      <c r="C452" s="2315"/>
      <c r="D452" s="933" t="n">
        <f aca="false">'Прайс лист'!G1502</f>
        <v>62</v>
      </c>
      <c r="E452" s="2315"/>
      <c r="I452" s="2613" t="str">
        <f aca="false">'Прайс лист'!B641</f>
        <v>ГПО 50-2,0</v>
      </c>
      <c r="J452" s="2613"/>
      <c r="K452" s="2613"/>
      <c r="L452" s="2613"/>
      <c r="M452" s="2613"/>
      <c r="N452" s="2676" t="n">
        <f aca="false">'Прайс лист'!G641</f>
        <v>226</v>
      </c>
      <c r="O452" s="2672" t="str">
        <f aca="false">'Прайс лист'!B882</f>
        <v>Саморез 5,5 х 25</v>
      </c>
      <c r="AG452" s="2315" t="n">
        <v>30.2</v>
      </c>
      <c r="AH452" s="2606" t="n">
        <f aca="false">AG452*3.1415926535897/180</f>
        <v>0.527089434102272</v>
      </c>
      <c r="AI452" s="2606" t="n">
        <f aca="false">AH452+0.0005</f>
        <v>0.527589434102272</v>
      </c>
      <c r="AJ452" s="2606" t="n">
        <f aca="false">AH452-0.0005</f>
        <v>0.526589434102272</v>
      </c>
      <c r="AK452" s="2315" t="n">
        <f aca="false">IF(AND(дома!$Z$29&gt;=AJ452,дома!$Z$29&lt;=AI452),связи1!AG452,0)</f>
        <v>0</v>
      </c>
      <c r="AL452" s="2315" t="n">
        <f aca="false">IF(AND(дома!$AA$29&gt;=AJ452,дома!$AA$29&lt;=AI452),связи1!AG452,0)</f>
        <v>0</v>
      </c>
    </row>
    <row r="453" customFormat="false" ht="14.5" hidden="false" customHeight="false" outlineLevel="0" collapsed="false">
      <c r="A453" s="2315" t="str">
        <f aca="false">'Прайс лист'!B1503</f>
        <v>Г-образный профиль 40*50, 12мм</v>
      </c>
      <c r="B453" s="2315"/>
      <c r="C453" s="2315"/>
      <c r="D453" s="933" t="n">
        <f aca="false">'Прайс лист'!G1503</f>
        <v>66</v>
      </c>
      <c r="E453" s="2315"/>
      <c r="AG453" s="2315" t="n">
        <v>30.3</v>
      </c>
      <c r="AH453" s="2606" t="n">
        <f aca="false">AG453*3.1415926535897/180</f>
        <v>0.528834763354266</v>
      </c>
      <c r="AI453" s="2606" t="n">
        <f aca="false">AH453+0.0005</f>
        <v>0.529334763354266</v>
      </c>
      <c r="AJ453" s="2606" t="n">
        <f aca="false">AH453-0.0005</f>
        <v>0.528334763354266</v>
      </c>
      <c r="AK453" s="2315" t="n">
        <f aca="false">IF(AND(дома!$Z$29&gt;=AJ453,дома!$Z$29&lt;=AI453),связи1!AG453,0)</f>
        <v>0</v>
      </c>
      <c r="AL453" s="2315" t="n">
        <f aca="false">IF(AND(дома!$AA$29&gt;=AJ453,дома!$AA$29&lt;=AI453),связи1!AG453,0)</f>
        <v>0</v>
      </c>
    </row>
    <row r="454" customFormat="false" ht="14.5" hidden="false" customHeight="false" outlineLevel="0" collapsed="false">
      <c r="A454" s="2315" t="str">
        <f aca="false">'Прайс лист'!B1504</f>
        <v>Г-образный профиль 40*60, 12мм</v>
      </c>
      <c r="B454" s="2315"/>
      <c r="C454" s="2315"/>
      <c r="D454" s="933" t="n">
        <f aca="false">'Прайс лист'!G1504</f>
        <v>70</v>
      </c>
      <c r="E454" s="2315"/>
      <c r="AG454" s="2315" t="n">
        <v>30.4</v>
      </c>
      <c r="AH454" s="2606" t="n">
        <f aca="false">AG454*3.1415926535897/180</f>
        <v>0.53058009260626</v>
      </c>
      <c r="AI454" s="2606" t="n">
        <f aca="false">AH454+0.0005</f>
        <v>0.53108009260626</v>
      </c>
      <c r="AJ454" s="2606" t="n">
        <f aca="false">AH454-0.0005</f>
        <v>0.53008009260626</v>
      </c>
      <c r="AK454" s="2315" t="n">
        <f aca="false">IF(AND(дома!$Z$29&gt;=AJ454,дома!$Z$29&lt;=AI454),связи1!AG454,0)</f>
        <v>0</v>
      </c>
      <c r="AL454" s="2315" t="n">
        <f aca="false">IF(AND(дома!$AA$29&gt;=AJ454,дома!$AA$29&lt;=AI454),связи1!AG454,0)</f>
        <v>0</v>
      </c>
    </row>
    <row r="455" customFormat="false" ht="14.5" hidden="false" customHeight="false" outlineLevel="0" collapsed="false">
      <c r="AG455" s="2315" t="n">
        <v>30.5</v>
      </c>
      <c r="AH455" s="2606" t="n">
        <f aca="false">AG455*3.1415926535897/180</f>
        <v>0.532325421858255</v>
      </c>
      <c r="AI455" s="2606" t="n">
        <f aca="false">AH455+0.0005</f>
        <v>0.532825421858255</v>
      </c>
      <c r="AJ455" s="2606" t="n">
        <f aca="false">AH455-0.0005</f>
        <v>0.531825421858255</v>
      </c>
      <c r="AK455" s="2315" t="n">
        <f aca="false">IF(AND(дома!$Z$29&gt;=AJ455,дома!$Z$29&lt;=AI455),связи1!AG455,0)</f>
        <v>0</v>
      </c>
      <c r="AL455" s="2315" t="n">
        <f aca="false">IF(AND(дома!$AA$29&gt;=AJ455,дома!$AA$29&lt;=AI455),связи1!AG455,0)</f>
        <v>0</v>
      </c>
    </row>
    <row r="456" customFormat="false" ht="14.5" hidden="false" customHeight="false" outlineLevel="0" collapsed="false">
      <c r="A456" s="896" t="s">
        <v>4572</v>
      </c>
      <c r="AG456" s="2315" t="n">
        <v>30.6</v>
      </c>
      <c r="AH456" s="2606" t="n">
        <f aca="false">AG456*3.1415926535897/180</f>
        <v>0.534070751110249</v>
      </c>
      <c r="AI456" s="2606" t="n">
        <f aca="false">AH456+0.0005</f>
        <v>0.534570751110249</v>
      </c>
      <c r="AJ456" s="2606" t="n">
        <f aca="false">AH456-0.0005</f>
        <v>0.533570751110249</v>
      </c>
      <c r="AK456" s="2315" t="n">
        <f aca="false">IF(AND(дома!$Z$29&gt;=AJ456,дома!$Z$29&lt;=AI456),связи1!AG456,0)</f>
        <v>0</v>
      </c>
      <c r="AL456" s="2315" t="n">
        <f aca="false">IF(AND(дома!$AA$29&gt;=AJ456,дома!$AA$29&lt;=AI456),связи1!AG456,0)</f>
        <v>0</v>
      </c>
    </row>
    <row r="457" customFormat="false" ht="14.5" hidden="false" customHeight="false" outlineLevel="0" collapsed="false">
      <c r="A457" s="896" t="s">
        <v>2065</v>
      </c>
      <c r="P457" s="2672" t="s">
        <v>1541</v>
      </c>
      <c r="AG457" s="2315" t="n">
        <v>30.7</v>
      </c>
      <c r="AH457" s="2606" t="n">
        <f aca="false">AG457*3.1415926535897/180</f>
        <v>0.535816080362243</v>
      </c>
      <c r="AI457" s="2606" t="n">
        <f aca="false">AH457+0.0005</f>
        <v>0.536316080362243</v>
      </c>
      <c r="AJ457" s="2606" t="n">
        <f aca="false">AH457-0.0005</f>
        <v>0.535316080362243</v>
      </c>
      <c r="AK457" s="2315" t="n">
        <f aca="false">IF(AND(дома!$Z$29&gt;=AJ457,дома!$Z$29&lt;=AI457),связи1!AG457,0)</f>
        <v>0</v>
      </c>
      <c r="AL457" s="2315" t="n">
        <f aca="false">IF(AND(дома!$AA$29&gt;=AJ457,дома!$AA$29&lt;=AI457),связи1!AG457,0)</f>
        <v>0</v>
      </c>
    </row>
    <row r="458" customFormat="false" ht="15.5" hidden="false" customHeight="false" outlineLevel="0" collapsed="false">
      <c r="I458" s="2677" t="str">
        <f aca="false">A407</f>
        <v>нет</v>
      </c>
      <c r="J458" s="2613" t="n">
        <f aca="false">B407</f>
        <v>0</v>
      </c>
      <c r="K458" s="2613" t="n">
        <f aca="false">C407</f>
        <v>0</v>
      </c>
      <c r="L458" s="2613" t="n">
        <f aca="false">D407</f>
        <v>0</v>
      </c>
      <c r="M458" s="2613" t="n">
        <f aca="false">E407</f>
        <v>0</v>
      </c>
      <c r="N458" s="2613" t="n">
        <f aca="false">F407</f>
        <v>0</v>
      </c>
      <c r="O458" s="2613" t="n">
        <f aca="false">G407</f>
        <v>0</v>
      </c>
      <c r="P458" s="1150" t="str">
        <f aca="false">I458</f>
        <v>нет</v>
      </c>
      <c r="S458" s="896" t="n">
        <v>0</v>
      </c>
      <c r="U458" s="896" t="n">
        <v>0</v>
      </c>
      <c r="W458" s="896" t="n">
        <v>0</v>
      </c>
      <c r="Y458" s="896" t="n">
        <v>0</v>
      </c>
      <c r="AG458" s="2315" t="n">
        <v>30.8</v>
      </c>
      <c r="AH458" s="2606" t="n">
        <f aca="false">AG458*3.1415926535897/180</f>
        <v>0.537561409614238</v>
      </c>
      <c r="AI458" s="2606" t="n">
        <f aca="false">AH458+0.0005</f>
        <v>0.538061409614238</v>
      </c>
      <c r="AJ458" s="2606" t="n">
        <f aca="false">AH458-0.0005</f>
        <v>0.537061409614238</v>
      </c>
      <c r="AK458" s="2315" t="n">
        <f aca="false">IF(AND(дома!$Z$29&gt;=AJ458,дома!$Z$29&lt;=AI458),связи1!AG458,0)</f>
        <v>0</v>
      </c>
      <c r="AL458" s="2315" t="n">
        <f aca="false">IF(AND(дома!$AA$29&gt;=AJ458,дома!$AA$29&lt;=AI458),связи1!AG458,0)</f>
        <v>0</v>
      </c>
    </row>
    <row r="459" customFormat="false" ht="15.5" hidden="false" customHeight="false" outlineLevel="0" collapsed="false">
      <c r="A459" s="1150" t="str">
        <f aca="false">'Прайс лист'!B425</f>
        <v>Шкант</v>
      </c>
      <c r="B459" s="1150" t="n">
        <f aca="false">'Прайс лист'!G425</f>
        <v>6</v>
      </c>
      <c r="I459" s="2677" t="str">
        <f aca="false">A408</f>
        <v>Доска сухая, 200*50мм</v>
      </c>
      <c r="J459" s="2613" t="n">
        <f aca="false">B408</f>
        <v>9000</v>
      </c>
      <c r="K459" s="2613" t="n">
        <f aca="false">C408</f>
        <v>100</v>
      </c>
      <c r="L459" s="2613" t="n">
        <f aca="false">J459/K459</f>
        <v>90</v>
      </c>
      <c r="M459" s="2613" t="n">
        <f aca="false">E408</f>
        <v>0.01</v>
      </c>
      <c r="N459" s="2613" t="n">
        <f aca="false">F408</f>
        <v>0.2</v>
      </c>
      <c r="O459" s="2613" t="n">
        <f aca="false">G408</f>
        <v>0.05</v>
      </c>
      <c r="P459" s="1150" t="str">
        <f aca="false">I459</f>
        <v>Доска сухая, 200*50мм</v>
      </c>
      <c r="Q459" s="2678" t="n">
        <f aca="false">L459</f>
        <v>90</v>
      </c>
      <c r="S459" s="896" t="str">
        <f aca="false">'Прайс лист'!B848</f>
        <v>Пластина соеденительная 150х240х2</v>
      </c>
      <c r="T459" s="1150" t="n">
        <f aca="false">'Прайс лист'!G848</f>
        <v>55</v>
      </c>
      <c r="U459" s="896" t="str">
        <f aca="false">'Прайс лист'!B892</f>
        <v>Гвозди строительные 3,5 x 120</v>
      </c>
      <c r="V459" s="1150" t="n">
        <f aca="false">'Прайс лист'!F892</f>
        <v>0.85</v>
      </c>
      <c r="W459" s="896" t="str">
        <f aca="false">'Прайс лист'!B862</f>
        <v>Болты анкерные с гайкой 12,0 x 120</v>
      </c>
      <c r="X459" s="1150" t="n">
        <f aca="false">'Прайс лист'!G862</f>
        <v>11.5</v>
      </c>
      <c r="AG459" s="2315" t="n">
        <v>30.9</v>
      </c>
      <c r="AH459" s="2606" t="n">
        <f aca="false">AG459*3.1415926535897/180</f>
        <v>0.539306738866232</v>
      </c>
      <c r="AI459" s="2606" t="n">
        <f aca="false">AH459+0.0005</f>
        <v>0.539806738866232</v>
      </c>
      <c r="AJ459" s="2606" t="n">
        <f aca="false">AH459-0.0005</f>
        <v>0.538806738866232</v>
      </c>
      <c r="AK459" s="2315" t="n">
        <f aca="false">IF(AND(дома!$Z$29&gt;=AJ459,дома!$Z$29&lt;=AI459),связи1!AG459,0)</f>
        <v>0</v>
      </c>
      <c r="AL459" s="2315" t="n">
        <f aca="false">IF(AND(дома!$AA$29&gt;=AJ459,дома!$AA$29&lt;=AI459),связи1!AG459,0)</f>
        <v>0</v>
      </c>
    </row>
    <row r="460" customFormat="false" ht="15.5" hidden="false" customHeight="false" outlineLevel="0" collapsed="false">
      <c r="A460" s="1150" t="str">
        <f aca="false">'Прайс лист'!B531</f>
        <v>Пружинный узел</v>
      </c>
      <c r="B460" s="1150" t="n">
        <f aca="false">'Прайс лист'!G531</f>
        <v>51</v>
      </c>
      <c r="I460" s="2677" t="str">
        <f aca="false">A409</f>
        <v>Доска сухая, 150*50мм</v>
      </c>
      <c r="J460" s="2613" t="n">
        <f aca="false">B409</f>
        <v>9000</v>
      </c>
      <c r="K460" s="2613" t="n">
        <f aca="false">C409</f>
        <v>133.333333333333</v>
      </c>
      <c r="L460" s="2613" t="n">
        <f aca="false">J460/K460</f>
        <v>67.5</v>
      </c>
      <c r="M460" s="2613" t="n">
        <f aca="false">E409</f>
        <v>0.0075</v>
      </c>
      <c r="N460" s="2613" t="n">
        <f aca="false">F409</f>
        <v>0.15</v>
      </c>
      <c r="O460" s="2613" t="n">
        <f aca="false">G409</f>
        <v>0.05</v>
      </c>
      <c r="P460" s="1150" t="str">
        <f aca="false">I460</f>
        <v>Доска сухая, 150*50мм</v>
      </c>
      <c r="Q460" s="2678" t="n">
        <f aca="false">L460</f>
        <v>67.5</v>
      </c>
      <c r="S460" s="2679" t="str">
        <f aca="false">'Прайс лист'!B848</f>
        <v>Пластина соеденительная 150х240х2</v>
      </c>
      <c r="T460" s="1150" t="n">
        <f aca="false">'Прайс лист'!G848</f>
        <v>55</v>
      </c>
      <c r="U460" s="896" t="str">
        <f aca="false">'Прайс лист'!B892</f>
        <v>Гвозди строительные 3,5 x 120</v>
      </c>
      <c r="V460" s="1150" t="n">
        <f aca="false">'Прайс лист'!F892</f>
        <v>0.85</v>
      </c>
      <c r="W460" s="896" t="str">
        <f aca="false">'Прайс лист'!B862</f>
        <v>Болты анкерные с гайкой 12,0 x 120</v>
      </c>
      <c r="X460" s="1150" t="n">
        <f aca="false">'Прайс лист'!G862</f>
        <v>11.5</v>
      </c>
      <c r="AG460" s="2315"/>
      <c r="AH460" s="2606"/>
      <c r="AI460" s="2606"/>
      <c r="AJ460" s="2606"/>
      <c r="AK460" s="2315"/>
      <c r="AL460" s="2315"/>
    </row>
    <row r="461" customFormat="false" ht="15.5" hidden="false" customHeight="false" outlineLevel="0" collapsed="false">
      <c r="A461" s="896" t="str">
        <f aca="false">'Прайс лист'!B529</f>
        <v>Глухарь для сборки сруба</v>
      </c>
      <c r="B461" s="1150" t="n">
        <f aca="false">'Прайс лист'!G529</f>
        <v>50</v>
      </c>
      <c r="I461" s="2677" t="str">
        <f aca="false">A410</f>
        <v>Доска сухая, 100*50мм</v>
      </c>
      <c r="J461" s="2613" t="n">
        <f aca="false">B410</f>
        <v>9000</v>
      </c>
      <c r="K461" s="2613" t="n">
        <f aca="false">C410</f>
        <v>200</v>
      </c>
      <c r="L461" s="2613" t="n">
        <f aca="false">J461/K461</f>
        <v>45</v>
      </c>
      <c r="M461" s="2613" t="n">
        <f aca="false">E410</f>
        <v>0.005</v>
      </c>
      <c r="N461" s="2613" t="n">
        <f aca="false">F410</f>
        <v>0.1</v>
      </c>
      <c r="O461" s="2613" t="n">
        <f aca="false">G410</f>
        <v>0.05</v>
      </c>
      <c r="P461" s="1150" t="str">
        <f aca="false">I461</f>
        <v>Доска сухая, 100*50мм</v>
      </c>
      <c r="Q461" s="2678" t="n">
        <f aca="false">L461</f>
        <v>45</v>
      </c>
      <c r="S461" s="2679" t="str">
        <f aca="false">'Прайс лист'!B846</f>
        <v>Пластина соеденительная 100х240х2</v>
      </c>
      <c r="T461" s="1150" t="n">
        <f aca="false">'Прайс лист'!G846</f>
        <v>31.54</v>
      </c>
      <c r="U461" s="896" t="str">
        <f aca="false">'Прайс лист'!B892</f>
        <v>Гвозди строительные 3,5 x 120</v>
      </c>
      <c r="V461" s="1150" t="n">
        <f aca="false">'Прайс лист'!F892</f>
        <v>0.85</v>
      </c>
      <c r="W461" s="896" t="str">
        <f aca="false">'Прайс лист'!B862</f>
        <v>Болты анкерные с гайкой 12,0 x 120</v>
      </c>
      <c r="X461" s="1150" t="n">
        <f aca="false">'Прайс лист'!G862</f>
        <v>11.5</v>
      </c>
      <c r="AG461" s="2315" t="n">
        <v>31</v>
      </c>
      <c r="AH461" s="2606" t="n">
        <f aca="false">AG461*3.1415926535897/180</f>
        <v>0.541052068118226</v>
      </c>
      <c r="AI461" s="2606" t="n">
        <f aca="false">AH461+0.0005</f>
        <v>0.541552068118226</v>
      </c>
      <c r="AJ461" s="2606" t="n">
        <f aca="false">AH461-0.0005</f>
        <v>0.540552068118226</v>
      </c>
      <c r="AK461" s="2315" t="n">
        <f aca="false">IF(AND(дома!$Z$29&gt;=AJ461,дома!$Z$29&lt;=AI461),связи1!AG461,0)</f>
        <v>0</v>
      </c>
      <c r="AL461" s="2315" t="n">
        <f aca="false">IF(AND(дома!$AA$29&gt;=AJ461,дома!$AA$29&lt;=AI461),связи1!AG461,0)</f>
        <v>0</v>
      </c>
    </row>
    <row r="462" customFormat="false" ht="15.5" hidden="false" customHeight="false" outlineLevel="0" collapsed="false">
      <c r="I462" s="2677" t="str">
        <f aca="false">A411</f>
        <v>Доска сухая калиброванная, 190*45мм</v>
      </c>
      <c r="J462" s="2613" t="n">
        <f aca="false">B411</f>
        <v>12500</v>
      </c>
      <c r="K462" s="2613" t="n">
        <f aca="false">C411</f>
        <v>116.959064327485</v>
      </c>
      <c r="L462" s="2613" t="n">
        <f aca="false">J462/K462</f>
        <v>106.875</v>
      </c>
      <c r="M462" s="2613" t="n">
        <f aca="false">E411</f>
        <v>0.00855</v>
      </c>
      <c r="N462" s="2613" t="n">
        <f aca="false">F411</f>
        <v>0.19</v>
      </c>
      <c r="O462" s="2613" t="n">
        <f aca="false">G411</f>
        <v>0.045</v>
      </c>
      <c r="P462" s="1150" t="str">
        <f aca="false">I462</f>
        <v>Доска сухая калиброванная, 190*45мм</v>
      </c>
      <c r="Q462" s="2678" t="n">
        <f aca="false">L462</f>
        <v>106.875</v>
      </c>
      <c r="S462" s="2679" t="str">
        <f aca="false">'Прайс лист'!B848</f>
        <v>Пластина соеденительная 150х240х2</v>
      </c>
      <c r="T462" s="1150" t="n">
        <f aca="false">'Прайс лист'!G848</f>
        <v>55</v>
      </c>
      <c r="U462" s="896" t="str">
        <f aca="false">'Прайс лист'!B898</f>
        <v>Гвозди ершоные 2,8 х 90</v>
      </c>
      <c r="V462" s="1150" t="n">
        <f aca="false">'Прайс лист'!F898</f>
        <v>0.95</v>
      </c>
      <c r="W462" s="896" t="str">
        <f aca="false">'Прайс лист'!B862</f>
        <v>Болты анкерные с гайкой 12,0 x 120</v>
      </c>
      <c r="X462" s="1150" t="n">
        <f aca="false">'Прайс лист'!G862</f>
        <v>11.5</v>
      </c>
      <c r="AG462" s="2315" t="n">
        <v>31.1</v>
      </c>
      <c r="AH462" s="2606" t="n">
        <f aca="false">AG462*3.1415926535897/180</f>
        <v>0.54279739737022</v>
      </c>
      <c r="AI462" s="2606" t="n">
        <f aca="false">AH462+0.0005</f>
        <v>0.54329739737022</v>
      </c>
      <c r="AJ462" s="2606" t="n">
        <f aca="false">AH462-0.0005</f>
        <v>0.54229739737022</v>
      </c>
      <c r="AK462" s="2315" t="n">
        <f aca="false">IF(AND(дома!$Z$29&gt;=AJ462,дома!$Z$29&lt;=AI462),связи1!AG462,0)</f>
        <v>0</v>
      </c>
      <c r="AL462" s="2315" t="n">
        <f aca="false">IF(AND(дома!$AA$29&gt;=AJ462,дома!$AA$29&lt;=AI462),связи1!AG462,0)</f>
        <v>0</v>
      </c>
    </row>
    <row r="463" customFormat="false" ht="15.5" hidden="false" customHeight="false" outlineLevel="0" collapsed="false">
      <c r="I463" s="2677" t="str">
        <f aca="false">A412</f>
        <v>Доска сухая калиброванная, 145*45мм</v>
      </c>
      <c r="J463" s="2613" t="n">
        <f aca="false">B412</f>
        <v>12500</v>
      </c>
      <c r="K463" s="2613" t="n">
        <f aca="false">C412</f>
        <v>153.256704980843</v>
      </c>
      <c r="L463" s="2613" t="n">
        <f aca="false">J463/K463</f>
        <v>81.5625</v>
      </c>
      <c r="M463" s="2613" t="n">
        <f aca="false">E412</f>
        <v>0.006525</v>
      </c>
      <c r="N463" s="2613" t="n">
        <f aca="false">F412</f>
        <v>0.145</v>
      </c>
      <c r="O463" s="2613" t="n">
        <f aca="false">G412</f>
        <v>0.045</v>
      </c>
      <c r="P463" s="1150" t="str">
        <f aca="false">I463</f>
        <v>Доска сухая калиброванная, 145*45мм</v>
      </c>
      <c r="Q463" s="2678" t="n">
        <f aca="false">L463</f>
        <v>81.5625</v>
      </c>
      <c r="S463" s="896" t="str">
        <f aca="false">'Прайс лист'!B846</f>
        <v>Пластина соеденительная 100х240х2</v>
      </c>
      <c r="T463" s="1150" t="n">
        <f aca="false">'Прайс лист'!G846</f>
        <v>31.54</v>
      </c>
      <c r="U463" s="896" t="str">
        <f aca="false">'Прайс лист'!B898</f>
        <v>Гвозди ершоные 2,8 х 90</v>
      </c>
      <c r="V463" s="1150" t="n">
        <f aca="false">'Прайс лист'!F898</f>
        <v>0.95</v>
      </c>
      <c r="W463" s="896" t="str">
        <f aca="false">'Прайс лист'!B862</f>
        <v>Болты анкерные с гайкой 12,0 x 120</v>
      </c>
      <c r="X463" s="1150" t="n">
        <f aca="false">'Прайс лист'!G862</f>
        <v>11.5</v>
      </c>
      <c r="AG463" s="2315" t="n">
        <v>31.2</v>
      </c>
      <c r="AH463" s="2606" t="n">
        <f aca="false">AG463*3.1415926535897/180</f>
        <v>0.544542726622215</v>
      </c>
      <c r="AI463" s="2606" t="n">
        <f aca="false">AH463+0.0005</f>
        <v>0.545042726622215</v>
      </c>
      <c r="AJ463" s="2606" t="n">
        <f aca="false">AH463-0.0005</f>
        <v>0.544042726622215</v>
      </c>
      <c r="AK463" s="2315" t="n">
        <f aca="false">IF(AND(дома!$Z$29&gt;=AJ463,дома!$Z$29&lt;=AI463),связи1!AG463,0)</f>
        <v>0</v>
      </c>
      <c r="AL463" s="2315" t="n">
        <f aca="false">IF(AND(дома!$AA$29&gt;=AJ463,дома!$AA$29&lt;=AI463),связи1!AG463,0)</f>
        <v>0</v>
      </c>
    </row>
    <row r="464" customFormat="false" ht="15.5" hidden="false" customHeight="false" outlineLevel="0" collapsed="false">
      <c r="I464" s="2677" t="str">
        <f aca="false">A413</f>
        <v>Доска сухая калиброванная, 100*45мм</v>
      </c>
      <c r="J464" s="2613" t="n">
        <f aca="false">B413</f>
        <v>12500</v>
      </c>
      <c r="K464" s="2613" t="n">
        <f aca="false">C413</f>
        <v>222.222222222222</v>
      </c>
      <c r="L464" s="2613" t="n">
        <f aca="false">J464/K464</f>
        <v>56.25</v>
      </c>
      <c r="M464" s="2613" t="n">
        <f aca="false">E413</f>
        <v>0.0045</v>
      </c>
      <c r="N464" s="2613" t="n">
        <f aca="false">F413</f>
        <v>0.1</v>
      </c>
      <c r="O464" s="2613" t="n">
        <f aca="false">G413</f>
        <v>0.045</v>
      </c>
      <c r="P464" s="1150" t="str">
        <f aca="false">I464</f>
        <v>Доска сухая калиброванная, 100*45мм</v>
      </c>
      <c r="Q464" s="2678" t="n">
        <f aca="false">L464</f>
        <v>56.25</v>
      </c>
      <c r="S464" s="896" t="str">
        <f aca="false">'Прайс лист'!B846</f>
        <v>Пластина соеденительная 100х240х2</v>
      </c>
      <c r="T464" s="1150" t="n">
        <f aca="false">'Прайс лист'!G846</f>
        <v>31.54</v>
      </c>
      <c r="U464" s="896" t="str">
        <f aca="false">'Прайс лист'!B898</f>
        <v>Гвозди ершоные 2,8 х 90</v>
      </c>
      <c r="V464" s="1150" t="n">
        <f aca="false">'Прайс лист'!F898</f>
        <v>0.95</v>
      </c>
      <c r="W464" s="896" t="str">
        <f aca="false">'Прайс лист'!B862</f>
        <v>Болты анкерные с гайкой 12,0 x 120</v>
      </c>
      <c r="X464" s="1150" t="n">
        <f aca="false">'Прайс лист'!G862</f>
        <v>11.5</v>
      </c>
      <c r="AG464" s="2315"/>
      <c r="AH464" s="2606"/>
      <c r="AI464" s="2606"/>
      <c r="AJ464" s="2606"/>
      <c r="AK464" s="2315"/>
      <c r="AL464" s="2315"/>
    </row>
    <row r="465" customFormat="false" ht="15.5" hidden="false" customHeight="false" outlineLevel="0" collapsed="false">
      <c r="I465" s="2677" t="str">
        <f aca="false">A414</f>
        <v>Доска сырая, 200*50мм</v>
      </c>
      <c r="J465" s="2613" t="n">
        <f aca="false">B414</f>
        <v>6500</v>
      </c>
      <c r="K465" s="2613" t="n">
        <f aca="false">C414</f>
        <v>100</v>
      </c>
      <c r="L465" s="2613" t="n">
        <f aca="false">J465/K465</f>
        <v>65</v>
      </c>
      <c r="M465" s="2613" t="n">
        <f aca="false">E414</f>
        <v>0.01</v>
      </c>
      <c r="N465" s="2613" t="n">
        <f aca="false">F414</f>
        <v>0.2</v>
      </c>
      <c r="O465" s="2613" t="n">
        <f aca="false">G414</f>
        <v>0.05</v>
      </c>
      <c r="P465" s="1150" t="str">
        <f aca="false">I465</f>
        <v>Доска сырая, 200*50мм</v>
      </c>
      <c r="Q465" s="2678" t="n">
        <f aca="false">L465</f>
        <v>65</v>
      </c>
      <c r="S465" s="896" t="str">
        <f aca="false">'Прайс лист'!B848</f>
        <v>Пластина соеденительная 150х240х2</v>
      </c>
      <c r="T465" s="1150" t="n">
        <f aca="false">'Прайс лист'!G848</f>
        <v>55</v>
      </c>
      <c r="U465" s="896" t="str">
        <f aca="false">'Прайс лист'!B892</f>
        <v>Гвозди строительные 3,5 x 120</v>
      </c>
      <c r="V465" s="1150" t="n">
        <f aca="false">'Прайс лист'!F892</f>
        <v>0.85</v>
      </c>
      <c r="W465" s="896" t="str">
        <f aca="false">'Прайс лист'!B862</f>
        <v>Болты анкерные с гайкой 12,0 x 120</v>
      </c>
      <c r="X465" s="1150" t="n">
        <f aca="false">'Прайс лист'!G862</f>
        <v>11.5</v>
      </c>
      <c r="AG465" s="2315" t="n">
        <v>31.3</v>
      </c>
      <c r="AH465" s="2606" t="n">
        <f aca="false">AG465*3.1415926535897/180</f>
        <v>0.546288055874209</v>
      </c>
      <c r="AI465" s="2606" t="n">
        <f aca="false">AH465+0.0005</f>
        <v>0.546788055874209</v>
      </c>
      <c r="AJ465" s="2606" t="n">
        <f aca="false">AH465-0.0005</f>
        <v>0.545788055874209</v>
      </c>
      <c r="AK465" s="2315" t="n">
        <f aca="false">IF(AND(дома!$Z$29&gt;=AJ465,дома!$Z$29&lt;=AI465),связи1!AG465,0)</f>
        <v>0</v>
      </c>
      <c r="AL465" s="2315" t="n">
        <f aca="false">IF(AND(дома!$AA$29&gt;=AJ465,дома!$AA$29&lt;=AI465),связи1!AG465,0)</f>
        <v>0</v>
      </c>
    </row>
    <row r="466" customFormat="false" ht="15.5" hidden="false" customHeight="false" outlineLevel="0" collapsed="false">
      <c r="I466" s="2677" t="str">
        <f aca="false">A415</f>
        <v>Доска сырая, 150*50мм</v>
      </c>
      <c r="J466" s="2613" t="n">
        <f aca="false">B415</f>
        <v>6500</v>
      </c>
      <c r="K466" s="2613" t="n">
        <f aca="false">C415</f>
        <v>133.333333333333</v>
      </c>
      <c r="L466" s="2613" t="n">
        <f aca="false">J466/K466</f>
        <v>48.75</v>
      </c>
      <c r="M466" s="2613" t="n">
        <f aca="false">E415</f>
        <v>0.0075</v>
      </c>
      <c r="N466" s="2613" t="n">
        <f aca="false">F415</f>
        <v>0.15</v>
      </c>
      <c r="O466" s="2613" t="n">
        <f aca="false">G415</f>
        <v>0.05</v>
      </c>
      <c r="P466" s="1150" t="str">
        <f aca="false">I466</f>
        <v>Доска сырая, 150*50мм</v>
      </c>
      <c r="Q466" s="2678" t="n">
        <f aca="false">L466</f>
        <v>48.75</v>
      </c>
      <c r="S466" s="896" t="str">
        <f aca="false">'Прайс лист'!B846</f>
        <v>Пластина соеденительная 100х240х2</v>
      </c>
      <c r="T466" s="1150" t="n">
        <f aca="false">'Прайс лист'!G846</f>
        <v>31.54</v>
      </c>
      <c r="U466" s="896" t="str">
        <f aca="false">'Прайс лист'!B892</f>
        <v>Гвозди строительные 3,5 x 120</v>
      </c>
      <c r="V466" s="1150" t="n">
        <f aca="false">'Прайс лист'!F892</f>
        <v>0.85</v>
      </c>
      <c r="W466" s="896" t="str">
        <f aca="false">'Прайс лист'!B862</f>
        <v>Болты анкерные с гайкой 12,0 x 120</v>
      </c>
      <c r="X466" s="1150" t="n">
        <f aca="false">'Прайс лист'!G862</f>
        <v>11.5</v>
      </c>
      <c r="AG466" s="2315" t="n">
        <v>31.4</v>
      </c>
      <c r="AH466" s="2606" t="n">
        <f aca="false">AG466*3.1415926535897/180</f>
        <v>0.548033385126203</v>
      </c>
      <c r="AI466" s="2606" t="n">
        <f aca="false">AH466+0.0005</f>
        <v>0.548533385126203</v>
      </c>
      <c r="AJ466" s="2606" t="n">
        <f aca="false">AH466-0.0005</f>
        <v>0.547533385126203</v>
      </c>
      <c r="AK466" s="2315" t="n">
        <f aca="false">IF(AND(дома!$Z$29&gt;=AJ466,дома!$Z$29&lt;=AI466),связи1!AG466,0)</f>
        <v>0</v>
      </c>
      <c r="AL466" s="2315" t="n">
        <f aca="false">IF(AND(дома!$AA$29&gt;=AJ466,дома!$AA$29&lt;=AI466),связи1!AG466,0)</f>
        <v>0</v>
      </c>
    </row>
    <row r="467" customFormat="false" ht="15.5" hidden="false" customHeight="false" outlineLevel="0" collapsed="false">
      <c r="I467" s="2677" t="str">
        <f aca="false">A416</f>
        <v>Доска сырая, 100*50мм</v>
      </c>
      <c r="J467" s="2613" t="n">
        <f aca="false">B416</f>
        <v>6500</v>
      </c>
      <c r="K467" s="2613" t="n">
        <f aca="false">C416</f>
        <v>200</v>
      </c>
      <c r="L467" s="2613" t="n">
        <f aca="false">J467/K467</f>
        <v>32.5</v>
      </c>
      <c r="M467" s="2613" t="n">
        <f aca="false">E416</f>
        <v>0.005</v>
      </c>
      <c r="N467" s="2613" t="n">
        <f aca="false">F416</f>
        <v>0.1</v>
      </c>
      <c r="O467" s="2613" t="n">
        <f aca="false">G416</f>
        <v>0.05</v>
      </c>
      <c r="P467" s="1150" t="str">
        <f aca="false">I467</f>
        <v>Доска сырая, 100*50мм</v>
      </c>
      <c r="Q467" s="2678" t="n">
        <f aca="false">L467</f>
        <v>32.5</v>
      </c>
      <c r="S467" s="896" t="str">
        <f aca="false">'Прайс лист'!B846</f>
        <v>Пластина соеденительная 100х240х2</v>
      </c>
      <c r="T467" s="1150" t="n">
        <f aca="false">'Прайс лист'!G846</f>
        <v>31.54</v>
      </c>
      <c r="U467" s="896" t="str">
        <f aca="false">'Прайс лист'!B892</f>
        <v>Гвозди строительные 3,5 x 120</v>
      </c>
      <c r="V467" s="1150" t="n">
        <f aca="false">'Прайс лист'!F892</f>
        <v>0.85</v>
      </c>
      <c r="W467" s="896" t="str">
        <f aca="false">'Прайс лист'!B862</f>
        <v>Болты анкерные с гайкой 12,0 x 120</v>
      </c>
      <c r="X467" s="1150" t="n">
        <f aca="false">'Прайс лист'!G862</f>
        <v>11.5</v>
      </c>
      <c r="AG467" s="2315" t="n">
        <v>31.5</v>
      </c>
      <c r="AH467" s="2606" t="n">
        <f aca="false">AG467*3.1415926535897/180</f>
        <v>0.549778714378197</v>
      </c>
      <c r="AI467" s="2606" t="n">
        <f aca="false">AH467+0.0005</f>
        <v>0.550278714378197</v>
      </c>
      <c r="AJ467" s="2606" t="n">
        <f aca="false">AH467-0.0005</f>
        <v>0.549278714378197</v>
      </c>
      <c r="AK467" s="2315" t="n">
        <f aca="false">IF(AND(дома!$Z$29&gt;=AJ467,дома!$Z$29&lt;=AI467),связи1!AG467,0)</f>
        <v>0</v>
      </c>
      <c r="AL467" s="2315" t="n">
        <f aca="false">IF(AND(дома!$AA$29&gt;=AJ467,дома!$AA$29&lt;=AI467),связи1!AG467,0)</f>
        <v>0</v>
      </c>
    </row>
    <row r="468" customFormat="false" ht="15.5" hidden="false" customHeight="false" outlineLevel="0" collapsed="false">
      <c r="A468" s="896" t="s">
        <v>4573</v>
      </c>
      <c r="I468" s="2677" t="str">
        <f aca="false">'Прайс лист'!B558</f>
        <v>ГПС 100х50-1,2</v>
      </c>
      <c r="J468" s="2614" t="n">
        <f aca="false">'Прайс лист'!G558</f>
        <v>163</v>
      </c>
      <c r="K468" s="2613" t="n">
        <f aca="false">'Прайс лист'!D558</f>
        <v>2.59</v>
      </c>
      <c r="L468" s="2615" t="n">
        <f aca="false">J468/K468</f>
        <v>62.9343629343629</v>
      </c>
      <c r="M468" s="2613" t="n">
        <f aca="false">N468*O468</f>
        <v>0.005</v>
      </c>
      <c r="N468" s="2613" t="n">
        <v>0.1</v>
      </c>
      <c r="O468" s="2613" t="n">
        <v>0.05</v>
      </c>
      <c r="P468" s="1150" t="str">
        <f aca="false">'Прайс лист'!B579</f>
        <v>ГПН 102х35-1,2</v>
      </c>
      <c r="Q468" s="2616" t="n">
        <f aca="false">'Прайс лист'!G579</f>
        <v>127</v>
      </c>
      <c r="S468" s="896" t="str">
        <f aca="false">'Прайс лист'!B846</f>
        <v>Пластина соеденительная 100х240х2</v>
      </c>
      <c r="T468" s="1150" t="n">
        <f aca="false">'Прайс лист'!G846</f>
        <v>31.54</v>
      </c>
      <c r="U468" s="896" t="str">
        <f aca="false">'Прайс лист'!B882</f>
        <v>Саморез 5,5 х 25</v>
      </c>
      <c r="V468" s="1150" t="n">
        <f aca="false">'Прайс лист'!F882</f>
        <v>2.5</v>
      </c>
      <c r="W468" s="896" t="str">
        <f aca="false">'Прайс лист'!B861</f>
        <v>Болты анкерные с гайкой 12,0 x 100</v>
      </c>
      <c r="X468" s="1150" t="n">
        <f aca="false">'Прайс лист'!G861</f>
        <v>11.2</v>
      </c>
      <c r="Y468" s="1150" t="str">
        <f aca="false">'Прайс лист'!B642</f>
        <v>L 50 x 50, 1,2мм</v>
      </c>
      <c r="Z468" s="2616" t="n">
        <f aca="false">'Прайс лист'!G642</f>
        <v>77</v>
      </c>
      <c r="AG468" s="2315" t="n">
        <v>31.6</v>
      </c>
      <c r="AH468" s="2606" t="n">
        <f aca="false">AG468*3.1415926535897/180</f>
        <v>0.551524043630192</v>
      </c>
      <c r="AI468" s="2606" t="n">
        <f aca="false">AH468+0.0005</f>
        <v>0.552024043630192</v>
      </c>
      <c r="AJ468" s="2606" t="n">
        <f aca="false">AH468-0.0005</f>
        <v>0.551024043630192</v>
      </c>
      <c r="AK468" s="2315" t="n">
        <f aca="false">IF(AND(дома!$Z$29&gt;=AJ468,дома!$Z$29&lt;=AI468),связи1!AG468,0)</f>
        <v>0</v>
      </c>
      <c r="AL468" s="2315" t="n">
        <f aca="false">IF(AND(дома!$AA$29&gt;=AJ468,дома!$AA$29&lt;=AI468),связи1!AG468,0)</f>
        <v>0</v>
      </c>
    </row>
    <row r="469" customFormat="false" ht="15.5" hidden="false" customHeight="false" outlineLevel="0" collapsed="false">
      <c r="A469" s="896" t="s">
        <v>4574</v>
      </c>
      <c r="I469" s="2677" t="str">
        <f aca="false">'Прайс лист'!B559</f>
        <v>ГПС 100х50-1,5</v>
      </c>
      <c r="J469" s="2614" t="n">
        <f aca="false">'Прайс лист'!G559</f>
        <v>204</v>
      </c>
      <c r="K469" s="2613" t="n">
        <f aca="false">'Прайс лист'!D559</f>
        <v>3.21</v>
      </c>
      <c r="L469" s="2615" t="n">
        <f aca="false">J469/K469</f>
        <v>63.5514018691589</v>
      </c>
      <c r="M469" s="2613" t="n">
        <f aca="false">N469*O469</f>
        <v>0.005</v>
      </c>
      <c r="N469" s="2613" t="n">
        <v>0.1</v>
      </c>
      <c r="O469" s="2613" t="n">
        <v>0.05</v>
      </c>
      <c r="P469" s="1150" t="str">
        <f aca="false">'Прайс лист'!B580</f>
        <v>ГПН 102х35-1,5</v>
      </c>
      <c r="Q469" s="2616" t="n">
        <f aca="false">'Прайс лист'!G580</f>
        <v>158</v>
      </c>
      <c r="S469" s="896" t="str">
        <f aca="false">'Прайс лист'!B846</f>
        <v>Пластина соеденительная 100х240х2</v>
      </c>
      <c r="T469" s="1150" t="n">
        <f aca="false">'Прайс лист'!G846</f>
        <v>31.54</v>
      </c>
      <c r="U469" s="896" t="str">
        <f aca="false">'Прайс лист'!B882</f>
        <v>Саморез 5,5 х 25</v>
      </c>
      <c r="V469" s="1150" t="n">
        <f aca="false">'Прайс лист'!F882</f>
        <v>2.5</v>
      </c>
      <c r="W469" s="896" t="str">
        <f aca="false">'Прайс лист'!B861</f>
        <v>Болты анкерные с гайкой 12,0 x 100</v>
      </c>
      <c r="X469" s="1150" t="n">
        <f aca="false">'Прайс лист'!G861</f>
        <v>11.2</v>
      </c>
      <c r="Y469" s="896" t="str">
        <f aca="false">'Прайс лист'!B642</f>
        <v>L 50 x 50, 1,2мм</v>
      </c>
      <c r="Z469" s="2616" t="n">
        <f aca="false">'Прайс лист'!G642</f>
        <v>77</v>
      </c>
      <c r="AG469" s="2315" t="n">
        <v>31.7</v>
      </c>
      <c r="AH469" s="2606" t="n">
        <f aca="false">AG469*3.1415926535897/180</f>
        <v>0.553269372882186</v>
      </c>
      <c r="AI469" s="2606" t="n">
        <f aca="false">AH469+0.0005</f>
        <v>0.553769372882186</v>
      </c>
      <c r="AJ469" s="2606" t="n">
        <f aca="false">AH469-0.0005</f>
        <v>0.552769372882186</v>
      </c>
      <c r="AK469" s="2315" t="n">
        <f aca="false">IF(AND(дома!$Z$29&gt;=AJ469,дома!$Z$29&lt;=AI469),связи1!AG469,0)</f>
        <v>0</v>
      </c>
      <c r="AL469" s="2315" t="n">
        <f aca="false">IF(AND(дома!$AA$29&gt;=AJ469,дома!$AA$29&lt;=AI469),связи1!AG469,0)</f>
        <v>0</v>
      </c>
    </row>
    <row r="470" customFormat="false" ht="15.5" hidden="false" customHeight="false" outlineLevel="0" collapsed="false">
      <c r="A470" s="896" t="s">
        <v>4575</v>
      </c>
      <c r="I470" s="2677" t="str">
        <f aca="false">'Прайс лист'!B560</f>
        <v>ГПС 100х50-2,0</v>
      </c>
      <c r="J470" s="2614" t="n">
        <f aca="false">'Прайс лист'!G560</f>
        <v>272</v>
      </c>
      <c r="K470" s="2613" t="n">
        <f aca="false">'Прайс лист'!D560</f>
        <v>4.23</v>
      </c>
      <c r="L470" s="2615" t="n">
        <f aca="false">J470/K470</f>
        <v>64.3026004728132</v>
      </c>
      <c r="M470" s="2613" t="n">
        <f aca="false">N470*O470</f>
        <v>0.005</v>
      </c>
      <c r="N470" s="2613" t="n">
        <v>0.1</v>
      </c>
      <c r="O470" s="2613" t="n">
        <v>0.05</v>
      </c>
      <c r="P470" s="1150" t="str">
        <f aca="false">'Прайс лист'!B581</f>
        <v>ГПН 102х35-2,0</v>
      </c>
      <c r="Q470" s="2616" t="n">
        <f aca="false">'Прайс лист'!G581</f>
        <v>199</v>
      </c>
      <c r="S470" s="896" t="str">
        <f aca="false">'Прайс лист'!B846</f>
        <v>Пластина соеденительная 100х240х2</v>
      </c>
      <c r="T470" s="1150" t="n">
        <f aca="false">'Прайс лист'!G846</f>
        <v>31.54</v>
      </c>
      <c r="U470" s="896" t="str">
        <f aca="false">'Прайс лист'!B882</f>
        <v>Саморез 5,5 х 25</v>
      </c>
      <c r="V470" s="1150" t="n">
        <f aca="false">'Прайс лист'!F882</f>
        <v>2.5</v>
      </c>
      <c r="W470" s="896" t="str">
        <f aca="false">'Прайс лист'!B861</f>
        <v>Болты анкерные с гайкой 12,0 x 100</v>
      </c>
      <c r="X470" s="1150" t="n">
        <f aca="false">'Прайс лист'!G861</f>
        <v>11.2</v>
      </c>
      <c r="Y470" s="896" t="str">
        <f aca="false">'Прайс лист'!B642</f>
        <v>L 50 x 50, 1,2мм</v>
      </c>
      <c r="Z470" s="2616" t="n">
        <f aca="false">'Прайс лист'!G642</f>
        <v>77</v>
      </c>
      <c r="AG470" s="2315" t="n">
        <v>31.8</v>
      </c>
      <c r="AH470" s="2606" t="n">
        <f aca="false">AG470*3.1415926535897/180</f>
        <v>0.55501470213418</v>
      </c>
      <c r="AI470" s="2606" t="n">
        <f aca="false">AH470+0.0005</f>
        <v>0.55551470213418</v>
      </c>
      <c r="AJ470" s="2606" t="n">
        <f aca="false">AH470-0.0005</f>
        <v>0.55451470213418</v>
      </c>
      <c r="AK470" s="2315" t="n">
        <f aca="false">IF(AND(дома!$Z$29&gt;=AJ470,дома!$Z$29&lt;=AI470),связи1!AG470,0)</f>
        <v>0</v>
      </c>
      <c r="AL470" s="2315" t="n">
        <f aca="false">IF(AND(дома!$AA$29&gt;=AJ470,дома!$AA$29&lt;=AI470),связи1!AG470,0)</f>
        <v>0</v>
      </c>
    </row>
    <row r="471" customFormat="false" ht="15.5" hidden="false" customHeight="false" outlineLevel="0" collapsed="false">
      <c r="A471" s="896" t="s">
        <v>4576</v>
      </c>
      <c r="I471" s="2677" t="str">
        <f aca="false">'Прайс лист'!B561</f>
        <v>ГПС 120х50-1,2</v>
      </c>
      <c r="J471" s="2614" t="n">
        <f aca="false">'Прайс лист'!G561</f>
        <v>179</v>
      </c>
      <c r="K471" s="2613" t="n">
        <f aca="false">'Прайс лист'!D561</f>
        <v>2.7</v>
      </c>
      <c r="L471" s="2615" t="n">
        <f aca="false">J471/K471</f>
        <v>66.2962962962963</v>
      </c>
      <c r="M471" s="2613" t="n">
        <f aca="false">N471*O471</f>
        <v>0.006</v>
      </c>
      <c r="N471" s="2613" t="n">
        <v>0.12</v>
      </c>
      <c r="O471" s="2613" t="n">
        <v>0.05</v>
      </c>
      <c r="P471" s="1150" t="str">
        <f aca="false">'Прайс лист'!B582</f>
        <v>ГПН 122х35-1,2</v>
      </c>
      <c r="Q471" s="2616" t="n">
        <f aca="false">'Прайс лист'!G582</f>
        <v>131</v>
      </c>
      <c r="S471" s="896" t="str">
        <f aca="false">'Прайс лист'!B846</f>
        <v>Пластина соеденительная 100х240х2</v>
      </c>
      <c r="T471" s="1150" t="n">
        <f aca="false">'Прайс лист'!G846</f>
        <v>31.54</v>
      </c>
      <c r="U471" s="896" t="str">
        <f aca="false">'Прайс лист'!B882</f>
        <v>Саморез 5,5 х 25</v>
      </c>
      <c r="V471" s="1150" t="n">
        <f aca="false">'Прайс лист'!F882</f>
        <v>2.5</v>
      </c>
      <c r="W471" s="896" t="str">
        <f aca="false">'Прайс лист'!B861</f>
        <v>Болты анкерные с гайкой 12,0 x 100</v>
      </c>
      <c r="X471" s="1150" t="n">
        <f aca="false">'Прайс лист'!G861</f>
        <v>11.2</v>
      </c>
      <c r="Y471" s="896" t="str">
        <f aca="false">'Прайс лист'!B642</f>
        <v>L 50 x 50, 1,2мм</v>
      </c>
      <c r="Z471" s="2616" t="n">
        <f aca="false">'Прайс лист'!G642</f>
        <v>77</v>
      </c>
      <c r="AG471" s="2315" t="n">
        <v>31.9</v>
      </c>
      <c r="AH471" s="2606" t="n">
        <f aca="false">AG471*3.1415926535897/180</f>
        <v>0.556760031386174</v>
      </c>
      <c r="AI471" s="2606" t="n">
        <f aca="false">AH471+0.0005</f>
        <v>0.557260031386174</v>
      </c>
      <c r="AJ471" s="2606" t="n">
        <f aca="false">AH471-0.0005</f>
        <v>0.556260031386175</v>
      </c>
      <c r="AK471" s="2315" t="n">
        <f aca="false">IF(AND(дома!$Z$29&gt;=AJ471,дома!$Z$29&lt;=AI471),связи1!AG471,0)</f>
        <v>0</v>
      </c>
      <c r="AL471" s="2315" t="n">
        <f aca="false">IF(AND(дома!$AA$29&gt;=AJ471,дома!$AA$29&lt;=AI471),связи1!AG471,0)</f>
        <v>0</v>
      </c>
    </row>
    <row r="472" customFormat="false" ht="15.5" hidden="false" customHeight="false" outlineLevel="0" collapsed="false">
      <c r="A472" s="896" t="s">
        <v>4577</v>
      </c>
      <c r="I472" s="2677" t="str">
        <f aca="false">'Прайс лист'!B562</f>
        <v>ГПС 120х50-1,5</v>
      </c>
      <c r="J472" s="2614" t="n">
        <f aca="false">'Прайс лист'!G562</f>
        <v>224</v>
      </c>
      <c r="K472" s="2613" t="n">
        <f aca="false">'Прайс лист'!D562</f>
        <v>3.4</v>
      </c>
      <c r="L472" s="2615" t="n">
        <f aca="false">J472/K472</f>
        <v>65.8823529411765</v>
      </c>
      <c r="M472" s="2613" t="n">
        <f aca="false">N472*O472</f>
        <v>0.006</v>
      </c>
      <c r="N472" s="2613" t="n">
        <v>0.12</v>
      </c>
      <c r="O472" s="2613" t="n">
        <v>0.05</v>
      </c>
      <c r="P472" s="1150" t="str">
        <f aca="false">'Прайс лист'!B583</f>
        <v>ГПН 122х35-1,5</v>
      </c>
      <c r="Q472" s="2616" t="n">
        <f aca="false">'Прайс лист'!G583</f>
        <v>163</v>
      </c>
      <c r="S472" s="896" t="str">
        <f aca="false">'Прайс лист'!B846</f>
        <v>Пластина соеденительная 100х240х2</v>
      </c>
      <c r="T472" s="1150" t="n">
        <f aca="false">'Прайс лист'!G846</f>
        <v>31.54</v>
      </c>
      <c r="U472" s="896" t="str">
        <f aca="false">'Прайс лист'!B882</f>
        <v>Саморез 5,5 х 25</v>
      </c>
      <c r="V472" s="1150" t="n">
        <f aca="false">'Прайс лист'!F882</f>
        <v>2.5</v>
      </c>
      <c r="W472" s="896" t="str">
        <f aca="false">'Прайс лист'!B861</f>
        <v>Болты анкерные с гайкой 12,0 x 100</v>
      </c>
      <c r="X472" s="1150" t="n">
        <f aca="false">'Прайс лист'!G861</f>
        <v>11.2</v>
      </c>
      <c r="Y472" s="896" t="str">
        <f aca="false">'Прайс лист'!B642</f>
        <v>L 50 x 50, 1,2мм</v>
      </c>
      <c r="Z472" s="2616" t="n">
        <f aca="false">'Прайс лист'!G642</f>
        <v>77</v>
      </c>
      <c r="AG472" s="2315" t="n">
        <v>32</v>
      </c>
      <c r="AH472" s="2606" t="n">
        <f aca="false">AG472*3.1415926535897/180</f>
        <v>0.558505360638169</v>
      </c>
      <c r="AI472" s="2606" t="n">
        <f aca="false">AH472+0.0005</f>
        <v>0.559005360638169</v>
      </c>
      <c r="AJ472" s="2606" t="n">
        <f aca="false">AH472-0.0005</f>
        <v>0.558005360638169</v>
      </c>
      <c r="AK472" s="2315" t="n">
        <f aca="false">IF(AND(дома!$Z$29&gt;=AJ472,дома!$Z$29&lt;=AI472),связи1!AG472,0)</f>
        <v>0</v>
      </c>
      <c r="AL472" s="2315" t="n">
        <f aca="false">IF(AND(дома!$AA$29&gt;=AJ472,дома!$AA$29&lt;=AI472),связи1!AG472,0)</f>
        <v>0</v>
      </c>
    </row>
    <row r="473" customFormat="false" ht="15.5" hidden="false" customHeight="false" outlineLevel="0" collapsed="false">
      <c r="A473" s="896" t="s">
        <v>4578</v>
      </c>
      <c r="I473" s="2677" t="str">
        <f aca="false">'Прайс лист'!B563</f>
        <v>ГПС 120х50-2,0</v>
      </c>
      <c r="J473" s="2614" t="n">
        <f aca="false">'Прайс лист'!G563</f>
        <v>299</v>
      </c>
      <c r="K473" s="2613" t="n">
        <f aca="false">'Прайс лист'!D563</f>
        <v>4.56</v>
      </c>
      <c r="L473" s="2615" t="n">
        <f aca="false">J473/K473</f>
        <v>65.5701754385965</v>
      </c>
      <c r="M473" s="2613" t="n">
        <f aca="false">N473*O473</f>
        <v>0.006</v>
      </c>
      <c r="N473" s="2613" t="n">
        <v>0.12</v>
      </c>
      <c r="O473" s="2613" t="n">
        <v>0.05</v>
      </c>
      <c r="P473" s="1150" t="str">
        <f aca="false">'Прайс лист'!B584</f>
        <v>ГПН 122х35-2,0</v>
      </c>
      <c r="Q473" s="2616" t="n">
        <f aca="false">'Прайс лист'!G584</f>
        <v>216</v>
      </c>
      <c r="S473" s="896" t="str">
        <f aca="false">'Прайс лист'!B846</f>
        <v>Пластина соеденительная 100х240х2</v>
      </c>
      <c r="T473" s="1150" t="n">
        <f aca="false">'Прайс лист'!G846</f>
        <v>31.54</v>
      </c>
      <c r="U473" s="896" t="str">
        <f aca="false">'Прайс лист'!B882</f>
        <v>Саморез 5,5 х 25</v>
      </c>
      <c r="V473" s="1150" t="n">
        <f aca="false">'Прайс лист'!F882</f>
        <v>2.5</v>
      </c>
      <c r="W473" s="896" t="str">
        <f aca="false">'Прайс лист'!B861</f>
        <v>Болты анкерные с гайкой 12,0 x 100</v>
      </c>
      <c r="X473" s="1150" t="n">
        <f aca="false">'Прайс лист'!G861</f>
        <v>11.2</v>
      </c>
      <c r="Y473" s="896" t="str">
        <f aca="false">'Прайс лист'!B642</f>
        <v>L 50 x 50, 1,2мм</v>
      </c>
      <c r="Z473" s="2616" t="n">
        <f aca="false">'Прайс лист'!G642</f>
        <v>77</v>
      </c>
      <c r="AG473" s="2315" t="n">
        <v>32.1</v>
      </c>
      <c r="AH473" s="2606" t="n">
        <f aca="false">AG473*3.1415926535897/180</f>
        <v>0.560250689890163</v>
      </c>
      <c r="AI473" s="2606" t="n">
        <f aca="false">AH473+0.0005</f>
        <v>0.560750689890163</v>
      </c>
      <c r="AJ473" s="2606" t="n">
        <f aca="false">AH473-0.0005</f>
        <v>0.559750689890163</v>
      </c>
      <c r="AK473" s="2315" t="n">
        <f aca="false">IF(AND(дома!$Z$29&gt;=AJ473,дома!$Z$29&lt;=AI473),связи1!AG473,0)</f>
        <v>0</v>
      </c>
      <c r="AL473" s="2315" t="n">
        <f aca="false">IF(AND(дома!$AA$29&gt;=AJ473,дома!$AA$29&lt;=AI473),связи1!AG473,0)</f>
        <v>0</v>
      </c>
    </row>
    <row r="474" customFormat="false" ht="15.5" hidden="false" customHeight="false" outlineLevel="0" collapsed="false">
      <c r="I474" s="2677" t="str">
        <f aca="false">'Прайс лист'!B564</f>
        <v>ГПС 150х50-1,2</v>
      </c>
      <c r="J474" s="2614" t="n">
        <f aca="false">'Прайс лист'!G564</f>
        <v>201</v>
      </c>
      <c r="K474" s="2613" t="n">
        <f aca="false">'Прайс лист'!D564</f>
        <v>3.19</v>
      </c>
      <c r="L474" s="2615" t="n">
        <f aca="false">J474/K474</f>
        <v>63.0094043887147</v>
      </c>
      <c r="M474" s="2613" t="n">
        <f aca="false">N474*O474</f>
        <v>0.0075</v>
      </c>
      <c r="N474" s="2613" t="n">
        <v>0.15</v>
      </c>
      <c r="O474" s="2613" t="n">
        <v>0.05</v>
      </c>
      <c r="P474" s="1150" t="str">
        <f aca="false">'Прайс лист'!B585</f>
        <v>ГПН 152х35-1,2</v>
      </c>
      <c r="Q474" s="2616" t="n">
        <f aca="false">'Прайс лист'!G585</f>
        <v>163</v>
      </c>
      <c r="S474" s="896" t="str">
        <f aca="false">'Прайс лист'!B846</f>
        <v>Пластина соеденительная 100х240х2</v>
      </c>
      <c r="T474" s="1150" t="n">
        <f aca="false">'Прайс лист'!G846</f>
        <v>31.54</v>
      </c>
      <c r="U474" s="896" t="str">
        <f aca="false">'Прайс лист'!B882</f>
        <v>Саморез 5,5 х 25</v>
      </c>
      <c r="V474" s="1150" t="n">
        <f aca="false">'Прайс лист'!F882</f>
        <v>2.5</v>
      </c>
      <c r="W474" s="896" t="str">
        <f aca="false">'Прайс лист'!B861</f>
        <v>Болты анкерные с гайкой 12,0 x 100</v>
      </c>
      <c r="X474" s="1150" t="n">
        <f aca="false">'Прайс лист'!G861</f>
        <v>11.2</v>
      </c>
      <c r="Y474" s="896" t="str">
        <f aca="false">'Прайс лист'!B642</f>
        <v>L 50 x 50, 1,2мм</v>
      </c>
      <c r="Z474" s="2616" t="n">
        <f aca="false">'Прайс лист'!G642</f>
        <v>77</v>
      </c>
      <c r="AG474" s="2315" t="n">
        <v>32.2</v>
      </c>
      <c r="AH474" s="2606" t="n">
        <f aca="false">AG474*3.1415926535897/180</f>
        <v>0.561996019142157</v>
      </c>
      <c r="AI474" s="2606" t="n">
        <f aca="false">AH474+0.0005</f>
        <v>0.562496019142157</v>
      </c>
      <c r="AJ474" s="2606" t="n">
        <f aca="false">AH474-0.0005</f>
        <v>0.561496019142157</v>
      </c>
      <c r="AK474" s="2315" t="n">
        <f aca="false">IF(AND(дома!$Z$29&gt;=AJ474,дома!$Z$29&lt;=AI474),связи1!AG474,0)</f>
        <v>0</v>
      </c>
      <c r="AL474" s="2315" t="n">
        <f aca="false">IF(AND(дома!$AA$29&gt;=AJ474,дома!$AA$29&lt;=AI474),связи1!AG474,0)</f>
        <v>0</v>
      </c>
    </row>
    <row r="475" customFormat="false" ht="15.5" hidden="false" customHeight="false" outlineLevel="0" collapsed="false">
      <c r="A475" s="896" t="s">
        <v>2342</v>
      </c>
      <c r="I475" s="2677" t="str">
        <f aca="false">'Прайс лист'!B565</f>
        <v>ГПС 150х50-1,5</v>
      </c>
      <c r="J475" s="2614" t="n">
        <f aca="false">'Прайс лист'!G565</f>
        <v>252</v>
      </c>
      <c r="K475" s="2613" t="n">
        <f aca="false">'Прайс лист'!D565</f>
        <v>3.96</v>
      </c>
      <c r="L475" s="2615" t="n">
        <f aca="false">J475/K475</f>
        <v>63.6363636363636</v>
      </c>
      <c r="M475" s="2613" t="n">
        <f aca="false">N475*O475</f>
        <v>0.0075</v>
      </c>
      <c r="N475" s="2613" t="n">
        <v>0.15</v>
      </c>
      <c r="O475" s="2613" t="n">
        <v>0.05</v>
      </c>
      <c r="P475" s="1150" t="str">
        <f aca="false">'Прайс лист'!B586</f>
        <v>ГПН 152х35-1,5</v>
      </c>
      <c r="Q475" s="2616" t="n">
        <f aca="false">'Прайс лист'!G586</f>
        <v>203</v>
      </c>
      <c r="S475" s="896" t="str">
        <f aca="false">'Прайс лист'!B846</f>
        <v>Пластина соеденительная 100х240х2</v>
      </c>
      <c r="T475" s="1150" t="n">
        <f aca="false">'Прайс лист'!G846</f>
        <v>31.54</v>
      </c>
      <c r="U475" s="896" t="str">
        <f aca="false">'Прайс лист'!B882</f>
        <v>Саморез 5,5 х 25</v>
      </c>
      <c r="V475" s="1150" t="n">
        <f aca="false">'Прайс лист'!F882</f>
        <v>2.5</v>
      </c>
      <c r="W475" s="896" t="str">
        <f aca="false">'Прайс лист'!B861</f>
        <v>Болты анкерные с гайкой 12,0 x 100</v>
      </c>
      <c r="X475" s="1150" t="n">
        <f aca="false">'Прайс лист'!G861</f>
        <v>11.2</v>
      </c>
      <c r="Y475" s="896" t="str">
        <f aca="false">'Прайс лист'!B642</f>
        <v>L 50 x 50, 1,2мм</v>
      </c>
      <c r="Z475" s="2616" t="n">
        <f aca="false">'Прайс лист'!G642</f>
        <v>77</v>
      </c>
      <c r="AG475" s="2315" t="n">
        <v>32.3</v>
      </c>
      <c r="AH475" s="2606" t="n">
        <f aca="false">AG475*3.1415926535897/180</f>
        <v>0.563741348394152</v>
      </c>
      <c r="AI475" s="2606" t="n">
        <f aca="false">AH475+0.0005</f>
        <v>0.564241348394152</v>
      </c>
      <c r="AJ475" s="2606" t="n">
        <f aca="false">AH475-0.0005</f>
        <v>0.563241348394152</v>
      </c>
      <c r="AK475" s="2315" t="n">
        <f aca="false">IF(AND(дома!$Z$29&gt;=AJ475,дома!$Z$29&lt;=AI475),связи1!AG475,0)</f>
        <v>0</v>
      </c>
      <c r="AL475" s="2315" t="n">
        <f aca="false">IF(AND(дома!$AA$29&gt;=AJ475,дома!$AA$29&lt;=AI475),связи1!AG475,0)</f>
        <v>0</v>
      </c>
    </row>
    <row r="476" customFormat="false" ht="15.5" hidden="false" customHeight="false" outlineLevel="0" collapsed="false">
      <c r="A476" s="896" t="s">
        <v>4579</v>
      </c>
      <c r="I476" s="2677" t="str">
        <f aca="false">'Прайс лист'!B566</f>
        <v>ГПС 150х50-2,0</v>
      </c>
      <c r="J476" s="2614" t="n">
        <f aca="false">'Прайс лист'!G566</f>
        <v>330</v>
      </c>
      <c r="K476" s="2613" t="n">
        <f aca="false">'Прайс лист'!D566</f>
        <v>5.23</v>
      </c>
      <c r="L476" s="2615" t="n">
        <f aca="false">J476/K476</f>
        <v>63.0975143403442</v>
      </c>
      <c r="M476" s="2613" t="n">
        <f aca="false">N476*O476</f>
        <v>0.0075</v>
      </c>
      <c r="N476" s="2613" t="n">
        <v>0.15</v>
      </c>
      <c r="O476" s="2613" t="n">
        <v>0.05</v>
      </c>
      <c r="P476" s="1150" t="str">
        <f aca="false">'Прайс лист'!B587</f>
        <v>ГПН 152х35-2,0</v>
      </c>
      <c r="Q476" s="2616" t="n">
        <f aca="false">'Прайс лист'!G587</f>
        <v>259</v>
      </c>
      <c r="S476" s="896" t="str">
        <f aca="false">'Прайс лист'!B846</f>
        <v>Пластина соеденительная 100х240х2</v>
      </c>
      <c r="T476" s="1150" t="n">
        <f aca="false">'Прайс лист'!G846</f>
        <v>31.54</v>
      </c>
      <c r="U476" s="896" t="str">
        <f aca="false">'Прайс лист'!B882</f>
        <v>Саморез 5,5 х 25</v>
      </c>
      <c r="V476" s="1150" t="n">
        <f aca="false">'Прайс лист'!F882</f>
        <v>2.5</v>
      </c>
      <c r="W476" s="896" t="str">
        <f aca="false">'Прайс лист'!B861</f>
        <v>Болты анкерные с гайкой 12,0 x 100</v>
      </c>
      <c r="X476" s="1150" t="n">
        <f aca="false">'Прайс лист'!G861</f>
        <v>11.2</v>
      </c>
      <c r="Y476" s="896" t="str">
        <f aca="false">'Прайс лист'!B642</f>
        <v>L 50 x 50, 1,2мм</v>
      </c>
      <c r="Z476" s="2616" t="n">
        <f aca="false">'Прайс лист'!G642</f>
        <v>77</v>
      </c>
      <c r="AG476" s="2315" t="n">
        <v>32.4</v>
      </c>
      <c r="AH476" s="2606" t="n">
        <f aca="false">AG476*3.1415926535897/180</f>
        <v>0.565486677646146</v>
      </c>
      <c r="AI476" s="2606" t="n">
        <f aca="false">AH476+0.0005</f>
        <v>0.565986677646146</v>
      </c>
      <c r="AJ476" s="2606" t="n">
        <f aca="false">AH476-0.0005</f>
        <v>0.564986677646146</v>
      </c>
      <c r="AK476" s="2315" t="n">
        <f aca="false">IF(AND(дома!$Z$29&gt;=AJ476,дома!$Z$29&lt;=AI476),связи1!AG476,0)</f>
        <v>0</v>
      </c>
      <c r="AL476" s="2315" t="n">
        <f aca="false">IF(AND(дома!$AA$29&gt;=AJ476,дома!$AA$29&lt;=AI476),связи1!AG476,0)</f>
        <v>0</v>
      </c>
    </row>
    <row r="477" customFormat="false" ht="15.5" hidden="false" customHeight="false" outlineLevel="0" collapsed="false">
      <c r="I477" s="2677" t="str">
        <f aca="false">'Прайс лист'!B567</f>
        <v>ГПС 170х50-1,2</v>
      </c>
      <c r="J477" s="2614" t="n">
        <f aca="false">'Прайс лист'!G567</f>
        <v>215</v>
      </c>
      <c r="K477" s="2613" t="n">
        <f aca="false">'Прайс лист'!D567</f>
        <v>3.26</v>
      </c>
      <c r="L477" s="2615" t="n">
        <f aca="false">J477/K477</f>
        <v>65.9509202453988</v>
      </c>
      <c r="M477" s="2613" t="n">
        <f aca="false">N477*O477</f>
        <v>0.0085</v>
      </c>
      <c r="N477" s="2613" t="n">
        <v>0.17</v>
      </c>
      <c r="O477" s="2613" t="n">
        <v>0.05</v>
      </c>
      <c r="P477" s="1150" t="str">
        <f aca="false">'Прайс лист'!B588</f>
        <v>ГПН 172х35-1,2</v>
      </c>
      <c r="Q477" s="2616" t="n">
        <f aca="false">'Прайс лист'!G588</f>
        <v>166</v>
      </c>
      <c r="S477" s="896" t="str">
        <f aca="false">'Прайс лист'!B846</f>
        <v>Пластина соеденительная 100х240х2</v>
      </c>
      <c r="T477" s="1150" t="n">
        <f aca="false">'Прайс лист'!G846</f>
        <v>31.54</v>
      </c>
      <c r="U477" s="896" t="str">
        <f aca="false">'Прайс лист'!B882</f>
        <v>Саморез 5,5 х 25</v>
      </c>
      <c r="V477" s="1150" t="n">
        <f aca="false">'Прайс лист'!F882</f>
        <v>2.5</v>
      </c>
      <c r="W477" s="896" t="str">
        <f aca="false">'Прайс лист'!B861</f>
        <v>Болты анкерные с гайкой 12,0 x 100</v>
      </c>
      <c r="X477" s="1150" t="n">
        <f aca="false">'Прайс лист'!G861</f>
        <v>11.2</v>
      </c>
      <c r="Y477" s="896" t="str">
        <f aca="false">'Прайс лист'!B642</f>
        <v>L 50 x 50, 1,2мм</v>
      </c>
      <c r="Z477" s="2616" t="n">
        <f aca="false">'Прайс лист'!G642</f>
        <v>77</v>
      </c>
      <c r="AG477" s="2315" t="n">
        <v>32.5</v>
      </c>
      <c r="AH477" s="2606" t="n">
        <f aca="false">AG477*3.1415926535897/180</f>
        <v>0.56723200689814</v>
      </c>
      <c r="AI477" s="2606" t="n">
        <f aca="false">AH477+0.0005</f>
        <v>0.56773200689814</v>
      </c>
      <c r="AJ477" s="2606" t="n">
        <f aca="false">AH477-0.0005</f>
        <v>0.56673200689814</v>
      </c>
      <c r="AK477" s="2315" t="n">
        <f aca="false">IF(AND(дома!$Z$29&gt;=AJ477,дома!$Z$29&lt;=AI477),связи1!AG477,0)</f>
        <v>0</v>
      </c>
      <c r="AL477" s="2315" t="n">
        <f aca="false">IF(AND(дома!$AA$29&gt;=AJ477,дома!$AA$29&lt;=AI477),связи1!AG477,0)</f>
        <v>0</v>
      </c>
    </row>
    <row r="478" customFormat="false" ht="15.5" hidden="false" customHeight="false" outlineLevel="0" collapsed="false">
      <c r="A478" s="896" t="s">
        <v>2097</v>
      </c>
      <c r="I478" s="2677" t="str">
        <f aca="false">'Прайс лист'!B568</f>
        <v>ГПС 170х50-1,5</v>
      </c>
      <c r="J478" s="2614" t="n">
        <f aca="false">'Прайс лист'!G568</f>
        <v>269</v>
      </c>
      <c r="K478" s="2613" t="n">
        <f aca="false">'Прайс лист'!D568</f>
        <v>4.1</v>
      </c>
      <c r="L478" s="2615" t="n">
        <f aca="false">J478/K478</f>
        <v>65.609756097561</v>
      </c>
      <c r="M478" s="2613" t="n">
        <f aca="false">N478*O478</f>
        <v>0.0085</v>
      </c>
      <c r="N478" s="2613" t="n">
        <v>0.17</v>
      </c>
      <c r="O478" s="2613" t="n">
        <v>0.05</v>
      </c>
      <c r="P478" s="1150" t="str">
        <f aca="false">'Прайс лист'!B589</f>
        <v>ГПН 172х35-1,5</v>
      </c>
      <c r="Q478" s="2616" t="n">
        <f aca="false">'Прайс лист'!G589</f>
        <v>207</v>
      </c>
      <c r="S478" s="896" t="str">
        <f aca="false">'Прайс лист'!B846</f>
        <v>Пластина соеденительная 100х240х2</v>
      </c>
      <c r="T478" s="1150" t="n">
        <f aca="false">'Прайс лист'!G846</f>
        <v>31.54</v>
      </c>
      <c r="U478" s="896" t="str">
        <f aca="false">'Прайс лист'!B882</f>
        <v>Саморез 5,5 х 25</v>
      </c>
      <c r="V478" s="1150" t="n">
        <f aca="false">'Прайс лист'!F882</f>
        <v>2.5</v>
      </c>
      <c r="W478" s="896" t="str">
        <f aca="false">'Прайс лист'!B861</f>
        <v>Болты анкерные с гайкой 12,0 x 100</v>
      </c>
      <c r="X478" s="1150" t="n">
        <f aca="false">'Прайс лист'!G861</f>
        <v>11.2</v>
      </c>
      <c r="Y478" s="896" t="str">
        <f aca="false">'Прайс лист'!B642</f>
        <v>L 50 x 50, 1,2мм</v>
      </c>
      <c r="Z478" s="2616" t="n">
        <f aca="false">'Прайс лист'!G642</f>
        <v>77</v>
      </c>
      <c r="AG478" s="2315" t="n">
        <v>32.6</v>
      </c>
      <c r="AH478" s="2606" t="n">
        <f aca="false">AG478*3.1415926535897/180</f>
        <v>0.568977336150135</v>
      </c>
      <c r="AI478" s="2606" t="n">
        <f aca="false">AH478+0.0005</f>
        <v>0.569477336150135</v>
      </c>
      <c r="AJ478" s="2606" t="n">
        <f aca="false">AH478-0.0005</f>
        <v>0.568477336150135</v>
      </c>
      <c r="AK478" s="2315" t="n">
        <f aca="false">IF(AND(дома!$Z$29&gt;=AJ478,дома!$Z$29&lt;=AI478),связи1!AG478,0)</f>
        <v>0</v>
      </c>
      <c r="AL478" s="2315" t="n">
        <f aca="false">IF(AND(дома!$AA$29&gt;=AJ478,дома!$AA$29&lt;=AI478),связи1!AG478,0)</f>
        <v>0</v>
      </c>
    </row>
    <row r="479" customFormat="false" ht="15.5" hidden="false" customHeight="false" outlineLevel="0" collapsed="false">
      <c r="A479" s="896" t="s">
        <v>4580</v>
      </c>
      <c r="I479" s="2677" t="str">
        <f aca="false">'Прайс лист'!B569</f>
        <v>ГПС 170х50-2,0</v>
      </c>
      <c r="J479" s="2614" t="n">
        <f aca="false">'Прайс лист'!G569</f>
        <v>358</v>
      </c>
      <c r="K479" s="2613" t="n">
        <f aca="false">'Прайс лист'!D569</f>
        <v>5.5</v>
      </c>
      <c r="L479" s="2615" t="n">
        <f aca="false">J479/K479</f>
        <v>65.0909090909091</v>
      </c>
      <c r="M479" s="2613" t="n">
        <f aca="false">N479*O479</f>
        <v>0.0085</v>
      </c>
      <c r="N479" s="2613" t="n">
        <v>0.17</v>
      </c>
      <c r="O479" s="2613" t="n">
        <v>0.05</v>
      </c>
      <c r="P479" s="1150" t="str">
        <f aca="false">'Прайс лист'!B590</f>
        <v>ГПН 172х35-2,0</v>
      </c>
      <c r="Q479" s="2616" t="n">
        <f aca="false">'Прайс лист'!G590</f>
        <v>274</v>
      </c>
      <c r="S479" s="896" t="str">
        <f aca="false">'Прайс лист'!B846</f>
        <v>Пластина соеденительная 100х240х2</v>
      </c>
      <c r="T479" s="1150" t="n">
        <f aca="false">'Прайс лист'!G846</f>
        <v>31.54</v>
      </c>
      <c r="U479" s="896" t="str">
        <f aca="false">'Прайс лист'!B882</f>
        <v>Саморез 5,5 х 25</v>
      </c>
      <c r="V479" s="1150" t="n">
        <f aca="false">'Прайс лист'!F882</f>
        <v>2.5</v>
      </c>
      <c r="W479" s="896" t="str">
        <f aca="false">'Прайс лист'!B861</f>
        <v>Болты анкерные с гайкой 12,0 x 100</v>
      </c>
      <c r="X479" s="1150" t="n">
        <f aca="false">'Прайс лист'!G861</f>
        <v>11.2</v>
      </c>
      <c r="Y479" s="896" t="str">
        <f aca="false">'Прайс лист'!B642</f>
        <v>L 50 x 50, 1,2мм</v>
      </c>
      <c r="Z479" s="2616" t="n">
        <f aca="false">'Прайс лист'!G642</f>
        <v>77</v>
      </c>
      <c r="AG479" s="2315" t="n">
        <v>32.7</v>
      </c>
      <c r="AH479" s="2606" t="n">
        <f aca="false">AG479*3.1415926535897/180</f>
        <v>0.570722665402129</v>
      </c>
      <c r="AI479" s="2606" t="n">
        <f aca="false">AH479+0.0005</f>
        <v>0.571222665402129</v>
      </c>
      <c r="AJ479" s="2606" t="n">
        <f aca="false">AH479-0.0005</f>
        <v>0.570222665402129</v>
      </c>
      <c r="AK479" s="2315" t="n">
        <f aca="false">IF(AND(дома!$Z$29&gt;=AJ479,дома!$Z$29&lt;=AI479),связи1!AG479,0)</f>
        <v>0</v>
      </c>
      <c r="AL479" s="2315" t="n">
        <f aca="false">IF(AND(дома!$AA$29&gt;=AJ479,дома!$AA$29&lt;=AI479),связи1!AG479,0)</f>
        <v>0</v>
      </c>
    </row>
    <row r="480" customFormat="false" ht="15.5" hidden="false" customHeight="false" outlineLevel="0" collapsed="false">
      <c r="A480" s="896" t="s">
        <v>4581</v>
      </c>
      <c r="I480" s="2677" t="str">
        <f aca="false">'Прайс лист'!B570</f>
        <v>ГПС 200х50-1,2</v>
      </c>
      <c r="J480" s="2614" t="n">
        <f aca="false">'Прайс лист'!G570</f>
        <v>239</v>
      </c>
      <c r="K480" s="2613" t="n">
        <f aca="false">'Прайс лист'!D570</f>
        <v>3.79</v>
      </c>
      <c r="L480" s="2615" t="n">
        <f aca="false">J480/K480</f>
        <v>63.0606860158311</v>
      </c>
      <c r="M480" s="2613" t="n">
        <f aca="false">N480*O480</f>
        <v>0.01</v>
      </c>
      <c r="N480" s="2613" t="n">
        <v>0.2</v>
      </c>
      <c r="O480" s="2613" t="n">
        <v>0.05</v>
      </c>
      <c r="P480" s="1150" t="str">
        <f aca="false">'Прайс лист'!B591</f>
        <v>ГПН 202х35-1,2</v>
      </c>
      <c r="Q480" s="2616" t="n">
        <f aca="false">'Прайс лист'!G591</f>
        <v>201</v>
      </c>
      <c r="S480" s="896" t="str">
        <f aca="false">'Прайс лист'!B848</f>
        <v>Пластина соеденительная 150х240х2</v>
      </c>
      <c r="T480" s="1150" t="n">
        <f aca="false">'Прайс лист'!G848</f>
        <v>55</v>
      </c>
      <c r="U480" s="896" t="str">
        <f aca="false">'Прайс лист'!B882</f>
        <v>Саморез 5,5 х 25</v>
      </c>
      <c r="V480" s="1150" t="n">
        <f aca="false">'Прайс лист'!F882</f>
        <v>2.5</v>
      </c>
      <c r="W480" s="896" t="str">
        <f aca="false">'Прайс лист'!B861</f>
        <v>Болты анкерные с гайкой 12,0 x 100</v>
      </c>
      <c r="X480" s="1150" t="n">
        <f aca="false">'Прайс лист'!G861</f>
        <v>11.2</v>
      </c>
      <c r="Y480" s="896" t="str">
        <f aca="false">'Прайс лист'!B642</f>
        <v>L 50 x 50, 1,2мм</v>
      </c>
      <c r="Z480" s="2616" t="n">
        <f aca="false">'Прайс лист'!G642</f>
        <v>77</v>
      </c>
      <c r="AG480" s="2315" t="n">
        <v>32.8</v>
      </c>
      <c r="AH480" s="2606" t="n">
        <f aca="false">AG480*3.1415926535897/180</f>
        <v>0.572467994654123</v>
      </c>
      <c r="AI480" s="2606" t="n">
        <f aca="false">AH480+0.0005</f>
        <v>0.572967994654123</v>
      </c>
      <c r="AJ480" s="2606" t="n">
        <f aca="false">AH480-0.0005</f>
        <v>0.571967994654123</v>
      </c>
      <c r="AK480" s="2315" t="n">
        <f aca="false">IF(AND(дома!$Z$29&gt;=AJ480,дома!$Z$29&lt;=AI480),связи1!AG480,0)</f>
        <v>0</v>
      </c>
      <c r="AL480" s="2315" t="n">
        <f aca="false">IF(AND(дома!$AA$29&gt;=AJ480,дома!$AA$29&lt;=AI480),связи1!AG480,0)</f>
        <v>0</v>
      </c>
    </row>
    <row r="481" customFormat="false" ht="15.5" hidden="false" customHeight="false" outlineLevel="0" collapsed="false">
      <c r="A481" s="896" t="s">
        <v>2098</v>
      </c>
      <c r="I481" s="2677" t="str">
        <f aca="false">'Прайс лист'!B571</f>
        <v>ГПС 200х50-1,5</v>
      </c>
      <c r="J481" s="2614" t="n">
        <f aca="false">'Прайс лист'!G571</f>
        <v>299</v>
      </c>
      <c r="K481" s="2613" t="n">
        <f aca="false">'Прайс лист'!D571</f>
        <v>4.71</v>
      </c>
      <c r="L481" s="2615" t="n">
        <f aca="false">J481/K481</f>
        <v>63.4819532908705</v>
      </c>
      <c r="M481" s="2613" t="n">
        <f aca="false">N481*O481</f>
        <v>0.01</v>
      </c>
      <c r="N481" s="2613" t="n">
        <v>0.2</v>
      </c>
      <c r="O481" s="2613" t="n">
        <v>0.05</v>
      </c>
      <c r="P481" s="1150" t="str">
        <f aca="false">'Прайс лист'!B592</f>
        <v>ГПН 202х35-1,5</v>
      </c>
      <c r="Q481" s="2616" t="n">
        <f aca="false">'Прайс лист'!G592</f>
        <v>252</v>
      </c>
      <c r="S481" s="896" t="str">
        <f aca="false">'Прайс лист'!B848</f>
        <v>Пластина соеденительная 150х240х2</v>
      </c>
      <c r="T481" s="1150" t="n">
        <f aca="false">'Прайс лист'!G848</f>
        <v>55</v>
      </c>
      <c r="U481" s="896" t="str">
        <f aca="false">'Прайс лист'!B882</f>
        <v>Саморез 5,5 х 25</v>
      </c>
      <c r="V481" s="1150" t="n">
        <f aca="false">'Прайс лист'!F882</f>
        <v>2.5</v>
      </c>
      <c r="W481" s="896" t="str">
        <f aca="false">'Прайс лист'!B861</f>
        <v>Болты анкерные с гайкой 12,0 x 100</v>
      </c>
      <c r="X481" s="1150" t="n">
        <f aca="false">'Прайс лист'!G861</f>
        <v>11.2</v>
      </c>
      <c r="Y481" s="896" t="str">
        <f aca="false">'Прайс лист'!B642</f>
        <v>L 50 x 50, 1,2мм</v>
      </c>
      <c r="Z481" s="2616" t="n">
        <f aca="false">'Прайс лист'!G642</f>
        <v>77</v>
      </c>
      <c r="AG481" s="2315" t="n">
        <v>32.9</v>
      </c>
      <c r="AH481" s="2606" t="n">
        <f aca="false">AG481*3.1415926535897/180</f>
        <v>0.574213323906117</v>
      </c>
      <c r="AI481" s="2606" t="n">
        <f aca="false">AH481+0.0005</f>
        <v>0.574713323906117</v>
      </c>
      <c r="AJ481" s="2606" t="n">
        <f aca="false">AH481-0.0005</f>
        <v>0.573713323906117</v>
      </c>
      <c r="AK481" s="2315" t="n">
        <f aca="false">IF(AND(дома!$Z$29&gt;=AJ481,дома!$Z$29&lt;=AI481),связи1!AG481,0)</f>
        <v>0</v>
      </c>
      <c r="AL481" s="2315" t="n">
        <f aca="false">IF(AND(дома!$AA$29&gt;=AJ481,дома!$AA$29&lt;=AI481),связи1!AG481,0)</f>
        <v>0</v>
      </c>
    </row>
    <row r="482" customFormat="false" ht="15.5" hidden="false" customHeight="false" outlineLevel="0" collapsed="false">
      <c r="I482" s="2677" t="str">
        <f aca="false">'Прайс лист'!B572</f>
        <v>ГПС 200х50-2,0</v>
      </c>
      <c r="J482" s="2614" t="n">
        <f aca="false">'Прайс лист'!G572</f>
        <v>397</v>
      </c>
      <c r="K482" s="2613" t="n">
        <f aca="false">'Прайс лист'!D572</f>
        <v>6.23</v>
      </c>
      <c r="L482" s="2615" t="n">
        <f aca="false">J482/K482</f>
        <v>63.7239165329053</v>
      </c>
      <c r="M482" s="2613" t="n">
        <f aca="false">N482*O482</f>
        <v>0.01</v>
      </c>
      <c r="N482" s="2613" t="n">
        <v>0.2</v>
      </c>
      <c r="O482" s="2613" t="n">
        <v>0.05</v>
      </c>
      <c r="P482" s="1150" t="str">
        <f aca="false">'Прайс лист'!B593</f>
        <v>ГПН 202х35-2,0</v>
      </c>
      <c r="Q482" s="2616" t="n">
        <f aca="false">'Прайс лист'!G593</f>
        <v>318</v>
      </c>
      <c r="S482" s="896" t="str">
        <f aca="false">'Прайс лист'!B848</f>
        <v>Пластина соеденительная 150х240х2</v>
      </c>
      <c r="T482" s="1150" t="n">
        <f aca="false">'Прайс лист'!G848</f>
        <v>55</v>
      </c>
      <c r="U482" s="896" t="str">
        <f aca="false">'Прайс лист'!B882</f>
        <v>Саморез 5,5 х 25</v>
      </c>
      <c r="V482" s="1150" t="n">
        <f aca="false">'Прайс лист'!F882</f>
        <v>2.5</v>
      </c>
      <c r="W482" s="896" t="str">
        <f aca="false">'Прайс лист'!B861</f>
        <v>Болты анкерные с гайкой 12,0 x 100</v>
      </c>
      <c r="X482" s="1150" t="n">
        <f aca="false">'Прайс лист'!G861</f>
        <v>11.2</v>
      </c>
      <c r="Y482" s="896" t="str">
        <f aca="false">'Прайс лист'!B642</f>
        <v>L 50 x 50, 1,2мм</v>
      </c>
      <c r="Z482" s="2616" t="n">
        <f aca="false">'Прайс лист'!G642</f>
        <v>77</v>
      </c>
      <c r="AG482" s="2315" t="n">
        <v>33</v>
      </c>
      <c r="AH482" s="2606" t="n">
        <f aca="false">AG482*3.1415926535897/180</f>
        <v>0.575958653158112</v>
      </c>
      <c r="AI482" s="2606" t="n">
        <f aca="false">AH482+0.0005</f>
        <v>0.576458653158112</v>
      </c>
      <c r="AJ482" s="2606" t="n">
        <f aca="false">AH482-0.0005</f>
        <v>0.575458653158112</v>
      </c>
      <c r="AK482" s="2315" t="n">
        <f aca="false">IF(AND(дома!$Z$29&gt;=AJ482,дома!$Z$29&lt;=AI482),связи1!AG482,0)</f>
        <v>0</v>
      </c>
      <c r="AL482" s="2315" t="n">
        <f aca="false">IF(AND(дома!$AA$29&gt;=AJ482,дома!$AA$29&lt;=AI482),связи1!AG482,0)</f>
        <v>0</v>
      </c>
    </row>
    <row r="483" customFormat="false" ht="15.5" hidden="false" customHeight="false" outlineLevel="0" collapsed="false">
      <c r="A483" s="1150" t="str">
        <f aca="false">'Прайс лист'!B1638</f>
        <v>монтаж свай гидравликой</v>
      </c>
      <c r="B483" s="1150" t="n">
        <f aca="false">'Прайс лист'!G1638</f>
        <v>1000</v>
      </c>
      <c r="I483" s="2677" t="str">
        <f aca="false">'Прайс лист'!B573</f>
        <v>ГПС 250х50-1,2</v>
      </c>
      <c r="J483" s="2614" t="n">
        <f aca="false">'Прайс лист'!G573</f>
        <v>274</v>
      </c>
      <c r="K483" s="2613" t="n">
        <f aca="false">'Прайс лист'!D573</f>
        <v>4.47</v>
      </c>
      <c r="L483" s="2615" t="n">
        <f aca="false">J483/K483</f>
        <v>61.2975391498881</v>
      </c>
      <c r="M483" s="2613" t="n">
        <f aca="false">N483*O483</f>
        <v>0.0125</v>
      </c>
      <c r="N483" s="2613" t="n">
        <v>0.25</v>
      </c>
      <c r="O483" s="2613" t="n">
        <v>0.05</v>
      </c>
      <c r="P483" s="1150" t="str">
        <f aca="false">'Прайс лист'!B594</f>
        <v>ГПН 252х35-1,2</v>
      </c>
      <c r="Q483" s="2616" t="n">
        <f aca="false">'Прайс лист'!G594</f>
        <v>226</v>
      </c>
      <c r="S483" s="896" t="str">
        <f aca="false">'Прайс лист'!B848</f>
        <v>Пластина соеденительная 150х240х2</v>
      </c>
      <c r="T483" s="1150" t="n">
        <f aca="false">'Прайс лист'!G848</f>
        <v>55</v>
      </c>
      <c r="U483" s="896" t="str">
        <f aca="false">'Прайс лист'!B882</f>
        <v>Саморез 5,5 х 25</v>
      </c>
      <c r="V483" s="1150" t="n">
        <f aca="false">'Прайс лист'!F882</f>
        <v>2.5</v>
      </c>
      <c r="W483" s="896" t="str">
        <f aca="false">'Прайс лист'!B861</f>
        <v>Болты анкерные с гайкой 12,0 x 100</v>
      </c>
      <c r="X483" s="1150" t="n">
        <f aca="false">'Прайс лист'!G861</f>
        <v>11.2</v>
      </c>
      <c r="Y483" s="896" t="str">
        <f aca="false">'Прайс лист'!B642</f>
        <v>L 50 x 50, 1,2мм</v>
      </c>
      <c r="Z483" s="2616" t="n">
        <f aca="false">'Прайс лист'!G642</f>
        <v>77</v>
      </c>
      <c r="AG483" s="2315" t="n">
        <v>33.1</v>
      </c>
      <c r="AH483" s="2606" t="n">
        <f aca="false">AG483*3.1415926535897/180</f>
        <v>0.577703982410106</v>
      </c>
      <c r="AI483" s="2606" t="n">
        <f aca="false">AH483+0.0005</f>
        <v>0.578203982410106</v>
      </c>
      <c r="AJ483" s="2606" t="n">
        <f aca="false">AH483-0.0005</f>
        <v>0.577203982410106</v>
      </c>
      <c r="AK483" s="2315" t="n">
        <f aca="false">IF(AND(дома!$Z$29&gt;=AJ483,дома!$Z$29&lt;=AI483),связи1!AG483,0)</f>
        <v>0</v>
      </c>
      <c r="AL483" s="2315" t="n">
        <f aca="false">IF(AND(дома!$AA$29&gt;=AJ483,дома!$AA$29&lt;=AI483),связи1!AG483,0)</f>
        <v>0</v>
      </c>
    </row>
    <row r="484" customFormat="false" ht="15.5" hidden="false" customHeight="false" outlineLevel="0" collapsed="false">
      <c r="A484" s="1150" t="str">
        <f aca="false">'Прайс лист'!B1637</f>
        <v>монтаж свай в ручную</v>
      </c>
      <c r="B484" s="1150" t="n">
        <f aca="false">'Прайс лист'!G1637</f>
        <v>1000</v>
      </c>
      <c r="I484" s="2677" t="str">
        <f aca="false">'Прайс лист'!B574</f>
        <v>ГПС 250х50-1,5</v>
      </c>
      <c r="J484" s="2614" t="n">
        <f aca="false">'Прайс лист'!G574</f>
        <v>344</v>
      </c>
      <c r="K484" s="2613" t="n">
        <f aca="false">'Прайс лист'!D574</f>
        <v>5.25</v>
      </c>
      <c r="L484" s="2615" t="n">
        <f aca="false">J484/K484</f>
        <v>65.5238095238095</v>
      </c>
      <c r="M484" s="2613" t="n">
        <f aca="false">N484*O484</f>
        <v>0.0125</v>
      </c>
      <c r="N484" s="2613" t="n">
        <v>0.25</v>
      </c>
      <c r="O484" s="2613" t="n">
        <v>0.05</v>
      </c>
      <c r="P484" s="1150" t="str">
        <f aca="false">'Прайс лист'!B595</f>
        <v>ГПН 252х35-1,5</v>
      </c>
      <c r="Q484" s="2616" t="n">
        <f aca="false">'Прайс лист'!G595</f>
        <v>283</v>
      </c>
      <c r="S484" s="896" t="str">
        <f aca="false">'Прайс лист'!B848</f>
        <v>Пластина соеденительная 150х240х2</v>
      </c>
      <c r="T484" s="1150" t="n">
        <f aca="false">'Прайс лист'!G848</f>
        <v>55</v>
      </c>
      <c r="U484" s="896" t="str">
        <f aca="false">'Прайс лист'!B882</f>
        <v>Саморез 5,5 х 25</v>
      </c>
      <c r="V484" s="1150" t="n">
        <f aca="false">'Прайс лист'!F882</f>
        <v>2.5</v>
      </c>
      <c r="W484" s="896" t="str">
        <f aca="false">'Прайс лист'!B861</f>
        <v>Болты анкерные с гайкой 12,0 x 100</v>
      </c>
      <c r="X484" s="1150" t="n">
        <f aca="false">'Прайс лист'!G861</f>
        <v>11.2</v>
      </c>
      <c r="Y484" s="896" t="str">
        <f aca="false">'Прайс лист'!B642</f>
        <v>L 50 x 50, 1,2мм</v>
      </c>
      <c r="Z484" s="2616" t="n">
        <f aca="false">'Прайс лист'!G642</f>
        <v>77</v>
      </c>
      <c r="AG484" s="2315" t="n">
        <v>33.2</v>
      </c>
      <c r="AH484" s="2606" t="n">
        <f aca="false">AG484*3.1415926535897/180</f>
        <v>0.5794493116621</v>
      </c>
      <c r="AI484" s="2606" t="n">
        <f aca="false">AH484+0.0005</f>
        <v>0.5799493116621</v>
      </c>
      <c r="AJ484" s="2606" t="n">
        <f aca="false">AH484-0.0005</f>
        <v>0.5789493116621</v>
      </c>
      <c r="AK484" s="2315" t="n">
        <f aca="false">IF(AND(дома!$Z$29&gt;=AJ484,дома!$Z$29&lt;=AI484),связи1!AG484,0)</f>
        <v>0</v>
      </c>
      <c r="AL484" s="2315" t="n">
        <f aca="false">IF(AND(дома!$AA$29&gt;=AJ484,дома!$AA$29&lt;=AI484),связи1!AG484,0)</f>
        <v>0</v>
      </c>
    </row>
    <row r="485" customFormat="false" ht="15.5" hidden="false" customHeight="false" outlineLevel="0" collapsed="false">
      <c r="I485" s="2677" t="str">
        <f aca="false">'Прайс лист'!B575</f>
        <v>ГПС 250х50-2,0</v>
      </c>
      <c r="J485" s="2614" t="n">
        <f aca="false">'Прайс лист'!G575</f>
        <v>450</v>
      </c>
      <c r="K485" s="2613" t="n">
        <f aca="false">'Прайс лист'!D575</f>
        <v>7.36</v>
      </c>
      <c r="L485" s="2615" t="n">
        <f aca="false">J485/K485</f>
        <v>61.1413043478261</v>
      </c>
      <c r="M485" s="2613" t="n">
        <f aca="false">N485*O485</f>
        <v>0.0125</v>
      </c>
      <c r="N485" s="2613" t="n">
        <v>0.25</v>
      </c>
      <c r="O485" s="2613" t="n">
        <v>0.05</v>
      </c>
      <c r="P485" s="1150" t="str">
        <f aca="false">'Прайс лист'!B596</f>
        <v>ГПН 252х35-2,0</v>
      </c>
      <c r="Q485" s="2616" t="n">
        <f aca="false">'Прайс лист'!G596</f>
        <v>378</v>
      </c>
      <c r="S485" s="896" t="str">
        <f aca="false">'Прайс лист'!B848</f>
        <v>Пластина соеденительная 150х240х2</v>
      </c>
      <c r="T485" s="1150" t="n">
        <f aca="false">'Прайс лист'!G848</f>
        <v>55</v>
      </c>
      <c r="U485" s="896" t="str">
        <f aca="false">'Прайс лист'!B882</f>
        <v>Саморез 5,5 х 25</v>
      </c>
      <c r="V485" s="1150" t="n">
        <f aca="false">'Прайс лист'!F882</f>
        <v>2.5</v>
      </c>
      <c r="W485" s="896" t="str">
        <f aca="false">'Прайс лист'!B861</f>
        <v>Болты анкерные с гайкой 12,0 x 100</v>
      </c>
      <c r="X485" s="1150" t="n">
        <f aca="false">'Прайс лист'!G861</f>
        <v>11.2</v>
      </c>
      <c r="Y485" s="896" t="str">
        <f aca="false">'Прайс лист'!B642</f>
        <v>L 50 x 50, 1,2мм</v>
      </c>
      <c r="Z485" s="2616" t="n">
        <f aca="false">'Прайс лист'!G642</f>
        <v>77</v>
      </c>
      <c r="AG485" s="2315" t="n">
        <v>33.3</v>
      </c>
      <c r="AH485" s="2606" t="n">
        <f aca="false">AG485*3.1415926535897/180</f>
        <v>0.581194640914094</v>
      </c>
      <c r="AI485" s="2606" t="n">
        <f aca="false">AH485+0.0005</f>
        <v>0.581694640914094</v>
      </c>
      <c r="AJ485" s="2606" t="n">
        <f aca="false">AH485-0.0005</f>
        <v>0.580694640914095</v>
      </c>
      <c r="AK485" s="2315" t="n">
        <f aca="false">IF(AND(дома!$Z$29&gt;=AJ485,дома!$Z$29&lt;=AI485),связи1!AG485,0)</f>
        <v>0</v>
      </c>
      <c r="AL485" s="2315" t="n">
        <f aca="false">IF(AND(дома!$AA$29&gt;=AJ485,дома!$AA$29&lt;=AI485),связи1!AG485,0)</f>
        <v>0</v>
      </c>
    </row>
    <row r="486" customFormat="false" ht="15.5" hidden="false" customHeight="false" outlineLevel="0" collapsed="false">
      <c r="I486" s="2677" t="str">
        <f aca="false">'Прайс лист'!B576</f>
        <v>ГПС 280х50-1,2</v>
      </c>
      <c r="J486" s="2614" t="n">
        <f aca="false">'Прайс лист'!G576</f>
        <v>293</v>
      </c>
      <c r="K486" s="2613" t="n">
        <f aca="false">'Прайс лист'!D576</f>
        <v>4.52</v>
      </c>
      <c r="L486" s="2615" t="n">
        <f aca="false">J486/K486</f>
        <v>64.8230088495575</v>
      </c>
      <c r="M486" s="2613" t="n">
        <f aca="false">N486*O486</f>
        <v>0.014</v>
      </c>
      <c r="N486" s="2613" t="n">
        <v>0.28</v>
      </c>
      <c r="O486" s="2613" t="n">
        <v>0.05</v>
      </c>
      <c r="P486" s="1150" t="str">
        <f aca="false">'Прайс лист'!B597</f>
        <v>ГПН 282х35-1,2</v>
      </c>
      <c r="Q486" s="2616" t="n">
        <f aca="false">'Прайс лист'!G597</f>
        <v>275</v>
      </c>
      <c r="S486" s="896" t="str">
        <f aca="false">'Прайс лист'!B848</f>
        <v>Пластина соеденительная 150х240х2</v>
      </c>
      <c r="T486" s="1150" t="n">
        <f aca="false">'Прайс лист'!G848</f>
        <v>55</v>
      </c>
      <c r="U486" s="896" t="str">
        <f aca="false">'Прайс лист'!B882</f>
        <v>Саморез 5,5 х 25</v>
      </c>
      <c r="V486" s="1150" t="n">
        <f aca="false">'Прайс лист'!F882</f>
        <v>2.5</v>
      </c>
      <c r="W486" s="896" t="str">
        <f aca="false">'Прайс лист'!B861</f>
        <v>Болты анкерные с гайкой 12,0 x 100</v>
      </c>
      <c r="X486" s="1150" t="n">
        <f aca="false">'Прайс лист'!G861</f>
        <v>11.2</v>
      </c>
      <c r="Y486" s="896" t="str">
        <f aca="false">'Прайс лист'!B642</f>
        <v>L 50 x 50, 1,2мм</v>
      </c>
      <c r="Z486" s="2616" t="n">
        <f aca="false">'Прайс лист'!G642</f>
        <v>77</v>
      </c>
      <c r="AG486" s="2315" t="n">
        <v>33.4</v>
      </c>
      <c r="AH486" s="2606" t="n">
        <f aca="false">AG486*3.1415926535897/180</f>
        <v>0.582939970166089</v>
      </c>
      <c r="AI486" s="2606" t="n">
        <f aca="false">AH486+0.0005</f>
        <v>0.583439970166089</v>
      </c>
      <c r="AJ486" s="2606" t="n">
        <f aca="false">AH486-0.0005</f>
        <v>0.582439970166089</v>
      </c>
      <c r="AK486" s="2315" t="n">
        <f aca="false">IF(AND(дома!$Z$29&gt;=AJ486,дома!$Z$29&lt;=AI486),связи1!AG486,0)</f>
        <v>0</v>
      </c>
      <c r="AL486" s="2315" t="n">
        <f aca="false">IF(AND(дома!$AA$29&gt;=AJ486,дома!$AA$29&lt;=AI486),связи1!AG486,0)</f>
        <v>0</v>
      </c>
    </row>
    <row r="487" customFormat="false" ht="15.5" hidden="false" customHeight="false" outlineLevel="0" collapsed="false">
      <c r="I487" s="2677" t="str">
        <f aca="false">'Прайс лист'!B577</f>
        <v>ГПС 280х50-1,5</v>
      </c>
      <c r="J487" s="2614" t="n">
        <f aca="false">'Прайс лист'!G577</f>
        <v>367</v>
      </c>
      <c r="K487" s="2613" t="n">
        <f aca="false">'Прайс лист'!D577</f>
        <v>5.66</v>
      </c>
      <c r="L487" s="2615" t="n">
        <f aca="false">J487/K487</f>
        <v>64.8409893992933</v>
      </c>
      <c r="M487" s="2613" t="n">
        <f aca="false">N487*O487</f>
        <v>0.014</v>
      </c>
      <c r="N487" s="2613" t="n">
        <v>0.28</v>
      </c>
      <c r="O487" s="2613" t="n">
        <v>0.05</v>
      </c>
      <c r="P487" s="1150" t="str">
        <f aca="false">'Прайс лист'!B598</f>
        <v>ГПН 282х35-1,5</v>
      </c>
      <c r="Q487" s="2616" t="n">
        <f aca="false">'Прайс лист'!G598</f>
        <v>306</v>
      </c>
      <c r="S487" s="896" t="str">
        <f aca="false">'Прайс лист'!B848</f>
        <v>Пластина соеденительная 150х240х2</v>
      </c>
      <c r="T487" s="1150" t="n">
        <f aca="false">'Прайс лист'!G848</f>
        <v>55</v>
      </c>
      <c r="U487" s="896" t="str">
        <f aca="false">'Прайс лист'!B882</f>
        <v>Саморез 5,5 х 25</v>
      </c>
      <c r="V487" s="1150" t="n">
        <f aca="false">'Прайс лист'!F882</f>
        <v>2.5</v>
      </c>
      <c r="W487" s="896" t="str">
        <f aca="false">'Прайс лист'!B861</f>
        <v>Болты анкерные с гайкой 12,0 x 100</v>
      </c>
      <c r="X487" s="1150" t="n">
        <f aca="false">'Прайс лист'!G861</f>
        <v>11.2</v>
      </c>
      <c r="Y487" s="896" t="str">
        <f aca="false">'Прайс лист'!B642</f>
        <v>L 50 x 50, 1,2мм</v>
      </c>
      <c r="Z487" s="2616" t="n">
        <f aca="false">'Прайс лист'!G642</f>
        <v>77</v>
      </c>
      <c r="AG487" s="2315" t="n">
        <v>33.5</v>
      </c>
      <c r="AH487" s="2606" t="n">
        <f aca="false">AG487*3.1415926535897/180</f>
        <v>0.584685299418083</v>
      </c>
      <c r="AI487" s="2606" t="n">
        <f aca="false">AH487+0.0005</f>
        <v>0.585185299418083</v>
      </c>
      <c r="AJ487" s="2606" t="n">
        <f aca="false">AH487-0.0005</f>
        <v>0.584185299418083</v>
      </c>
      <c r="AK487" s="2315" t="n">
        <f aca="false">IF(AND(дома!$Z$29&gt;=AJ487,дома!$Z$29&lt;=AI487),связи1!AG487,0)</f>
        <v>0</v>
      </c>
      <c r="AL487" s="2315" t="n">
        <f aca="false">IF(AND(дома!$AA$29&gt;=AJ487,дома!$AA$29&lt;=AI487),связи1!AG487,0)</f>
        <v>0</v>
      </c>
    </row>
    <row r="488" customFormat="false" ht="15.5" hidden="false" customHeight="false" outlineLevel="0" collapsed="false">
      <c r="A488" s="2315" t="s">
        <v>493</v>
      </c>
      <c r="B488" s="2315" t="n">
        <v>0</v>
      </c>
      <c r="I488" s="2677" t="str">
        <f aca="false">'Прайс лист'!B578</f>
        <v>ГПС 280х50-2,0</v>
      </c>
      <c r="J488" s="2614" t="n">
        <f aca="false">'Прайс лист'!G578</f>
        <v>489</v>
      </c>
      <c r="K488" s="2613" t="n">
        <f aca="false">'Прайс лист'!D578</f>
        <v>7.62</v>
      </c>
      <c r="L488" s="2615" t="n">
        <f aca="false">J488/K488</f>
        <v>64.1732283464567</v>
      </c>
      <c r="M488" s="2613" t="n">
        <f aca="false">N488*O488</f>
        <v>0.014</v>
      </c>
      <c r="N488" s="2613" t="n">
        <v>0.28</v>
      </c>
      <c r="O488" s="2613" t="n">
        <v>0.05</v>
      </c>
      <c r="P488" s="1150" t="str">
        <f aca="false">'Прайс лист'!B599</f>
        <v>ГПН 282х35-2,0</v>
      </c>
      <c r="Q488" s="2616" t="n">
        <f aca="false">'Прайс лист'!G599</f>
        <v>407</v>
      </c>
      <c r="S488" s="896" t="str">
        <f aca="false">'Прайс лист'!B848</f>
        <v>Пластина соеденительная 150х240х2</v>
      </c>
      <c r="T488" s="1150" t="n">
        <f aca="false">'Прайс лист'!G848</f>
        <v>55</v>
      </c>
      <c r="U488" s="896" t="str">
        <f aca="false">'Прайс лист'!B882</f>
        <v>Саморез 5,5 х 25</v>
      </c>
      <c r="V488" s="1150" t="n">
        <f aca="false">'Прайс лист'!F882</f>
        <v>2.5</v>
      </c>
      <c r="W488" s="896" t="str">
        <f aca="false">'Прайс лист'!B861</f>
        <v>Болты анкерные с гайкой 12,0 x 100</v>
      </c>
      <c r="X488" s="1150" t="n">
        <f aca="false">'Прайс лист'!G861</f>
        <v>11.2</v>
      </c>
      <c r="Y488" s="896" t="str">
        <f aca="false">'Прайс лист'!B642</f>
        <v>L 50 x 50, 1,2мм</v>
      </c>
      <c r="Z488" s="2616" t="n">
        <f aca="false">'Прайс лист'!G642</f>
        <v>77</v>
      </c>
      <c r="AG488" s="2315" t="n">
        <v>33.6</v>
      </c>
      <c r="AH488" s="2606" t="n">
        <f aca="false">AG488*3.1415926535897/180</f>
        <v>0.586430628670077</v>
      </c>
      <c r="AI488" s="2606" t="n">
        <f aca="false">AH488+0.0005</f>
        <v>0.586930628670077</v>
      </c>
      <c r="AJ488" s="2606" t="n">
        <f aca="false">AH488-0.0005</f>
        <v>0.585930628670077</v>
      </c>
      <c r="AK488" s="2315" t="n">
        <f aca="false">IF(AND(дома!$Z$29&gt;=AJ488,дома!$Z$29&lt;=AI488),связи1!AG488,0)</f>
        <v>0</v>
      </c>
      <c r="AL488" s="2315" t="n">
        <f aca="false">IF(AND(дома!$AA$29&gt;=AJ488,дома!$AA$29&lt;=AI488),связи1!AG488,0)</f>
        <v>0</v>
      </c>
    </row>
    <row r="489" customFormat="false" ht="14.5" hidden="false" customHeight="false" outlineLevel="0" collapsed="false">
      <c r="A489" s="2315" t="str">
        <f aca="false">'Прайс лист'!B428</f>
        <v>Лен-джут 100х5х20000 мм</v>
      </c>
      <c r="B489" s="933" t="n">
        <f aca="false">'Прайс лист'!G428</f>
        <v>110</v>
      </c>
      <c r="AG489" s="2315" t="n">
        <v>33.7</v>
      </c>
      <c r="AH489" s="2606" t="n">
        <f aca="false">AG489*3.1415926535897/180</f>
        <v>0.588175957922072</v>
      </c>
      <c r="AI489" s="2606" t="n">
        <f aca="false">AH489+0.0005</f>
        <v>0.588675957922071</v>
      </c>
      <c r="AJ489" s="2606" t="n">
        <f aca="false">AH489-0.0005</f>
        <v>0.587675957922072</v>
      </c>
      <c r="AK489" s="2315" t="n">
        <f aca="false">IF(AND(дома!$Z$29&gt;=AJ489,дома!$Z$29&lt;=AI489),связи1!AG489,0)</f>
        <v>0</v>
      </c>
      <c r="AL489" s="2315" t="n">
        <f aca="false">IF(AND(дома!$AA$29&gt;=AJ489,дома!$AA$29&lt;=AI489),связи1!AG489,0)</f>
        <v>0</v>
      </c>
    </row>
    <row r="490" customFormat="false" ht="14.5" hidden="false" customHeight="false" outlineLevel="0" collapsed="false">
      <c r="A490" s="2315" t="str">
        <f aca="false">'Прайс лист'!B429</f>
        <v>Лен-джут 150х5х20000 мм</v>
      </c>
      <c r="B490" s="933" t="n">
        <f aca="false">'Прайс лист'!G429</f>
        <v>140</v>
      </c>
      <c r="AG490" s="2315" t="n">
        <v>33.8</v>
      </c>
      <c r="AH490" s="2606" t="n">
        <f aca="false">AG490*3.1415926535897/180</f>
        <v>0.589921287174066</v>
      </c>
      <c r="AI490" s="2606" t="n">
        <f aca="false">AH490+0.0005</f>
        <v>0.590421287174066</v>
      </c>
      <c r="AJ490" s="2606" t="n">
        <f aca="false">AH490-0.0005</f>
        <v>0.589421287174066</v>
      </c>
      <c r="AK490" s="2315" t="n">
        <f aca="false">IF(AND(дома!$Z$29&gt;=AJ490,дома!$Z$29&lt;=AI490),связи1!AG490,0)</f>
        <v>0</v>
      </c>
      <c r="AL490" s="2315" t="n">
        <f aca="false">IF(AND(дома!$AA$29&gt;=AJ490,дома!$AA$29&lt;=AI490),связи1!AG490,0)</f>
        <v>0</v>
      </c>
    </row>
    <row r="491" customFormat="false" ht="14.5" hidden="false" customHeight="false" outlineLevel="0" collapsed="false">
      <c r="A491" s="2315" t="str">
        <f aca="false">'Прайс лист'!B430</f>
        <v>Лен-джут 200х5х20000 мм</v>
      </c>
      <c r="B491" s="933" t="n">
        <f aca="false">'Прайс лист'!G430</f>
        <v>175</v>
      </c>
      <c r="AG491" s="2315" t="n">
        <v>33.9</v>
      </c>
      <c r="AH491" s="2606" t="n">
        <f aca="false">AG491*3.1415926535897/180</f>
        <v>0.59166661642606</v>
      </c>
      <c r="AI491" s="2606" t="n">
        <f aca="false">AH491+0.0005</f>
        <v>0.59216661642606</v>
      </c>
      <c r="AJ491" s="2606" t="n">
        <f aca="false">AH491-0.0005</f>
        <v>0.59116661642606</v>
      </c>
      <c r="AK491" s="2315" t="n">
        <f aca="false">IF(AND(дома!$Z$29&gt;=AJ491,дома!$Z$29&lt;=AI491),связи1!AG491,0)</f>
        <v>0</v>
      </c>
      <c r="AL491" s="2315" t="n">
        <f aca="false">IF(AND(дома!$AA$29&gt;=AJ491,дома!$AA$29&lt;=AI491),связи1!AG491,0)</f>
        <v>0</v>
      </c>
    </row>
    <row r="492" customFormat="false" ht="14.5" hidden="false" customHeight="false" outlineLevel="0" collapsed="false">
      <c r="A492" s="2315" t="str">
        <f aca="false">'Прайс лист'!B431</f>
        <v>Лен-джут 80х5х20000 мм</v>
      </c>
      <c r="B492" s="933" t="n">
        <f aca="false">'Прайс лист'!G431</f>
        <v>750</v>
      </c>
      <c r="AG492" s="2315" t="n">
        <v>34</v>
      </c>
      <c r="AH492" s="2606" t="n">
        <f aca="false">AG492*3.1415926535897/180</f>
        <v>0.593411945678054</v>
      </c>
      <c r="AI492" s="2606" t="n">
        <f aca="false">AH492+0.0005</f>
        <v>0.593911945678054</v>
      </c>
      <c r="AJ492" s="2606" t="n">
        <f aca="false">AH492-0.0005</f>
        <v>0.592911945678055</v>
      </c>
      <c r="AK492" s="2315" t="n">
        <f aca="false">IF(AND(дома!$Z$29&gt;=AJ492,дома!$Z$29&lt;=AI492),связи1!AG492,0)</f>
        <v>0</v>
      </c>
      <c r="AL492" s="2315" t="n">
        <f aca="false">IF(AND(дома!$AA$29&gt;=AJ492,дома!$AA$29&lt;=AI492),связи1!AG492,0)</f>
        <v>0</v>
      </c>
    </row>
    <row r="493" customFormat="false" ht="14.5" hidden="false" customHeight="false" outlineLevel="0" collapsed="false">
      <c r="A493" s="2315" t="str">
        <f aca="false">'Прайс лист'!B432</f>
        <v>Лен-джут 160х5х20000 мм</v>
      </c>
      <c r="B493" s="933" t="n">
        <f aca="false">'Прайс лист'!G432</f>
        <v>1500</v>
      </c>
      <c r="AG493" s="2315" t="n">
        <v>34.1</v>
      </c>
      <c r="AH493" s="2606" t="n">
        <f aca="false">AG493*3.1415926535897/180</f>
        <v>0.595157274930049</v>
      </c>
      <c r="AI493" s="2606" t="n">
        <f aca="false">AH493+0.0005</f>
        <v>0.595657274930049</v>
      </c>
      <c r="AJ493" s="2606" t="n">
        <f aca="false">AH493-0.0005</f>
        <v>0.594657274930049</v>
      </c>
      <c r="AK493" s="2315" t="n">
        <f aca="false">IF(AND(дома!$Z$29&gt;=AJ493,дома!$Z$29&lt;=AI493),связи1!AG493,0)</f>
        <v>0</v>
      </c>
      <c r="AL493" s="2315" t="n">
        <f aca="false">IF(AND(дома!$AA$29&gt;=AJ493,дома!$AA$29&lt;=AI493),связи1!AG493,0)</f>
        <v>0</v>
      </c>
    </row>
    <row r="494" customFormat="false" ht="14.5" hidden="false" customHeight="false" outlineLevel="0" collapsed="false">
      <c r="AG494" s="2315" t="n">
        <v>34.2</v>
      </c>
      <c r="AH494" s="2606" t="n">
        <f aca="false">AG494*3.1415926535897/180</f>
        <v>0.596902604182043</v>
      </c>
      <c r="AI494" s="2606" t="n">
        <f aca="false">AH494+0.0005</f>
        <v>0.597402604182043</v>
      </c>
      <c r="AJ494" s="2606" t="n">
        <f aca="false">AH494-0.0005</f>
        <v>0.596402604182043</v>
      </c>
      <c r="AK494" s="2315" t="n">
        <f aca="false">IF(AND(дома!$Z$29&gt;=AJ494,дома!$Z$29&lt;=AI494),связи1!AG494,0)</f>
        <v>0</v>
      </c>
      <c r="AL494" s="2315" t="n">
        <f aca="false">IF(AND(дома!$AA$29&gt;=AJ494,дома!$AA$29&lt;=AI494),связи1!AG494,0)</f>
        <v>0</v>
      </c>
    </row>
    <row r="495" customFormat="false" ht="14.5" hidden="false" customHeight="false" outlineLevel="0" collapsed="false">
      <c r="A495" s="896" t="str">
        <f aca="false">'Прайс лист'!B978</f>
        <v>Нет</v>
      </c>
      <c r="B495" s="896" t="n">
        <f aca="false">'Прайс лист'!E978</f>
        <v>0</v>
      </c>
      <c r="C495" s="896" t="n">
        <f aca="false">'Прайс лист'!D978</f>
        <v>0</v>
      </c>
      <c r="D495" s="896" t="n">
        <f aca="false">'Прайс лист'!C978</f>
        <v>0</v>
      </c>
      <c r="E495" s="896" t="n">
        <f aca="false">'Прайс лист'!F978</f>
        <v>0</v>
      </c>
      <c r="F495" s="896" t="n">
        <f aca="false">'Прайс лист'!G978</f>
        <v>0</v>
      </c>
      <c r="AG495" s="2315" t="n">
        <v>36.2</v>
      </c>
      <c r="AH495" s="2606" t="n">
        <f aca="false">AG495*3.1415926535897/180</f>
        <v>0.631809189221929</v>
      </c>
      <c r="AI495" s="2606" t="n">
        <f aca="false">AH495+0.0005</f>
        <v>0.632309189221929</v>
      </c>
      <c r="AJ495" s="2606" t="n">
        <f aca="false">AH495-0.0005</f>
        <v>0.631309189221929</v>
      </c>
      <c r="AK495" s="2315" t="n">
        <f aca="false">IF(AND(дома!$Z$29&gt;=AJ495,дома!$Z$29&lt;=AI495),связи1!AG495,0)</f>
        <v>0</v>
      </c>
      <c r="AL495" s="2315" t="n">
        <f aca="false">IF(AND(дома!$AA$29&gt;=AJ495,дома!$AA$29&lt;=AI495),связи1!AG495,0)</f>
        <v>0</v>
      </c>
    </row>
    <row r="496" customFormat="false" ht="14.5" hidden="false" customHeight="false" outlineLevel="0" collapsed="false">
      <c r="A496" s="896" t="str">
        <f aca="false">'Прайс лист'!B979</f>
        <v>0,7НФ/150/75 Красный</v>
      </c>
      <c r="B496" s="896" t="n">
        <f aca="false">'Прайс лист'!E979/1000</f>
        <v>0.25</v>
      </c>
      <c r="C496" s="896" t="n">
        <f aca="false">'Прайс лист'!D979/1000</f>
        <v>0.085</v>
      </c>
      <c r="D496" s="896" t="n">
        <f aca="false">'Прайс лист'!C979/1000</f>
        <v>0.065</v>
      </c>
      <c r="E496" s="896" t="n">
        <f aca="false">'Прайс лист'!F979</f>
        <v>11.59</v>
      </c>
      <c r="F496" s="896" t="n">
        <f aca="false">CEILING(1/B496/D496*E496,1)</f>
        <v>714</v>
      </c>
      <c r="AG496" s="2315" t="n">
        <v>36.3</v>
      </c>
      <c r="AH496" s="2606" t="n">
        <f aca="false">AG496*3.1415926535897/180</f>
        <v>0.633554518473923</v>
      </c>
      <c r="AI496" s="2606" t="n">
        <f aca="false">AH496+0.0005</f>
        <v>0.634054518473923</v>
      </c>
      <c r="AJ496" s="2606" t="n">
        <f aca="false">AH496-0.0005</f>
        <v>0.633054518473923</v>
      </c>
      <c r="AK496" s="2315" t="n">
        <f aca="false">IF(AND(дома!$Z$29&gt;=AJ496,дома!$Z$29&lt;=AI496),связи1!AG496,0)</f>
        <v>0</v>
      </c>
      <c r="AL496" s="2315" t="n">
        <f aca="false">IF(AND(дома!$AA$29&gt;=AJ496,дома!$AA$29&lt;=AI496),связи1!AG496,0)</f>
        <v>0</v>
      </c>
    </row>
    <row r="497" customFormat="false" ht="14.5" hidden="false" customHeight="false" outlineLevel="0" collapsed="false">
      <c r="A497" s="896" t="str">
        <f aca="false">'Прайс лист'!B980</f>
        <v>0,7НФ/150/75 Аренберг</v>
      </c>
      <c r="B497" s="896" t="n">
        <f aca="false">'Прайс лист'!E980/1000</f>
        <v>0.25</v>
      </c>
      <c r="C497" s="896" t="n">
        <f aca="false">'Прайс лист'!D980/1000</f>
        <v>0.085</v>
      </c>
      <c r="D497" s="896" t="n">
        <f aca="false">'Прайс лист'!C980/1000</f>
        <v>0.065</v>
      </c>
      <c r="E497" s="896" t="n">
        <f aca="false">'Прайс лист'!F980</f>
        <v>17.08</v>
      </c>
      <c r="F497" s="896" t="n">
        <f aca="false">CEILING(1/B497/D497*E497,1)</f>
        <v>1052</v>
      </c>
      <c r="AG497" s="2315" t="n">
        <v>36.4</v>
      </c>
      <c r="AH497" s="2606" t="n">
        <f aca="false">AG497*3.1415926535897/180</f>
        <v>0.635299847725917</v>
      </c>
      <c r="AI497" s="2606" t="n">
        <f aca="false">AH497+0.0005</f>
        <v>0.635799847725917</v>
      </c>
      <c r="AJ497" s="2606" t="n">
        <f aca="false">AH497-0.0005</f>
        <v>0.634799847725917</v>
      </c>
      <c r="AK497" s="2315" t="n">
        <f aca="false">IF(AND(дома!$Z$29&gt;=AJ497,дома!$Z$29&lt;=AI497),связи1!AG497,0)</f>
        <v>0</v>
      </c>
      <c r="AL497" s="2315" t="n">
        <f aca="false">IF(AND(дома!$AA$29&gt;=AJ497,дома!$AA$29&lt;=AI497),связи1!AG497,0)</f>
        <v>0</v>
      </c>
    </row>
    <row r="498" customFormat="false" ht="14.5" hidden="false" customHeight="false" outlineLevel="0" collapsed="false">
      <c r="A498" s="896" t="str">
        <f aca="false">'Прайс лист'!B981</f>
        <v>0,7НФ/150/75 Гляссе</v>
      </c>
      <c r="B498" s="896" t="n">
        <f aca="false">'Прайс лист'!E981/1000</f>
        <v>0.25</v>
      </c>
      <c r="C498" s="896" t="n">
        <f aca="false">'Прайс лист'!D981/1000</f>
        <v>0.085</v>
      </c>
      <c r="D498" s="896" t="n">
        <f aca="false">'Прайс лист'!C981/1000</f>
        <v>0.065</v>
      </c>
      <c r="E498" s="896" t="n">
        <f aca="false">'Прайс лист'!F981</f>
        <v>17.08</v>
      </c>
      <c r="F498" s="896" t="n">
        <f aca="false">CEILING(1/B498/D498*E498,1)</f>
        <v>1052</v>
      </c>
      <c r="AG498" s="2315" t="n">
        <v>36.5</v>
      </c>
      <c r="AH498" s="2606" t="n">
        <f aca="false">AG498*3.1415926535897/180</f>
        <v>0.637045176977911</v>
      </c>
      <c r="AI498" s="2606" t="n">
        <f aca="false">AH498+0.0005</f>
        <v>0.637545176977911</v>
      </c>
      <c r="AJ498" s="2606" t="n">
        <f aca="false">AH498-0.0005</f>
        <v>0.636545176977911</v>
      </c>
      <c r="AK498" s="2315" t="n">
        <f aca="false">IF(AND(дома!$Z$29&gt;=AJ498,дома!$Z$29&lt;=AI498),связи1!AG498,0)</f>
        <v>0</v>
      </c>
      <c r="AL498" s="2315" t="n">
        <f aca="false">IF(AND(дома!$AA$29&gt;=AJ498,дома!$AA$29&lt;=AI498),связи1!AG498,0)</f>
        <v>0</v>
      </c>
    </row>
    <row r="499" customFormat="false" ht="14.5" hidden="false" customHeight="false" outlineLevel="0" collapsed="false">
      <c r="A499" s="896" t="str">
        <f aca="false">'Прайс лист'!B982</f>
        <v>0,7НФ/150/75 Терракот</v>
      </c>
      <c r="B499" s="896" t="n">
        <f aca="false">'Прайс лист'!E982/1000</f>
        <v>0.25</v>
      </c>
      <c r="C499" s="896" t="n">
        <f aca="false">'Прайс лист'!D982/1000</f>
        <v>0.085</v>
      </c>
      <c r="D499" s="896" t="n">
        <f aca="false">'Прайс лист'!C982/1000</f>
        <v>0.065</v>
      </c>
      <c r="E499" s="896" t="n">
        <f aca="false">'Прайс лист'!F982</f>
        <v>17.08</v>
      </c>
      <c r="F499" s="896" t="n">
        <f aca="false">CEILING(1/B499/D499*E499,1)</f>
        <v>1052</v>
      </c>
      <c r="AG499" s="2315" t="n">
        <v>36.6</v>
      </c>
      <c r="AH499" s="2606" t="n">
        <f aca="false">AG499*3.1415926535897/180</f>
        <v>0.638790506229906</v>
      </c>
      <c r="AI499" s="2606" t="n">
        <f aca="false">AH499+0.0005</f>
        <v>0.639290506229906</v>
      </c>
      <c r="AJ499" s="2606" t="n">
        <f aca="false">AH499-0.0005</f>
        <v>0.638290506229906</v>
      </c>
      <c r="AK499" s="2315" t="n">
        <f aca="false">IF(AND(дома!$Z$29&gt;=AJ499,дома!$Z$29&lt;=AI499),связи1!AG499,0)</f>
        <v>0</v>
      </c>
      <c r="AL499" s="2315" t="n">
        <f aca="false">IF(AND(дома!$AA$29&gt;=AJ499,дома!$AA$29&lt;=AI499),связи1!AG499,0)</f>
        <v>0</v>
      </c>
    </row>
    <row r="500" customFormat="false" ht="14.5" hidden="false" customHeight="false" outlineLevel="0" collapsed="false">
      <c r="A500" s="896" t="str">
        <f aca="false">'Прайс лист'!B983</f>
        <v>0,7НФ/150/75 Шоколад</v>
      </c>
      <c r="B500" s="896" t="n">
        <f aca="false">'Прайс лист'!E983/1000</f>
        <v>0.25</v>
      </c>
      <c r="C500" s="896" t="n">
        <f aca="false">'Прайс лист'!D983/1000</f>
        <v>0.085</v>
      </c>
      <c r="D500" s="896" t="n">
        <f aca="false">'Прайс лист'!C983/1000</f>
        <v>0.065</v>
      </c>
      <c r="E500" s="896" t="n">
        <f aca="false">'Прайс лист'!F983</f>
        <v>17.08</v>
      </c>
      <c r="F500" s="896" t="n">
        <f aca="false">CEILING(1/B500/D500*E500,1)</f>
        <v>1052</v>
      </c>
      <c r="AG500" s="2315" t="n">
        <v>36.7</v>
      </c>
      <c r="AH500" s="2606" t="n">
        <f aca="false">AG500*3.1415926535897/180</f>
        <v>0.6405358354819</v>
      </c>
      <c r="AI500" s="2606" t="n">
        <f aca="false">AH500+0.0005</f>
        <v>0.6410358354819</v>
      </c>
      <c r="AJ500" s="2606" t="n">
        <f aca="false">AH500-0.0005</f>
        <v>0.6400358354819</v>
      </c>
      <c r="AK500" s="2315" t="n">
        <f aca="false">IF(AND(дома!$Z$29&gt;=AJ500,дома!$Z$29&lt;=AI500),связи1!AG500,0)</f>
        <v>0</v>
      </c>
      <c r="AL500" s="2315" t="n">
        <f aca="false">IF(AND(дома!$AA$29&gt;=AJ500,дома!$AA$29&lt;=AI500),связи1!AG500,0)</f>
        <v>0</v>
      </c>
    </row>
    <row r="501" customFormat="false" ht="14.5" hidden="false" customHeight="false" outlineLevel="0" collapsed="false">
      <c r="A501" s="896" t="str">
        <f aca="false">'Прайс лист'!B984</f>
        <v>0,7НФ/150/75 Темный Шоколад</v>
      </c>
      <c r="B501" s="896" t="n">
        <f aca="false">'Прайс лист'!E984/1000</f>
        <v>0.25</v>
      </c>
      <c r="C501" s="896" t="n">
        <f aca="false">'Прайс лист'!D984/1000</f>
        <v>0.085</v>
      </c>
      <c r="D501" s="896" t="n">
        <f aca="false">'Прайс лист'!C984/1000</f>
        <v>0.065</v>
      </c>
      <c r="E501" s="896" t="n">
        <f aca="false">'Прайс лист'!F984</f>
        <v>17.08</v>
      </c>
      <c r="F501" s="896" t="n">
        <f aca="false">CEILING(1/B501/D501*E501,1)</f>
        <v>1052</v>
      </c>
      <c r="AG501" s="2315" t="n">
        <v>36.8</v>
      </c>
      <c r="AH501" s="2606" t="n">
        <f aca="false">AG501*3.1415926535897/180</f>
        <v>0.642281164733894</v>
      </c>
      <c r="AI501" s="2606" t="n">
        <f aca="false">AH501+0.0005</f>
        <v>0.642781164733894</v>
      </c>
      <c r="AJ501" s="2606" t="n">
        <f aca="false">AH501-0.0005</f>
        <v>0.641781164733894</v>
      </c>
      <c r="AK501" s="2315" t="n">
        <f aca="false">IF(AND(дома!$Z$29&gt;=AJ501,дома!$Z$29&lt;=AI501),связи1!AG501,0)</f>
        <v>0</v>
      </c>
      <c r="AL501" s="2315" t="n">
        <f aca="false">IF(AND(дома!$AA$29&gt;=AJ501,дома!$AA$29&lt;=AI501),связи1!AG501,0)</f>
        <v>0</v>
      </c>
    </row>
    <row r="502" customFormat="false" ht="14.5" hidden="false" customHeight="false" outlineLevel="0" collapsed="false">
      <c r="A502" s="896" t="str">
        <f aca="false">'Прайс лист'!B985</f>
        <v>0,7НФ/150/75 Бавария Микс</v>
      </c>
      <c r="B502" s="896" t="n">
        <f aca="false">'Прайс лист'!E985/1000</f>
        <v>0.25</v>
      </c>
      <c r="C502" s="896" t="n">
        <f aca="false">'Прайс лист'!D985/1000</f>
        <v>0.085</v>
      </c>
      <c r="D502" s="896" t="n">
        <f aca="false">'Прайс лист'!C985/1000</f>
        <v>0.065</v>
      </c>
      <c r="E502" s="896" t="n">
        <f aca="false">'Прайс лист'!F985</f>
        <v>17.08</v>
      </c>
      <c r="F502" s="896" t="n">
        <f aca="false">CEILING(1/B502/D502*E502,1)</f>
        <v>1052</v>
      </c>
      <c r="AG502" s="2315" t="n">
        <v>36.9</v>
      </c>
      <c r="AH502" s="2606" t="n">
        <f aca="false">AG502*3.1415926535897/180</f>
        <v>0.644026493985888</v>
      </c>
      <c r="AI502" s="2606" t="n">
        <f aca="false">AH502+0.0005</f>
        <v>0.644526493985888</v>
      </c>
      <c r="AJ502" s="2606" t="n">
        <f aca="false">AH502-0.0005</f>
        <v>0.643526493985888</v>
      </c>
      <c r="AK502" s="2315" t="n">
        <f aca="false">IF(AND(дома!$Z$29&gt;=AJ502,дома!$Z$29&lt;=AI502),связи1!AG502,0)</f>
        <v>0</v>
      </c>
      <c r="AL502" s="2315" t="n">
        <f aca="false">IF(AND(дома!$AA$29&gt;=AJ502,дома!$AA$29&lt;=AI502),связи1!AG502,0)</f>
        <v>0</v>
      </c>
    </row>
    <row r="503" customFormat="false" ht="14.5" hidden="false" customHeight="false" outlineLevel="0" collapsed="false">
      <c r="A503" s="896" t="str">
        <f aca="false">'Прайс лист'!B986</f>
        <v>0,7НФ/150/50 Белый</v>
      </c>
      <c r="B503" s="896" t="n">
        <f aca="false">'Прайс лист'!E986/1000</f>
        <v>0.25</v>
      </c>
      <c r="C503" s="896" t="n">
        <f aca="false">'Прайс лист'!D986/1000</f>
        <v>0.085</v>
      </c>
      <c r="D503" s="896" t="n">
        <f aca="false">'Прайс лист'!C986/1000</f>
        <v>0.065</v>
      </c>
      <c r="E503" s="896" t="n">
        <f aca="false">'Прайс лист'!F986</f>
        <v>20.77</v>
      </c>
      <c r="F503" s="896" t="n">
        <f aca="false">CEILING(1/B503/D503*E503,1)</f>
        <v>1279</v>
      </c>
      <c r="AG503" s="2315" t="n">
        <v>37</v>
      </c>
      <c r="AH503" s="2606" t="n">
        <f aca="false">AG503*3.1415926535897/180</f>
        <v>0.645771823237883</v>
      </c>
      <c r="AI503" s="2606" t="n">
        <f aca="false">AH503+0.0005</f>
        <v>0.646271823237883</v>
      </c>
      <c r="AJ503" s="2606" t="n">
        <f aca="false">AH503-0.0005</f>
        <v>0.645271823237883</v>
      </c>
      <c r="AK503" s="2315" t="n">
        <f aca="false">IF(AND(дома!$Z$29&gt;=AJ503,дома!$Z$29&lt;=AI503),связи1!AG503,0)</f>
        <v>0</v>
      </c>
      <c r="AL503" s="2315" t="n">
        <f aca="false">IF(AND(дома!$AA$29&gt;=AJ503,дома!$AA$29&lt;=AI503),связи1!AG503,0)</f>
        <v>0</v>
      </c>
    </row>
    <row r="504" customFormat="false" ht="14.5" hidden="false" customHeight="false" outlineLevel="0" collapsed="false">
      <c r="A504" s="896" t="str">
        <f aca="false">'Прайс лист'!B987</f>
        <v>0,7НФ/150/50 Лотос</v>
      </c>
      <c r="B504" s="896" t="n">
        <f aca="false">'Прайс лист'!E987/1000</f>
        <v>0.25</v>
      </c>
      <c r="C504" s="896" t="n">
        <f aca="false">'Прайс лист'!D987/1000</f>
        <v>0.085</v>
      </c>
      <c r="D504" s="896" t="n">
        <f aca="false">'Прайс лист'!C987/1000</f>
        <v>0.065</v>
      </c>
      <c r="E504" s="896" t="n">
        <f aca="false">'Прайс лист'!F987</f>
        <v>18.33</v>
      </c>
      <c r="F504" s="896" t="n">
        <f aca="false">CEILING(1/B504/D504*E504,1)</f>
        <v>1128</v>
      </c>
      <c r="AG504" s="2315" t="n">
        <v>37.1</v>
      </c>
      <c r="AH504" s="2606" t="n">
        <f aca="false">AG504*3.1415926535897/180</f>
        <v>0.647517152489877</v>
      </c>
      <c r="AI504" s="2606" t="n">
        <f aca="false">AH504+0.0005</f>
        <v>0.648017152489877</v>
      </c>
      <c r="AJ504" s="2606" t="n">
        <f aca="false">AH504-0.0005</f>
        <v>0.647017152489877</v>
      </c>
      <c r="AK504" s="2315" t="n">
        <f aca="false">IF(AND(дома!$Z$29&gt;=AJ504,дома!$Z$29&lt;=AI504),связи1!AG504,0)</f>
        <v>0</v>
      </c>
      <c r="AL504" s="2315" t="n">
        <f aca="false">IF(AND(дома!$AA$29&gt;=AJ504,дома!$AA$29&lt;=AI504),связи1!AG504,0)</f>
        <v>0</v>
      </c>
    </row>
    <row r="505" customFormat="false" ht="14.5" hidden="false" customHeight="false" outlineLevel="0" collapsed="false">
      <c r="A505" s="896" t="str">
        <f aca="false">'Прайс лист'!B988</f>
        <v>0,7НФ/150/50 Камелот Гляссе</v>
      </c>
      <c r="B505" s="896" t="n">
        <f aca="false">'Прайс лист'!E988/1000</f>
        <v>0.25</v>
      </c>
      <c r="C505" s="896" t="n">
        <f aca="false">'Прайс лист'!D988/1000</f>
        <v>0.085</v>
      </c>
      <c r="D505" s="896" t="n">
        <f aca="false">'Прайс лист'!C988/1000</f>
        <v>0.065</v>
      </c>
      <c r="E505" s="896" t="n">
        <f aca="false">'Прайс лист'!F988</f>
        <v>20.76</v>
      </c>
      <c r="F505" s="896" t="n">
        <f aca="false">CEILING(1/B505/D505*E505,1)</f>
        <v>1278</v>
      </c>
      <c r="AG505" s="2315" t="n">
        <v>37.2</v>
      </c>
      <c r="AH505" s="2606" t="n">
        <f aca="false">AG505*3.1415926535897/180</f>
        <v>0.649262481741871</v>
      </c>
      <c r="AI505" s="2606" t="n">
        <f aca="false">AH505+0.0005</f>
        <v>0.649762481741871</v>
      </c>
      <c r="AJ505" s="2606" t="n">
        <f aca="false">AH505-0.0005</f>
        <v>0.648762481741871</v>
      </c>
      <c r="AK505" s="2315" t="n">
        <f aca="false">IF(AND(дома!$Z$29&gt;=AJ505,дома!$Z$29&lt;=AI505),связи1!AG505,0)</f>
        <v>0</v>
      </c>
      <c r="AL505" s="2315" t="n">
        <f aca="false">IF(AND(дома!$AA$29&gt;=AJ505,дома!$AA$29&lt;=AI505),связи1!AG505,0)</f>
        <v>0</v>
      </c>
    </row>
    <row r="506" customFormat="false" ht="14.5" hidden="false" customHeight="false" outlineLevel="0" collapsed="false">
      <c r="A506" s="896" t="str">
        <f aca="false">'Прайс лист'!B989</f>
        <v>0,7НФ/150/50 Камелот Терракот</v>
      </c>
      <c r="B506" s="896" t="n">
        <f aca="false">'Прайс лист'!E989/1000</f>
        <v>0.25</v>
      </c>
      <c r="C506" s="896" t="n">
        <f aca="false">'Прайс лист'!D989/1000</f>
        <v>0.085</v>
      </c>
      <c r="D506" s="896" t="n">
        <f aca="false">'Прайс лист'!C989/1000</f>
        <v>0.065</v>
      </c>
      <c r="E506" s="896" t="n">
        <f aca="false">'Прайс лист'!F989</f>
        <v>20.76</v>
      </c>
      <c r="F506" s="896" t="n">
        <f aca="false">CEILING(1/B506/D506*E506,1)</f>
        <v>1278</v>
      </c>
      <c r="AG506" s="2315" t="n">
        <v>37.3</v>
      </c>
      <c r="AH506" s="2606" t="n">
        <f aca="false">AG506*3.1415926535897/180</f>
        <v>0.651007810993865</v>
      </c>
      <c r="AI506" s="2606" t="n">
        <f aca="false">AH506+0.0005</f>
        <v>0.651507810993865</v>
      </c>
      <c r="AJ506" s="2606" t="n">
        <f aca="false">AH506-0.0005</f>
        <v>0.650507810993866</v>
      </c>
      <c r="AK506" s="2315" t="n">
        <f aca="false">IF(AND(дома!$Z$29&gt;=AJ506,дома!$Z$29&lt;=AI506),связи1!AG506,0)</f>
        <v>0</v>
      </c>
      <c r="AL506" s="2315" t="n">
        <f aca="false">IF(AND(дома!$AA$29&gt;=AJ506,дома!$AA$29&lt;=AI506),связи1!AG506,0)</f>
        <v>0</v>
      </c>
    </row>
    <row r="507" customFormat="false" ht="14.5" hidden="false" customHeight="false" outlineLevel="0" collapsed="false">
      <c r="A507" s="896" t="str">
        <f aca="false">'Прайс лист'!B990</f>
        <v>0,7НФ/150/50 Камелот Шоколад</v>
      </c>
      <c r="B507" s="896" t="n">
        <f aca="false">'Прайс лист'!E990/1000</f>
        <v>0.25</v>
      </c>
      <c r="C507" s="896" t="n">
        <f aca="false">'Прайс лист'!D990/1000</f>
        <v>0.085</v>
      </c>
      <c r="D507" s="896" t="n">
        <f aca="false">'Прайс лист'!C990/1000</f>
        <v>0.065</v>
      </c>
      <c r="E507" s="896" t="n">
        <f aca="false">'Прайс лист'!F990</f>
        <v>20.76</v>
      </c>
      <c r="F507" s="896" t="n">
        <f aca="false">CEILING(1/B507/D507*E507,1)</f>
        <v>1278</v>
      </c>
      <c r="AG507" s="2315" t="n">
        <v>37.4</v>
      </c>
      <c r="AH507" s="2606" t="n">
        <f aca="false">AG507*3.1415926535897/180</f>
        <v>0.65275314024586</v>
      </c>
      <c r="AI507" s="2606" t="n">
        <f aca="false">AH507+0.0005</f>
        <v>0.65325314024586</v>
      </c>
      <c r="AJ507" s="2606" t="n">
        <f aca="false">AH507-0.0005</f>
        <v>0.65225314024586</v>
      </c>
      <c r="AK507" s="2315" t="n">
        <f aca="false">IF(AND(дома!$Z$29&gt;=AJ507,дома!$Z$29&lt;=AI507),связи1!AG507,0)</f>
        <v>0</v>
      </c>
      <c r="AL507" s="2315" t="n">
        <f aca="false">IF(AND(дома!$AA$29&gt;=AJ507,дома!$AA$29&lt;=AI507),связи1!AG507,0)</f>
        <v>0</v>
      </c>
    </row>
    <row r="508" customFormat="false" ht="14.5" hidden="false" customHeight="false" outlineLevel="0" collapsed="false">
      <c r="A508" s="896" t="str">
        <f aca="false">'Прайс лист'!B991</f>
        <v>0,7НФ/150/50 Камелот Темный Шоколад</v>
      </c>
      <c r="B508" s="896" t="n">
        <f aca="false">'Прайс лист'!E991/1000</f>
        <v>0.25</v>
      </c>
      <c r="C508" s="896" t="n">
        <f aca="false">'Прайс лист'!D991/1000</f>
        <v>0.085</v>
      </c>
      <c r="D508" s="896" t="n">
        <f aca="false">'Прайс лист'!C991/1000</f>
        <v>0.065</v>
      </c>
      <c r="E508" s="896" t="n">
        <f aca="false">'Прайс лист'!F991</f>
        <v>22.73</v>
      </c>
      <c r="F508" s="896" t="n">
        <f aca="false">CEILING(1/B508/D508*E508,1)</f>
        <v>1399</v>
      </c>
      <c r="AG508" s="2315" t="n">
        <v>37.5</v>
      </c>
      <c r="AH508" s="2606" t="n">
        <f aca="false">AG508*3.1415926535897/180</f>
        <v>0.654498469497854</v>
      </c>
      <c r="AI508" s="2606" t="n">
        <f aca="false">AH508+0.0005</f>
        <v>0.654998469497854</v>
      </c>
      <c r="AJ508" s="2606" t="n">
        <f aca="false">AH508-0.0005</f>
        <v>0.653998469497854</v>
      </c>
      <c r="AK508" s="2315" t="n">
        <f aca="false">IF(AND(дома!$Z$29&gt;=AJ508,дома!$Z$29&lt;=AI508),связи1!AG508,0)</f>
        <v>0</v>
      </c>
      <c r="AL508" s="2315" t="n">
        <f aca="false">IF(AND(дома!$AA$29&gt;=AJ508,дома!$AA$29&lt;=AI508),связи1!AG508,0)</f>
        <v>0</v>
      </c>
    </row>
    <row r="509" customFormat="false" ht="14.5" hidden="false" customHeight="false" outlineLevel="0" collapsed="false">
      <c r="A509" s="896" t="str">
        <f aca="false">'Прайс лист'!B992</f>
        <v>0,7НФ/150/50 Камелот Микс</v>
      </c>
      <c r="B509" s="896" t="n">
        <f aca="false">'Прайс лист'!E992/1000</f>
        <v>0.25</v>
      </c>
      <c r="C509" s="896" t="n">
        <f aca="false">'Прайс лист'!D992/1000</f>
        <v>0.085</v>
      </c>
      <c r="D509" s="896" t="n">
        <f aca="false">'Прайс лист'!C992/1000</f>
        <v>0.065</v>
      </c>
      <c r="E509" s="896" t="n">
        <f aca="false">'Прайс лист'!F992</f>
        <v>20.76</v>
      </c>
      <c r="F509" s="896" t="n">
        <f aca="false">CEILING(1/B509/D509*E509,1)</f>
        <v>1278</v>
      </c>
      <c r="AG509" s="2315" t="n">
        <v>37.6</v>
      </c>
      <c r="AH509" s="2606" t="n">
        <f aca="false">AG509*3.1415926535897/180</f>
        <v>0.656243798749849</v>
      </c>
      <c r="AI509" s="2606" t="n">
        <f aca="false">AH509+0.0005</f>
        <v>0.656743798749848</v>
      </c>
      <c r="AJ509" s="2606" t="n">
        <f aca="false">AH509-0.0005</f>
        <v>0.655743798749849</v>
      </c>
      <c r="AK509" s="2315" t="n">
        <f aca="false">IF(AND(дома!$Z$29&gt;=AJ509,дома!$Z$29&lt;=AI509),связи1!AG509,0)</f>
        <v>0</v>
      </c>
      <c r="AL509" s="2315" t="n">
        <f aca="false">IF(AND(дома!$AA$29&gt;=AJ509,дома!$AA$29&lt;=AI509),связи1!AG509,0)</f>
        <v>0</v>
      </c>
    </row>
    <row r="510" customFormat="false" ht="14.5" hidden="false" customHeight="false" outlineLevel="0" collapsed="false">
      <c r="A510" s="896" t="str">
        <f aca="false">'Прайс лист'!B993</f>
        <v>1НФ/150/75 Красный</v>
      </c>
      <c r="B510" s="896" t="n">
        <f aca="false">'Прайс лист'!E993/1000</f>
        <v>0.25</v>
      </c>
      <c r="C510" s="896" t="n">
        <f aca="false">'Прайс лист'!D993/1000</f>
        <v>0.12</v>
      </c>
      <c r="D510" s="896" t="n">
        <f aca="false">'Прайс лист'!C993/1000</f>
        <v>0.065</v>
      </c>
      <c r="E510" s="896" t="n">
        <f aca="false">'Прайс лист'!F993</f>
        <v>13.63</v>
      </c>
      <c r="F510" s="896" t="n">
        <f aca="false">CEILING(1/B510/D510*E510,1)</f>
        <v>839</v>
      </c>
      <c r="AG510" s="2315" t="n">
        <v>37.7</v>
      </c>
      <c r="AH510" s="2606" t="n">
        <f aca="false">AG510*3.1415926535897/180</f>
        <v>0.657989128001843</v>
      </c>
      <c r="AI510" s="2606" t="n">
        <f aca="false">AH510+0.0005</f>
        <v>0.658489128001843</v>
      </c>
      <c r="AJ510" s="2606" t="n">
        <f aca="false">AH510-0.0005</f>
        <v>0.657489128001843</v>
      </c>
      <c r="AK510" s="2315" t="n">
        <f aca="false">IF(AND(дома!$Z$29&gt;=AJ510,дома!$Z$29&lt;=AI510),связи1!AG510,0)</f>
        <v>0</v>
      </c>
      <c r="AL510" s="2315" t="n">
        <f aca="false">IF(AND(дома!$AA$29&gt;=AJ510,дома!$AA$29&lt;=AI510),связи1!AG510,0)</f>
        <v>0</v>
      </c>
    </row>
    <row r="511" customFormat="false" ht="14.5" hidden="false" customHeight="false" outlineLevel="0" collapsed="false">
      <c r="A511" s="896" t="str">
        <f aca="false">'Прайс лист'!B994</f>
        <v>1НФ/150/75 Аренберг</v>
      </c>
      <c r="B511" s="896" t="n">
        <f aca="false">'Прайс лист'!E994/1000</f>
        <v>0.25</v>
      </c>
      <c r="C511" s="896" t="n">
        <f aca="false">'Прайс лист'!D994/1000</f>
        <v>0.12</v>
      </c>
      <c r="D511" s="896" t="n">
        <f aca="false">'Прайс лист'!C994/1000</f>
        <v>0.065</v>
      </c>
      <c r="E511" s="896" t="n">
        <f aca="false">'Прайс лист'!F994</f>
        <v>20.09</v>
      </c>
      <c r="F511" s="896" t="n">
        <f aca="false">CEILING(1/B511/D511*E511,1)</f>
        <v>1237</v>
      </c>
      <c r="AG511" s="2315" t="n">
        <v>37.8</v>
      </c>
      <c r="AH511" s="2606" t="n">
        <f aca="false">AG511*3.1415926535897/180</f>
        <v>0.659734457253837</v>
      </c>
      <c r="AI511" s="2606" t="n">
        <f aca="false">AH511+0.0005</f>
        <v>0.660234457253837</v>
      </c>
      <c r="AJ511" s="2606" t="n">
        <f aca="false">AH511-0.0005</f>
        <v>0.659234457253837</v>
      </c>
      <c r="AK511" s="2315" t="n">
        <f aca="false">IF(AND(дома!$Z$29&gt;=AJ511,дома!$Z$29&lt;=AI511),связи1!AG511,0)</f>
        <v>0</v>
      </c>
      <c r="AL511" s="2315" t="n">
        <f aca="false">IF(AND(дома!$AA$29&gt;=AJ511,дома!$AA$29&lt;=AI511),связи1!AG511,0)</f>
        <v>0</v>
      </c>
    </row>
    <row r="512" customFormat="false" ht="14.5" hidden="false" customHeight="false" outlineLevel="0" collapsed="false">
      <c r="A512" s="896" t="str">
        <f aca="false">'Прайс лист'!B995</f>
        <v>1НФ/150/75 Эльц</v>
      </c>
      <c r="B512" s="896" t="n">
        <f aca="false">'Прайс лист'!E995/1000</f>
        <v>0.25</v>
      </c>
      <c r="C512" s="896" t="n">
        <f aca="false">'Прайс лист'!D995/1000</f>
        <v>0.12</v>
      </c>
      <c r="D512" s="896" t="n">
        <f aca="false">'Прайс лист'!C995/1000</f>
        <v>0.065</v>
      </c>
      <c r="E512" s="896" t="n">
        <f aca="false">'Прайс лист'!F995</f>
        <v>23.09</v>
      </c>
      <c r="F512" s="896" t="n">
        <f aca="false">CEILING(1/B512/D512*E512,1)</f>
        <v>1421</v>
      </c>
      <c r="AG512" s="2315" t="n">
        <v>37.9</v>
      </c>
      <c r="AH512" s="2606" t="n">
        <f aca="false">AG512*3.1415926535897/180</f>
        <v>0.661479786505831</v>
      </c>
      <c r="AI512" s="2606" t="n">
        <f aca="false">AH512+0.0005</f>
        <v>0.661979786505831</v>
      </c>
      <c r="AJ512" s="2606" t="n">
        <f aca="false">AH512-0.0005</f>
        <v>0.660979786505831</v>
      </c>
      <c r="AK512" s="2315" t="n">
        <f aca="false">IF(AND(дома!$Z$29&gt;=AJ512,дома!$Z$29&lt;=AI512),связи1!AG512,0)</f>
        <v>0</v>
      </c>
      <c r="AL512" s="2315" t="n">
        <f aca="false">IF(AND(дома!$AA$29&gt;=AJ512,дома!$AA$29&lt;=AI512),связи1!AG512,0)</f>
        <v>0</v>
      </c>
    </row>
    <row r="513" customFormat="false" ht="14.5" hidden="false" customHeight="false" outlineLevel="0" collapsed="false">
      <c r="A513" s="896" t="str">
        <f aca="false">'Прайс лист'!B996</f>
        <v>1НФ/150/75 Рочестер</v>
      </c>
      <c r="B513" s="896" t="n">
        <f aca="false">'Прайс лист'!E996/1000</f>
        <v>0.25</v>
      </c>
      <c r="C513" s="896" t="n">
        <f aca="false">'Прайс лист'!D996/1000</f>
        <v>0.12</v>
      </c>
      <c r="D513" s="896" t="n">
        <f aca="false">'Прайс лист'!C996/1000</f>
        <v>0.065</v>
      </c>
      <c r="E513" s="896" t="n">
        <f aca="false">'Прайс лист'!F996</f>
        <v>23.09</v>
      </c>
      <c r="F513" s="896" t="n">
        <f aca="false">CEILING(1/B513/D513*E513,1)</f>
        <v>1421</v>
      </c>
      <c r="AG513" s="2315" t="n">
        <v>38</v>
      </c>
      <c r="AH513" s="2606" t="n">
        <f aca="false">AG513*3.1415926535897/180</f>
        <v>0.663225115757825</v>
      </c>
      <c r="AI513" s="2606" t="n">
        <f aca="false">AH513+0.0005</f>
        <v>0.663725115757825</v>
      </c>
      <c r="AJ513" s="2606" t="n">
        <f aca="false">AH513-0.0005</f>
        <v>0.662725115757826</v>
      </c>
      <c r="AK513" s="2315" t="n">
        <f aca="false">IF(AND(дома!$Z$29&gt;=AJ513,дома!$Z$29&lt;=AI513),связи1!AG513,0)</f>
        <v>0</v>
      </c>
      <c r="AL513" s="2315" t="n">
        <f aca="false">IF(AND(дома!$AA$29&gt;=AJ513,дома!$AA$29&lt;=AI513),связи1!AG513,0)</f>
        <v>0</v>
      </c>
    </row>
    <row r="514" customFormat="false" ht="14.5" hidden="false" customHeight="false" outlineLevel="0" collapsed="false">
      <c r="A514" s="896" t="str">
        <f aca="false">'Прайс лист'!B997</f>
        <v>1НФ/150/75 Гляссе</v>
      </c>
      <c r="B514" s="896" t="n">
        <f aca="false">'Прайс лист'!E997/1000</f>
        <v>0.25</v>
      </c>
      <c r="C514" s="896" t="n">
        <f aca="false">'Прайс лист'!D997/1000</f>
        <v>0.12</v>
      </c>
      <c r="D514" s="896" t="n">
        <f aca="false">'Прайс лист'!C997/1000</f>
        <v>0.065</v>
      </c>
      <c r="E514" s="896" t="n">
        <f aca="false">'Прайс лист'!F997</f>
        <v>20.09</v>
      </c>
      <c r="F514" s="896" t="n">
        <f aca="false">CEILING(1/B514/D514*E514,1)</f>
        <v>1237</v>
      </c>
      <c r="AG514" s="2315" t="n">
        <v>38.1</v>
      </c>
      <c r="AH514" s="2606" t="n">
        <f aca="false">AG514*3.1415926535897/180</f>
        <v>0.66497044500982</v>
      </c>
      <c r="AI514" s="2606" t="n">
        <f aca="false">AH514+0.0005</f>
        <v>0.66547044500982</v>
      </c>
      <c r="AJ514" s="2606" t="n">
        <f aca="false">AH514-0.0005</f>
        <v>0.66447044500982</v>
      </c>
      <c r="AK514" s="2315" t="n">
        <f aca="false">IF(AND(дома!$Z$29&gt;=AJ514,дома!$Z$29&lt;=AI514),связи1!AG514,0)</f>
        <v>0</v>
      </c>
      <c r="AL514" s="2315" t="n">
        <f aca="false">IF(AND(дома!$AA$29&gt;=AJ514,дома!$AA$29&lt;=AI514),связи1!AG514,0)</f>
        <v>0</v>
      </c>
    </row>
    <row r="515" customFormat="false" ht="14.5" hidden="false" customHeight="false" outlineLevel="0" collapsed="false">
      <c r="A515" s="896" t="str">
        <f aca="false">'Прайс лист'!B998</f>
        <v>1НФ/150/75 Терракот</v>
      </c>
      <c r="B515" s="896" t="n">
        <f aca="false">'Прайс лист'!E998/1000</f>
        <v>0.25</v>
      </c>
      <c r="C515" s="896" t="n">
        <f aca="false">'Прайс лист'!D998/1000</f>
        <v>0.12</v>
      </c>
      <c r="D515" s="896" t="n">
        <f aca="false">'Прайс лист'!C998/1000</f>
        <v>0.065</v>
      </c>
      <c r="E515" s="896" t="n">
        <f aca="false">'Прайс лист'!F998</f>
        <v>20.09</v>
      </c>
      <c r="F515" s="896" t="n">
        <f aca="false">CEILING(1/B515/D515*E515,1)</f>
        <v>1237</v>
      </c>
      <c r="AG515" s="2315" t="n">
        <v>38.2</v>
      </c>
      <c r="AH515" s="2606" t="n">
        <f aca="false">AG515*3.1415926535897/180</f>
        <v>0.666715774261814</v>
      </c>
      <c r="AI515" s="2606" t="n">
        <f aca="false">AH515+0.0005</f>
        <v>0.667215774261814</v>
      </c>
      <c r="AJ515" s="2606" t="n">
        <f aca="false">AH515-0.0005</f>
        <v>0.666215774261814</v>
      </c>
      <c r="AK515" s="2315" t="n">
        <f aca="false">IF(AND(дома!$Z$29&gt;=AJ515,дома!$Z$29&lt;=AI515),связи1!AG515,0)</f>
        <v>0</v>
      </c>
      <c r="AL515" s="2315" t="n">
        <f aca="false">IF(AND(дома!$AA$29&gt;=AJ515,дома!$AA$29&lt;=AI515),связи1!AG515,0)</f>
        <v>0</v>
      </c>
    </row>
    <row r="516" customFormat="false" ht="14.5" hidden="false" customHeight="false" outlineLevel="0" collapsed="false">
      <c r="A516" s="896" t="str">
        <f aca="false">'Прайс лист'!B999</f>
        <v>1НФ/150/75 Шоколад</v>
      </c>
      <c r="B516" s="896" t="n">
        <f aca="false">'Прайс лист'!E999/1000</f>
        <v>0.25</v>
      </c>
      <c r="C516" s="896" t="n">
        <f aca="false">'Прайс лист'!D999/1000</f>
        <v>0.12</v>
      </c>
      <c r="D516" s="896" t="n">
        <f aca="false">'Прайс лист'!C999/1000</f>
        <v>0.065</v>
      </c>
      <c r="E516" s="896" t="n">
        <f aca="false">'Прайс лист'!F999</f>
        <v>20.09</v>
      </c>
      <c r="F516" s="896" t="n">
        <f aca="false">CEILING(1/B516/D516*E516,1)</f>
        <v>1237</v>
      </c>
      <c r="AG516" s="2315" t="n">
        <v>38.3</v>
      </c>
      <c r="AH516" s="2606" t="n">
        <f aca="false">AG516*3.1415926535897/180</f>
        <v>0.668461103513808</v>
      </c>
      <c r="AI516" s="2606" t="n">
        <f aca="false">AH516+0.0005</f>
        <v>0.668961103513808</v>
      </c>
      <c r="AJ516" s="2606" t="n">
        <f aca="false">AH516-0.0005</f>
        <v>0.667961103513808</v>
      </c>
      <c r="AK516" s="2315" t="n">
        <f aca="false">IF(AND(дома!$Z$29&gt;=AJ516,дома!$Z$29&lt;=AI516),связи1!AG516,0)</f>
        <v>0</v>
      </c>
      <c r="AL516" s="2315" t="n">
        <f aca="false">IF(AND(дома!$AA$29&gt;=AJ516,дома!$AA$29&lt;=AI516),связи1!AG516,0)</f>
        <v>0</v>
      </c>
    </row>
    <row r="517" customFormat="false" ht="14.5" hidden="false" customHeight="false" outlineLevel="0" collapsed="false">
      <c r="A517" s="896" t="str">
        <f aca="false">'Прайс лист'!B1000</f>
        <v>1НФ/150/75 Темный Шоколад</v>
      </c>
      <c r="B517" s="896" t="n">
        <f aca="false">'Прайс лист'!E1000/1000</f>
        <v>0.25</v>
      </c>
      <c r="C517" s="896" t="n">
        <f aca="false">'Прайс лист'!D1000/1000</f>
        <v>0.12</v>
      </c>
      <c r="D517" s="896" t="n">
        <f aca="false">'Прайс лист'!C1000/1000</f>
        <v>0.065</v>
      </c>
      <c r="E517" s="896" t="n">
        <f aca="false">'Прайс лист'!F1000</f>
        <v>20.09</v>
      </c>
      <c r="F517" s="896" t="n">
        <f aca="false">CEILING(1/B517/D517*E517,1)</f>
        <v>1237</v>
      </c>
      <c r="AG517" s="2315" t="n">
        <v>38.4</v>
      </c>
      <c r="AH517" s="2606" t="n">
        <f aca="false">AG517*3.1415926535897/180</f>
        <v>0.670206432765803</v>
      </c>
      <c r="AI517" s="2606" t="n">
        <f aca="false">AH517+0.0005</f>
        <v>0.670706432765803</v>
      </c>
      <c r="AJ517" s="2606" t="n">
        <f aca="false">AH517-0.0005</f>
        <v>0.669706432765803</v>
      </c>
      <c r="AK517" s="2315" t="n">
        <f aca="false">IF(AND(дома!$Z$29&gt;=AJ517,дома!$Z$29&lt;=AI517),связи1!AG517,0)</f>
        <v>0</v>
      </c>
      <c r="AL517" s="2315" t="n">
        <f aca="false">IF(AND(дома!$AA$29&gt;=AJ517,дома!$AA$29&lt;=AI517),связи1!AG517,0)</f>
        <v>0</v>
      </c>
    </row>
    <row r="518" customFormat="false" ht="14.5" hidden="false" customHeight="false" outlineLevel="0" collapsed="false">
      <c r="A518" s="896" t="str">
        <f aca="false">'Прайс лист'!B1001</f>
        <v>1НФ/150/75 Бавария микс</v>
      </c>
      <c r="B518" s="896" t="n">
        <f aca="false">'Прайс лист'!E1001/1000</f>
        <v>0.25</v>
      </c>
      <c r="C518" s="896" t="n">
        <f aca="false">'Прайс лист'!D1001/1000</f>
        <v>0.12</v>
      </c>
      <c r="D518" s="896" t="n">
        <f aca="false">'Прайс лист'!C1001/1000</f>
        <v>0.065</v>
      </c>
      <c r="E518" s="896" t="n">
        <f aca="false">'Прайс лист'!F1001</f>
        <v>20.09</v>
      </c>
      <c r="F518" s="896" t="n">
        <f aca="false">CEILING(1/B518/D518*E518,1)</f>
        <v>1237</v>
      </c>
      <c r="AG518" s="2315" t="n">
        <v>38.5</v>
      </c>
      <c r="AH518" s="2606" t="n">
        <f aca="false">AG518*3.1415926535897/180</f>
        <v>0.671951762017797</v>
      </c>
      <c r="AI518" s="2606" t="n">
        <f aca="false">AH518+0.0005</f>
        <v>0.672451762017797</v>
      </c>
      <c r="AJ518" s="2606" t="n">
        <f aca="false">AH518-0.0005</f>
        <v>0.671451762017797</v>
      </c>
      <c r="AK518" s="2315" t="n">
        <f aca="false">IF(AND(дома!$Z$29&gt;=AJ518,дома!$Z$29&lt;=AI518),связи1!AG518,0)</f>
        <v>0</v>
      </c>
      <c r="AL518" s="2315" t="n">
        <f aca="false">IF(AND(дома!$AA$29&gt;=AJ518,дома!$AA$29&lt;=AI518),связи1!AG518,0)</f>
        <v>0</v>
      </c>
    </row>
    <row r="519" customFormat="false" ht="14.5" hidden="false" customHeight="false" outlineLevel="0" collapsed="false">
      <c r="A519" s="896" t="str">
        <f aca="false">'Прайс лист'!B1002</f>
        <v>1НФ/150/50 Белый</v>
      </c>
      <c r="B519" s="896" t="n">
        <f aca="false">'Прайс лист'!E1002/1000</f>
        <v>0.25</v>
      </c>
      <c r="C519" s="896" t="n">
        <f aca="false">'Прайс лист'!D1002/1000</f>
        <v>0.12</v>
      </c>
      <c r="D519" s="896" t="n">
        <f aca="false">'Прайс лист'!C1002/1000</f>
        <v>0.065</v>
      </c>
      <c r="E519" s="896" t="n">
        <f aca="false">'Прайс лист'!F1002</f>
        <v>24.43</v>
      </c>
      <c r="F519" s="896" t="n">
        <f aca="false">CEILING(1/B519/D519*E519,1)</f>
        <v>1504</v>
      </c>
      <c r="AG519" s="2315" t="n">
        <v>38.6</v>
      </c>
      <c r="AH519" s="2606" t="n">
        <f aca="false">AG519*3.1415926535897/180</f>
        <v>0.673697091269791</v>
      </c>
      <c r="AI519" s="2606" t="n">
        <f aca="false">AH519+0.0005</f>
        <v>0.674197091269791</v>
      </c>
      <c r="AJ519" s="2606" t="n">
        <f aca="false">AH519-0.0005</f>
        <v>0.673197091269791</v>
      </c>
      <c r="AK519" s="2315" t="n">
        <f aca="false">IF(AND(дома!$Z$29&gt;=AJ519,дома!$Z$29&lt;=AI519),связи1!AG519,0)</f>
        <v>0</v>
      </c>
      <c r="AL519" s="2315" t="n">
        <f aca="false">IF(AND(дома!$AA$29&gt;=AJ519,дома!$AA$29&lt;=AI519),связи1!AG519,0)</f>
        <v>0</v>
      </c>
    </row>
    <row r="520" customFormat="false" ht="14.5" hidden="false" customHeight="false" outlineLevel="0" collapsed="false">
      <c r="A520" s="896" t="str">
        <f aca="false">'Прайс лист'!B1003</f>
        <v>1НФ/150/50 Лотос</v>
      </c>
      <c r="B520" s="896" t="n">
        <f aca="false">'Прайс лист'!E1003/1000</f>
        <v>0.25</v>
      </c>
      <c r="C520" s="896" t="n">
        <f aca="false">'Прайс лист'!D1003/1000</f>
        <v>0.12</v>
      </c>
      <c r="D520" s="896" t="n">
        <f aca="false">'Прайс лист'!C1003/1000</f>
        <v>0.065</v>
      </c>
      <c r="E520" s="896" t="n">
        <f aca="false">'Прайс лист'!F1003</f>
        <v>21.57</v>
      </c>
      <c r="F520" s="896" t="n">
        <f aca="false">CEILING(1/B520/D520*E520,1)</f>
        <v>1328</v>
      </c>
      <c r="AG520" s="2315" t="n">
        <v>38.7</v>
      </c>
      <c r="AH520" s="2606" t="n">
        <f aca="false">AG520*3.1415926535897/180</f>
        <v>0.675442420521785</v>
      </c>
      <c r="AI520" s="2606" t="n">
        <f aca="false">AH520+0.0005</f>
        <v>0.675942420521785</v>
      </c>
      <c r="AJ520" s="2606" t="n">
        <f aca="false">AH520-0.0005</f>
        <v>0.674942420521786</v>
      </c>
      <c r="AK520" s="2315" t="n">
        <f aca="false">IF(AND(дома!$Z$29&gt;=AJ520,дома!$Z$29&lt;=AI520),связи1!AG520,0)</f>
        <v>0</v>
      </c>
      <c r="AL520" s="2315" t="n">
        <f aca="false">IF(AND(дома!$AA$29&gt;=AJ520,дома!$AA$29&lt;=AI520),связи1!AG520,0)</f>
        <v>0</v>
      </c>
    </row>
    <row r="521" customFormat="false" ht="14.5" hidden="false" customHeight="false" outlineLevel="0" collapsed="false">
      <c r="A521" s="896" t="str">
        <f aca="false">'Прайс лист'!B1004</f>
        <v>1НФ/150/50 Камелот Микс</v>
      </c>
      <c r="B521" s="896" t="n">
        <f aca="false">'Прайс лист'!E1004/1000</f>
        <v>0.25</v>
      </c>
      <c r="C521" s="896" t="n">
        <f aca="false">'Прайс лист'!D1004/1000</f>
        <v>0.12</v>
      </c>
      <c r="D521" s="896" t="n">
        <f aca="false">'Прайс лист'!C1004/1000</f>
        <v>0.065</v>
      </c>
      <c r="E521" s="896" t="n">
        <f aca="false">'Прайс лист'!F1004</f>
        <v>24.43</v>
      </c>
      <c r="F521" s="896" t="n">
        <f aca="false">CEILING(1/B521/D521*E521,1)</f>
        <v>1504</v>
      </c>
      <c r="AG521" s="2315" t="n">
        <v>38.8</v>
      </c>
      <c r="AH521" s="2606" t="n">
        <f aca="false">AG521*3.1415926535897/180</f>
        <v>0.67718774977378</v>
      </c>
      <c r="AI521" s="2606" t="n">
        <f aca="false">AH521+0.0005</f>
        <v>0.67768774977378</v>
      </c>
      <c r="AJ521" s="2606" t="n">
        <f aca="false">AH521-0.0005</f>
        <v>0.67668774977378</v>
      </c>
      <c r="AK521" s="2315" t="n">
        <f aca="false">IF(AND(дома!$Z$29&gt;=AJ521,дома!$Z$29&lt;=AI521),связи1!AG521,0)</f>
        <v>0</v>
      </c>
      <c r="AL521" s="2315" t="n">
        <f aca="false">IF(AND(дома!$AA$29&gt;=AJ521,дома!$AA$29&lt;=AI521),связи1!AG521,0)</f>
        <v>0</v>
      </c>
    </row>
    <row r="522" customFormat="false" ht="14.5" hidden="false" customHeight="false" outlineLevel="0" collapsed="false">
      <c r="A522" s="896" t="str">
        <f aca="false">'Прайс лист'!B1005</f>
        <v>1НФ/150/50 Камелот Гляссе</v>
      </c>
      <c r="B522" s="896" t="n">
        <f aca="false">'Прайс лист'!E1005/1000</f>
        <v>0.25</v>
      </c>
      <c r="C522" s="896" t="n">
        <f aca="false">'Прайс лист'!D1005/1000</f>
        <v>0.12</v>
      </c>
      <c r="D522" s="896" t="n">
        <f aca="false">'Прайс лист'!C1005/1000</f>
        <v>0.065</v>
      </c>
      <c r="E522" s="896" t="n">
        <f aca="false">'Прайс лист'!F1005</f>
        <v>24.43</v>
      </c>
      <c r="F522" s="896" t="n">
        <f aca="false">CEILING(1/B522/D522*E522,1)</f>
        <v>1504</v>
      </c>
      <c r="AG522" s="2315" t="n">
        <v>38.9</v>
      </c>
      <c r="AH522" s="2606" t="n">
        <f aca="false">AG522*3.1415926535897/180</f>
        <v>0.678933079025774</v>
      </c>
      <c r="AI522" s="2606" t="n">
        <f aca="false">AH522+0.0005</f>
        <v>0.679433079025774</v>
      </c>
      <c r="AJ522" s="2606" t="n">
        <f aca="false">AH522-0.0005</f>
        <v>0.678433079025774</v>
      </c>
      <c r="AK522" s="2315" t="n">
        <f aca="false">IF(AND(дома!$Z$29&gt;=AJ522,дома!$Z$29&lt;=AI522),связи1!AG522,0)</f>
        <v>0</v>
      </c>
      <c r="AL522" s="2315" t="n">
        <f aca="false">IF(AND(дома!$AA$29&gt;=AJ522,дома!$AA$29&lt;=AI522),связи1!AG522,0)</f>
        <v>0</v>
      </c>
    </row>
    <row r="523" customFormat="false" ht="14.5" hidden="false" customHeight="false" outlineLevel="0" collapsed="false">
      <c r="A523" s="896" t="str">
        <f aca="false">'Прайс лист'!B1006</f>
        <v>1НФ/150/50 Камелот Терракот</v>
      </c>
      <c r="B523" s="896" t="n">
        <f aca="false">'Прайс лист'!E1006/1000</f>
        <v>0.25</v>
      </c>
      <c r="C523" s="896" t="n">
        <f aca="false">'Прайс лист'!D1006/1000</f>
        <v>0.12</v>
      </c>
      <c r="D523" s="896" t="n">
        <f aca="false">'Прайс лист'!C1006/1000</f>
        <v>0.065</v>
      </c>
      <c r="E523" s="896" t="n">
        <f aca="false">'Прайс лист'!F1006</f>
        <v>24.43</v>
      </c>
      <c r="F523" s="896" t="n">
        <f aca="false">CEILING(1/B523/D523*E523,1)</f>
        <v>1504</v>
      </c>
      <c r="AG523" s="2315" t="n">
        <v>39</v>
      </c>
      <c r="AH523" s="2606" t="n">
        <f aca="false">AG523*3.1415926535897/180</f>
        <v>0.680678408277768</v>
      </c>
      <c r="AI523" s="2606" t="n">
        <f aca="false">AH523+0.0005</f>
        <v>0.681178408277768</v>
      </c>
      <c r="AJ523" s="2606" t="n">
        <f aca="false">AH523-0.0005</f>
        <v>0.680178408277768</v>
      </c>
      <c r="AK523" s="2315" t="n">
        <f aca="false">IF(AND(дома!$Z$29&gt;=AJ523,дома!$Z$29&lt;=AI523),связи1!AG523,0)</f>
        <v>0</v>
      </c>
      <c r="AL523" s="2315" t="n">
        <f aca="false">IF(AND(дома!$AA$29&gt;=AJ523,дома!$AA$29&lt;=AI523),связи1!AG523,0)</f>
        <v>0</v>
      </c>
    </row>
    <row r="524" customFormat="false" ht="14.5" hidden="false" customHeight="false" outlineLevel="0" collapsed="false">
      <c r="A524" s="896" t="str">
        <f aca="false">'Прайс лист'!B1007</f>
        <v>1НФ/150/50 Камелот Шоколад</v>
      </c>
      <c r="B524" s="896" t="n">
        <f aca="false">'Прайс лист'!E1007/1000</f>
        <v>0.25</v>
      </c>
      <c r="C524" s="896" t="n">
        <f aca="false">'Прайс лист'!D1007/1000</f>
        <v>0.12</v>
      </c>
      <c r="D524" s="896" t="n">
        <f aca="false">'Прайс лист'!C1007/1000</f>
        <v>0.065</v>
      </c>
      <c r="E524" s="896" t="n">
        <f aca="false">'Прайс лист'!F1007</f>
        <v>24.43</v>
      </c>
      <c r="F524" s="896" t="n">
        <f aca="false">CEILING(1/B524/D524*E524,1)</f>
        <v>1504</v>
      </c>
      <c r="AG524" s="2315" t="n">
        <v>39.1</v>
      </c>
      <c r="AH524" s="2606" t="n">
        <f aca="false">AG524*3.1415926535897/180</f>
        <v>0.682423737529763</v>
      </c>
      <c r="AI524" s="2606" t="n">
        <f aca="false">AH524+0.0005</f>
        <v>0.682923737529763</v>
      </c>
      <c r="AJ524" s="2606" t="n">
        <f aca="false">AH524-0.0005</f>
        <v>0.681923737529763</v>
      </c>
      <c r="AK524" s="2315" t="n">
        <f aca="false">IF(AND(дома!$Z$29&gt;=AJ524,дома!$Z$29&lt;=AI524),связи1!AG524,0)</f>
        <v>0</v>
      </c>
      <c r="AL524" s="2315" t="n">
        <f aca="false">IF(AND(дома!$AA$29&gt;=AJ524,дома!$AA$29&lt;=AI524),связи1!AG524,0)</f>
        <v>0</v>
      </c>
    </row>
    <row r="525" customFormat="false" ht="14.5" hidden="false" customHeight="false" outlineLevel="0" collapsed="false">
      <c r="A525" s="896" t="str">
        <f aca="false">'Прайс лист'!B1008</f>
        <v>1НФ/150/50 Камелот Темный  Шоколад</v>
      </c>
      <c r="B525" s="896" t="n">
        <f aca="false">'Прайс лист'!E1008/1000</f>
        <v>0.25</v>
      </c>
      <c r="C525" s="896" t="n">
        <f aca="false">'Прайс лист'!D1008/1000</f>
        <v>0.12</v>
      </c>
      <c r="D525" s="896" t="n">
        <f aca="false">'Прайс лист'!C1008/1000</f>
        <v>0.065</v>
      </c>
      <c r="E525" s="896" t="n">
        <f aca="false">'Прайс лист'!F1008</f>
        <v>26.87</v>
      </c>
      <c r="F525" s="896" t="n">
        <f aca="false">CEILING(1/B525/D525*E525,1)</f>
        <v>1654</v>
      </c>
      <c r="AG525" s="2315" t="n">
        <v>39.2</v>
      </c>
      <c r="AH525" s="2606" t="n">
        <f aca="false">AG525*3.1415926535897/180</f>
        <v>0.684169066781757</v>
      </c>
      <c r="AI525" s="2606" t="n">
        <f aca="false">AH525+0.0005</f>
        <v>0.684669066781757</v>
      </c>
      <c r="AJ525" s="2606" t="n">
        <f aca="false">AH525-0.0005</f>
        <v>0.683669066781757</v>
      </c>
      <c r="AK525" s="2315" t="n">
        <f aca="false">IF(AND(дома!$Z$29&gt;=AJ525,дома!$Z$29&lt;=AI525),связи1!AG525,0)</f>
        <v>0</v>
      </c>
      <c r="AL525" s="2315" t="n">
        <f aca="false">IF(AND(дома!$AA$29&gt;=AJ525,дома!$AA$29&lt;=AI525),связи1!AG525,0)</f>
        <v>0</v>
      </c>
    </row>
    <row r="526" customFormat="false" ht="14.5" hidden="false" customHeight="false" outlineLevel="0" collapsed="false">
      <c r="A526" s="896" t="str">
        <f aca="false">'Прайс лист'!B1009</f>
        <v>1,4НФ/150/75 Красный</v>
      </c>
      <c r="B526" s="896" t="n">
        <f aca="false">'Прайс лист'!E1009/1000</f>
        <v>0.25</v>
      </c>
      <c r="C526" s="896" t="n">
        <f aca="false">'Прайс лист'!D1009/1000</f>
        <v>0.12</v>
      </c>
      <c r="D526" s="896" t="n">
        <f aca="false">'Прайс лист'!C1009/1000</f>
        <v>0.088</v>
      </c>
      <c r="E526" s="896" t="n">
        <f aca="false">'Прайс лист'!F1009</f>
        <v>18.39</v>
      </c>
      <c r="F526" s="896" t="n">
        <f aca="false">CEILING(1/B526/D526*E526,1)</f>
        <v>836</v>
      </c>
      <c r="AG526" s="2315" t="n">
        <v>39.3</v>
      </c>
      <c r="AH526" s="2606" t="n">
        <f aca="false">AG526*3.1415926535897/180</f>
        <v>0.685914396033751</v>
      </c>
      <c r="AI526" s="2606" t="n">
        <f aca="false">AH526+0.0005</f>
        <v>0.686414396033751</v>
      </c>
      <c r="AJ526" s="2606" t="n">
        <f aca="false">AH526-0.0005</f>
        <v>0.685414396033751</v>
      </c>
      <c r="AK526" s="2315" t="n">
        <f aca="false">IF(AND(дома!$Z$29&gt;=AJ526,дома!$Z$29&lt;=AI526),связи1!AG526,0)</f>
        <v>0</v>
      </c>
      <c r="AL526" s="2315" t="n">
        <f aca="false">IF(AND(дома!$AA$29&gt;=AJ526,дома!$AA$29&lt;=AI526),связи1!AG526,0)</f>
        <v>0</v>
      </c>
    </row>
    <row r="527" customFormat="false" ht="14.5" hidden="false" customHeight="false" outlineLevel="0" collapsed="false">
      <c r="A527" s="896" t="str">
        <f aca="false">'Прайс лист'!B1010</f>
        <v>1,4НФ/150/75 Аренберг</v>
      </c>
      <c r="B527" s="896" t="n">
        <f aca="false">'Прайс лист'!E1010/1000</f>
        <v>0.25</v>
      </c>
      <c r="C527" s="896" t="n">
        <f aca="false">'Прайс лист'!D1010/1000</f>
        <v>0.12</v>
      </c>
      <c r="D527" s="896" t="n">
        <f aca="false">'Прайс лист'!C1010/1000</f>
        <v>0.088</v>
      </c>
      <c r="E527" s="896" t="n">
        <f aca="false">'Прайс лист'!F1010</f>
        <v>27.12</v>
      </c>
      <c r="F527" s="896" t="n">
        <f aca="false">CEILING(1/B527/D527*E527,1)</f>
        <v>1233</v>
      </c>
      <c r="AG527" s="2315" t="n">
        <v>39.4</v>
      </c>
      <c r="AH527" s="2606" t="n">
        <f aca="false">AG527*3.1415926535897/180</f>
        <v>0.687659725285745</v>
      </c>
      <c r="AI527" s="2606" t="n">
        <f aca="false">AH527+0.0005</f>
        <v>0.688159725285745</v>
      </c>
      <c r="AJ527" s="2606" t="n">
        <f aca="false">AH527-0.0005</f>
        <v>0.687159725285745</v>
      </c>
      <c r="AK527" s="2315" t="n">
        <f aca="false">IF(AND(дома!$Z$29&gt;=AJ527,дома!$Z$29&lt;=AI527),связи1!AG527,0)</f>
        <v>0</v>
      </c>
      <c r="AL527" s="2315" t="n">
        <f aca="false">IF(AND(дома!$AA$29&gt;=AJ527,дома!$AA$29&lt;=AI527),связи1!AG527,0)</f>
        <v>0</v>
      </c>
    </row>
    <row r="528" customFormat="false" ht="14.5" hidden="false" customHeight="false" outlineLevel="0" collapsed="false">
      <c r="A528" s="896" t="str">
        <f aca="false">'Прайс лист'!B1011</f>
        <v>1,4НФ/150/75 Гляссе</v>
      </c>
      <c r="B528" s="896" t="n">
        <f aca="false">'Прайс лист'!E1011/1000</f>
        <v>0.25</v>
      </c>
      <c r="C528" s="896" t="n">
        <f aca="false">'Прайс лист'!D1011/1000</f>
        <v>0.12</v>
      </c>
      <c r="D528" s="896" t="n">
        <f aca="false">'Прайс лист'!C1011/1000</f>
        <v>0.088</v>
      </c>
      <c r="E528" s="896" t="n">
        <f aca="false">'Прайс лист'!F1011</f>
        <v>27.12</v>
      </c>
      <c r="F528" s="896" t="n">
        <f aca="false">CEILING(1/B528/D528*E528,1)</f>
        <v>1233</v>
      </c>
      <c r="AG528" s="2315" t="n">
        <v>39.5</v>
      </c>
      <c r="AH528" s="2606" t="n">
        <f aca="false">AG528*3.1415926535897/180</f>
        <v>0.68940505453774</v>
      </c>
      <c r="AI528" s="2606" t="n">
        <f aca="false">AH528+0.0005</f>
        <v>0.68990505453774</v>
      </c>
      <c r="AJ528" s="2606" t="n">
        <f aca="false">AH528-0.0005</f>
        <v>0.68890505453774</v>
      </c>
      <c r="AK528" s="2315" t="n">
        <f aca="false">IF(AND(дома!$Z$29&gt;=AJ528,дома!$Z$29&lt;=AI528),связи1!AG528,0)</f>
        <v>0</v>
      </c>
      <c r="AL528" s="2315" t="n">
        <f aca="false">IF(AND(дома!$AA$29&gt;=AJ528,дома!$AA$29&lt;=AI528),связи1!AG528,0)</f>
        <v>0</v>
      </c>
    </row>
    <row r="529" customFormat="false" ht="14.5" hidden="false" customHeight="false" outlineLevel="0" collapsed="false">
      <c r="A529" s="896" t="str">
        <f aca="false">'Прайс лист'!B1012</f>
        <v>1,4НФ/150/75 Терракот</v>
      </c>
      <c r="B529" s="896" t="n">
        <f aca="false">'Прайс лист'!E1012/1000</f>
        <v>0.25</v>
      </c>
      <c r="C529" s="896" t="n">
        <f aca="false">'Прайс лист'!D1012/1000</f>
        <v>0.12</v>
      </c>
      <c r="D529" s="896" t="n">
        <f aca="false">'Прайс лист'!C1012/1000</f>
        <v>0.088</v>
      </c>
      <c r="E529" s="896" t="n">
        <f aca="false">'Прайс лист'!F1012</f>
        <v>27.12</v>
      </c>
      <c r="F529" s="896" t="n">
        <f aca="false">CEILING(1/B529/D529*E529,1)</f>
        <v>1233</v>
      </c>
      <c r="AG529" s="2315" t="n">
        <v>39.6</v>
      </c>
      <c r="AH529" s="2606" t="n">
        <f aca="false">AG529*3.1415926535897/180</f>
        <v>0.691150383789734</v>
      </c>
      <c r="AI529" s="2606" t="n">
        <f aca="false">AH529+0.0005</f>
        <v>0.691650383789734</v>
      </c>
      <c r="AJ529" s="2606" t="n">
        <f aca="false">AH529-0.0005</f>
        <v>0.690650383789734</v>
      </c>
      <c r="AK529" s="2315" t="n">
        <f aca="false">IF(AND(дома!$Z$29&gt;=AJ529,дома!$Z$29&lt;=AI529),связи1!AG529,0)</f>
        <v>0</v>
      </c>
      <c r="AL529" s="2315" t="n">
        <f aca="false">IF(AND(дома!$AA$29&gt;=AJ529,дома!$AA$29&lt;=AI529),связи1!AG529,0)</f>
        <v>0</v>
      </c>
    </row>
    <row r="530" customFormat="false" ht="14.5" hidden="false" customHeight="false" outlineLevel="0" collapsed="false">
      <c r="A530" s="896" t="str">
        <f aca="false">'Прайс лист'!B1013</f>
        <v>1,4НФ/150/75 Шоколад</v>
      </c>
      <c r="B530" s="896" t="n">
        <f aca="false">'Прайс лист'!E1013/1000</f>
        <v>0.25</v>
      </c>
      <c r="C530" s="896" t="n">
        <f aca="false">'Прайс лист'!D1013/1000</f>
        <v>0.12</v>
      </c>
      <c r="D530" s="896" t="n">
        <f aca="false">'Прайс лист'!C1013/1000</f>
        <v>0.088</v>
      </c>
      <c r="E530" s="1150" t="n">
        <f aca="false">'Прайс лист'!F1013</f>
        <v>27.12</v>
      </c>
      <c r="F530" s="896" t="n">
        <f aca="false">CEILING(1/B530/D530*E530,1)</f>
        <v>1233</v>
      </c>
      <c r="AG530" s="2315" t="n">
        <v>39.7</v>
      </c>
      <c r="AH530" s="2606" t="n">
        <f aca="false">AG530*3.1415926535897/180</f>
        <v>0.692895713041728</v>
      </c>
      <c r="AI530" s="2606" t="n">
        <f aca="false">AH530+0.0005</f>
        <v>0.693395713041728</v>
      </c>
      <c r="AJ530" s="2606" t="n">
        <f aca="false">AH530-0.0005</f>
        <v>0.692395713041728</v>
      </c>
      <c r="AK530" s="2315" t="n">
        <f aca="false">IF(AND(дома!$Z$29&gt;=AJ530,дома!$Z$29&lt;=AI530),связи1!AG530,0)</f>
        <v>0</v>
      </c>
      <c r="AL530" s="2315" t="n">
        <f aca="false">IF(AND(дома!$AA$29&gt;=AJ530,дома!$AA$29&lt;=AI530),связи1!AG530,0)</f>
        <v>0</v>
      </c>
    </row>
    <row r="531" customFormat="false" ht="14.5" hidden="false" customHeight="false" outlineLevel="0" collapsed="false">
      <c r="A531" s="896" t="str">
        <f aca="false">'Прайс лист'!B1014</f>
        <v>1,4НФ/150/75 Темный Шоколад</v>
      </c>
      <c r="B531" s="896" t="n">
        <f aca="false">'Прайс лист'!E1014/1000</f>
        <v>0.25</v>
      </c>
      <c r="C531" s="896" t="n">
        <f aca="false">'Прайс лист'!D1014/1000</f>
        <v>0.12</v>
      </c>
      <c r="D531" s="896" t="n">
        <f aca="false">'Прайс лист'!C1014/1000</f>
        <v>0.088</v>
      </c>
      <c r="E531" s="896" t="n">
        <f aca="false">'Прайс лист'!F1014</f>
        <v>27.12</v>
      </c>
      <c r="F531" s="896" t="n">
        <f aca="false">CEILING(1/B531/D531*E531,1)</f>
        <v>1233</v>
      </c>
      <c r="AG531" s="2315" t="n">
        <v>39.8</v>
      </c>
      <c r="AH531" s="2606" t="n">
        <f aca="false">AG531*3.1415926535897/180</f>
        <v>0.694641042293722</v>
      </c>
      <c r="AI531" s="2606" t="n">
        <f aca="false">AH531+0.0005</f>
        <v>0.695141042293722</v>
      </c>
      <c r="AJ531" s="2606" t="n">
        <f aca="false">AH531-0.0005</f>
        <v>0.694141042293723</v>
      </c>
      <c r="AK531" s="2315" t="n">
        <f aca="false">IF(AND(дома!$Z$29&gt;=AJ531,дома!$Z$29&lt;=AI531),связи1!AG531,0)</f>
        <v>0</v>
      </c>
      <c r="AL531" s="2315" t="n">
        <f aca="false">IF(AND(дома!$AA$29&gt;=AJ531,дома!$AA$29&lt;=AI531),связи1!AG531,0)</f>
        <v>0</v>
      </c>
    </row>
    <row r="532" customFormat="false" ht="14.5" hidden="false" customHeight="false" outlineLevel="0" collapsed="false">
      <c r="A532" s="896" t="str">
        <f aca="false">'Прайс лист'!B1015</f>
        <v>1,4НФ/150/75 Бавария Микс</v>
      </c>
      <c r="B532" s="896" t="n">
        <f aca="false">'Прайс лист'!E1015/1000</f>
        <v>0.25</v>
      </c>
      <c r="C532" s="896" t="n">
        <f aca="false">'Прайс лист'!D1015/1000</f>
        <v>0.12</v>
      </c>
      <c r="D532" s="896" t="n">
        <f aca="false">'Прайс лист'!C1015/1000</f>
        <v>0.088</v>
      </c>
      <c r="E532" s="896" t="n">
        <f aca="false">'Прайс лист'!F1015</f>
        <v>27.12</v>
      </c>
      <c r="F532" s="896" t="n">
        <f aca="false">CEILING(1/B532/D532*E532,1)</f>
        <v>1233</v>
      </c>
      <c r="AG532" s="2315" t="n">
        <v>39.9</v>
      </c>
      <c r="AH532" s="2606" t="n">
        <f aca="false">AG532*3.1415926535897/180</f>
        <v>0.696386371545717</v>
      </c>
      <c r="AI532" s="2606" t="n">
        <f aca="false">AH532+0.0005</f>
        <v>0.696886371545717</v>
      </c>
      <c r="AJ532" s="2606" t="n">
        <f aca="false">AH532-0.0005</f>
        <v>0.695886371545717</v>
      </c>
      <c r="AK532" s="2315" t="n">
        <f aca="false">IF(AND(дома!$Z$29&gt;=AJ532,дома!$Z$29&lt;=AI532),связи1!AG532,0)</f>
        <v>0</v>
      </c>
      <c r="AL532" s="2315" t="n">
        <f aca="false">IF(AND(дома!$AA$29&gt;=AJ532,дома!$AA$29&lt;=AI532),связи1!AG532,0)</f>
        <v>0</v>
      </c>
    </row>
    <row r="533" customFormat="false" ht="14.5" hidden="false" customHeight="false" outlineLevel="0" collapsed="false">
      <c r="A533" s="896" t="str">
        <f aca="false">'Прайс лист'!B1016</f>
        <v>1,4НФ/150/50 Белый</v>
      </c>
      <c r="B533" s="896" t="n">
        <f aca="false">'Прайс лист'!E1016/1000</f>
        <v>0.25</v>
      </c>
      <c r="C533" s="896" t="n">
        <f aca="false">'Прайс лист'!D1016/1000</f>
        <v>0.12</v>
      </c>
      <c r="D533" s="896" t="n">
        <f aca="false">'Прайс лист'!C1016/1000</f>
        <v>0.088</v>
      </c>
      <c r="E533" s="896" t="n">
        <f aca="false">'Прайс лист'!F1016</f>
        <v>32.99</v>
      </c>
      <c r="F533" s="896" t="n">
        <f aca="false">CEILING(1/B533/D533*E533,1)</f>
        <v>1500</v>
      </c>
      <c r="AG533" s="2315" t="n">
        <v>40</v>
      </c>
      <c r="AH533" s="2606" t="n">
        <f aca="false">AG533*3.1415926535897/180</f>
        <v>0.698131700797711</v>
      </c>
      <c r="AI533" s="2606" t="n">
        <f aca="false">AH533+0.0005</f>
        <v>0.698631700797711</v>
      </c>
      <c r="AJ533" s="2606" t="n">
        <f aca="false">AH533-0.0005</f>
        <v>0.697631700797711</v>
      </c>
      <c r="AK533" s="2315" t="n">
        <f aca="false">IF(AND(дома!$Z$29&gt;=AJ533,дома!$Z$29&lt;=AI533),связи1!AG533,0)</f>
        <v>0</v>
      </c>
      <c r="AL533" s="2315" t="n">
        <f aca="false">IF(AND(дома!$AA$29&gt;=AJ533,дома!$AA$29&lt;=AI533),связи1!AG533,0)</f>
        <v>0</v>
      </c>
    </row>
    <row r="534" customFormat="false" ht="14.5" hidden="false" customHeight="false" outlineLevel="0" collapsed="false">
      <c r="A534" s="896" t="str">
        <f aca="false">'Прайс лист'!B1017</f>
        <v>1,4НФ/150/50 Лотос</v>
      </c>
      <c r="B534" s="896" t="n">
        <f aca="false">'Прайс лист'!E1017/1000</f>
        <v>0.25</v>
      </c>
      <c r="C534" s="896" t="n">
        <f aca="false">'Прайс лист'!D1017/1000</f>
        <v>0.12</v>
      </c>
      <c r="D534" s="896" t="n">
        <f aca="false">'Прайс лист'!C1017/1000</f>
        <v>0.088</v>
      </c>
      <c r="E534" s="896" t="n">
        <f aca="false">'Прайс лист'!F1017</f>
        <v>29.12</v>
      </c>
      <c r="F534" s="896" t="n">
        <f aca="false">CEILING(1/B534/D534*E534,1)</f>
        <v>1324</v>
      </c>
      <c r="AG534" s="2315" t="n">
        <v>40.1</v>
      </c>
      <c r="AH534" s="2606" t="n">
        <f aca="false">AG534*3.1415926535897/180</f>
        <v>0.699877030049705</v>
      </c>
      <c r="AI534" s="2606" t="n">
        <f aca="false">AH534+0.0005</f>
        <v>0.700377030049705</v>
      </c>
      <c r="AJ534" s="2606" t="n">
        <f aca="false">AH534-0.0005</f>
        <v>0.699377030049705</v>
      </c>
      <c r="AK534" s="2315" t="n">
        <f aca="false">IF(AND(дома!$Z$29&gt;=AJ534,дома!$Z$29&lt;=AI534),связи1!AG534,0)</f>
        <v>0</v>
      </c>
      <c r="AL534" s="2315" t="n">
        <f aca="false">IF(AND(дома!$AA$29&gt;=AJ534,дома!$AA$29&lt;=AI534),связи1!AG534,0)</f>
        <v>0</v>
      </c>
    </row>
    <row r="535" customFormat="false" ht="14.5" hidden="false" customHeight="false" outlineLevel="0" collapsed="false">
      <c r="AG535" s="2315" t="n">
        <v>40.2</v>
      </c>
      <c r="AH535" s="2606" t="n">
        <f aca="false">AG535*3.1415926535897/180</f>
        <v>0.7016223593017</v>
      </c>
      <c r="AI535" s="2606" t="n">
        <f aca="false">AH535+0.0005</f>
        <v>0.7021223593017</v>
      </c>
      <c r="AJ535" s="2606" t="n">
        <f aca="false">AH535-0.0005</f>
        <v>0.7011223593017</v>
      </c>
      <c r="AK535" s="2315" t="n">
        <f aca="false">IF(AND(дома!$Z$29&gt;=AJ535,дома!$Z$29&lt;=AI535),связи1!AG535,0)</f>
        <v>0</v>
      </c>
      <c r="AL535" s="2315" t="n">
        <f aca="false">IF(AND(дома!$AA$29&gt;=AJ535,дома!$AA$29&lt;=AI535),связи1!AG535,0)</f>
        <v>0</v>
      </c>
    </row>
    <row r="536" customFormat="false" ht="14.5" hidden="false" customHeight="false" outlineLevel="0" collapsed="false">
      <c r="A536" s="896" t="s">
        <v>2492</v>
      </c>
      <c r="AG536" s="2315" t="n">
        <v>40.3</v>
      </c>
      <c r="AH536" s="2606" t="n">
        <f aca="false">AG536*3.1415926535897/180</f>
        <v>0.703367688553694</v>
      </c>
      <c r="AI536" s="2606" t="n">
        <f aca="false">AH536+0.0005</f>
        <v>0.703867688553694</v>
      </c>
      <c r="AJ536" s="2606" t="n">
        <f aca="false">AH536-0.0005</f>
        <v>0.702867688553694</v>
      </c>
      <c r="AK536" s="2315" t="n">
        <f aca="false">IF(AND(дома!$Z$29&gt;=AJ536,дома!$Z$29&lt;=AI536),связи1!AG536,0)</f>
        <v>0</v>
      </c>
      <c r="AL536" s="2315" t="n">
        <f aca="false">IF(AND(дома!$AA$29&gt;=AJ536,дома!$AA$29&lt;=AI536),связи1!AG536,0)</f>
        <v>0</v>
      </c>
    </row>
    <row r="537" customFormat="false" ht="14.5" hidden="false" customHeight="false" outlineLevel="0" collapsed="false">
      <c r="A537" s="896" t="s">
        <v>4582</v>
      </c>
      <c r="AG537" s="2315" t="n">
        <v>40.4</v>
      </c>
      <c r="AH537" s="2606" t="n">
        <f aca="false">AG537*3.1415926535897/180</f>
        <v>0.705113017805688</v>
      </c>
      <c r="AI537" s="2606" t="n">
        <f aca="false">AH537+0.0005</f>
        <v>0.705613017805688</v>
      </c>
      <c r="AJ537" s="2606" t="n">
        <f aca="false">AH537-0.0005</f>
        <v>0.704613017805688</v>
      </c>
      <c r="AK537" s="2315" t="n">
        <f aca="false">IF(AND(дома!$Z$29&gt;=AJ537,дома!$Z$29&lt;=AI537),связи1!AG537,0)</f>
        <v>0</v>
      </c>
      <c r="AL537" s="2315" t="n">
        <f aca="false">IF(AND(дома!$AA$29&gt;=AJ537,дома!$AA$29&lt;=AI537),связи1!AG537,0)</f>
        <v>0</v>
      </c>
    </row>
    <row r="538" customFormat="false" ht="14.5" hidden="false" customHeight="false" outlineLevel="0" collapsed="false">
      <c r="AG538" s="2315" t="n">
        <v>40.5</v>
      </c>
      <c r="AH538" s="2606" t="n">
        <f aca="false">AG538*3.1415926535897/180</f>
        <v>0.706858347057682</v>
      </c>
      <c r="AI538" s="2606" t="n">
        <f aca="false">AH538+0.0005</f>
        <v>0.707358347057682</v>
      </c>
      <c r="AJ538" s="2606" t="n">
        <f aca="false">AH538-0.0005</f>
        <v>0.706358347057683</v>
      </c>
      <c r="AK538" s="2315" t="n">
        <f aca="false">IF(AND(дома!$Z$29&gt;=AJ538,дома!$Z$29&lt;=AI538),связи1!AG538,0)</f>
        <v>0</v>
      </c>
      <c r="AL538" s="2315" t="n">
        <f aca="false">IF(AND(дома!$AA$29&gt;=AJ538,дома!$AA$29&lt;=AI538),связи1!AG538,0)</f>
        <v>0</v>
      </c>
    </row>
    <row r="539" customFormat="false" ht="14.5" hidden="false" customHeight="false" outlineLevel="0" collapsed="false">
      <c r="A539" s="896" t="s">
        <v>1610</v>
      </c>
      <c r="AG539" s="2315" t="n">
        <v>40.6</v>
      </c>
      <c r="AH539" s="2606" t="n">
        <f aca="false">AG539*3.1415926535897/180</f>
        <v>0.708603676309677</v>
      </c>
      <c r="AI539" s="2606" t="n">
        <f aca="false">AH539+0.0005</f>
        <v>0.709103676309677</v>
      </c>
      <c r="AJ539" s="2606" t="n">
        <f aca="false">AH539-0.0005</f>
        <v>0.708103676309677</v>
      </c>
      <c r="AK539" s="2315" t="n">
        <f aca="false">IF(AND(дома!$Z$29&gt;=AJ539,дома!$Z$29&lt;=AI539),связи1!AG539,0)</f>
        <v>0</v>
      </c>
      <c r="AL539" s="2315" t="n">
        <f aca="false">IF(AND(дома!$AA$29&gt;=AJ539,дома!$AA$29&lt;=AI539),связи1!AG539,0)</f>
        <v>0</v>
      </c>
    </row>
    <row r="540" customFormat="false" ht="14.5" hidden="false" customHeight="false" outlineLevel="0" collapsed="false">
      <c r="A540" s="896" t="s">
        <v>1798</v>
      </c>
      <c r="AG540" s="2315" t="n">
        <v>40.7</v>
      </c>
      <c r="AH540" s="2606" t="n">
        <f aca="false">AG540*3.1415926535897/180</f>
        <v>0.710349005561671</v>
      </c>
      <c r="AI540" s="2606" t="n">
        <f aca="false">AH540+0.0005</f>
        <v>0.710849005561671</v>
      </c>
      <c r="AJ540" s="2606" t="n">
        <f aca="false">AH540-0.0005</f>
        <v>0.709849005561671</v>
      </c>
      <c r="AK540" s="2315" t="n">
        <f aca="false">IF(AND(дома!$Z$29&gt;=AJ540,дома!$Z$29&lt;=AI540),связи1!AG540,0)</f>
        <v>0</v>
      </c>
      <c r="AL540" s="2315" t="n">
        <f aca="false">IF(AND(дома!$AA$29&gt;=AJ540,дома!$AA$29&lt;=AI540),связи1!AG540,0)</f>
        <v>0</v>
      </c>
    </row>
    <row r="541" customFormat="false" ht="14.5" hidden="false" customHeight="false" outlineLevel="0" collapsed="false">
      <c r="AG541" s="2315" t="n">
        <v>40.8</v>
      </c>
      <c r="AH541" s="2606" t="n">
        <f aca="false">AG541*3.1415926535897/180</f>
        <v>0.712094334813665</v>
      </c>
      <c r="AI541" s="2606" t="n">
        <f aca="false">AH541+0.0005</f>
        <v>0.712594334813665</v>
      </c>
      <c r="AJ541" s="2606" t="n">
        <f aca="false">AH541-0.0005</f>
        <v>0.711594334813665</v>
      </c>
      <c r="AK541" s="2315" t="n">
        <f aca="false">IF(AND(дома!$Z$29&gt;=AJ541,дома!$Z$29&lt;=AI541),связи1!AG541,0)</f>
        <v>0</v>
      </c>
      <c r="AL541" s="2315" t="n">
        <f aca="false">IF(AND(дома!$AA$29&gt;=AJ541,дома!$AA$29&lt;=AI541),связи1!AG541,0)</f>
        <v>0</v>
      </c>
    </row>
    <row r="542" customFormat="false" ht="14.5" hidden="false" customHeight="false" outlineLevel="0" collapsed="false">
      <c r="A542" s="896" t="s">
        <v>2356</v>
      </c>
      <c r="AG542" s="2315" t="n">
        <v>40.9</v>
      </c>
      <c r="AH542" s="2606" t="n">
        <f aca="false">AG542*3.1415926535897/180</f>
        <v>0.71383966406566</v>
      </c>
      <c r="AI542" s="2606" t="n">
        <f aca="false">AH542+0.0005</f>
        <v>0.714339664065659</v>
      </c>
      <c r="AJ542" s="2606" t="n">
        <f aca="false">AH542-0.0005</f>
        <v>0.71333966406566</v>
      </c>
      <c r="AK542" s="2315" t="n">
        <f aca="false">IF(AND(дома!$Z$29&gt;=AJ542,дома!$Z$29&lt;=AI542),связи1!AG542,0)</f>
        <v>0</v>
      </c>
      <c r="AL542" s="2315" t="n">
        <f aca="false">IF(AND(дома!$AA$29&gt;=AJ542,дома!$AA$29&lt;=AI542),связи1!AG542,0)</f>
        <v>0</v>
      </c>
    </row>
    <row r="543" customFormat="false" ht="14.5" hidden="false" customHeight="false" outlineLevel="0" collapsed="false">
      <c r="A543" s="896" t="s">
        <v>4583</v>
      </c>
      <c r="AG543" s="2315" t="n">
        <v>41</v>
      </c>
      <c r="AH543" s="2606" t="n">
        <f aca="false">AG543*3.1415926535897/180</f>
        <v>0.715584993317654</v>
      </c>
      <c r="AI543" s="2606" t="n">
        <f aca="false">AH543+0.0005</f>
        <v>0.716084993317654</v>
      </c>
      <c r="AJ543" s="2606" t="n">
        <f aca="false">AH543-0.0005</f>
        <v>0.715084993317654</v>
      </c>
      <c r="AK543" s="2315" t="n">
        <f aca="false">IF(AND(дома!$Z$29&gt;=AJ543,дома!$Z$29&lt;=AI543),связи1!AG543,0)</f>
        <v>0</v>
      </c>
      <c r="AL543" s="2315" t="n">
        <f aca="false">IF(AND(дома!$AA$29&gt;=AJ543,дома!$AA$29&lt;=AI543),связи1!AG543,0)</f>
        <v>0</v>
      </c>
    </row>
    <row r="544" customFormat="false" ht="14.5" hidden="false" customHeight="false" outlineLevel="0" collapsed="false">
      <c r="AG544" s="2315" t="n">
        <v>41.1</v>
      </c>
      <c r="AH544" s="2606" t="n">
        <f aca="false">AG544*3.1415926535897/180</f>
        <v>0.717330322569648</v>
      </c>
      <c r="AI544" s="2606" t="n">
        <f aca="false">AH544+0.0005</f>
        <v>0.717830322569648</v>
      </c>
      <c r="AJ544" s="2606" t="n">
        <f aca="false">AH544-0.0005</f>
        <v>0.716830322569648</v>
      </c>
      <c r="AK544" s="2315" t="n">
        <f aca="false">IF(AND(дома!$Z$29&gt;=AJ544,дома!$Z$29&lt;=AI544),связи1!AG544,0)</f>
        <v>0</v>
      </c>
      <c r="AL544" s="2315" t="n">
        <f aca="false">IF(AND(дома!$AA$29&gt;=AJ544,дома!$AA$29&lt;=AI544),связи1!AG544,0)</f>
        <v>0</v>
      </c>
    </row>
    <row r="545" customFormat="false" ht="14.5" hidden="false" customHeight="false" outlineLevel="0" collapsed="false">
      <c r="A545" s="896" t="s">
        <v>4584</v>
      </c>
      <c r="AG545" s="2315" t="n">
        <v>41.2</v>
      </c>
      <c r="AH545" s="2606" t="n">
        <f aca="false">AG545*3.1415926535897/180</f>
        <v>0.719075651821642</v>
      </c>
      <c r="AI545" s="2606" t="n">
        <f aca="false">AH545+0.0005</f>
        <v>0.719575651821642</v>
      </c>
      <c r="AJ545" s="2606" t="n">
        <f aca="false">AH545-0.0005</f>
        <v>0.718575651821642</v>
      </c>
      <c r="AK545" s="2315" t="n">
        <f aca="false">IF(AND(дома!$Z$29&gt;=AJ545,дома!$Z$29&lt;=AI545),связи1!AG545,0)</f>
        <v>0</v>
      </c>
      <c r="AL545" s="2315" t="n">
        <f aca="false">IF(AND(дома!$AA$29&gt;=AJ545,дома!$AA$29&lt;=AI545),связи1!AG545,0)</f>
        <v>0</v>
      </c>
    </row>
    <row r="546" customFormat="false" ht="14.5" hidden="false" customHeight="false" outlineLevel="0" collapsed="false">
      <c r="A546" s="896" t="s">
        <v>2357</v>
      </c>
      <c r="AG546" s="2315" t="n">
        <v>41.3</v>
      </c>
      <c r="AH546" s="2606" t="n">
        <f aca="false">AG546*3.1415926535897/180</f>
        <v>0.720820981073637</v>
      </c>
      <c r="AI546" s="2606" t="n">
        <f aca="false">AH546+0.0005</f>
        <v>0.721320981073637</v>
      </c>
      <c r="AJ546" s="2606" t="n">
        <f aca="false">AH546-0.0005</f>
        <v>0.720320981073637</v>
      </c>
      <c r="AK546" s="2315" t="n">
        <f aca="false">IF(AND(дома!$Z$29&gt;=AJ546,дома!$Z$29&lt;=AI546),связи1!AG546,0)</f>
        <v>0</v>
      </c>
      <c r="AL546" s="2315" t="n">
        <f aca="false">IF(AND(дома!$AA$29&gt;=AJ546,дома!$AA$29&lt;=AI546),связи1!AG546,0)</f>
        <v>0</v>
      </c>
    </row>
    <row r="547" customFormat="false" ht="14.5" hidden="false" customHeight="false" outlineLevel="0" collapsed="false">
      <c r="AG547" s="2315" t="n">
        <v>41.4</v>
      </c>
      <c r="AH547" s="2606" t="n">
        <f aca="false">AG547*3.1415926535897/180</f>
        <v>0.722566310325631</v>
      </c>
      <c r="AI547" s="2606" t="n">
        <f aca="false">AH547+0.0005</f>
        <v>0.723066310325631</v>
      </c>
      <c r="AJ547" s="2606" t="n">
        <f aca="false">AH547-0.0005</f>
        <v>0.722066310325631</v>
      </c>
      <c r="AK547" s="2315" t="n">
        <f aca="false">IF(AND(дома!$Z$29&gt;=AJ547,дома!$Z$29&lt;=AI547),связи1!AG547,0)</f>
        <v>0</v>
      </c>
      <c r="AL547" s="2315" t="n">
        <f aca="false">IF(AND(дома!$AA$29&gt;=AJ547,дома!$AA$29&lt;=AI547),связи1!AG547,0)</f>
        <v>0</v>
      </c>
    </row>
    <row r="548" customFormat="false" ht="14.5" hidden="false" customHeight="false" outlineLevel="0" collapsed="false">
      <c r="A548" s="2680" t="s">
        <v>1093</v>
      </c>
      <c r="B548" s="2681" t="s">
        <v>120</v>
      </c>
      <c r="C548" s="2682" t="s">
        <v>1753</v>
      </c>
      <c r="D548" s="2683"/>
      <c r="E548" s="2683"/>
      <c r="F548" s="2681"/>
      <c r="AG548" s="2315" t="n">
        <v>41.5</v>
      </c>
      <c r="AH548" s="2606" t="n">
        <f aca="false">AG548*3.1415926535897/180</f>
        <v>0.724311639577625</v>
      </c>
      <c r="AI548" s="2606" t="n">
        <f aca="false">AH548+0.0005</f>
        <v>0.724811639577625</v>
      </c>
      <c r="AJ548" s="2606" t="n">
        <f aca="false">AH548-0.0005</f>
        <v>0.723811639577625</v>
      </c>
      <c r="AK548" s="2315" t="n">
        <f aca="false">IF(AND(дома!$Z$29&gt;=AJ548,дома!$Z$29&lt;=AI548),связи1!AG548,0)</f>
        <v>0</v>
      </c>
      <c r="AL548" s="2315" t="n">
        <f aca="false">IF(AND(дома!$AA$29&gt;=AJ548,дома!$AA$29&lt;=AI548),связи1!AG548,0)</f>
        <v>0</v>
      </c>
    </row>
    <row r="549" customFormat="false" ht="14.5" hidden="false" customHeight="false" outlineLevel="0" collapsed="false">
      <c r="A549" s="1056" t="s">
        <v>2016</v>
      </c>
      <c r="B549" s="2684" t="s">
        <v>159</v>
      </c>
      <c r="C549" s="2684" t="s">
        <v>1966</v>
      </c>
      <c r="D549" s="425" t="s">
        <v>1970</v>
      </c>
      <c r="E549" s="533" t="s">
        <v>2017</v>
      </c>
      <c r="F549" s="425" t="s">
        <v>2018</v>
      </c>
      <c r="AG549" s="2315" t="n">
        <v>41.6</v>
      </c>
      <c r="AH549" s="2606" t="n">
        <f aca="false">AG549*3.1415926535897/180</f>
        <v>0.72605696882962</v>
      </c>
      <c r="AI549" s="2606" t="n">
        <f aca="false">AH549+0.0005</f>
        <v>0.726556968829619</v>
      </c>
      <c r="AJ549" s="2606" t="n">
        <f aca="false">AH549-0.0005</f>
        <v>0.72555696882962</v>
      </c>
      <c r="AK549" s="2315" t="n">
        <f aca="false">IF(AND(дома!$Z$29&gt;=AJ549,дома!$Z$29&lt;=AI549),связи1!AG549,0)</f>
        <v>0</v>
      </c>
      <c r="AL549" s="2315" t="n">
        <f aca="false">IF(AND(дома!$AA$29&gt;=AJ549,дома!$AA$29&lt;=AI549),связи1!AG549,0)</f>
        <v>0</v>
      </c>
    </row>
    <row r="550" customFormat="false" ht="14.5" hidden="false" customHeight="false" outlineLevel="0" collapsed="false">
      <c r="A550" s="1056" t="s">
        <v>2019</v>
      </c>
      <c r="B550" s="2684" t="s">
        <v>159</v>
      </c>
      <c r="C550" s="1004" t="n">
        <f aca="false">'Ввод данных'!C378</f>
        <v>1</v>
      </c>
      <c r="D550" s="1004" t="n">
        <f aca="false">'Ввод данных'!D378</f>
        <v>1</v>
      </c>
      <c r="E550" s="1004" t="n">
        <f aca="false">'Ввод данных'!E378</f>
        <v>1</v>
      </c>
      <c r="F550" s="1004" t="n">
        <f aca="false">'Ввод данных'!F378</f>
        <v>1</v>
      </c>
      <c r="AG550" s="2315" t="n">
        <v>41.7</v>
      </c>
      <c r="AH550" s="2606" t="n">
        <f aca="false">AG550*3.1415926535897/180</f>
        <v>0.727802298081614</v>
      </c>
      <c r="AI550" s="2606" t="n">
        <f aca="false">AH550+0.0005</f>
        <v>0.728302298081614</v>
      </c>
      <c r="AJ550" s="2606" t="n">
        <f aca="false">AH550-0.0005</f>
        <v>0.727302298081614</v>
      </c>
      <c r="AK550" s="2315" t="n">
        <f aca="false">IF(AND(дома!$Z$29&gt;=AJ550,дома!$Z$29&lt;=AI550),связи1!AG550,0)</f>
        <v>0</v>
      </c>
      <c r="AL550" s="2315" t="n">
        <f aca="false">IF(AND(дома!$AA$29&gt;=AJ550,дома!$AA$29&lt;=AI550),связи1!AG550,0)</f>
        <v>0</v>
      </c>
    </row>
    <row r="551" customFormat="false" ht="14.5" hidden="false" customHeight="false" outlineLevel="0" collapsed="false">
      <c r="A551" s="947" t="s">
        <v>1754</v>
      </c>
      <c r="B551" s="425" t="s">
        <v>156</v>
      </c>
      <c r="C551" s="474" t="n">
        <f aca="false">IF('Ввод данных'!C379=0,1,'Ввод данных'!C379)</f>
        <v>3</v>
      </c>
      <c r="D551" s="474" t="n">
        <f aca="false">IF('Ввод данных'!D379=0,1,'Ввод данных'!D379)</f>
        <v>3</v>
      </c>
      <c r="E551" s="474" t="n">
        <f aca="false">IF('Ввод данных'!E379=0,1,'Ввод данных'!E379)</f>
        <v>3</v>
      </c>
      <c r="F551" s="474" t="n">
        <f aca="false">IF('Ввод данных'!F379=0,1,'Ввод данных'!F379)</f>
        <v>3</v>
      </c>
      <c r="AG551" s="2315" t="n">
        <v>41.8</v>
      </c>
      <c r="AH551" s="2606" t="n">
        <f aca="false">AG551*3.1415926535897/180</f>
        <v>0.729547627333608</v>
      </c>
      <c r="AI551" s="2606" t="n">
        <f aca="false">AH551+0.0005</f>
        <v>0.730047627333608</v>
      </c>
      <c r="AJ551" s="2606" t="n">
        <f aca="false">AH551-0.0005</f>
        <v>0.729047627333608</v>
      </c>
      <c r="AK551" s="2315" t="n">
        <f aca="false">IF(AND(дома!$Z$29&gt;=AJ551,дома!$Z$29&lt;=AI551),связи1!AG551,0)</f>
        <v>0</v>
      </c>
      <c r="AL551" s="2315" t="n">
        <f aca="false">IF(AND(дома!$AA$29&gt;=AJ551,дома!$AA$29&lt;=AI551),связи1!AG551,0)</f>
        <v>0</v>
      </c>
    </row>
    <row r="552" customFormat="false" ht="14.5" hidden="false" customHeight="false" outlineLevel="0" collapsed="false">
      <c r="A552" s="947" t="s">
        <v>1755</v>
      </c>
      <c r="B552" s="425" t="s">
        <v>156</v>
      </c>
      <c r="C552" s="474" t="n">
        <f aca="false">IF('Ввод данных'!C380=0,1,'Ввод данных'!C380)</f>
        <v>6</v>
      </c>
      <c r="D552" s="474" t="n">
        <f aca="false">IF('Ввод данных'!D380=0,1,'Ввод данных'!D380)</f>
        <v>3</v>
      </c>
      <c r="E552" s="474" t="n">
        <f aca="false">IF('Ввод данных'!E380=0,1,'Ввод данных'!E380)</f>
        <v>3</v>
      </c>
      <c r="F552" s="474" t="n">
        <f aca="false">IF('Ввод данных'!F380=0,1,'Ввод данных'!F380)</f>
        <v>5</v>
      </c>
      <c r="AG552" s="2315" t="n">
        <v>41.9</v>
      </c>
      <c r="AH552" s="2606" t="n">
        <f aca="false">AG552*3.1415926535897/180</f>
        <v>0.731292956585602</v>
      </c>
      <c r="AI552" s="2606" t="n">
        <f aca="false">AH552+0.0005</f>
        <v>0.731792956585602</v>
      </c>
      <c r="AJ552" s="2606" t="n">
        <f aca="false">AH552-0.0005</f>
        <v>0.730792956585602</v>
      </c>
      <c r="AK552" s="2315" t="n">
        <f aca="false">IF(AND(дома!$Z$29&gt;=AJ552,дома!$Z$29&lt;=AI552),связи1!AG552,0)</f>
        <v>0</v>
      </c>
      <c r="AL552" s="2315" t="n">
        <f aca="false">IF(AND(дома!$AA$29&gt;=AJ552,дома!$AA$29&lt;=AI552),связи1!AG552,0)</f>
        <v>0</v>
      </c>
    </row>
    <row r="553" customFormat="false" ht="14.5" hidden="false" customHeight="false" outlineLevel="0" collapsed="false">
      <c r="A553" s="947" t="s">
        <v>1756</v>
      </c>
      <c r="B553" s="425" t="s">
        <v>156</v>
      </c>
      <c r="C553" s="474" t="n">
        <f aca="false">IF('Ввод данных'!C381=0,1,'Ввод данных'!C381)</f>
        <v>2.9</v>
      </c>
      <c r="D553" s="474" t="n">
        <f aca="false">IF('Ввод данных'!D381=0,1,'Ввод данных'!D381)</f>
        <v>2.9</v>
      </c>
      <c r="E553" s="474" t="n">
        <f aca="false">IF('Ввод данных'!E381=0,1,'Ввод данных'!E381)</f>
        <v>2.9</v>
      </c>
      <c r="F553" s="474" t="n">
        <f aca="false">IF('Ввод данных'!F381=0,1,'Ввод данных'!F381)</f>
        <v>3</v>
      </c>
      <c r="AG553" s="2315" t="n">
        <v>42</v>
      </c>
      <c r="AH553" s="2606" t="n">
        <f aca="false">AG553*3.1415926535897/180</f>
        <v>0.733038285837597</v>
      </c>
      <c r="AI553" s="2606" t="n">
        <f aca="false">AH553+0.0005</f>
        <v>0.733538285837597</v>
      </c>
      <c r="AJ553" s="2606" t="n">
        <f aca="false">AH553-0.0005</f>
        <v>0.732538285837597</v>
      </c>
      <c r="AK553" s="2315" t="n">
        <f aca="false">IF(AND(дома!$Z$29&gt;=AJ553,дома!$Z$29&lt;=AI553),связи1!AG553,0)</f>
        <v>0</v>
      </c>
      <c r="AL553" s="2315" t="n">
        <f aca="false">IF(AND(дома!$AA$29&gt;=AJ553,дома!$AA$29&lt;=AI553),связи1!AG553,0)</f>
        <v>0</v>
      </c>
    </row>
    <row r="554" customFormat="false" ht="14.5" hidden="false" customHeight="false" outlineLevel="0" collapsed="false">
      <c r="A554" s="947" t="s">
        <v>1757</v>
      </c>
      <c r="B554" s="425" t="s">
        <v>156</v>
      </c>
      <c r="C554" s="474" t="n">
        <f aca="false">IF('Ввод данных'!C382=0,1,'Ввод данных'!C382)</f>
        <v>5</v>
      </c>
      <c r="D554" s="474" t="n">
        <f aca="false">IF('Ввод данных'!D382=0,1,'Ввод данных'!D382)</f>
        <v>4.1</v>
      </c>
      <c r="E554" s="474" t="n">
        <f aca="false">IF('Ввод данных'!E382=0,1,'Ввод данных'!E382)</f>
        <v>6</v>
      </c>
      <c r="F554" s="474" t="n">
        <f aca="false">IF('Ввод данных'!F382=0,1,'Ввод данных'!F382)</f>
        <v>4</v>
      </c>
      <c r="AG554" s="2315" t="n">
        <v>42.1</v>
      </c>
      <c r="AH554" s="2606" t="n">
        <f aca="false">AG554*3.1415926535897/180</f>
        <v>0.734783615089591</v>
      </c>
      <c r="AI554" s="2606" t="n">
        <f aca="false">AH554+0.0005</f>
        <v>0.735283615089591</v>
      </c>
      <c r="AJ554" s="2606" t="n">
        <f aca="false">AH554-0.0005</f>
        <v>0.734283615089591</v>
      </c>
      <c r="AK554" s="2315" t="n">
        <f aca="false">IF(AND(дома!$Z$29&gt;=AJ554,дома!$Z$29&lt;=AI554),связи1!AG554,0)</f>
        <v>0</v>
      </c>
      <c r="AL554" s="2315" t="n">
        <f aca="false">IF(AND(дома!$AA$29&gt;=AJ554,дома!$AA$29&lt;=AI554),связи1!AG554,0)</f>
        <v>0</v>
      </c>
    </row>
    <row r="555" customFormat="false" ht="14.5" hidden="false" customHeight="false" outlineLevel="0" collapsed="false">
      <c r="A555" s="947" t="s">
        <v>2576</v>
      </c>
      <c r="B555" s="425" t="s">
        <v>156</v>
      </c>
      <c r="C555" s="474" t="n">
        <f aca="false">IF('Ввод данных'!C383=0,1,'Ввод данных'!C383)</f>
        <v>1.2</v>
      </c>
      <c r="D555" s="474" t="n">
        <f aca="false">IF('Ввод данных'!D383=0,1,'Ввод данных'!D383)</f>
        <v>2.1</v>
      </c>
      <c r="E555" s="474" t="n">
        <f aca="false">IF('Ввод данных'!E383=0,1,'Ввод данных'!E383)</f>
        <v>1.5</v>
      </c>
      <c r="F555" s="474" t="n">
        <f aca="false">IF('Ввод данных'!F383=0,1,'Ввод данных'!F383)</f>
        <v>2.7</v>
      </c>
      <c r="AG555" s="2315" t="n">
        <v>42.2</v>
      </c>
      <c r="AH555" s="2606" t="n">
        <f aca="false">AG555*3.1415926535897/180</f>
        <v>0.736528944341585</v>
      </c>
      <c r="AI555" s="2606" t="n">
        <f aca="false">AH555+0.0005</f>
        <v>0.737028944341585</v>
      </c>
      <c r="AJ555" s="2606" t="n">
        <f aca="false">AH555-0.0005</f>
        <v>0.736028944341585</v>
      </c>
      <c r="AK555" s="2315" t="n">
        <f aca="false">IF(AND(дома!$Z$29&gt;=AJ555,дома!$Z$29&lt;=AI555),связи1!AG555,0)</f>
        <v>0</v>
      </c>
      <c r="AL555" s="2315" t="n">
        <f aca="false">IF(AND(дома!$AA$29&gt;=AJ555,дома!$AA$29&lt;=AI555),связи1!AG555,0)</f>
        <v>0</v>
      </c>
    </row>
    <row r="556" customFormat="false" ht="14.5" hidden="false" customHeight="false" outlineLevel="0" collapsed="false">
      <c r="A556" s="947" t="s">
        <v>1760</v>
      </c>
      <c r="B556" s="425" t="s">
        <v>156</v>
      </c>
      <c r="C556" s="474" t="n">
        <f aca="false">IF('Ввод данных'!C384=0,1,'Ввод данных'!C384)</f>
        <v>2.5</v>
      </c>
      <c r="D556" s="474" t="n">
        <f aca="false">IF('Ввод данных'!D384=0,1,'Ввод данных'!D384)</f>
        <v>2.2</v>
      </c>
      <c r="E556" s="474" t="n">
        <f aca="false">IF('Ввод данных'!E384=0,1,'Ввод данных'!E384)</f>
        <v>2.2</v>
      </c>
      <c r="F556" s="474" t="n">
        <f aca="false">IF('Ввод данных'!F384=0,1,'Ввод данных'!F384)</f>
        <v>2.7</v>
      </c>
      <c r="AG556" s="2315" t="n">
        <v>42.3</v>
      </c>
      <c r="AH556" s="2606" t="n">
        <f aca="false">AG556*3.1415926535897/180</f>
        <v>0.738274273593579</v>
      </c>
      <c r="AI556" s="2606" t="n">
        <f aca="false">AH556+0.0005</f>
        <v>0.738774273593579</v>
      </c>
      <c r="AJ556" s="2606" t="n">
        <f aca="false">AH556-0.0005</f>
        <v>0.737774273593579</v>
      </c>
      <c r="AK556" s="2315" t="n">
        <f aca="false">IF(AND(дома!$Z$29&gt;=AJ556,дома!$Z$29&lt;=AI556),связи1!AG556,0)</f>
        <v>0</v>
      </c>
      <c r="AL556" s="2315" t="n">
        <f aca="false">IF(AND(дома!$AA$29&gt;=AJ556,дома!$AA$29&lt;=AI556),связи1!AG556,0)</f>
        <v>0</v>
      </c>
    </row>
    <row r="557" customFormat="false" ht="14.5" hidden="false" customHeight="false" outlineLevel="0" collapsed="false">
      <c r="A557" s="947" t="s">
        <v>2579</v>
      </c>
      <c r="B557" s="742" t="s">
        <v>156</v>
      </c>
      <c r="C557" s="474" t="n">
        <f aca="false">IF(связи1!C566=0,1,связи1!C566)</f>
        <v>1.9</v>
      </c>
      <c r="D557" s="474" t="n">
        <f aca="false">IF(связи1!D566=0,1,связи1!D566)</f>
        <v>1</v>
      </c>
      <c r="E557" s="474" t="n">
        <f aca="false">IF(связи1!E566=0,1,связи1!E566)</f>
        <v>2.9</v>
      </c>
      <c r="F557" s="474" t="n">
        <f aca="false">IF(связи1!F566=0,1,связи1!F566)</f>
        <v>0.8</v>
      </c>
      <c r="AG557" s="2315" t="n">
        <v>42.4</v>
      </c>
      <c r="AH557" s="2606" t="n">
        <f aca="false">AG557*3.1415926535897/180</f>
        <v>0.740019602845574</v>
      </c>
      <c r="AI557" s="2606" t="n">
        <f aca="false">AH557+0.0005</f>
        <v>0.740519602845574</v>
      </c>
      <c r="AJ557" s="2606" t="n">
        <f aca="false">AH557-0.0005</f>
        <v>0.739519602845574</v>
      </c>
      <c r="AK557" s="2315" t="n">
        <f aca="false">IF(AND(дома!$Z$29&gt;=AJ557,дома!$Z$29&lt;=AI557),связи1!AG557,0)</f>
        <v>0</v>
      </c>
      <c r="AL557" s="2315" t="n">
        <f aca="false">IF(AND(дома!$AA$29&gt;=AJ557,дома!$AA$29&lt;=AI557),связи1!AG557,0)</f>
        <v>0</v>
      </c>
    </row>
    <row r="558" customFormat="false" ht="14.5" hidden="false" customHeight="false" outlineLevel="0" collapsed="false">
      <c r="A558" s="947" t="s">
        <v>4585</v>
      </c>
      <c r="B558" s="425" t="s">
        <v>156</v>
      </c>
      <c r="C558" s="474" t="n">
        <f aca="false">IF(связи1!C567=0,1,связи1!C567)</f>
        <v>1.2</v>
      </c>
      <c r="D558" s="474" t="n">
        <f aca="false">IF(связи1!D567=0,1,связи1!D567)</f>
        <v>2.1</v>
      </c>
      <c r="E558" s="474" t="n">
        <f aca="false">IF(связи1!E567=0,1,связи1!E567)</f>
        <v>1.5</v>
      </c>
      <c r="F558" s="474" t="n">
        <f aca="false">IF(связи1!F567=0,1,связи1!F567)</f>
        <v>2.7</v>
      </c>
      <c r="AG558" s="2315" t="n">
        <v>42.5</v>
      </c>
      <c r="AH558" s="2606" t="n">
        <f aca="false">AG558*3.1415926535897/180</f>
        <v>0.741764932097568</v>
      </c>
      <c r="AI558" s="2606" t="n">
        <f aca="false">AH558+0.0005</f>
        <v>0.742264932097568</v>
      </c>
      <c r="AJ558" s="2606" t="n">
        <f aca="false">AH558-0.0005</f>
        <v>0.741264932097568</v>
      </c>
      <c r="AK558" s="2315" t="n">
        <f aca="false">IF(AND(дома!$Z$29&gt;=AJ558,дома!$Z$29&lt;=AI558),связи1!AG558,0)</f>
        <v>0</v>
      </c>
      <c r="AL558" s="2315" t="n">
        <f aca="false">IF(AND(дома!$AA$29&gt;=AJ558,дома!$AA$29&lt;=AI558),связи1!AG558,0)</f>
        <v>0</v>
      </c>
    </row>
    <row r="559" customFormat="false" ht="14.5" hidden="false" customHeight="false" outlineLevel="0" collapsed="false">
      <c r="A559" s="2685" t="s">
        <v>4586</v>
      </c>
      <c r="B559" s="542" t="s">
        <v>156</v>
      </c>
      <c r="C559" s="474" t="n">
        <f aca="false">IF('Ввод данных'!C387=0,1,'Ввод данных'!C387)</f>
        <v>0.5</v>
      </c>
      <c r="D559" s="474" t="n">
        <f aca="false">IF('Ввод данных'!D387=0,1,'Ввод данных'!D387)</f>
        <v>0.6</v>
      </c>
      <c r="E559" s="474" t="n">
        <f aca="false">IF('Ввод данных'!E387=0,1,'Ввод данных'!E387)</f>
        <v>0.6</v>
      </c>
      <c r="F559" s="474" t="n">
        <f aca="false">IF('Ввод данных'!F387=0,1,'Ввод данных'!F387)</f>
        <v>0.6</v>
      </c>
      <c r="AG559" s="2315" t="n">
        <v>42.6</v>
      </c>
      <c r="AH559" s="2606" t="n">
        <f aca="false">AG559*3.1415926535897/180</f>
        <v>0.743510261349562</v>
      </c>
      <c r="AI559" s="2606" t="n">
        <f aca="false">AH559+0.0005</f>
        <v>0.744010261349562</v>
      </c>
      <c r="AJ559" s="2606" t="n">
        <f aca="false">AH559-0.0005</f>
        <v>0.743010261349562</v>
      </c>
      <c r="AK559" s="2315" t="n">
        <f aca="false">IF(AND(дома!$Z$29&gt;=AJ559,дома!$Z$29&lt;=AI559),связи1!AG559,0)</f>
        <v>0</v>
      </c>
      <c r="AL559" s="2315" t="n">
        <f aca="false">IF(AND(дома!$AA$29&gt;=AJ559,дома!$AA$29&lt;=AI559),связи1!AG559,0)</f>
        <v>0</v>
      </c>
    </row>
    <row r="560" customFormat="false" ht="14.5" hidden="false" customHeight="false" outlineLevel="0" collapsed="false">
      <c r="A560" s="2685" t="s">
        <v>4587</v>
      </c>
      <c r="B560" s="542" t="s">
        <v>156</v>
      </c>
      <c r="C560" s="474" t="n">
        <f aca="false">IF('Ввод данных'!C388=0,1,'Ввод данных'!C388)</f>
        <v>0.7</v>
      </c>
      <c r="D560" s="474" t="n">
        <f aca="false">IF('Ввод данных'!D388=0,1,'Ввод данных'!D388)</f>
        <v>0.6</v>
      </c>
      <c r="E560" s="474" t="n">
        <f aca="false">IF('Ввод данных'!E388=0,1,'Ввод данных'!E388)</f>
        <v>0.6</v>
      </c>
      <c r="F560" s="474" t="n">
        <f aca="false">IF('Ввод данных'!F388=0,1,'Ввод данных'!F388)</f>
        <v>0.6</v>
      </c>
      <c r="AG560" s="2315" t="n">
        <v>42.7</v>
      </c>
      <c r="AH560" s="2606" t="n">
        <f aca="false">AG560*3.1415926535897/180</f>
        <v>0.745255590601557</v>
      </c>
      <c r="AI560" s="2606" t="n">
        <f aca="false">AH560+0.0005</f>
        <v>0.745755590601557</v>
      </c>
      <c r="AJ560" s="2606" t="n">
        <f aca="false">AH560-0.0005</f>
        <v>0.744755590601557</v>
      </c>
      <c r="AK560" s="2315" t="n">
        <f aca="false">IF(AND(дома!$Z$29&gt;=AJ560,дома!$Z$29&lt;=AI560),связи1!AG560,0)</f>
        <v>0</v>
      </c>
      <c r="AL560" s="2315" t="n">
        <f aca="false">IF(AND(дома!$AA$29&gt;=AJ560,дома!$AA$29&lt;=AI560),связи1!AG560,0)</f>
        <v>0</v>
      </c>
    </row>
    <row r="561" customFormat="false" ht="14.5" hidden="false" customHeight="false" outlineLevel="0" collapsed="false">
      <c r="A561" s="2685" t="s">
        <v>2023</v>
      </c>
      <c r="B561" s="542" t="s">
        <v>156</v>
      </c>
      <c r="C561" s="474" t="n">
        <f aca="false">IF('Ввод данных'!C389=0,1,'Ввод данных'!C389)</f>
        <v>0.5</v>
      </c>
      <c r="D561" s="474" t="n">
        <f aca="false">IF('Ввод данных'!D389=0,1,'Ввод данных'!D389)</f>
        <v>0.5</v>
      </c>
      <c r="E561" s="474" t="n">
        <f aca="false">IF('Ввод данных'!E389=0,1,'Ввод данных'!E389)</f>
        <v>0.8</v>
      </c>
      <c r="F561" s="474" t="n">
        <f aca="false">IF('Ввод данных'!F389=0,1,'Ввод данных'!F389)</f>
        <v>0.8</v>
      </c>
      <c r="AG561" s="2315" t="n">
        <v>42.8</v>
      </c>
      <c r="AH561" s="2606" t="n">
        <f aca="false">AG561*3.1415926535897/180</f>
        <v>0.747000919853551</v>
      </c>
      <c r="AI561" s="2606" t="n">
        <f aca="false">AH561+0.0005</f>
        <v>0.747500919853551</v>
      </c>
      <c r="AJ561" s="2606" t="n">
        <f aca="false">AH561-0.0005</f>
        <v>0.746500919853551</v>
      </c>
      <c r="AK561" s="2315" t="n">
        <f aca="false">IF(AND(дома!$Z$29&gt;=AJ561,дома!$Z$29&lt;=AI561),связи1!AG561,0)</f>
        <v>0</v>
      </c>
      <c r="AL561" s="2315" t="n">
        <f aca="false">IF(AND(дома!$AA$29&gt;=AJ561,дома!$AA$29&lt;=AI561),связи1!AG561,0)</f>
        <v>0</v>
      </c>
    </row>
    <row r="562" customFormat="false" ht="14.5" hidden="false" customHeight="false" outlineLevel="0" collapsed="false">
      <c r="A562" s="2685" t="s">
        <v>2024</v>
      </c>
      <c r="B562" s="1066" t="s">
        <v>156</v>
      </c>
      <c r="C562" s="474" t="n">
        <f aca="false">IF('Ввод данных'!C390=0,1,'Ввод данных'!C390)</f>
        <v>0.7</v>
      </c>
      <c r="D562" s="474" t="n">
        <f aca="false">IF('Ввод данных'!D390=0,1,'Ввод данных'!D390)</f>
        <v>0.4</v>
      </c>
      <c r="E562" s="474" t="n">
        <f aca="false">IF('Ввод данных'!E390=0,1,'Ввод данных'!E390)</f>
        <v>0.9</v>
      </c>
      <c r="F562" s="474" t="n">
        <f aca="false">IF('Ввод данных'!F390=0,1,'Ввод данных'!F390)</f>
        <v>0.9</v>
      </c>
      <c r="AG562" s="2315" t="n">
        <v>42.9</v>
      </c>
      <c r="AH562" s="2606" t="n">
        <f aca="false">AG562*3.1415926535897/180</f>
        <v>0.748746249105545</v>
      </c>
      <c r="AI562" s="2606" t="n">
        <f aca="false">AH562+0.0005</f>
        <v>0.749246249105545</v>
      </c>
      <c r="AJ562" s="2606" t="n">
        <f aca="false">AH562-0.0005</f>
        <v>0.748246249105545</v>
      </c>
      <c r="AK562" s="2315" t="n">
        <f aca="false">IF(AND(дома!$Z$29&gt;=AJ562,дома!$Z$29&lt;=AI562),связи1!AG562,0)</f>
        <v>0</v>
      </c>
      <c r="AL562" s="2315" t="n">
        <f aca="false">IF(AND(дома!$AA$29&gt;=AJ562,дома!$AA$29&lt;=AI562),связи1!AG562,0)</f>
        <v>0</v>
      </c>
    </row>
    <row r="563" customFormat="false" ht="14.5" hidden="false" customHeight="false" outlineLevel="0" collapsed="false">
      <c r="A563" s="2685" t="s">
        <v>2025</v>
      </c>
      <c r="B563" s="542" t="s">
        <v>156</v>
      </c>
      <c r="C563" s="474" t="n">
        <f aca="false">IF('Ввод данных'!C391=0,1,'Ввод данных'!C391)</f>
        <v>2</v>
      </c>
      <c r="D563" s="474" t="n">
        <f aca="false">IF('Ввод данных'!D391=0,1,'Ввод данных'!D391)</f>
        <v>1</v>
      </c>
      <c r="E563" s="474" t="n">
        <f aca="false">IF('Ввод данных'!E391=0,1,'Ввод данных'!E391)</f>
        <v>2</v>
      </c>
      <c r="F563" s="474" t="n">
        <f aca="false">IF('Ввод данных'!F391=0,1,'Ввод данных'!F391)</f>
        <v>3</v>
      </c>
      <c r="AG563" s="2315" t="n">
        <v>43</v>
      </c>
      <c r="AH563" s="2606" t="n">
        <f aca="false">AG563*3.1415926535897/180</f>
        <v>0.750491578357539</v>
      </c>
      <c r="AI563" s="2606" t="n">
        <f aca="false">AH563+0.0005</f>
        <v>0.750991578357539</v>
      </c>
      <c r="AJ563" s="2606" t="n">
        <f aca="false">AH563-0.0005</f>
        <v>0.749991578357539</v>
      </c>
      <c r="AK563" s="2315" t="n">
        <f aca="false">IF(AND(дома!$Z$29&gt;=AJ563,дома!$Z$29&lt;=AI563),связи1!AG563,0)</f>
        <v>0</v>
      </c>
      <c r="AL563" s="2315" t="n">
        <f aca="false">IF(AND(дома!$AA$29&gt;=AJ563,дома!$AA$29&lt;=AI563),связи1!AG563,0)</f>
        <v>0</v>
      </c>
    </row>
    <row r="564" customFormat="false" ht="14.5" hidden="false" customHeight="false" outlineLevel="0" collapsed="false">
      <c r="AG564" s="2315" t="n">
        <v>43.1</v>
      </c>
      <c r="AH564" s="2606" t="n">
        <f aca="false">AG564*3.1415926535897/180</f>
        <v>0.752236907609534</v>
      </c>
      <c r="AI564" s="2606" t="n">
        <f aca="false">AH564+0.0005</f>
        <v>0.752736907609534</v>
      </c>
      <c r="AJ564" s="2606" t="n">
        <f aca="false">AH564-0.0005</f>
        <v>0.751736907609534</v>
      </c>
      <c r="AK564" s="2315" t="n">
        <f aca="false">IF(AND(дома!$Z$29&gt;=AJ564,дома!$Z$29&lt;=AI564),связи1!AG564,0)</f>
        <v>0</v>
      </c>
      <c r="AL564" s="2315" t="n">
        <f aca="false">IF(AND(дома!$AA$29&gt;=AJ564,дома!$AA$29&lt;=AI564),связи1!AG564,0)</f>
        <v>0</v>
      </c>
    </row>
    <row r="565" customFormat="false" ht="14.5" hidden="false" customHeight="false" outlineLevel="0" collapsed="false">
      <c r="AG565" s="2315" t="n">
        <v>43.2</v>
      </c>
      <c r="AH565" s="2606" t="n">
        <f aca="false">AG565*3.1415926535897/180</f>
        <v>0.753982236861528</v>
      </c>
      <c r="AI565" s="2606" t="n">
        <f aca="false">AH565+0.0005</f>
        <v>0.754482236861528</v>
      </c>
      <c r="AJ565" s="2606" t="n">
        <f aca="false">AH565-0.0005</f>
        <v>0.753482236861528</v>
      </c>
      <c r="AK565" s="2315" t="n">
        <f aca="false">IF(AND(дома!$Z$29&gt;=AJ565,дома!$Z$29&lt;=AI565),связи1!AG565,0)</f>
        <v>0</v>
      </c>
      <c r="AL565" s="2315" t="n">
        <f aca="false">IF(AND(дома!$AA$29&gt;=AJ565,дома!$AA$29&lt;=AI565),связи1!AG565,0)</f>
        <v>0</v>
      </c>
    </row>
    <row r="566" customFormat="false" ht="14.5" hidden="false" customHeight="false" outlineLevel="0" collapsed="false">
      <c r="A566" s="534" t="s">
        <v>2579</v>
      </c>
      <c r="B566" s="742" t="s">
        <v>156</v>
      </c>
      <c r="C566" s="537" t="n">
        <f aca="false">'Ввод данных'!C382-'Ввод данных'!C381-0.2</f>
        <v>1.9</v>
      </c>
      <c r="D566" s="537" t="n">
        <f aca="false">'Ввод данных'!D382-'Ввод данных'!D381-0.2</f>
        <v>1</v>
      </c>
      <c r="E566" s="537" t="n">
        <f aca="false">'Ввод данных'!E382-'Ввод данных'!E381-0.2</f>
        <v>2.9</v>
      </c>
      <c r="F566" s="537" t="n">
        <f aca="false">'Ввод данных'!F382-'Ввод данных'!F381-0.2</f>
        <v>0.8</v>
      </c>
      <c r="AG566" s="2315" t="n">
        <v>43.3</v>
      </c>
      <c r="AH566" s="2606" t="n">
        <f aca="false">AG566*3.1415926535897/180</f>
        <v>0.755727566113522</v>
      </c>
      <c r="AI566" s="2606" t="n">
        <f aca="false">AH566+0.0005</f>
        <v>0.756227566113522</v>
      </c>
      <c r="AJ566" s="2606" t="n">
        <f aca="false">AH566-0.0005</f>
        <v>0.755227566113522</v>
      </c>
      <c r="AK566" s="2315" t="n">
        <f aca="false">IF(AND(дома!$Z$29&gt;=AJ566,дома!$Z$29&lt;=AI566),связи1!AG566,0)</f>
        <v>0</v>
      </c>
      <c r="AL566" s="2315" t="n">
        <f aca="false">IF(AND(дома!$AA$29&gt;=AJ566,дома!$AA$29&lt;=AI566),связи1!AG566,0)</f>
        <v>0</v>
      </c>
    </row>
    <row r="567" customFormat="false" ht="14.5" hidden="false" customHeight="false" outlineLevel="0" collapsed="false">
      <c r="A567" s="534" t="s">
        <v>4585</v>
      </c>
      <c r="B567" s="425" t="s">
        <v>156</v>
      </c>
      <c r="C567" s="537" t="n">
        <f aca="false">'Ввод данных'!C383</f>
        <v>1.2</v>
      </c>
      <c r="D567" s="537" t="n">
        <f aca="false">'Ввод данных'!D383</f>
        <v>2.1</v>
      </c>
      <c r="E567" s="537" t="n">
        <f aca="false">'Ввод данных'!E383</f>
        <v>1.5</v>
      </c>
      <c r="F567" s="537" t="n">
        <f aca="false">'Ввод данных'!F383</f>
        <v>2.7</v>
      </c>
      <c r="AG567" s="2315" t="n">
        <v>43.4</v>
      </c>
      <c r="AH567" s="2606" t="n">
        <f aca="false">AG567*3.1415926535897/180</f>
        <v>0.757472895365516</v>
      </c>
      <c r="AI567" s="2606" t="n">
        <f aca="false">AH567+0.0005</f>
        <v>0.757972895365516</v>
      </c>
      <c r="AJ567" s="2606" t="n">
        <f aca="false">AH567-0.0005</f>
        <v>0.756972895365516</v>
      </c>
      <c r="AK567" s="2315" t="n">
        <f aca="false">IF(AND(дома!$Z$29&gt;=AJ567,дома!$Z$29&lt;=AI567),связи1!AG567,0)</f>
        <v>0</v>
      </c>
      <c r="AL567" s="2315" t="n">
        <f aca="false">IF(AND(дома!$AA$29&gt;=AJ567,дома!$AA$29&lt;=AI567),связи1!AG567,0)</f>
        <v>0</v>
      </c>
    </row>
    <row r="568" customFormat="false" ht="14.5" hidden="false" customHeight="false" outlineLevel="0" collapsed="false">
      <c r="AG568" s="2315" t="n">
        <v>43.5</v>
      </c>
      <c r="AH568" s="2606" t="n">
        <f aca="false">AG568*3.1415926535897/180</f>
        <v>0.759218224617511</v>
      </c>
      <c r="AI568" s="2606" t="n">
        <f aca="false">AH568+0.0005</f>
        <v>0.759718224617511</v>
      </c>
      <c r="AJ568" s="2606" t="n">
        <f aca="false">AH568-0.0005</f>
        <v>0.758718224617511</v>
      </c>
      <c r="AK568" s="2315" t="n">
        <f aca="false">IF(AND(дома!$Z$29&gt;=AJ568,дома!$Z$29&lt;=AI568),связи1!AG568,0)</f>
        <v>0</v>
      </c>
      <c r="AL568" s="2315" t="n">
        <f aca="false">IF(AND(дома!$AA$29&gt;=AJ568,дома!$AA$29&lt;=AI568),связи1!AG568,0)</f>
        <v>0</v>
      </c>
    </row>
    <row r="570" customFormat="false" ht="14.5" hidden="false" customHeight="false" outlineLevel="0" collapsed="false">
      <c r="A570" s="2315" t="s">
        <v>1901</v>
      </c>
    </row>
    <row r="571" customFormat="false" ht="14.5" hidden="false" customHeight="false" outlineLevel="0" collapsed="false">
      <c r="A571" s="933" t="str">
        <f aca="false">'Прайс лист'!B333</f>
        <v>Нет</v>
      </c>
    </row>
    <row r="572" customFormat="false" ht="14.5" hidden="false" customHeight="false" outlineLevel="0" collapsed="false">
      <c r="A572" s="2686" t="str">
        <f aca="false">'Прайс лист'!B334</f>
        <v>Листв. влаж, 200*200мм</v>
      </c>
    </row>
    <row r="573" customFormat="false" ht="14.5" hidden="false" customHeight="false" outlineLevel="0" collapsed="false">
      <c r="A573" s="933" t="str">
        <f aca="false">'Прайс лист'!B335</f>
        <v>Листв. влаж, 200*180мм</v>
      </c>
    </row>
    <row r="574" customFormat="false" ht="14.5" hidden="false" customHeight="false" outlineLevel="0" collapsed="false">
      <c r="A574" s="933" t="str">
        <f aca="false">'Прайс лист'!B336</f>
        <v>Листв. влаж, 200*150мм</v>
      </c>
    </row>
    <row r="575" customFormat="false" ht="14.5" hidden="false" customHeight="false" outlineLevel="0" collapsed="false">
      <c r="A575" s="933" t="str">
        <f aca="false">'Прайс лист'!B337</f>
        <v>Листв. влаж, 200*100мм</v>
      </c>
    </row>
    <row r="576" customFormat="false" ht="14.5" hidden="false" customHeight="false" outlineLevel="0" collapsed="false">
      <c r="A576" s="933" t="str">
        <f aca="false">'Прайс лист'!B338</f>
        <v>Листв. влаж, 180*180мм</v>
      </c>
    </row>
    <row r="577" customFormat="false" ht="14.5" hidden="false" customHeight="false" outlineLevel="0" collapsed="false">
      <c r="A577" s="933" t="str">
        <f aca="false">'Прайс лист'!B339</f>
        <v>Листв. влаж, 180*150мм</v>
      </c>
    </row>
    <row r="578" customFormat="false" ht="14.5" hidden="false" customHeight="false" outlineLevel="0" collapsed="false">
      <c r="A578" s="933" t="str">
        <f aca="false">'Прайс лист'!B340</f>
        <v>Листв. влаж, 180*100мм</v>
      </c>
    </row>
    <row r="579" customFormat="false" ht="14.5" hidden="false" customHeight="false" outlineLevel="0" collapsed="false">
      <c r="A579" s="933" t="str">
        <f aca="false">'Прайс лист'!B341</f>
        <v>Листв. влаж, 150*150мм</v>
      </c>
    </row>
    <row r="580" customFormat="false" ht="14.5" hidden="false" customHeight="false" outlineLevel="0" collapsed="false">
      <c r="A580" s="933" t="str">
        <f aca="false">'Прайс лист'!B342</f>
        <v>Листв. влаж, 150*100мм</v>
      </c>
    </row>
    <row r="581" customFormat="false" ht="14.5" hidden="false" customHeight="false" outlineLevel="0" collapsed="false">
      <c r="A581" s="933" t="str">
        <f aca="false">'Прайс лист'!B343</f>
        <v>Листв. влаж, 100*100мм</v>
      </c>
    </row>
    <row r="582" customFormat="false" ht="14.5" hidden="false" customHeight="false" outlineLevel="0" collapsed="false">
      <c r="A582" s="933" t="str">
        <f aca="false">'Прайс лист'!B344</f>
        <v>Сосна влаж, 200*200мм</v>
      </c>
    </row>
    <row r="583" customFormat="false" ht="14.5" hidden="false" customHeight="false" outlineLevel="0" collapsed="false">
      <c r="A583" s="933" t="str">
        <f aca="false">'Прайс лист'!B345</f>
        <v>Сосна влаж, 200*180мм</v>
      </c>
    </row>
    <row r="584" customFormat="false" ht="14.5" hidden="false" customHeight="false" outlineLevel="0" collapsed="false">
      <c r="A584" s="933" t="str">
        <f aca="false">'Прайс лист'!B346</f>
        <v>Сосна влаж, 200*150мм</v>
      </c>
    </row>
    <row r="585" customFormat="false" ht="14.5" hidden="false" customHeight="false" outlineLevel="0" collapsed="false">
      <c r="A585" s="933" t="str">
        <f aca="false">'Прайс лист'!B347</f>
        <v>Сосна влаж, 200*100мм</v>
      </c>
    </row>
    <row r="586" customFormat="false" ht="14.5" hidden="false" customHeight="false" outlineLevel="0" collapsed="false">
      <c r="A586" s="933" t="str">
        <f aca="false">'Прайс лист'!B348</f>
        <v>Сосна влаж, 180*180мм</v>
      </c>
    </row>
    <row r="587" customFormat="false" ht="14.5" hidden="false" customHeight="false" outlineLevel="0" collapsed="false">
      <c r="A587" s="933" t="str">
        <f aca="false">'Прайс лист'!B349</f>
        <v>Сосна влаж, 180*150мм</v>
      </c>
    </row>
    <row r="588" customFormat="false" ht="14.5" hidden="false" customHeight="false" outlineLevel="0" collapsed="false">
      <c r="A588" s="933" t="str">
        <f aca="false">'Прайс лист'!B350</f>
        <v>Сосна влаж, 180*100мм</v>
      </c>
    </row>
    <row r="589" customFormat="false" ht="14.5" hidden="false" customHeight="false" outlineLevel="0" collapsed="false">
      <c r="A589" s="933" t="str">
        <f aca="false">'Прайс лист'!B351</f>
        <v>Сосна влаж, 150*150мм</v>
      </c>
    </row>
    <row r="590" customFormat="false" ht="14.5" hidden="false" customHeight="false" outlineLevel="0" collapsed="false">
      <c r="A590" s="933" t="str">
        <f aca="false">'Прайс лист'!B352</f>
        <v>Сосна влаж, 150*100мм</v>
      </c>
    </row>
    <row r="591" customFormat="false" ht="14.5" hidden="false" customHeight="false" outlineLevel="0" collapsed="false">
      <c r="A591" s="933" t="str">
        <f aca="false">'Прайс лист'!B353</f>
        <v>Сосна влаж, 100*100мм</v>
      </c>
    </row>
    <row r="592" customFormat="false" ht="14.5" hidden="false" customHeight="false" outlineLevel="0" collapsed="false">
      <c r="A592" s="933" t="str">
        <f aca="false">'Прайс лист'!B354</f>
        <v>Брус клееный профилированный Шир. 240 выс. 270</v>
      </c>
    </row>
    <row r="593" customFormat="false" ht="14.5" hidden="false" customHeight="false" outlineLevel="0" collapsed="false">
      <c r="A593" s="933" t="str">
        <f aca="false">'Прайс лист'!B355</f>
        <v>Брус клееный профилированный Шир. 200 выс. 270</v>
      </c>
    </row>
    <row r="594" customFormat="false" ht="14.5" hidden="false" customHeight="false" outlineLevel="0" collapsed="false">
      <c r="A594" s="933" t="str">
        <f aca="false">'Прайс лист'!B356</f>
        <v>Брус клееный профилированный Шир. 160 выс. 270</v>
      </c>
    </row>
    <row r="595" customFormat="false" ht="14.5" hidden="false" customHeight="false" outlineLevel="0" collapsed="false">
      <c r="A595" s="933" t="str">
        <f aca="false">'Прайс лист'!B357</f>
        <v>Брус клееный профилированный Шир. 120 выс. 270</v>
      </c>
    </row>
    <row r="596" customFormat="false" ht="14.5" hidden="false" customHeight="false" outlineLevel="0" collapsed="false">
      <c r="A596" s="933" t="str">
        <f aca="false">'Прайс лист'!B358</f>
        <v>Брус клееный профилированный Шир. 240 выс. 230</v>
      </c>
    </row>
    <row r="597" customFormat="false" ht="14.5" hidden="false" customHeight="false" outlineLevel="0" collapsed="false">
      <c r="A597" s="933" t="str">
        <f aca="false">'Прайс лист'!B359</f>
        <v>Брус клееный профилированный Шир. 200 выс. 230</v>
      </c>
    </row>
    <row r="598" customFormat="false" ht="14.5" hidden="false" customHeight="false" outlineLevel="0" collapsed="false">
      <c r="A598" s="933" t="str">
        <f aca="false">'Прайс лист'!B360</f>
        <v>Брус клееный профилированный Шир. 160 выс. 230</v>
      </c>
    </row>
    <row r="599" customFormat="false" ht="14.5" hidden="false" customHeight="false" outlineLevel="0" collapsed="false">
      <c r="A599" s="933" t="str">
        <f aca="false">'Прайс лист'!B361</f>
        <v>Брус клееный профилированный Шир. 120 выс. 230</v>
      </c>
    </row>
    <row r="600" customFormat="false" ht="14.5" hidden="false" customHeight="false" outlineLevel="0" collapsed="false">
      <c r="A600" s="933" t="str">
        <f aca="false">'Прайс лист'!B362</f>
        <v>Брус клееный профилированный Шир. 240 выс. 185</v>
      </c>
    </row>
    <row r="601" customFormat="false" ht="14.5" hidden="false" customHeight="false" outlineLevel="0" collapsed="false">
      <c r="A601" s="933" t="str">
        <f aca="false">'Прайс лист'!B363</f>
        <v>Брус клееный профилированный Шир. 200 выс. 185</v>
      </c>
    </row>
    <row r="602" customFormat="false" ht="14.5" hidden="false" customHeight="false" outlineLevel="0" collapsed="false">
      <c r="A602" s="933" t="str">
        <f aca="false">'Прайс лист'!B364</f>
        <v>Брус клееный профилированный Шир. 160 выс. 185</v>
      </c>
    </row>
    <row r="603" customFormat="false" ht="14.5" hidden="false" customHeight="false" outlineLevel="0" collapsed="false">
      <c r="A603" s="933" t="str">
        <f aca="false">'Прайс лист'!B365</f>
        <v>Брус клееный профилированный Шир. 120 выс. 185</v>
      </c>
    </row>
    <row r="604" customFormat="false" ht="14.5" hidden="false" customHeight="false" outlineLevel="0" collapsed="false">
      <c r="A604" s="933" t="str">
        <f aca="false">'Прайс лист'!B366</f>
        <v>Брус клееный профилированный Шир. 240 выс. 180</v>
      </c>
    </row>
    <row r="605" customFormat="false" ht="14.5" hidden="false" customHeight="false" outlineLevel="0" collapsed="false">
      <c r="A605" s="933" t="str">
        <f aca="false">'Прайс лист'!B367</f>
        <v>Брус клееный профилированный Шир. 200 выс. 180</v>
      </c>
    </row>
    <row r="606" customFormat="false" ht="14.5" hidden="false" customHeight="false" outlineLevel="0" collapsed="false">
      <c r="A606" s="933" t="str">
        <f aca="false">'Прайс лист'!B368</f>
        <v>Брус клееный профилированный Шир. 160 выс. 180</v>
      </c>
    </row>
    <row r="607" customFormat="false" ht="14.5" hidden="false" customHeight="false" outlineLevel="0" collapsed="false">
      <c r="A607" s="933" t="str">
        <f aca="false">'Прайс лист'!B369</f>
        <v>Брус клееный профилированный Шир. 120 выс. 180</v>
      </c>
    </row>
    <row r="608" customFormat="false" ht="14.5" hidden="false" customHeight="false" outlineLevel="0" collapsed="false">
      <c r="A608" s="933" t="str">
        <f aca="false">'Прайс лист'!B370</f>
        <v>Брус клееный профилированный Шир. 240 выс. 160</v>
      </c>
    </row>
    <row r="609" customFormat="false" ht="14.5" hidden="false" customHeight="false" outlineLevel="0" collapsed="false">
      <c r="A609" s="933" t="str">
        <f aca="false">'Прайс лист'!B371</f>
        <v>Брус клееный профилированный Шир. 200 выс. 160</v>
      </c>
    </row>
    <row r="610" customFormat="false" ht="14.5" hidden="false" customHeight="false" outlineLevel="0" collapsed="false">
      <c r="A610" s="933" t="str">
        <f aca="false">'Прайс лист'!B372</f>
        <v>Брус клееный профилированный Шир. 160 выс. 160</v>
      </c>
    </row>
    <row r="611" customFormat="false" ht="14.5" hidden="false" customHeight="false" outlineLevel="0" collapsed="false">
      <c r="A611" s="933" t="str">
        <f aca="false">'Прайс лист'!B373</f>
        <v>Брус клееный профилированный Шир. 120 выс. 160</v>
      </c>
    </row>
    <row r="612" customFormat="false" ht="14.5" hidden="false" customHeight="false" outlineLevel="0" collapsed="false">
      <c r="A612" s="933" t="str">
        <f aca="false">'Прайс лист'!B374</f>
        <v>Брус клееный профилированный Шир. 240 выс. 145</v>
      </c>
    </row>
    <row r="613" customFormat="false" ht="14.5" hidden="false" customHeight="false" outlineLevel="0" collapsed="false">
      <c r="A613" s="933" t="str">
        <f aca="false">'Прайс лист'!B375</f>
        <v>Брус клееный профилированный Шир. 200 выс. 145</v>
      </c>
    </row>
    <row r="614" customFormat="false" ht="14.5" hidden="false" customHeight="false" outlineLevel="0" collapsed="false">
      <c r="A614" s="933" t="str">
        <f aca="false">'Прайс лист'!B376</f>
        <v>Брус клееный профилированный Шир. 160 выс. 145</v>
      </c>
    </row>
    <row r="615" customFormat="false" ht="14.5" hidden="false" customHeight="false" outlineLevel="0" collapsed="false">
      <c r="A615" s="933" t="str">
        <f aca="false">'Прайс лист'!B377</f>
        <v>Брус клееный профилированный Шир. 120 выс. 145</v>
      </c>
    </row>
    <row r="616" customFormat="false" ht="14.5" hidden="false" customHeight="false" outlineLevel="0" collapsed="false">
      <c r="A616" s="933" t="str">
        <f aca="false">'Прайс лист'!B378</f>
        <v>Брус клееный проф 1 ламель кедр Шир. 240 выс. 140</v>
      </c>
    </row>
    <row r="617" customFormat="false" ht="14.5" hidden="false" customHeight="false" outlineLevel="0" collapsed="false">
      <c r="A617" s="933" t="str">
        <f aca="false">'Прайс лист'!B379</f>
        <v>Брус клееный проф 1 ламель кедр Шир. 200 выс. 140</v>
      </c>
    </row>
    <row r="618" customFormat="false" ht="14.5" hidden="false" customHeight="false" outlineLevel="0" collapsed="false">
      <c r="A618" s="933" t="str">
        <f aca="false">'Прайс лист'!B380</f>
        <v>Брус клееный проф 1 ламель кедр Шир. 160 выс. 140</v>
      </c>
    </row>
    <row r="619" customFormat="false" ht="14.5" hidden="false" customHeight="false" outlineLevel="0" collapsed="false">
      <c r="A619" s="933" t="str">
        <f aca="false">'Прайс лист'!B381</f>
        <v>Брус клееный проф 1 ламель кедр Шир. 120 выс. 140</v>
      </c>
    </row>
    <row r="620" customFormat="false" ht="14.5" hidden="false" customHeight="false" outlineLevel="0" collapsed="false">
      <c r="A620" s="933" t="str">
        <f aca="false">'Прайс лист'!B382</f>
        <v>Брус клееный проф 2 ламель кедр Шир. 240 выс. 140</v>
      </c>
    </row>
    <row r="621" customFormat="false" ht="14.5" hidden="false" customHeight="false" outlineLevel="0" collapsed="false">
      <c r="A621" s="933" t="str">
        <f aca="false">'Прайс лист'!B383</f>
        <v>Брус клееный проф 2 ламель кедр Шир. 200 выс. 140</v>
      </c>
    </row>
    <row r="622" customFormat="false" ht="14.5" hidden="false" customHeight="false" outlineLevel="0" collapsed="false">
      <c r="A622" s="933" t="str">
        <f aca="false">'Прайс лист'!B384</f>
        <v>Брус клееный проф 2 ламель кедр Шир. 160 выс. 140</v>
      </c>
    </row>
    <row r="623" customFormat="false" ht="14.5" hidden="false" customHeight="false" outlineLevel="0" collapsed="false">
      <c r="A623" s="933" t="str">
        <f aca="false">'Прайс лист'!B385</f>
        <v>Брус клееный проф 2 ламель кедр Шир. 120 выс. 140</v>
      </c>
    </row>
    <row r="624" customFormat="false" ht="14.5" hidden="false" customHeight="false" outlineLevel="0" collapsed="false">
      <c r="A624" s="933" t="str">
        <f aca="false">'Прайс лист'!B386</f>
        <v>Брус клееный проф. лиственница Шир. 240 выс. 140</v>
      </c>
    </row>
    <row r="625" customFormat="false" ht="14.5" hidden="false" customHeight="false" outlineLevel="0" collapsed="false">
      <c r="A625" s="933" t="str">
        <f aca="false">'Прайс лист'!B387</f>
        <v>Брус клееный проф. лиственница Шир. 200 выс. 140</v>
      </c>
    </row>
    <row r="626" customFormat="false" ht="14.5" hidden="false" customHeight="false" outlineLevel="0" collapsed="false">
      <c r="A626" s="933" t="str">
        <f aca="false">'Прайс лист'!B388</f>
        <v>Брус клееный проф. лиственница Шир. 160 выс. 140</v>
      </c>
    </row>
    <row r="627" customFormat="false" ht="14.5" hidden="false" customHeight="false" outlineLevel="0" collapsed="false">
      <c r="A627" s="933" t="str">
        <f aca="false">'Прайс лист'!B389</f>
        <v>Брус клееный проф. лиственница Шир. 120 выс. 140</v>
      </c>
    </row>
    <row r="628" customFormat="false" ht="14.5" hidden="false" customHeight="false" outlineLevel="0" collapsed="false">
      <c r="A628" s="933" t="str">
        <f aca="false">'Прайс лист'!B390</f>
        <v>Проф.брус сух. 80*100мм</v>
      </c>
    </row>
    <row r="629" customFormat="false" ht="14.5" hidden="false" customHeight="false" outlineLevel="0" collapsed="false">
      <c r="A629" s="933" t="str">
        <f aca="false">'Прайс лист'!B391</f>
        <v>Проф.брус сух. 80*150мм</v>
      </c>
    </row>
    <row r="630" customFormat="false" ht="14.5" hidden="false" customHeight="false" outlineLevel="0" collapsed="false">
      <c r="A630" s="933" t="str">
        <f aca="false">'Прайс лист'!B392</f>
        <v>Проф.брус сух. 100*100мм</v>
      </c>
    </row>
    <row r="631" customFormat="false" ht="14.5" hidden="false" customHeight="false" outlineLevel="0" collapsed="false">
      <c r="A631" s="933" t="str">
        <f aca="false">'Прайс лист'!B393</f>
        <v>Проф.брус сух. 100*150мм</v>
      </c>
    </row>
    <row r="632" customFormat="false" ht="14.5" hidden="false" customHeight="false" outlineLevel="0" collapsed="false">
      <c r="A632" s="933" t="str">
        <f aca="false">'Прайс лист'!B394</f>
        <v>Проф.брус сух. 140*120мм</v>
      </c>
    </row>
    <row r="633" customFormat="false" ht="14.5" hidden="false" customHeight="false" outlineLevel="0" collapsed="false">
      <c r="A633" s="933" t="str">
        <f aca="false">'Прайс лист'!B395</f>
        <v>Проф.брус сух. 140*140мм</v>
      </c>
    </row>
    <row r="634" customFormat="false" ht="14.5" hidden="false" customHeight="false" outlineLevel="0" collapsed="false">
      <c r="A634" s="933" t="str">
        <f aca="false">'Прайс лист'!B396</f>
        <v>Проф.брус сух. 140*190мм</v>
      </c>
    </row>
    <row r="635" customFormat="false" ht="14.5" hidden="false" customHeight="false" outlineLevel="0" collapsed="false">
      <c r="A635" s="933" t="str">
        <f aca="false">'Прайс лист'!B397</f>
        <v>Проф.брус сух. 150*100мм</v>
      </c>
    </row>
    <row r="636" customFormat="false" ht="14.5" hidden="false" customHeight="false" outlineLevel="0" collapsed="false">
      <c r="A636" s="933" t="str">
        <f aca="false">'Прайс лист'!B398</f>
        <v>Проф.брус сух. 150*150мм</v>
      </c>
    </row>
    <row r="637" customFormat="false" ht="14.5" hidden="false" customHeight="false" outlineLevel="0" collapsed="false">
      <c r="A637" s="933" t="str">
        <f aca="false">'Прайс лист'!B399</f>
        <v>Проф.брус сух. 150*180мм</v>
      </c>
    </row>
    <row r="638" customFormat="false" ht="14.5" hidden="false" customHeight="false" outlineLevel="0" collapsed="false">
      <c r="A638" s="933" t="str">
        <f aca="false">'Прайс лист'!B400</f>
        <v>Проф.брус сух. 200*100мм</v>
      </c>
    </row>
    <row r="639" customFormat="false" ht="14.5" hidden="false" customHeight="false" outlineLevel="0" collapsed="false">
      <c r="A639" s="933" t="str">
        <f aca="false">'Прайс лист'!B401</f>
        <v>Проф.брус сух. 200*150мм</v>
      </c>
    </row>
    <row r="640" customFormat="false" ht="14.5" hidden="false" customHeight="false" outlineLevel="0" collapsed="false">
      <c r="A640" s="933" t="str">
        <f aca="false">'Прайс лист'!B402</f>
        <v>Проф.брус сух. 200*180мм</v>
      </c>
    </row>
    <row r="641" customFormat="false" ht="14.5" hidden="false" customHeight="false" outlineLevel="0" collapsed="false">
      <c r="A641" s="933" t="str">
        <f aca="false">'Прайс лист'!B403</f>
        <v>Проф.брус вл. 80*100мм</v>
      </c>
    </row>
    <row r="642" customFormat="false" ht="14.5" hidden="false" customHeight="false" outlineLevel="0" collapsed="false">
      <c r="A642" s="933" t="str">
        <f aca="false">'Прайс лист'!B404</f>
        <v>Проф.брус вл. 80*150мм</v>
      </c>
    </row>
    <row r="643" customFormat="false" ht="14.5" hidden="false" customHeight="false" outlineLevel="0" collapsed="false">
      <c r="A643" s="933" t="str">
        <f aca="false">'Прайс лист'!B405</f>
        <v>Проф.брус вл. 100*100мм</v>
      </c>
    </row>
    <row r="644" customFormat="false" ht="14.5" hidden="false" customHeight="false" outlineLevel="0" collapsed="false">
      <c r="A644" s="933" t="str">
        <f aca="false">'Прайс лист'!B406</f>
        <v>Проф.брус вл. 100*150мм</v>
      </c>
    </row>
    <row r="645" customFormat="false" ht="14.5" hidden="false" customHeight="false" outlineLevel="0" collapsed="false">
      <c r="A645" s="933" t="str">
        <f aca="false">'Прайс лист'!B407</f>
        <v>Проф.брус вл. 140*140мм</v>
      </c>
    </row>
    <row r="646" customFormat="false" ht="14.5" hidden="false" customHeight="false" outlineLevel="0" collapsed="false">
      <c r="A646" s="933" t="str">
        <f aca="false">'Прайс лист'!B408</f>
        <v>Проф.брус вл. 140*190мм</v>
      </c>
    </row>
    <row r="647" customFormat="false" ht="14.5" hidden="false" customHeight="false" outlineLevel="0" collapsed="false">
      <c r="A647" s="933" t="str">
        <f aca="false">'Прайс лист'!B409</f>
        <v>Проф.брус вл. 140*230мм</v>
      </c>
    </row>
    <row r="648" customFormat="false" ht="14.5" hidden="false" customHeight="false" outlineLevel="0" collapsed="false">
      <c r="A648" s="933" t="str">
        <f aca="false">'Прайс лист'!B410</f>
        <v>Проф.брус вл. 140*250мм</v>
      </c>
    </row>
    <row r="649" customFormat="false" ht="14.5" hidden="false" customHeight="false" outlineLevel="0" collapsed="false">
      <c r="A649" s="933" t="str">
        <f aca="false">'Прайс лист'!B411</f>
        <v>Проф.брус вл. 150*100мм</v>
      </c>
    </row>
    <row r="650" customFormat="false" ht="14.5" hidden="false" customHeight="false" outlineLevel="0" collapsed="false">
      <c r="A650" s="933" t="str">
        <f aca="false">'Прайс лист'!B412</f>
        <v>Проф.брус вл. 150*150мм</v>
      </c>
    </row>
    <row r="651" customFormat="false" ht="14.5" hidden="false" customHeight="false" outlineLevel="0" collapsed="false">
      <c r="A651" s="933" t="str">
        <f aca="false">'Прайс лист'!B413</f>
        <v>Проф.брус вл. 150*180мм</v>
      </c>
    </row>
    <row r="652" customFormat="false" ht="14.5" hidden="false" customHeight="false" outlineLevel="0" collapsed="false">
      <c r="A652" s="933" t="str">
        <f aca="false">'Прайс лист'!B414</f>
        <v>Проф.брус вл. 190*190мм</v>
      </c>
    </row>
    <row r="653" customFormat="false" ht="14.5" hidden="false" customHeight="false" outlineLevel="0" collapsed="false">
      <c r="A653" s="933" t="str">
        <f aca="false">'Прайс лист'!B415</f>
        <v>Проф.брус вл. 190*230мм</v>
      </c>
    </row>
    <row r="654" customFormat="false" ht="14.5" hidden="false" customHeight="false" outlineLevel="0" collapsed="false">
      <c r="A654" s="933" t="str">
        <f aca="false">'Прайс лист'!B416</f>
        <v>Проф.брус вл. 190*250мм</v>
      </c>
    </row>
    <row r="655" customFormat="false" ht="14.5" hidden="false" customHeight="false" outlineLevel="0" collapsed="false">
      <c r="A655" s="933" t="str">
        <f aca="false">'Прайс лист'!B417</f>
        <v>Проф.брус вл. 200*100мм</v>
      </c>
    </row>
    <row r="656" customFormat="false" ht="14.5" hidden="false" customHeight="false" outlineLevel="0" collapsed="false">
      <c r="A656" s="933" t="str">
        <f aca="false">'Прайс лист'!B418</f>
        <v>Проф.брус вл. 200*150мм</v>
      </c>
    </row>
    <row r="657" customFormat="false" ht="14.5" hidden="false" customHeight="false" outlineLevel="0" collapsed="false">
      <c r="A657" s="933" t="str">
        <f aca="false">'Прайс лист'!B419</f>
        <v>Проф.брус вл. 200*180мм</v>
      </c>
    </row>
    <row r="658" customFormat="false" ht="14.5" hidden="false" customHeight="false" outlineLevel="0" collapsed="false">
      <c r="A658" s="933" t="str">
        <f aca="false">'Прайс лист'!B558</f>
        <v>ГПС 100х50-1,2</v>
      </c>
    </row>
    <row r="659" customFormat="false" ht="14.5" hidden="false" customHeight="false" outlineLevel="0" collapsed="false">
      <c r="A659" s="933" t="str">
        <f aca="false">'Прайс лист'!B559</f>
        <v>ГПС 100х50-1,5</v>
      </c>
    </row>
    <row r="660" customFormat="false" ht="14.5" hidden="false" customHeight="false" outlineLevel="0" collapsed="false">
      <c r="A660" s="933" t="str">
        <f aca="false">'Прайс лист'!B560</f>
        <v>ГПС 100х50-2,0</v>
      </c>
    </row>
    <row r="661" customFormat="false" ht="14.5" hidden="false" customHeight="false" outlineLevel="0" collapsed="false">
      <c r="A661" s="933" t="str">
        <f aca="false">'Прайс лист'!B561</f>
        <v>ГПС 120х50-1,2</v>
      </c>
    </row>
    <row r="662" customFormat="false" ht="14.5" hidden="false" customHeight="false" outlineLevel="0" collapsed="false">
      <c r="A662" s="933" t="str">
        <f aca="false">'Прайс лист'!B562</f>
        <v>ГПС 120х50-1,5</v>
      </c>
    </row>
    <row r="663" customFormat="false" ht="14.5" hidden="false" customHeight="false" outlineLevel="0" collapsed="false">
      <c r="A663" s="933" t="str">
        <f aca="false">'Прайс лист'!B563</f>
        <v>ГПС 120х50-2,0</v>
      </c>
    </row>
    <row r="664" customFormat="false" ht="14.5" hidden="false" customHeight="false" outlineLevel="0" collapsed="false">
      <c r="A664" s="933" t="str">
        <f aca="false">'Прайс лист'!B564</f>
        <v>ГПС 150х50-1,2</v>
      </c>
    </row>
    <row r="665" customFormat="false" ht="14.5" hidden="false" customHeight="false" outlineLevel="0" collapsed="false">
      <c r="A665" s="933" t="str">
        <f aca="false">'Прайс лист'!B565</f>
        <v>ГПС 150х50-1,5</v>
      </c>
    </row>
    <row r="666" customFormat="false" ht="14.5" hidden="false" customHeight="false" outlineLevel="0" collapsed="false">
      <c r="A666" s="933" t="str">
        <f aca="false">'Прайс лист'!B566</f>
        <v>ГПС 150х50-2,0</v>
      </c>
    </row>
    <row r="667" customFormat="false" ht="14.5" hidden="false" customHeight="false" outlineLevel="0" collapsed="false">
      <c r="A667" s="933" t="str">
        <f aca="false">'Прайс лист'!B567</f>
        <v>ГПС 170х50-1,2</v>
      </c>
    </row>
    <row r="668" customFormat="false" ht="14.5" hidden="false" customHeight="false" outlineLevel="0" collapsed="false">
      <c r="A668" s="933" t="str">
        <f aca="false">'Прайс лист'!B568</f>
        <v>ГПС 170х50-1,5</v>
      </c>
    </row>
    <row r="669" customFormat="false" ht="14.5" hidden="false" customHeight="false" outlineLevel="0" collapsed="false">
      <c r="A669" s="933" t="str">
        <f aca="false">'Прайс лист'!B569</f>
        <v>ГПС 170х50-2,0</v>
      </c>
    </row>
    <row r="670" customFormat="false" ht="14.5" hidden="false" customHeight="false" outlineLevel="0" collapsed="false">
      <c r="A670" s="933" t="str">
        <f aca="false">'Прайс лист'!B570</f>
        <v>ГПС 200х50-1,2</v>
      </c>
    </row>
    <row r="671" customFormat="false" ht="14.5" hidden="false" customHeight="false" outlineLevel="0" collapsed="false">
      <c r="A671" s="933" t="str">
        <f aca="false">'Прайс лист'!B571</f>
        <v>ГПС 200х50-1,5</v>
      </c>
    </row>
    <row r="672" customFormat="false" ht="14.5" hidden="false" customHeight="false" outlineLevel="0" collapsed="false">
      <c r="A672" s="933" t="str">
        <f aca="false">'Прайс лист'!B572</f>
        <v>ГПС 200х50-2,0</v>
      </c>
    </row>
    <row r="673" customFormat="false" ht="14.5" hidden="false" customHeight="false" outlineLevel="0" collapsed="false">
      <c r="A673" s="933" t="str">
        <f aca="false">'Прайс лист'!B573</f>
        <v>ГПС 250х50-1,2</v>
      </c>
    </row>
    <row r="674" customFormat="false" ht="14.5" hidden="false" customHeight="false" outlineLevel="0" collapsed="false">
      <c r="A674" s="933" t="str">
        <f aca="false">'Прайс лист'!B574</f>
        <v>ГПС 250х50-1,5</v>
      </c>
    </row>
    <row r="675" customFormat="false" ht="14.5" hidden="false" customHeight="false" outlineLevel="0" collapsed="false">
      <c r="A675" s="933" t="str">
        <f aca="false">'Прайс лист'!B575</f>
        <v>ГПС 250х50-2,0</v>
      </c>
    </row>
    <row r="676" customFormat="false" ht="14.5" hidden="false" customHeight="false" outlineLevel="0" collapsed="false">
      <c r="A676" s="933" t="str">
        <f aca="false">'Прайс лист'!B576</f>
        <v>ГПС 280х50-1,2</v>
      </c>
    </row>
    <row r="677" customFormat="false" ht="14.5" hidden="false" customHeight="false" outlineLevel="0" collapsed="false">
      <c r="A677" s="933" t="str">
        <f aca="false">'Прайс лист'!B577</f>
        <v>ГПС 280х50-1,5</v>
      </c>
    </row>
    <row r="678" customFormat="false" ht="14.5" hidden="false" customHeight="false" outlineLevel="0" collapsed="false">
      <c r="A678" s="933" t="str">
        <f aca="false">'Прайс лист'!B578</f>
        <v>ГПС 280х50-2,0</v>
      </c>
    </row>
    <row r="679" customFormat="false" ht="14.5" hidden="false" customHeight="false" outlineLevel="0" collapsed="false">
      <c r="A679" s="933"/>
    </row>
    <row r="680" customFormat="false" ht="14.5" hidden="false" customHeight="false" outlineLevel="0" collapsed="false">
      <c r="A680" s="2315"/>
    </row>
    <row r="746" customFormat="false" ht="14.5" hidden="false" customHeight="false" outlineLevel="0" collapsed="false">
      <c r="AG746" s="2315" t="n">
        <v>61.3000000000001</v>
      </c>
      <c r="AH746" s="2606" t="n">
        <f aca="false">AG746*3.1415926535897/180</f>
        <v>1.06988683147249</v>
      </c>
      <c r="AI746" s="2606" t="n">
        <f aca="false">AH746+0.0005</f>
        <v>1.07038683147249</v>
      </c>
      <c r="AJ746" s="2606" t="n">
        <f aca="false">AH746-0.0005</f>
        <v>1.06938683147249</v>
      </c>
      <c r="AK746" s="2315" t="n">
        <f aca="false">IF(AND(дома!$Z$29&gt;=AJ746,дома!$Z$29&lt;=AI746),связи1!AG746,0)</f>
        <v>0</v>
      </c>
      <c r="AL746" s="2315" t="n">
        <f aca="false">IF(AND(дома!$AA$29&gt;=AJ746,дома!$AA$29&lt;=AI746),связи1!AG746,0)</f>
        <v>0</v>
      </c>
    </row>
    <row r="747" customFormat="false" ht="14.5" hidden="false" customHeight="false" outlineLevel="0" collapsed="false">
      <c r="AG747" s="2315" t="n">
        <v>61.4000000000001</v>
      </c>
      <c r="AH747" s="2606" t="n">
        <f aca="false">AG747*3.1415926535897/180</f>
        <v>1.07163216072449</v>
      </c>
      <c r="AI747" s="2606" t="n">
        <f aca="false">AH747+0.0005</f>
        <v>1.07213216072449</v>
      </c>
      <c r="AJ747" s="2606" t="n">
        <f aca="false">AH747-0.0005</f>
        <v>1.07113216072449</v>
      </c>
      <c r="AK747" s="2315" t="n">
        <f aca="false">IF(AND(дома!$Z$29&gt;=AJ747,дома!$Z$29&lt;=AI747),связи1!AG747,0)</f>
        <v>0</v>
      </c>
      <c r="AL747" s="2315" t="n">
        <f aca="false">IF(AND(дома!$AA$29&gt;=AJ747,дома!$AA$29&lt;=AI747),связи1!AG747,0)</f>
        <v>0</v>
      </c>
    </row>
    <row r="748" customFormat="false" ht="14.5" hidden="false" customHeight="false" outlineLevel="0" collapsed="false">
      <c r="AG748" s="2315" t="n">
        <v>61.5000000000001</v>
      </c>
      <c r="AH748" s="2606" t="n">
        <f aca="false">AG748*3.1415926535897/180</f>
        <v>1.07337748997648</v>
      </c>
      <c r="AI748" s="2606" t="n">
        <f aca="false">AH748+0.0005</f>
        <v>1.07387748997648</v>
      </c>
      <c r="AJ748" s="2606" t="n">
        <f aca="false">AH748-0.0005</f>
        <v>1.07287748997648</v>
      </c>
      <c r="AK748" s="2315" t="n">
        <f aca="false">IF(AND(дома!$Z$29&gt;=AJ748,дома!$Z$29&lt;=AI748),связи1!AG748,0)</f>
        <v>0</v>
      </c>
      <c r="AL748" s="2315" t="n">
        <f aca="false">IF(AND(дома!$AA$29&gt;=AJ748,дома!$AA$29&lt;=AI748),связи1!AG748,0)</f>
        <v>0</v>
      </c>
    </row>
    <row r="749" customFormat="false" ht="15.5" hidden="false" customHeight="false" outlineLevel="0" collapsed="false">
      <c r="A749" s="896" t="s">
        <v>4588</v>
      </c>
      <c r="B749" s="896" t="s">
        <v>4589</v>
      </c>
      <c r="C749" s="896" t="s">
        <v>1802</v>
      </c>
      <c r="F749" s="314" t="s">
        <v>1737</v>
      </c>
      <c r="G749" s="2315" t="s">
        <v>2542</v>
      </c>
      <c r="H749" s="2315" t="s">
        <v>854</v>
      </c>
      <c r="AG749" s="2315" t="n">
        <v>61.6000000000001</v>
      </c>
      <c r="AH749" s="2606" t="n">
        <f aca="false">AG749*3.1415926535897/180</f>
        <v>1.07512281922848</v>
      </c>
      <c r="AI749" s="2606" t="n">
        <f aca="false">AH749+0.0005</f>
        <v>1.07562281922848</v>
      </c>
      <c r="AJ749" s="2606" t="n">
        <f aca="false">AH749-0.0005</f>
        <v>1.07462281922848</v>
      </c>
      <c r="AK749" s="2315" t="n">
        <f aca="false">IF(AND(дома!$Z$29&gt;=AJ749,дома!$Z$29&lt;=AI749),связи1!AG749,0)</f>
        <v>0</v>
      </c>
      <c r="AL749" s="2315" t="n">
        <f aca="false">IF(AND(дома!$AA$29&gt;=AJ749,дома!$AA$29&lt;=AI749),связи1!AG749,0)</f>
        <v>0</v>
      </c>
    </row>
    <row r="750" customFormat="false" ht="15.5" hidden="false" customHeight="false" outlineLevel="0" collapsed="false">
      <c r="A750" s="84" t="s">
        <v>4590</v>
      </c>
      <c r="B750" s="2687"/>
      <c r="C750" s="370" t="n">
        <f aca="false">'Ввод данных'!B1501</f>
        <v>100</v>
      </c>
      <c r="F750" s="84" t="s">
        <v>1738</v>
      </c>
      <c r="G750" s="2315"/>
      <c r="H750" s="933" t="n">
        <f aca="false">'Прайс лист'!G2015</f>
        <v>500</v>
      </c>
      <c r="AG750" s="2315" t="n">
        <v>61.7000000000001</v>
      </c>
      <c r="AH750" s="2606" t="n">
        <f aca="false">AG750*3.1415926535897/180</f>
        <v>1.07686814848047</v>
      </c>
      <c r="AI750" s="2606" t="n">
        <f aca="false">AH750+0.0005</f>
        <v>1.07736814848047</v>
      </c>
      <c r="AJ750" s="2606" t="n">
        <f aca="false">AH750-0.0005</f>
        <v>1.07636814848047</v>
      </c>
      <c r="AK750" s="2315" t="n">
        <f aca="false">IF(AND(дома!$Z$29&gt;=AJ750,дома!$Z$29&lt;=AI750),связи1!AG750,0)</f>
        <v>0</v>
      </c>
      <c r="AL750" s="2315" t="n">
        <f aca="false">IF(AND(дома!$AA$29&gt;=AJ750,дома!$AA$29&lt;=AI750),связи1!AG750,0)</f>
        <v>0</v>
      </c>
    </row>
    <row r="751" customFormat="false" ht="15.5" hidden="false" customHeight="false" outlineLevel="0" collapsed="false">
      <c r="A751" s="2688" t="s">
        <v>1660</v>
      </c>
      <c r="B751" s="2687" t="n">
        <v>1100</v>
      </c>
      <c r="C751" s="370"/>
      <c r="D751" s="896" t="n">
        <v>1150</v>
      </c>
      <c r="F751" s="84" t="s">
        <v>1739</v>
      </c>
      <c r="G751" s="2315"/>
      <c r="H751" s="933" t="n">
        <f aca="false">'Прайс лист'!G2016</f>
        <v>3000</v>
      </c>
      <c r="AG751" s="2315" t="n">
        <v>61.8000000000001</v>
      </c>
      <c r="AH751" s="2606" t="n">
        <f aca="false">AG751*3.1415926535897/180</f>
        <v>1.07861347773247</v>
      </c>
      <c r="AI751" s="2606" t="n">
        <f aca="false">AH751+0.0005</f>
        <v>1.07911347773247</v>
      </c>
      <c r="AJ751" s="2606" t="n">
        <f aca="false">AH751-0.0005</f>
        <v>1.07811347773247</v>
      </c>
      <c r="AK751" s="2315" t="n">
        <f aca="false">IF(AND(дома!$Z$29&gt;=AJ751,дома!$Z$29&lt;=AI751),связи1!AG751,0)</f>
        <v>0</v>
      </c>
      <c r="AL751" s="2315" t="n">
        <f aca="false">IF(AND(дома!$AA$29&gt;=AJ751,дома!$AA$29&lt;=AI751),связи1!AG751,0)</f>
        <v>0</v>
      </c>
    </row>
    <row r="752" customFormat="false" ht="15.5" hidden="false" customHeight="false" outlineLevel="0" collapsed="false">
      <c r="A752" s="2689" t="s">
        <v>493</v>
      </c>
      <c r="B752" s="768" t="n">
        <v>0</v>
      </c>
      <c r="C752" s="370" t="n">
        <f aca="false">B752</f>
        <v>0</v>
      </c>
      <c r="F752" s="84" t="s">
        <v>1740</v>
      </c>
      <c r="G752" s="2315"/>
      <c r="H752" s="933" t="n">
        <f aca="false">'Прайс лист'!G2017</f>
        <v>20000</v>
      </c>
      <c r="AG752" s="2315"/>
      <c r="AH752" s="2606"/>
      <c r="AI752" s="2606"/>
      <c r="AJ752" s="2606"/>
      <c r="AK752" s="2315"/>
      <c r="AL752" s="2315"/>
    </row>
    <row r="753" customFormat="false" ht="15.5" hidden="false" customHeight="false" outlineLevel="0" collapsed="false">
      <c r="A753" s="2690" t="s">
        <v>1662</v>
      </c>
      <c r="B753" s="543" t="n">
        <f aca="false">'Прайс лист'!G1906</f>
        <v>1000</v>
      </c>
      <c r="C753" s="370" t="n">
        <f aca="false">C750*1000/B751</f>
        <v>90.9090909090909</v>
      </c>
      <c r="F753" s="84" t="s">
        <v>1741</v>
      </c>
      <c r="G753" s="2315"/>
      <c r="H753" s="933" t="n">
        <f aca="false">'Прайс лист'!G2018</f>
        <v>1500</v>
      </c>
      <c r="AG753" s="2315" t="n">
        <v>61.9000000000001</v>
      </c>
      <c r="AH753" s="2606" t="n">
        <f aca="false">AG753*3.1415926535897/180</f>
        <v>1.08035880698446</v>
      </c>
      <c r="AI753" s="2606" t="n">
        <f aca="false">AH753+0.0005</f>
        <v>1.08085880698446</v>
      </c>
      <c r="AJ753" s="2606" t="n">
        <f aca="false">AH753-0.0005</f>
        <v>1.07985880698446</v>
      </c>
      <c r="AK753" s="2315" t="n">
        <f aca="false">IF(AND(дома!$Z$29&gt;=AJ753,дома!$Z$29&lt;=AI753),связи1!AG753,0)</f>
        <v>0</v>
      </c>
      <c r="AL753" s="2315" t="n">
        <f aca="false">IF(AND(дома!$AA$29&gt;=AJ753,дома!$AA$29&lt;=AI753),связи1!AG753,0)</f>
        <v>0</v>
      </c>
    </row>
    <row r="754" customFormat="false" ht="15.5" hidden="false" customHeight="false" outlineLevel="0" collapsed="false">
      <c r="A754" s="2690" t="s">
        <v>1663</v>
      </c>
      <c r="B754" s="543" t="n">
        <f aca="false">'Прайс лист'!G1907</f>
        <v>1000</v>
      </c>
      <c r="C754" s="370" t="n">
        <f aca="false">C750*1000/B751</f>
        <v>90.9090909090909</v>
      </c>
      <c r="F754" s="84" t="s">
        <v>1742</v>
      </c>
      <c r="G754" s="2315"/>
      <c r="H754" s="933" t="n">
        <f aca="false">'Прайс лист'!G2019</f>
        <v>500</v>
      </c>
      <c r="AG754" s="2315"/>
      <c r="AH754" s="2606"/>
      <c r="AI754" s="2606"/>
      <c r="AJ754" s="2606"/>
      <c r="AK754" s="2315"/>
      <c r="AL754" s="2315"/>
    </row>
    <row r="755" customFormat="false" ht="15.5" hidden="false" customHeight="false" outlineLevel="0" collapsed="false">
      <c r="A755" s="2690" t="s">
        <v>1664</v>
      </c>
      <c r="B755" s="543" t="n">
        <f aca="false">'Прайс лист'!G1908</f>
        <v>1000</v>
      </c>
      <c r="C755" s="370" t="n">
        <f aca="false">C750*1000/B751</f>
        <v>90.9090909090909</v>
      </c>
      <c r="F755" s="84" t="s">
        <v>1743</v>
      </c>
      <c r="G755" s="2315"/>
      <c r="H755" s="933" t="n">
        <f aca="false">'Прайс лист'!G2020</f>
        <v>100</v>
      </c>
      <c r="AG755" s="2315"/>
      <c r="AH755" s="2606"/>
      <c r="AI755" s="2606"/>
      <c r="AJ755" s="2606"/>
      <c r="AK755" s="2315"/>
      <c r="AL755" s="2315"/>
    </row>
    <row r="756" customFormat="false" ht="15.5" hidden="false" customHeight="false" outlineLevel="0" collapsed="false">
      <c r="A756" s="2690" t="s">
        <v>1665</v>
      </c>
      <c r="B756" s="543" t="n">
        <f aca="false">'Прайс лист'!G1909</f>
        <v>1000</v>
      </c>
      <c r="C756" s="370" t="n">
        <f aca="false">C750*1000/B751</f>
        <v>90.9090909090909</v>
      </c>
      <c r="F756" s="84" t="s">
        <v>1744</v>
      </c>
      <c r="G756" s="2315"/>
      <c r="H756" s="933" t="n">
        <f aca="false">'Прайс лист'!G2021</f>
        <v>700</v>
      </c>
      <c r="AG756" s="2315"/>
      <c r="AH756" s="2606"/>
      <c r="AI756" s="2606"/>
      <c r="AJ756" s="2606"/>
      <c r="AK756" s="2315"/>
      <c r="AL756" s="2315"/>
    </row>
    <row r="757" customFormat="false" ht="14.5" hidden="false" customHeight="false" outlineLevel="0" collapsed="false">
      <c r="A757" s="2690" t="s">
        <v>1666</v>
      </c>
      <c r="B757" s="543" t="n">
        <f aca="false">'Прайс лист'!G1910</f>
        <v>1000</v>
      </c>
      <c r="C757" s="370" t="n">
        <f aca="false">C750*1000/B751</f>
        <v>90.9090909090909</v>
      </c>
      <c r="AG757" s="2315"/>
      <c r="AH757" s="2606"/>
      <c r="AI757" s="2606"/>
      <c r="AJ757" s="2606"/>
      <c r="AK757" s="2315"/>
      <c r="AL757" s="2315"/>
    </row>
    <row r="758" customFormat="false" ht="14.5" hidden="false" customHeight="false" outlineLevel="0" collapsed="false">
      <c r="A758" s="2690" t="s">
        <v>1667</v>
      </c>
      <c r="B758" s="543" t="n">
        <f aca="false">'Прайс лист'!G1911</f>
        <v>1000</v>
      </c>
      <c r="C758" s="370" t="n">
        <f aca="false">C750*1000/B751</f>
        <v>90.9090909090909</v>
      </c>
      <c r="AG758" s="2315" t="n">
        <v>62.0000000000001</v>
      </c>
      <c r="AH758" s="2606" t="n">
        <f aca="false">AG758*3.1415926535897/180</f>
        <v>1.08210413623645</v>
      </c>
      <c r="AI758" s="2606" t="n">
        <f aca="false">AH758+0.0005</f>
        <v>1.08260413623645</v>
      </c>
      <c r="AJ758" s="2606" t="n">
        <f aca="false">AH758-0.0005</f>
        <v>1.08160413623645</v>
      </c>
      <c r="AK758" s="2315" t="n">
        <f aca="false">IF(AND(дома!$Z$29&gt;=AJ758,дома!$Z$29&lt;=AI758),связи1!AG758,0)</f>
        <v>0</v>
      </c>
      <c r="AL758" s="2315" t="n">
        <f aca="false">IF(AND(дома!$AA$29&gt;=AJ758,дома!$AA$29&lt;=AI758),связи1!AG758,0)</f>
        <v>0</v>
      </c>
    </row>
    <row r="759" customFormat="false" ht="14.5" hidden="false" customHeight="false" outlineLevel="0" collapsed="false">
      <c r="A759" s="2690" t="s">
        <v>1668</v>
      </c>
      <c r="B759" s="543" t="n">
        <f aca="false">'Прайс лист'!G1912</f>
        <v>1000</v>
      </c>
      <c r="C759" s="370" t="n">
        <f aca="false">C750*1000/B751</f>
        <v>90.9090909090909</v>
      </c>
      <c r="AG759" s="2315"/>
      <c r="AH759" s="2606"/>
      <c r="AI759" s="2606"/>
      <c r="AJ759" s="2606"/>
      <c r="AK759" s="2315"/>
      <c r="AL759" s="2315"/>
    </row>
    <row r="760" customFormat="false" ht="14.5" hidden="false" customHeight="false" outlineLevel="0" collapsed="false">
      <c r="A760" s="2690" t="s">
        <v>1669</v>
      </c>
      <c r="B760" s="543" t="n">
        <f aca="false">'Прайс лист'!G1913</f>
        <v>1000</v>
      </c>
      <c r="C760" s="370" t="n">
        <f aca="false">C750*1000/B751</f>
        <v>90.9090909090909</v>
      </c>
      <c r="AG760" s="2315"/>
      <c r="AH760" s="2606"/>
      <c r="AI760" s="2606"/>
      <c r="AJ760" s="2606"/>
      <c r="AK760" s="2315"/>
      <c r="AL760" s="2315"/>
    </row>
    <row r="761" customFormat="false" ht="14.5" hidden="false" customHeight="false" outlineLevel="0" collapsed="false">
      <c r="A761" s="2690" t="s">
        <v>1670</v>
      </c>
      <c r="B761" s="543" t="n">
        <f aca="false">'Прайс лист'!G1914</f>
        <v>1000</v>
      </c>
      <c r="C761" s="370" t="n">
        <f aca="false">C750*1000/B751</f>
        <v>90.9090909090909</v>
      </c>
      <c r="AG761" s="2315"/>
      <c r="AH761" s="2606"/>
      <c r="AI761" s="2606"/>
      <c r="AJ761" s="2606"/>
      <c r="AK761" s="2315"/>
      <c r="AL761" s="2315"/>
    </row>
    <row r="762" customFormat="false" ht="14.5" hidden="false" customHeight="false" outlineLevel="0" collapsed="false">
      <c r="A762" s="2690" t="s">
        <v>1671</v>
      </c>
      <c r="B762" s="543" t="n">
        <f aca="false">'Прайс лист'!G1915</f>
        <v>1000</v>
      </c>
      <c r="C762" s="370" t="n">
        <f aca="false">C750*1000/B751</f>
        <v>90.9090909090909</v>
      </c>
      <c r="AG762" s="2315"/>
      <c r="AH762" s="2606"/>
      <c r="AI762" s="2606"/>
      <c r="AJ762" s="2606"/>
      <c r="AK762" s="2315"/>
      <c r="AL762" s="2315"/>
    </row>
    <row r="763" customFormat="false" ht="14.5" hidden="false" customHeight="false" outlineLevel="0" collapsed="false">
      <c r="A763" s="2690" t="s">
        <v>1672</v>
      </c>
      <c r="B763" s="543" t="n">
        <f aca="false">'Прайс лист'!G1916</f>
        <v>1000</v>
      </c>
      <c r="C763" s="370" t="n">
        <f aca="false">C750*1000/B751</f>
        <v>90.9090909090909</v>
      </c>
      <c r="AG763" s="2315" t="n">
        <v>62.1000000000001</v>
      </c>
      <c r="AH763" s="2606" t="n">
        <f aca="false">AG763*3.1415926535897/180</f>
        <v>1.08384946548845</v>
      </c>
      <c r="AI763" s="2606" t="n">
        <f aca="false">AH763+0.0005</f>
        <v>1.08434946548845</v>
      </c>
      <c r="AJ763" s="2606" t="n">
        <f aca="false">AH763-0.0005</f>
        <v>1.08334946548845</v>
      </c>
      <c r="AK763" s="2315" t="n">
        <f aca="false">IF(AND(дома!$Z$29&gt;=AJ763,дома!$Z$29&lt;=AI763),связи1!AG763,0)</f>
        <v>0</v>
      </c>
      <c r="AL763" s="2315" t="n">
        <f aca="false">IF(AND(дома!$AA$29&gt;=AJ763,дома!$AA$29&lt;=AI763),связи1!AG763,0)</f>
        <v>0</v>
      </c>
    </row>
    <row r="764" customFormat="false" ht="14.5" hidden="false" customHeight="false" outlineLevel="0" collapsed="false">
      <c r="A764" s="2690" t="s">
        <v>1673</v>
      </c>
      <c r="B764" s="543" t="n">
        <f aca="false">'Прайс лист'!G1917</f>
        <v>1000</v>
      </c>
      <c r="C764" s="370" t="n">
        <f aca="false">C750*1000/B751</f>
        <v>90.9090909090909</v>
      </c>
      <c r="AG764" s="2315"/>
      <c r="AH764" s="2606"/>
      <c r="AI764" s="2606"/>
      <c r="AJ764" s="2606"/>
      <c r="AK764" s="2315"/>
      <c r="AL764" s="2315"/>
    </row>
    <row r="765" customFormat="false" ht="14.5" hidden="false" customHeight="false" outlineLevel="0" collapsed="false">
      <c r="A765" s="2690" t="s">
        <v>1674</v>
      </c>
      <c r="B765" s="543" t="n">
        <f aca="false">'Прайс лист'!G1918</f>
        <v>1000</v>
      </c>
      <c r="C765" s="370" t="n">
        <f aca="false">C750*1000/B751</f>
        <v>90.9090909090909</v>
      </c>
      <c r="AG765" s="2315"/>
      <c r="AH765" s="2606"/>
      <c r="AI765" s="2606"/>
      <c r="AJ765" s="2606"/>
      <c r="AK765" s="2315"/>
      <c r="AL765" s="2315"/>
    </row>
    <row r="766" customFormat="false" ht="14.5" hidden="false" customHeight="false" outlineLevel="0" collapsed="false">
      <c r="A766" s="2690" t="s">
        <v>1675</v>
      </c>
      <c r="B766" s="543" t="n">
        <f aca="false">'Прайс лист'!G1919</f>
        <v>1000</v>
      </c>
      <c r="C766" s="370" t="n">
        <f aca="false">C750*1000/B751</f>
        <v>90.9090909090909</v>
      </c>
      <c r="AG766" s="2315"/>
      <c r="AH766" s="2606"/>
      <c r="AI766" s="2606"/>
      <c r="AJ766" s="2606"/>
      <c r="AK766" s="2315"/>
      <c r="AL766" s="2315"/>
    </row>
    <row r="767" customFormat="false" ht="14.5" hidden="false" customHeight="false" outlineLevel="0" collapsed="false">
      <c r="A767" s="2690" t="s">
        <v>1676</v>
      </c>
      <c r="B767" s="543" t="n">
        <f aca="false">'Прайс лист'!G1920</f>
        <v>1000</v>
      </c>
      <c r="C767" s="370" t="n">
        <f aca="false">C750*1000/B751</f>
        <v>90.9090909090909</v>
      </c>
      <c r="AG767" s="2315"/>
      <c r="AH767" s="2606"/>
      <c r="AI767" s="2606"/>
      <c r="AJ767" s="2606"/>
      <c r="AK767" s="2315"/>
      <c r="AL767" s="2315"/>
    </row>
    <row r="768" customFormat="false" ht="14.5" hidden="false" customHeight="false" outlineLevel="0" collapsed="false">
      <c r="A768" s="2690" t="s">
        <v>1677</v>
      </c>
      <c r="B768" s="543" t="n">
        <f aca="false">'Прайс лист'!G1921</f>
        <v>1000</v>
      </c>
      <c r="C768" s="370" t="n">
        <f aca="false">C750*1000/B751</f>
        <v>90.9090909090909</v>
      </c>
      <c r="AG768" s="2315" t="n">
        <v>62.2000000000001</v>
      </c>
      <c r="AH768" s="2606" t="n">
        <f aca="false">AG768*3.1415926535897/180</f>
        <v>1.08559479474044</v>
      </c>
      <c r="AI768" s="2606" t="n">
        <f aca="false">AH768+0.0005</f>
        <v>1.08609479474044</v>
      </c>
      <c r="AJ768" s="2606" t="n">
        <f aca="false">AH768-0.0005</f>
        <v>1.08509479474044</v>
      </c>
      <c r="AK768" s="2315" t="n">
        <f aca="false">IF(AND(дома!$Z$29&gt;=AJ768,дома!$Z$29&lt;=AI768),связи1!AG768,0)</f>
        <v>0</v>
      </c>
      <c r="AL768" s="2315" t="n">
        <f aca="false">IF(AND(дома!$AA$29&gt;=AJ768,дома!$AA$29&lt;=AI768),связи1!AG768,0)</f>
        <v>0</v>
      </c>
    </row>
    <row r="769" customFormat="false" ht="14.5" hidden="false" customHeight="false" outlineLevel="0" collapsed="false">
      <c r="A769" s="2690" t="s">
        <v>1678</v>
      </c>
      <c r="B769" s="543" t="n">
        <f aca="false">'Прайс лист'!G1922</f>
        <v>1000</v>
      </c>
      <c r="C769" s="370" t="n">
        <f aca="false">C750*1000/B751</f>
        <v>90.9090909090909</v>
      </c>
      <c r="AG769" s="2315"/>
      <c r="AH769" s="2606"/>
      <c r="AI769" s="2606"/>
      <c r="AJ769" s="2606"/>
      <c r="AK769" s="2315"/>
      <c r="AL769" s="2315"/>
    </row>
    <row r="770" customFormat="false" ht="14.5" hidden="false" customHeight="false" outlineLevel="0" collapsed="false">
      <c r="A770" s="2690" t="s">
        <v>1679</v>
      </c>
      <c r="B770" s="543" t="n">
        <f aca="false">'Прайс лист'!G1923</f>
        <v>1000</v>
      </c>
      <c r="C770" s="370" t="n">
        <f aca="false">C750*1000/B751</f>
        <v>90.9090909090909</v>
      </c>
      <c r="AG770" s="2315"/>
      <c r="AH770" s="2606"/>
      <c r="AI770" s="2606"/>
      <c r="AJ770" s="2606"/>
      <c r="AK770" s="2315"/>
      <c r="AL770" s="2315"/>
    </row>
    <row r="771" customFormat="false" ht="14.5" hidden="false" customHeight="false" outlineLevel="0" collapsed="false">
      <c r="A771" s="2690" t="s">
        <v>1680</v>
      </c>
      <c r="B771" s="543" t="n">
        <f aca="false">'Прайс лист'!G1924</f>
        <v>1000</v>
      </c>
      <c r="C771" s="370" t="n">
        <f aca="false">C750*1000/B751</f>
        <v>90.9090909090909</v>
      </c>
      <c r="AG771" s="2315"/>
      <c r="AH771" s="2606"/>
      <c r="AI771" s="2606"/>
      <c r="AJ771" s="2606"/>
      <c r="AK771" s="2315"/>
      <c r="AL771" s="2315"/>
    </row>
    <row r="772" customFormat="false" ht="14.5" hidden="false" customHeight="false" outlineLevel="0" collapsed="false">
      <c r="A772" s="2690" t="s">
        <v>1681</v>
      </c>
      <c r="B772" s="543" t="n">
        <f aca="false">'Прайс лист'!G1925</f>
        <v>1000</v>
      </c>
      <c r="C772" s="370" t="n">
        <f aca="false">C750*1000/B751</f>
        <v>90.9090909090909</v>
      </c>
      <c r="AG772" s="2315"/>
      <c r="AH772" s="2606"/>
      <c r="AI772" s="2606"/>
      <c r="AJ772" s="2606"/>
      <c r="AK772" s="2315"/>
      <c r="AL772" s="2315"/>
    </row>
    <row r="773" customFormat="false" ht="14.5" hidden="false" customHeight="false" outlineLevel="0" collapsed="false">
      <c r="A773" s="2690" t="s">
        <v>1682</v>
      </c>
      <c r="B773" s="543" t="n">
        <f aca="false">'Прайс лист'!G1926</f>
        <v>1000</v>
      </c>
      <c r="C773" s="370" t="n">
        <f aca="false">C750*1000/B751</f>
        <v>90.9090909090909</v>
      </c>
      <c r="AG773" s="2315" t="n">
        <v>62.3000000000001</v>
      </c>
      <c r="AH773" s="2606" t="n">
        <f aca="false">AG773*3.1415926535897/180</f>
        <v>1.08734012399244</v>
      </c>
      <c r="AI773" s="2606" t="n">
        <f aca="false">AH773+0.0005</f>
        <v>1.08784012399244</v>
      </c>
      <c r="AJ773" s="2606" t="n">
        <f aca="false">AH773-0.0005</f>
        <v>1.08684012399244</v>
      </c>
      <c r="AK773" s="2315" t="n">
        <f aca="false">IF(AND(дома!$Z$29&gt;=AJ773,дома!$Z$29&lt;=AI773),связи1!AG773,0)</f>
        <v>0</v>
      </c>
      <c r="AL773" s="2315" t="n">
        <f aca="false">IF(AND(дома!$AA$29&gt;=AJ773,дома!$AA$29&lt;=AI773),связи1!AG773,0)</f>
        <v>0</v>
      </c>
    </row>
    <row r="774" customFormat="false" ht="14.5" hidden="false" customHeight="false" outlineLevel="0" collapsed="false">
      <c r="A774" s="2690" t="s">
        <v>1683</v>
      </c>
      <c r="B774" s="543" t="n">
        <f aca="false">'Прайс лист'!G1927</f>
        <v>1000</v>
      </c>
      <c r="C774" s="370" t="n">
        <f aca="false">C750*1000/B751</f>
        <v>90.9090909090909</v>
      </c>
      <c r="AG774" s="2315"/>
      <c r="AH774" s="2606"/>
      <c r="AI774" s="2606"/>
      <c r="AJ774" s="2606"/>
      <c r="AK774" s="2315"/>
      <c r="AL774" s="2315"/>
    </row>
    <row r="775" customFormat="false" ht="14.5" hidden="false" customHeight="false" outlineLevel="0" collapsed="false">
      <c r="A775" s="2690" t="s">
        <v>1684</v>
      </c>
      <c r="B775" s="543" t="n">
        <f aca="false">'Прайс лист'!G1928</f>
        <v>1000</v>
      </c>
      <c r="C775" s="370" t="n">
        <f aca="false">C750*1000/B751</f>
        <v>90.9090909090909</v>
      </c>
      <c r="AG775" s="2315"/>
      <c r="AH775" s="2606"/>
      <c r="AI775" s="2606"/>
      <c r="AJ775" s="2606"/>
      <c r="AK775" s="2315"/>
      <c r="AL775" s="2315"/>
    </row>
    <row r="776" customFormat="false" ht="14.5" hidden="false" customHeight="false" outlineLevel="0" collapsed="false">
      <c r="A776" s="2690" t="s">
        <v>1685</v>
      </c>
      <c r="B776" s="543" t="n">
        <f aca="false">'Прайс лист'!G1929</f>
        <v>1000</v>
      </c>
      <c r="C776" s="370" t="n">
        <f aca="false">C750*1000/B751</f>
        <v>90.9090909090909</v>
      </c>
      <c r="AG776" s="2315"/>
      <c r="AH776" s="2606"/>
      <c r="AI776" s="2606"/>
      <c r="AJ776" s="2606"/>
      <c r="AK776" s="2315"/>
      <c r="AL776" s="2315"/>
    </row>
    <row r="777" customFormat="false" ht="14.5" hidden="false" customHeight="false" outlineLevel="0" collapsed="false">
      <c r="A777" s="2690" t="s">
        <v>1686</v>
      </c>
      <c r="B777" s="543" t="n">
        <f aca="false">'Прайс лист'!G1930</f>
        <v>1000</v>
      </c>
      <c r="C777" s="370" t="n">
        <f aca="false">C750*1000/B751</f>
        <v>90.9090909090909</v>
      </c>
      <c r="AG777" s="2315"/>
      <c r="AH777" s="2606"/>
      <c r="AI777" s="2606"/>
      <c r="AJ777" s="2606"/>
      <c r="AK777" s="2315"/>
      <c r="AL777" s="2315"/>
    </row>
    <row r="778" customFormat="false" ht="14.5" hidden="false" customHeight="false" outlineLevel="0" collapsed="false">
      <c r="A778" s="2690" t="s">
        <v>1687</v>
      </c>
      <c r="B778" s="543" t="n">
        <f aca="false">'Прайс лист'!G1931</f>
        <v>1000</v>
      </c>
      <c r="C778" s="370" t="n">
        <f aca="false">C750*1000/B751</f>
        <v>90.9090909090909</v>
      </c>
      <c r="AG778" s="2315" t="n">
        <v>62.4000000000001</v>
      </c>
      <c r="AH778" s="2606" t="n">
        <f aca="false">AG778*3.1415926535897/180</f>
        <v>1.08908545324443</v>
      </c>
      <c r="AI778" s="2606" t="n">
        <f aca="false">AH778+0.0005</f>
        <v>1.08958545324443</v>
      </c>
      <c r="AJ778" s="2606" t="n">
        <f aca="false">AH778-0.0005</f>
        <v>1.08858545324443</v>
      </c>
      <c r="AK778" s="2315" t="n">
        <f aca="false">IF(AND(дома!$Z$29&gt;=AJ778,дома!$Z$29&lt;=AI778),связи1!AG778,0)</f>
        <v>0</v>
      </c>
      <c r="AL778" s="2315" t="n">
        <f aca="false">IF(AND(дома!$AA$29&gt;=AJ778,дома!$AA$29&lt;=AI778),связи1!AG778,0)</f>
        <v>0</v>
      </c>
    </row>
    <row r="779" customFormat="false" ht="14.5" hidden="false" customHeight="false" outlineLevel="0" collapsed="false">
      <c r="A779" s="2690" t="s">
        <v>1688</v>
      </c>
      <c r="B779" s="543" t="n">
        <f aca="false">'Прайс лист'!G1932</f>
        <v>1000</v>
      </c>
      <c r="C779" s="370" t="n">
        <f aca="false">C750*1000/B751</f>
        <v>90.9090909090909</v>
      </c>
      <c r="AG779" s="2315"/>
      <c r="AH779" s="2606"/>
      <c r="AI779" s="2606"/>
      <c r="AJ779" s="2606"/>
      <c r="AK779" s="2315"/>
      <c r="AL779" s="2315"/>
    </row>
    <row r="780" customFormat="false" ht="14.5" hidden="false" customHeight="false" outlineLevel="0" collapsed="false">
      <c r="A780" s="2690" t="s">
        <v>1689</v>
      </c>
      <c r="B780" s="543" t="n">
        <f aca="false">'Прайс лист'!G1933</f>
        <v>1000</v>
      </c>
      <c r="C780" s="370" t="n">
        <f aca="false">C750*1000/B751</f>
        <v>90.9090909090909</v>
      </c>
      <c r="AG780" s="2315"/>
      <c r="AH780" s="2606"/>
      <c r="AI780" s="2606"/>
      <c r="AJ780" s="2606"/>
      <c r="AK780" s="2315"/>
      <c r="AL780" s="2315"/>
    </row>
    <row r="781" customFormat="false" ht="14.5" hidden="false" customHeight="false" outlineLevel="0" collapsed="false">
      <c r="A781" s="2690" t="s">
        <v>1690</v>
      </c>
      <c r="B781" s="543" t="n">
        <f aca="false">'Прайс лист'!G1934</f>
        <v>1000</v>
      </c>
      <c r="C781" s="370" t="n">
        <f aca="false">C750*1000/B751</f>
        <v>90.9090909090909</v>
      </c>
      <c r="AG781" s="2315"/>
      <c r="AH781" s="2606"/>
      <c r="AI781" s="2606"/>
      <c r="AJ781" s="2606"/>
      <c r="AK781" s="2315"/>
      <c r="AL781" s="2315"/>
    </row>
    <row r="782" customFormat="false" ht="14.5" hidden="false" customHeight="false" outlineLevel="0" collapsed="false">
      <c r="A782" s="2690" t="s">
        <v>1691</v>
      </c>
      <c r="B782" s="543" t="n">
        <f aca="false">'Прайс лист'!G1935</f>
        <v>1000</v>
      </c>
      <c r="C782" s="370" t="n">
        <f aca="false">C750*1000/B751</f>
        <v>90.9090909090909</v>
      </c>
      <c r="AG782" s="2315"/>
      <c r="AH782" s="2606"/>
      <c r="AI782" s="2606"/>
      <c r="AJ782" s="2606"/>
      <c r="AK782" s="2315"/>
      <c r="AL782" s="2315"/>
    </row>
    <row r="783" customFormat="false" ht="14.5" hidden="false" customHeight="false" outlineLevel="0" collapsed="false">
      <c r="A783" s="2690" t="s">
        <v>1692</v>
      </c>
      <c r="B783" s="543" t="n">
        <f aca="false">'Прайс лист'!G1936</f>
        <v>1000</v>
      </c>
      <c r="C783" s="370" t="n">
        <f aca="false">C750*1000/B751</f>
        <v>90.9090909090909</v>
      </c>
      <c r="AG783" s="2315" t="n">
        <v>62.5000000000001</v>
      </c>
      <c r="AH783" s="2606" t="n">
        <f aca="false">AG783*3.1415926535897/180</f>
        <v>1.09083078249643</v>
      </c>
      <c r="AI783" s="2606" t="n">
        <f aca="false">AH783+0.0005</f>
        <v>1.09133078249643</v>
      </c>
      <c r="AJ783" s="2606" t="n">
        <f aca="false">AH783-0.0005</f>
        <v>1.09033078249643</v>
      </c>
      <c r="AK783" s="2315" t="n">
        <f aca="false">IF(AND(дома!$Z$29&gt;=AJ783,дома!$Z$29&lt;=AI783),связи1!AG783,0)</f>
        <v>0</v>
      </c>
      <c r="AL783" s="2315" t="n">
        <f aca="false">IF(AND(дома!$AA$29&gt;=AJ783,дома!$AA$29&lt;=AI783),связи1!AG783,0)</f>
        <v>0</v>
      </c>
    </row>
    <row r="784" customFormat="false" ht="14.5" hidden="false" customHeight="false" outlineLevel="0" collapsed="false">
      <c r="A784" s="2690" t="s">
        <v>1693</v>
      </c>
      <c r="B784" s="543" t="n">
        <f aca="false">'Прайс лист'!G1937</f>
        <v>1000</v>
      </c>
      <c r="C784" s="370" t="n">
        <f aca="false">C750*1000/B751</f>
        <v>90.9090909090909</v>
      </c>
      <c r="AG784" s="2315"/>
      <c r="AH784" s="2606"/>
      <c r="AI784" s="2606"/>
      <c r="AJ784" s="2606"/>
      <c r="AK784" s="2315"/>
      <c r="AL784" s="2315"/>
    </row>
    <row r="785" customFormat="false" ht="14.5" hidden="false" customHeight="false" outlineLevel="0" collapsed="false">
      <c r="A785" s="2690" t="s">
        <v>1694</v>
      </c>
      <c r="B785" s="543" t="n">
        <f aca="false">'Прайс лист'!G1938</f>
        <v>1000</v>
      </c>
      <c r="C785" s="370" t="n">
        <f aca="false">C750*1000/B751</f>
        <v>90.9090909090909</v>
      </c>
      <c r="AG785" s="2315"/>
      <c r="AH785" s="2606"/>
      <c r="AI785" s="2606"/>
      <c r="AJ785" s="2606"/>
      <c r="AK785" s="2315"/>
      <c r="AL785" s="2315"/>
    </row>
    <row r="786" customFormat="false" ht="14.5" hidden="false" customHeight="false" outlineLevel="0" collapsed="false">
      <c r="A786" s="2690" t="s">
        <v>1695</v>
      </c>
      <c r="B786" s="543" t="n">
        <f aca="false">'Прайс лист'!G1939</f>
        <v>1000</v>
      </c>
      <c r="C786" s="370" t="n">
        <f aca="false">C750*1000/B751</f>
        <v>90.9090909090909</v>
      </c>
      <c r="AG786" s="2315"/>
      <c r="AH786" s="2606"/>
      <c r="AI786" s="2606"/>
      <c r="AJ786" s="2606"/>
      <c r="AK786" s="2315"/>
      <c r="AL786" s="2315"/>
    </row>
    <row r="787" customFormat="false" ht="14.5" hidden="false" customHeight="false" outlineLevel="0" collapsed="false">
      <c r="A787" s="2690" t="s">
        <v>1696</v>
      </c>
      <c r="B787" s="543" t="n">
        <f aca="false">'Прайс лист'!G1940</f>
        <v>1000</v>
      </c>
      <c r="C787" s="370" t="n">
        <f aca="false">C750*1000/B751</f>
        <v>90.9090909090909</v>
      </c>
      <c r="AG787" s="2315"/>
      <c r="AH787" s="2606"/>
      <c r="AI787" s="2606"/>
      <c r="AJ787" s="2606"/>
      <c r="AK787" s="2315"/>
      <c r="AL787" s="2315"/>
    </row>
    <row r="788" customFormat="false" ht="14.5" hidden="false" customHeight="false" outlineLevel="0" collapsed="false">
      <c r="A788" s="2690"/>
      <c r="B788" s="464"/>
      <c r="C788" s="370"/>
      <c r="AG788" s="2315"/>
      <c r="AH788" s="2606"/>
      <c r="AI788" s="2606"/>
      <c r="AJ788" s="2606"/>
      <c r="AK788" s="2315"/>
      <c r="AL788" s="2315"/>
    </row>
    <row r="789" customFormat="false" ht="15.5" hidden="false" customHeight="false" outlineLevel="0" collapsed="false">
      <c r="A789" s="2688" t="s">
        <v>1697</v>
      </c>
      <c r="B789" s="464"/>
      <c r="C789" s="370"/>
      <c r="AG789" s="2315"/>
      <c r="AH789" s="2606"/>
      <c r="AI789" s="2606"/>
      <c r="AJ789" s="2606"/>
      <c r="AK789" s="2315"/>
      <c r="AL789" s="2315"/>
    </row>
    <row r="790" customFormat="false" ht="14.5" hidden="false" customHeight="false" outlineLevel="0" collapsed="false">
      <c r="A790" s="2691" t="s">
        <v>493</v>
      </c>
      <c r="B790" s="768" t="n">
        <v>0</v>
      </c>
      <c r="C790" s="398"/>
      <c r="AG790" s="2315" t="n">
        <v>62.6000000000001</v>
      </c>
      <c r="AH790" s="2606" t="n">
        <f aca="false">AG790*3.1415926535897/180</f>
        <v>1.09257611174842</v>
      </c>
      <c r="AI790" s="2606" t="n">
        <f aca="false">AH790+0.0005</f>
        <v>1.09307611174842</v>
      </c>
      <c r="AJ790" s="2606" t="n">
        <f aca="false">AH790-0.0005</f>
        <v>1.09207611174842</v>
      </c>
      <c r="AK790" s="2315" t="n">
        <f aca="false">IF(AND(дома!$Z$29&gt;=AJ790,дома!$Z$29&lt;=AI790),связи1!AG790,0)</f>
        <v>0</v>
      </c>
      <c r="AL790" s="2315" t="n">
        <f aca="false">IF(AND(дома!$AA$29&gt;=AJ790,дома!$AA$29&lt;=AI790),связи1!AG790,0)</f>
        <v>0</v>
      </c>
    </row>
    <row r="791" customFormat="false" ht="14.5" hidden="false" customHeight="false" outlineLevel="0" collapsed="false">
      <c r="A791" s="2690" t="s">
        <v>1699</v>
      </c>
      <c r="B791" s="933" t="n">
        <f aca="false">'Прайс лист'!G1946</f>
        <v>160</v>
      </c>
      <c r="C791" s="933" t="n">
        <f aca="false">(C750*(D751/1000)*2.2*2)*100/1000</f>
        <v>50.6</v>
      </c>
      <c r="D791" s="1150" t="n">
        <f aca="false">C791/'Прайс лист'!D1946*B791</f>
        <v>4261.05263157895</v>
      </c>
      <c r="AG791" s="2315" t="n">
        <v>62.7000000000001</v>
      </c>
      <c r="AH791" s="2606" t="n">
        <f aca="false">AG791*3.1415926535897/180</f>
        <v>1.09432144100041</v>
      </c>
      <c r="AI791" s="2606" t="n">
        <f aca="false">AH791+0.0005</f>
        <v>1.09482144100041</v>
      </c>
      <c r="AJ791" s="2606" t="n">
        <f aca="false">AH791-0.0005</f>
        <v>1.09382144100041</v>
      </c>
      <c r="AK791" s="2315" t="n">
        <f aca="false">IF(AND(дома!$Z$29&gt;=AJ791,дома!$Z$29&lt;=AI791),связи1!AG791,0)</f>
        <v>0</v>
      </c>
      <c r="AL791" s="2315" t="n">
        <f aca="false">IF(AND(дома!$AA$29&gt;=AJ791,дома!$AA$29&lt;=AI791),связи1!AG791,0)</f>
        <v>0</v>
      </c>
    </row>
    <row r="792" customFormat="false" ht="14.5" hidden="false" customHeight="false" outlineLevel="0" collapsed="false">
      <c r="A792" s="2690" t="s">
        <v>1700</v>
      </c>
      <c r="B792" s="933" t="n">
        <f aca="false">'Прайс лист'!G1947</f>
        <v>180</v>
      </c>
      <c r="C792" s="2315" t="n">
        <f aca="false">(C750*(D751/1000)*2.2*2)*100/1000</f>
        <v>50.6</v>
      </c>
      <c r="D792" s="896" t="n">
        <f aca="false">C792/'Прайс лист'!D1947*B792</f>
        <v>4554</v>
      </c>
      <c r="AG792" s="2315" t="n">
        <v>62.8000000000001</v>
      </c>
      <c r="AH792" s="2606" t="n">
        <f aca="false">AG792*3.1415926535897/180</f>
        <v>1.09606677025241</v>
      </c>
      <c r="AI792" s="2606" t="n">
        <f aca="false">AH792+0.0005</f>
        <v>1.09656677025241</v>
      </c>
      <c r="AJ792" s="2606" t="n">
        <f aca="false">AH792-0.0005</f>
        <v>1.09556677025241</v>
      </c>
      <c r="AK792" s="2315" t="n">
        <f aca="false">IF(AND(дома!$Z$29&gt;=AJ792,дома!$Z$29&lt;=AI792),связи1!AG792,0)</f>
        <v>0</v>
      </c>
      <c r="AL792" s="2315" t="n">
        <f aca="false">IF(AND(дома!$AA$29&gt;=AJ792,дома!$AA$29&lt;=AI792),связи1!AG792,0)</f>
        <v>0</v>
      </c>
    </row>
    <row r="793" customFormat="false" ht="14.5" hidden="false" customHeight="false" outlineLevel="0" collapsed="false">
      <c r="A793" s="2690" t="s">
        <v>1701</v>
      </c>
      <c r="B793" s="933" t="n">
        <f aca="false">'Прайс лист'!G1948</f>
        <v>190</v>
      </c>
      <c r="C793" s="2315" t="n">
        <f aca="false">(C750*(D751/1000)*2.2*2)*100/1000</f>
        <v>50.6</v>
      </c>
      <c r="D793" s="896" t="n">
        <f aca="false">C793/'Прайс лист'!D1948*B793</f>
        <v>1602.33333333333</v>
      </c>
      <c r="AG793" s="2315"/>
      <c r="AH793" s="2606"/>
      <c r="AI793" s="2606"/>
      <c r="AJ793" s="2606"/>
      <c r="AK793" s="2315"/>
      <c r="AL793" s="2315"/>
    </row>
    <row r="794" customFormat="false" ht="14.5" hidden="false" customHeight="false" outlineLevel="0" collapsed="false">
      <c r="A794" s="2690" t="s">
        <v>1702</v>
      </c>
      <c r="B794" s="933" t="n">
        <f aca="false">'Прайс лист'!G1949</f>
        <v>200</v>
      </c>
      <c r="C794" s="2315" t="n">
        <f aca="false">(C750*(D751/1000)*2.2*2)*100/1000</f>
        <v>50.6</v>
      </c>
      <c r="D794" s="896" t="n">
        <f aca="false">C794/'Прайс лист'!D1949*B794</f>
        <v>5060</v>
      </c>
      <c r="AG794" s="2315" t="n">
        <v>62.9000000000001</v>
      </c>
      <c r="AH794" s="2606" t="n">
        <f aca="false">AG794*3.1415926535897/180</f>
        <v>1.0978120995044</v>
      </c>
      <c r="AI794" s="2606" t="n">
        <f aca="false">AH794+0.0005</f>
        <v>1.0983120995044</v>
      </c>
      <c r="AJ794" s="2606" t="n">
        <f aca="false">AH794-0.0005</f>
        <v>1.0973120995044</v>
      </c>
      <c r="AK794" s="2315" t="n">
        <f aca="false">IF(AND(дома!$Z$29&gt;=AJ794,дома!$Z$29&lt;=AI794),связи1!AG794,0)</f>
        <v>0</v>
      </c>
      <c r="AL794" s="2315" t="n">
        <f aca="false">IF(AND(дома!$AA$29&gt;=AJ794,дома!$AA$29&lt;=AI794),связи1!AG794,0)</f>
        <v>0</v>
      </c>
    </row>
    <row r="795" customFormat="false" ht="14.5" hidden="false" customHeight="false" outlineLevel="0" collapsed="false">
      <c r="A795" s="2690" t="s">
        <v>1703</v>
      </c>
      <c r="B795" s="933" t="n">
        <f aca="false">'Прайс лист'!G1950</f>
        <v>300</v>
      </c>
      <c r="C795" s="2315" t="n">
        <f aca="false">(C750*(D751/1000)*2.2*2)*100/1000</f>
        <v>50.6</v>
      </c>
      <c r="D795" s="896" t="n">
        <f aca="false">C795/'Прайс лист'!D1950*B795</f>
        <v>6072</v>
      </c>
      <c r="AG795" s="2315" t="n">
        <v>63.0000000000001</v>
      </c>
      <c r="AH795" s="2606" t="n">
        <f aca="false">AG795*3.1415926535897/180</f>
        <v>1.0995574287564</v>
      </c>
      <c r="AI795" s="2606" t="n">
        <f aca="false">AH795+0.0005</f>
        <v>1.1000574287564</v>
      </c>
      <c r="AJ795" s="2606" t="n">
        <f aca="false">AH795-0.0005</f>
        <v>1.0990574287564</v>
      </c>
      <c r="AK795" s="2315" t="n">
        <f aca="false">IF(AND(дома!$Z$29&gt;=AJ795,дома!$Z$29&lt;=AI795),связи1!AG795,0)</f>
        <v>0</v>
      </c>
      <c r="AL795" s="2315" t="n">
        <f aca="false">IF(AND(дома!$AA$29&gt;=AJ795,дома!$AA$29&lt;=AI795),связи1!AG795,0)</f>
        <v>0</v>
      </c>
    </row>
    <row r="796" customFormat="false" ht="14.5" hidden="false" customHeight="false" outlineLevel="0" collapsed="false">
      <c r="A796" s="2690" t="s">
        <v>1704</v>
      </c>
      <c r="B796" s="933" t="n">
        <f aca="false">'Прайс лист'!G1951</f>
        <v>500</v>
      </c>
      <c r="C796" s="2315" t="n">
        <f aca="false">(C750*(D751/1000)*2.2*2)*100/1000</f>
        <v>50.6</v>
      </c>
      <c r="D796" s="896" t="n">
        <f aca="false">C796/'Прайс лист'!D1951*B796</f>
        <v>8433.33333333333</v>
      </c>
      <c r="AG796" s="2315" t="n">
        <v>63.1000000000001</v>
      </c>
      <c r="AH796" s="2606" t="n">
        <f aca="false">AG796*3.1415926535897/180</f>
        <v>1.10130275800839</v>
      </c>
      <c r="AI796" s="2606" t="n">
        <f aca="false">AH796+0.0005</f>
        <v>1.10180275800839</v>
      </c>
      <c r="AJ796" s="2606" t="n">
        <f aca="false">AH796-0.0005</f>
        <v>1.10080275800839</v>
      </c>
      <c r="AK796" s="2315" t="n">
        <f aca="false">IF(AND(дома!$Z$29&gt;=AJ796,дома!$Z$29&lt;=AI796),связи1!AG796,0)</f>
        <v>0</v>
      </c>
      <c r="AL796" s="2315" t="n">
        <f aca="false">IF(AND(дома!$AA$29&gt;=AJ796,дома!$AA$29&lt;=AI796),связи1!AG796,0)</f>
        <v>0</v>
      </c>
    </row>
    <row r="797" customFormat="false" ht="14.5" hidden="false" customHeight="false" outlineLevel="0" collapsed="false">
      <c r="AG797" s="2315" t="n">
        <v>63.2000000000001</v>
      </c>
      <c r="AH797" s="2606" t="n">
        <f aca="false">AG797*3.1415926535897/180</f>
        <v>1.10304808726039</v>
      </c>
      <c r="AI797" s="2606" t="n">
        <f aca="false">AH797+0.0005</f>
        <v>1.10354808726039</v>
      </c>
      <c r="AJ797" s="2606" t="n">
        <f aca="false">AH797-0.0005</f>
        <v>1.10254808726039</v>
      </c>
      <c r="AK797" s="2315" t="n">
        <f aca="false">IF(AND(дома!$Z$29&gt;=AJ797,дома!$Z$29&lt;=AI797),связи1!AG797,0)</f>
        <v>0</v>
      </c>
      <c r="AL797" s="2315" t="n">
        <f aca="false">IF(AND(дома!$AA$29&gt;=AJ797,дома!$AA$29&lt;=AI797),связи1!AG797,0)</f>
        <v>0</v>
      </c>
    </row>
    <row r="798" customFormat="false" ht="14.5" hidden="false" customHeight="false" outlineLevel="0" collapsed="false">
      <c r="AG798" s="2315" t="n">
        <v>63.3000000000001</v>
      </c>
      <c r="AH798" s="2606" t="n">
        <f aca="false">AG798*3.1415926535897/180</f>
        <v>1.10479341651238</v>
      </c>
      <c r="AI798" s="2606" t="n">
        <f aca="false">AH798+0.0005</f>
        <v>1.10529341651238</v>
      </c>
      <c r="AJ798" s="2606" t="n">
        <f aca="false">AH798-0.0005</f>
        <v>1.10429341651238</v>
      </c>
      <c r="AK798" s="2315" t="n">
        <f aca="false">IF(AND(дома!$Z$29&gt;=AJ798,дома!$Z$29&lt;=AI798),связи1!AG798,0)</f>
        <v>0</v>
      </c>
      <c r="AL798" s="2315" t="n">
        <f aca="false">IF(AND(дома!$AA$29&gt;=AJ798,дома!$AA$29&lt;=AI798),связи1!AG798,0)</f>
        <v>0</v>
      </c>
    </row>
    <row r="799" customFormat="false" ht="15.5" hidden="false" customHeight="false" outlineLevel="0" collapsed="false">
      <c r="A799" s="2688" t="s">
        <v>2529</v>
      </c>
      <c r="AG799" s="2315" t="n">
        <v>63.4000000000001</v>
      </c>
      <c r="AH799" s="2606" t="n">
        <f aca="false">AG799*3.1415926535897/180</f>
        <v>1.10653874576437</v>
      </c>
      <c r="AI799" s="2606" t="n">
        <f aca="false">AH799+0.0005</f>
        <v>1.10703874576437</v>
      </c>
      <c r="AJ799" s="2606" t="n">
        <f aca="false">AH799-0.0005</f>
        <v>1.10603874576437</v>
      </c>
      <c r="AK799" s="2315" t="n">
        <f aca="false">IF(AND(дома!$Z$29&gt;=AJ799,дома!$Z$29&lt;=AI799),связи1!AG799,0)</f>
        <v>0</v>
      </c>
      <c r="AL799" s="2315" t="n">
        <f aca="false">IF(AND(дома!$AA$29&gt;=AJ799,дома!$AA$29&lt;=AI799),связи1!AG799,0)</f>
        <v>0</v>
      </c>
    </row>
    <row r="800" customFormat="false" ht="14.5" hidden="false" customHeight="false" outlineLevel="0" collapsed="false">
      <c r="A800" s="2692" t="s">
        <v>493</v>
      </c>
      <c r="B800" s="2315" t="n">
        <v>0</v>
      </c>
      <c r="C800" s="2315"/>
      <c r="AG800" s="2315" t="n">
        <v>63.5000000000001</v>
      </c>
      <c r="AH800" s="2606" t="n">
        <f aca="false">AG800*3.1415926535897/180</f>
        <v>1.10828407501637</v>
      </c>
      <c r="AI800" s="2606" t="n">
        <f aca="false">AH800+0.0005</f>
        <v>1.10878407501637</v>
      </c>
      <c r="AJ800" s="2606" t="n">
        <f aca="false">AH800-0.0005</f>
        <v>1.10778407501637</v>
      </c>
      <c r="AK800" s="2315" t="n">
        <f aca="false">IF(AND(дома!$Z$29&gt;=AJ800,дома!$Z$29&lt;=AI800),связи1!AG800,0)</f>
        <v>0</v>
      </c>
      <c r="AL800" s="2315" t="n">
        <f aca="false">IF(AND(дома!$AA$29&gt;=AJ800,дома!$AA$29&lt;=AI800),связи1!AG800,0)</f>
        <v>0</v>
      </c>
    </row>
    <row r="801" customFormat="false" ht="14.5" hidden="false" customHeight="false" outlineLevel="0" collapsed="false">
      <c r="A801" s="2692" t="s">
        <v>2530</v>
      </c>
      <c r="B801" s="933" t="n">
        <f aca="false">'Прайс лист'!G1956</f>
        <v>300</v>
      </c>
      <c r="C801" s="2315"/>
      <c r="AG801" s="2315" t="n">
        <v>63.6000000000001</v>
      </c>
      <c r="AH801" s="2606" t="n">
        <f aca="false">AG801*3.1415926535897/180</f>
        <v>1.11002940426836</v>
      </c>
      <c r="AI801" s="2606" t="n">
        <f aca="false">AH801+0.0005</f>
        <v>1.11052940426836</v>
      </c>
      <c r="AJ801" s="2606" t="n">
        <f aca="false">AH801-0.0005</f>
        <v>1.10952940426836</v>
      </c>
      <c r="AK801" s="2315" t="n">
        <f aca="false">IF(AND(дома!$Z$29&gt;=AJ801,дома!$Z$29&lt;=AI801),связи1!AG801,0)</f>
        <v>0</v>
      </c>
      <c r="AL801" s="2315" t="n">
        <f aca="false">IF(AND(дома!$AA$29&gt;=AJ801,дома!$AA$29&lt;=AI801),связи1!AG801,0)</f>
        <v>0</v>
      </c>
    </row>
    <row r="802" customFormat="false" ht="14.5" hidden="false" customHeight="false" outlineLevel="0" collapsed="false">
      <c r="A802" s="2692" t="s">
        <v>4591</v>
      </c>
      <c r="B802" s="933" t="n">
        <f aca="false">'Прайс лист'!G1956</f>
        <v>300</v>
      </c>
      <c r="C802" s="2315"/>
      <c r="AG802" s="2315" t="n">
        <v>63.7000000000001</v>
      </c>
      <c r="AH802" s="2606" t="n">
        <f aca="false">AG802*3.1415926535897/180</f>
        <v>1.11177473352036</v>
      </c>
      <c r="AI802" s="2606" t="n">
        <f aca="false">AH802+0.0005</f>
        <v>1.11227473352036</v>
      </c>
      <c r="AJ802" s="2606" t="n">
        <f aca="false">AH802-0.0005</f>
        <v>1.11127473352036</v>
      </c>
      <c r="AK802" s="2315" t="n">
        <f aca="false">IF(AND(дома!$Z$29&gt;=AJ802,дома!$Z$29&lt;=AI802),связи1!AG802,0)</f>
        <v>0</v>
      </c>
      <c r="AL802" s="2315" t="n">
        <f aca="false">IF(AND(дома!$AA$29&gt;=AJ802,дома!$AA$29&lt;=AI802),связи1!AG802,0)</f>
        <v>0</v>
      </c>
    </row>
    <row r="803" customFormat="false" ht="14.5" hidden="false" customHeight="false" outlineLevel="0" collapsed="false">
      <c r="A803" s="2692" t="s">
        <v>4592</v>
      </c>
      <c r="B803" s="933" t="n">
        <f aca="false">'Прайс лист'!G1956</f>
        <v>300</v>
      </c>
      <c r="C803" s="2315"/>
      <c r="AG803" s="2315" t="n">
        <v>63.8000000000001</v>
      </c>
      <c r="AH803" s="2606" t="n">
        <f aca="false">AG803*3.1415926535897/180</f>
        <v>1.11352006277235</v>
      </c>
      <c r="AI803" s="2606" t="n">
        <f aca="false">AH803+0.0005</f>
        <v>1.11402006277235</v>
      </c>
      <c r="AJ803" s="2606" t="n">
        <f aca="false">AH803-0.0005</f>
        <v>1.11302006277235</v>
      </c>
      <c r="AK803" s="2315" t="n">
        <f aca="false">IF(AND(дома!$Z$29&gt;=AJ803,дома!$Z$29&lt;=AI803),связи1!AG803,0)</f>
        <v>0</v>
      </c>
      <c r="AL803" s="2315" t="n">
        <f aca="false">IF(AND(дома!$AA$29&gt;=AJ803,дома!$AA$29&lt;=AI803),связи1!AG803,0)</f>
        <v>0</v>
      </c>
    </row>
    <row r="804" customFormat="false" ht="14.5" hidden="false" customHeight="false" outlineLevel="0" collapsed="false">
      <c r="AG804" s="2315" t="n">
        <v>63.9000000000001</v>
      </c>
      <c r="AH804" s="2606" t="n">
        <f aca="false">AG804*3.1415926535897/180</f>
        <v>1.11526539202435</v>
      </c>
      <c r="AI804" s="2606" t="n">
        <f aca="false">AH804+0.0005</f>
        <v>1.11576539202435</v>
      </c>
      <c r="AJ804" s="2606" t="n">
        <f aca="false">AH804-0.0005</f>
        <v>1.11476539202435</v>
      </c>
      <c r="AK804" s="2315" t="n">
        <f aca="false">IF(AND(дома!$Z$29&gt;=AJ804,дома!$Z$29&lt;=AI804),связи1!AG804,0)</f>
        <v>0</v>
      </c>
      <c r="AL804" s="2315" t="n">
        <f aca="false">IF(AND(дома!$AA$29&gt;=AJ804,дома!$AA$29&lt;=AI804),связи1!AG804,0)</f>
        <v>0</v>
      </c>
    </row>
    <row r="805" customFormat="false" ht="14.5" hidden="false" customHeight="false" outlineLevel="0" collapsed="false">
      <c r="AG805" s="2315" t="n">
        <v>64.0000000000001</v>
      </c>
      <c r="AH805" s="2606" t="n">
        <f aca="false">AG805*3.1415926535897/180</f>
        <v>1.11701072127634</v>
      </c>
      <c r="AI805" s="2606" t="n">
        <f aca="false">AH805+0.0005</f>
        <v>1.11751072127634</v>
      </c>
      <c r="AJ805" s="2606" t="n">
        <f aca="false">AH805-0.0005</f>
        <v>1.11651072127634</v>
      </c>
      <c r="AK805" s="2315" t="n">
        <f aca="false">IF(AND(дома!$Z$29&gt;=AJ805,дома!$Z$29&lt;=AI805),связи1!AG805,0)</f>
        <v>0</v>
      </c>
      <c r="AL805" s="2315" t="n">
        <f aca="false">IF(AND(дома!$AA$29&gt;=AJ805,дома!$AA$29&lt;=AI805),связи1!AG805,0)</f>
        <v>0</v>
      </c>
    </row>
    <row r="806" customFormat="false" ht="15.5" hidden="false" customHeight="false" outlineLevel="0" collapsed="false">
      <c r="A806" s="2693" t="s">
        <v>1707</v>
      </c>
      <c r="AG806" s="2315" t="n">
        <v>64.1000000000001</v>
      </c>
      <c r="AH806" s="2606" t="n">
        <f aca="false">AG806*3.1415926535897/180</f>
        <v>1.11875605052833</v>
      </c>
      <c r="AI806" s="2606" t="n">
        <f aca="false">AH806+0.0005</f>
        <v>1.11925605052833</v>
      </c>
      <c r="AJ806" s="2606" t="n">
        <f aca="false">AH806-0.0005</f>
        <v>1.11825605052833</v>
      </c>
      <c r="AK806" s="2315" t="n">
        <f aca="false">IF(AND(дома!$Z$29&gt;=AJ806,дома!$Z$29&lt;=AI806),связи1!AG806,0)</f>
        <v>0</v>
      </c>
      <c r="AL806" s="2315" t="n">
        <f aca="false">IF(AND(дома!$AA$29&gt;=AJ806,дома!$AA$29&lt;=AI806),связи1!AG806,0)</f>
        <v>0</v>
      </c>
    </row>
    <row r="807" customFormat="false" ht="14.5" hidden="false" customHeight="false" outlineLevel="0" collapsed="false">
      <c r="A807" s="2690" t="s">
        <v>1708</v>
      </c>
      <c r="B807" s="933" t="n">
        <f aca="false">'Прайс лист'!G1961</f>
        <v>2000</v>
      </c>
      <c r="C807" s="2315"/>
      <c r="AG807" s="2315" t="n">
        <v>64.2000000000001</v>
      </c>
      <c r="AH807" s="2606" t="n">
        <f aca="false">AG807*3.1415926535897/180</f>
        <v>1.12050137978033</v>
      </c>
      <c r="AI807" s="2606" t="n">
        <f aca="false">AH807+0.0005</f>
        <v>1.12100137978033</v>
      </c>
      <c r="AJ807" s="2606" t="n">
        <f aca="false">AH807-0.0005</f>
        <v>1.12000137978033</v>
      </c>
      <c r="AK807" s="2315" t="n">
        <f aca="false">IF(AND(дома!$Z$29&gt;=AJ807,дома!$Z$29&lt;=AI807),связи1!AG807,0)</f>
        <v>0</v>
      </c>
      <c r="AL807" s="2315" t="n">
        <f aca="false">IF(AND(дома!$AA$29&gt;=AJ807,дома!$AA$29&lt;=AI807),связи1!AG807,0)</f>
        <v>0</v>
      </c>
    </row>
    <row r="808" customFormat="false" ht="14.5" hidden="false" customHeight="false" outlineLevel="0" collapsed="false">
      <c r="A808" s="2690" t="s">
        <v>1709</v>
      </c>
      <c r="B808" s="933" t="n">
        <f aca="false">'Прайс лист'!G1962</f>
        <v>2000</v>
      </c>
      <c r="C808" s="2315"/>
      <c r="AG808" s="2315" t="n">
        <v>64.3000000000001</v>
      </c>
      <c r="AH808" s="2606" t="n">
        <f aca="false">AG808*3.1415926535897/180</f>
        <v>1.12224670903232</v>
      </c>
      <c r="AI808" s="2606" t="n">
        <f aca="false">AH808+0.0005</f>
        <v>1.12274670903232</v>
      </c>
      <c r="AJ808" s="2606" t="n">
        <f aca="false">AH808-0.0005</f>
        <v>1.12174670903232</v>
      </c>
      <c r="AK808" s="2315" t="n">
        <f aca="false">IF(AND(дома!$Z$29&gt;=AJ808,дома!$Z$29&lt;=AI808),связи1!AG808,0)</f>
        <v>0</v>
      </c>
      <c r="AL808" s="2315" t="n">
        <f aca="false">IF(AND(дома!$AA$29&gt;=AJ808,дома!$AA$29&lt;=AI808),связи1!AG808,0)</f>
        <v>0</v>
      </c>
    </row>
    <row r="809" customFormat="false" ht="14.5" hidden="false" customHeight="false" outlineLevel="0" collapsed="false">
      <c r="A809" s="2690" t="s">
        <v>1710</v>
      </c>
      <c r="B809" s="933" t="n">
        <f aca="false">'Прайс лист'!G1963</f>
        <v>2000</v>
      </c>
      <c r="C809" s="2315"/>
      <c r="AG809" s="2315" t="n">
        <v>64.4000000000001</v>
      </c>
      <c r="AH809" s="2606" t="n">
        <f aca="false">AG809*3.1415926535897/180</f>
        <v>1.12399203828432</v>
      </c>
      <c r="AI809" s="2606" t="n">
        <f aca="false">AH809+0.0005</f>
        <v>1.12449203828432</v>
      </c>
      <c r="AJ809" s="2606" t="n">
        <f aca="false">AH809-0.0005</f>
        <v>1.12349203828432</v>
      </c>
      <c r="AK809" s="2315" t="n">
        <f aca="false">IF(AND(дома!$Z$29&gt;=AJ809,дома!$Z$29&lt;=AI809),связи1!AG809,0)</f>
        <v>0</v>
      </c>
      <c r="AL809" s="2315" t="n">
        <f aca="false">IF(AND(дома!$AA$29&gt;=AJ809,дома!$AA$29&lt;=AI809),связи1!AG809,0)</f>
        <v>0</v>
      </c>
    </row>
    <row r="810" customFormat="false" ht="14.5" hidden="false" customHeight="false" outlineLevel="0" collapsed="false">
      <c r="A810" s="2690" t="s">
        <v>1711</v>
      </c>
      <c r="B810" s="933" t="n">
        <f aca="false">'Прайс лист'!G1964</f>
        <v>2000</v>
      </c>
      <c r="C810" s="2315"/>
      <c r="AG810" s="2315" t="n">
        <v>64.5000000000001</v>
      </c>
      <c r="AH810" s="2606" t="n">
        <f aca="false">AG810*3.1415926535897/180</f>
        <v>1.12573736753631</v>
      </c>
      <c r="AI810" s="2606" t="n">
        <f aca="false">AH810+0.0005</f>
        <v>1.12623736753631</v>
      </c>
      <c r="AJ810" s="2606" t="n">
        <f aca="false">AH810-0.0005</f>
        <v>1.12523736753631</v>
      </c>
      <c r="AK810" s="2315" t="n">
        <f aca="false">IF(AND(дома!$Z$29&gt;=AJ810,дома!$Z$29&lt;=AI810),связи1!AG810,0)</f>
        <v>0</v>
      </c>
      <c r="AL810" s="2315" t="n">
        <f aca="false">IF(AND(дома!$AA$29&gt;=AJ810,дома!$AA$29&lt;=AI810),связи1!AG810,0)</f>
        <v>0</v>
      </c>
    </row>
    <row r="811" customFormat="false" ht="14.5" hidden="false" customHeight="false" outlineLevel="0" collapsed="false">
      <c r="A811" s="2690" t="s">
        <v>1712</v>
      </c>
      <c r="B811" s="933" t="n">
        <f aca="false">'Прайс лист'!G1965</f>
        <v>2000</v>
      </c>
      <c r="C811" s="2315"/>
      <c r="AG811" s="2315" t="n">
        <v>64.6000000000001</v>
      </c>
      <c r="AH811" s="2606" t="n">
        <f aca="false">AG811*3.1415926535897/180</f>
        <v>1.12748269678831</v>
      </c>
      <c r="AI811" s="2606" t="n">
        <f aca="false">AH811+0.0005</f>
        <v>1.1279826967883</v>
      </c>
      <c r="AJ811" s="2606" t="n">
        <f aca="false">AH811-0.0005</f>
        <v>1.12698269678831</v>
      </c>
      <c r="AK811" s="2315" t="n">
        <f aca="false">IF(AND(дома!$Z$29&gt;=AJ811,дома!$Z$29&lt;=AI811),связи1!AG811,0)</f>
        <v>0</v>
      </c>
      <c r="AL811" s="2315" t="n">
        <f aca="false">IF(AND(дома!$AA$29&gt;=AJ811,дома!$AA$29&lt;=AI811),связи1!AG811,0)</f>
        <v>0</v>
      </c>
    </row>
    <row r="812" customFormat="false" ht="14.5" hidden="false" customHeight="false" outlineLevel="0" collapsed="false">
      <c r="A812" s="2690" t="s">
        <v>1713</v>
      </c>
      <c r="B812" s="933" t="n">
        <f aca="false">'Прайс лист'!G1966</f>
        <v>2000</v>
      </c>
      <c r="C812" s="2315"/>
      <c r="AG812" s="2315" t="n">
        <v>64.7000000000001</v>
      </c>
      <c r="AH812" s="2606" t="n">
        <f aca="false">AG812*3.1415926535897/180</f>
        <v>1.1292280260403</v>
      </c>
      <c r="AI812" s="2606" t="n">
        <f aca="false">AH812+0.0005</f>
        <v>1.1297280260403</v>
      </c>
      <c r="AJ812" s="2606" t="n">
        <f aca="false">AH812-0.0005</f>
        <v>1.1287280260403</v>
      </c>
      <c r="AK812" s="2315" t="n">
        <f aca="false">IF(AND(дома!$Z$29&gt;=AJ812,дома!$Z$29&lt;=AI812),связи1!AG812,0)</f>
        <v>0</v>
      </c>
      <c r="AL812" s="2315" t="n">
        <f aca="false">IF(AND(дома!$AA$29&gt;=AJ812,дома!$AA$29&lt;=AI812),связи1!AG812,0)</f>
        <v>0</v>
      </c>
    </row>
    <row r="813" customFormat="false" ht="14.5" hidden="false" customHeight="false" outlineLevel="0" collapsed="false">
      <c r="A813" s="2690" t="s">
        <v>1714</v>
      </c>
      <c r="B813" s="933" t="n">
        <f aca="false">'Прайс лист'!G1967</f>
        <v>2000</v>
      </c>
      <c r="C813" s="2315"/>
      <c r="AG813" s="2315" t="n">
        <v>64.8000000000001</v>
      </c>
      <c r="AH813" s="2606" t="n">
        <f aca="false">AG813*3.1415926535897/180</f>
        <v>1.13097335529229</v>
      </c>
      <c r="AI813" s="2606" t="n">
        <f aca="false">AH813+0.0005</f>
        <v>1.13147335529229</v>
      </c>
      <c r="AJ813" s="2606" t="n">
        <f aca="false">AH813-0.0005</f>
        <v>1.13047335529229</v>
      </c>
      <c r="AK813" s="2315" t="n">
        <f aca="false">IF(AND(дома!$Z$29&gt;=AJ813,дома!$Z$29&lt;=AI813),связи1!AG813,0)</f>
        <v>0</v>
      </c>
      <c r="AL813" s="2315" t="n">
        <f aca="false">IF(AND(дома!$AA$29&gt;=AJ813,дома!$AA$29&lt;=AI813),связи1!AG813,0)</f>
        <v>0</v>
      </c>
    </row>
    <row r="814" customFormat="false" ht="14.5" hidden="false" customHeight="false" outlineLevel="0" collapsed="false">
      <c r="A814" s="2690" t="s">
        <v>1715</v>
      </c>
      <c r="B814" s="933" t="n">
        <f aca="false">'Прайс лист'!G1968</f>
        <v>2000</v>
      </c>
      <c r="C814" s="2315"/>
      <c r="AG814" s="2315" t="n">
        <v>64.9000000000001</v>
      </c>
      <c r="AH814" s="2606" t="n">
        <f aca="false">AG814*3.1415926535897/180</f>
        <v>1.13271868454429</v>
      </c>
      <c r="AI814" s="2606" t="n">
        <f aca="false">AH814+0.0005</f>
        <v>1.13321868454429</v>
      </c>
      <c r="AJ814" s="2606" t="n">
        <f aca="false">AH814-0.0005</f>
        <v>1.13221868454429</v>
      </c>
      <c r="AK814" s="2315" t="n">
        <f aca="false">IF(AND(дома!$Z$29&gt;=AJ814,дома!$Z$29&lt;=AI814),связи1!AG814,0)</f>
        <v>0</v>
      </c>
      <c r="AL814" s="2315" t="n">
        <f aca="false">IF(AND(дома!$AA$29&gt;=AJ814,дома!$AA$29&lt;=AI814),связи1!AG814,0)</f>
        <v>0</v>
      </c>
    </row>
    <row r="815" customFormat="false" ht="14.5" hidden="false" customHeight="false" outlineLevel="0" collapsed="false">
      <c r="A815" s="2690" t="s">
        <v>1716</v>
      </c>
      <c r="B815" s="933" t="n">
        <f aca="false">'Прайс лист'!G1969</f>
        <v>2000</v>
      </c>
      <c r="C815" s="2315"/>
      <c r="AG815" s="2315" t="n">
        <v>65.0000000000001</v>
      </c>
      <c r="AH815" s="2606" t="n">
        <f aca="false">AG815*3.1415926535897/180</f>
        <v>1.13446401379628</v>
      </c>
      <c r="AI815" s="2606" t="n">
        <f aca="false">AH815+0.0005</f>
        <v>1.13496401379628</v>
      </c>
      <c r="AJ815" s="2606" t="n">
        <f aca="false">AH815-0.0005</f>
        <v>1.13396401379628</v>
      </c>
      <c r="AK815" s="2315" t="n">
        <f aca="false">IF(AND(дома!$Z$29&gt;=AJ815,дома!$Z$29&lt;=AI815),связи1!AG815,0)</f>
        <v>0</v>
      </c>
      <c r="AL815" s="2315" t="n">
        <f aca="false">IF(AND(дома!$AA$29&gt;=AJ815,дома!$AA$29&lt;=AI815),связи1!AG815,0)</f>
        <v>0</v>
      </c>
    </row>
    <row r="816" customFormat="false" ht="14.5" hidden="false" customHeight="false" outlineLevel="0" collapsed="false">
      <c r="A816" s="2690" t="s">
        <v>1717</v>
      </c>
      <c r="B816" s="933" t="n">
        <f aca="false">'Прайс лист'!G1970</f>
        <v>2000</v>
      </c>
      <c r="C816" s="2315"/>
      <c r="AG816" s="2315" t="n">
        <v>65.1000000000001</v>
      </c>
      <c r="AH816" s="2606" t="n">
        <f aca="false">AG816*3.1415926535897/180</f>
        <v>1.13620934304828</v>
      </c>
      <c r="AI816" s="2606" t="n">
        <f aca="false">AH816+0.0005</f>
        <v>1.13670934304828</v>
      </c>
      <c r="AJ816" s="2606" t="n">
        <f aca="false">AH816-0.0005</f>
        <v>1.13570934304828</v>
      </c>
      <c r="AK816" s="2315" t="n">
        <f aca="false">IF(AND(дома!$Z$29&gt;=AJ816,дома!$Z$29&lt;=AI816),связи1!AG816,0)</f>
        <v>0</v>
      </c>
      <c r="AL816" s="2315" t="n">
        <f aca="false">IF(AND(дома!$AA$29&gt;=AJ816,дома!$AA$29&lt;=AI816),связи1!AG816,0)</f>
        <v>0</v>
      </c>
    </row>
    <row r="817" customFormat="false" ht="14.5" hidden="false" customHeight="false" outlineLevel="0" collapsed="false">
      <c r="AG817" s="2315" t="n">
        <v>65.2000000000001</v>
      </c>
      <c r="AH817" s="2606" t="n">
        <f aca="false">AG817*3.1415926535897/180</f>
        <v>1.13795467230027</v>
      </c>
      <c r="AI817" s="2606" t="n">
        <f aca="false">AH817+0.0005</f>
        <v>1.13845467230027</v>
      </c>
      <c r="AJ817" s="2606" t="n">
        <f aca="false">AH817-0.0005</f>
        <v>1.13745467230027</v>
      </c>
      <c r="AK817" s="2315" t="n">
        <f aca="false">IF(AND(дома!$Z$29&gt;=AJ817,дома!$Z$29&lt;=AI817),связи1!AG817,0)</f>
        <v>0</v>
      </c>
      <c r="AL817" s="2315" t="n">
        <f aca="false">IF(AND(дома!$AA$29&gt;=AJ817,дома!$AA$29&lt;=AI817),связи1!AG817,0)</f>
        <v>0</v>
      </c>
    </row>
    <row r="818" customFormat="false" ht="14.5" hidden="false" customHeight="false" outlineLevel="0" collapsed="false">
      <c r="AG818" s="2315" t="n">
        <v>65.3000000000001</v>
      </c>
      <c r="AH818" s="2606" t="n">
        <f aca="false">AG818*3.1415926535897/180</f>
        <v>1.13970000155227</v>
      </c>
      <c r="AI818" s="2606" t="n">
        <f aca="false">AH818+0.0005</f>
        <v>1.14020000155226</v>
      </c>
      <c r="AJ818" s="2606" t="n">
        <f aca="false">AH818-0.0005</f>
        <v>1.13920000155227</v>
      </c>
      <c r="AK818" s="2315" t="n">
        <f aca="false">IF(AND(дома!$Z$29&gt;=AJ818,дома!$Z$29&lt;=AI818),связи1!AG818,0)</f>
        <v>0</v>
      </c>
      <c r="AL818" s="2315" t="n">
        <f aca="false">IF(AND(дома!$AA$29&gt;=AJ818,дома!$AA$29&lt;=AI818),связи1!AG818,0)</f>
        <v>0</v>
      </c>
    </row>
    <row r="819" customFormat="false" ht="15.5" hidden="false" customHeight="false" outlineLevel="0" collapsed="false">
      <c r="A819" s="2688" t="s">
        <v>2532</v>
      </c>
      <c r="AG819" s="2315" t="n">
        <v>65.4000000000001</v>
      </c>
      <c r="AH819" s="2606" t="n">
        <f aca="false">AG819*3.1415926535897/180</f>
        <v>1.14144533080426</v>
      </c>
      <c r="AI819" s="2606" t="n">
        <f aca="false">AH819+0.0005</f>
        <v>1.14194533080426</v>
      </c>
      <c r="AJ819" s="2606" t="n">
        <f aca="false">AH819-0.0005</f>
        <v>1.14094533080426</v>
      </c>
      <c r="AK819" s="2315" t="n">
        <f aca="false">IF(AND(дома!$Z$29&gt;=AJ819,дома!$Z$29&lt;=AI819),связи1!AG819,0)</f>
        <v>0</v>
      </c>
      <c r="AL819" s="2315" t="n">
        <f aca="false">IF(AND(дома!$AA$29&gt;=AJ819,дома!$AA$29&lt;=AI819),связи1!AG819,0)</f>
        <v>0</v>
      </c>
    </row>
    <row r="820" customFormat="false" ht="14.5" hidden="false" customHeight="false" outlineLevel="0" collapsed="false">
      <c r="A820" s="896" t="n">
        <v>2</v>
      </c>
      <c r="B820" s="2315"/>
      <c r="C820" s="2315"/>
      <c r="AG820" s="2315" t="n">
        <v>65.5000000000001</v>
      </c>
      <c r="AH820" s="2606" t="n">
        <f aca="false">AG820*3.1415926535897/180</f>
        <v>1.14319066005625</v>
      </c>
      <c r="AI820" s="2606" t="n">
        <f aca="false">AH820+0.0005</f>
        <v>1.14369066005625</v>
      </c>
      <c r="AJ820" s="2606" t="n">
        <f aca="false">AH820-0.0005</f>
        <v>1.14269066005625</v>
      </c>
      <c r="AK820" s="2315" t="n">
        <f aca="false">IF(AND(дома!$Z$29&gt;=AJ820,дома!$Z$29&lt;=AI820),связи1!AG820,0)</f>
        <v>0</v>
      </c>
      <c r="AL820" s="2315" t="n">
        <f aca="false">IF(AND(дома!$AA$29&gt;=AJ820,дома!$AA$29&lt;=AI820),связи1!AG820,0)</f>
        <v>0</v>
      </c>
    </row>
    <row r="821" customFormat="false" ht="14.5" hidden="false" customHeight="false" outlineLevel="0" collapsed="false">
      <c r="A821" s="896" t="n">
        <v>2.5</v>
      </c>
      <c r="B821" s="2315"/>
      <c r="C821" s="2315"/>
      <c r="AG821" s="2315" t="n">
        <v>65.6000000000001</v>
      </c>
      <c r="AH821" s="2606" t="n">
        <f aca="false">AG821*3.1415926535897/180</f>
        <v>1.14493598930825</v>
      </c>
      <c r="AI821" s="2606" t="n">
        <f aca="false">AH821+0.0005</f>
        <v>1.14543598930825</v>
      </c>
      <c r="AJ821" s="2606" t="n">
        <f aca="false">AH821-0.0005</f>
        <v>1.14443598930825</v>
      </c>
      <c r="AK821" s="2315" t="n">
        <f aca="false">IF(AND(дома!$Z$29&gt;=AJ821,дома!$Z$29&lt;=AI821),связи1!AG821,0)</f>
        <v>0</v>
      </c>
      <c r="AL821" s="2315" t="n">
        <f aca="false">IF(AND(дома!$AA$29&gt;=AJ821,дома!$AA$29&lt;=AI821),связи1!AG821,0)</f>
        <v>0</v>
      </c>
    </row>
    <row r="822" customFormat="false" ht="14.5" hidden="false" customHeight="false" outlineLevel="0" collapsed="false">
      <c r="A822" s="896" t="n">
        <v>3</v>
      </c>
      <c r="B822" s="2315"/>
      <c r="C822" s="2315"/>
      <c r="AG822" s="2315" t="n">
        <v>65.7000000000001</v>
      </c>
      <c r="AH822" s="2606" t="n">
        <f aca="false">AG822*3.1415926535897/180</f>
        <v>1.14668131856024</v>
      </c>
      <c r="AI822" s="2606" t="n">
        <f aca="false">AH822+0.0005</f>
        <v>1.14718131856024</v>
      </c>
      <c r="AJ822" s="2606" t="n">
        <f aca="false">AH822-0.0005</f>
        <v>1.14618131856024</v>
      </c>
      <c r="AK822" s="2315" t="n">
        <f aca="false">IF(AND(дома!$Z$29&gt;=AJ822,дома!$Z$29&lt;=AI822),связи1!AG822,0)</f>
        <v>0</v>
      </c>
      <c r="AL822" s="2315" t="n">
        <f aca="false">IF(AND(дома!$AA$29&gt;=AJ822,дома!$AA$29&lt;=AI822),связи1!AG822,0)</f>
        <v>0</v>
      </c>
    </row>
    <row r="823" customFormat="false" ht="14.5" hidden="false" customHeight="false" outlineLevel="0" collapsed="false">
      <c r="AG823" s="2315" t="n">
        <v>65.8000000000001</v>
      </c>
      <c r="AH823" s="2606" t="n">
        <f aca="false">AG823*3.1415926535897/180</f>
        <v>1.14842664781224</v>
      </c>
      <c r="AI823" s="2606" t="n">
        <f aca="false">AH823+0.0005</f>
        <v>1.14892664781224</v>
      </c>
      <c r="AJ823" s="2606" t="n">
        <f aca="false">AH823-0.0005</f>
        <v>1.14792664781224</v>
      </c>
      <c r="AK823" s="2315" t="n">
        <f aca="false">IF(AND(дома!$Z$29&gt;=AJ823,дома!$Z$29&lt;=AI823),связи1!AG823,0)</f>
        <v>0</v>
      </c>
      <c r="AL823" s="2315" t="n">
        <f aca="false">IF(AND(дома!$AA$29&gt;=AJ823,дома!$AA$29&lt;=AI823),связи1!AG823,0)</f>
        <v>0</v>
      </c>
    </row>
    <row r="824" customFormat="false" ht="15.5" hidden="false" customHeight="false" outlineLevel="0" collapsed="false">
      <c r="A824" s="2688" t="s">
        <v>1744</v>
      </c>
      <c r="AG824" s="2315" t="n">
        <v>65.9000000000001</v>
      </c>
      <c r="AH824" s="2606" t="n">
        <f aca="false">AG824*3.1415926535897/180</f>
        <v>1.15017197706423</v>
      </c>
      <c r="AI824" s="2606" t="n">
        <f aca="false">AH824+0.0005</f>
        <v>1.15067197706423</v>
      </c>
      <c r="AJ824" s="2606" t="n">
        <f aca="false">AH824-0.0005</f>
        <v>1.14967197706423</v>
      </c>
      <c r="AK824" s="2315" t="n">
        <f aca="false">IF(AND(дома!$Z$29&gt;=AJ824,дома!$Z$29&lt;=AI824),связи1!AG824,0)</f>
        <v>0</v>
      </c>
      <c r="AL824" s="2315" t="n">
        <f aca="false">IF(AND(дома!$AA$29&gt;=AJ824,дома!$AA$29&lt;=AI824),связи1!AG824,0)</f>
        <v>0</v>
      </c>
    </row>
    <row r="825" customFormat="false" ht="14.5" hidden="false" customHeight="false" outlineLevel="0" collapsed="false">
      <c r="A825" s="2692" t="s">
        <v>2534</v>
      </c>
      <c r="B825" s="933" t="n">
        <f aca="false">'Прайс лист'!G1974</f>
        <v>340</v>
      </c>
      <c r="C825" s="2315"/>
      <c r="AG825" s="2315" t="n">
        <v>66.0000000000001</v>
      </c>
      <c r="AH825" s="2606" t="n">
        <f aca="false">AG825*3.1415926535897/180</f>
        <v>1.15191730631623</v>
      </c>
      <c r="AI825" s="2606" t="n">
        <f aca="false">AH825+0.0005</f>
        <v>1.15241730631622</v>
      </c>
      <c r="AJ825" s="2606" t="n">
        <f aca="false">AH825-0.0005</f>
        <v>1.15141730631623</v>
      </c>
      <c r="AK825" s="2315" t="n">
        <f aca="false">IF(AND(дома!$Z$29&gt;=AJ825,дома!$Z$29&lt;=AI825),связи1!AG825,0)</f>
        <v>0</v>
      </c>
      <c r="AL825" s="2315" t="n">
        <f aca="false">IF(AND(дома!$AA$29&gt;=AJ825,дома!$AA$29&lt;=AI825),связи1!AG825,0)</f>
        <v>0</v>
      </c>
    </row>
    <row r="826" customFormat="false" ht="14.5" hidden="false" customHeight="false" outlineLevel="0" collapsed="false">
      <c r="A826" s="2692" t="s">
        <v>493</v>
      </c>
      <c r="B826" s="2315" t="n">
        <v>0</v>
      </c>
      <c r="C826" s="2315"/>
      <c r="AG826" s="2315" t="n">
        <v>66.1000000000001</v>
      </c>
      <c r="AH826" s="2606" t="n">
        <f aca="false">AG826*3.1415926535897/180</f>
        <v>1.15366263556822</v>
      </c>
      <c r="AI826" s="2606" t="n">
        <f aca="false">AH826+0.0005</f>
        <v>1.15416263556822</v>
      </c>
      <c r="AJ826" s="2606" t="n">
        <f aca="false">AH826-0.0005</f>
        <v>1.15316263556822</v>
      </c>
      <c r="AK826" s="2315" t="n">
        <f aca="false">IF(AND(дома!$Z$29&gt;=AJ826,дома!$Z$29&lt;=AI826),связи1!AG826,0)</f>
        <v>0</v>
      </c>
      <c r="AL826" s="2315" t="n">
        <f aca="false">IF(AND(дома!$AA$29&gt;=AJ826,дома!$AA$29&lt;=AI826),связи1!AG826,0)</f>
        <v>0</v>
      </c>
    </row>
    <row r="827" customFormat="false" ht="14.5" hidden="false" customHeight="false" outlineLevel="0" collapsed="false">
      <c r="AG827" s="2315" t="n">
        <v>66.2000000000001</v>
      </c>
      <c r="AH827" s="2606" t="n">
        <f aca="false">AG827*3.1415926535897/180</f>
        <v>1.15540796482021</v>
      </c>
      <c r="AI827" s="2606" t="n">
        <f aca="false">AH827+0.0005</f>
        <v>1.15590796482021</v>
      </c>
      <c r="AJ827" s="2606" t="n">
        <f aca="false">AH827-0.0005</f>
        <v>1.15490796482021</v>
      </c>
      <c r="AK827" s="2315" t="n">
        <f aca="false">IF(AND(дома!$Z$29&gt;=AJ827,дома!$Z$29&lt;=AI827),связи1!AG827,0)</f>
        <v>0</v>
      </c>
      <c r="AL827" s="2315" t="n">
        <f aca="false">IF(AND(дома!$AA$29&gt;=AJ827,дома!$AA$29&lt;=AI827),связи1!AG827,0)</f>
        <v>0</v>
      </c>
    </row>
    <row r="828" customFormat="false" ht="14.5" hidden="false" customHeight="false" outlineLevel="0" collapsed="false">
      <c r="AG828" s="2315" t="n">
        <v>66.3000000000001</v>
      </c>
      <c r="AH828" s="2606" t="n">
        <f aca="false">AG828*3.1415926535897/180</f>
        <v>1.15715329407221</v>
      </c>
      <c r="AI828" s="2606" t="n">
        <f aca="false">AH828+0.0005</f>
        <v>1.15765329407221</v>
      </c>
      <c r="AJ828" s="2606" t="n">
        <f aca="false">AH828-0.0005</f>
        <v>1.15665329407221</v>
      </c>
      <c r="AK828" s="2315" t="n">
        <f aca="false">IF(AND(дома!$Z$29&gt;=AJ828,дома!$Z$29&lt;=AI828),связи1!AG828,0)</f>
        <v>0</v>
      </c>
      <c r="AL828" s="2315" t="n">
        <f aca="false">IF(AND(дома!$AA$29&gt;=AJ828,дома!$AA$29&lt;=AI828),связи1!AG828,0)</f>
        <v>0</v>
      </c>
    </row>
    <row r="829" customFormat="false" ht="15.5" hidden="false" customHeight="false" outlineLevel="0" collapsed="false">
      <c r="A829" s="2688" t="s">
        <v>2533</v>
      </c>
      <c r="AG829" s="2315" t="n">
        <v>66.4000000000001</v>
      </c>
      <c r="AH829" s="2606" t="n">
        <f aca="false">AG829*3.1415926535897/180</f>
        <v>1.1588986233242</v>
      </c>
      <c r="AI829" s="2606" t="n">
        <f aca="false">AH829+0.0005</f>
        <v>1.1593986233242</v>
      </c>
      <c r="AJ829" s="2606" t="n">
        <f aca="false">AH829-0.0005</f>
        <v>1.1583986233242</v>
      </c>
      <c r="AK829" s="2315" t="n">
        <f aca="false">IF(AND(дома!$Z$29&gt;=AJ829,дома!$Z$29&lt;=AI829),связи1!AG829,0)</f>
        <v>0</v>
      </c>
      <c r="AL829" s="2315" t="n">
        <f aca="false">IF(AND(дома!$AA$29&gt;=AJ829,дома!$AA$29&lt;=AI829),связи1!AG829,0)</f>
        <v>0</v>
      </c>
    </row>
    <row r="830" customFormat="false" ht="14.5" hidden="false" customHeight="false" outlineLevel="0" collapsed="false">
      <c r="A830" s="2692" t="s">
        <v>2534</v>
      </c>
      <c r="B830" s="933" t="n">
        <f aca="false">'Прайс лист'!G1976</f>
        <v>160</v>
      </c>
      <c r="C830" s="2315"/>
      <c r="AG830" s="2315" t="n">
        <v>66.5000000000001</v>
      </c>
      <c r="AH830" s="2606" t="n">
        <f aca="false">AG830*3.1415926535897/180</f>
        <v>1.1606439525762</v>
      </c>
      <c r="AI830" s="2606" t="n">
        <f aca="false">AH830+0.0005</f>
        <v>1.1611439525762</v>
      </c>
      <c r="AJ830" s="2606" t="n">
        <f aca="false">AH830-0.0005</f>
        <v>1.1601439525762</v>
      </c>
      <c r="AK830" s="2315" t="n">
        <f aca="false">IF(AND(дома!$Z$29&gt;=AJ830,дома!$Z$29&lt;=AI830),связи1!AG830,0)</f>
        <v>0</v>
      </c>
      <c r="AL830" s="2315" t="n">
        <f aca="false">IF(AND(дома!$AA$29&gt;=AJ830,дома!$AA$29&lt;=AI830),связи1!AG830,0)</f>
        <v>0</v>
      </c>
    </row>
    <row r="831" customFormat="false" ht="14.5" hidden="false" customHeight="false" outlineLevel="0" collapsed="false">
      <c r="A831" s="2692" t="s">
        <v>493</v>
      </c>
      <c r="B831" s="2315" t="n">
        <v>0</v>
      </c>
      <c r="C831" s="2315"/>
      <c r="AG831" s="2315" t="n">
        <v>66.6000000000001</v>
      </c>
      <c r="AH831" s="2606" t="n">
        <f aca="false">AG831*3.1415926535897/180</f>
        <v>1.16238928182819</v>
      </c>
      <c r="AI831" s="2606" t="n">
        <f aca="false">AH831+0.0005</f>
        <v>1.16288928182819</v>
      </c>
      <c r="AJ831" s="2606" t="n">
        <f aca="false">AH831-0.0005</f>
        <v>1.16188928182819</v>
      </c>
      <c r="AK831" s="2315" t="n">
        <f aca="false">IF(AND(дома!$Z$29&gt;=AJ831,дома!$Z$29&lt;=AI831),связи1!AG831,0)</f>
        <v>0</v>
      </c>
      <c r="AL831" s="2315" t="n">
        <f aca="false">IF(AND(дома!$AA$29&gt;=AJ831,дома!$AA$29&lt;=AI831),связи1!AG831,0)</f>
        <v>0</v>
      </c>
    </row>
    <row r="832" customFormat="false" ht="14.5" hidden="false" customHeight="false" outlineLevel="0" collapsed="false">
      <c r="AG832" s="2315" t="n">
        <v>66.7000000000001</v>
      </c>
      <c r="AH832" s="2606" t="n">
        <f aca="false">AG832*3.1415926535897/180</f>
        <v>1.16413461108019</v>
      </c>
      <c r="AI832" s="2606" t="n">
        <f aca="false">AH832+0.0005</f>
        <v>1.16463461108018</v>
      </c>
      <c r="AJ832" s="2606" t="n">
        <f aca="false">AH832-0.0005</f>
        <v>1.16363461108019</v>
      </c>
      <c r="AK832" s="2315" t="n">
        <f aca="false">IF(AND(дома!$Z$29&gt;=AJ832,дома!$Z$29&lt;=AI832),связи1!AG832,0)</f>
        <v>0</v>
      </c>
      <c r="AL832" s="2315" t="n">
        <f aca="false">IF(AND(дома!$AA$29&gt;=AJ832,дома!$AA$29&lt;=AI832),связи1!AG832,0)</f>
        <v>0</v>
      </c>
    </row>
    <row r="833" customFormat="false" ht="15.5" hidden="false" customHeight="false" outlineLevel="0" collapsed="false">
      <c r="A833" s="207" t="s">
        <v>1720</v>
      </c>
      <c r="AG833" s="2315" t="n">
        <v>66.8000000000001</v>
      </c>
      <c r="AH833" s="2606" t="n">
        <f aca="false">AG833*3.1415926535897/180</f>
        <v>1.16587994033218</v>
      </c>
      <c r="AI833" s="2606" t="n">
        <f aca="false">AH833+0.0005</f>
        <v>1.16637994033218</v>
      </c>
      <c r="AJ833" s="2606" t="n">
        <f aca="false">AH833-0.0005</f>
        <v>1.16537994033218</v>
      </c>
      <c r="AK833" s="2315" t="n">
        <f aca="false">IF(AND(дома!$Z$29&gt;=AJ833,дома!$Z$29&lt;=AI833),связи1!AG833,0)</f>
        <v>0</v>
      </c>
      <c r="AL833" s="2315" t="n">
        <f aca="false">IF(AND(дома!$AA$29&gt;=AJ833,дома!$AA$29&lt;=AI833),связи1!AG833,0)</f>
        <v>0</v>
      </c>
    </row>
    <row r="834" customFormat="false" ht="14.5" hidden="false" customHeight="false" outlineLevel="0" collapsed="false">
      <c r="A834" s="2692" t="s">
        <v>2535</v>
      </c>
      <c r="B834" s="933" t="n">
        <f aca="false">'Прайс лист'!G1979</f>
        <v>15</v>
      </c>
      <c r="C834" s="2315"/>
      <c r="AG834" s="2315" t="n">
        <v>66.9000000000001</v>
      </c>
      <c r="AH834" s="2606" t="n">
        <f aca="false">AG834*3.1415926535897/180</f>
        <v>1.16762526958417</v>
      </c>
      <c r="AI834" s="2606" t="n">
        <f aca="false">AH834+0.0005</f>
        <v>1.16812526958417</v>
      </c>
      <c r="AJ834" s="2606" t="n">
        <f aca="false">AH834-0.0005</f>
        <v>1.16712526958417</v>
      </c>
      <c r="AK834" s="2315" t="n">
        <f aca="false">IF(AND(дома!$Z$29&gt;=AJ834,дома!$Z$29&lt;=AI834),связи1!AG834,0)</f>
        <v>0</v>
      </c>
      <c r="AL834" s="2315" t="n">
        <f aca="false">IF(AND(дома!$AA$29&gt;=AJ834,дома!$AA$29&lt;=AI834),связи1!AG834,0)</f>
        <v>0</v>
      </c>
    </row>
    <row r="835" customFormat="false" ht="14.5" hidden="false" customHeight="false" outlineLevel="0" collapsed="false">
      <c r="A835" s="2692" t="s">
        <v>493</v>
      </c>
      <c r="B835" s="2315" t="n">
        <v>0</v>
      </c>
      <c r="C835" s="2315"/>
      <c r="AG835" s="2315" t="n">
        <v>67.0000000000001</v>
      </c>
      <c r="AH835" s="2606" t="n">
        <f aca="false">AG835*3.1415926535897/180</f>
        <v>1.16937059883617</v>
      </c>
      <c r="AI835" s="2606" t="n">
        <f aca="false">AH835+0.0005</f>
        <v>1.16987059883617</v>
      </c>
      <c r="AJ835" s="2606" t="n">
        <f aca="false">AH835-0.0005</f>
        <v>1.16887059883617</v>
      </c>
      <c r="AK835" s="2315" t="n">
        <f aca="false">IF(AND(дома!$Z$29&gt;=AJ835,дома!$Z$29&lt;=AI835),связи1!AG835,0)</f>
        <v>0</v>
      </c>
      <c r="AL835" s="2315" t="n">
        <f aca="false">IF(AND(дома!$AA$29&gt;=AJ835,дома!$AA$29&lt;=AI835),связи1!AG835,0)</f>
        <v>0</v>
      </c>
    </row>
    <row r="836" customFormat="false" ht="14.5" hidden="false" customHeight="false" outlineLevel="0" collapsed="false">
      <c r="A836" s="2692"/>
      <c r="AG836" s="2315"/>
      <c r="AH836" s="2606"/>
      <c r="AI836" s="2606"/>
      <c r="AJ836" s="2606"/>
      <c r="AK836" s="2315"/>
      <c r="AL836" s="2315"/>
    </row>
    <row r="837" customFormat="false" ht="15.5" hidden="false" customHeight="false" outlineLevel="0" collapsed="false">
      <c r="A837" s="207" t="s">
        <v>1721</v>
      </c>
      <c r="AG837" s="2315"/>
      <c r="AH837" s="2606"/>
      <c r="AI837" s="2606"/>
      <c r="AJ837" s="2606"/>
      <c r="AK837" s="2315"/>
      <c r="AL837" s="2315"/>
    </row>
    <row r="838" customFormat="false" ht="15.5" hidden="false" customHeight="false" outlineLevel="0" collapsed="false">
      <c r="A838" s="2689" t="s">
        <v>2535</v>
      </c>
      <c r="B838" s="933" t="n">
        <f aca="false">'Прайс лист'!G1980</f>
        <v>25</v>
      </c>
      <c r="C838" s="2315"/>
      <c r="AG838" s="2315"/>
      <c r="AH838" s="2606"/>
      <c r="AI838" s="2606"/>
      <c r="AJ838" s="2606"/>
      <c r="AK838" s="2315"/>
      <c r="AL838" s="2315"/>
    </row>
    <row r="839" customFormat="false" ht="14.5" hidden="false" customHeight="false" outlineLevel="0" collapsed="false">
      <c r="A839" s="2692" t="s">
        <v>493</v>
      </c>
      <c r="B839" s="2315" t="n">
        <v>0</v>
      </c>
      <c r="C839" s="2315"/>
      <c r="AG839" s="2315"/>
      <c r="AH839" s="2606"/>
      <c r="AI839" s="2606"/>
      <c r="AJ839" s="2606"/>
      <c r="AK839" s="2315"/>
      <c r="AL839" s="2315"/>
    </row>
    <row r="840" customFormat="false" ht="14.5" hidden="false" customHeight="false" outlineLevel="0" collapsed="false">
      <c r="AG840" s="2315" t="n">
        <v>67.1000000000001</v>
      </c>
      <c r="AH840" s="2606" t="n">
        <f aca="false">AG840*3.1415926535897/180</f>
        <v>1.17111592808816</v>
      </c>
      <c r="AI840" s="2606" t="n">
        <f aca="false">AH840+0.0005</f>
        <v>1.17161592808816</v>
      </c>
      <c r="AJ840" s="2606" t="n">
        <f aca="false">AH840-0.0005</f>
        <v>1.17061592808816</v>
      </c>
      <c r="AK840" s="2315" t="n">
        <f aca="false">IF(AND(дома!$Z$29&gt;=AJ840,дома!$Z$29&lt;=AI840),связи1!AG840,0)</f>
        <v>0</v>
      </c>
      <c r="AL840" s="2315" t="n">
        <f aca="false">IF(AND(дома!$AA$29&gt;=AJ840,дома!$AA$29&lt;=AI840),связи1!AG840,0)</f>
        <v>0</v>
      </c>
    </row>
    <row r="841" customFormat="false" ht="15.5" hidden="false" customHeight="false" outlineLevel="0" collapsed="false">
      <c r="A841" s="2688" t="s">
        <v>1722</v>
      </c>
      <c r="AG841" s="2315" t="n">
        <v>67.2000000000001</v>
      </c>
      <c r="AH841" s="2606" t="n">
        <f aca="false">AG841*3.1415926535897/180</f>
        <v>1.17286125734016</v>
      </c>
      <c r="AI841" s="2606" t="n">
        <f aca="false">AH841+0.0005</f>
        <v>1.17336125734016</v>
      </c>
      <c r="AJ841" s="2606" t="n">
        <f aca="false">AH841-0.0005</f>
        <v>1.17236125734016</v>
      </c>
      <c r="AK841" s="2315" t="n">
        <f aca="false">IF(AND(дома!$Z$29&gt;=AJ841,дома!$Z$29&lt;=AI841),связи1!AG841,0)</f>
        <v>0</v>
      </c>
      <c r="AL841" s="2315" t="n">
        <f aca="false">IF(AND(дома!$AA$29&gt;=AJ841,дома!$AA$29&lt;=AI841),связи1!AG841,0)</f>
        <v>0</v>
      </c>
    </row>
    <row r="842" customFormat="false" ht="15.5" hidden="false" customHeight="false" outlineLevel="0" collapsed="false">
      <c r="A842" s="2689" t="s">
        <v>1723</v>
      </c>
      <c r="B842" s="933" t="n">
        <f aca="false">'Прайс лист'!G1983</f>
        <v>100</v>
      </c>
      <c r="C842" s="2315"/>
      <c r="AG842" s="2315" t="n">
        <v>67.3000000000001</v>
      </c>
      <c r="AH842" s="2606" t="n">
        <f aca="false">AG842*3.1415926535897/180</f>
        <v>1.17460658659215</v>
      </c>
      <c r="AI842" s="2606" t="n">
        <f aca="false">AH842+0.0005</f>
        <v>1.17510658659215</v>
      </c>
      <c r="AJ842" s="2606" t="n">
        <f aca="false">AH842-0.0005</f>
        <v>1.17410658659215</v>
      </c>
      <c r="AK842" s="2315" t="n">
        <f aca="false">IF(AND(дома!$Z$29&gt;=AJ842,дома!$Z$29&lt;=AI842),связи1!AG842,0)</f>
        <v>0</v>
      </c>
      <c r="AL842" s="2315" t="n">
        <f aca="false">IF(AND(дома!$AA$29&gt;=AJ842,дома!$AA$29&lt;=AI842),связи1!AG842,0)</f>
        <v>0</v>
      </c>
    </row>
    <row r="843" customFormat="false" ht="15.5" hidden="false" customHeight="false" outlineLevel="0" collapsed="false">
      <c r="A843" s="2689" t="s">
        <v>1724</v>
      </c>
      <c r="B843" s="933" t="n">
        <f aca="false">'Прайс лист'!G1984</f>
        <v>100</v>
      </c>
      <c r="C843" s="2315"/>
      <c r="AG843" s="2315" t="n">
        <v>67.4000000000001</v>
      </c>
      <c r="AH843" s="2606" t="n">
        <f aca="false">AG843*3.1415926535897/180</f>
        <v>1.17635191584414</v>
      </c>
      <c r="AI843" s="2606" t="n">
        <f aca="false">AH843+0.0005</f>
        <v>1.17685191584414</v>
      </c>
      <c r="AJ843" s="2606" t="n">
        <f aca="false">AH843-0.0005</f>
        <v>1.17585191584415</v>
      </c>
      <c r="AK843" s="2315" t="n">
        <f aca="false">IF(AND(дома!$Z$29&gt;=AJ843,дома!$Z$29&lt;=AI843),связи1!AG843,0)</f>
        <v>0</v>
      </c>
      <c r="AL843" s="2315" t="n">
        <f aca="false">IF(AND(дома!$AA$29&gt;=AJ843,дома!$AA$29&lt;=AI843),связи1!AG843,0)</f>
        <v>0</v>
      </c>
    </row>
    <row r="844" customFormat="false" ht="15.5" hidden="false" customHeight="false" outlineLevel="0" collapsed="false">
      <c r="A844" s="2689" t="s">
        <v>1725</v>
      </c>
      <c r="B844" s="933" t="n">
        <f aca="false">'Прайс лист'!G1985</f>
        <v>100</v>
      </c>
      <c r="C844" s="2315"/>
      <c r="AG844" s="2315" t="n">
        <v>67.5000000000001</v>
      </c>
      <c r="AH844" s="2606" t="n">
        <f aca="false">AG844*3.1415926535897/180</f>
        <v>1.17809724509614</v>
      </c>
      <c r="AI844" s="2606" t="n">
        <f aca="false">AH844+0.0005</f>
        <v>1.17859724509614</v>
      </c>
      <c r="AJ844" s="2606" t="n">
        <f aca="false">AH844-0.0005</f>
        <v>1.17759724509614</v>
      </c>
      <c r="AK844" s="2315" t="n">
        <f aca="false">IF(AND(дома!$Z$29&gt;=AJ844,дома!$Z$29&lt;=AI844),связи1!AG844,0)</f>
        <v>0</v>
      </c>
      <c r="AL844" s="2315" t="n">
        <f aca="false">IF(AND(дома!$AA$29&gt;=AJ844,дома!$AA$29&lt;=AI844),связи1!AG844,0)</f>
        <v>0</v>
      </c>
    </row>
    <row r="845" customFormat="false" ht="14.5" hidden="false" customHeight="false" outlineLevel="0" collapsed="false">
      <c r="AG845" s="2315" t="n">
        <v>67.6000000000001</v>
      </c>
      <c r="AH845" s="2606" t="n">
        <f aca="false">AG845*3.1415926535897/180</f>
        <v>1.17984257434813</v>
      </c>
      <c r="AI845" s="2606" t="n">
        <f aca="false">AH845+0.0005</f>
        <v>1.18034257434813</v>
      </c>
      <c r="AJ845" s="2606" t="n">
        <f aca="false">AH845-0.0005</f>
        <v>1.17934257434813</v>
      </c>
      <c r="AK845" s="2315" t="n">
        <f aca="false">IF(AND(дома!$Z$29&gt;=AJ845,дома!$Z$29&lt;=AI845),связи1!AG845,0)</f>
        <v>0</v>
      </c>
      <c r="AL845" s="2315" t="n">
        <f aca="false">IF(AND(дома!$AA$29&gt;=AJ845,дома!$AA$29&lt;=AI845),связи1!AG845,0)</f>
        <v>0</v>
      </c>
    </row>
    <row r="846" customFormat="false" ht="14.5" hidden="false" customHeight="false" outlineLevel="0" collapsed="false">
      <c r="AG846" s="2315" t="n">
        <v>67.7000000000001</v>
      </c>
      <c r="AH846" s="2606" t="n">
        <f aca="false">AG846*3.1415926535897/180</f>
        <v>1.18158790360013</v>
      </c>
      <c r="AI846" s="2606" t="n">
        <f aca="false">AH846+0.0005</f>
        <v>1.18208790360013</v>
      </c>
      <c r="AJ846" s="2606" t="n">
        <f aca="false">AH846-0.0005</f>
        <v>1.18108790360013</v>
      </c>
      <c r="AK846" s="2315" t="n">
        <f aca="false">IF(AND(дома!$Z$29&gt;=AJ846,дома!$Z$29&lt;=AI846),связи1!AG846,0)</f>
        <v>0</v>
      </c>
      <c r="AL846" s="2315" t="n">
        <f aca="false">IF(AND(дома!$AA$29&gt;=AJ846,дома!$AA$29&lt;=AI846),связи1!AG846,0)</f>
        <v>0</v>
      </c>
    </row>
    <row r="847" customFormat="false" ht="15.5" hidden="false" customHeight="false" outlineLevel="0" collapsed="false">
      <c r="A847" s="2694" t="s">
        <v>1726</v>
      </c>
      <c r="AG847" s="2315" t="n">
        <v>67.8000000000001</v>
      </c>
      <c r="AH847" s="2606" t="n">
        <f aca="false">AG847*3.1415926535897/180</f>
        <v>1.18333323285212</v>
      </c>
      <c r="AI847" s="2606" t="n">
        <f aca="false">AH847+0.0005</f>
        <v>1.18383323285212</v>
      </c>
      <c r="AJ847" s="2606" t="n">
        <f aca="false">AH847-0.0005</f>
        <v>1.18283323285212</v>
      </c>
      <c r="AK847" s="2315" t="n">
        <f aca="false">IF(AND(дома!$Z$29&gt;=AJ847,дома!$Z$29&lt;=AI847),связи1!AG847,0)</f>
        <v>0</v>
      </c>
      <c r="AL847" s="2315" t="n">
        <f aca="false">IF(AND(дома!$AA$29&gt;=AJ847,дома!$AA$29&lt;=AI847),связи1!AG847,0)</f>
        <v>0</v>
      </c>
    </row>
    <row r="848" customFormat="false" ht="15.5" hidden="false" customHeight="false" outlineLevel="0" collapsed="false">
      <c r="A848" s="2689" t="s">
        <v>1727</v>
      </c>
      <c r="B848" s="933" t="n">
        <f aca="false">'Прайс лист'!G1989</f>
        <v>2500</v>
      </c>
      <c r="C848" s="2315" t="n">
        <f aca="false">'Ввод данных'!B1517</f>
        <v>0</v>
      </c>
      <c r="AG848" s="2315" t="n">
        <v>67.9000000000001</v>
      </c>
      <c r="AH848" s="2606" t="n">
        <f aca="false">AG848*3.1415926535897/180</f>
        <v>1.18507856210412</v>
      </c>
      <c r="AI848" s="2606" t="n">
        <f aca="false">AH848+0.0005</f>
        <v>1.18557856210412</v>
      </c>
      <c r="AJ848" s="2606" t="n">
        <f aca="false">AH848-0.0005</f>
        <v>1.18457856210412</v>
      </c>
      <c r="AK848" s="2315" t="n">
        <f aca="false">IF(AND(дома!$Z$29&gt;=AJ848,дома!$Z$29&lt;=AI848),связи1!AG848,0)</f>
        <v>0</v>
      </c>
      <c r="AL848" s="2315" t="n">
        <f aca="false">IF(AND(дома!$AA$29&gt;=AJ848,дома!$AA$29&lt;=AI848),связи1!AG848,0)</f>
        <v>0</v>
      </c>
    </row>
    <row r="849" customFormat="false" ht="15.5" hidden="false" customHeight="false" outlineLevel="0" collapsed="false">
      <c r="A849" s="2689" t="s">
        <v>1728</v>
      </c>
      <c r="B849" s="933" t="n">
        <f aca="false">'Прайс лист'!G1990</f>
        <v>2500</v>
      </c>
      <c r="C849" s="2315" t="n">
        <f aca="false">'Ввод данных'!B1517</f>
        <v>0</v>
      </c>
      <c r="AG849" s="2315" t="n">
        <v>68.0000000000001</v>
      </c>
      <c r="AH849" s="2606" t="n">
        <f aca="false">AG849*3.1415926535897/180</f>
        <v>1.18682389135611</v>
      </c>
      <c r="AI849" s="2606" t="n">
        <f aca="false">AH849+0.0005</f>
        <v>1.18732389135611</v>
      </c>
      <c r="AJ849" s="2606" t="n">
        <f aca="false">AH849-0.0005</f>
        <v>1.18632389135611</v>
      </c>
      <c r="AK849" s="2315" t="n">
        <f aca="false">IF(AND(дома!$Z$29&gt;=AJ849,дома!$Z$29&lt;=AI849),связи1!AG849,0)</f>
        <v>0</v>
      </c>
      <c r="AL849" s="2315" t="n">
        <f aca="false">IF(AND(дома!$AA$29&gt;=AJ849,дома!$AA$29&lt;=AI849),связи1!AG849,0)</f>
        <v>0</v>
      </c>
    </row>
    <row r="850" customFormat="false" ht="14.5" hidden="false" customHeight="false" outlineLevel="0" collapsed="false">
      <c r="AG850" s="2315" t="n">
        <v>68.1000000000001</v>
      </c>
      <c r="AH850" s="2606" t="n">
        <f aca="false">AG850*3.1415926535897/180</f>
        <v>1.1885692206081</v>
      </c>
      <c r="AI850" s="2606" t="n">
        <f aca="false">AH850+0.0005</f>
        <v>1.1890692206081</v>
      </c>
      <c r="AJ850" s="2606" t="n">
        <f aca="false">AH850-0.0005</f>
        <v>1.18806922060811</v>
      </c>
      <c r="AK850" s="2315" t="n">
        <f aca="false">IF(AND(дома!$Z$29&gt;=AJ850,дома!$Z$29&lt;=AI850),связи1!AG850,0)</f>
        <v>0</v>
      </c>
      <c r="AL850" s="2315" t="n">
        <f aca="false">IF(AND(дома!$AA$29&gt;=AJ850,дома!$AA$29&lt;=AI850),связи1!AG850,0)</f>
        <v>0</v>
      </c>
    </row>
    <row r="851" customFormat="false" ht="15.5" hidden="false" customHeight="false" outlineLevel="0" collapsed="false">
      <c r="A851" s="2688" t="s">
        <v>1729</v>
      </c>
      <c r="B851" s="1150" t="n">
        <f aca="false">'Прайс лист'!G1993</f>
        <v>3500</v>
      </c>
      <c r="AG851" s="2315" t="n">
        <v>68.2000000000001</v>
      </c>
      <c r="AH851" s="2606" t="n">
        <f aca="false">AG851*3.1415926535897/180</f>
        <v>1.1903145498601</v>
      </c>
      <c r="AI851" s="2606" t="n">
        <f aca="false">AH851+0.0005</f>
        <v>1.1908145498601</v>
      </c>
      <c r="AJ851" s="2606" t="n">
        <f aca="false">AH851-0.0005</f>
        <v>1.1898145498601</v>
      </c>
      <c r="AK851" s="2315" t="n">
        <f aca="false">IF(AND(дома!$Z$29&gt;=AJ851,дома!$Z$29&lt;=AI851),связи1!AG851,0)</f>
        <v>0</v>
      </c>
      <c r="AL851" s="2315" t="n">
        <f aca="false">IF(AND(дома!$AA$29&gt;=AJ851,дома!$AA$29&lt;=AI851),связи1!AG851,0)</f>
        <v>0</v>
      </c>
    </row>
    <row r="852" customFormat="false" ht="15.5" hidden="false" customHeight="false" outlineLevel="0" collapsed="false">
      <c r="A852" s="2689" t="s">
        <v>493</v>
      </c>
      <c r="B852" s="2315" t="n">
        <v>0</v>
      </c>
      <c r="C852" s="2315" t="n">
        <v>0</v>
      </c>
      <c r="AG852" s="2315" t="n">
        <v>68.3000000000001</v>
      </c>
      <c r="AH852" s="2606" t="n">
        <f aca="false">AG852*3.1415926535897/180</f>
        <v>1.19205987911209</v>
      </c>
      <c r="AI852" s="2606" t="n">
        <f aca="false">AH852+0.0005</f>
        <v>1.19255987911209</v>
      </c>
      <c r="AJ852" s="2606" t="n">
        <f aca="false">AH852-0.0005</f>
        <v>1.19155987911209</v>
      </c>
      <c r="AK852" s="2315" t="n">
        <f aca="false">IF(AND(дома!$Z$29&gt;=AJ852,дома!$Z$29&lt;=AI852),связи1!AG852,0)</f>
        <v>0</v>
      </c>
      <c r="AL852" s="2315" t="n">
        <f aca="false">IF(AND(дома!$AA$29&gt;=AJ852,дома!$AA$29&lt;=AI852),связи1!AG852,0)</f>
        <v>0</v>
      </c>
    </row>
    <row r="853" customFormat="false" ht="14.5" hidden="false" customHeight="false" outlineLevel="0" collapsed="false">
      <c r="A853" s="896" t="n">
        <v>1</v>
      </c>
      <c r="B853" s="2315"/>
      <c r="C853" s="2315" t="n">
        <f aca="false">A853</f>
        <v>1</v>
      </c>
      <c r="AG853" s="2315" t="n">
        <v>68.4000000000001</v>
      </c>
      <c r="AH853" s="2606" t="n">
        <f aca="false">AG853*3.1415926535897/180</f>
        <v>1.19380520836409</v>
      </c>
      <c r="AI853" s="2606" t="n">
        <f aca="false">AH853+0.0005</f>
        <v>1.19430520836409</v>
      </c>
      <c r="AJ853" s="2606" t="n">
        <f aca="false">AH853-0.0005</f>
        <v>1.19330520836409</v>
      </c>
      <c r="AK853" s="2315" t="n">
        <f aca="false">IF(AND(дома!$Z$29&gt;=AJ853,дома!$Z$29&lt;=AI853),связи1!AG853,0)</f>
        <v>0</v>
      </c>
      <c r="AL853" s="2315" t="n">
        <f aca="false">IF(AND(дома!$AA$29&gt;=AJ853,дома!$AA$29&lt;=AI853),связи1!AG853,0)</f>
        <v>0</v>
      </c>
    </row>
    <row r="854" customFormat="false" ht="14.5" hidden="false" customHeight="false" outlineLevel="0" collapsed="false">
      <c r="A854" s="896" t="n">
        <v>2</v>
      </c>
      <c r="B854" s="2315"/>
      <c r="C854" s="2315" t="n">
        <f aca="false">A854</f>
        <v>2</v>
      </c>
      <c r="AG854" s="2315" t="n">
        <v>68.5000000000001</v>
      </c>
      <c r="AH854" s="2606" t="n">
        <f aca="false">AG854*3.1415926535897/180</f>
        <v>1.19555053761608</v>
      </c>
      <c r="AI854" s="2606" t="n">
        <f aca="false">AH854+0.0005</f>
        <v>1.19605053761608</v>
      </c>
      <c r="AJ854" s="2606" t="n">
        <f aca="false">AH854-0.0005</f>
        <v>1.19505053761608</v>
      </c>
      <c r="AK854" s="2315" t="n">
        <f aca="false">IF(AND(дома!$Z$29&gt;=AJ854,дома!$Z$29&lt;=AI854),связи1!AG854,0)</f>
        <v>0</v>
      </c>
      <c r="AL854" s="2315" t="n">
        <f aca="false">IF(AND(дома!$AA$29&gt;=AJ854,дома!$AA$29&lt;=AI854),связи1!AG854,0)</f>
        <v>0</v>
      </c>
    </row>
    <row r="855" customFormat="false" ht="14.5" hidden="false" customHeight="false" outlineLevel="0" collapsed="false">
      <c r="A855" s="896" t="n">
        <v>3</v>
      </c>
      <c r="B855" s="2315"/>
      <c r="C855" s="2315" t="n">
        <f aca="false">A855</f>
        <v>3</v>
      </c>
      <c r="AG855" s="2315" t="n">
        <v>68.6000000000001</v>
      </c>
      <c r="AH855" s="2606" t="n">
        <f aca="false">AG855*3.1415926535897/180</f>
        <v>1.19729586686808</v>
      </c>
      <c r="AI855" s="2606" t="n">
        <f aca="false">AH855+0.0005</f>
        <v>1.19779586686808</v>
      </c>
      <c r="AJ855" s="2606" t="n">
        <f aca="false">AH855-0.0005</f>
        <v>1.19679586686808</v>
      </c>
      <c r="AK855" s="2315" t="n">
        <f aca="false">IF(AND(дома!$Z$29&gt;=AJ855,дома!$Z$29&lt;=AI855),связи1!AG855,0)</f>
        <v>0</v>
      </c>
      <c r="AL855" s="2315" t="n">
        <f aca="false">IF(AND(дома!$AA$29&gt;=AJ855,дома!$AA$29&lt;=AI855),связи1!AG855,0)</f>
        <v>0</v>
      </c>
    </row>
    <row r="856" customFormat="false" ht="14.5" hidden="false" customHeight="false" outlineLevel="0" collapsed="false">
      <c r="AG856" s="2315" t="n">
        <v>68.7000000000001</v>
      </c>
      <c r="AH856" s="2606" t="n">
        <f aca="false">AG856*3.1415926535897/180</f>
        <v>1.19904119612007</v>
      </c>
      <c r="AI856" s="2606" t="n">
        <f aca="false">AH856+0.0005</f>
        <v>1.19954119612007</v>
      </c>
      <c r="AJ856" s="2606" t="n">
        <f aca="false">AH856-0.0005</f>
        <v>1.19854119612007</v>
      </c>
      <c r="AK856" s="2315" t="n">
        <f aca="false">IF(AND(дома!$Z$29&gt;=AJ856,дома!$Z$29&lt;=AI856),связи1!AG856,0)</f>
        <v>0</v>
      </c>
      <c r="AL856" s="2315" t="n">
        <f aca="false">IF(AND(дома!$AA$29&gt;=AJ856,дома!$AA$29&lt;=AI856),связи1!AG856,0)</f>
        <v>0</v>
      </c>
    </row>
    <row r="857" customFormat="false" ht="15.5" hidden="false" customHeight="false" outlineLevel="0" collapsed="false">
      <c r="A857" s="2688" t="s">
        <v>2537</v>
      </c>
      <c r="AG857" s="2315" t="n">
        <v>68.8000000000001</v>
      </c>
      <c r="AH857" s="2606" t="n">
        <f aca="false">AG857*3.1415926535897/180</f>
        <v>1.20078652537206</v>
      </c>
      <c r="AI857" s="2606" t="n">
        <f aca="false">AH857+0.0005</f>
        <v>1.20128652537206</v>
      </c>
      <c r="AJ857" s="2606" t="n">
        <f aca="false">AH857-0.0005</f>
        <v>1.20028652537206</v>
      </c>
      <c r="AK857" s="2315" t="n">
        <f aca="false">IF(AND(дома!$Z$29&gt;=AJ857,дома!$Z$29&lt;=AI857),связи1!AG857,0)</f>
        <v>0</v>
      </c>
      <c r="AL857" s="2315" t="n">
        <f aca="false">IF(AND(дома!$AA$29&gt;=AJ857,дома!$AA$29&lt;=AI857),связи1!AG857,0)</f>
        <v>0</v>
      </c>
    </row>
    <row r="858" customFormat="false" ht="15.5" hidden="false" customHeight="false" outlineLevel="0" collapsed="false">
      <c r="A858" s="207" t="n">
        <v>3</v>
      </c>
      <c r="B858" s="2315"/>
      <c r="C858" s="2315"/>
      <c r="AG858" s="2315" t="n">
        <v>68.9000000000001</v>
      </c>
      <c r="AH858" s="2606" t="n">
        <f aca="false">AG858*3.1415926535897/180</f>
        <v>1.20253185462406</v>
      </c>
      <c r="AI858" s="2606" t="n">
        <f aca="false">AH858+0.0005</f>
        <v>1.20303185462406</v>
      </c>
      <c r="AJ858" s="2606" t="n">
        <f aca="false">AH858-0.0005</f>
        <v>1.20203185462406</v>
      </c>
      <c r="AK858" s="2315" t="n">
        <f aca="false">IF(AND(дома!$Z$29&gt;=AJ858,дома!$Z$29&lt;=AI858),связи1!AG858,0)</f>
        <v>0</v>
      </c>
      <c r="AL858" s="2315" t="n">
        <f aca="false">IF(AND(дома!$AA$29&gt;=AJ858,дома!$AA$29&lt;=AI858),связи1!AG858,0)</f>
        <v>0</v>
      </c>
    </row>
    <row r="859" customFormat="false" ht="14.5" hidden="false" customHeight="false" outlineLevel="0" collapsed="false">
      <c r="A859" s="896" t="n">
        <v>3.5</v>
      </c>
      <c r="B859" s="2315"/>
      <c r="C859" s="2315"/>
      <c r="AG859" s="2315" t="n">
        <v>69.0000000000001</v>
      </c>
      <c r="AH859" s="2606" t="n">
        <f aca="false">AG859*3.1415926535897/180</f>
        <v>1.20427718387605</v>
      </c>
      <c r="AI859" s="2606" t="n">
        <f aca="false">AH859+0.0005</f>
        <v>1.20477718387605</v>
      </c>
      <c r="AJ859" s="2606" t="n">
        <f aca="false">AH859-0.0005</f>
        <v>1.20377718387605</v>
      </c>
      <c r="AK859" s="2315" t="n">
        <f aca="false">IF(AND(дома!$Z$29&gt;=AJ859,дома!$Z$29&lt;=AI859),связи1!AG859,0)</f>
        <v>0</v>
      </c>
      <c r="AL859" s="2315" t="n">
        <f aca="false">IF(AND(дома!$AA$29&gt;=AJ859,дома!$AA$29&lt;=AI859),связи1!AG859,0)</f>
        <v>0</v>
      </c>
    </row>
    <row r="860" customFormat="false" ht="14.5" hidden="false" customHeight="false" outlineLevel="0" collapsed="false">
      <c r="A860" s="896" t="n">
        <v>4</v>
      </c>
      <c r="B860" s="2315"/>
      <c r="C860" s="2315"/>
      <c r="AG860" s="2315" t="n">
        <v>69.1000000000001</v>
      </c>
      <c r="AH860" s="2606" t="n">
        <f aca="false">AG860*3.1415926535897/180</f>
        <v>1.20602251312805</v>
      </c>
      <c r="AI860" s="2606" t="n">
        <f aca="false">AH860+0.0005</f>
        <v>1.20652251312805</v>
      </c>
      <c r="AJ860" s="2606" t="n">
        <f aca="false">AH860-0.0005</f>
        <v>1.20552251312805</v>
      </c>
      <c r="AK860" s="2315" t="n">
        <f aca="false">IF(AND(дома!$Z$29&gt;=AJ860,дома!$Z$29&lt;=AI860),связи1!AG860,0)</f>
        <v>0</v>
      </c>
      <c r="AL860" s="2315" t="n">
        <f aca="false">IF(AND(дома!$AA$29&gt;=AJ860,дома!$AA$29&lt;=AI860),связи1!AG860,0)</f>
        <v>0</v>
      </c>
    </row>
    <row r="861" customFormat="false" ht="14.5" hidden="false" customHeight="false" outlineLevel="0" collapsed="false">
      <c r="A861" s="2692" t="s">
        <v>4593</v>
      </c>
      <c r="B861" s="2315"/>
      <c r="C861" s="2315"/>
      <c r="AG861" s="2315" t="n">
        <v>69.2000000000001</v>
      </c>
      <c r="AH861" s="2606" t="n">
        <f aca="false">AG861*3.1415926535897/180</f>
        <v>1.20776784238004</v>
      </c>
      <c r="AI861" s="2606" t="n">
        <f aca="false">AH861+0.0005</f>
        <v>1.20826784238004</v>
      </c>
      <c r="AJ861" s="2606" t="n">
        <f aca="false">AH861-0.0005</f>
        <v>1.20726784238004</v>
      </c>
      <c r="AK861" s="2315" t="n">
        <f aca="false">IF(AND(дома!$Z$29&gt;=AJ861,дома!$Z$29&lt;=AI861),связи1!AG861,0)</f>
        <v>0</v>
      </c>
      <c r="AL861" s="2315" t="n">
        <f aca="false">IF(AND(дома!$AA$29&gt;=AJ861,дома!$AA$29&lt;=AI861),связи1!AG861,0)</f>
        <v>0</v>
      </c>
    </row>
    <row r="862" customFormat="false" ht="14.5" hidden="false" customHeight="false" outlineLevel="0" collapsed="false">
      <c r="AG862" s="2315" t="n">
        <v>69.3000000000001</v>
      </c>
      <c r="AH862" s="2606" t="n">
        <f aca="false">AG862*3.1415926535897/180</f>
        <v>1.20951317163204</v>
      </c>
      <c r="AI862" s="2606" t="n">
        <f aca="false">AH862+0.0005</f>
        <v>1.21001317163204</v>
      </c>
      <c r="AJ862" s="2606" t="n">
        <f aca="false">AH862-0.0005</f>
        <v>1.20901317163204</v>
      </c>
      <c r="AK862" s="2315" t="n">
        <f aca="false">IF(AND(дома!$Z$29&gt;=AJ862,дома!$Z$29&lt;=AI862),связи1!AG862,0)</f>
        <v>0</v>
      </c>
      <c r="AL862" s="2315" t="n">
        <f aca="false">IF(AND(дома!$AA$29&gt;=AJ862,дома!$AA$29&lt;=AI862),связи1!AG862,0)</f>
        <v>0</v>
      </c>
    </row>
    <row r="863" customFormat="false" ht="14.5" hidden="false" customHeight="false" outlineLevel="0" collapsed="false">
      <c r="AG863" s="2315" t="n">
        <v>69.4000000000001</v>
      </c>
      <c r="AH863" s="2606" t="n">
        <f aca="false">AG863*3.1415926535897/180</f>
        <v>1.21125850088403</v>
      </c>
      <c r="AI863" s="2606" t="n">
        <f aca="false">AH863+0.0005</f>
        <v>1.21175850088403</v>
      </c>
      <c r="AJ863" s="2606" t="n">
        <f aca="false">AH863-0.0005</f>
        <v>1.21075850088403</v>
      </c>
      <c r="AK863" s="2315" t="n">
        <f aca="false">IF(AND(дома!$Z$29&gt;=AJ863,дома!$Z$29&lt;=AI863),связи1!AG863,0)</f>
        <v>0</v>
      </c>
      <c r="AL863" s="2315" t="n">
        <f aca="false">IF(AND(дома!$AA$29&gt;=AJ863,дома!$AA$29&lt;=AI863),связи1!AG863,0)</f>
        <v>0</v>
      </c>
    </row>
    <row r="864" customFormat="false" ht="15.5" hidden="false" customHeight="false" outlineLevel="0" collapsed="false">
      <c r="A864" s="2688" t="s">
        <v>1730</v>
      </c>
      <c r="B864" s="1150" t="n">
        <f aca="false">'Прайс лист'!G1995</f>
        <v>5000</v>
      </c>
      <c r="AG864" s="2315" t="n">
        <v>69.5000000000001</v>
      </c>
      <c r="AH864" s="2606" t="n">
        <f aca="false">AG864*3.1415926535897/180</f>
        <v>1.21300383013602</v>
      </c>
      <c r="AI864" s="2606" t="n">
        <f aca="false">AH864+0.0005</f>
        <v>1.21350383013602</v>
      </c>
      <c r="AJ864" s="2606" t="n">
        <f aca="false">AH864-0.0005</f>
        <v>1.21250383013602</v>
      </c>
      <c r="AK864" s="2315" t="n">
        <f aca="false">IF(AND(дома!$Z$29&gt;=AJ864,дома!$Z$29&lt;=AI864),связи1!AG864,0)</f>
        <v>0</v>
      </c>
      <c r="AL864" s="2315" t="n">
        <f aca="false">IF(AND(дома!$AA$29&gt;=AJ864,дома!$AA$29&lt;=AI864),связи1!AG864,0)</f>
        <v>0</v>
      </c>
    </row>
    <row r="865" customFormat="false" ht="14.5" hidden="false" customHeight="false" outlineLevel="0" collapsed="false">
      <c r="A865" s="2692" t="s">
        <v>493</v>
      </c>
      <c r="B865" s="2315"/>
      <c r="C865" s="2315" t="n">
        <v>0</v>
      </c>
      <c r="AG865" s="2315" t="n">
        <v>69.6000000000001</v>
      </c>
      <c r="AH865" s="2606" t="n">
        <f aca="false">AG865*3.1415926535897/180</f>
        <v>1.21474915938802</v>
      </c>
      <c r="AI865" s="2606" t="n">
        <f aca="false">AH865+0.0005</f>
        <v>1.21524915938802</v>
      </c>
      <c r="AJ865" s="2606" t="n">
        <f aca="false">AH865-0.0005</f>
        <v>1.21424915938802</v>
      </c>
      <c r="AK865" s="2315" t="n">
        <f aca="false">IF(AND(дома!$Z$29&gt;=AJ865,дома!$Z$29&lt;=AI865),связи1!AG865,0)</f>
        <v>0</v>
      </c>
      <c r="AL865" s="2315" t="n">
        <f aca="false">IF(AND(дома!$AA$29&gt;=AJ865,дома!$AA$29&lt;=AI865),связи1!AG865,0)</f>
        <v>0</v>
      </c>
    </row>
    <row r="866" customFormat="false" ht="14.5" hidden="false" customHeight="false" outlineLevel="0" collapsed="false">
      <c r="A866" s="896" t="n">
        <v>1</v>
      </c>
      <c r="B866" s="2315"/>
      <c r="C866" s="2315" t="n">
        <f aca="false">A866</f>
        <v>1</v>
      </c>
      <c r="AG866" s="2315" t="n">
        <v>69.7000000000001</v>
      </c>
      <c r="AH866" s="2606" t="n">
        <f aca="false">AG866*3.1415926535897/180</f>
        <v>1.21649448864001</v>
      </c>
      <c r="AI866" s="2606" t="n">
        <f aca="false">AH866+0.0005</f>
        <v>1.21699448864001</v>
      </c>
      <c r="AJ866" s="2606" t="n">
        <f aca="false">AH866-0.0005</f>
        <v>1.21599448864001</v>
      </c>
      <c r="AK866" s="2315" t="n">
        <f aca="false">IF(AND(дома!$Z$29&gt;=AJ866,дома!$Z$29&lt;=AI866),связи1!AG866,0)</f>
        <v>0</v>
      </c>
      <c r="AL866" s="2315" t="n">
        <f aca="false">IF(AND(дома!$AA$29&gt;=AJ866,дома!$AA$29&lt;=AI866),связи1!AG866,0)</f>
        <v>0</v>
      </c>
    </row>
    <row r="867" customFormat="false" ht="14.5" hidden="false" customHeight="false" outlineLevel="0" collapsed="false">
      <c r="A867" s="896" t="n">
        <v>2</v>
      </c>
      <c r="B867" s="2315"/>
      <c r="C867" s="2315" t="n">
        <f aca="false">A867</f>
        <v>2</v>
      </c>
      <c r="AG867" s="2315" t="n">
        <v>69.8000000000001</v>
      </c>
      <c r="AH867" s="2606" t="n">
        <f aca="false">AG867*3.1415926535897/180</f>
        <v>1.21823981789201</v>
      </c>
      <c r="AI867" s="2606" t="n">
        <f aca="false">AH867+0.0005</f>
        <v>1.21873981789201</v>
      </c>
      <c r="AJ867" s="2606" t="n">
        <f aca="false">AH867-0.0005</f>
        <v>1.21773981789201</v>
      </c>
      <c r="AK867" s="2315" t="n">
        <f aca="false">IF(AND(дома!$Z$29&gt;=AJ867,дома!$Z$29&lt;=AI867),связи1!AG867,0)</f>
        <v>0</v>
      </c>
      <c r="AL867" s="2315" t="n">
        <f aca="false">IF(AND(дома!$AA$29&gt;=AJ867,дома!$AA$29&lt;=AI867),связи1!AG867,0)</f>
        <v>0</v>
      </c>
    </row>
    <row r="868" customFormat="false" ht="14.5" hidden="false" customHeight="false" outlineLevel="0" collapsed="false">
      <c r="A868" s="896" t="n">
        <v>3</v>
      </c>
      <c r="B868" s="2315"/>
      <c r="C868" s="2315" t="n">
        <f aca="false">A868</f>
        <v>3</v>
      </c>
      <c r="AG868" s="2315" t="n">
        <v>69.9000000000001</v>
      </c>
      <c r="AH868" s="2606" t="n">
        <f aca="false">AG868*3.1415926535897/180</f>
        <v>1.219985147144</v>
      </c>
      <c r="AI868" s="2606" t="n">
        <f aca="false">AH868+0.0005</f>
        <v>1.220485147144</v>
      </c>
      <c r="AJ868" s="2606" t="n">
        <f aca="false">AH868-0.0005</f>
        <v>1.219485147144</v>
      </c>
      <c r="AK868" s="2315" t="n">
        <f aca="false">IF(AND(дома!$Z$29&gt;=AJ868,дома!$Z$29&lt;=AI868),связи1!AG868,0)</f>
        <v>0</v>
      </c>
      <c r="AL868" s="2315" t="n">
        <f aca="false">IF(AND(дома!$AA$29&gt;=AJ868,дома!$AA$29&lt;=AI868),связи1!AG868,0)</f>
        <v>0</v>
      </c>
    </row>
    <row r="869" customFormat="false" ht="14.5" hidden="false" customHeight="false" outlineLevel="0" collapsed="false">
      <c r="AG869" s="2315" t="n">
        <v>70.0000000000001</v>
      </c>
      <c r="AH869" s="2606" t="n">
        <f aca="false">AG869*3.1415926535897/180</f>
        <v>1.221730476396</v>
      </c>
      <c r="AI869" s="2606" t="n">
        <f aca="false">AH869+0.0005</f>
        <v>1.222230476396</v>
      </c>
      <c r="AJ869" s="2606" t="n">
        <f aca="false">AH869-0.0005</f>
        <v>1.221230476396</v>
      </c>
      <c r="AK869" s="2315" t="n">
        <f aca="false">IF(AND(дома!$Z$29&gt;=AJ869,дома!$Z$29&lt;=AI869),связи1!AG869,0)</f>
        <v>0</v>
      </c>
      <c r="AL869" s="2315" t="n">
        <f aca="false">IF(AND(дома!$AA$29&gt;=AJ869,дома!$AA$29&lt;=AI869),связи1!AG869,0)</f>
        <v>0</v>
      </c>
    </row>
    <row r="870" customFormat="false" ht="15.5" hidden="false" customHeight="false" outlineLevel="0" collapsed="false">
      <c r="A870" s="2688" t="s">
        <v>1732</v>
      </c>
      <c r="AG870" s="2315" t="n">
        <v>70.1000000000001</v>
      </c>
      <c r="AH870" s="2606" t="n">
        <f aca="false">AG870*3.1415926535897/180</f>
        <v>1.22347580564799</v>
      </c>
      <c r="AI870" s="2606" t="n">
        <f aca="false">AH870+0.0005</f>
        <v>1.22397580564799</v>
      </c>
      <c r="AJ870" s="2606" t="n">
        <f aca="false">AH870-0.0005</f>
        <v>1.22297580564799</v>
      </c>
      <c r="AK870" s="2315" t="n">
        <f aca="false">IF(AND(дома!$Z$29&gt;=AJ870,дома!$Z$29&lt;=AI870),связи1!AG870,0)</f>
        <v>0</v>
      </c>
      <c r="AL870" s="2315" t="n">
        <f aca="false">IF(AND(дома!$AA$29&gt;=AJ870,дома!$AA$29&lt;=AI870),связи1!AG870,0)</f>
        <v>0</v>
      </c>
    </row>
    <row r="871" customFormat="false" ht="14.5" hidden="false" customHeight="false" outlineLevel="0" collapsed="false">
      <c r="A871" s="2692" t="s">
        <v>1733</v>
      </c>
      <c r="B871" s="933" t="n">
        <f aca="false">'Прайс лист'!G2000</f>
        <v>500</v>
      </c>
      <c r="C871" s="2315"/>
      <c r="AG871" s="2315" t="n">
        <v>70.2000000000001</v>
      </c>
      <c r="AH871" s="2606" t="n">
        <f aca="false">AG871*3.1415926535897/180</f>
        <v>1.22522113489998</v>
      </c>
      <c r="AI871" s="2606" t="n">
        <f aca="false">AH871+0.0005</f>
        <v>1.22572113489998</v>
      </c>
      <c r="AJ871" s="2606" t="n">
        <f aca="false">AH871-0.0005</f>
        <v>1.22472113489998</v>
      </c>
      <c r="AK871" s="2315" t="n">
        <f aca="false">IF(AND(дома!$Z$29&gt;=AJ871,дома!$Z$29&lt;=AI871),связи1!AG871,0)</f>
        <v>0</v>
      </c>
      <c r="AL871" s="2315" t="n">
        <f aca="false">IF(AND(дома!$AA$29&gt;=AJ871,дома!$AA$29&lt;=AI871),связи1!AG871,0)</f>
        <v>0</v>
      </c>
    </row>
    <row r="872" customFormat="false" ht="14.5" hidden="false" customHeight="false" outlineLevel="0" collapsed="false">
      <c r="A872" s="2692" t="s">
        <v>1734</v>
      </c>
      <c r="B872" s="933" t="n">
        <f aca="false">'Прайс лист'!G2001</f>
        <v>500</v>
      </c>
      <c r="C872" s="2315"/>
      <c r="AG872" s="2315" t="n">
        <v>70.3000000000001</v>
      </c>
      <c r="AH872" s="2606" t="n">
        <f aca="false">AG872*3.1415926535897/180</f>
        <v>1.22696646415198</v>
      </c>
      <c r="AI872" s="2606" t="n">
        <f aca="false">AH872+0.0005</f>
        <v>1.22746646415198</v>
      </c>
      <c r="AJ872" s="2606" t="n">
        <f aca="false">AH872-0.0005</f>
        <v>1.22646646415198</v>
      </c>
      <c r="AK872" s="2315" t="n">
        <f aca="false">IF(AND(дома!$Z$29&gt;=AJ872,дома!$Z$29&lt;=AI872),связи1!AG872,0)</f>
        <v>0</v>
      </c>
      <c r="AL872" s="2315" t="n">
        <f aca="false">IF(AND(дома!$AA$29&gt;=AJ872,дома!$AA$29&lt;=AI872),связи1!AG872,0)</f>
        <v>0</v>
      </c>
    </row>
    <row r="873" customFormat="false" ht="14.5" hidden="false" customHeight="false" outlineLevel="0" collapsed="false">
      <c r="A873" s="2692" t="s">
        <v>1735</v>
      </c>
      <c r="B873" s="933" t="n">
        <f aca="false">'Прайс лист'!G2002</f>
        <v>500</v>
      </c>
      <c r="C873" s="2315"/>
      <c r="AG873" s="2315" t="n">
        <v>70.4000000000001</v>
      </c>
      <c r="AH873" s="2606" t="n">
        <f aca="false">AG873*3.1415926535897/180</f>
        <v>1.22871179340397</v>
      </c>
      <c r="AI873" s="2606" t="n">
        <f aca="false">AH873+0.0005</f>
        <v>1.22921179340397</v>
      </c>
      <c r="AJ873" s="2606" t="n">
        <f aca="false">AH873-0.0005</f>
        <v>1.22821179340397</v>
      </c>
      <c r="AK873" s="2315" t="n">
        <f aca="false">IF(AND(дома!$Z$29&gt;=AJ873,дома!$Z$29&lt;=AI873),связи1!AG873,0)</f>
        <v>0</v>
      </c>
      <c r="AL873" s="2315" t="n">
        <f aca="false">IF(AND(дома!$AA$29&gt;=AJ873,дома!$AA$29&lt;=AI873),связи1!AG873,0)</f>
        <v>0</v>
      </c>
    </row>
    <row r="874" customFormat="false" ht="14.5" hidden="false" customHeight="false" outlineLevel="0" collapsed="false">
      <c r="AG874" s="2315" t="n">
        <v>70.5000000000001</v>
      </c>
      <c r="AH874" s="2606" t="n">
        <f aca="false">AG874*3.1415926535897/180</f>
        <v>1.23045712265597</v>
      </c>
      <c r="AI874" s="2606" t="n">
        <f aca="false">AH874+0.0005</f>
        <v>1.23095712265597</v>
      </c>
      <c r="AJ874" s="2606" t="n">
        <f aca="false">AH874-0.0005</f>
        <v>1.22995712265597</v>
      </c>
      <c r="AK874" s="2315" t="n">
        <f aca="false">IF(AND(дома!$Z$29&gt;=AJ874,дома!$Z$29&lt;=AI874),связи1!AG874,0)</f>
        <v>0</v>
      </c>
      <c r="AL874" s="2315" t="n">
        <f aca="false">IF(AND(дома!$AA$29&gt;=AJ874,дома!$AA$29&lt;=AI874),связи1!AG874,0)</f>
        <v>0</v>
      </c>
    </row>
    <row r="875" customFormat="false" ht="15.5" hidden="false" customHeight="false" outlineLevel="0" collapsed="false">
      <c r="A875" s="2688" t="s">
        <v>2539</v>
      </c>
      <c r="B875" s="1150" t="n">
        <f aca="false">'Прайс лист'!G1997</f>
        <v>2000</v>
      </c>
      <c r="AG875" s="2315" t="n">
        <v>70.6000000000001</v>
      </c>
      <c r="AH875" s="2606" t="n">
        <f aca="false">AG875*3.1415926535897/180</f>
        <v>1.23220245190796</v>
      </c>
      <c r="AI875" s="2606" t="n">
        <f aca="false">AH875+0.0005</f>
        <v>1.23270245190796</v>
      </c>
      <c r="AJ875" s="2606" t="n">
        <f aca="false">AH875-0.0005</f>
        <v>1.23170245190796</v>
      </c>
      <c r="AK875" s="2315" t="n">
        <f aca="false">IF(AND(дома!$Z$29&gt;=AJ875,дома!$Z$29&lt;=AI875),связи1!AG875,0)</f>
        <v>0</v>
      </c>
      <c r="AL875" s="2315" t="n">
        <f aca="false">IF(AND(дома!$AA$29&gt;=AJ875,дома!$AA$29&lt;=AI875),связи1!AG875,0)</f>
        <v>0</v>
      </c>
    </row>
    <row r="876" customFormat="false" ht="14.5" hidden="false" customHeight="false" outlineLevel="0" collapsed="false">
      <c r="A876" s="2692" t="s">
        <v>493</v>
      </c>
      <c r="AG876" s="2315" t="n">
        <v>70.7000000000001</v>
      </c>
      <c r="AH876" s="2606" t="n">
        <f aca="false">AG876*3.1415926535897/180</f>
        <v>1.23394778115996</v>
      </c>
      <c r="AI876" s="2606" t="n">
        <f aca="false">AH876+0.0005</f>
        <v>1.23444778115996</v>
      </c>
      <c r="AJ876" s="2606" t="n">
        <f aca="false">AH876-0.0005</f>
        <v>1.23344778115996</v>
      </c>
      <c r="AK876" s="2315" t="n">
        <f aca="false">IF(AND(дома!$Z$29&gt;=AJ876,дома!$Z$29&lt;=AI876),связи1!AG876,0)</f>
        <v>0</v>
      </c>
      <c r="AL876" s="2315" t="n">
        <f aca="false">IF(AND(дома!$AA$29&gt;=AJ876,дома!$AA$29&lt;=AI876),связи1!AG876,0)</f>
        <v>0</v>
      </c>
    </row>
    <row r="877" customFormat="false" ht="14.5" hidden="false" customHeight="false" outlineLevel="0" collapsed="false">
      <c r="A877" s="896" t="n">
        <v>1</v>
      </c>
      <c r="AG877" s="2315" t="n">
        <v>70.8000000000001</v>
      </c>
      <c r="AH877" s="2606" t="n">
        <f aca="false">AG877*3.1415926535897/180</f>
        <v>1.23569311041195</v>
      </c>
      <c r="AI877" s="2606" t="n">
        <f aca="false">AH877+0.0005</f>
        <v>1.23619311041195</v>
      </c>
      <c r="AJ877" s="2606" t="n">
        <f aca="false">AH877-0.0005</f>
        <v>1.23519311041195</v>
      </c>
      <c r="AK877" s="2315" t="n">
        <f aca="false">IF(AND(дома!$Z$29&gt;=AJ877,дома!$Z$29&lt;=AI877),связи1!AG877,0)</f>
        <v>0</v>
      </c>
      <c r="AL877" s="2315" t="n">
        <f aca="false">IF(AND(дома!$AA$29&gt;=AJ877,дома!$AA$29&lt;=AI877),связи1!AG877,0)</f>
        <v>0</v>
      </c>
    </row>
    <row r="878" customFormat="false" ht="14.5" hidden="false" customHeight="false" outlineLevel="0" collapsed="false">
      <c r="A878" s="896" t="n">
        <v>2</v>
      </c>
      <c r="AG878" s="2315" t="n">
        <v>70.9000000000001</v>
      </c>
      <c r="AH878" s="2606" t="n">
        <f aca="false">AG878*3.1415926535897/180</f>
        <v>1.23743843966394</v>
      </c>
      <c r="AI878" s="2606" t="n">
        <f aca="false">AH878+0.0005</f>
        <v>1.23793843966394</v>
      </c>
      <c r="AJ878" s="2606" t="n">
        <f aca="false">AH878-0.0005</f>
        <v>1.23693843966394</v>
      </c>
      <c r="AK878" s="2315" t="n">
        <f aca="false">IF(AND(дома!$Z$29&gt;=AJ878,дома!$Z$29&lt;=AI878),связи1!AG878,0)</f>
        <v>0</v>
      </c>
      <c r="AL878" s="2315" t="n">
        <f aca="false">IF(AND(дома!$AA$29&gt;=AJ878,дома!$AA$29&lt;=AI878),связи1!AG878,0)</f>
        <v>0</v>
      </c>
    </row>
    <row r="879" customFormat="false" ht="14.5" hidden="false" customHeight="false" outlineLevel="0" collapsed="false">
      <c r="A879" s="896" t="n">
        <v>3</v>
      </c>
      <c r="AG879" s="2315" t="n">
        <v>71.0000000000001</v>
      </c>
      <c r="AH879" s="2606" t="n">
        <f aca="false">AG879*3.1415926535897/180</f>
        <v>1.23918376891594</v>
      </c>
      <c r="AI879" s="2606" t="n">
        <f aca="false">AH879+0.0005</f>
        <v>1.23968376891594</v>
      </c>
      <c r="AJ879" s="2606" t="n">
        <f aca="false">AH879-0.0005</f>
        <v>1.23868376891594</v>
      </c>
      <c r="AK879" s="2315" t="n">
        <f aca="false">IF(AND(дома!$Z$29&gt;=AJ879,дома!$Z$29&lt;=AI879),связи1!AG879,0)</f>
        <v>0</v>
      </c>
      <c r="AL879" s="2315" t="n">
        <f aca="false">IF(AND(дома!$AA$29&gt;=AJ879,дома!$AA$29&lt;=AI879),связи1!AG879,0)</f>
        <v>0</v>
      </c>
    </row>
    <row r="880" customFormat="false" ht="14.5" hidden="false" customHeight="false" outlineLevel="0" collapsed="false">
      <c r="AG880" s="2315" t="n">
        <v>71.1000000000001</v>
      </c>
      <c r="AH880" s="2606" t="n">
        <f aca="false">AG880*3.1415926535897/180</f>
        <v>1.24092909816793</v>
      </c>
      <c r="AI880" s="2606" t="n">
        <f aca="false">AH880+0.0005</f>
        <v>1.24142909816793</v>
      </c>
      <c r="AJ880" s="2606" t="n">
        <f aca="false">AH880-0.0005</f>
        <v>1.24042909816793</v>
      </c>
      <c r="AK880" s="2315" t="n">
        <f aca="false">IF(AND(дома!$Z$29&gt;=AJ880,дома!$Z$29&lt;=AI880),связи1!AG880,0)</f>
        <v>0</v>
      </c>
      <c r="AL880" s="2315" t="n">
        <f aca="false">IF(AND(дома!$AA$29&gt;=AJ880,дома!$AA$29&lt;=AI880),связи1!AG880,0)</f>
        <v>0</v>
      </c>
    </row>
    <row r="881" customFormat="false" ht="15.5" hidden="false" customHeight="false" outlineLevel="0" collapsed="false">
      <c r="A881" s="2688" t="s">
        <v>1736</v>
      </c>
      <c r="AG881" s="2315" t="n">
        <v>71.2000000000001</v>
      </c>
      <c r="AH881" s="2606" t="n">
        <f aca="false">AG881*3.1415926535897/180</f>
        <v>1.24267442741993</v>
      </c>
      <c r="AI881" s="2606" t="n">
        <f aca="false">AH881+0.0005</f>
        <v>1.24317442741993</v>
      </c>
      <c r="AJ881" s="2606" t="n">
        <f aca="false">AH881-0.0005</f>
        <v>1.24217442741993</v>
      </c>
      <c r="AK881" s="2315" t="n">
        <f aca="false">IF(AND(дома!$Z$29&gt;=AJ881,дома!$Z$29&lt;=AI881),связи1!AG881,0)</f>
        <v>0</v>
      </c>
      <c r="AL881" s="2315" t="n">
        <f aca="false">IF(AND(дома!$AA$29&gt;=AJ881,дома!$AA$29&lt;=AI881),связи1!AG881,0)</f>
        <v>0</v>
      </c>
    </row>
    <row r="882" customFormat="false" ht="14.5" hidden="false" customHeight="false" outlineLevel="0" collapsed="false">
      <c r="A882" s="2692" t="s">
        <v>1733</v>
      </c>
      <c r="B882" s="1150" t="n">
        <f aca="false">'Прайс лист'!G2007</f>
        <v>600</v>
      </c>
      <c r="AG882" s="2315" t="n">
        <v>71.3000000000001</v>
      </c>
      <c r="AH882" s="2606" t="n">
        <f aca="false">AG882*3.1415926535897/180</f>
        <v>1.24441975667192</v>
      </c>
      <c r="AI882" s="2606" t="n">
        <f aca="false">AH882+0.0005</f>
        <v>1.24491975667192</v>
      </c>
      <c r="AJ882" s="2606" t="n">
        <f aca="false">AH882-0.0005</f>
        <v>1.24391975667192</v>
      </c>
      <c r="AK882" s="2315" t="n">
        <f aca="false">IF(AND(дома!$Z$29&gt;=AJ882,дома!$Z$29&lt;=AI882),связи1!AG882,0)</f>
        <v>0</v>
      </c>
      <c r="AL882" s="2315" t="n">
        <f aca="false">IF(AND(дома!$AA$29&gt;=AJ882,дома!$AA$29&lt;=AI882),связи1!AG882,0)</f>
        <v>0</v>
      </c>
    </row>
    <row r="883" customFormat="false" ht="14.5" hidden="false" customHeight="false" outlineLevel="0" collapsed="false">
      <c r="A883" s="2692" t="s">
        <v>1734</v>
      </c>
      <c r="B883" s="1150" t="n">
        <f aca="false">'Прайс лист'!G2008</f>
        <v>600</v>
      </c>
      <c r="AG883" s="2315" t="n">
        <v>71.4000000000001</v>
      </c>
      <c r="AH883" s="2606" t="n">
        <f aca="false">AG883*3.1415926535897/180</f>
        <v>1.24616508592392</v>
      </c>
      <c r="AI883" s="2606" t="n">
        <f aca="false">AH883+0.0005</f>
        <v>1.24666508592392</v>
      </c>
      <c r="AJ883" s="2606" t="n">
        <f aca="false">AH883-0.0005</f>
        <v>1.24566508592392</v>
      </c>
      <c r="AK883" s="2315" t="n">
        <f aca="false">IF(AND(дома!$Z$29&gt;=AJ883,дома!$Z$29&lt;=AI883),связи1!AG883,0)</f>
        <v>0</v>
      </c>
      <c r="AL883" s="2315" t="n">
        <f aca="false">IF(AND(дома!$AA$29&gt;=AJ883,дома!$AA$29&lt;=AI883),связи1!AG883,0)</f>
        <v>0</v>
      </c>
    </row>
    <row r="884" customFormat="false" ht="14.5" hidden="false" customHeight="false" outlineLevel="0" collapsed="false">
      <c r="A884" s="2692" t="s">
        <v>1735</v>
      </c>
      <c r="B884" s="1150" t="n">
        <f aca="false">'Прайс лист'!G2009</f>
        <v>600</v>
      </c>
      <c r="AG884" s="2315" t="n">
        <v>71.5000000000001</v>
      </c>
      <c r="AH884" s="2606" t="n">
        <f aca="false">AG884*3.1415926535897/180</f>
        <v>1.24791041517591</v>
      </c>
      <c r="AI884" s="2606" t="n">
        <f aca="false">AH884+0.0005</f>
        <v>1.24841041517591</v>
      </c>
      <c r="AJ884" s="2606" t="n">
        <f aca="false">AH884-0.0005</f>
        <v>1.24741041517591</v>
      </c>
      <c r="AK884" s="2315" t="n">
        <f aca="false">IF(AND(дома!$Z$29&gt;=AJ884,дома!$Z$29&lt;=AI884),связи1!AG884,0)</f>
        <v>0</v>
      </c>
      <c r="AL884" s="2315" t="n">
        <f aca="false">IF(AND(дома!$AA$29&gt;=AJ884,дома!$AA$29&lt;=AI884),связи1!AG884,0)</f>
        <v>0</v>
      </c>
    </row>
    <row r="885" customFormat="false" ht="14.5" hidden="false" customHeight="false" outlineLevel="0" collapsed="false">
      <c r="AG885" s="2315" t="n">
        <v>71.6000000000001</v>
      </c>
      <c r="AH885" s="2606" t="n">
        <f aca="false">AG885*3.1415926535897/180</f>
        <v>1.2496557444279</v>
      </c>
      <c r="AI885" s="2606" t="n">
        <f aca="false">AH885+0.0005</f>
        <v>1.2501557444279</v>
      </c>
      <c r="AJ885" s="2606" t="n">
        <f aca="false">AH885-0.0005</f>
        <v>1.2491557444279</v>
      </c>
      <c r="AK885" s="2315" t="n">
        <f aca="false">IF(AND(дома!$Z$29&gt;=AJ885,дома!$Z$29&lt;=AI885),связи1!AG885,0)</f>
        <v>0</v>
      </c>
      <c r="AL885" s="2315" t="n">
        <f aca="false">IF(AND(дома!$AA$29&gt;=AJ885,дома!$AA$29&lt;=AI885),связи1!AG885,0)</f>
        <v>0</v>
      </c>
    </row>
    <row r="886" customFormat="false" ht="14.5" hidden="false" customHeight="false" outlineLevel="0" collapsed="false">
      <c r="A886" s="2695" t="s">
        <v>4594</v>
      </c>
      <c r="B886" s="896" t="n">
        <f aca="false">'Ввод данных'!B1524</f>
        <v>0</v>
      </c>
      <c r="AG886" s="2315" t="n">
        <v>71.7000000000001</v>
      </c>
      <c r="AH886" s="2606" t="n">
        <f aca="false">AG886*3.1415926535897/180</f>
        <v>1.2514010736799</v>
      </c>
      <c r="AI886" s="2606" t="n">
        <f aca="false">AH886+0.0005</f>
        <v>1.2519010736799</v>
      </c>
      <c r="AJ886" s="2606" t="n">
        <f aca="false">AH886-0.0005</f>
        <v>1.2509010736799</v>
      </c>
      <c r="AK886" s="2315" t="n">
        <f aca="false">IF(AND(дома!$Z$29&gt;=AJ886,дома!$Z$29&lt;=AI886),связи1!AG886,0)</f>
        <v>0</v>
      </c>
      <c r="AL886" s="2315" t="n">
        <f aca="false">IF(AND(дома!$AA$29&gt;=AJ886,дома!$AA$29&lt;=AI886),связи1!AG886,0)</f>
        <v>0</v>
      </c>
    </row>
    <row r="887" customFormat="false" ht="14.5" hidden="false" customHeight="false" outlineLevel="0" collapsed="false">
      <c r="A887" s="2695" t="s">
        <v>4595</v>
      </c>
      <c r="B887" s="896" t="n">
        <f aca="false">'Ввод данных'!B1525</f>
        <v>0</v>
      </c>
      <c r="AG887" s="2315" t="n">
        <v>71.8000000000001</v>
      </c>
      <c r="AH887" s="2606" t="n">
        <f aca="false">AG887*3.1415926535897/180</f>
        <v>1.25314640293189</v>
      </c>
      <c r="AI887" s="2606" t="n">
        <f aca="false">AH887+0.0005</f>
        <v>1.25364640293189</v>
      </c>
      <c r="AJ887" s="2606" t="n">
        <f aca="false">AH887-0.0005</f>
        <v>1.25264640293189</v>
      </c>
      <c r="AK887" s="2315" t="n">
        <f aca="false">IF(AND(дома!$Z$29&gt;=AJ887,дома!$Z$29&lt;=AI887),связи1!AG887,0)</f>
        <v>0</v>
      </c>
      <c r="AL887" s="2315" t="n">
        <f aca="false">IF(AND(дома!$AA$29&gt;=AJ887,дома!$AA$29&lt;=AI887),связи1!AG887,0)</f>
        <v>0</v>
      </c>
    </row>
    <row r="888" customFormat="false" ht="14.5" hidden="false" customHeight="false" outlineLevel="0" collapsed="false">
      <c r="AG888" s="2315" t="n">
        <v>71.9000000000001</v>
      </c>
      <c r="AH888" s="2606" t="n">
        <f aca="false">AG888*3.1415926535897/180</f>
        <v>1.25489173218389</v>
      </c>
      <c r="AI888" s="2606" t="n">
        <f aca="false">AH888+0.0005</f>
        <v>1.25539173218389</v>
      </c>
      <c r="AJ888" s="2606" t="n">
        <f aca="false">AH888-0.0005</f>
        <v>1.25439173218389</v>
      </c>
      <c r="AK888" s="2315" t="n">
        <f aca="false">IF(AND(дома!$Z$29&gt;=AJ888,дома!$Z$29&lt;=AI888),связи1!AG888,0)</f>
        <v>0</v>
      </c>
      <c r="AL888" s="2315" t="n">
        <f aca="false">IF(AND(дома!$AA$29&gt;=AJ888,дома!$AA$29&lt;=AI888),связи1!AG888,0)</f>
        <v>0</v>
      </c>
    </row>
    <row r="889" customFormat="false" ht="14.5" hidden="false" customHeight="false" outlineLevel="0" collapsed="false">
      <c r="AG889" s="2315" t="n">
        <v>72.0000000000001</v>
      </c>
      <c r="AH889" s="2606" t="n">
        <f aca="false">AG889*3.1415926535897/180</f>
        <v>1.25663706143588</v>
      </c>
      <c r="AI889" s="2606" t="n">
        <f aca="false">AH889+0.0005</f>
        <v>1.25713706143588</v>
      </c>
      <c r="AJ889" s="2606" t="n">
        <f aca="false">AH889-0.0005</f>
        <v>1.25613706143588</v>
      </c>
      <c r="AK889" s="2315" t="n">
        <f aca="false">IF(AND(дома!$Z$29&gt;=AJ889,дома!$Z$29&lt;=AI889),связи1!AG889,0)</f>
        <v>0</v>
      </c>
      <c r="AL889" s="2315" t="n">
        <f aca="false">IF(AND(дома!$AA$29&gt;=AJ889,дома!$AA$29&lt;=AI889),связи1!AG889,0)</f>
        <v>0</v>
      </c>
    </row>
    <row r="890" customFormat="false" ht="14.5" hidden="false" customHeight="false" outlineLevel="0" collapsed="false">
      <c r="AG890" s="2315" t="n">
        <v>72.1000000000001</v>
      </c>
      <c r="AH890" s="2606" t="n">
        <f aca="false">AG890*3.1415926535897/180</f>
        <v>1.25838239068788</v>
      </c>
      <c r="AI890" s="2606" t="n">
        <f aca="false">AH890+0.0005</f>
        <v>1.25888239068788</v>
      </c>
      <c r="AJ890" s="2606" t="n">
        <f aca="false">AH890-0.0005</f>
        <v>1.25788239068788</v>
      </c>
      <c r="AK890" s="2315" t="n">
        <f aca="false">IF(AND(дома!$Z$29&gt;=AJ890,дома!$Z$29&lt;=AI890),связи1!AG890,0)</f>
        <v>0</v>
      </c>
      <c r="AL890" s="2315" t="n">
        <f aca="false">IF(AND(дома!$AA$29&gt;=AJ890,дома!$AA$29&lt;=AI890),связи1!AG890,0)</f>
        <v>0</v>
      </c>
    </row>
    <row r="891" customFormat="false" ht="14.5" hidden="false" customHeight="false" outlineLevel="0" collapsed="false">
      <c r="AG891" s="2315" t="n">
        <v>72.2000000000001</v>
      </c>
      <c r="AH891" s="2606" t="n">
        <f aca="false">AG891*3.1415926535897/180</f>
        <v>1.26012771993987</v>
      </c>
      <c r="AI891" s="2606" t="n">
        <f aca="false">AH891+0.0005</f>
        <v>1.26062771993987</v>
      </c>
      <c r="AJ891" s="2606" t="n">
        <f aca="false">AH891-0.0005</f>
        <v>1.25962771993987</v>
      </c>
      <c r="AK891" s="2315" t="n">
        <f aca="false">IF(AND(дома!$Z$29&gt;=AJ891,дома!$Z$29&lt;=AI891),связи1!AG891,0)</f>
        <v>0</v>
      </c>
      <c r="AL891" s="2315" t="n">
        <f aca="false">IF(AND(дома!$AA$29&gt;=AJ891,дома!$AA$29&lt;=AI891),связи1!AG891,0)</f>
        <v>0</v>
      </c>
    </row>
    <row r="892" customFormat="false" ht="14.5" hidden="false" customHeight="false" outlineLevel="0" collapsed="false">
      <c r="AG892" s="2315" t="n">
        <v>72.3000000000001</v>
      </c>
      <c r="AH892" s="2606" t="n">
        <f aca="false">AG892*3.1415926535897/180</f>
        <v>1.26187304919186</v>
      </c>
      <c r="AI892" s="2606" t="n">
        <f aca="false">AH892+0.0005</f>
        <v>1.26237304919186</v>
      </c>
      <c r="AJ892" s="2606" t="n">
        <f aca="false">AH892-0.0005</f>
        <v>1.26137304919186</v>
      </c>
      <c r="AK892" s="2315" t="n">
        <f aca="false">IF(AND(дома!$Z$29&gt;=AJ892,дома!$Z$29&lt;=AI892),связи1!AG892,0)</f>
        <v>0</v>
      </c>
      <c r="AL892" s="2315" t="n">
        <f aca="false">IF(AND(дома!$AA$29&gt;=AJ892,дома!$AA$29&lt;=AI892),связи1!AG892,0)</f>
        <v>0</v>
      </c>
    </row>
    <row r="893" customFormat="false" ht="14.5" hidden="false" customHeight="false" outlineLevel="0" collapsed="false">
      <c r="AG893" s="2315" t="n">
        <v>72.4000000000001</v>
      </c>
      <c r="AH893" s="2606" t="n">
        <f aca="false">AG893*3.1415926535897/180</f>
        <v>1.26361837844386</v>
      </c>
      <c r="AI893" s="2606" t="n">
        <f aca="false">AH893+0.0005</f>
        <v>1.26411837844386</v>
      </c>
      <c r="AJ893" s="2606" t="n">
        <f aca="false">AH893-0.0005</f>
        <v>1.26311837844386</v>
      </c>
      <c r="AK893" s="2315" t="n">
        <f aca="false">IF(AND(дома!$Z$29&gt;=AJ893,дома!$Z$29&lt;=AI893),связи1!AG893,0)</f>
        <v>0</v>
      </c>
      <c r="AL893" s="2315" t="n">
        <f aca="false">IF(AND(дома!$AA$29&gt;=AJ893,дома!$AA$29&lt;=AI893),связи1!AG893,0)</f>
        <v>0</v>
      </c>
    </row>
    <row r="894" customFormat="false" ht="14.5" hidden="false" customHeight="false" outlineLevel="0" collapsed="false">
      <c r="AG894" s="2315" t="n">
        <v>72.5000000000001</v>
      </c>
      <c r="AH894" s="2606" t="n">
        <f aca="false">AG894*3.1415926535897/180</f>
        <v>1.26536370769585</v>
      </c>
      <c r="AI894" s="2606" t="n">
        <f aca="false">AH894+0.0005</f>
        <v>1.26586370769585</v>
      </c>
      <c r="AJ894" s="2606" t="n">
        <f aca="false">AH894-0.0005</f>
        <v>1.26486370769585</v>
      </c>
      <c r="AK894" s="2315" t="n">
        <f aca="false">IF(AND(дома!$Z$29&gt;=AJ894,дома!$Z$29&lt;=AI894),связи1!AG894,0)</f>
        <v>0</v>
      </c>
      <c r="AL894" s="2315" t="n">
        <f aca="false">IF(AND(дома!$AA$29&gt;=AJ894,дома!$AA$29&lt;=AI894),связи1!AG894,0)</f>
        <v>0</v>
      </c>
    </row>
    <row r="895" customFormat="false" ht="14.5" hidden="false" customHeight="false" outlineLevel="0" collapsed="false">
      <c r="AG895" s="2315" t="n">
        <v>72.6000000000001</v>
      </c>
      <c r="AH895" s="2606" t="n">
        <f aca="false">AG895*3.1415926535897/180</f>
        <v>1.26710903694785</v>
      </c>
      <c r="AI895" s="2606" t="n">
        <f aca="false">AH895+0.0005</f>
        <v>1.26760903694785</v>
      </c>
      <c r="AJ895" s="2606" t="n">
        <f aca="false">AH895-0.0005</f>
        <v>1.26660903694785</v>
      </c>
      <c r="AK895" s="2315" t="n">
        <f aca="false">IF(AND(дома!$Z$29&gt;=AJ895,дома!$Z$29&lt;=AI895),связи1!AG895,0)</f>
        <v>0</v>
      </c>
      <c r="AL895" s="2315" t="n">
        <f aca="false">IF(AND(дома!$AA$29&gt;=AJ895,дома!$AA$29&lt;=AI895),связи1!AG895,0)</f>
        <v>0</v>
      </c>
    </row>
    <row r="896" customFormat="false" ht="14.5" hidden="false" customHeight="false" outlineLevel="0" collapsed="false">
      <c r="AG896" s="2315" t="n">
        <v>72.7000000000001</v>
      </c>
      <c r="AH896" s="2606" t="n">
        <f aca="false">AG896*3.1415926535897/180</f>
        <v>1.26885436619984</v>
      </c>
      <c r="AI896" s="2606" t="n">
        <f aca="false">AH896+0.0005</f>
        <v>1.26935436619984</v>
      </c>
      <c r="AJ896" s="2606" t="n">
        <f aca="false">AH896-0.0005</f>
        <v>1.26835436619984</v>
      </c>
      <c r="AK896" s="2315" t="n">
        <f aca="false">IF(AND(дома!$Z$29&gt;=AJ896,дома!$Z$29&lt;=AI896),связи1!AG896,0)</f>
        <v>0</v>
      </c>
      <c r="AL896" s="2315" t="n">
        <f aca="false">IF(AND(дома!$AA$29&gt;=AJ896,дома!$AA$29&lt;=AI896),связи1!AG896,0)</f>
        <v>0</v>
      </c>
    </row>
    <row r="897" customFormat="false" ht="14.5" hidden="false" customHeight="false" outlineLevel="0" collapsed="false">
      <c r="AG897" s="2315" t="n">
        <v>72.8000000000001</v>
      </c>
      <c r="AH897" s="2606" t="n">
        <f aca="false">AG897*3.1415926535897/180</f>
        <v>1.27059969545184</v>
      </c>
      <c r="AI897" s="2606" t="n">
        <f aca="false">AH897+0.0005</f>
        <v>1.27109969545184</v>
      </c>
      <c r="AJ897" s="2606" t="n">
        <f aca="false">AH897-0.0005</f>
        <v>1.27009969545184</v>
      </c>
      <c r="AK897" s="2315" t="n">
        <f aca="false">IF(AND(дома!$Z$29&gt;=AJ897,дома!$Z$29&lt;=AI897),связи1!AG897,0)</f>
        <v>0</v>
      </c>
      <c r="AL897" s="2315" t="n">
        <f aca="false">IF(AND(дома!$AA$29&gt;=AJ897,дома!$AA$29&lt;=AI897),связи1!AG897,0)</f>
        <v>0</v>
      </c>
    </row>
    <row r="898" customFormat="false" ht="14.5" hidden="false" customHeight="false" outlineLevel="0" collapsed="false">
      <c r="AG898" s="2315" t="n">
        <v>72.9000000000001</v>
      </c>
      <c r="AH898" s="2606" t="n">
        <f aca="false">AG898*3.1415926535897/180</f>
        <v>1.27234502470383</v>
      </c>
      <c r="AI898" s="2606" t="n">
        <f aca="false">AH898+0.0005</f>
        <v>1.27284502470383</v>
      </c>
      <c r="AJ898" s="2606" t="n">
        <f aca="false">AH898-0.0005</f>
        <v>1.27184502470383</v>
      </c>
      <c r="AK898" s="2315" t="n">
        <f aca="false">IF(AND(дома!$Z$29&gt;=AJ898,дома!$Z$29&lt;=AI898),связи1!AG898,0)</f>
        <v>0</v>
      </c>
      <c r="AL898" s="2315" t="n">
        <f aca="false">IF(AND(дома!$AA$29&gt;=AJ898,дома!$AA$29&lt;=AI898),связи1!AG898,0)</f>
        <v>0</v>
      </c>
    </row>
    <row r="899" customFormat="false" ht="14.5" hidden="false" customHeight="false" outlineLevel="0" collapsed="false">
      <c r="AG899" s="2315" t="n">
        <v>73.0000000000001</v>
      </c>
      <c r="AH899" s="2606" t="n">
        <f aca="false">AG899*3.1415926535897/180</f>
        <v>1.27409035395582</v>
      </c>
      <c r="AI899" s="2606" t="n">
        <f aca="false">AH899+0.0005</f>
        <v>1.27459035395582</v>
      </c>
      <c r="AJ899" s="2606" t="n">
        <f aca="false">AH899-0.0005</f>
        <v>1.27359035395582</v>
      </c>
      <c r="AK899" s="2315" t="n">
        <f aca="false">IF(AND(дома!$Z$29&gt;=AJ899,дома!$Z$29&lt;=AI899),связи1!AG899,0)</f>
        <v>0</v>
      </c>
      <c r="AL899" s="2315" t="n">
        <f aca="false">IF(AND(дома!$AA$29&gt;=AJ899,дома!$AA$29&lt;=AI899),связи1!AG899,0)</f>
        <v>0</v>
      </c>
    </row>
    <row r="900" customFormat="false" ht="14.5" hidden="false" customHeight="false" outlineLevel="0" collapsed="false">
      <c r="AG900" s="2315" t="n">
        <v>73.1000000000001</v>
      </c>
      <c r="AH900" s="2606" t="n">
        <f aca="false">AG900*3.1415926535897/180</f>
        <v>1.27583568320782</v>
      </c>
      <c r="AI900" s="2606" t="n">
        <f aca="false">AH900+0.0005</f>
        <v>1.27633568320782</v>
      </c>
      <c r="AJ900" s="2606" t="n">
        <f aca="false">AH900-0.0005</f>
        <v>1.27533568320782</v>
      </c>
      <c r="AK900" s="2315" t="n">
        <f aca="false">IF(AND(дома!$Z$29&gt;=AJ900,дома!$Z$29&lt;=AI900),связи1!AG900,0)</f>
        <v>0</v>
      </c>
      <c r="AL900" s="2315" t="n">
        <f aca="false">IF(AND(дома!$AA$29&gt;=AJ900,дома!$AA$29&lt;=AI900),связи1!AG900,0)</f>
        <v>0</v>
      </c>
    </row>
    <row r="901" customFormat="false" ht="14.5" hidden="false" customHeight="false" outlineLevel="0" collapsed="false">
      <c r="AG901" s="2315" t="n">
        <v>73.2000000000001</v>
      </c>
      <c r="AH901" s="2606" t="n">
        <f aca="false">AG901*3.1415926535897/180</f>
        <v>1.27758101245981</v>
      </c>
      <c r="AI901" s="2606" t="n">
        <f aca="false">AH901+0.0005</f>
        <v>1.27808101245981</v>
      </c>
      <c r="AJ901" s="2606" t="n">
        <f aca="false">AH901-0.0005</f>
        <v>1.27708101245981</v>
      </c>
      <c r="AK901" s="2315" t="n">
        <f aca="false">IF(AND(дома!$Z$29&gt;=AJ901,дома!$Z$29&lt;=AI901),связи1!AG901,0)</f>
        <v>0</v>
      </c>
      <c r="AL901" s="2315" t="n">
        <f aca="false">IF(AND(дома!$AA$29&gt;=AJ901,дома!$AA$29&lt;=AI901),связи1!AG901,0)</f>
        <v>0</v>
      </c>
    </row>
    <row r="902" customFormat="false" ht="14.5" hidden="false" customHeight="false" outlineLevel="0" collapsed="false">
      <c r="AG902" s="2315" t="n">
        <v>73.3000000000001</v>
      </c>
      <c r="AH902" s="2606" t="n">
        <f aca="false">AG902*3.1415926535897/180</f>
        <v>1.27932634171181</v>
      </c>
      <c r="AI902" s="2606" t="n">
        <f aca="false">AH902+0.0005</f>
        <v>1.27982634171181</v>
      </c>
      <c r="AJ902" s="2606" t="n">
        <f aca="false">AH902-0.0005</f>
        <v>1.27882634171181</v>
      </c>
      <c r="AK902" s="2315" t="n">
        <f aca="false">IF(AND(дома!$Z$29&gt;=AJ902,дома!$Z$29&lt;=AI902),связи1!AG902,0)</f>
        <v>0</v>
      </c>
      <c r="AL902" s="2315" t="n">
        <f aca="false">IF(AND(дома!$AA$29&gt;=AJ902,дома!$AA$29&lt;=AI902),связи1!AG902,0)</f>
        <v>0</v>
      </c>
    </row>
    <row r="903" customFormat="false" ht="14.5" hidden="false" customHeight="false" outlineLevel="0" collapsed="false">
      <c r="AG903" s="2315" t="n">
        <v>73.4000000000001</v>
      </c>
      <c r="AH903" s="2606" t="n">
        <f aca="false">AG903*3.1415926535897/180</f>
        <v>1.2810716709638</v>
      </c>
      <c r="AI903" s="2606" t="n">
        <f aca="false">AH903+0.0005</f>
        <v>1.2815716709638</v>
      </c>
      <c r="AJ903" s="2606" t="n">
        <f aca="false">AH903-0.0005</f>
        <v>1.2805716709638</v>
      </c>
      <c r="AK903" s="2315" t="n">
        <f aca="false">IF(AND(дома!$Z$29&gt;=AJ903,дома!$Z$29&lt;=AI903),связи1!AG903,0)</f>
        <v>0</v>
      </c>
      <c r="AL903" s="2315" t="n">
        <f aca="false">IF(AND(дома!$AA$29&gt;=AJ903,дома!$AA$29&lt;=AI903),связи1!AG903,0)</f>
        <v>0</v>
      </c>
    </row>
    <row r="904" customFormat="false" ht="14.5" hidden="false" customHeight="false" outlineLevel="0" collapsed="false">
      <c r="AG904" s="2315" t="n">
        <v>73.5000000000001</v>
      </c>
      <c r="AH904" s="2606" t="n">
        <f aca="false">AG904*3.1415926535897/180</f>
        <v>1.2828170002158</v>
      </c>
      <c r="AI904" s="2606" t="n">
        <f aca="false">AH904+0.0005</f>
        <v>1.2833170002158</v>
      </c>
      <c r="AJ904" s="2606" t="n">
        <f aca="false">AH904-0.0005</f>
        <v>1.2823170002158</v>
      </c>
      <c r="AK904" s="2315" t="n">
        <f aca="false">IF(AND(дома!$Z$29&gt;=AJ904,дома!$Z$29&lt;=AI904),связи1!AG904,0)</f>
        <v>0</v>
      </c>
      <c r="AL904" s="2315" t="n">
        <f aca="false">IF(AND(дома!$AA$29&gt;=AJ904,дома!$AA$29&lt;=AI904),связи1!AG904,0)</f>
        <v>0</v>
      </c>
    </row>
    <row r="905" customFormat="false" ht="14.5" hidden="false" customHeight="false" outlineLevel="0" collapsed="false">
      <c r="AG905" s="2315" t="n">
        <v>73.6000000000001</v>
      </c>
      <c r="AH905" s="2606" t="n">
        <f aca="false">AG905*3.1415926535897/180</f>
        <v>1.28456232946779</v>
      </c>
      <c r="AI905" s="2606" t="n">
        <f aca="false">AH905+0.0005</f>
        <v>1.28506232946779</v>
      </c>
      <c r="AJ905" s="2606" t="n">
        <f aca="false">AH905-0.0005</f>
        <v>1.28406232946779</v>
      </c>
      <c r="AK905" s="2315" t="n">
        <f aca="false">IF(AND(дома!$Z$29&gt;=AJ905,дома!$Z$29&lt;=AI905),связи1!AG905,0)</f>
        <v>0</v>
      </c>
      <c r="AL905" s="2315" t="n">
        <f aca="false">IF(AND(дома!$AA$29&gt;=AJ905,дома!$AA$29&lt;=AI905),связи1!AG905,0)</f>
        <v>0</v>
      </c>
    </row>
    <row r="906" customFormat="false" ht="14.5" hidden="false" customHeight="false" outlineLevel="0" collapsed="false">
      <c r="AG906" s="2315" t="n">
        <v>73.7000000000001</v>
      </c>
      <c r="AH906" s="2606" t="n">
        <f aca="false">AG906*3.1415926535897/180</f>
        <v>1.28630765871978</v>
      </c>
      <c r="AI906" s="2606" t="n">
        <f aca="false">AH906+0.0005</f>
        <v>1.28680765871978</v>
      </c>
      <c r="AJ906" s="2606" t="n">
        <f aca="false">AH906-0.0005</f>
        <v>1.28580765871978</v>
      </c>
      <c r="AK906" s="2315" t="n">
        <f aca="false">IF(AND(дома!$Z$29&gt;=AJ906,дома!$Z$29&lt;=AI906),связи1!AG906,0)</f>
        <v>0</v>
      </c>
      <c r="AL906" s="2315" t="n">
        <f aca="false">IF(AND(дома!$AA$29&gt;=AJ906,дома!$AA$29&lt;=AI906),связи1!AG906,0)</f>
        <v>0</v>
      </c>
    </row>
    <row r="907" customFormat="false" ht="14.5" hidden="false" customHeight="false" outlineLevel="0" collapsed="false">
      <c r="AG907" s="2315" t="n">
        <v>73.8000000000001</v>
      </c>
      <c r="AH907" s="2606" t="n">
        <f aca="false">AG907*3.1415926535897/180</f>
        <v>1.28805298797178</v>
      </c>
      <c r="AI907" s="2606" t="n">
        <f aca="false">AH907+0.0005</f>
        <v>1.28855298797178</v>
      </c>
      <c r="AJ907" s="2606" t="n">
        <f aca="false">AH907-0.0005</f>
        <v>1.28755298797178</v>
      </c>
      <c r="AK907" s="2315" t="n">
        <f aca="false">IF(AND(дома!$Z$29&gt;=AJ907,дома!$Z$29&lt;=AI907),связи1!AG907,0)</f>
        <v>0</v>
      </c>
      <c r="AL907" s="2315" t="n">
        <f aca="false">IF(AND(дома!$AA$29&gt;=AJ907,дома!$AA$29&lt;=AI907),связи1!AG907,0)</f>
        <v>0</v>
      </c>
    </row>
    <row r="908" customFormat="false" ht="14.5" hidden="false" customHeight="false" outlineLevel="0" collapsed="false">
      <c r="AG908" s="2315" t="n">
        <v>73.9000000000001</v>
      </c>
      <c r="AH908" s="2606" t="n">
        <f aca="false">AG908*3.1415926535897/180</f>
        <v>1.28979831722377</v>
      </c>
      <c r="AI908" s="2606" t="n">
        <f aca="false">AH908+0.0005</f>
        <v>1.29029831722377</v>
      </c>
      <c r="AJ908" s="2606" t="n">
        <f aca="false">AH908-0.0005</f>
        <v>1.28929831722377</v>
      </c>
      <c r="AK908" s="2315" t="n">
        <f aca="false">IF(AND(дома!$Z$29&gt;=AJ908,дома!$Z$29&lt;=AI908),связи1!AG908,0)</f>
        <v>0</v>
      </c>
      <c r="AL908" s="2315" t="n">
        <f aca="false">IF(AND(дома!$AA$29&gt;=AJ908,дома!$AA$29&lt;=AI908),связи1!AG908,0)</f>
        <v>0</v>
      </c>
    </row>
    <row r="909" customFormat="false" ht="14.5" hidden="false" customHeight="false" outlineLevel="0" collapsed="false">
      <c r="AG909" s="2315" t="n">
        <v>74.0000000000001</v>
      </c>
      <c r="AH909" s="2606" t="n">
        <f aca="false">AG909*3.1415926535897/180</f>
        <v>1.29154364647577</v>
      </c>
      <c r="AI909" s="2606" t="n">
        <f aca="false">AH909+0.0005</f>
        <v>1.29204364647577</v>
      </c>
      <c r="AJ909" s="2606" t="n">
        <f aca="false">AH909-0.0005</f>
        <v>1.29104364647577</v>
      </c>
      <c r="AK909" s="2315" t="n">
        <f aca="false">IF(AND(дома!$Z$29&gt;=AJ909,дома!$Z$29&lt;=AI909),связи1!AG909,0)</f>
        <v>0</v>
      </c>
      <c r="AL909" s="2315" t="n">
        <f aca="false">IF(AND(дома!$AA$29&gt;=AJ909,дома!$AA$29&lt;=AI909),связи1!AG909,0)</f>
        <v>0</v>
      </c>
    </row>
    <row r="910" customFormat="false" ht="14.5" hidden="false" customHeight="false" outlineLevel="0" collapsed="false">
      <c r="AG910" s="2315" t="n">
        <v>74.1000000000001</v>
      </c>
      <c r="AH910" s="2606" t="n">
        <f aca="false">AG910*3.1415926535897/180</f>
        <v>1.29328897572776</v>
      </c>
      <c r="AI910" s="2606" t="n">
        <f aca="false">AH910+0.0005</f>
        <v>1.29378897572776</v>
      </c>
      <c r="AJ910" s="2606" t="n">
        <f aca="false">AH910-0.0005</f>
        <v>1.29278897572776</v>
      </c>
      <c r="AK910" s="2315" t="n">
        <f aca="false">IF(AND(дома!$Z$29&gt;=AJ910,дома!$Z$29&lt;=AI910),связи1!AG910,0)</f>
        <v>0</v>
      </c>
      <c r="AL910" s="2315" t="n">
        <f aca="false">IF(AND(дома!$AA$29&gt;=AJ910,дома!$AA$29&lt;=AI910),связи1!AG910,0)</f>
        <v>0</v>
      </c>
    </row>
    <row r="911" customFormat="false" ht="14.5" hidden="false" customHeight="false" outlineLevel="0" collapsed="false">
      <c r="AG911" s="2315" t="n">
        <v>74.2000000000001</v>
      </c>
      <c r="AH911" s="2606" t="n">
        <f aca="false">AG911*3.1415926535897/180</f>
        <v>1.29503430497976</v>
      </c>
      <c r="AI911" s="2606" t="n">
        <f aca="false">AH911+0.0005</f>
        <v>1.29553430497976</v>
      </c>
      <c r="AJ911" s="2606" t="n">
        <f aca="false">AH911-0.0005</f>
        <v>1.29453430497976</v>
      </c>
      <c r="AK911" s="2315" t="n">
        <f aca="false">IF(AND(дома!$Z$29&gt;=AJ911,дома!$Z$29&lt;=AI911),связи1!AG911,0)</f>
        <v>0</v>
      </c>
      <c r="AL911" s="2315" t="n">
        <f aca="false">IF(AND(дома!$AA$29&gt;=AJ911,дома!$AA$29&lt;=AI911),связи1!AG911,0)</f>
        <v>0</v>
      </c>
    </row>
    <row r="912" customFormat="false" ht="14.5" hidden="false" customHeight="false" outlineLevel="0" collapsed="false">
      <c r="AG912" s="2315" t="n">
        <v>74.3000000000001</v>
      </c>
      <c r="AH912" s="2606" t="n">
        <f aca="false">AG912*3.1415926535897/180</f>
        <v>1.29677963423175</v>
      </c>
      <c r="AI912" s="2606" t="n">
        <f aca="false">AH912+0.0005</f>
        <v>1.29727963423175</v>
      </c>
      <c r="AJ912" s="2606" t="n">
        <f aca="false">AH912-0.0005</f>
        <v>1.29627963423175</v>
      </c>
      <c r="AK912" s="2315" t="n">
        <f aca="false">IF(AND(дома!$Z$29&gt;=AJ912,дома!$Z$29&lt;=AI912),связи1!AG912,0)</f>
        <v>0</v>
      </c>
      <c r="AL912" s="2315" t="n">
        <f aca="false">IF(AND(дома!$AA$29&gt;=AJ912,дома!$AA$29&lt;=AI912),связи1!AG912,0)</f>
        <v>0</v>
      </c>
    </row>
    <row r="913" customFormat="false" ht="14.5" hidden="false" customHeight="false" outlineLevel="0" collapsed="false">
      <c r="AG913" s="2315" t="n">
        <v>74.4000000000001</v>
      </c>
      <c r="AH913" s="2606" t="n">
        <f aca="false">AG913*3.1415926535897/180</f>
        <v>1.29852496348374</v>
      </c>
      <c r="AI913" s="2606" t="n">
        <f aca="false">AH913+0.0005</f>
        <v>1.29902496348374</v>
      </c>
      <c r="AJ913" s="2606" t="n">
        <f aca="false">AH913-0.0005</f>
        <v>1.29802496348374</v>
      </c>
      <c r="AK913" s="2315" t="n">
        <f aca="false">IF(AND(дома!$Z$29&gt;=AJ913,дома!$Z$29&lt;=AI913),связи1!AG913,0)</f>
        <v>0</v>
      </c>
      <c r="AL913" s="2315" t="n">
        <f aca="false">IF(AND(дома!$AA$29&gt;=AJ913,дома!$AA$29&lt;=AI913),связи1!AG913,0)</f>
        <v>0</v>
      </c>
    </row>
    <row r="914" customFormat="false" ht="14.5" hidden="false" customHeight="false" outlineLevel="0" collapsed="false">
      <c r="AG914" s="2315" t="n">
        <v>74.5000000000001</v>
      </c>
      <c r="AH914" s="2606" t="n">
        <f aca="false">AG914*3.1415926535897/180</f>
        <v>1.30027029273574</v>
      </c>
      <c r="AI914" s="2606" t="n">
        <f aca="false">AH914+0.0005</f>
        <v>1.30077029273574</v>
      </c>
      <c r="AJ914" s="2606" t="n">
        <f aca="false">AH914-0.0005</f>
        <v>1.29977029273574</v>
      </c>
      <c r="AK914" s="2315" t="n">
        <f aca="false">IF(AND(дома!$Z$29&gt;=AJ914,дома!$Z$29&lt;=AI914),связи1!AG914,0)</f>
        <v>0</v>
      </c>
      <c r="AL914" s="2315" t="n">
        <f aca="false">IF(AND(дома!$AA$29&gt;=AJ914,дома!$AA$29&lt;=AI914),связи1!AG914,0)</f>
        <v>0</v>
      </c>
    </row>
    <row r="915" customFormat="false" ht="14.5" hidden="false" customHeight="false" outlineLevel="0" collapsed="false">
      <c r="AG915" s="2315" t="n">
        <v>74.6000000000001</v>
      </c>
      <c r="AH915" s="2606" t="n">
        <f aca="false">AG915*3.1415926535897/180</f>
        <v>1.30201562198773</v>
      </c>
      <c r="AI915" s="2606" t="n">
        <f aca="false">AH915+0.0005</f>
        <v>1.30251562198773</v>
      </c>
      <c r="AJ915" s="2606" t="n">
        <f aca="false">AH915-0.0005</f>
        <v>1.30151562198773</v>
      </c>
      <c r="AK915" s="2315" t="n">
        <f aca="false">IF(AND(дома!$Z$29&gt;=AJ915,дома!$Z$29&lt;=AI915),связи1!AG915,0)</f>
        <v>0</v>
      </c>
      <c r="AL915" s="2315" t="n">
        <f aca="false">IF(AND(дома!$AA$29&gt;=AJ915,дома!$AA$29&lt;=AI915),связи1!AG915,0)</f>
        <v>0</v>
      </c>
    </row>
    <row r="916" customFormat="false" ht="14.5" hidden="false" customHeight="false" outlineLevel="0" collapsed="false">
      <c r="AG916" s="2315" t="n">
        <v>74.7000000000001</v>
      </c>
      <c r="AH916" s="2606" t="n">
        <f aca="false">AG916*3.1415926535897/180</f>
        <v>1.30376095123973</v>
      </c>
      <c r="AI916" s="2606" t="n">
        <f aca="false">AH916+0.0005</f>
        <v>1.30426095123973</v>
      </c>
      <c r="AJ916" s="2606" t="n">
        <f aca="false">AH916-0.0005</f>
        <v>1.30326095123973</v>
      </c>
      <c r="AK916" s="2315" t="n">
        <f aca="false">IF(AND(дома!$Z$29&gt;=AJ916,дома!$Z$29&lt;=AI916),связи1!AG916,0)</f>
        <v>0</v>
      </c>
      <c r="AL916" s="2315" t="n">
        <f aca="false">IF(AND(дома!$AA$29&gt;=AJ916,дома!$AA$29&lt;=AI916),связи1!AG916,0)</f>
        <v>0</v>
      </c>
    </row>
    <row r="917" customFormat="false" ht="14.5" hidden="false" customHeight="false" outlineLevel="0" collapsed="false">
      <c r="AG917" s="2315" t="n">
        <v>74.8000000000001</v>
      </c>
      <c r="AH917" s="2606" t="n">
        <f aca="false">AG917*3.1415926535897/180</f>
        <v>1.30550628049172</v>
      </c>
      <c r="AI917" s="2606" t="n">
        <f aca="false">AH917+0.0005</f>
        <v>1.30600628049172</v>
      </c>
      <c r="AJ917" s="2606" t="n">
        <f aca="false">AH917-0.0005</f>
        <v>1.30500628049172</v>
      </c>
      <c r="AK917" s="2315" t="n">
        <f aca="false">IF(AND(дома!$Z$29&gt;=AJ917,дома!$Z$29&lt;=AI917),связи1!AG917,0)</f>
        <v>0</v>
      </c>
      <c r="AL917" s="2315" t="n">
        <f aca="false">IF(AND(дома!$AA$29&gt;=AJ917,дома!$AA$29&lt;=AI917),связи1!AG917,0)</f>
        <v>0</v>
      </c>
    </row>
    <row r="918" customFormat="false" ht="14.5" hidden="false" customHeight="false" outlineLevel="0" collapsed="false">
      <c r="AG918" s="2315" t="n">
        <v>74.9000000000001</v>
      </c>
      <c r="AH918" s="2606" t="n">
        <f aca="false">AG918*3.1415926535897/180</f>
        <v>1.30725160974372</v>
      </c>
      <c r="AI918" s="2606" t="n">
        <f aca="false">AH918+0.0005</f>
        <v>1.30775160974372</v>
      </c>
      <c r="AJ918" s="2606" t="n">
        <f aca="false">AH918-0.0005</f>
        <v>1.30675160974372</v>
      </c>
      <c r="AK918" s="2315" t="n">
        <f aca="false">IF(AND(дома!$Z$29&gt;=AJ918,дома!$Z$29&lt;=AI918),связи1!AG918,0)</f>
        <v>0</v>
      </c>
      <c r="AL918" s="2315" t="n">
        <f aca="false">IF(AND(дома!$AA$29&gt;=AJ918,дома!$AA$29&lt;=AI918),связи1!AG918,0)</f>
        <v>0</v>
      </c>
    </row>
    <row r="919" customFormat="false" ht="14.5" hidden="false" customHeight="false" outlineLevel="0" collapsed="false">
      <c r="AG919" s="2315" t="n">
        <v>75.0000000000001</v>
      </c>
      <c r="AH919" s="2606" t="n">
        <f aca="false">AG919*3.1415926535897/180</f>
        <v>1.30899693899571</v>
      </c>
      <c r="AI919" s="2606" t="n">
        <f aca="false">AH919+0.0005</f>
        <v>1.30949693899571</v>
      </c>
      <c r="AJ919" s="2606" t="n">
        <f aca="false">AH919-0.0005</f>
        <v>1.30849693899571</v>
      </c>
      <c r="AK919" s="2315" t="n">
        <f aca="false">IF(AND(дома!$Z$29&gt;=AJ919,дома!$Z$29&lt;=AI919),связи1!AG919,0)</f>
        <v>0</v>
      </c>
      <c r="AL919" s="2315" t="n">
        <f aca="false">IF(AND(дома!$AA$29&gt;=AJ919,дома!$AA$29&lt;=AI919),связи1!AG919,0)</f>
        <v>0</v>
      </c>
    </row>
    <row r="920" customFormat="false" ht="14.5" hidden="false" customHeight="false" outlineLevel="0" collapsed="false">
      <c r="AG920" s="2315" t="n">
        <v>75.1000000000001</v>
      </c>
      <c r="AH920" s="2606" t="n">
        <f aca="false">AG920*3.1415926535897/180</f>
        <v>1.3107422682477</v>
      </c>
      <c r="AI920" s="2606" t="n">
        <f aca="false">AH920+0.0005</f>
        <v>1.3112422682477</v>
      </c>
      <c r="AJ920" s="2606" t="n">
        <f aca="false">AH920-0.0005</f>
        <v>1.3102422682477</v>
      </c>
      <c r="AK920" s="2315" t="n">
        <f aca="false">IF(AND(дома!$Z$29&gt;=AJ920,дома!$Z$29&lt;=AI920),связи1!AG920,0)</f>
        <v>0</v>
      </c>
      <c r="AL920" s="2315" t="n">
        <f aca="false">IF(AND(дома!$AA$29&gt;=AJ920,дома!$AA$29&lt;=AI920),связи1!AG920,0)</f>
        <v>0</v>
      </c>
    </row>
    <row r="921" customFormat="false" ht="14.5" hidden="false" customHeight="false" outlineLevel="0" collapsed="false">
      <c r="AG921" s="2315" t="n">
        <v>75.2000000000001</v>
      </c>
      <c r="AH921" s="2606" t="n">
        <f aca="false">AG921*3.1415926535897/180</f>
        <v>1.3124875974997</v>
      </c>
      <c r="AI921" s="2606" t="n">
        <f aca="false">AH921+0.0005</f>
        <v>1.3129875974997</v>
      </c>
      <c r="AJ921" s="2606" t="n">
        <f aca="false">AH921-0.0005</f>
        <v>1.3119875974997</v>
      </c>
      <c r="AK921" s="2315" t="n">
        <f aca="false">IF(AND(дома!$Z$29&gt;=AJ921,дома!$Z$29&lt;=AI921),связи1!AG921,0)</f>
        <v>0</v>
      </c>
      <c r="AL921" s="2315" t="n">
        <f aca="false">IF(AND(дома!$AA$29&gt;=AJ921,дома!$AA$29&lt;=AI921),связи1!AG921,0)</f>
        <v>0</v>
      </c>
    </row>
    <row r="922" customFormat="false" ht="14.5" hidden="false" customHeight="false" outlineLevel="0" collapsed="false">
      <c r="AG922" s="2315" t="n">
        <v>75.3000000000001</v>
      </c>
      <c r="AH922" s="2606" t="n">
        <f aca="false">AG922*3.1415926535897/180</f>
        <v>1.31423292675169</v>
      </c>
      <c r="AI922" s="2606" t="n">
        <f aca="false">AH922+0.0005</f>
        <v>1.31473292675169</v>
      </c>
      <c r="AJ922" s="2606" t="n">
        <f aca="false">AH922-0.0005</f>
        <v>1.31373292675169</v>
      </c>
      <c r="AK922" s="2315" t="n">
        <f aca="false">IF(AND(дома!$Z$29&gt;=AJ922,дома!$Z$29&lt;=AI922),связи1!AG922,0)</f>
        <v>0</v>
      </c>
      <c r="AL922" s="2315" t="n">
        <f aca="false">IF(AND(дома!$AA$29&gt;=AJ922,дома!$AA$29&lt;=AI922),связи1!AG922,0)</f>
        <v>0</v>
      </c>
    </row>
    <row r="923" customFormat="false" ht="14.5" hidden="false" customHeight="false" outlineLevel="0" collapsed="false">
      <c r="AG923" s="2315" t="n">
        <v>75.4000000000001</v>
      </c>
      <c r="AH923" s="2606" t="n">
        <f aca="false">AG923*3.1415926535897/180</f>
        <v>1.31597825600369</v>
      </c>
      <c r="AI923" s="2606" t="n">
        <f aca="false">AH923+0.0005</f>
        <v>1.31647825600369</v>
      </c>
      <c r="AJ923" s="2606" t="n">
        <f aca="false">AH923-0.0005</f>
        <v>1.31547825600369</v>
      </c>
      <c r="AK923" s="2315" t="n">
        <f aca="false">IF(AND(дома!$Z$29&gt;=AJ923,дома!$Z$29&lt;=AI923),связи1!AG923,0)</f>
        <v>0</v>
      </c>
      <c r="AL923" s="2315" t="n">
        <f aca="false">IF(AND(дома!$AA$29&gt;=AJ923,дома!$AA$29&lt;=AI923),связи1!AG923,0)</f>
        <v>0</v>
      </c>
    </row>
    <row r="924" customFormat="false" ht="14.5" hidden="false" customHeight="false" outlineLevel="0" collapsed="false">
      <c r="AG924" s="2315" t="n">
        <v>75.5000000000001</v>
      </c>
      <c r="AH924" s="2606" t="n">
        <f aca="false">AG924*3.1415926535897/180</f>
        <v>1.31772358525568</v>
      </c>
      <c r="AI924" s="2606" t="n">
        <f aca="false">AH924+0.0005</f>
        <v>1.31822358525568</v>
      </c>
      <c r="AJ924" s="2606" t="n">
        <f aca="false">AH924-0.0005</f>
        <v>1.31722358525568</v>
      </c>
      <c r="AK924" s="2315" t="n">
        <f aca="false">IF(AND(дома!$Z$29&gt;=AJ924,дома!$Z$29&lt;=AI924),связи1!AG924,0)</f>
        <v>0</v>
      </c>
      <c r="AL924" s="2315" t="n">
        <f aca="false">IF(AND(дома!$AA$29&gt;=AJ924,дома!$AA$29&lt;=AI924),связи1!AG924,0)</f>
        <v>0</v>
      </c>
    </row>
    <row r="925" customFormat="false" ht="14.5" hidden="false" customHeight="false" outlineLevel="0" collapsed="false">
      <c r="AG925" s="2315" t="n">
        <v>75.6000000000001</v>
      </c>
      <c r="AH925" s="2606" t="n">
        <f aca="false">AG925*3.1415926535897/180</f>
        <v>1.31946891450768</v>
      </c>
      <c r="AI925" s="2606" t="n">
        <f aca="false">AH925+0.0005</f>
        <v>1.31996891450768</v>
      </c>
      <c r="AJ925" s="2606" t="n">
        <f aca="false">AH925-0.0005</f>
        <v>1.31896891450768</v>
      </c>
      <c r="AK925" s="2315" t="n">
        <f aca="false">IF(AND(дома!$Z$29&gt;=AJ925,дома!$Z$29&lt;=AI925),связи1!AG925,0)</f>
        <v>0</v>
      </c>
      <c r="AL925" s="2315" t="n">
        <f aca="false">IF(AND(дома!$AA$29&gt;=AJ925,дома!$AA$29&lt;=AI925),связи1!AG925,0)</f>
        <v>0</v>
      </c>
    </row>
    <row r="926" customFormat="false" ht="14.5" hidden="false" customHeight="false" outlineLevel="0" collapsed="false">
      <c r="AG926" s="2315" t="n">
        <v>75.7000000000001</v>
      </c>
      <c r="AH926" s="2606" t="n">
        <f aca="false">AG926*3.1415926535897/180</f>
        <v>1.32121424375967</v>
      </c>
      <c r="AI926" s="2606" t="n">
        <f aca="false">AH926+0.0005</f>
        <v>1.32171424375967</v>
      </c>
      <c r="AJ926" s="2606" t="n">
        <f aca="false">AH926-0.0005</f>
        <v>1.32071424375967</v>
      </c>
      <c r="AK926" s="2315" t="n">
        <f aca="false">IF(AND(дома!$Z$29&gt;=AJ926,дома!$Z$29&lt;=AI926),связи1!AG926,0)</f>
        <v>0</v>
      </c>
      <c r="AL926" s="2315" t="n">
        <f aca="false">IF(AND(дома!$AA$29&gt;=AJ926,дома!$AA$29&lt;=AI926),связи1!AG926,0)</f>
        <v>0</v>
      </c>
    </row>
    <row r="927" customFormat="false" ht="14.5" hidden="false" customHeight="false" outlineLevel="0" collapsed="false">
      <c r="AG927" s="2315" t="n">
        <v>75.8000000000001</v>
      </c>
      <c r="AH927" s="2606" t="n">
        <f aca="false">AG927*3.1415926535897/180</f>
        <v>1.32295957301166</v>
      </c>
      <c r="AI927" s="2606" t="n">
        <f aca="false">AH927+0.0005</f>
        <v>1.32345957301166</v>
      </c>
      <c r="AJ927" s="2606" t="n">
        <f aca="false">AH927-0.0005</f>
        <v>1.32245957301166</v>
      </c>
      <c r="AK927" s="2315" t="n">
        <f aca="false">IF(AND(дома!$Z$29&gt;=AJ927,дома!$Z$29&lt;=AI927),связи1!AG927,0)</f>
        <v>0</v>
      </c>
      <c r="AL927" s="2315" t="n">
        <f aca="false">IF(AND(дома!$AA$29&gt;=AJ927,дома!$AA$29&lt;=AI927),связи1!AG927,0)</f>
        <v>0</v>
      </c>
    </row>
    <row r="928" customFormat="false" ht="14.5" hidden="false" customHeight="false" outlineLevel="0" collapsed="false">
      <c r="AG928" s="2315" t="n">
        <v>75.9000000000001</v>
      </c>
      <c r="AH928" s="2606" t="n">
        <f aca="false">AG928*3.1415926535897/180</f>
        <v>1.32470490226366</v>
      </c>
      <c r="AI928" s="2606" t="n">
        <f aca="false">AH928+0.0005</f>
        <v>1.32520490226366</v>
      </c>
      <c r="AJ928" s="2606" t="n">
        <f aca="false">AH928-0.0005</f>
        <v>1.32420490226366</v>
      </c>
      <c r="AK928" s="2315" t="n">
        <f aca="false">IF(AND(дома!$Z$29&gt;=AJ928,дома!$Z$29&lt;=AI928),связи1!AG928,0)</f>
        <v>0</v>
      </c>
      <c r="AL928" s="2315" t="n">
        <f aca="false">IF(AND(дома!$AA$29&gt;=AJ928,дома!$AA$29&lt;=AI928),связи1!AG928,0)</f>
        <v>0</v>
      </c>
    </row>
    <row r="929" customFormat="false" ht="14.5" hidden="false" customHeight="false" outlineLevel="0" collapsed="false">
      <c r="AG929" s="2315" t="n">
        <v>76.0000000000001</v>
      </c>
      <c r="AH929" s="2606" t="n">
        <f aca="false">AG929*3.1415926535897/180</f>
        <v>1.32645023151565</v>
      </c>
      <c r="AI929" s="2606" t="n">
        <f aca="false">AH929+0.0005</f>
        <v>1.32695023151565</v>
      </c>
      <c r="AJ929" s="2606" t="n">
        <f aca="false">AH929-0.0005</f>
        <v>1.32595023151565</v>
      </c>
      <c r="AK929" s="2315" t="n">
        <f aca="false">IF(AND(дома!$Z$29&gt;=AJ929,дома!$Z$29&lt;=AI929),связи1!AG929,0)</f>
        <v>0</v>
      </c>
      <c r="AL929" s="2315" t="n">
        <f aca="false">IF(AND(дома!$AA$29&gt;=AJ929,дома!$AA$29&lt;=AI929),связи1!AG929,0)</f>
        <v>0</v>
      </c>
    </row>
    <row r="930" customFormat="false" ht="14.5" hidden="false" customHeight="false" outlineLevel="0" collapsed="false">
      <c r="AG930" s="2315" t="n">
        <v>76.1000000000001</v>
      </c>
      <c r="AH930" s="2606" t="n">
        <f aca="false">AG930*3.1415926535897/180</f>
        <v>1.32819556076765</v>
      </c>
      <c r="AI930" s="2606" t="n">
        <f aca="false">AH930+0.0005</f>
        <v>1.32869556076765</v>
      </c>
      <c r="AJ930" s="2606" t="n">
        <f aca="false">AH930-0.0005</f>
        <v>1.32769556076765</v>
      </c>
      <c r="AK930" s="2315" t="n">
        <f aca="false">IF(AND(дома!$Z$29&gt;=AJ930,дома!$Z$29&lt;=AI930),связи1!AG930,0)</f>
        <v>0</v>
      </c>
      <c r="AL930" s="2315" t="n">
        <f aca="false">IF(AND(дома!$AA$29&gt;=AJ930,дома!$AA$29&lt;=AI930),связи1!AG930,0)</f>
        <v>0</v>
      </c>
    </row>
    <row r="931" customFormat="false" ht="14.5" hidden="false" customHeight="false" outlineLevel="0" collapsed="false">
      <c r="AG931" s="2315" t="n">
        <v>76.2000000000001</v>
      </c>
      <c r="AH931" s="2606" t="n">
        <f aca="false">AG931*3.1415926535897/180</f>
        <v>1.32994089001964</v>
      </c>
      <c r="AI931" s="2606" t="n">
        <f aca="false">AH931+0.0005</f>
        <v>1.33044089001964</v>
      </c>
      <c r="AJ931" s="2606" t="n">
        <f aca="false">AH931-0.0005</f>
        <v>1.32944089001964</v>
      </c>
      <c r="AK931" s="2315" t="n">
        <f aca="false">IF(AND(дома!$Z$29&gt;=AJ931,дома!$Z$29&lt;=AI931),связи1!AG931,0)</f>
        <v>0</v>
      </c>
      <c r="AL931" s="2315" t="n">
        <f aca="false">IF(AND(дома!$AA$29&gt;=AJ931,дома!$AA$29&lt;=AI931),связи1!AG931,0)</f>
        <v>0</v>
      </c>
    </row>
    <row r="932" customFormat="false" ht="14.5" hidden="false" customHeight="false" outlineLevel="0" collapsed="false">
      <c r="AG932" s="2315" t="n">
        <v>76.3000000000001</v>
      </c>
      <c r="AH932" s="2606" t="n">
        <f aca="false">AG932*3.1415926535897/180</f>
        <v>1.33168621927164</v>
      </c>
      <c r="AI932" s="2606" t="n">
        <f aca="false">AH932+0.0005</f>
        <v>1.33218621927164</v>
      </c>
      <c r="AJ932" s="2606" t="n">
        <f aca="false">AH932-0.0005</f>
        <v>1.33118621927164</v>
      </c>
      <c r="AK932" s="2315" t="n">
        <f aca="false">IF(AND(дома!$Z$29&gt;=AJ932,дома!$Z$29&lt;=AI932),связи1!AG932,0)</f>
        <v>0</v>
      </c>
      <c r="AL932" s="2315" t="n">
        <f aca="false">IF(AND(дома!$AA$29&gt;=AJ932,дома!$AA$29&lt;=AI932),связи1!AG932,0)</f>
        <v>0</v>
      </c>
    </row>
    <row r="933" customFormat="false" ht="14.5" hidden="false" customHeight="false" outlineLevel="0" collapsed="false">
      <c r="AG933" s="2315" t="n">
        <v>76.4000000000001</v>
      </c>
      <c r="AH933" s="2606" t="n">
        <f aca="false">AG933*3.1415926535897/180</f>
        <v>1.33343154852363</v>
      </c>
      <c r="AI933" s="2606" t="n">
        <f aca="false">AH933+0.0005</f>
        <v>1.33393154852363</v>
      </c>
      <c r="AJ933" s="2606" t="n">
        <f aca="false">AH933-0.0005</f>
        <v>1.33293154852363</v>
      </c>
      <c r="AK933" s="2315" t="n">
        <f aca="false">IF(AND(дома!$Z$29&gt;=AJ933,дома!$Z$29&lt;=AI933),связи1!AG933,0)</f>
        <v>0</v>
      </c>
      <c r="AL933" s="2315" t="n">
        <f aca="false">IF(AND(дома!$AA$29&gt;=AJ933,дома!$AA$29&lt;=AI933),связи1!AG933,0)</f>
        <v>0</v>
      </c>
    </row>
    <row r="934" customFormat="false" ht="14.5" hidden="false" customHeight="false" outlineLevel="0" collapsed="false">
      <c r="AG934" s="2315" t="n">
        <v>76.5000000000001</v>
      </c>
      <c r="AH934" s="2606" t="n">
        <f aca="false">AG934*3.1415926535897/180</f>
        <v>1.33517687777562</v>
      </c>
      <c r="AI934" s="2606" t="n">
        <f aca="false">AH934+0.0005</f>
        <v>1.33567687777562</v>
      </c>
      <c r="AJ934" s="2606" t="n">
        <f aca="false">AH934-0.0005</f>
        <v>1.33467687777562</v>
      </c>
      <c r="AK934" s="2315" t="n">
        <f aca="false">IF(AND(дома!$Z$29&gt;=AJ934,дома!$Z$29&lt;=AI934),связи1!AG934,0)</f>
        <v>0</v>
      </c>
      <c r="AL934" s="2315" t="n">
        <f aca="false">IF(AND(дома!$AA$29&gt;=AJ934,дома!$AA$29&lt;=AI934),связи1!AG934,0)</f>
        <v>0</v>
      </c>
    </row>
    <row r="935" customFormat="false" ht="14.5" hidden="false" customHeight="false" outlineLevel="0" collapsed="false">
      <c r="AG935" s="2315" t="n">
        <v>76.6000000000001</v>
      </c>
      <c r="AH935" s="2606" t="n">
        <f aca="false">AG935*3.1415926535897/180</f>
        <v>1.33692220702762</v>
      </c>
      <c r="AI935" s="2606" t="n">
        <f aca="false">AH935+0.0005</f>
        <v>1.33742220702762</v>
      </c>
      <c r="AJ935" s="2606" t="n">
        <f aca="false">AH935-0.0005</f>
        <v>1.33642220702762</v>
      </c>
      <c r="AK935" s="2315" t="n">
        <f aca="false">IF(AND(дома!$Z$29&gt;=AJ935,дома!$Z$29&lt;=AI935),связи1!AG935,0)</f>
        <v>0</v>
      </c>
      <c r="AL935" s="2315" t="n">
        <f aca="false">IF(AND(дома!$AA$29&gt;=AJ935,дома!$AA$29&lt;=AI935),связи1!AG935,0)</f>
        <v>0</v>
      </c>
    </row>
    <row r="936" customFormat="false" ht="14.5" hidden="false" customHeight="false" outlineLevel="0" collapsed="false">
      <c r="AG936" s="2315" t="n">
        <v>76.7000000000001</v>
      </c>
      <c r="AH936" s="2606" t="n">
        <f aca="false">AG936*3.1415926535897/180</f>
        <v>1.33866753627961</v>
      </c>
      <c r="AI936" s="2606" t="n">
        <f aca="false">AH936+0.0005</f>
        <v>1.33916753627961</v>
      </c>
      <c r="AJ936" s="2606" t="n">
        <f aca="false">AH936-0.0005</f>
        <v>1.33816753627961</v>
      </c>
      <c r="AK936" s="2315" t="n">
        <f aca="false">IF(AND(дома!$Z$29&gt;=AJ936,дома!$Z$29&lt;=AI936),связи1!AG936,0)</f>
        <v>0</v>
      </c>
      <c r="AL936" s="2315" t="n">
        <f aca="false">IF(AND(дома!$AA$29&gt;=AJ936,дома!$AA$29&lt;=AI936),связи1!AG936,0)</f>
        <v>0</v>
      </c>
    </row>
    <row r="937" customFormat="false" ht="14.5" hidden="false" customHeight="false" outlineLevel="0" collapsed="false">
      <c r="AG937" s="2315" t="n">
        <v>76.8000000000001</v>
      </c>
      <c r="AH937" s="2606" t="n">
        <f aca="false">AG937*3.1415926535897/180</f>
        <v>1.34041286553161</v>
      </c>
      <c r="AI937" s="2606" t="n">
        <f aca="false">AH937+0.0005</f>
        <v>1.34091286553161</v>
      </c>
      <c r="AJ937" s="2606" t="n">
        <f aca="false">AH937-0.0005</f>
        <v>1.33991286553161</v>
      </c>
      <c r="AK937" s="2315" t="n">
        <f aca="false">IF(AND(дома!$Z$29&gt;=AJ937,дома!$Z$29&lt;=AI937),связи1!AG937,0)</f>
        <v>0</v>
      </c>
      <c r="AL937" s="2315" t="n">
        <f aca="false">IF(AND(дома!$AA$29&gt;=AJ937,дома!$AA$29&lt;=AI937),связи1!AG937,0)</f>
        <v>0</v>
      </c>
    </row>
    <row r="938" customFormat="false" ht="14.5" hidden="false" customHeight="false" outlineLevel="0" collapsed="false">
      <c r="AG938" s="2315" t="n">
        <v>76.9000000000001</v>
      </c>
      <c r="AH938" s="2606" t="n">
        <f aca="false">AG938*3.1415926535897/180</f>
        <v>1.3421581947836</v>
      </c>
      <c r="AI938" s="2606" t="n">
        <f aca="false">AH938+0.0005</f>
        <v>1.3426581947836</v>
      </c>
      <c r="AJ938" s="2606" t="n">
        <f aca="false">AH938-0.0005</f>
        <v>1.3416581947836</v>
      </c>
      <c r="AK938" s="2315" t="n">
        <f aca="false">IF(AND(дома!$Z$29&gt;=AJ938,дома!$Z$29&lt;=AI938),связи1!AG938,0)</f>
        <v>0</v>
      </c>
      <c r="AL938" s="2315" t="n">
        <f aca="false">IF(AND(дома!$AA$29&gt;=AJ938,дома!$AA$29&lt;=AI938),связи1!AG938,0)</f>
        <v>0</v>
      </c>
    </row>
    <row r="939" customFormat="false" ht="14.5" hidden="false" customHeight="false" outlineLevel="0" collapsed="false">
      <c r="AG939" s="2315" t="n">
        <v>77.0000000000001</v>
      </c>
      <c r="AH939" s="2606" t="n">
        <f aca="false">AG939*3.1415926535897/180</f>
        <v>1.3439035240356</v>
      </c>
      <c r="AI939" s="2606" t="n">
        <f aca="false">AH939+0.0005</f>
        <v>1.3444035240356</v>
      </c>
      <c r="AJ939" s="2606" t="n">
        <f aca="false">AH939-0.0005</f>
        <v>1.3434035240356</v>
      </c>
      <c r="AK939" s="2315" t="n">
        <f aca="false">IF(AND(дома!$Z$29&gt;=AJ939,дома!$Z$29&lt;=AI939),связи1!AG939,0)</f>
        <v>0</v>
      </c>
      <c r="AL939" s="2315" t="n">
        <f aca="false">IF(AND(дома!$AA$29&gt;=AJ939,дома!$AA$29&lt;=AI939),связи1!AG939,0)</f>
        <v>0</v>
      </c>
    </row>
    <row r="940" customFormat="false" ht="14.5" hidden="false" customHeight="false" outlineLevel="0" collapsed="false">
      <c r="AG940" s="2315" t="n">
        <v>77.1000000000001</v>
      </c>
      <c r="AH940" s="2606" t="n">
        <f aca="false">AG940*3.1415926535897/180</f>
        <v>1.34564885328759</v>
      </c>
      <c r="AI940" s="2606" t="n">
        <f aca="false">AH940+0.0005</f>
        <v>1.34614885328759</v>
      </c>
      <c r="AJ940" s="2606" t="n">
        <f aca="false">AH940-0.0005</f>
        <v>1.34514885328759</v>
      </c>
      <c r="AK940" s="2315" t="n">
        <f aca="false">IF(AND(дома!$Z$29&gt;=AJ940,дома!$Z$29&lt;=AI940),связи1!AG940,0)</f>
        <v>0</v>
      </c>
      <c r="AL940" s="2315" t="n">
        <f aca="false">IF(AND(дома!$AA$29&gt;=AJ940,дома!$AA$29&lt;=AI940),связи1!AG940,0)</f>
        <v>0</v>
      </c>
    </row>
    <row r="941" customFormat="false" ht="14.5" hidden="false" customHeight="false" outlineLevel="0" collapsed="false">
      <c r="AG941" s="2315" t="n">
        <v>77.2000000000001</v>
      </c>
      <c r="AH941" s="2606" t="n">
        <f aca="false">AG941*3.1415926535897/180</f>
        <v>1.34739418253958</v>
      </c>
      <c r="AI941" s="2606" t="n">
        <f aca="false">AH941+0.0005</f>
        <v>1.34789418253958</v>
      </c>
      <c r="AJ941" s="2606" t="n">
        <f aca="false">AH941-0.0005</f>
        <v>1.34689418253958</v>
      </c>
      <c r="AK941" s="2315" t="n">
        <f aca="false">IF(AND(дома!$Z$29&gt;=AJ941,дома!$Z$29&lt;=AI941),связи1!AG941,0)</f>
        <v>0</v>
      </c>
      <c r="AL941" s="2315" t="n">
        <f aca="false">IF(AND(дома!$AA$29&gt;=AJ941,дома!$AA$29&lt;=AI941),связи1!AG941,0)</f>
        <v>0</v>
      </c>
    </row>
    <row r="942" customFormat="false" ht="14.5" hidden="false" customHeight="false" outlineLevel="0" collapsed="false">
      <c r="AG942" s="2315" t="n">
        <v>77.3000000000001</v>
      </c>
      <c r="AH942" s="2606" t="n">
        <f aca="false">AG942*3.1415926535897/180</f>
        <v>1.34913951179158</v>
      </c>
      <c r="AI942" s="2606" t="n">
        <f aca="false">AH942+0.0005</f>
        <v>1.34963951179158</v>
      </c>
      <c r="AJ942" s="2606" t="n">
        <f aca="false">AH942-0.0005</f>
        <v>1.34863951179158</v>
      </c>
      <c r="AK942" s="2315" t="n">
        <f aca="false">IF(AND(дома!$Z$29&gt;=AJ942,дома!$Z$29&lt;=AI942),связи1!AG942,0)</f>
        <v>0</v>
      </c>
      <c r="AL942" s="2315" t="n">
        <f aca="false">IF(AND(дома!$AA$29&gt;=AJ942,дома!$AA$29&lt;=AI942),связи1!AG942,0)</f>
        <v>0</v>
      </c>
    </row>
    <row r="943" customFormat="false" ht="14.5" hidden="false" customHeight="false" outlineLevel="0" collapsed="false">
      <c r="AG943" s="2315" t="n">
        <v>77.4000000000001</v>
      </c>
      <c r="AH943" s="2606" t="n">
        <f aca="false">AG943*3.1415926535897/180</f>
        <v>1.35088484104357</v>
      </c>
      <c r="AI943" s="2606" t="n">
        <f aca="false">AH943+0.0005</f>
        <v>1.35138484104357</v>
      </c>
      <c r="AJ943" s="2606" t="n">
        <f aca="false">AH943-0.0005</f>
        <v>1.35038484104357</v>
      </c>
      <c r="AK943" s="2315" t="n">
        <f aca="false">IF(AND(дома!$Z$29&gt;=AJ943,дома!$Z$29&lt;=AI943),связи1!AG943,0)</f>
        <v>0</v>
      </c>
      <c r="AL943" s="2315" t="n">
        <f aca="false">IF(AND(дома!$AA$29&gt;=AJ943,дома!$AA$29&lt;=AI943),связи1!AG943,0)</f>
        <v>0</v>
      </c>
    </row>
    <row r="944" customFormat="false" ht="14.5" hidden="false" customHeight="false" outlineLevel="0" collapsed="false">
      <c r="AG944" s="2315" t="n">
        <v>77.5000000000001</v>
      </c>
      <c r="AH944" s="2606" t="n">
        <f aca="false">AG944*3.1415926535897/180</f>
        <v>1.35263017029557</v>
      </c>
      <c r="AI944" s="2606" t="n">
        <f aca="false">AH944+0.0005</f>
        <v>1.35313017029557</v>
      </c>
      <c r="AJ944" s="2606" t="n">
        <f aca="false">AH944-0.0005</f>
        <v>1.35213017029557</v>
      </c>
      <c r="AK944" s="2315" t="n">
        <f aca="false">IF(AND(дома!$Z$29&gt;=AJ944,дома!$Z$29&lt;=AI944),связи1!AG944,0)</f>
        <v>0</v>
      </c>
      <c r="AL944" s="2315" t="n">
        <f aca="false">IF(AND(дома!$AA$29&gt;=AJ944,дома!$AA$29&lt;=AI944),связи1!AG944,0)</f>
        <v>0</v>
      </c>
    </row>
    <row r="945" customFormat="false" ht="14.5" hidden="false" customHeight="false" outlineLevel="0" collapsed="false">
      <c r="AG945" s="2315" t="n">
        <v>77.6000000000001</v>
      </c>
      <c r="AH945" s="2606" t="n">
        <f aca="false">AG945*3.1415926535897/180</f>
        <v>1.35437549954756</v>
      </c>
      <c r="AI945" s="2606" t="n">
        <f aca="false">AH945+0.0005</f>
        <v>1.35487549954756</v>
      </c>
      <c r="AJ945" s="2606" t="n">
        <f aca="false">AH945-0.0005</f>
        <v>1.35387549954756</v>
      </c>
      <c r="AK945" s="2315" t="n">
        <f aca="false">IF(AND(дома!$Z$29&gt;=AJ945,дома!$Z$29&lt;=AI945),связи1!AG945,0)</f>
        <v>0</v>
      </c>
      <c r="AL945" s="2315" t="n">
        <f aca="false">IF(AND(дома!$AA$29&gt;=AJ945,дома!$AA$29&lt;=AI945),связи1!AG945,0)</f>
        <v>0</v>
      </c>
    </row>
    <row r="946" customFormat="false" ht="14.5" hidden="false" customHeight="false" outlineLevel="0" collapsed="false">
      <c r="AG946" s="2315" t="n">
        <v>77.7000000000001</v>
      </c>
      <c r="AH946" s="2606" t="n">
        <f aca="false">AG946*3.1415926535897/180</f>
        <v>1.35612082879956</v>
      </c>
      <c r="AI946" s="2606" t="n">
        <f aca="false">AH946+0.0005</f>
        <v>1.35662082879956</v>
      </c>
      <c r="AJ946" s="2606" t="n">
        <f aca="false">AH946-0.0005</f>
        <v>1.35562082879956</v>
      </c>
      <c r="AK946" s="2315" t="n">
        <f aca="false">IF(AND(дома!$Z$29&gt;=AJ946,дома!$Z$29&lt;=AI946),связи1!AG946,0)</f>
        <v>0</v>
      </c>
      <c r="AL946" s="2315" t="n">
        <f aca="false">IF(AND(дома!$AA$29&gt;=AJ946,дома!$AA$29&lt;=AI946),связи1!AG946,0)</f>
        <v>0</v>
      </c>
    </row>
    <row r="947" customFormat="false" ht="14.5" hidden="false" customHeight="false" outlineLevel="0" collapsed="false">
      <c r="AG947" s="2315" t="n">
        <v>77.8000000000001</v>
      </c>
      <c r="AH947" s="2606" t="n">
        <f aca="false">AG947*3.1415926535897/180</f>
        <v>1.35786615805155</v>
      </c>
      <c r="AI947" s="2606" t="n">
        <f aca="false">AH947+0.0005</f>
        <v>1.35836615805155</v>
      </c>
      <c r="AJ947" s="2606" t="n">
        <f aca="false">AH947-0.0005</f>
        <v>1.35736615805155</v>
      </c>
      <c r="AK947" s="2315" t="n">
        <f aca="false">IF(AND(дома!$Z$29&gt;=AJ947,дома!$Z$29&lt;=AI947),связи1!AG947,0)</f>
        <v>0</v>
      </c>
      <c r="AL947" s="2315" t="n">
        <f aca="false">IF(AND(дома!$AA$29&gt;=AJ947,дома!$AA$29&lt;=AI947),связи1!AG947,0)</f>
        <v>0</v>
      </c>
    </row>
    <row r="948" customFormat="false" ht="14.5" hidden="false" customHeight="false" outlineLevel="0" collapsed="false">
      <c r="AG948" s="2315" t="n">
        <v>77.9000000000001</v>
      </c>
      <c r="AH948" s="2606" t="n">
        <f aca="false">AG948*3.1415926535897/180</f>
        <v>1.35961148730354</v>
      </c>
      <c r="AI948" s="2606" t="n">
        <f aca="false">AH948+0.0005</f>
        <v>1.36011148730354</v>
      </c>
      <c r="AJ948" s="2606" t="n">
        <f aca="false">AH948-0.0005</f>
        <v>1.35911148730354</v>
      </c>
      <c r="AK948" s="2315" t="n">
        <f aca="false">IF(AND(дома!$Z$29&gt;=AJ948,дома!$Z$29&lt;=AI948),связи1!AG948,0)</f>
        <v>0</v>
      </c>
      <c r="AL948" s="2315" t="n">
        <f aca="false">IF(AND(дома!$AA$29&gt;=AJ948,дома!$AA$29&lt;=AI948),связи1!AG948,0)</f>
        <v>0</v>
      </c>
    </row>
    <row r="949" customFormat="false" ht="14.5" hidden="false" customHeight="false" outlineLevel="0" collapsed="false">
      <c r="AG949" s="2315" t="n">
        <v>78.0000000000001</v>
      </c>
      <c r="AH949" s="2606" t="n">
        <f aca="false">AG949*3.1415926535897/180</f>
        <v>1.36135681655554</v>
      </c>
      <c r="AI949" s="2606" t="n">
        <f aca="false">AH949+0.0005</f>
        <v>1.36185681655554</v>
      </c>
      <c r="AJ949" s="2606" t="n">
        <f aca="false">AH949-0.0005</f>
        <v>1.36085681655554</v>
      </c>
      <c r="AK949" s="2315" t="n">
        <f aca="false">IF(AND(дома!$Z$29&gt;=AJ949,дома!$Z$29&lt;=AI949),связи1!AG949,0)</f>
        <v>0</v>
      </c>
      <c r="AL949" s="2315" t="n">
        <f aca="false">IF(AND(дома!$AA$29&gt;=AJ949,дома!$AA$29&lt;=AI949),связи1!AG949,0)</f>
        <v>0</v>
      </c>
    </row>
    <row r="950" customFormat="false" ht="14.5" hidden="false" customHeight="false" outlineLevel="0" collapsed="false">
      <c r="AG950" s="2315" t="n">
        <v>78.1000000000001</v>
      </c>
      <c r="AH950" s="2606" t="n">
        <f aca="false">AG950*3.1415926535897/180</f>
        <v>1.36310214580753</v>
      </c>
      <c r="AI950" s="2606" t="n">
        <f aca="false">AH950+0.0005</f>
        <v>1.36360214580753</v>
      </c>
      <c r="AJ950" s="2606" t="n">
        <f aca="false">AH950-0.0005</f>
        <v>1.36260214580753</v>
      </c>
      <c r="AK950" s="2315" t="n">
        <f aca="false">IF(AND(дома!$Z$29&gt;=AJ950,дома!$Z$29&lt;=AI950),связи1!AG950,0)</f>
        <v>0</v>
      </c>
      <c r="AL950" s="2315" t="n">
        <f aca="false">IF(AND(дома!$AA$29&gt;=AJ950,дома!$AA$29&lt;=AI950),связи1!AG950,0)</f>
        <v>0</v>
      </c>
    </row>
    <row r="951" customFormat="false" ht="14.5" hidden="false" customHeight="false" outlineLevel="0" collapsed="false">
      <c r="AG951" s="2315" t="n">
        <v>78.2000000000001</v>
      </c>
      <c r="AH951" s="2606" t="n">
        <f aca="false">AG951*3.1415926535897/180</f>
        <v>1.36484747505953</v>
      </c>
      <c r="AI951" s="2606" t="n">
        <f aca="false">AH951+0.0005</f>
        <v>1.36534747505953</v>
      </c>
      <c r="AJ951" s="2606" t="n">
        <f aca="false">AH951-0.0005</f>
        <v>1.36434747505953</v>
      </c>
      <c r="AK951" s="2315" t="n">
        <f aca="false">IF(AND(дома!$Z$29&gt;=AJ951,дома!$Z$29&lt;=AI951),связи1!AG951,0)</f>
        <v>0</v>
      </c>
      <c r="AL951" s="2315" t="n">
        <f aca="false">IF(AND(дома!$AA$29&gt;=AJ951,дома!$AA$29&lt;=AI951),связи1!AG951,0)</f>
        <v>0</v>
      </c>
    </row>
    <row r="952" customFormat="false" ht="14.5" hidden="false" customHeight="false" outlineLevel="0" collapsed="false">
      <c r="AG952" s="2315" t="n">
        <v>78.3000000000001</v>
      </c>
      <c r="AH952" s="2606" t="n">
        <f aca="false">AG952*3.1415926535897/180</f>
        <v>1.36659280431152</v>
      </c>
      <c r="AI952" s="2606" t="n">
        <f aca="false">AH952+0.0005</f>
        <v>1.36709280431152</v>
      </c>
      <c r="AJ952" s="2606" t="n">
        <f aca="false">AH952-0.0005</f>
        <v>1.36609280431152</v>
      </c>
      <c r="AK952" s="2315" t="n">
        <f aca="false">IF(AND(дома!$Z$29&gt;=AJ952,дома!$Z$29&lt;=AI952),связи1!AG952,0)</f>
        <v>0</v>
      </c>
      <c r="AL952" s="2315" t="n">
        <f aca="false">IF(AND(дома!$AA$29&gt;=AJ952,дома!$AA$29&lt;=AI952),связи1!AG952,0)</f>
        <v>0</v>
      </c>
    </row>
    <row r="953" customFormat="false" ht="14.5" hidden="false" customHeight="false" outlineLevel="0" collapsed="false">
      <c r="AG953" s="2315" t="n">
        <v>78.4000000000001</v>
      </c>
      <c r="AH953" s="2606" t="n">
        <f aca="false">AG953*3.1415926535897/180</f>
        <v>1.36833813356352</v>
      </c>
      <c r="AI953" s="2606" t="n">
        <f aca="false">AH953+0.0005</f>
        <v>1.36883813356352</v>
      </c>
      <c r="AJ953" s="2606" t="n">
        <f aca="false">AH953-0.0005</f>
        <v>1.36783813356352</v>
      </c>
      <c r="AK953" s="2315" t="n">
        <f aca="false">IF(AND(дома!$Z$29&gt;=AJ953,дома!$Z$29&lt;=AI953),связи1!AG953,0)</f>
        <v>0</v>
      </c>
      <c r="AL953" s="2315" t="n">
        <f aca="false">IF(AND(дома!$AA$29&gt;=AJ953,дома!$AA$29&lt;=AI953),связи1!AG953,0)</f>
        <v>0</v>
      </c>
    </row>
    <row r="954" customFormat="false" ht="14.5" hidden="false" customHeight="false" outlineLevel="0" collapsed="false">
      <c r="AG954" s="2315" t="n">
        <v>78.5000000000001</v>
      </c>
      <c r="AH954" s="2606" t="n">
        <f aca="false">AG954*3.1415926535897/180</f>
        <v>1.37008346281551</v>
      </c>
      <c r="AI954" s="2606" t="n">
        <f aca="false">AH954+0.0005</f>
        <v>1.37058346281551</v>
      </c>
      <c r="AJ954" s="2606" t="n">
        <f aca="false">AH954-0.0005</f>
        <v>1.36958346281551</v>
      </c>
      <c r="AK954" s="2315" t="n">
        <f aca="false">IF(AND(дома!$Z$29&gt;=AJ954,дома!$Z$29&lt;=AI954),связи1!AG954,0)</f>
        <v>0</v>
      </c>
      <c r="AL954" s="2315" t="n">
        <f aca="false">IF(AND(дома!$AA$29&gt;=AJ954,дома!$AA$29&lt;=AI954),связи1!AG954,0)</f>
        <v>0</v>
      </c>
    </row>
    <row r="955" customFormat="false" ht="14.5" hidden="false" customHeight="false" outlineLevel="0" collapsed="false">
      <c r="AG955" s="2315" t="n">
        <v>78.6000000000001</v>
      </c>
      <c r="AH955" s="2606" t="n">
        <f aca="false">AG955*3.1415926535897/180</f>
        <v>1.3718287920675</v>
      </c>
      <c r="AI955" s="2606" t="n">
        <f aca="false">AH955+0.0005</f>
        <v>1.3723287920675</v>
      </c>
      <c r="AJ955" s="2606" t="n">
        <f aca="false">AH955-0.0005</f>
        <v>1.3713287920675</v>
      </c>
      <c r="AK955" s="2315" t="n">
        <f aca="false">IF(AND(дома!$Z$29&gt;=AJ955,дома!$Z$29&lt;=AI955),связи1!AG955,0)</f>
        <v>0</v>
      </c>
      <c r="AL955" s="2315" t="n">
        <f aca="false">IF(AND(дома!$AA$29&gt;=AJ955,дома!$AA$29&lt;=AI955),связи1!AG955,0)</f>
        <v>0</v>
      </c>
    </row>
    <row r="956" customFormat="false" ht="14.5" hidden="false" customHeight="false" outlineLevel="0" collapsed="false">
      <c r="AG956" s="2315" t="n">
        <v>78.7000000000001</v>
      </c>
      <c r="AH956" s="2606" t="n">
        <f aca="false">AG956*3.1415926535897/180</f>
        <v>1.3735741213195</v>
      </c>
      <c r="AI956" s="2606" t="n">
        <f aca="false">AH956+0.0005</f>
        <v>1.3740741213195</v>
      </c>
      <c r="AJ956" s="2606" t="n">
        <f aca="false">AH956-0.0005</f>
        <v>1.3730741213195</v>
      </c>
      <c r="AK956" s="2315" t="n">
        <f aca="false">IF(AND(дома!$Z$29&gt;=AJ956,дома!$Z$29&lt;=AI956),связи1!AG956,0)</f>
        <v>0</v>
      </c>
      <c r="AL956" s="2315" t="n">
        <f aca="false">IF(AND(дома!$AA$29&gt;=AJ956,дома!$AA$29&lt;=AI956),связи1!AG956,0)</f>
        <v>0</v>
      </c>
    </row>
    <row r="957" customFormat="false" ht="14.5" hidden="false" customHeight="false" outlineLevel="0" collapsed="false">
      <c r="AG957" s="2315" t="n">
        <v>78.8000000000001</v>
      </c>
      <c r="AH957" s="2606" t="n">
        <f aca="false">AG957*3.1415926535897/180</f>
        <v>1.37531945057149</v>
      </c>
      <c r="AI957" s="2606" t="n">
        <f aca="false">AH957+0.0005</f>
        <v>1.37581945057149</v>
      </c>
      <c r="AJ957" s="2606" t="n">
        <f aca="false">AH957-0.0005</f>
        <v>1.37481945057149</v>
      </c>
      <c r="AK957" s="2315" t="n">
        <f aca="false">IF(AND(дома!$Z$29&gt;=AJ957,дома!$Z$29&lt;=AI957),связи1!AG957,0)</f>
        <v>0</v>
      </c>
      <c r="AL957" s="2315" t="n">
        <f aca="false">IF(AND(дома!$AA$29&gt;=AJ957,дома!$AA$29&lt;=AI957),связи1!AG957,0)</f>
        <v>0</v>
      </c>
    </row>
    <row r="958" customFormat="false" ht="14.5" hidden="false" customHeight="false" outlineLevel="0" collapsed="false">
      <c r="AG958" s="2315" t="n">
        <v>78.9000000000001</v>
      </c>
      <c r="AH958" s="2606" t="n">
        <f aca="false">AG958*3.1415926535897/180</f>
        <v>1.37706477982349</v>
      </c>
      <c r="AI958" s="2606" t="n">
        <f aca="false">AH958+0.0005</f>
        <v>1.37756477982349</v>
      </c>
      <c r="AJ958" s="2606" t="n">
        <f aca="false">AH958-0.0005</f>
        <v>1.37656477982349</v>
      </c>
      <c r="AK958" s="2315" t="n">
        <f aca="false">IF(AND(дома!$Z$29&gt;=AJ958,дома!$Z$29&lt;=AI958),связи1!AG958,0)</f>
        <v>0</v>
      </c>
      <c r="AL958" s="2315" t="n">
        <f aca="false">IF(AND(дома!$AA$29&gt;=AJ958,дома!$AA$29&lt;=AI958),связи1!AG958,0)</f>
        <v>0</v>
      </c>
    </row>
    <row r="959" customFormat="false" ht="14.5" hidden="false" customHeight="false" outlineLevel="0" collapsed="false">
      <c r="AG959" s="2315" t="n">
        <v>79.0000000000001</v>
      </c>
      <c r="AH959" s="2606" t="n">
        <f aca="false">AG959*3.1415926535897/180</f>
        <v>1.37881010907548</v>
      </c>
      <c r="AI959" s="2606" t="n">
        <f aca="false">AH959+0.0005</f>
        <v>1.37931010907548</v>
      </c>
      <c r="AJ959" s="2606" t="n">
        <f aca="false">AH959-0.0005</f>
        <v>1.37831010907548</v>
      </c>
      <c r="AK959" s="2315" t="n">
        <f aca="false">IF(AND(дома!$Z$29&gt;=AJ959,дома!$Z$29&lt;=AI959),связи1!AG959,0)</f>
        <v>0</v>
      </c>
      <c r="AL959" s="2315" t="n">
        <f aca="false">IF(AND(дома!$AA$29&gt;=AJ959,дома!$AA$29&lt;=AI959),связи1!AG959,0)</f>
        <v>0</v>
      </c>
    </row>
    <row r="960" customFormat="false" ht="14.5" hidden="false" customHeight="false" outlineLevel="0" collapsed="false">
      <c r="AG960" s="2315" t="n">
        <v>79.1000000000001</v>
      </c>
      <c r="AH960" s="2606" t="n">
        <f aca="false">AG960*3.1415926535897/180</f>
        <v>1.38055543832748</v>
      </c>
      <c r="AI960" s="2606" t="n">
        <f aca="false">AH960+0.0005</f>
        <v>1.38105543832748</v>
      </c>
      <c r="AJ960" s="2606" t="n">
        <f aca="false">AH960-0.0005</f>
        <v>1.38005543832748</v>
      </c>
      <c r="AK960" s="2315" t="n">
        <f aca="false">IF(AND(дома!$Z$29&gt;=AJ960,дома!$Z$29&lt;=AI960),связи1!AG960,0)</f>
        <v>0</v>
      </c>
      <c r="AL960" s="2315" t="n">
        <f aca="false">IF(AND(дома!$AA$29&gt;=AJ960,дома!$AA$29&lt;=AI960),связи1!AG960,0)</f>
        <v>0</v>
      </c>
    </row>
    <row r="961" customFormat="false" ht="14.5" hidden="false" customHeight="false" outlineLevel="0" collapsed="false">
      <c r="AG961" s="2315" t="n">
        <v>79.2000000000001</v>
      </c>
      <c r="AH961" s="2606" t="n">
        <f aca="false">AG961*3.1415926535897/180</f>
        <v>1.38230076757947</v>
      </c>
      <c r="AI961" s="2606" t="n">
        <f aca="false">AH961+0.0005</f>
        <v>1.38280076757947</v>
      </c>
      <c r="AJ961" s="2606" t="n">
        <f aca="false">AH961-0.0005</f>
        <v>1.38180076757947</v>
      </c>
      <c r="AK961" s="2315" t="n">
        <f aca="false">IF(AND(дома!$Z$29&gt;=AJ961,дома!$Z$29&lt;=AI961),связи1!AG961,0)</f>
        <v>0</v>
      </c>
      <c r="AL961" s="2315" t="n">
        <f aca="false">IF(AND(дома!$AA$29&gt;=AJ961,дома!$AA$29&lt;=AI961),связи1!AG961,0)</f>
        <v>0</v>
      </c>
    </row>
    <row r="962" customFormat="false" ht="14.5" hidden="false" customHeight="false" outlineLevel="0" collapsed="false">
      <c r="AG962" s="2315" t="n">
        <v>79.3000000000001</v>
      </c>
      <c r="AH962" s="2606" t="n">
        <f aca="false">AG962*3.1415926535897/180</f>
        <v>1.38404609683146</v>
      </c>
      <c r="AI962" s="2606" t="n">
        <f aca="false">AH962+0.0005</f>
        <v>1.38454609683146</v>
      </c>
      <c r="AJ962" s="2606" t="n">
        <f aca="false">AH962-0.0005</f>
        <v>1.38354609683146</v>
      </c>
      <c r="AK962" s="2315" t="n">
        <f aca="false">IF(AND(дома!$Z$29&gt;=AJ962,дома!$Z$29&lt;=AI962),связи1!AG962,0)</f>
        <v>0</v>
      </c>
      <c r="AL962" s="2315" t="n">
        <f aca="false">IF(AND(дома!$AA$29&gt;=AJ962,дома!$AA$29&lt;=AI962),связи1!AG962,0)</f>
        <v>0</v>
      </c>
    </row>
    <row r="963" customFormat="false" ht="14.5" hidden="false" customHeight="false" outlineLevel="0" collapsed="false">
      <c r="AG963" s="2315" t="n">
        <v>79.4000000000001</v>
      </c>
      <c r="AH963" s="2606" t="n">
        <f aca="false">AG963*3.1415926535897/180</f>
        <v>1.38579142608346</v>
      </c>
      <c r="AI963" s="2606" t="n">
        <f aca="false">AH963+0.0005</f>
        <v>1.38629142608346</v>
      </c>
      <c r="AJ963" s="2606" t="n">
        <f aca="false">AH963-0.0005</f>
        <v>1.38529142608346</v>
      </c>
      <c r="AK963" s="2315" t="n">
        <f aca="false">IF(AND(дома!$Z$29&gt;=AJ963,дома!$Z$29&lt;=AI963),связи1!AG963,0)</f>
        <v>0</v>
      </c>
      <c r="AL963" s="2315" t="n">
        <f aca="false">IF(AND(дома!$AA$29&gt;=AJ963,дома!$AA$29&lt;=AI963),связи1!AG963,0)</f>
        <v>0</v>
      </c>
    </row>
    <row r="964" customFormat="false" ht="14.5" hidden="false" customHeight="false" outlineLevel="0" collapsed="false">
      <c r="AG964" s="2315" t="n">
        <v>79.5000000000001</v>
      </c>
      <c r="AH964" s="2606" t="n">
        <f aca="false">AG964*3.1415926535897/180</f>
        <v>1.38753675533545</v>
      </c>
      <c r="AI964" s="2606" t="n">
        <f aca="false">AH964+0.0005</f>
        <v>1.38803675533545</v>
      </c>
      <c r="AJ964" s="2606" t="n">
        <f aca="false">AH964-0.0005</f>
        <v>1.38703675533545</v>
      </c>
      <c r="AK964" s="2315" t="n">
        <f aca="false">IF(AND(дома!$Z$29&gt;=AJ964,дома!$Z$29&lt;=AI964),связи1!AG964,0)</f>
        <v>0</v>
      </c>
      <c r="AL964" s="2315" t="n">
        <f aca="false">IF(AND(дома!$AA$29&gt;=AJ964,дома!$AA$29&lt;=AI964),связи1!AG964,0)</f>
        <v>0</v>
      </c>
    </row>
    <row r="965" customFormat="false" ht="14.5" hidden="false" customHeight="false" outlineLevel="0" collapsed="false">
      <c r="AG965" s="2315" t="n">
        <v>79.6000000000001</v>
      </c>
      <c r="AH965" s="2606" t="n">
        <f aca="false">AG965*3.1415926535897/180</f>
        <v>1.38928208458745</v>
      </c>
      <c r="AI965" s="2606" t="n">
        <f aca="false">AH965+0.0005</f>
        <v>1.38978208458745</v>
      </c>
      <c r="AJ965" s="2606" t="n">
        <f aca="false">AH965-0.0005</f>
        <v>1.38878208458745</v>
      </c>
      <c r="AK965" s="2315" t="n">
        <f aca="false">IF(AND(дома!$Z$29&gt;=AJ965,дома!$Z$29&lt;=AI965),связи1!AG965,0)</f>
        <v>0</v>
      </c>
      <c r="AL965" s="2315" t="n">
        <f aca="false">IF(AND(дома!$AA$29&gt;=AJ965,дома!$AA$29&lt;=AI965),связи1!AG965,0)</f>
        <v>0</v>
      </c>
    </row>
    <row r="966" customFormat="false" ht="14.5" hidden="false" customHeight="false" outlineLevel="0" collapsed="false">
      <c r="AG966" s="2315" t="n">
        <v>79.7000000000001</v>
      </c>
      <c r="AH966" s="2606" t="n">
        <f aca="false">AG966*3.1415926535897/180</f>
        <v>1.39102741383944</v>
      </c>
      <c r="AI966" s="2606" t="n">
        <f aca="false">AH966+0.0005</f>
        <v>1.39152741383944</v>
      </c>
      <c r="AJ966" s="2606" t="n">
        <f aca="false">AH966-0.0005</f>
        <v>1.39052741383944</v>
      </c>
      <c r="AK966" s="2315" t="n">
        <f aca="false">IF(AND(дома!$Z$29&gt;=AJ966,дома!$Z$29&lt;=AI966),связи1!AG966,0)</f>
        <v>0</v>
      </c>
      <c r="AL966" s="2315" t="n">
        <f aca="false">IF(AND(дома!$AA$29&gt;=AJ966,дома!$AA$29&lt;=AI966),связи1!AG966,0)</f>
        <v>0</v>
      </c>
    </row>
    <row r="967" customFormat="false" ht="14.5" hidden="false" customHeight="false" outlineLevel="0" collapsed="false">
      <c r="AG967" s="2315" t="n">
        <v>79.8000000000001</v>
      </c>
      <c r="AH967" s="2606" t="n">
        <f aca="false">AG967*3.1415926535897/180</f>
        <v>1.39277274309144</v>
      </c>
      <c r="AI967" s="2606" t="n">
        <f aca="false">AH967+0.0005</f>
        <v>1.39327274309144</v>
      </c>
      <c r="AJ967" s="2606" t="n">
        <f aca="false">AH967-0.0005</f>
        <v>1.39227274309144</v>
      </c>
      <c r="AK967" s="2315" t="n">
        <f aca="false">IF(AND(дома!$Z$29&gt;=AJ967,дома!$Z$29&lt;=AI967),связи1!AG967,0)</f>
        <v>0</v>
      </c>
      <c r="AL967" s="2315" t="n">
        <f aca="false">IF(AND(дома!$AA$29&gt;=AJ967,дома!$AA$29&lt;=AI967),связи1!AG967,0)</f>
        <v>0</v>
      </c>
    </row>
    <row r="968" customFormat="false" ht="14.5" hidden="false" customHeight="false" outlineLevel="0" collapsed="false">
      <c r="AG968" s="2315" t="n">
        <v>79.9000000000001</v>
      </c>
      <c r="AH968" s="2606" t="n">
        <f aca="false">AG968*3.1415926535897/180</f>
        <v>1.39451807234343</v>
      </c>
      <c r="AI968" s="2606" t="n">
        <f aca="false">AH968+0.0005</f>
        <v>1.39501807234343</v>
      </c>
      <c r="AJ968" s="2606" t="n">
        <f aca="false">AH968-0.0005</f>
        <v>1.39401807234343</v>
      </c>
      <c r="AK968" s="2315" t="n">
        <f aca="false">IF(AND(дома!$Z$29&gt;=AJ968,дома!$Z$29&lt;=AI968),связи1!AG968,0)</f>
        <v>0</v>
      </c>
      <c r="AL968" s="2315" t="n">
        <f aca="false">IF(AND(дома!$AA$29&gt;=AJ968,дома!$AA$29&lt;=AI968),связи1!AG968,0)</f>
        <v>0</v>
      </c>
    </row>
    <row r="969" customFormat="false" ht="14.5" hidden="false" customHeight="false" outlineLevel="0" collapsed="false">
      <c r="AG969" s="2315" t="n">
        <v>80.0000000000001</v>
      </c>
      <c r="AH969" s="2606" t="n">
        <f aca="false">AG969*3.1415926535897/180</f>
        <v>1.39626340159542</v>
      </c>
      <c r="AI969" s="2606" t="n">
        <f aca="false">AH969+0.0005</f>
        <v>1.39676340159542</v>
      </c>
      <c r="AJ969" s="2606" t="n">
        <f aca="false">AH969-0.0005</f>
        <v>1.39576340159542</v>
      </c>
      <c r="AK969" s="2315" t="n">
        <f aca="false">IF(AND(дома!$Z$29&gt;=AJ969,дома!$Z$29&lt;=AI969),связи1!AG969,0)</f>
        <v>0</v>
      </c>
      <c r="AL969" s="2315" t="n">
        <f aca="false">IF(AND(дома!$AA$29&gt;=AJ969,дома!$AA$29&lt;=AI969),связи1!AG969,0)</f>
        <v>0</v>
      </c>
    </row>
    <row r="970" customFormat="false" ht="14.5" hidden="false" customHeight="false" outlineLevel="0" collapsed="false">
      <c r="AG970" s="2315" t="n">
        <v>80.1000000000001</v>
      </c>
      <c r="AH970" s="2606" t="n">
        <f aca="false">AG970*3.1415926535897/180</f>
        <v>1.39800873084742</v>
      </c>
      <c r="AI970" s="2606" t="n">
        <f aca="false">AH970+0.0005</f>
        <v>1.39850873084742</v>
      </c>
      <c r="AJ970" s="2606" t="n">
        <f aca="false">AH970-0.0005</f>
        <v>1.39750873084742</v>
      </c>
      <c r="AK970" s="2315" t="n">
        <f aca="false">IF(AND(дома!$Z$29&gt;=AJ970,дома!$Z$29&lt;=AI970),связи1!AG970,0)</f>
        <v>0</v>
      </c>
      <c r="AL970" s="2315" t="n">
        <f aca="false">IF(AND(дома!$AA$29&gt;=AJ970,дома!$AA$29&lt;=AI970),связи1!AG970,0)</f>
        <v>0</v>
      </c>
    </row>
    <row r="971" customFormat="false" ht="14.5" hidden="false" customHeight="false" outlineLevel="0" collapsed="false">
      <c r="AG971" s="2315" t="n">
        <v>80.2000000000001</v>
      </c>
      <c r="AH971" s="2606" t="n">
        <f aca="false">AG971*3.1415926535897/180</f>
        <v>1.39975406009941</v>
      </c>
      <c r="AI971" s="2606" t="n">
        <f aca="false">AH971+0.0005</f>
        <v>1.40025406009941</v>
      </c>
      <c r="AJ971" s="2606" t="n">
        <f aca="false">AH971-0.0005</f>
        <v>1.39925406009941</v>
      </c>
      <c r="AK971" s="2315" t="n">
        <f aca="false">IF(AND(дома!$Z$29&gt;=AJ971,дома!$Z$29&lt;=AI971),связи1!AG971,0)</f>
        <v>0</v>
      </c>
      <c r="AL971" s="2315" t="n">
        <f aca="false">IF(AND(дома!$AA$29&gt;=AJ971,дома!$AA$29&lt;=AI971),связи1!AG971,0)</f>
        <v>0</v>
      </c>
    </row>
    <row r="972" customFormat="false" ht="14.5" hidden="false" customHeight="false" outlineLevel="0" collapsed="false">
      <c r="AG972" s="2315" t="n">
        <v>80.3000000000001</v>
      </c>
      <c r="AH972" s="2606" t="n">
        <f aca="false">AG972*3.1415926535897/180</f>
        <v>1.40149938935141</v>
      </c>
      <c r="AI972" s="2606" t="n">
        <f aca="false">AH972+0.0005</f>
        <v>1.40199938935141</v>
      </c>
      <c r="AJ972" s="2606" t="n">
        <f aca="false">AH972-0.0005</f>
        <v>1.40099938935141</v>
      </c>
      <c r="AK972" s="2315" t="n">
        <f aca="false">IF(AND(дома!$Z$29&gt;=AJ972,дома!$Z$29&lt;=AI972),связи1!AG972,0)</f>
        <v>0</v>
      </c>
      <c r="AL972" s="2315" t="n">
        <f aca="false">IF(AND(дома!$AA$29&gt;=AJ972,дома!$AA$29&lt;=AI972),связи1!AG972,0)</f>
        <v>0</v>
      </c>
    </row>
    <row r="973" customFormat="false" ht="14.5" hidden="false" customHeight="false" outlineLevel="0" collapsed="false">
      <c r="AG973" s="2315" t="n">
        <v>80.4000000000001</v>
      </c>
      <c r="AH973" s="2606" t="n">
        <f aca="false">AG973*3.1415926535897/180</f>
        <v>1.4032447186034</v>
      </c>
      <c r="AI973" s="2606" t="n">
        <f aca="false">AH973+0.0005</f>
        <v>1.4037447186034</v>
      </c>
      <c r="AJ973" s="2606" t="n">
        <f aca="false">AH973-0.0005</f>
        <v>1.4027447186034</v>
      </c>
      <c r="AK973" s="2315" t="n">
        <f aca="false">IF(AND(дома!$Z$29&gt;=AJ973,дома!$Z$29&lt;=AI973),связи1!AG973,0)</f>
        <v>0</v>
      </c>
      <c r="AL973" s="2315" t="n">
        <f aca="false">IF(AND(дома!$AA$29&gt;=AJ973,дома!$AA$29&lt;=AI973),связи1!AG973,0)</f>
        <v>0</v>
      </c>
    </row>
    <row r="974" customFormat="false" ht="14.5" hidden="false" customHeight="false" outlineLevel="0" collapsed="false">
      <c r="AG974" s="2315" t="n">
        <v>80.5000000000001</v>
      </c>
      <c r="AH974" s="2606" t="n">
        <f aca="false">AG974*3.1415926535897/180</f>
        <v>1.4049900478554</v>
      </c>
      <c r="AI974" s="2606" t="n">
        <f aca="false">AH974+0.0005</f>
        <v>1.4054900478554</v>
      </c>
      <c r="AJ974" s="2606" t="n">
        <f aca="false">AH974-0.0005</f>
        <v>1.4044900478554</v>
      </c>
      <c r="AK974" s="2315" t="n">
        <f aca="false">IF(AND(дома!$Z$29&gt;=AJ974,дома!$Z$29&lt;=AI974),связи1!AG974,0)</f>
        <v>0</v>
      </c>
      <c r="AL974" s="2315" t="n">
        <f aca="false">IF(AND(дома!$AA$29&gt;=AJ974,дома!$AA$29&lt;=AI974),связи1!AG974,0)</f>
        <v>0</v>
      </c>
    </row>
    <row r="975" customFormat="false" ht="14.5" hidden="false" customHeight="false" outlineLevel="0" collapsed="false">
      <c r="AG975" s="2315" t="n">
        <v>80.6000000000001</v>
      </c>
      <c r="AH975" s="2606" t="n">
        <f aca="false">AG975*3.1415926535897/180</f>
        <v>1.40673537710739</v>
      </c>
      <c r="AI975" s="2606" t="n">
        <f aca="false">AH975+0.0005</f>
        <v>1.40723537710739</v>
      </c>
      <c r="AJ975" s="2606" t="n">
        <f aca="false">AH975-0.0005</f>
        <v>1.40623537710739</v>
      </c>
      <c r="AK975" s="2315" t="n">
        <f aca="false">IF(AND(дома!$Z$29&gt;=AJ975,дома!$Z$29&lt;=AI975),связи1!AG975,0)</f>
        <v>0</v>
      </c>
      <c r="AL975" s="2315" t="n">
        <f aca="false">IF(AND(дома!$AA$29&gt;=AJ975,дома!$AA$29&lt;=AI975),связи1!AG975,0)</f>
        <v>0</v>
      </c>
    </row>
    <row r="976" customFormat="false" ht="14.5" hidden="false" customHeight="false" outlineLevel="0" collapsed="false">
      <c r="AG976" s="2315" t="n">
        <v>80.7000000000001</v>
      </c>
      <c r="AH976" s="2606" t="n">
        <f aca="false">AG976*3.1415926535897/180</f>
        <v>1.40848070635938</v>
      </c>
      <c r="AI976" s="2606" t="n">
        <f aca="false">AH976+0.0005</f>
        <v>1.40898070635938</v>
      </c>
      <c r="AJ976" s="2606" t="n">
        <f aca="false">AH976-0.0005</f>
        <v>1.40798070635938</v>
      </c>
      <c r="AK976" s="2315" t="n">
        <f aca="false">IF(AND(дома!$Z$29&gt;=AJ976,дома!$Z$29&lt;=AI976),связи1!AG976,0)</f>
        <v>0</v>
      </c>
      <c r="AL976" s="2315" t="n">
        <f aca="false">IF(AND(дома!$AA$29&gt;=AJ976,дома!$AA$29&lt;=AI976),связи1!AG976,0)</f>
        <v>0</v>
      </c>
    </row>
    <row r="977" customFormat="false" ht="14.5" hidden="false" customHeight="false" outlineLevel="0" collapsed="false">
      <c r="AG977" s="2315" t="n">
        <v>80.8000000000001</v>
      </c>
      <c r="AH977" s="2606" t="n">
        <f aca="false">AG977*3.1415926535897/180</f>
        <v>1.41022603561138</v>
      </c>
      <c r="AI977" s="2606" t="n">
        <f aca="false">AH977+0.0005</f>
        <v>1.41072603561138</v>
      </c>
      <c r="AJ977" s="2606" t="n">
        <f aca="false">AH977-0.0005</f>
        <v>1.40972603561138</v>
      </c>
      <c r="AK977" s="2315" t="n">
        <f aca="false">IF(AND(дома!$Z$29&gt;=AJ977,дома!$Z$29&lt;=AI977),связи1!AG977,0)</f>
        <v>0</v>
      </c>
      <c r="AL977" s="2315" t="n">
        <f aca="false">IF(AND(дома!$AA$29&gt;=AJ977,дома!$AA$29&lt;=AI977),связи1!AG977,0)</f>
        <v>0</v>
      </c>
    </row>
    <row r="978" customFormat="false" ht="14.5" hidden="false" customHeight="false" outlineLevel="0" collapsed="false">
      <c r="AG978" s="2315" t="n">
        <v>80.9000000000001</v>
      </c>
      <c r="AH978" s="2606" t="n">
        <f aca="false">AG978*3.1415926535897/180</f>
        <v>1.41197136486337</v>
      </c>
      <c r="AI978" s="2606" t="n">
        <f aca="false">AH978+0.0005</f>
        <v>1.41247136486337</v>
      </c>
      <c r="AJ978" s="2606" t="n">
        <f aca="false">AH978-0.0005</f>
        <v>1.41147136486337</v>
      </c>
      <c r="AK978" s="2315" t="n">
        <f aca="false">IF(AND(дома!$Z$29&gt;=AJ978,дома!$Z$29&lt;=AI978),связи1!AG978,0)</f>
        <v>0</v>
      </c>
      <c r="AL978" s="2315" t="n">
        <f aca="false">IF(AND(дома!$AA$29&gt;=AJ978,дома!$AA$29&lt;=AI978),связи1!AG978,0)</f>
        <v>0</v>
      </c>
    </row>
    <row r="979" customFormat="false" ht="14.5" hidden="false" customHeight="false" outlineLevel="0" collapsed="false">
      <c r="AG979" s="2315" t="n">
        <v>81.0000000000001</v>
      </c>
      <c r="AH979" s="2606" t="n">
        <f aca="false">AG979*3.1415926535897/180</f>
        <v>1.41371669411537</v>
      </c>
      <c r="AI979" s="2606" t="n">
        <f aca="false">AH979+0.0005</f>
        <v>1.41421669411537</v>
      </c>
      <c r="AJ979" s="2606" t="n">
        <f aca="false">AH979-0.0005</f>
        <v>1.41321669411537</v>
      </c>
      <c r="AK979" s="2315" t="n">
        <f aca="false">IF(AND(дома!$Z$29&gt;=AJ979,дома!$Z$29&lt;=AI979),связи1!AG979,0)</f>
        <v>0</v>
      </c>
      <c r="AL979" s="2315" t="n">
        <f aca="false">IF(AND(дома!$AA$29&gt;=AJ979,дома!$AA$29&lt;=AI979),связи1!AG979,0)</f>
        <v>0</v>
      </c>
    </row>
    <row r="980" customFormat="false" ht="14.5" hidden="false" customHeight="false" outlineLevel="0" collapsed="false">
      <c r="AG980" s="2315" t="n">
        <v>81.1000000000001</v>
      </c>
      <c r="AH980" s="2606" t="n">
        <f aca="false">AG980*3.1415926535897/180</f>
        <v>1.41546202336736</v>
      </c>
      <c r="AI980" s="2606" t="n">
        <f aca="false">AH980+0.0005</f>
        <v>1.41596202336736</v>
      </c>
      <c r="AJ980" s="2606" t="n">
        <f aca="false">AH980-0.0005</f>
        <v>1.41496202336736</v>
      </c>
      <c r="AK980" s="2315" t="n">
        <f aca="false">IF(AND(дома!$Z$29&gt;=AJ980,дома!$Z$29&lt;=AI980),связи1!AG980,0)</f>
        <v>0</v>
      </c>
      <c r="AL980" s="2315" t="n">
        <f aca="false">IF(AND(дома!$AA$29&gt;=AJ980,дома!$AA$29&lt;=AI980),связи1!AG980,0)</f>
        <v>0</v>
      </c>
    </row>
    <row r="981" customFormat="false" ht="14.5" hidden="false" customHeight="false" outlineLevel="0" collapsed="false">
      <c r="AG981" s="2315" t="n">
        <v>81.2000000000001</v>
      </c>
      <c r="AH981" s="2606" t="n">
        <f aca="false">AG981*3.1415926535897/180</f>
        <v>1.41720735261936</v>
      </c>
      <c r="AI981" s="2606" t="n">
        <f aca="false">AH981+0.0005</f>
        <v>1.41770735261936</v>
      </c>
      <c r="AJ981" s="2606" t="n">
        <f aca="false">AH981-0.0005</f>
        <v>1.41670735261936</v>
      </c>
      <c r="AK981" s="2315" t="n">
        <f aca="false">IF(AND(дома!$Z$29&gt;=AJ981,дома!$Z$29&lt;=AI981),связи1!AG981,0)</f>
        <v>0</v>
      </c>
      <c r="AL981" s="2315" t="n">
        <f aca="false">IF(AND(дома!$AA$29&gt;=AJ981,дома!$AA$29&lt;=AI981),связи1!AG981,0)</f>
        <v>0</v>
      </c>
    </row>
    <row r="982" customFormat="false" ht="14.5" hidden="false" customHeight="false" outlineLevel="0" collapsed="false">
      <c r="AG982" s="2315" t="n">
        <v>81.3000000000001</v>
      </c>
      <c r="AH982" s="2606" t="n">
        <f aca="false">AG982*3.1415926535897/180</f>
        <v>1.41895268187135</v>
      </c>
      <c r="AI982" s="2606" t="n">
        <f aca="false">AH982+0.0005</f>
        <v>1.41945268187135</v>
      </c>
      <c r="AJ982" s="2606" t="n">
        <f aca="false">AH982-0.0005</f>
        <v>1.41845268187135</v>
      </c>
      <c r="AK982" s="2315" t="n">
        <f aca="false">IF(AND(дома!$Z$29&gt;=AJ982,дома!$Z$29&lt;=AI982),связи1!AG982,0)</f>
        <v>0</v>
      </c>
      <c r="AL982" s="2315" t="n">
        <f aca="false">IF(AND(дома!$AA$29&gt;=AJ982,дома!$AA$29&lt;=AI982),связи1!AG982,0)</f>
        <v>0</v>
      </c>
    </row>
    <row r="983" customFormat="false" ht="14.5" hidden="false" customHeight="false" outlineLevel="0" collapsed="false">
      <c r="AG983" s="2315" t="n">
        <v>81.4000000000001</v>
      </c>
      <c r="AH983" s="2606" t="n">
        <f aca="false">AG983*3.1415926535897/180</f>
        <v>1.42069801112334</v>
      </c>
      <c r="AI983" s="2606" t="n">
        <f aca="false">AH983+0.0005</f>
        <v>1.42119801112334</v>
      </c>
      <c r="AJ983" s="2606" t="n">
        <f aca="false">AH983-0.0005</f>
        <v>1.42019801112334</v>
      </c>
      <c r="AK983" s="2315" t="n">
        <f aca="false">IF(AND(дома!$Z$29&gt;=AJ983,дома!$Z$29&lt;=AI983),связи1!AG983,0)</f>
        <v>0</v>
      </c>
      <c r="AL983" s="2315" t="n">
        <f aca="false">IF(AND(дома!$AA$29&gt;=AJ983,дома!$AA$29&lt;=AI983),связи1!AG983,0)</f>
        <v>0</v>
      </c>
    </row>
    <row r="984" customFormat="false" ht="14.5" hidden="false" customHeight="false" outlineLevel="0" collapsed="false">
      <c r="AG984" s="2315" t="n">
        <v>81.5000000000001</v>
      </c>
      <c r="AH984" s="2606" t="n">
        <f aca="false">AG984*3.1415926535897/180</f>
        <v>1.42244334037534</v>
      </c>
      <c r="AI984" s="2606" t="n">
        <f aca="false">AH984+0.0005</f>
        <v>1.42294334037534</v>
      </c>
      <c r="AJ984" s="2606" t="n">
        <f aca="false">AH984-0.0005</f>
        <v>1.42194334037534</v>
      </c>
      <c r="AK984" s="2315" t="n">
        <f aca="false">IF(AND(дома!$Z$29&gt;=AJ984,дома!$Z$29&lt;=AI984),связи1!AG984,0)</f>
        <v>0</v>
      </c>
      <c r="AL984" s="2315" t="n">
        <f aca="false">IF(AND(дома!$AA$29&gt;=AJ984,дома!$AA$29&lt;=AI984),связи1!AG984,0)</f>
        <v>0</v>
      </c>
    </row>
    <row r="985" customFormat="false" ht="14.5" hidden="false" customHeight="false" outlineLevel="0" collapsed="false">
      <c r="AG985" s="2315" t="n">
        <v>81.6000000000001</v>
      </c>
      <c r="AH985" s="2606" t="n">
        <f aca="false">AG985*3.1415926535897/180</f>
        <v>1.42418866962733</v>
      </c>
      <c r="AI985" s="2606" t="n">
        <f aca="false">AH985+0.0005</f>
        <v>1.42468866962733</v>
      </c>
      <c r="AJ985" s="2606" t="n">
        <f aca="false">AH985-0.0005</f>
        <v>1.42368866962733</v>
      </c>
      <c r="AK985" s="2315" t="n">
        <f aca="false">IF(AND(дома!$Z$29&gt;=AJ985,дома!$Z$29&lt;=AI985),связи1!AG985,0)</f>
        <v>0</v>
      </c>
      <c r="AL985" s="2315" t="n">
        <f aca="false">IF(AND(дома!$AA$29&gt;=AJ985,дома!$AA$29&lt;=AI985),связи1!AG985,0)</f>
        <v>0</v>
      </c>
    </row>
    <row r="986" customFormat="false" ht="14.5" hidden="false" customHeight="false" outlineLevel="0" collapsed="false">
      <c r="AG986" s="2315" t="n">
        <v>81.7000000000001</v>
      </c>
      <c r="AH986" s="2606" t="n">
        <f aca="false">AG986*3.1415926535897/180</f>
        <v>1.42593399887933</v>
      </c>
      <c r="AI986" s="2606" t="n">
        <f aca="false">AH986+0.0005</f>
        <v>1.42643399887933</v>
      </c>
      <c r="AJ986" s="2606" t="n">
        <f aca="false">AH986-0.0005</f>
        <v>1.42543399887933</v>
      </c>
      <c r="AK986" s="2315" t="n">
        <f aca="false">IF(AND(дома!$Z$29&gt;=AJ986,дома!$Z$29&lt;=AI986),связи1!AG986,0)</f>
        <v>0</v>
      </c>
      <c r="AL986" s="2315" t="n">
        <f aca="false">IF(AND(дома!$AA$29&gt;=AJ986,дома!$AA$29&lt;=AI986),связи1!AG986,0)</f>
        <v>0</v>
      </c>
    </row>
    <row r="987" customFormat="false" ht="14.5" hidden="false" customHeight="false" outlineLevel="0" collapsed="false">
      <c r="AG987" s="2315" t="n">
        <v>81.8000000000001</v>
      </c>
      <c r="AH987" s="2606" t="n">
        <f aca="false">AG987*3.1415926535897/180</f>
        <v>1.42767932813132</v>
      </c>
      <c r="AI987" s="2606" t="n">
        <f aca="false">AH987+0.0005</f>
        <v>1.42817932813132</v>
      </c>
      <c r="AJ987" s="2606" t="n">
        <f aca="false">AH987-0.0005</f>
        <v>1.42717932813132</v>
      </c>
      <c r="AK987" s="2315" t="n">
        <f aca="false">IF(AND(дома!$Z$29&gt;=AJ987,дома!$Z$29&lt;=AI987),связи1!AG987,0)</f>
        <v>0</v>
      </c>
      <c r="AL987" s="2315" t="n">
        <f aca="false">IF(AND(дома!$AA$29&gt;=AJ987,дома!$AA$29&lt;=AI987),связи1!AG987,0)</f>
        <v>0</v>
      </c>
    </row>
    <row r="988" customFormat="false" ht="14.5" hidden="false" customHeight="false" outlineLevel="0" collapsed="false">
      <c r="AG988" s="2315" t="n">
        <v>81.9000000000001</v>
      </c>
      <c r="AH988" s="2606" t="n">
        <f aca="false">AG988*3.1415926535897/180</f>
        <v>1.42942465738332</v>
      </c>
      <c r="AI988" s="2606" t="n">
        <f aca="false">AH988+0.0005</f>
        <v>1.42992465738332</v>
      </c>
      <c r="AJ988" s="2606" t="n">
        <f aca="false">AH988-0.0005</f>
        <v>1.42892465738332</v>
      </c>
      <c r="AK988" s="2315" t="n">
        <f aca="false">IF(AND(дома!$Z$29&gt;=AJ988,дома!$Z$29&lt;=AI988),связи1!AG988,0)</f>
        <v>0</v>
      </c>
      <c r="AL988" s="2315" t="n">
        <f aca="false">IF(AND(дома!$AA$29&gt;=AJ988,дома!$AA$29&lt;=AI988),связи1!AG988,0)</f>
        <v>0</v>
      </c>
    </row>
    <row r="989" customFormat="false" ht="14.5" hidden="false" customHeight="false" outlineLevel="0" collapsed="false">
      <c r="AG989" s="2315" t="n">
        <v>82.0000000000001</v>
      </c>
      <c r="AH989" s="2606" t="n">
        <f aca="false">AG989*3.1415926535897/180</f>
        <v>1.43116998663531</v>
      </c>
      <c r="AI989" s="2606" t="n">
        <f aca="false">AH989+0.0005</f>
        <v>1.43166998663531</v>
      </c>
      <c r="AJ989" s="2606" t="n">
        <f aca="false">AH989-0.0005</f>
        <v>1.43066998663531</v>
      </c>
      <c r="AK989" s="2315" t="n">
        <f aca="false">IF(AND(дома!$Z$29&gt;=AJ989,дома!$Z$29&lt;=AI989),связи1!AG989,0)</f>
        <v>0</v>
      </c>
      <c r="AL989" s="2315" t="n">
        <f aca="false">IF(AND(дома!$AA$29&gt;=AJ989,дома!$AA$29&lt;=AI989),связи1!AG989,0)</f>
        <v>0</v>
      </c>
    </row>
    <row r="990" customFormat="false" ht="14.5" hidden="false" customHeight="false" outlineLevel="0" collapsed="false">
      <c r="AG990" s="2315" t="n">
        <v>82.1000000000001</v>
      </c>
      <c r="AH990" s="2606" t="n">
        <f aca="false">AG990*3.1415926535897/180</f>
        <v>1.4329153158873</v>
      </c>
      <c r="AI990" s="2606" t="n">
        <f aca="false">AH990+0.0005</f>
        <v>1.4334153158873</v>
      </c>
      <c r="AJ990" s="2606" t="n">
        <f aca="false">AH990-0.0005</f>
        <v>1.4324153158873</v>
      </c>
      <c r="AK990" s="2315" t="n">
        <f aca="false">IF(AND(дома!$Z$29&gt;=AJ990,дома!$Z$29&lt;=AI990),связи1!AG990,0)</f>
        <v>0</v>
      </c>
      <c r="AL990" s="2315" t="n">
        <f aca="false">IF(AND(дома!$AA$29&gt;=AJ990,дома!$AA$29&lt;=AI990),связи1!AG990,0)</f>
        <v>0</v>
      </c>
    </row>
    <row r="991" customFormat="false" ht="14.5" hidden="false" customHeight="false" outlineLevel="0" collapsed="false">
      <c r="AG991" s="2315" t="n">
        <v>82.2000000000001</v>
      </c>
      <c r="AH991" s="2606" t="n">
        <f aca="false">AG991*3.1415926535897/180</f>
        <v>1.4346606451393</v>
      </c>
      <c r="AI991" s="2606" t="n">
        <f aca="false">AH991+0.0005</f>
        <v>1.4351606451393</v>
      </c>
      <c r="AJ991" s="2606" t="n">
        <f aca="false">AH991-0.0005</f>
        <v>1.4341606451393</v>
      </c>
      <c r="AK991" s="2315" t="n">
        <f aca="false">IF(AND(дома!$Z$29&gt;=AJ991,дома!$Z$29&lt;=AI991),связи1!AG991,0)</f>
        <v>0</v>
      </c>
      <c r="AL991" s="2315" t="n">
        <f aca="false">IF(AND(дома!$AA$29&gt;=AJ991,дома!$AA$29&lt;=AI991),связи1!AG991,0)</f>
        <v>0</v>
      </c>
    </row>
    <row r="992" customFormat="false" ht="14.5" hidden="false" customHeight="false" outlineLevel="0" collapsed="false">
      <c r="AG992" s="2315" t="n">
        <v>82.3000000000001</v>
      </c>
      <c r="AH992" s="2606" t="n">
        <f aca="false">AG992*3.1415926535897/180</f>
        <v>1.43640597439129</v>
      </c>
      <c r="AI992" s="2606" t="n">
        <f aca="false">AH992+0.0005</f>
        <v>1.43690597439129</v>
      </c>
      <c r="AJ992" s="2606" t="n">
        <f aca="false">AH992-0.0005</f>
        <v>1.43590597439129</v>
      </c>
      <c r="AK992" s="2315" t="n">
        <f aca="false">IF(AND(дома!$Z$29&gt;=AJ992,дома!$Z$29&lt;=AI992),связи1!AG992,0)</f>
        <v>0</v>
      </c>
      <c r="AL992" s="2315" t="n">
        <f aca="false">IF(AND(дома!$AA$29&gt;=AJ992,дома!$AA$29&lt;=AI992),связи1!AG992,0)</f>
        <v>0</v>
      </c>
    </row>
    <row r="993" customFormat="false" ht="14.5" hidden="false" customHeight="false" outlineLevel="0" collapsed="false">
      <c r="AG993" s="2315" t="n">
        <v>82.4000000000001</v>
      </c>
      <c r="AH993" s="2606" t="n">
        <f aca="false">AG993*3.1415926535897/180</f>
        <v>1.43815130364329</v>
      </c>
      <c r="AI993" s="2606" t="n">
        <f aca="false">AH993+0.0005</f>
        <v>1.43865130364329</v>
      </c>
      <c r="AJ993" s="2606" t="n">
        <f aca="false">AH993-0.0005</f>
        <v>1.43765130364329</v>
      </c>
      <c r="AK993" s="2315" t="n">
        <f aca="false">IF(AND(дома!$Z$29&gt;=AJ993,дома!$Z$29&lt;=AI993),связи1!AG993,0)</f>
        <v>0</v>
      </c>
      <c r="AL993" s="2315" t="n">
        <f aca="false">IF(AND(дома!$AA$29&gt;=AJ993,дома!$AA$29&lt;=AI993),связи1!AG993,0)</f>
        <v>0</v>
      </c>
    </row>
    <row r="994" customFormat="false" ht="14.5" hidden="false" customHeight="false" outlineLevel="0" collapsed="false">
      <c r="AG994" s="2315" t="n">
        <v>82.5000000000001</v>
      </c>
      <c r="AH994" s="2606" t="n">
        <f aca="false">AG994*3.1415926535897/180</f>
        <v>1.43989663289528</v>
      </c>
      <c r="AI994" s="2606" t="n">
        <f aca="false">AH994+0.0005</f>
        <v>1.44039663289528</v>
      </c>
      <c r="AJ994" s="2606" t="n">
        <f aca="false">AH994-0.0005</f>
        <v>1.43939663289528</v>
      </c>
      <c r="AK994" s="2315" t="n">
        <f aca="false">IF(AND(дома!$Z$29&gt;=AJ994,дома!$Z$29&lt;=AI994),связи1!AG994,0)</f>
        <v>0</v>
      </c>
      <c r="AL994" s="2315" t="n">
        <f aca="false">IF(AND(дома!$AA$29&gt;=AJ994,дома!$AA$29&lt;=AI994),связи1!AG994,0)</f>
        <v>0</v>
      </c>
    </row>
    <row r="995" customFormat="false" ht="14.5" hidden="false" customHeight="false" outlineLevel="0" collapsed="false">
      <c r="AG995" s="2315" t="n">
        <v>82.6000000000001</v>
      </c>
      <c r="AH995" s="2606" t="n">
        <f aca="false">AG995*3.1415926535897/180</f>
        <v>1.44164196214727</v>
      </c>
      <c r="AI995" s="2606" t="n">
        <f aca="false">AH995+0.0005</f>
        <v>1.44214196214727</v>
      </c>
      <c r="AJ995" s="2606" t="n">
        <f aca="false">AH995-0.0005</f>
        <v>1.44114196214728</v>
      </c>
      <c r="AK995" s="2315" t="n">
        <f aca="false">IF(AND(дома!$Z$29&gt;=AJ995,дома!$Z$29&lt;=AI995),связи1!AG995,0)</f>
        <v>0</v>
      </c>
      <c r="AL995" s="2315" t="n">
        <f aca="false">IF(AND(дома!$AA$29&gt;=AJ995,дома!$AA$29&lt;=AI995),связи1!AG995,0)</f>
        <v>0</v>
      </c>
    </row>
    <row r="996" customFormat="false" ht="14.5" hidden="false" customHeight="false" outlineLevel="0" collapsed="false">
      <c r="AG996" s="2315" t="n">
        <v>82.7000000000001</v>
      </c>
      <c r="AH996" s="2606" t="n">
        <f aca="false">AG996*3.1415926535897/180</f>
        <v>1.44338729139927</v>
      </c>
      <c r="AI996" s="2606" t="n">
        <f aca="false">AH996+0.0005</f>
        <v>1.44388729139927</v>
      </c>
      <c r="AJ996" s="2606" t="n">
        <f aca="false">AH996-0.0005</f>
        <v>1.44288729139927</v>
      </c>
      <c r="AK996" s="2315" t="n">
        <f aca="false">IF(AND(дома!$Z$29&gt;=AJ996,дома!$Z$29&lt;=AI996),связи1!AG996,0)</f>
        <v>0</v>
      </c>
      <c r="AL996" s="2315" t="n">
        <f aca="false">IF(AND(дома!$AA$29&gt;=AJ996,дома!$AA$29&lt;=AI996),связи1!AG996,0)</f>
        <v>0</v>
      </c>
    </row>
    <row r="997" customFormat="false" ht="14.5" hidden="false" customHeight="false" outlineLevel="0" collapsed="false">
      <c r="AG997" s="2315" t="n">
        <v>82.8000000000001</v>
      </c>
      <c r="AH997" s="2606" t="n">
        <f aca="false">AG997*3.1415926535897/180</f>
        <v>1.44513262065126</v>
      </c>
      <c r="AI997" s="2606" t="n">
        <f aca="false">AH997+0.0005</f>
        <v>1.44563262065126</v>
      </c>
      <c r="AJ997" s="2606" t="n">
        <f aca="false">AH997-0.0005</f>
        <v>1.44463262065126</v>
      </c>
      <c r="AK997" s="2315" t="n">
        <f aca="false">IF(AND(дома!$Z$29&gt;=AJ997,дома!$Z$29&lt;=AI997),связи1!AG997,0)</f>
        <v>0</v>
      </c>
      <c r="AL997" s="2315" t="n">
        <f aca="false">IF(AND(дома!$AA$29&gt;=AJ997,дома!$AA$29&lt;=AI997),связи1!AG997,0)</f>
        <v>0</v>
      </c>
    </row>
    <row r="998" customFormat="false" ht="14.5" hidden="false" customHeight="false" outlineLevel="0" collapsed="false">
      <c r="AG998" s="2315" t="n">
        <v>82.9000000000001</v>
      </c>
      <c r="AH998" s="2606" t="n">
        <f aca="false">AG998*3.1415926535897/180</f>
        <v>1.44687794990326</v>
      </c>
      <c r="AI998" s="2606" t="n">
        <f aca="false">AH998+0.0005</f>
        <v>1.44737794990326</v>
      </c>
      <c r="AJ998" s="2606" t="n">
        <f aca="false">AH998-0.0005</f>
        <v>1.44637794990326</v>
      </c>
      <c r="AK998" s="2315" t="n">
        <f aca="false">IF(AND(дома!$Z$29&gt;=AJ998,дома!$Z$29&lt;=AI998),связи1!AG998,0)</f>
        <v>0</v>
      </c>
      <c r="AL998" s="2315" t="n">
        <f aca="false">IF(AND(дома!$AA$29&gt;=AJ998,дома!$AA$29&lt;=AI998),связи1!AG998,0)</f>
        <v>0</v>
      </c>
    </row>
    <row r="999" customFormat="false" ht="14.5" hidden="false" customHeight="false" outlineLevel="0" collapsed="false">
      <c r="AG999" s="2315" t="n">
        <v>83.0000000000001</v>
      </c>
      <c r="AH999" s="2606" t="n">
        <f aca="false">AG999*3.1415926535897/180</f>
        <v>1.44862327915525</v>
      </c>
      <c r="AI999" s="2606" t="n">
        <f aca="false">AH999+0.0005</f>
        <v>1.44912327915525</v>
      </c>
      <c r="AJ999" s="2606" t="n">
        <f aca="false">AH999-0.0005</f>
        <v>1.44812327915525</v>
      </c>
      <c r="AK999" s="2315" t="n">
        <f aca="false">IF(AND(дома!$Z$29&gt;=AJ999,дома!$Z$29&lt;=AI999),связи1!AG999,0)</f>
        <v>0</v>
      </c>
      <c r="AL999" s="2315" t="n">
        <f aca="false">IF(AND(дома!$AA$29&gt;=AJ999,дома!$AA$29&lt;=AI999),связи1!AG999,0)</f>
        <v>0</v>
      </c>
    </row>
    <row r="1000" customFormat="false" ht="14.5" hidden="false" customHeight="false" outlineLevel="0" collapsed="false">
      <c r="AG1000" s="2315" t="n">
        <v>83.1000000000001</v>
      </c>
      <c r="AH1000" s="2606" t="n">
        <f aca="false">AG1000*3.1415926535897/180</f>
        <v>1.45036860840725</v>
      </c>
      <c r="AI1000" s="2606" t="n">
        <f aca="false">AH1000+0.0005</f>
        <v>1.45086860840725</v>
      </c>
      <c r="AJ1000" s="2606" t="n">
        <f aca="false">AH1000-0.0005</f>
        <v>1.44986860840725</v>
      </c>
      <c r="AK1000" s="2315" t="n">
        <f aca="false">IF(AND(дома!$Z$29&gt;=AJ1000,дома!$Z$29&lt;=AI1000),связи1!AG1000,0)</f>
        <v>0</v>
      </c>
      <c r="AL1000" s="2315" t="n">
        <f aca="false">IF(AND(дома!$AA$29&gt;=AJ1000,дома!$AA$29&lt;=AI1000),связи1!AG1000,0)</f>
        <v>0</v>
      </c>
    </row>
    <row r="1001" customFormat="false" ht="14.5" hidden="false" customHeight="false" outlineLevel="0" collapsed="false">
      <c r="AG1001" s="2315" t="n">
        <v>83.2000000000001</v>
      </c>
      <c r="AH1001" s="2606" t="n">
        <f aca="false">AG1001*3.1415926535897/180</f>
        <v>1.45211393765924</v>
      </c>
      <c r="AI1001" s="2606" t="n">
        <f aca="false">AH1001+0.0005</f>
        <v>1.45261393765924</v>
      </c>
      <c r="AJ1001" s="2606" t="n">
        <f aca="false">AH1001-0.0005</f>
        <v>1.45161393765924</v>
      </c>
      <c r="AK1001" s="2315" t="n">
        <f aca="false">IF(AND(дома!$Z$29&gt;=AJ1001,дома!$Z$29&lt;=AI1001),связи1!AG1001,0)</f>
        <v>0</v>
      </c>
      <c r="AL1001" s="2315" t="n">
        <f aca="false">IF(AND(дома!$AA$29&gt;=AJ1001,дома!$AA$29&lt;=AI1001),связи1!AG1001,0)</f>
        <v>0</v>
      </c>
    </row>
    <row r="1002" customFormat="false" ht="14.5" hidden="false" customHeight="false" outlineLevel="0" collapsed="false">
      <c r="AG1002" s="2315" t="n">
        <v>83.3000000000001</v>
      </c>
      <c r="AH1002" s="2606" t="n">
        <f aca="false">AG1002*3.1415926535897/180</f>
        <v>1.45385926691124</v>
      </c>
      <c r="AI1002" s="2606" t="n">
        <f aca="false">AH1002+0.0005</f>
        <v>1.45435926691124</v>
      </c>
      <c r="AJ1002" s="2606" t="n">
        <f aca="false">AH1002-0.0005</f>
        <v>1.45335926691124</v>
      </c>
      <c r="AK1002" s="2315" t="n">
        <f aca="false">IF(AND(дома!$Z$29&gt;=AJ1002,дома!$Z$29&lt;=AI1002),связи1!AG1002,0)</f>
        <v>0</v>
      </c>
      <c r="AL1002" s="2315" t="n">
        <f aca="false">IF(AND(дома!$AA$29&gt;=AJ1002,дома!$AA$29&lt;=AI1002),связи1!AG1002,0)</f>
        <v>0</v>
      </c>
    </row>
    <row r="1003" customFormat="false" ht="14.5" hidden="false" customHeight="false" outlineLevel="0" collapsed="false">
      <c r="AG1003" s="2315" t="n">
        <v>83.4000000000001</v>
      </c>
      <c r="AH1003" s="2606" t="n">
        <f aca="false">AG1003*3.1415926535897/180</f>
        <v>1.45560459616323</v>
      </c>
      <c r="AI1003" s="2606" t="n">
        <f aca="false">AH1003+0.0005</f>
        <v>1.45610459616323</v>
      </c>
      <c r="AJ1003" s="2606" t="n">
        <f aca="false">AH1003-0.0005</f>
        <v>1.45510459616323</v>
      </c>
      <c r="AK1003" s="2315" t="n">
        <f aca="false">IF(AND(дома!$Z$29&gt;=AJ1003,дома!$Z$29&lt;=AI1003),связи1!AG1003,0)</f>
        <v>0</v>
      </c>
      <c r="AL1003" s="2315" t="n">
        <f aca="false">IF(AND(дома!$AA$29&gt;=AJ1003,дома!$AA$29&lt;=AI1003),связи1!AG1003,0)</f>
        <v>0</v>
      </c>
    </row>
    <row r="1004" customFormat="false" ht="14.5" hidden="false" customHeight="false" outlineLevel="0" collapsed="false">
      <c r="AG1004" s="2315" t="n">
        <v>83.5000000000001</v>
      </c>
      <c r="AH1004" s="2606" t="n">
        <f aca="false">AG1004*3.1415926535897/180</f>
        <v>1.45734992541522</v>
      </c>
      <c r="AI1004" s="2606" t="n">
        <f aca="false">AH1004+0.0005</f>
        <v>1.45784992541522</v>
      </c>
      <c r="AJ1004" s="2606" t="n">
        <f aca="false">AH1004-0.0005</f>
        <v>1.45684992541522</v>
      </c>
      <c r="AK1004" s="2315" t="n">
        <f aca="false">IF(AND(дома!$Z$29&gt;=AJ1004,дома!$Z$29&lt;=AI1004),связи1!AG1004,0)</f>
        <v>0</v>
      </c>
      <c r="AL1004" s="2315" t="n">
        <f aca="false">IF(AND(дома!$AA$29&gt;=AJ1004,дома!$AA$29&lt;=AI1004),связи1!AG1004,0)</f>
        <v>0</v>
      </c>
    </row>
    <row r="1005" customFormat="false" ht="14.5" hidden="false" customHeight="false" outlineLevel="0" collapsed="false">
      <c r="AG1005" s="2315" t="n">
        <v>83.6000000000001</v>
      </c>
      <c r="AH1005" s="2606" t="n">
        <f aca="false">AG1005*3.1415926535897/180</f>
        <v>1.45909525466722</v>
      </c>
      <c r="AI1005" s="2606" t="n">
        <f aca="false">AH1005+0.0005</f>
        <v>1.45959525466722</v>
      </c>
      <c r="AJ1005" s="2606" t="n">
        <f aca="false">AH1005-0.0005</f>
        <v>1.45859525466722</v>
      </c>
      <c r="AK1005" s="2315" t="n">
        <f aca="false">IF(AND(дома!$Z$29&gt;=AJ1005,дома!$Z$29&lt;=AI1005),связи1!AG1005,0)</f>
        <v>0</v>
      </c>
      <c r="AL1005" s="2315" t="n">
        <f aca="false">IF(AND(дома!$AA$29&gt;=AJ1005,дома!$AA$29&lt;=AI1005),связи1!AG1005,0)</f>
        <v>0</v>
      </c>
    </row>
    <row r="1006" customFormat="false" ht="14.5" hidden="false" customHeight="false" outlineLevel="0" collapsed="false">
      <c r="AG1006" s="2315" t="n">
        <v>83.7000000000001</v>
      </c>
      <c r="AH1006" s="2606" t="n">
        <f aca="false">AG1006*3.1415926535897/180</f>
        <v>1.46084058391921</v>
      </c>
      <c r="AI1006" s="2606" t="n">
        <f aca="false">AH1006+0.0005</f>
        <v>1.46134058391921</v>
      </c>
      <c r="AJ1006" s="2606" t="n">
        <f aca="false">AH1006-0.0005</f>
        <v>1.46034058391921</v>
      </c>
      <c r="AK1006" s="2315" t="n">
        <f aca="false">IF(AND(дома!$Z$29&gt;=AJ1006,дома!$Z$29&lt;=AI1006),связи1!AG1006,0)</f>
        <v>0</v>
      </c>
      <c r="AL1006" s="2315" t="n">
        <f aca="false">IF(AND(дома!$AA$29&gt;=AJ1006,дома!$AA$29&lt;=AI1006),связи1!AG1006,0)</f>
        <v>0</v>
      </c>
    </row>
    <row r="1007" customFormat="false" ht="14.5" hidden="false" customHeight="false" outlineLevel="0" collapsed="false">
      <c r="AG1007" s="2315" t="n">
        <v>83.8000000000001</v>
      </c>
      <c r="AH1007" s="2606" t="n">
        <f aca="false">AG1007*3.1415926535897/180</f>
        <v>1.46258591317121</v>
      </c>
      <c r="AI1007" s="2606" t="n">
        <f aca="false">AH1007+0.0005</f>
        <v>1.46308591317121</v>
      </c>
      <c r="AJ1007" s="2606" t="n">
        <f aca="false">AH1007-0.0005</f>
        <v>1.46208591317121</v>
      </c>
      <c r="AK1007" s="2315" t="n">
        <f aca="false">IF(AND(дома!$Z$29&gt;=AJ1007,дома!$Z$29&lt;=AI1007),связи1!AG1007,0)</f>
        <v>0</v>
      </c>
      <c r="AL1007" s="2315" t="n">
        <f aca="false">IF(AND(дома!$AA$29&gt;=AJ1007,дома!$AA$29&lt;=AI1007),связи1!AG1007,0)</f>
        <v>0</v>
      </c>
    </row>
    <row r="1008" customFormat="false" ht="14.5" hidden="false" customHeight="false" outlineLevel="0" collapsed="false">
      <c r="AG1008" s="2315" t="n">
        <v>83.9000000000001</v>
      </c>
      <c r="AH1008" s="2606" t="n">
        <f aca="false">AG1008*3.1415926535897/180</f>
        <v>1.4643312424232</v>
      </c>
      <c r="AI1008" s="2606" t="n">
        <f aca="false">AH1008+0.0005</f>
        <v>1.4648312424232</v>
      </c>
      <c r="AJ1008" s="2606" t="n">
        <f aca="false">AH1008-0.0005</f>
        <v>1.4638312424232</v>
      </c>
      <c r="AK1008" s="2315" t="n">
        <f aca="false">IF(AND(дома!$Z$29&gt;=AJ1008,дома!$Z$29&lt;=AI1008),связи1!AG1008,0)</f>
        <v>0</v>
      </c>
      <c r="AL1008" s="2315" t="n">
        <f aca="false">IF(AND(дома!$AA$29&gt;=AJ1008,дома!$AA$29&lt;=AI1008),связи1!AG1008,0)</f>
        <v>0</v>
      </c>
    </row>
    <row r="1009" customFormat="false" ht="14.5" hidden="false" customHeight="false" outlineLevel="0" collapsed="false">
      <c r="AG1009" s="2315" t="n">
        <v>84.0000000000001</v>
      </c>
      <c r="AH1009" s="2606" t="n">
        <f aca="false">AG1009*3.1415926535897/180</f>
        <v>1.46607657167519</v>
      </c>
      <c r="AI1009" s="2606" t="n">
        <f aca="false">AH1009+0.0005</f>
        <v>1.46657657167519</v>
      </c>
      <c r="AJ1009" s="2606" t="n">
        <f aca="false">AH1009-0.0005</f>
        <v>1.4655765716752</v>
      </c>
      <c r="AK1009" s="2315" t="n">
        <f aca="false">IF(AND(дома!$Z$29&gt;=AJ1009,дома!$Z$29&lt;=AI1009),связи1!AG1009,0)</f>
        <v>0</v>
      </c>
      <c r="AL1009" s="2315" t="n">
        <f aca="false">IF(AND(дома!$AA$29&gt;=AJ1009,дома!$AA$29&lt;=AI1009),связи1!AG1009,0)</f>
        <v>0</v>
      </c>
    </row>
    <row r="1010" customFormat="false" ht="14.5" hidden="false" customHeight="false" outlineLevel="0" collapsed="false">
      <c r="AG1010" s="2315" t="n">
        <v>84.1000000000001</v>
      </c>
      <c r="AH1010" s="2606" t="n">
        <f aca="false">AG1010*3.1415926535897/180</f>
        <v>1.46782190092719</v>
      </c>
      <c r="AI1010" s="2606" t="n">
        <f aca="false">AH1010+0.0005</f>
        <v>1.46832190092719</v>
      </c>
      <c r="AJ1010" s="2606" t="n">
        <f aca="false">AH1010-0.0005</f>
        <v>1.46732190092719</v>
      </c>
      <c r="AK1010" s="2315" t="n">
        <f aca="false">IF(AND(дома!$Z$29&gt;=AJ1010,дома!$Z$29&lt;=AI1010),связи1!AG1010,0)</f>
        <v>0</v>
      </c>
      <c r="AL1010" s="2315" t="n">
        <f aca="false">IF(AND(дома!$AA$29&gt;=AJ1010,дома!$AA$29&lt;=AI1010),связи1!AG1010,0)</f>
        <v>0</v>
      </c>
    </row>
    <row r="1011" customFormat="false" ht="14.5" hidden="false" customHeight="false" outlineLevel="0" collapsed="false">
      <c r="AG1011" s="2315" t="n">
        <v>84.2000000000001</v>
      </c>
      <c r="AH1011" s="2606" t="n">
        <f aca="false">AG1011*3.1415926535897/180</f>
        <v>1.46956723017918</v>
      </c>
      <c r="AI1011" s="2606" t="n">
        <f aca="false">AH1011+0.0005</f>
        <v>1.47006723017918</v>
      </c>
      <c r="AJ1011" s="2606" t="n">
        <f aca="false">AH1011-0.0005</f>
        <v>1.46906723017918</v>
      </c>
      <c r="AK1011" s="2315" t="n">
        <f aca="false">IF(AND(дома!$Z$29&gt;=AJ1011,дома!$Z$29&lt;=AI1011),связи1!AG1011,0)</f>
        <v>0</v>
      </c>
      <c r="AL1011" s="2315" t="n">
        <f aca="false">IF(AND(дома!$AA$29&gt;=AJ1011,дома!$AA$29&lt;=AI1011),связи1!AG1011,0)</f>
        <v>0</v>
      </c>
    </row>
    <row r="1012" customFormat="false" ht="14.5" hidden="false" customHeight="false" outlineLevel="0" collapsed="false">
      <c r="AG1012" s="2315" t="n">
        <v>84.3000000000001</v>
      </c>
      <c r="AH1012" s="2606" t="n">
        <f aca="false">AG1012*3.1415926535897/180</f>
        <v>1.47131255943118</v>
      </c>
      <c r="AI1012" s="2606" t="n">
        <f aca="false">AH1012+0.0005</f>
        <v>1.47181255943118</v>
      </c>
      <c r="AJ1012" s="2606" t="n">
        <f aca="false">AH1012-0.0005</f>
        <v>1.47081255943118</v>
      </c>
      <c r="AK1012" s="2315" t="n">
        <f aca="false">IF(AND(дома!$Z$29&gt;=AJ1012,дома!$Z$29&lt;=AI1012),связи1!AG1012,0)</f>
        <v>0</v>
      </c>
      <c r="AL1012" s="2315" t="n">
        <f aca="false">IF(AND(дома!$AA$29&gt;=AJ1012,дома!$AA$29&lt;=AI1012),связи1!AG1012,0)</f>
        <v>0</v>
      </c>
    </row>
    <row r="1013" customFormat="false" ht="14.5" hidden="false" customHeight="false" outlineLevel="0" collapsed="false">
      <c r="AG1013" s="2315" t="n">
        <v>84.4000000000001</v>
      </c>
      <c r="AH1013" s="2606" t="n">
        <f aca="false">AG1013*3.1415926535897/180</f>
        <v>1.47305788868317</v>
      </c>
      <c r="AI1013" s="2606" t="n">
        <f aca="false">AH1013+0.0005</f>
        <v>1.47355788868317</v>
      </c>
      <c r="AJ1013" s="2606" t="n">
        <f aca="false">AH1013-0.0005</f>
        <v>1.47255788868317</v>
      </c>
      <c r="AK1013" s="2315" t="n">
        <f aca="false">IF(AND(дома!$Z$29&gt;=AJ1013,дома!$Z$29&lt;=AI1013),связи1!AG1013,0)</f>
        <v>0</v>
      </c>
      <c r="AL1013" s="2315" t="n">
        <f aca="false">IF(AND(дома!$AA$29&gt;=AJ1013,дома!$AA$29&lt;=AI1013),связи1!AG1013,0)</f>
        <v>0</v>
      </c>
    </row>
    <row r="1014" customFormat="false" ht="14.5" hidden="false" customHeight="false" outlineLevel="0" collapsed="false">
      <c r="AG1014" s="2315" t="n">
        <v>84.5000000000001</v>
      </c>
      <c r="AH1014" s="2606" t="n">
        <f aca="false">AG1014*3.1415926535897/180</f>
        <v>1.47480321793517</v>
      </c>
      <c r="AI1014" s="2606" t="n">
        <f aca="false">AH1014+0.0005</f>
        <v>1.47530321793517</v>
      </c>
      <c r="AJ1014" s="2606" t="n">
        <f aca="false">AH1014-0.0005</f>
        <v>1.47430321793517</v>
      </c>
      <c r="AK1014" s="2315" t="n">
        <f aca="false">IF(AND(дома!$Z$29&gt;=AJ1014,дома!$Z$29&lt;=AI1014),связи1!AG1014,0)</f>
        <v>0</v>
      </c>
      <c r="AL1014" s="2315" t="n">
        <f aca="false">IF(AND(дома!$AA$29&gt;=AJ1014,дома!$AA$29&lt;=AI1014),связи1!AG1014,0)</f>
        <v>0</v>
      </c>
    </row>
    <row r="1015" customFormat="false" ht="14.5" hidden="false" customHeight="false" outlineLevel="0" collapsed="false">
      <c r="AG1015" s="2315" t="n">
        <v>84.6000000000001</v>
      </c>
      <c r="AH1015" s="2606" t="n">
        <f aca="false">AG1015*3.1415926535897/180</f>
        <v>1.47654854718716</v>
      </c>
      <c r="AI1015" s="2606" t="n">
        <f aca="false">AH1015+0.0005</f>
        <v>1.47704854718716</v>
      </c>
      <c r="AJ1015" s="2606" t="n">
        <f aca="false">AH1015-0.0005</f>
        <v>1.47604854718716</v>
      </c>
      <c r="AK1015" s="2315" t="n">
        <f aca="false">IF(AND(дома!$Z$29&gt;=AJ1015,дома!$Z$29&lt;=AI1015),связи1!AG1015,0)</f>
        <v>0</v>
      </c>
      <c r="AL1015" s="2315" t="n">
        <f aca="false">IF(AND(дома!$AA$29&gt;=AJ1015,дома!$AA$29&lt;=AI1015),связи1!AG1015,0)</f>
        <v>0</v>
      </c>
    </row>
    <row r="1016" customFormat="false" ht="14.5" hidden="false" customHeight="false" outlineLevel="0" collapsed="false">
      <c r="AG1016" s="2315" t="n">
        <v>84.7000000000001</v>
      </c>
      <c r="AH1016" s="2606" t="n">
        <f aca="false">AG1016*3.1415926535897/180</f>
        <v>1.47829387643916</v>
      </c>
      <c r="AI1016" s="2606" t="n">
        <f aca="false">AH1016+0.0005</f>
        <v>1.47879387643916</v>
      </c>
      <c r="AJ1016" s="2606" t="n">
        <f aca="false">AH1016-0.0005</f>
        <v>1.47779387643916</v>
      </c>
      <c r="AK1016" s="2315" t="n">
        <f aca="false">IF(AND(дома!$Z$29&gt;=AJ1016,дома!$Z$29&lt;=AI1016),связи1!AG1016,0)</f>
        <v>0</v>
      </c>
      <c r="AL1016" s="2315" t="n">
        <f aca="false">IF(AND(дома!$AA$29&gt;=AJ1016,дома!$AA$29&lt;=AI1016),связи1!AG1016,0)</f>
        <v>0</v>
      </c>
    </row>
    <row r="1017" customFormat="false" ht="14.5" hidden="false" customHeight="false" outlineLevel="0" collapsed="false">
      <c r="AG1017" s="2315" t="n">
        <v>84.8000000000001</v>
      </c>
      <c r="AH1017" s="2606" t="n">
        <f aca="false">AG1017*3.1415926535897/180</f>
        <v>1.48003920569115</v>
      </c>
      <c r="AI1017" s="2606" t="n">
        <f aca="false">AH1017+0.0005</f>
        <v>1.48053920569115</v>
      </c>
      <c r="AJ1017" s="2606" t="n">
        <f aca="false">AH1017-0.0005</f>
        <v>1.47953920569115</v>
      </c>
      <c r="AK1017" s="2315" t="n">
        <f aca="false">IF(AND(дома!$Z$29&gt;=AJ1017,дома!$Z$29&lt;=AI1017),связи1!AG1017,0)</f>
        <v>0</v>
      </c>
      <c r="AL1017" s="2315" t="n">
        <f aca="false">IF(AND(дома!$AA$29&gt;=AJ1017,дома!$AA$29&lt;=AI1017),связи1!AG1017,0)</f>
        <v>0</v>
      </c>
    </row>
    <row r="1018" customFormat="false" ht="14.5" hidden="false" customHeight="false" outlineLevel="0" collapsed="false">
      <c r="AG1018" s="2315" t="n">
        <v>84.9000000000001</v>
      </c>
      <c r="AH1018" s="2606" t="n">
        <f aca="false">AG1018*3.1415926535897/180</f>
        <v>1.48178453494314</v>
      </c>
      <c r="AI1018" s="2606" t="n">
        <f aca="false">AH1018+0.0005</f>
        <v>1.48228453494314</v>
      </c>
      <c r="AJ1018" s="2606" t="n">
        <f aca="false">AH1018-0.0005</f>
        <v>1.48128453494314</v>
      </c>
      <c r="AK1018" s="2315" t="n">
        <f aca="false">IF(AND(дома!$Z$29&gt;=AJ1018,дома!$Z$29&lt;=AI1018),связи1!AG1018,0)</f>
        <v>0</v>
      </c>
      <c r="AL1018" s="2315" t="n">
        <f aca="false">IF(AND(дома!$AA$29&gt;=AJ1018,дома!$AA$29&lt;=AI1018),связи1!AG1018,0)</f>
        <v>0</v>
      </c>
    </row>
    <row r="1019" customFormat="false" ht="14.5" hidden="false" customHeight="false" outlineLevel="0" collapsed="false">
      <c r="AG1019" s="2315" t="n">
        <v>85.0000000000001</v>
      </c>
      <c r="AH1019" s="2606" t="n">
        <f aca="false">AG1019*3.1415926535897/180</f>
        <v>1.48352986419514</v>
      </c>
      <c r="AI1019" s="2606" t="n">
        <f aca="false">AH1019+0.0005</f>
        <v>1.48402986419514</v>
      </c>
      <c r="AJ1019" s="2606" t="n">
        <f aca="false">AH1019-0.0005</f>
        <v>1.48302986419514</v>
      </c>
      <c r="AK1019" s="2315" t="n">
        <f aca="false">IF(AND(дома!$Z$29&gt;=AJ1019,дома!$Z$29&lt;=AI1019),связи1!AG1019,0)</f>
        <v>0</v>
      </c>
      <c r="AL1019" s="2315" t="n">
        <f aca="false">IF(AND(дома!$AA$29&gt;=AJ1019,дома!$AA$29&lt;=AI1019),связи1!AG1019,0)</f>
        <v>0</v>
      </c>
    </row>
    <row r="1020" customFormat="false" ht="14.5" hidden="false" customHeight="false" outlineLevel="0" collapsed="false">
      <c r="AG1020" s="2315" t="n">
        <v>85.1000000000001</v>
      </c>
      <c r="AH1020" s="2606" t="n">
        <f aca="false">AG1020*3.1415926535897/180</f>
        <v>1.48527519344713</v>
      </c>
      <c r="AI1020" s="2606" t="n">
        <f aca="false">AH1020+0.0005</f>
        <v>1.48577519344713</v>
      </c>
      <c r="AJ1020" s="2606" t="n">
        <f aca="false">AH1020-0.0005</f>
        <v>1.48477519344713</v>
      </c>
      <c r="AK1020" s="2315" t="n">
        <f aca="false">IF(AND(дома!$Z$29&gt;=AJ1020,дома!$Z$29&lt;=AI1020),связи1!AG1020,0)</f>
        <v>0</v>
      </c>
      <c r="AL1020" s="2315" t="n">
        <f aca="false">IF(AND(дома!$AA$29&gt;=AJ1020,дома!$AA$29&lt;=AI1020),связи1!AG1020,0)</f>
        <v>0</v>
      </c>
    </row>
    <row r="1021" customFormat="false" ht="14.5" hidden="false" customHeight="false" outlineLevel="0" collapsed="false">
      <c r="AG1021" s="2315" t="n">
        <v>85.2000000000001</v>
      </c>
      <c r="AH1021" s="2606" t="n">
        <f aca="false">AG1021*3.1415926535897/180</f>
        <v>1.48702052269913</v>
      </c>
      <c r="AI1021" s="2606" t="n">
        <f aca="false">AH1021+0.0005</f>
        <v>1.48752052269913</v>
      </c>
      <c r="AJ1021" s="2606" t="n">
        <f aca="false">AH1021-0.0005</f>
        <v>1.48652052269913</v>
      </c>
      <c r="AK1021" s="2315" t="n">
        <f aca="false">IF(AND(дома!$Z$29&gt;=AJ1021,дома!$Z$29&lt;=AI1021),связи1!AG1021,0)</f>
        <v>0</v>
      </c>
      <c r="AL1021" s="2315" t="n">
        <f aca="false">IF(AND(дома!$AA$29&gt;=AJ1021,дома!$AA$29&lt;=AI1021),связи1!AG1021,0)</f>
        <v>0</v>
      </c>
    </row>
    <row r="1022" customFormat="false" ht="14.5" hidden="false" customHeight="false" outlineLevel="0" collapsed="false">
      <c r="AG1022" s="2315" t="n">
        <v>85.3000000000001</v>
      </c>
      <c r="AH1022" s="2606" t="n">
        <f aca="false">AG1022*3.1415926535897/180</f>
        <v>1.48876585195112</v>
      </c>
      <c r="AI1022" s="2606" t="n">
        <f aca="false">AH1022+0.0005</f>
        <v>1.48926585195112</v>
      </c>
      <c r="AJ1022" s="2606" t="n">
        <f aca="false">AH1022-0.0005</f>
        <v>1.48826585195112</v>
      </c>
      <c r="AK1022" s="2315" t="n">
        <f aca="false">IF(AND(дома!$Z$29&gt;=AJ1022,дома!$Z$29&lt;=AI1022),связи1!AG1022,0)</f>
        <v>0</v>
      </c>
      <c r="AL1022" s="2315" t="n">
        <f aca="false">IF(AND(дома!$AA$29&gt;=AJ1022,дома!$AA$29&lt;=AI1022),связи1!AG1022,0)</f>
        <v>0</v>
      </c>
    </row>
    <row r="1023" customFormat="false" ht="14.5" hidden="false" customHeight="false" outlineLevel="0" collapsed="false">
      <c r="AG1023" s="2315" t="n">
        <v>85.4000000000001</v>
      </c>
      <c r="AH1023" s="2606" t="n">
        <f aca="false">AG1023*3.1415926535897/180</f>
        <v>1.49051118120312</v>
      </c>
      <c r="AI1023" s="2606" t="n">
        <f aca="false">AH1023+0.0005</f>
        <v>1.49101118120312</v>
      </c>
      <c r="AJ1023" s="2606" t="n">
        <f aca="false">AH1023-0.0005</f>
        <v>1.49001118120312</v>
      </c>
      <c r="AK1023" s="2315" t="n">
        <f aca="false">IF(AND(дома!$Z$29&gt;=AJ1023,дома!$Z$29&lt;=AI1023),связи1!AG1023,0)</f>
        <v>0</v>
      </c>
      <c r="AL1023" s="2315" t="n">
        <f aca="false">IF(AND(дома!$AA$29&gt;=AJ1023,дома!$AA$29&lt;=AI1023),связи1!AG1023,0)</f>
        <v>0</v>
      </c>
    </row>
    <row r="1024" customFormat="false" ht="14.5" hidden="false" customHeight="false" outlineLevel="0" collapsed="false">
      <c r="AG1024" s="2315" t="n">
        <v>85.5000000000001</v>
      </c>
      <c r="AH1024" s="2606" t="n">
        <f aca="false">AG1024*3.1415926535897/180</f>
        <v>1.49225651045511</v>
      </c>
      <c r="AI1024" s="2606" t="n">
        <f aca="false">AH1024+0.0005</f>
        <v>1.49275651045511</v>
      </c>
      <c r="AJ1024" s="2606" t="n">
        <f aca="false">AH1024-0.0005</f>
        <v>1.49175651045511</v>
      </c>
      <c r="AK1024" s="2315" t="n">
        <f aca="false">IF(AND(дома!$Z$29&gt;=AJ1024,дома!$Z$29&lt;=AI1024),связи1!AG1024,0)</f>
        <v>0</v>
      </c>
      <c r="AL1024" s="2315" t="n">
        <f aca="false">IF(AND(дома!$AA$29&gt;=AJ1024,дома!$AA$29&lt;=AI1024),связи1!AG1024,0)</f>
        <v>0</v>
      </c>
    </row>
    <row r="1025" customFormat="false" ht="14.5" hidden="false" customHeight="false" outlineLevel="0" collapsed="false">
      <c r="AG1025" s="2315" t="n">
        <v>85.6000000000001</v>
      </c>
      <c r="AH1025" s="2606" t="n">
        <f aca="false">AG1025*3.1415926535897/180</f>
        <v>1.4940018397071</v>
      </c>
      <c r="AI1025" s="2606" t="n">
        <f aca="false">AH1025+0.0005</f>
        <v>1.4945018397071</v>
      </c>
      <c r="AJ1025" s="2606" t="n">
        <f aca="false">AH1025-0.0005</f>
        <v>1.4935018397071</v>
      </c>
      <c r="AK1025" s="2315" t="n">
        <f aca="false">IF(AND(дома!$Z$29&gt;=AJ1025,дома!$Z$29&lt;=AI1025),связи1!AG1025,0)</f>
        <v>0</v>
      </c>
      <c r="AL1025" s="2315" t="n">
        <f aca="false">IF(AND(дома!$AA$29&gt;=AJ1025,дома!$AA$29&lt;=AI1025),связи1!AG1025,0)</f>
        <v>0</v>
      </c>
    </row>
    <row r="1026" customFormat="false" ht="14.5" hidden="false" customHeight="false" outlineLevel="0" collapsed="false">
      <c r="AG1026" s="2315" t="n">
        <v>85.7000000000001</v>
      </c>
      <c r="AH1026" s="2606" t="n">
        <f aca="false">AG1026*3.1415926535897/180</f>
        <v>1.4957471689591</v>
      </c>
      <c r="AI1026" s="2606" t="n">
        <f aca="false">AH1026+0.0005</f>
        <v>1.4962471689591</v>
      </c>
      <c r="AJ1026" s="2606" t="n">
        <f aca="false">AH1026-0.0005</f>
        <v>1.4952471689591</v>
      </c>
      <c r="AK1026" s="2315" t="n">
        <f aca="false">IF(AND(дома!$Z$29&gt;=AJ1026,дома!$Z$29&lt;=AI1026),связи1!AG1026,0)</f>
        <v>0</v>
      </c>
      <c r="AL1026" s="2315" t="n">
        <f aca="false">IF(AND(дома!$AA$29&gt;=AJ1026,дома!$AA$29&lt;=AI1026),связи1!AG1026,0)</f>
        <v>0</v>
      </c>
    </row>
    <row r="1027" customFormat="false" ht="14.5" hidden="false" customHeight="false" outlineLevel="0" collapsed="false">
      <c r="AG1027" s="2315" t="n">
        <v>85.8000000000001</v>
      </c>
      <c r="AH1027" s="2606" t="n">
        <f aca="false">AG1027*3.1415926535897/180</f>
        <v>1.49749249821109</v>
      </c>
      <c r="AI1027" s="2606" t="n">
        <f aca="false">AH1027+0.0005</f>
        <v>1.49799249821109</v>
      </c>
      <c r="AJ1027" s="2606" t="n">
        <f aca="false">AH1027-0.0005</f>
        <v>1.49699249821109</v>
      </c>
      <c r="AK1027" s="2315" t="n">
        <f aca="false">IF(AND(дома!$Z$29&gt;=AJ1027,дома!$Z$29&lt;=AI1027),связи1!AG1027,0)</f>
        <v>0</v>
      </c>
      <c r="AL1027" s="2315" t="n">
        <f aca="false">IF(AND(дома!$AA$29&gt;=AJ1027,дома!$AA$29&lt;=AI1027),связи1!AG1027,0)</f>
        <v>0</v>
      </c>
    </row>
    <row r="1028" customFormat="false" ht="14.5" hidden="false" customHeight="false" outlineLevel="0" collapsed="false">
      <c r="AG1028" s="2315" t="n">
        <v>85.9000000000001</v>
      </c>
      <c r="AH1028" s="2606" t="n">
        <f aca="false">AG1028*3.1415926535897/180</f>
        <v>1.49923782746309</v>
      </c>
      <c r="AI1028" s="2606" t="n">
        <f aca="false">AH1028+0.0005</f>
        <v>1.49973782746309</v>
      </c>
      <c r="AJ1028" s="2606" t="n">
        <f aca="false">AH1028-0.0005</f>
        <v>1.49873782746309</v>
      </c>
      <c r="AK1028" s="2315" t="n">
        <f aca="false">IF(AND(дома!$Z$29&gt;=AJ1028,дома!$Z$29&lt;=AI1028),связи1!AG1028,0)</f>
        <v>0</v>
      </c>
      <c r="AL1028" s="2315" t="n">
        <f aca="false">IF(AND(дома!$AA$29&gt;=AJ1028,дома!$AA$29&lt;=AI1028),связи1!AG1028,0)</f>
        <v>0</v>
      </c>
    </row>
    <row r="1029" customFormat="false" ht="14.5" hidden="false" customHeight="false" outlineLevel="0" collapsed="false">
      <c r="AG1029" s="2315" t="n">
        <v>86.0000000000001</v>
      </c>
      <c r="AH1029" s="2606" t="n">
        <f aca="false">AG1029*3.1415926535897/180</f>
        <v>1.50098315671508</v>
      </c>
      <c r="AI1029" s="2606" t="n">
        <f aca="false">AH1029+0.0005</f>
        <v>1.50148315671508</v>
      </c>
      <c r="AJ1029" s="2606" t="n">
        <f aca="false">AH1029-0.0005</f>
        <v>1.50048315671508</v>
      </c>
      <c r="AK1029" s="2315" t="n">
        <f aca="false">IF(AND(дома!$Z$29&gt;=AJ1029,дома!$Z$29&lt;=AI1029),связи1!AG1029,0)</f>
        <v>0</v>
      </c>
      <c r="AL1029" s="2315" t="n">
        <f aca="false">IF(AND(дома!$AA$29&gt;=AJ1029,дома!$AA$29&lt;=AI1029),связи1!AG1029,0)</f>
        <v>0</v>
      </c>
    </row>
    <row r="1030" customFormat="false" ht="14.5" hidden="false" customHeight="false" outlineLevel="0" collapsed="false">
      <c r="AG1030" s="2315" t="n">
        <v>86.1000000000001</v>
      </c>
      <c r="AH1030" s="2606" t="n">
        <f aca="false">AG1030*3.1415926535897/180</f>
        <v>1.50272848596707</v>
      </c>
      <c r="AI1030" s="2606" t="n">
        <f aca="false">AH1030+0.0005</f>
        <v>1.50322848596707</v>
      </c>
      <c r="AJ1030" s="2606" t="n">
        <f aca="false">AH1030-0.0005</f>
        <v>1.50222848596707</v>
      </c>
      <c r="AK1030" s="2315" t="n">
        <f aca="false">IF(AND(дома!$Z$29&gt;=AJ1030,дома!$Z$29&lt;=AI1030),связи1!AG1030,0)</f>
        <v>0</v>
      </c>
      <c r="AL1030" s="2315" t="n">
        <f aca="false">IF(AND(дома!$AA$29&gt;=AJ1030,дома!$AA$29&lt;=AI1030),связи1!AG1030,0)</f>
        <v>0</v>
      </c>
    </row>
    <row r="1031" customFormat="false" ht="14.5" hidden="false" customHeight="false" outlineLevel="0" collapsed="false">
      <c r="AG1031" s="2315" t="n">
        <v>86.2000000000001</v>
      </c>
      <c r="AH1031" s="2606" t="n">
        <f aca="false">AG1031*3.1415926535897/180</f>
        <v>1.50447381521907</v>
      </c>
      <c r="AI1031" s="2606" t="n">
        <f aca="false">AH1031+0.0005</f>
        <v>1.50497381521907</v>
      </c>
      <c r="AJ1031" s="2606" t="n">
        <f aca="false">AH1031-0.0005</f>
        <v>1.50397381521907</v>
      </c>
      <c r="AK1031" s="2315" t="n">
        <f aca="false">IF(AND(дома!$Z$29&gt;=AJ1031,дома!$Z$29&lt;=AI1031),связи1!AG1031,0)</f>
        <v>0</v>
      </c>
      <c r="AL1031" s="2315" t="n">
        <f aca="false">IF(AND(дома!$AA$29&gt;=AJ1031,дома!$AA$29&lt;=AI1031),связи1!AG1031,0)</f>
        <v>0</v>
      </c>
    </row>
    <row r="1032" customFormat="false" ht="14.5" hidden="false" customHeight="false" outlineLevel="0" collapsed="false">
      <c r="AG1032" s="2315" t="n">
        <v>86.3000000000001</v>
      </c>
      <c r="AH1032" s="2606" t="n">
        <f aca="false">AG1032*3.1415926535897/180</f>
        <v>1.50621914447106</v>
      </c>
      <c r="AI1032" s="2606" t="n">
        <f aca="false">AH1032+0.0005</f>
        <v>1.50671914447106</v>
      </c>
      <c r="AJ1032" s="2606" t="n">
        <f aca="false">AH1032-0.0005</f>
        <v>1.50571914447106</v>
      </c>
      <c r="AK1032" s="2315" t="n">
        <f aca="false">IF(AND(дома!$Z$29&gt;=AJ1032,дома!$Z$29&lt;=AI1032),связи1!AG1032,0)</f>
        <v>0</v>
      </c>
      <c r="AL1032" s="2315" t="n">
        <f aca="false">IF(AND(дома!$AA$29&gt;=AJ1032,дома!$AA$29&lt;=AI1032),связи1!AG1032,0)</f>
        <v>0</v>
      </c>
    </row>
    <row r="1033" customFormat="false" ht="14.5" hidden="false" customHeight="false" outlineLevel="0" collapsed="false">
      <c r="AG1033" s="2315" t="n">
        <v>86.4000000000001</v>
      </c>
      <c r="AH1033" s="2606" t="n">
        <f aca="false">AG1033*3.1415926535897/180</f>
        <v>1.50796447372306</v>
      </c>
      <c r="AI1033" s="2606" t="n">
        <f aca="false">AH1033+0.0005</f>
        <v>1.50846447372306</v>
      </c>
      <c r="AJ1033" s="2606" t="n">
        <f aca="false">AH1033-0.0005</f>
        <v>1.50746447372306</v>
      </c>
      <c r="AK1033" s="2315" t="n">
        <f aca="false">IF(AND(дома!$Z$29&gt;=AJ1033,дома!$Z$29&lt;=AI1033),связи1!AG1033,0)</f>
        <v>0</v>
      </c>
      <c r="AL1033" s="2315" t="n">
        <f aca="false">IF(AND(дома!$AA$29&gt;=AJ1033,дома!$AA$29&lt;=AI1033),связи1!AG1033,0)</f>
        <v>0</v>
      </c>
    </row>
    <row r="1034" customFormat="false" ht="14.5" hidden="false" customHeight="false" outlineLevel="0" collapsed="false">
      <c r="AG1034" s="2315" t="n">
        <v>86.5000000000001</v>
      </c>
      <c r="AH1034" s="2606" t="n">
        <f aca="false">AG1034*3.1415926535897/180</f>
        <v>1.50970980297505</v>
      </c>
      <c r="AI1034" s="2606" t="n">
        <f aca="false">AH1034+0.0005</f>
        <v>1.51020980297505</v>
      </c>
      <c r="AJ1034" s="2606" t="n">
        <f aca="false">AH1034-0.0005</f>
        <v>1.50920980297505</v>
      </c>
      <c r="AK1034" s="2315" t="n">
        <f aca="false">IF(AND(дома!$Z$29&gt;=AJ1034,дома!$Z$29&lt;=AI1034),связи1!AG1034,0)</f>
        <v>0</v>
      </c>
      <c r="AL1034" s="2315" t="n">
        <f aca="false">IF(AND(дома!$AA$29&gt;=AJ1034,дома!$AA$29&lt;=AI1034),связи1!AG1034,0)</f>
        <v>0</v>
      </c>
    </row>
    <row r="1035" customFormat="false" ht="14.5" hidden="false" customHeight="false" outlineLevel="0" collapsed="false">
      <c r="AG1035" s="2315" t="n">
        <v>86.6000000000001</v>
      </c>
      <c r="AH1035" s="2606" t="n">
        <f aca="false">AG1035*3.1415926535897/180</f>
        <v>1.51145513222705</v>
      </c>
      <c r="AI1035" s="2606" t="n">
        <f aca="false">AH1035+0.0005</f>
        <v>1.51195513222705</v>
      </c>
      <c r="AJ1035" s="2606" t="n">
        <f aca="false">AH1035-0.0005</f>
        <v>1.51095513222705</v>
      </c>
      <c r="AK1035" s="2315" t="n">
        <f aca="false">IF(AND(дома!$Z$29&gt;=AJ1035,дома!$Z$29&lt;=AI1035),связи1!AG1035,0)</f>
        <v>0</v>
      </c>
      <c r="AL1035" s="2315" t="n">
        <f aca="false">IF(AND(дома!$AA$29&gt;=AJ1035,дома!$AA$29&lt;=AI1035),связи1!AG1035,0)</f>
        <v>0</v>
      </c>
    </row>
    <row r="1036" customFormat="false" ht="14.5" hidden="false" customHeight="false" outlineLevel="0" collapsed="false">
      <c r="AG1036" s="2315" t="n">
        <v>86.7000000000001</v>
      </c>
      <c r="AH1036" s="2606" t="n">
        <f aca="false">AG1036*3.1415926535897/180</f>
        <v>1.51320046147904</v>
      </c>
      <c r="AI1036" s="2606" t="n">
        <f aca="false">AH1036+0.0005</f>
        <v>1.51370046147904</v>
      </c>
      <c r="AJ1036" s="2606" t="n">
        <f aca="false">AH1036-0.0005</f>
        <v>1.51270046147904</v>
      </c>
      <c r="AK1036" s="2315" t="n">
        <f aca="false">IF(AND(дома!$Z$29&gt;=AJ1036,дома!$Z$29&lt;=AI1036),связи1!AG1036,0)</f>
        <v>0</v>
      </c>
      <c r="AL1036" s="2315" t="n">
        <f aca="false">IF(AND(дома!$AA$29&gt;=AJ1036,дома!$AA$29&lt;=AI1036),связи1!AG1036,0)</f>
        <v>0</v>
      </c>
    </row>
    <row r="1037" customFormat="false" ht="14.5" hidden="false" customHeight="false" outlineLevel="0" collapsed="false">
      <c r="AG1037" s="2315" t="n">
        <v>86.8000000000001</v>
      </c>
      <c r="AH1037" s="2606" t="n">
        <f aca="false">AG1037*3.1415926535897/180</f>
        <v>1.51494579073103</v>
      </c>
      <c r="AI1037" s="2606" t="n">
        <f aca="false">AH1037+0.0005</f>
        <v>1.51544579073103</v>
      </c>
      <c r="AJ1037" s="2606" t="n">
        <f aca="false">AH1037-0.0005</f>
        <v>1.51444579073104</v>
      </c>
      <c r="AK1037" s="2315" t="n">
        <f aca="false">IF(AND(дома!$Z$29&gt;=AJ1037,дома!$Z$29&lt;=AI1037),связи1!AG1037,0)</f>
        <v>0</v>
      </c>
      <c r="AL1037" s="2315" t="n">
        <f aca="false">IF(AND(дома!$AA$29&gt;=AJ1037,дома!$AA$29&lt;=AI1037),связи1!AG1037,0)</f>
        <v>0</v>
      </c>
    </row>
    <row r="1038" customFormat="false" ht="14.5" hidden="false" customHeight="false" outlineLevel="0" collapsed="false">
      <c r="AG1038" s="2315" t="n">
        <v>86.9000000000001</v>
      </c>
      <c r="AH1038" s="2606" t="n">
        <f aca="false">AG1038*3.1415926535897/180</f>
        <v>1.51669111998303</v>
      </c>
      <c r="AI1038" s="2606" t="n">
        <f aca="false">AH1038+0.0005</f>
        <v>1.51719111998303</v>
      </c>
      <c r="AJ1038" s="2606" t="n">
        <f aca="false">AH1038-0.0005</f>
        <v>1.51619111998303</v>
      </c>
      <c r="AK1038" s="2315" t="n">
        <f aca="false">IF(AND(дома!$Z$29&gt;=AJ1038,дома!$Z$29&lt;=AI1038),связи1!AG1038,0)</f>
        <v>0</v>
      </c>
      <c r="AL1038" s="2315" t="n">
        <f aca="false">IF(AND(дома!$AA$29&gt;=AJ1038,дома!$AA$29&lt;=AI1038),связи1!AG1038,0)</f>
        <v>0</v>
      </c>
    </row>
    <row r="1039" customFormat="false" ht="14.5" hidden="false" customHeight="false" outlineLevel="0" collapsed="false">
      <c r="AG1039" s="2315" t="n">
        <v>87.0000000000001</v>
      </c>
      <c r="AH1039" s="2606" t="n">
        <f aca="false">AG1039*3.1415926535897/180</f>
        <v>1.51843644923502</v>
      </c>
      <c r="AI1039" s="2606" t="n">
        <f aca="false">AH1039+0.0005</f>
        <v>1.51893644923502</v>
      </c>
      <c r="AJ1039" s="2606" t="n">
        <f aca="false">AH1039-0.0005</f>
        <v>1.51793644923502</v>
      </c>
      <c r="AK1039" s="2315" t="n">
        <f aca="false">IF(AND(дома!$Z$29&gt;=AJ1039,дома!$Z$29&lt;=AI1039),связи1!AG1039,0)</f>
        <v>0</v>
      </c>
      <c r="AL1039" s="2315" t="n">
        <f aca="false">IF(AND(дома!$AA$29&gt;=AJ1039,дома!$AA$29&lt;=AI1039),связи1!AG1039,0)</f>
        <v>0</v>
      </c>
    </row>
    <row r="1040" customFormat="false" ht="14.5" hidden="false" customHeight="false" outlineLevel="0" collapsed="false">
      <c r="AG1040" s="2315" t="n">
        <v>87.1000000000001</v>
      </c>
      <c r="AH1040" s="2606" t="n">
        <f aca="false">AG1040*3.1415926535897/180</f>
        <v>1.52018177848702</v>
      </c>
      <c r="AI1040" s="2606" t="n">
        <f aca="false">AH1040+0.0005</f>
        <v>1.52068177848702</v>
      </c>
      <c r="AJ1040" s="2606" t="n">
        <f aca="false">AH1040-0.0005</f>
        <v>1.51968177848702</v>
      </c>
      <c r="AK1040" s="2315" t="n">
        <f aca="false">IF(AND(дома!$Z$29&gt;=AJ1040,дома!$Z$29&lt;=AI1040),связи1!AG1040,0)</f>
        <v>0</v>
      </c>
      <c r="AL1040" s="2315" t="n">
        <f aca="false">IF(AND(дома!$AA$29&gt;=AJ1040,дома!$AA$29&lt;=AI1040),связи1!AG1040,0)</f>
        <v>0</v>
      </c>
    </row>
    <row r="1041" customFormat="false" ht="14.5" hidden="false" customHeight="false" outlineLevel="0" collapsed="false">
      <c r="AG1041" s="2315" t="n">
        <v>87.2000000000001</v>
      </c>
      <c r="AH1041" s="2606" t="n">
        <f aca="false">AG1041*3.1415926535897/180</f>
        <v>1.52192710773901</v>
      </c>
      <c r="AI1041" s="2606" t="n">
        <f aca="false">AH1041+0.0005</f>
        <v>1.52242710773901</v>
      </c>
      <c r="AJ1041" s="2606" t="n">
        <f aca="false">AH1041-0.0005</f>
        <v>1.52142710773901</v>
      </c>
      <c r="AK1041" s="2315" t="n">
        <f aca="false">IF(AND(дома!$Z$29&gt;=AJ1041,дома!$Z$29&lt;=AI1041),связи1!AG1041,0)</f>
        <v>0</v>
      </c>
      <c r="AL1041" s="2315" t="n">
        <f aca="false">IF(AND(дома!$AA$29&gt;=AJ1041,дома!$AA$29&lt;=AI1041),связи1!AG1041,0)</f>
        <v>0</v>
      </c>
    </row>
    <row r="1042" customFormat="false" ht="14.5" hidden="false" customHeight="false" outlineLevel="0" collapsed="false">
      <c r="AG1042" s="2315" t="n">
        <v>87.3000000000001</v>
      </c>
      <c r="AH1042" s="2606" t="n">
        <f aca="false">AG1042*3.1415926535897/180</f>
        <v>1.52367243699101</v>
      </c>
      <c r="AI1042" s="2606" t="n">
        <f aca="false">AH1042+0.0005</f>
        <v>1.52417243699101</v>
      </c>
      <c r="AJ1042" s="2606" t="n">
        <f aca="false">AH1042-0.0005</f>
        <v>1.52317243699101</v>
      </c>
      <c r="AK1042" s="2315" t="n">
        <f aca="false">IF(AND(дома!$Z$29&gt;=AJ1042,дома!$Z$29&lt;=AI1042),связи1!AG1042,0)</f>
        <v>0</v>
      </c>
      <c r="AL1042" s="2315" t="n">
        <f aca="false">IF(AND(дома!$AA$29&gt;=AJ1042,дома!$AA$29&lt;=AI1042),связи1!AG1042,0)</f>
        <v>0</v>
      </c>
    </row>
    <row r="1043" customFormat="false" ht="14.5" hidden="false" customHeight="false" outlineLevel="0" collapsed="false">
      <c r="AG1043" s="2315" t="n">
        <v>87.4000000000001</v>
      </c>
      <c r="AH1043" s="2606" t="n">
        <f aca="false">AG1043*3.1415926535897/180</f>
        <v>1.525417766243</v>
      </c>
      <c r="AI1043" s="2606" t="n">
        <f aca="false">AH1043+0.0005</f>
        <v>1.525917766243</v>
      </c>
      <c r="AJ1043" s="2606" t="n">
        <f aca="false">AH1043-0.0005</f>
        <v>1.524917766243</v>
      </c>
      <c r="AK1043" s="2315" t="n">
        <f aca="false">IF(AND(дома!$Z$29&gt;=AJ1043,дома!$Z$29&lt;=AI1043),связи1!AG1043,0)</f>
        <v>0</v>
      </c>
      <c r="AL1043" s="2315" t="n">
        <f aca="false">IF(AND(дома!$AA$29&gt;=AJ1043,дома!$AA$29&lt;=AI1043),связи1!AG1043,0)</f>
        <v>0</v>
      </c>
    </row>
    <row r="1044" customFormat="false" ht="14.5" hidden="false" customHeight="false" outlineLevel="0" collapsed="false">
      <c r="AG1044" s="2315" t="n">
        <v>87.5000000000001</v>
      </c>
      <c r="AH1044" s="2606" t="n">
        <f aca="false">AG1044*3.1415926535897/180</f>
        <v>1.52716309549499</v>
      </c>
      <c r="AI1044" s="2606" t="n">
        <f aca="false">AH1044+0.0005</f>
        <v>1.52766309549499</v>
      </c>
      <c r="AJ1044" s="2606" t="n">
        <f aca="false">AH1044-0.0005</f>
        <v>1.52666309549499</v>
      </c>
      <c r="AK1044" s="2315" t="n">
        <f aca="false">IF(AND(дома!$Z$29&gt;=AJ1044,дома!$Z$29&lt;=AI1044),связи1!AG1044,0)</f>
        <v>0</v>
      </c>
      <c r="AL1044" s="2315" t="n">
        <f aca="false">IF(AND(дома!$AA$29&gt;=AJ1044,дома!$AA$29&lt;=AI1044),связи1!AG1044,0)</f>
        <v>0</v>
      </c>
    </row>
    <row r="1045" customFormat="false" ht="14.5" hidden="false" customHeight="false" outlineLevel="0" collapsed="false">
      <c r="AG1045" s="2315" t="n">
        <v>87.6000000000001</v>
      </c>
      <c r="AH1045" s="2606" t="n">
        <f aca="false">AG1045*3.1415926535897/180</f>
        <v>1.52890842474699</v>
      </c>
      <c r="AI1045" s="2606" t="n">
        <f aca="false">AH1045+0.0005</f>
        <v>1.52940842474699</v>
      </c>
      <c r="AJ1045" s="2606" t="n">
        <f aca="false">AH1045-0.0005</f>
        <v>1.52840842474699</v>
      </c>
      <c r="AK1045" s="2315" t="n">
        <f aca="false">IF(AND(дома!$Z$29&gt;=AJ1045,дома!$Z$29&lt;=AI1045),связи1!AG1045,0)</f>
        <v>0</v>
      </c>
      <c r="AL1045" s="2315" t="n">
        <f aca="false">IF(AND(дома!$AA$29&gt;=AJ1045,дома!$AA$29&lt;=AI1045),связи1!AG1045,0)</f>
        <v>0</v>
      </c>
    </row>
    <row r="1046" customFormat="false" ht="14.5" hidden="false" customHeight="false" outlineLevel="0" collapsed="false">
      <c r="AG1046" s="2315" t="n">
        <v>87.7000000000001</v>
      </c>
      <c r="AH1046" s="2606" t="n">
        <f aca="false">AG1046*3.1415926535897/180</f>
        <v>1.53065375399898</v>
      </c>
      <c r="AI1046" s="2606" t="n">
        <f aca="false">AH1046+0.0005</f>
        <v>1.53115375399898</v>
      </c>
      <c r="AJ1046" s="2606" t="n">
        <f aca="false">AH1046-0.0005</f>
        <v>1.53015375399898</v>
      </c>
      <c r="AK1046" s="2315" t="n">
        <f aca="false">IF(AND(дома!$Z$29&gt;=AJ1046,дома!$Z$29&lt;=AI1046),связи1!AG1046,0)</f>
        <v>0</v>
      </c>
      <c r="AL1046" s="2315" t="n">
        <f aca="false">IF(AND(дома!$AA$29&gt;=AJ1046,дома!$AA$29&lt;=AI1046),связи1!AG1046,0)</f>
        <v>0</v>
      </c>
    </row>
    <row r="1047" customFormat="false" ht="14.5" hidden="false" customHeight="false" outlineLevel="0" collapsed="false">
      <c r="AG1047" s="2315" t="n">
        <v>87.8000000000001</v>
      </c>
      <c r="AH1047" s="2606" t="n">
        <f aca="false">AG1047*3.1415926535897/180</f>
        <v>1.53239908325098</v>
      </c>
      <c r="AI1047" s="2606" t="n">
        <f aca="false">AH1047+0.0005</f>
        <v>1.53289908325098</v>
      </c>
      <c r="AJ1047" s="2606" t="n">
        <f aca="false">AH1047-0.0005</f>
        <v>1.53189908325098</v>
      </c>
      <c r="AK1047" s="2315" t="n">
        <f aca="false">IF(AND(дома!$Z$29&gt;=AJ1047,дома!$Z$29&lt;=AI1047),связи1!AG1047,0)</f>
        <v>0</v>
      </c>
      <c r="AL1047" s="2315" t="n">
        <f aca="false">IF(AND(дома!$AA$29&gt;=AJ1047,дома!$AA$29&lt;=AI1047),связи1!AG1047,0)</f>
        <v>0</v>
      </c>
    </row>
    <row r="1048" customFormat="false" ht="14.5" hidden="false" customHeight="false" outlineLevel="0" collapsed="false">
      <c r="AG1048" s="2315" t="n">
        <v>87.9000000000001</v>
      </c>
      <c r="AH1048" s="2606" t="n">
        <f aca="false">AG1048*3.1415926535897/180</f>
        <v>1.53414441250297</v>
      </c>
      <c r="AI1048" s="2606" t="n">
        <f aca="false">AH1048+0.0005</f>
        <v>1.53464441250297</v>
      </c>
      <c r="AJ1048" s="2606" t="n">
        <f aca="false">AH1048-0.0005</f>
        <v>1.53364441250297</v>
      </c>
      <c r="AK1048" s="2315" t="n">
        <f aca="false">IF(AND(дома!$Z$29&gt;=AJ1048,дома!$Z$29&lt;=AI1048),связи1!AG1048,0)</f>
        <v>0</v>
      </c>
      <c r="AL1048" s="2315" t="n">
        <f aca="false">IF(AND(дома!$AA$29&gt;=AJ1048,дома!$AA$29&lt;=AI1048),связи1!AG1048,0)</f>
        <v>0</v>
      </c>
    </row>
    <row r="1049" customFormat="false" ht="14.5" hidden="false" customHeight="false" outlineLevel="0" collapsed="false">
      <c r="AG1049" s="2315" t="n">
        <v>88.0000000000001</v>
      </c>
      <c r="AH1049" s="2606" t="n">
        <f aca="false">AG1049*3.1415926535897/180</f>
        <v>1.53588974175497</v>
      </c>
      <c r="AI1049" s="2606" t="n">
        <f aca="false">AH1049+0.0005</f>
        <v>1.53638974175497</v>
      </c>
      <c r="AJ1049" s="2606" t="n">
        <f aca="false">AH1049-0.0005</f>
        <v>1.53538974175497</v>
      </c>
      <c r="AK1049" s="2315" t="n">
        <f aca="false">IF(AND(дома!$Z$29&gt;=AJ1049,дома!$Z$29&lt;=AI1049),связи1!AG1049,0)</f>
        <v>0</v>
      </c>
      <c r="AL1049" s="2315" t="n">
        <f aca="false">IF(AND(дома!$AA$29&gt;=AJ1049,дома!$AA$29&lt;=AI1049),связи1!AG1049,0)</f>
        <v>0</v>
      </c>
    </row>
    <row r="1050" customFormat="false" ht="14.5" hidden="false" customHeight="false" outlineLevel="0" collapsed="false">
      <c r="AG1050" s="2315" t="n">
        <v>88.1000000000001</v>
      </c>
      <c r="AH1050" s="2606" t="n">
        <f aca="false">AG1050*3.1415926535897/180</f>
        <v>1.53763507100696</v>
      </c>
      <c r="AI1050" s="2606" t="n">
        <f aca="false">AH1050+0.0005</f>
        <v>1.53813507100696</v>
      </c>
      <c r="AJ1050" s="2606" t="n">
        <f aca="false">AH1050-0.0005</f>
        <v>1.53713507100696</v>
      </c>
      <c r="AK1050" s="2315" t="n">
        <f aca="false">IF(AND(дома!$Z$29&gt;=AJ1050,дома!$Z$29&lt;=AI1050),связи1!AG1050,0)</f>
        <v>0</v>
      </c>
      <c r="AL1050" s="2315" t="n">
        <f aca="false">IF(AND(дома!$AA$29&gt;=AJ1050,дома!$AA$29&lt;=AI1050),связи1!AG1050,0)</f>
        <v>0</v>
      </c>
    </row>
    <row r="1051" customFormat="false" ht="14.5" hidden="false" customHeight="false" outlineLevel="0" collapsed="false">
      <c r="AG1051" s="2315" t="n">
        <v>88.2000000000001</v>
      </c>
      <c r="AH1051" s="2606" t="n">
        <f aca="false">AG1051*3.1415926535897/180</f>
        <v>1.53938040025895</v>
      </c>
      <c r="AI1051" s="2606" t="n">
        <f aca="false">AH1051+0.0005</f>
        <v>1.53988040025895</v>
      </c>
      <c r="AJ1051" s="2606" t="n">
        <f aca="false">AH1051-0.0005</f>
        <v>1.53888040025896</v>
      </c>
      <c r="AK1051" s="2315" t="n">
        <f aca="false">IF(AND(дома!$Z$29&gt;=AJ1051,дома!$Z$29&lt;=AI1051),связи1!AG1051,0)</f>
        <v>0</v>
      </c>
      <c r="AL1051" s="2315" t="n">
        <f aca="false">IF(AND(дома!$AA$29&gt;=AJ1051,дома!$AA$29&lt;=AI1051),связи1!AG1051,0)</f>
        <v>0</v>
      </c>
    </row>
    <row r="1052" customFormat="false" ht="14.5" hidden="false" customHeight="false" outlineLevel="0" collapsed="false">
      <c r="AG1052" s="2315" t="n">
        <v>88.3000000000001</v>
      </c>
      <c r="AH1052" s="2606" t="n">
        <f aca="false">AG1052*3.1415926535897/180</f>
        <v>1.54112572951095</v>
      </c>
      <c r="AI1052" s="2606" t="n">
        <f aca="false">AH1052+0.0005</f>
        <v>1.54162572951095</v>
      </c>
      <c r="AJ1052" s="2606" t="n">
        <f aca="false">AH1052-0.0005</f>
        <v>1.54062572951095</v>
      </c>
      <c r="AK1052" s="2315" t="n">
        <f aca="false">IF(AND(дома!$Z$29&gt;=AJ1052,дома!$Z$29&lt;=AI1052),связи1!AG1052,0)</f>
        <v>0</v>
      </c>
      <c r="AL1052" s="2315" t="n">
        <f aca="false">IF(AND(дома!$AA$29&gt;=AJ1052,дома!$AA$29&lt;=AI1052),связи1!AG1052,0)</f>
        <v>0</v>
      </c>
    </row>
    <row r="1053" customFormat="false" ht="14.5" hidden="false" customHeight="false" outlineLevel="0" collapsed="false">
      <c r="AG1053" s="2315" t="n">
        <v>88.4000000000001</v>
      </c>
      <c r="AH1053" s="2606" t="n">
        <f aca="false">AG1053*3.1415926535897/180</f>
        <v>1.54287105876294</v>
      </c>
      <c r="AI1053" s="2606" t="n">
        <f aca="false">AH1053+0.0005</f>
        <v>1.54337105876294</v>
      </c>
      <c r="AJ1053" s="2606" t="n">
        <f aca="false">AH1053-0.0005</f>
        <v>1.54237105876294</v>
      </c>
      <c r="AK1053" s="2315" t="n">
        <f aca="false">IF(AND(дома!$Z$29&gt;=AJ1053,дома!$Z$29&lt;=AI1053),связи1!AG1053,0)</f>
        <v>0</v>
      </c>
      <c r="AL1053" s="2315" t="n">
        <f aca="false">IF(AND(дома!$AA$29&gt;=AJ1053,дома!$AA$29&lt;=AI1053),связи1!AG1053,0)</f>
        <v>0</v>
      </c>
    </row>
    <row r="1054" customFormat="false" ht="14.5" hidden="false" customHeight="false" outlineLevel="0" collapsed="false">
      <c r="AG1054" s="2315" t="n">
        <v>88.5000000000001</v>
      </c>
      <c r="AH1054" s="2606" t="n">
        <f aca="false">AG1054*3.1415926535897/180</f>
        <v>1.54461638801494</v>
      </c>
      <c r="AI1054" s="2606" t="n">
        <f aca="false">AH1054+0.0005</f>
        <v>1.54511638801494</v>
      </c>
      <c r="AJ1054" s="2606" t="n">
        <f aca="false">AH1054-0.0005</f>
        <v>1.54411638801494</v>
      </c>
      <c r="AK1054" s="2315" t="n">
        <f aca="false">IF(AND(дома!$Z$29&gt;=AJ1054,дома!$Z$29&lt;=AI1054),связи1!AG1054,0)</f>
        <v>0</v>
      </c>
      <c r="AL1054" s="2315" t="n">
        <f aca="false">IF(AND(дома!$AA$29&gt;=AJ1054,дома!$AA$29&lt;=AI1054),связи1!AG1054,0)</f>
        <v>0</v>
      </c>
    </row>
    <row r="1055" customFormat="false" ht="14.5" hidden="false" customHeight="false" outlineLevel="0" collapsed="false">
      <c r="AG1055" s="2315" t="n">
        <v>88.6000000000001</v>
      </c>
      <c r="AH1055" s="2606" t="n">
        <f aca="false">AG1055*3.1415926535897/180</f>
        <v>1.54636171726693</v>
      </c>
      <c r="AI1055" s="2606" t="n">
        <f aca="false">AH1055+0.0005</f>
        <v>1.54686171726693</v>
      </c>
      <c r="AJ1055" s="2606" t="n">
        <f aca="false">AH1055-0.0005</f>
        <v>1.54586171726693</v>
      </c>
      <c r="AK1055" s="2315" t="n">
        <f aca="false">IF(AND(дома!$Z$29&gt;=AJ1055,дома!$Z$29&lt;=AI1055),связи1!AG1055,0)</f>
        <v>0</v>
      </c>
      <c r="AL1055" s="2315" t="n">
        <f aca="false">IF(AND(дома!$AA$29&gt;=AJ1055,дома!$AA$29&lt;=AI1055),связи1!AG1055,0)</f>
        <v>0</v>
      </c>
    </row>
    <row r="1056" customFormat="false" ht="14.5" hidden="false" customHeight="false" outlineLevel="0" collapsed="false">
      <c r="AG1056" s="2315" t="n">
        <v>88.7000000000001</v>
      </c>
      <c r="AH1056" s="2606" t="n">
        <f aca="false">AG1056*3.1415926535897/180</f>
        <v>1.54810704651893</v>
      </c>
      <c r="AI1056" s="2606" t="n">
        <f aca="false">AH1056+0.0005</f>
        <v>1.54860704651893</v>
      </c>
      <c r="AJ1056" s="2606" t="n">
        <f aca="false">AH1056-0.0005</f>
        <v>1.54760704651893</v>
      </c>
      <c r="AK1056" s="2315" t="n">
        <f aca="false">IF(AND(дома!$Z$29&gt;=AJ1056,дома!$Z$29&lt;=AI1056),связи1!AG1056,0)</f>
        <v>0</v>
      </c>
      <c r="AL1056" s="2315" t="n">
        <f aca="false">IF(AND(дома!$AA$29&gt;=AJ1056,дома!$AA$29&lt;=AI1056),связи1!AG1056,0)</f>
        <v>0</v>
      </c>
    </row>
    <row r="1057" customFormat="false" ht="14.5" hidden="false" customHeight="false" outlineLevel="0" collapsed="false">
      <c r="AG1057" s="2315" t="n">
        <v>88.8000000000001</v>
      </c>
      <c r="AH1057" s="2606" t="n">
        <f aca="false">AG1057*3.1415926535897/180</f>
        <v>1.54985237577092</v>
      </c>
      <c r="AI1057" s="2606" t="n">
        <f aca="false">AH1057+0.0005</f>
        <v>1.55035237577092</v>
      </c>
      <c r="AJ1057" s="2606" t="n">
        <f aca="false">AH1057-0.0005</f>
        <v>1.54935237577092</v>
      </c>
      <c r="AK1057" s="2315" t="n">
        <f aca="false">IF(AND(дома!$Z$29&gt;=AJ1057,дома!$Z$29&lt;=AI1057),связи1!AG1057,0)</f>
        <v>0</v>
      </c>
      <c r="AL1057" s="2315" t="n">
        <f aca="false">IF(AND(дома!$AA$29&gt;=AJ1057,дома!$AA$29&lt;=AI1057),связи1!AG1057,0)</f>
        <v>0</v>
      </c>
    </row>
    <row r="1058" customFormat="false" ht="14.5" hidden="false" customHeight="false" outlineLevel="0" collapsed="false">
      <c r="AG1058" s="2315" t="n">
        <v>88.9000000000001</v>
      </c>
      <c r="AH1058" s="2606" t="n">
        <f aca="false">AG1058*3.1415926535897/180</f>
        <v>1.55159770502291</v>
      </c>
      <c r="AI1058" s="2606" t="n">
        <f aca="false">AH1058+0.0005</f>
        <v>1.55209770502291</v>
      </c>
      <c r="AJ1058" s="2606" t="n">
        <f aca="false">AH1058-0.0005</f>
        <v>1.55109770502291</v>
      </c>
      <c r="AK1058" s="2315" t="n">
        <f aca="false">IF(AND(дома!$Z$29&gt;=AJ1058,дома!$Z$29&lt;=AI1058),связи1!AG1058,0)</f>
        <v>0</v>
      </c>
      <c r="AL1058" s="2315" t="n">
        <f aca="false">IF(AND(дома!$AA$29&gt;=AJ1058,дома!$AA$29&lt;=AI1058),связи1!AG1058,0)</f>
        <v>0</v>
      </c>
    </row>
    <row r="1059" customFormat="false" ht="14.5" hidden="false" customHeight="false" outlineLevel="0" collapsed="false">
      <c r="AG1059" s="2315" t="n">
        <v>89.0000000000001</v>
      </c>
      <c r="AH1059" s="2606" t="n">
        <f aca="false">AG1059*3.1415926535897/180</f>
        <v>1.55334303427491</v>
      </c>
      <c r="AI1059" s="2606" t="n">
        <f aca="false">AH1059+0.0005</f>
        <v>1.55384303427491</v>
      </c>
      <c r="AJ1059" s="2606" t="n">
        <f aca="false">AH1059-0.0005</f>
        <v>1.55284303427491</v>
      </c>
      <c r="AK1059" s="2315" t="n">
        <f aca="false">IF(AND(дома!$Z$29&gt;=AJ1059,дома!$Z$29&lt;=AI1059),связи1!AG1059,0)</f>
        <v>0</v>
      </c>
      <c r="AL1059" s="2315" t="n">
        <f aca="false">IF(AND(дома!$AA$29&gt;=AJ1059,дома!$AA$29&lt;=AI1059),связи1!AG1059,0)</f>
        <v>0</v>
      </c>
    </row>
    <row r="1060" customFormat="false" ht="14.5" hidden="false" customHeight="false" outlineLevel="0" collapsed="false">
      <c r="AG1060" s="2315" t="n">
        <v>89.1000000000001</v>
      </c>
      <c r="AH1060" s="2606" t="n">
        <f aca="false">AG1060*3.1415926535897/180</f>
        <v>1.5550883635269</v>
      </c>
      <c r="AI1060" s="2606" t="n">
        <f aca="false">AH1060+0.0005</f>
        <v>1.5555883635269</v>
      </c>
      <c r="AJ1060" s="2606" t="n">
        <f aca="false">AH1060-0.0005</f>
        <v>1.5545883635269</v>
      </c>
      <c r="AK1060" s="2315" t="n">
        <f aca="false">IF(AND(дома!$Z$29&gt;=AJ1060,дома!$Z$29&lt;=AI1060),связи1!AG1060,0)</f>
        <v>0</v>
      </c>
      <c r="AL1060" s="2315" t="n">
        <f aca="false">IF(AND(дома!$AA$29&gt;=AJ1060,дома!$AA$29&lt;=AI1060),связи1!AG1060,0)</f>
        <v>0</v>
      </c>
    </row>
    <row r="1061" customFormat="false" ht="14.5" hidden="false" customHeight="false" outlineLevel="0" collapsed="false">
      <c r="AG1061" s="2315" t="n">
        <v>89.2000000000001</v>
      </c>
      <c r="AH1061" s="2606" t="n">
        <f aca="false">AG1061*3.1415926535897/180</f>
        <v>1.5568336927789</v>
      </c>
      <c r="AI1061" s="2606" t="n">
        <f aca="false">AH1061+0.0005</f>
        <v>1.5573336927789</v>
      </c>
      <c r="AJ1061" s="2606" t="n">
        <f aca="false">AH1061-0.0005</f>
        <v>1.5563336927789</v>
      </c>
      <c r="AK1061" s="2315" t="n">
        <f aca="false">IF(AND(дома!$Z$29&gt;=AJ1061,дома!$Z$29&lt;=AI1061),связи1!AG1061,0)</f>
        <v>0</v>
      </c>
      <c r="AL1061" s="2315" t="n">
        <f aca="false">IF(AND(дома!$AA$29&gt;=AJ1061,дома!$AA$29&lt;=AI1061),связи1!AG1061,0)</f>
        <v>0</v>
      </c>
    </row>
    <row r="1062" customFormat="false" ht="14.5" hidden="false" customHeight="false" outlineLevel="0" collapsed="false">
      <c r="AG1062" s="2315" t="n">
        <v>89.3000000000001</v>
      </c>
      <c r="AH1062" s="2606" t="n">
        <f aca="false">AG1062*3.1415926535897/180</f>
        <v>1.55857902203089</v>
      </c>
      <c r="AI1062" s="2606" t="n">
        <f aca="false">AH1062+0.0005</f>
        <v>1.55907902203089</v>
      </c>
      <c r="AJ1062" s="2606" t="n">
        <f aca="false">AH1062-0.0005</f>
        <v>1.55807902203089</v>
      </c>
      <c r="AK1062" s="2315" t="n">
        <f aca="false">IF(AND(дома!$Z$29&gt;=AJ1062,дома!$Z$29&lt;=AI1062),связи1!AG1062,0)</f>
        <v>0</v>
      </c>
      <c r="AL1062" s="2315" t="n">
        <f aca="false">IF(AND(дома!$AA$29&gt;=AJ1062,дома!$AA$29&lt;=AI1062),связи1!AG1062,0)</f>
        <v>0</v>
      </c>
    </row>
    <row r="1063" customFormat="false" ht="14.5" hidden="false" customHeight="false" outlineLevel="0" collapsed="false">
      <c r="AG1063" s="2315" t="n">
        <v>89.4000000000001</v>
      </c>
      <c r="AH1063" s="2606" t="n">
        <f aca="false">AG1063*3.1415926535897/180</f>
        <v>1.56032435128289</v>
      </c>
      <c r="AI1063" s="2606" t="n">
        <f aca="false">AH1063+0.0005</f>
        <v>1.56082435128289</v>
      </c>
      <c r="AJ1063" s="2606" t="n">
        <f aca="false">AH1063-0.0005</f>
        <v>1.55982435128289</v>
      </c>
      <c r="AK1063" s="2315" t="n">
        <f aca="false">IF(AND(дома!$Z$29&gt;=AJ1063,дома!$Z$29&lt;=AI1063),связи1!AG1063,0)</f>
        <v>0</v>
      </c>
      <c r="AL1063" s="2315" t="n">
        <f aca="false">IF(AND(дома!$AA$29&gt;=AJ1063,дома!$AA$29&lt;=AI1063),связи1!AG1063,0)</f>
        <v>0</v>
      </c>
    </row>
    <row r="1064" customFormat="false" ht="14.5" hidden="false" customHeight="false" outlineLevel="0" collapsed="false">
      <c r="AG1064" s="2315" t="n">
        <v>89.5000000000001</v>
      </c>
      <c r="AH1064" s="2606" t="n">
        <f aca="false">AG1064*3.1415926535897/180</f>
        <v>1.56206968053488</v>
      </c>
      <c r="AI1064" s="2606" t="n">
        <f aca="false">AH1064+0.0005</f>
        <v>1.56256968053488</v>
      </c>
      <c r="AJ1064" s="2606" t="n">
        <f aca="false">AH1064-0.0005</f>
        <v>1.56156968053488</v>
      </c>
      <c r="AK1064" s="2315" t="n">
        <f aca="false">IF(AND(дома!$Z$29&gt;=AJ1064,дома!$Z$29&lt;=AI1064),связи1!AG1064,0)</f>
        <v>0</v>
      </c>
      <c r="AL1064" s="2315" t="n">
        <f aca="false">IF(AND(дома!$AA$29&gt;=AJ1064,дома!$AA$29&lt;=AI1064),связи1!AG1064,0)</f>
        <v>0</v>
      </c>
    </row>
    <row r="1065" customFormat="false" ht="14.5" hidden="false" customHeight="false" outlineLevel="0" collapsed="false">
      <c r="AG1065" s="2315" t="n">
        <v>89.6000000000001</v>
      </c>
      <c r="AH1065" s="2606" t="n">
        <f aca="false">AG1065*3.1415926535897/180</f>
        <v>1.56381500978687</v>
      </c>
      <c r="AI1065" s="2606" t="n">
        <f aca="false">AH1065+0.0005</f>
        <v>1.56431500978687</v>
      </c>
      <c r="AJ1065" s="2606" t="n">
        <f aca="false">AH1065-0.0005</f>
        <v>1.56331500978687</v>
      </c>
      <c r="AK1065" s="2315" t="n">
        <f aca="false">IF(AND(дома!$Z$29&gt;=AJ1065,дома!$Z$29&lt;=AI1065),связи1!AG1065,0)</f>
        <v>0</v>
      </c>
      <c r="AL1065" s="2315" t="n">
        <f aca="false">IF(AND(дома!$AA$29&gt;=AJ1065,дома!$AA$29&lt;=AI1065),связи1!AG1065,0)</f>
        <v>0</v>
      </c>
    </row>
    <row r="1066" customFormat="false" ht="14.5" hidden="false" customHeight="false" outlineLevel="0" collapsed="false">
      <c r="AG1066" s="2315" t="n">
        <v>89.7000000000001</v>
      </c>
      <c r="AH1066" s="2606" t="n">
        <f aca="false">AG1066*3.1415926535897/180</f>
        <v>1.56556033903887</v>
      </c>
      <c r="AI1066" s="2606" t="n">
        <f aca="false">AH1066+0.0005</f>
        <v>1.56606033903887</v>
      </c>
      <c r="AJ1066" s="2606" t="n">
        <f aca="false">AH1066-0.0005</f>
        <v>1.56506033903887</v>
      </c>
      <c r="AK1066" s="2315" t="n">
        <f aca="false">IF(AND(дома!$Z$29&gt;=AJ1066,дома!$Z$29&lt;=AI1066),связи1!AG1066,0)</f>
        <v>0</v>
      </c>
      <c r="AL1066" s="2315" t="n">
        <f aca="false">IF(AND(дома!$AA$29&gt;=AJ1066,дома!$AA$29&lt;=AI1066),связи1!AG1066,0)</f>
        <v>0</v>
      </c>
    </row>
    <row r="1067" customFormat="false" ht="14.5" hidden="false" customHeight="false" outlineLevel="0" collapsed="false">
      <c r="AG1067" s="2315" t="n">
        <v>89.8000000000001</v>
      </c>
      <c r="AH1067" s="2606" t="n">
        <f aca="false">AG1067*3.1415926535897/180</f>
        <v>1.56730566829086</v>
      </c>
      <c r="AI1067" s="2606" t="n">
        <f aca="false">AH1067+0.0005</f>
        <v>1.56780566829086</v>
      </c>
      <c r="AJ1067" s="2606" t="n">
        <f aca="false">AH1067-0.0005</f>
        <v>1.56680566829086</v>
      </c>
      <c r="AK1067" s="2315" t="n">
        <f aca="false">IF(AND(дома!$Z$29&gt;=AJ1067,дома!$Z$29&lt;=AI1067),связи1!AG1067,0)</f>
        <v>0</v>
      </c>
      <c r="AL1067" s="2315" t="n">
        <f aca="false">IF(AND(дома!$AA$29&gt;=AJ1067,дома!$AA$29&lt;=AI1067),связи1!AG1067,0)</f>
        <v>0</v>
      </c>
    </row>
    <row r="1068" customFormat="false" ht="14.5" hidden="false" customHeight="false" outlineLevel="0" collapsed="false">
      <c r="AG1068" s="2315" t="n">
        <v>89.9000000000001</v>
      </c>
      <c r="AH1068" s="2606" t="n">
        <f aca="false">AG1068*3.1415926535897/180</f>
        <v>1.56905099754286</v>
      </c>
      <c r="AI1068" s="2606" t="n">
        <f aca="false">AH1068+0.0005</f>
        <v>1.56955099754286</v>
      </c>
      <c r="AJ1068" s="2606" t="n">
        <f aca="false">AH1068-0.0005</f>
        <v>1.56855099754286</v>
      </c>
      <c r="AK1068" s="2315" t="n">
        <f aca="false">IF(AND(дома!$Z$29&gt;=AJ1068,дома!$Z$29&lt;=AI1068),связи1!AG1068,0)</f>
        <v>0</v>
      </c>
      <c r="AL1068" s="2315" t="n">
        <f aca="false">IF(AND(дома!$AA$29&gt;=AJ1068,дома!$AA$29&lt;=AI1068),связи1!AG1068,0)</f>
        <v>0</v>
      </c>
    </row>
    <row r="1069" customFormat="false" ht="14.5" hidden="false" customHeight="false" outlineLevel="0" collapsed="false">
      <c r="AG1069" s="2315" t="n">
        <v>90.0000000000001</v>
      </c>
      <c r="AH1069" s="2606" t="n">
        <f aca="false">AG1069*3.1415926535897/180</f>
        <v>1.57079632679485</v>
      </c>
      <c r="AI1069" s="2606" t="n">
        <f aca="false">AH1069+0.0005</f>
        <v>1.57129632679485</v>
      </c>
      <c r="AJ1069" s="2606" t="n">
        <f aca="false">AH1069-0.0005</f>
        <v>1.57029632679485</v>
      </c>
      <c r="AK1069" s="2315" t="n">
        <f aca="false">IF(AND(дома!$Z$29&gt;=AJ1069,дома!$Z$29&lt;=AI1069),связи1!AG1069,0)</f>
        <v>0</v>
      </c>
      <c r="AL1069" s="2315" t="n">
        <f aca="false">IF(AND(дома!$AA$29&gt;=AJ1069,дома!$AA$29&lt;=AI1069),связи1!AG1069,0)</f>
        <v>0</v>
      </c>
    </row>
  </sheetData>
  <mergeCells count="5">
    <mergeCell ref="N6:O6"/>
    <mergeCell ref="N11:O11"/>
    <mergeCell ref="B42:D42"/>
    <mergeCell ref="F146:H146"/>
    <mergeCell ref="I146:K146"/>
  </mergeCells>
  <dataValidations count="5">
    <dataValidation allowBlank="true" errorStyle="stop" operator="between" showDropDown="false" showErrorMessage="true" showInputMessage="true" sqref="N15" type="list">
      <formula1>INDIRECT($A$21)</formula1>
      <formula2>0</formula2>
    </dataValidation>
    <dataValidation allowBlank="true" errorStyle="stop" operator="between" showDropDown="false" showErrorMessage="true" showInputMessage="true" sqref="N13" type="list">
      <formula1>INDIRECT($A$19)</formula1>
      <formula2>0</formula2>
    </dataValidation>
    <dataValidation allowBlank="true" errorStyle="stop" operator="between" showDropDown="false" showErrorMessage="true" showInputMessage="true" sqref="N10" type="list">
      <formula1>INDIRECT($A$16)</formula1>
      <formula2>0</formula2>
    </dataValidation>
    <dataValidation allowBlank="true" errorStyle="stop" operator="between" showDropDown="false" showErrorMessage="true" showInputMessage="true" sqref="N8" type="list">
      <formula1>INDIRECT($A$14)</formula1>
      <formula2>0</formula2>
    </dataValidation>
    <dataValidation allowBlank="true" errorStyle="stop" operator="between" showDropDown="false" showErrorMessage="true" showInputMessage="true" sqref="N2 N4:N5 N7 N9 N12 N14" type="list">
      <formula1>$I$305:$I$315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555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F211" activeCellId="0" sqref="F211"/>
    </sheetView>
  </sheetViews>
  <sheetFormatPr defaultColWidth="8.5234375" defaultRowHeight="14.5" zeroHeight="false" outlineLevelRow="0" outlineLevelCol="0"/>
  <cols>
    <col collapsed="false" customWidth="true" hidden="false" outlineLevel="0" max="1" min="1" style="0" width="37.45"/>
    <col collapsed="false" customWidth="true" hidden="false" outlineLevel="0" max="2" min="2" style="0" width="10.27"/>
    <col collapsed="false" customWidth="true" hidden="false" outlineLevel="0" max="3" min="3" style="0" width="10"/>
    <col collapsed="false" customWidth="true" hidden="false" outlineLevel="0" max="4" min="4" style="0" width="12.44"/>
    <col collapsed="false" customWidth="true" hidden="false" outlineLevel="0" max="5" min="5" style="0" width="13.71"/>
    <col collapsed="false" customWidth="true" hidden="false" outlineLevel="0" max="6" min="6" style="0" width="11.18"/>
    <col collapsed="false" customWidth="true" hidden="false" outlineLevel="0" max="7" min="7" style="0" width="13.44"/>
    <col collapsed="false" customWidth="true" hidden="false" outlineLevel="0" max="11" min="11" style="0" width="12.44"/>
  </cols>
  <sheetData>
    <row r="1" customFormat="false" ht="15.5" hidden="false" customHeight="false" outlineLevel="0" collapsed="false">
      <c r="A1" s="2019" t="s">
        <v>1093</v>
      </c>
      <c r="B1" s="2019"/>
      <c r="C1" s="2019"/>
      <c r="D1" s="2020" t="s">
        <v>120</v>
      </c>
      <c r="E1" s="2020" t="s">
        <v>1753</v>
      </c>
      <c r="F1" s="2021"/>
      <c r="G1" s="461"/>
      <c r="H1" s="461"/>
      <c r="I1" s="461"/>
      <c r="J1" s="461"/>
      <c r="K1" s="1148"/>
      <c r="L1" s="1148"/>
      <c r="M1" s="1148"/>
      <c r="N1" s="1148"/>
    </row>
    <row r="2" customFormat="false" ht="15.5" hidden="false" customHeight="false" outlineLevel="0" collapsed="false">
      <c r="A2" s="1201" t="s">
        <v>2779</v>
      </c>
      <c r="B2" s="1201"/>
      <c r="C2" s="1201"/>
      <c r="D2" s="2022"/>
      <c r="E2" s="2023" t="e">
        <f aca="false">'ввод данных'!#ref!</f>
        <v>#VALUE!</v>
      </c>
      <c r="F2" s="2024"/>
      <c r="G2" s="2021"/>
      <c r="H2" s="2025"/>
      <c r="I2" s="1985"/>
      <c r="J2" s="1985"/>
      <c r="K2" s="1148"/>
      <c r="L2" s="1148"/>
      <c r="M2" s="1148"/>
      <c r="N2" s="1148"/>
    </row>
    <row r="3" customFormat="false" ht="15.5" hidden="false" customHeight="false" outlineLevel="0" collapsed="false">
      <c r="A3" s="902" t="s">
        <v>2746</v>
      </c>
      <c r="B3" s="902"/>
      <c r="C3" s="902"/>
      <c r="D3" s="2022" t="s">
        <v>156</v>
      </c>
      <c r="E3" s="2023" t="n">
        <f aca="false">'Ввод данных'!C11</f>
        <v>10</v>
      </c>
      <c r="F3" s="2025"/>
      <c r="G3" s="2021"/>
      <c r="H3" s="2025"/>
      <c r="I3" s="1985"/>
      <c r="J3" s="1985"/>
      <c r="K3" s="1148"/>
      <c r="L3" s="1148"/>
      <c r="M3" s="1148"/>
      <c r="N3" s="1148"/>
    </row>
    <row r="4" customFormat="false" ht="15.5" hidden="false" customHeight="false" outlineLevel="0" collapsed="false">
      <c r="A4" s="902" t="s">
        <v>2782</v>
      </c>
      <c r="B4" s="902"/>
      <c r="C4" s="902"/>
      <c r="D4" s="2022" t="s">
        <v>156</v>
      </c>
      <c r="E4" s="2023" t="n">
        <f aca="false">'Ввод данных'!C12</f>
        <v>10</v>
      </c>
      <c r="F4" s="2025"/>
      <c r="G4" s="2025"/>
      <c r="H4" s="2025"/>
      <c r="I4" s="998"/>
      <c r="J4" s="998"/>
      <c r="K4" s="1148"/>
      <c r="L4" s="1148"/>
      <c r="M4" s="1148"/>
      <c r="N4" s="1148"/>
    </row>
    <row r="5" customFormat="false" ht="15.5" hidden="false" customHeight="false" outlineLevel="0" collapsed="false">
      <c r="A5" s="902" t="s">
        <v>2783</v>
      </c>
      <c r="B5" s="902"/>
      <c r="C5" s="902"/>
      <c r="D5" s="2022" t="s">
        <v>156</v>
      </c>
      <c r="E5" s="2023" t="n">
        <f aca="false">'Ввод данных'!C13</f>
        <v>3</v>
      </c>
      <c r="F5" s="2025"/>
      <c r="G5" s="2025"/>
      <c r="H5" s="2025"/>
      <c r="I5" s="1217"/>
      <c r="J5" s="1217"/>
      <c r="K5" s="1148"/>
      <c r="L5" s="1148"/>
      <c r="M5" s="1148"/>
      <c r="N5" s="1148"/>
    </row>
    <row r="6" customFormat="false" ht="15.5" hidden="false" customHeight="false" outlineLevel="0" collapsed="false">
      <c r="A6" s="902" t="s">
        <v>2793</v>
      </c>
      <c r="B6" s="902"/>
      <c r="C6" s="902"/>
      <c r="D6" s="2022" t="s">
        <v>156</v>
      </c>
      <c r="E6" s="2023" t="n">
        <f aca="false">связи1!K207</f>
        <v>1.2</v>
      </c>
      <c r="F6" s="2025"/>
      <c r="G6" s="2025"/>
      <c r="H6" s="2025"/>
      <c r="I6" s="2026"/>
      <c r="J6" s="1217"/>
      <c r="K6" s="1148"/>
      <c r="L6" s="1148"/>
      <c r="M6" s="1148"/>
      <c r="N6" s="1148"/>
    </row>
    <row r="7" customFormat="false" ht="15.5" hidden="false" customHeight="false" outlineLevel="0" collapsed="false">
      <c r="A7" s="902" t="s">
        <v>3870</v>
      </c>
      <c r="B7" s="902"/>
      <c r="C7" s="902"/>
      <c r="D7" s="1026" t="s">
        <v>156</v>
      </c>
      <c r="E7" s="2023" t="n">
        <f aca="false">'Ввод данных'!C16</f>
        <v>2.2</v>
      </c>
      <c r="F7" s="895"/>
      <c r="G7" s="2025"/>
      <c r="H7" s="2026"/>
      <c r="I7" s="2026"/>
      <c r="J7" s="1217"/>
      <c r="K7" s="1148"/>
      <c r="L7" s="1148"/>
      <c r="M7" s="1148"/>
      <c r="N7" s="1148"/>
    </row>
    <row r="8" customFormat="false" ht="15.5" hidden="false" customHeight="false" outlineLevel="0" collapsed="false">
      <c r="A8" s="902" t="s">
        <v>3871</v>
      </c>
      <c r="B8" s="902"/>
      <c r="C8" s="902"/>
      <c r="D8" s="2022" t="s">
        <v>156</v>
      </c>
      <c r="E8" s="2023" t="n">
        <f aca="false">связи1!K206</f>
        <v>4.8</v>
      </c>
      <c r="F8" s="2025"/>
      <c r="G8" s="895"/>
      <c r="H8" s="2021"/>
      <c r="I8" s="2021"/>
      <c r="J8" s="2021"/>
      <c r="K8" s="1148"/>
      <c r="L8" s="1148"/>
      <c r="M8" s="1148"/>
      <c r="N8" s="1148"/>
    </row>
    <row r="9" customFormat="false" ht="15.5" hidden="false" customHeight="false" outlineLevel="0" collapsed="false">
      <c r="A9" s="907" t="s">
        <v>3872</v>
      </c>
      <c r="B9" s="907"/>
      <c r="C9" s="907"/>
      <c r="D9" s="2027" t="s">
        <v>1820</v>
      </c>
      <c r="E9" s="2023"/>
      <c r="F9" s="2025" t="s">
        <v>3873</v>
      </c>
      <c r="G9" s="998"/>
      <c r="H9" s="2025"/>
      <c r="I9" s="2028"/>
      <c r="J9" s="2028"/>
      <c r="K9" s="1148"/>
      <c r="L9" s="1148"/>
      <c r="M9" s="1148"/>
      <c r="N9" s="1148"/>
    </row>
    <row r="10" customFormat="false" ht="15.5" hidden="false" customHeight="true" outlineLevel="0" collapsed="false">
      <c r="A10" s="2029" t="s">
        <v>2854</v>
      </c>
      <c r="B10" s="2029"/>
      <c r="C10" s="2029"/>
      <c r="D10" s="2030" t="s">
        <v>120</v>
      </c>
      <c r="E10" s="2031" t="s">
        <v>293</v>
      </c>
      <c r="F10" s="2032"/>
      <c r="G10" s="998"/>
      <c r="H10" s="2025"/>
      <c r="I10" s="2028"/>
      <c r="J10" s="2028"/>
      <c r="K10" s="1148"/>
      <c r="L10" s="1148"/>
      <c r="M10" s="1148"/>
      <c r="N10" s="1148"/>
    </row>
    <row r="11" customFormat="false" ht="15.5" hidden="false" customHeight="false" outlineLevel="0" collapsed="false">
      <c r="A11" s="902" t="s">
        <v>2001</v>
      </c>
      <c r="B11" s="902"/>
      <c r="C11" s="902"/>
      <c r="D11" s="924" t="s">
        <v>156</v>
      </c>
      <c r="E11" s="2023"/>
      <c r="F11" s="2033" t="n">
        <f aca="false">дома!AA38</f>
        <v>7.8</v>
      </c>
      <c r="G11" s="2024" t="s">
        <v>3521</v>
      </c>
      <c r="H11" s="2025"/>
      <c r="I11" s="2028"/>
      <c r="J11" s="2028"/>
      <c r="K11" s="1148"/>
      <c r="L11" s="1148"/>
      <c r="M11" s="1148"/>
      <c r="N11" s="1148"/>
    </row>
    <row r="12" customFormat="false" ht="15.5" hidden="false" customHeight="false" outlineLevel="0" collapsed="false">
      <c r="A12" s="902" t="s">
        <v>2557</v>
      </c>
      <c r="B12" s="902"/>
      <c r="C12" s="902"/>
      <c r="D12" s="924" t="s">
        <v>156</v>
      </c>
      <c r="E12" s="2023"/>
      <c r="F12" s="2033" t="n">
        <f aca="false">дома!AA42</f>
        <v>7.8</v>
      </c>
      <c r="G12" s="2024" t="s">
        <v>3522</v>
      </c>
      <c r="H12" s="2025"/>
      <c r="I12" s="2028"/>
      <c r="J12" s="2028"/>
      <c r="K12" s="1148"/>
      <c r="L12" s="1148"/>
      <c r="M12" s="1148"/>
      <c r="N12" s="1148"/>
    </row>
    <row r="13" customFormat="false" ht="15.5" hidden="false" customHeight="false" outlineLevel="0" collapsed="false">
      <c r="A13" s="902" t="s">
        <v>2558</v>
      </c>
      <c r="B13" s="902"/>
      <c r="C13" s="902"/>
      <c r="D13" s="924" t="s">
        <v>156</v>
      </c>
      <c r="E13" s="2023"/>
      <c r="F13" s="2033" t="n">
        <f aca="false">дома!AA51</f>
        <v>0</v>
      </c>
      <c r="G13" s="2024" t="s">
        <v>3523</v>
      </c>
      <c r="H13" s="2025"/>
      <c r="I13" s="2028"/>
      <c r="J13" s="2028"/>
      <c r="K13" s="1148"/>
      <c r="L13" s="1148"/>
      <c r="M13" s="1148"/>
      <c r="N13" s="1148"/>
    </row>
    <row r="14" customFormat="false" ht="15.5" hidden="false" customHeight="false" outlineLevel="0" collapsed="false">
      <c r="A14" s="1200" t="s">
        <v>1515</v>
      </c>
      <c r="B14" s="1200"/>
      <c r="C14" s="1200"/>
      <c r="D14" s="890" t="s">
        <v>1800</v>
      </c>
      <c r="E14" s="890" t="s">
        <v>293</v>
      </c>
      <c r="F14" s="2031" t="s">
        <v>1802</v>
      </c>
      <c r="G14" s="2034" t="s">
        <v>2866</v>
      </c>
      <c r="H14" s="2024"/>
      <c r="I14" s="2028"/>
      <c r="J14" s="2028"/>
      <c r="K14" s="1148"/>
      <c r="L14" s="1148"/>
      <c r="M14" s="1148"/>
      <c r="N14" s="1148"/>
    </row>
    <row r="15" customFormat="false" ht="15.5" hidden="false" customHeight="false" outlineLevel="0" collapsed="false">
      <c r="A15" s="1372" t="s">
        <v>2902</v>
      </c>
      <c r="B15" s="1372"/>
      <c r="C15" s="1372"/>
      <c r="D15" s="2035" t="n">
        <f aca="false">'Ввод данных'!C68</f>
        <v>1</v>
      </c>
      <c r="E15" s="2023" t="n">
        <f aca="false">'Ввод данных'!D68</f>
        <v>1.2</v>
      </c>
      <c r="F15" s="2033" t="n">
        <f aca="false">'Ввод данных'!E68</f>
        <v>1</v>
      </c>
      <c r="G15" s="903" t="n">
        <f aca="false">D15*E15*F15</f>
        <v>1.2</v>
      </c>
      <c r="H15" s="2024"/>
      <c r="I15" s="2028"/>
      <c r="J15" s="2028"/>
      <c r="K15" s="1148"/>
      <c r="L15" s="1148"/>
      <c r="M15" s="1148"/>
      <c r="N15" s="1148"/>
    </row>
    <row r="16" customFormat="false" ht="15.5" hidden="false" customHeight="false" outlineLevel="0" collapsed="false">
      <c r="A16" s="1372" t="s">
        <v>2903</v>
      </c>
      <c r="B16" s="1372"/>
      <c r="C16" s="1372"/>
      <c r="D16" s="2035" t="n">
        <f aca="false">'Ввод данных'!C69</f>
        <v>0.6</v>
      </c>
      <c r="E16" s="2023" t="n">
        <f aca="false">'Ввод данных'!D69</f>
        <v>0.6</v>
      </c>
      <c r="F16" s="2033" t="n">
        <f aca="false">'Ввод данных'!E69</f>
        <v>0</v>
      </c>
      <c r="G16" s="903" t="n">
        <f aca="false">D16*E16*F16</f>
        <v>0</v>
      </c>
      <c r="H16" s="2024"/>
      <c r="I16" s="2028"/>
      <c r="J16" s="2028"/>
      <c r="K16" s="1148"/>
      <c r="L16" s="1148"/>
      <c r="M16" s="1148"/>
      <c r="N16" s="1148"/>
    </row>
    <row r="17" customFormat="false" ht="15.5" hidden="false" customHeight="false" outlineLevel="0" collapsed="false">
      <c r="A17" s="1372" t="s">
        <v>2904</v>
      </c>
      <c r="B17" s="1372"/>
      <c r="C17" s="1372"/>
      <c r="D17" s="2035" t="n">
        <f aca="false">'Ввод данных'!C70</f>
        <v>1</v>
      </c>
      <c r="E17" s="2023" t="n">
        <f aca="false">'Ввод данных'!D70</f>
        <v>2</v>
      </c>
      <c r="F17" s="2033" t="n">
        <f aca="false">'Ввод данных'!E70</f>
        <v>0</v>
      </c>
      <c r="G17" s="903" t="n">
        <f aca="false">D17*E17*F17</f>
        <v>0</v>
      </c>
      <c r="H17" s="2024"/>
      <c r="I17" s="2028"/>
      <c r="J17" s="2028"/>
      <c r="K17" s="1148"/>
      <c r="L17" s="1148"/>
      <c r="M17" s="1148"/>
      <c r="N17" s="1148"/>
    </row>
    <row r="18" customFormat="false" ht="15.5" hidden="false" customHeight="false" outlineLevel="0" collapsed="false">
      <c r="A18" s="1372" t="s">
        <v>2894</v>
      </c>
      <c r="B18" s="1372"/>
      <c r="C18" s="1372"/>
      <c r="D18" s="2035" t="n">
        <f aca="false">'Ввод данных'!C73</f>
        <v>0.8</v>
      </c>
      <c r="E18" s="2023" t="n">
        <f aca="false">'Ввод данных'!D73</f>
        <v>2.1</v>
      </c>
      <c r="F18" s="2033" t="n">
        <f aca="false">'Ввод данных'!E73</f>
        <v>0</v>
      </c>
      <c r="G18" s="903" t="n">
        <f aca="false">D18*E18*F18</f>
        <v>0</v>
      </c>
      <c r="H18" s="2024"/>
      <c r="I18" s="2028"/>
      <c r="J18" s="2028"/>
      <c r="K18" s="1148"/>
      <c r="L18" s="1148"/>
      <c r="M18" s="1148"/>
      <c r="N18" s="1148"/>
    </row>
    <row r="19" customFormat="false" ht="15.5" hidden="false" customHeight="false" outlineLevel="0" collapsed="false">
      <c r="A19" s="2036" t="s">
        <v>2898</v>
      </c>
      <c r="B19" s="2036"/>
      <c r="C19" s="2036"/>
      <c r="D19" s="2036"/>
      <c r="E19" s="2036"/>
      <c r="F19" s="2036"/>
      <c r="G19" s="903" t="n">
        <f aca="false">SUM(G15:G18)</f>
        <v>1.2</v>
      </c>
      <c r="H19" s="2024"/>
      <c r="I19" s="2028"/>
      <c r="J19" s="2028"/>
      <c r="K19" s="1148"/>
      <c r="L19" s="1148"/>
      <c r="M19" s="1148"/>
      <c r="N19" s="1148"/>
    </row>
    <row r="20" customFormat="false" ht="15.5" hidden="false" customHeight="true" outlineLevel="0" collapsed="false">
      <c r="A20" s="2037" t="s">
        <v>2593</v>
      </c>
      <c r="B20" s="2037"/>
      <c r="C20" s="2037"/>
      <c r="D20" s="900" t="s">
        <v>1800</v>
      </c>
      <c r="E20" s="900" t="s">
        <v>293</v>
      </c>
      <c r="F20" s="900" t="s">
        <v>1802</v>
      </c>
      <c r="G20" s="900" t="s">
        <v>2900</v>
      </c>
      <c r="H20" s="2024"/>
      <c r="I20" s="2028"/>
      <c r="J20" s="2028"/>
      <c r="K20" s="1148"/>
      <c r="L20" s="1148"/>
      <c r="M20" s="1148"/>
      <c r="N20" s="1148"/>
    </row>
    <row r="21" customFormat="false" ht="15.5" hidden="false" customHeight="true" outlineLevel="0" collapsed="false">
      <c r="A21" s="2038" t="s">
        <v>2902</v>
      </c>
      <c r="B21" s="2038"/>
      <c r="C21" s="2038"/>
      <c r="D21" s="2035" t="n">
        <f aca="false">'Ввод данных'!C91</f>
        <v>0.8</v>
      </c>
      <c r="E21" s="2023" t="n">
        <f aca="false">'Ввод данных'!D91</f>
        <v>2.1</v>
      </c>
      <c r="F21" s="2033" t="n">
        <f aca="false">'Ввод данных'!E91</f>
        <v>0</v>
      </c>
      <c r="G21" s="903" t="n">
        <f aca="false">D21*E21*F21</f>
        <v>0</v>
      </c>
      <c r="H21" s="2024"/>
      <c r="I21" s="2028"/>
      <c r="J21" s="2028"/>
      <c r="K21" s="1148"/>
      <c r="L21" s="1148"/>
      <c r="M21" s="1148"/>
      <c r="N21" s="1148"/>
    </row>
    <row r="22" customFormat="false" ht="15.5" hidden="false" customHeight="true" outlineLevel="0" collapsed="false">
      <c r="A22" s="2038" t="s">
        <v>2903</v>
      </c>
      <c r="B22" s="2038"/>
      <c r="C22" s="2038"/>
      <c r="D22" s="2035" t="n">
        <f aca="false">'Ввод данных'!C92</f>
        <v>0.6</v>
      </c>
      <c r="E22" s="2023" t="n">
        <f aca="false">'Ввод данных'!D92</f>
        <v>2</v>
      </c>
      <c r="F22" s="2033" t="n">
        <f aca="false">'Ввод данных'!E92</f>
        <v>0</v>
      </c>
      <c r="G22" s="903" t="n">
        <f aca="false">D22*E22*F22</f>
        <v>0</v>
      </c>
      <c r="H22" s="2024"/>
      <c r="I22" s="2028"/>
      <c r="J22" s="2028"/>
      <c r="K22" s="1148"/>
      <c r="L22" s="1148"/>
      <c r="M22" s="1148"/>
      <c r="N22" s="1148"/>
    </row>
    <row r="23" customFormat="false" ht="15.5" hidden="false" customHeight="true" outlineLevel="0" collapsed="false">
      <c r="A23" s="2038" t="s">
        <v>2904</v>
      </c>
      <c r="B23" s="2038"/>
      <c r="C23" s="2038"/>
      <c r="D23" s="2035" t="n">
        <f aca="false">'Ввод данных'!C95</f>
        <v>0.9</v>
      </c>
      <c r="E23" s="2023" t="n">
        <f aca="false">'Ввод данных'!D95</f>
        <v>2.1</v>
      </c>
      <c r="F23" s="2033" t="n">
        <f aca="false">'Ввод данных'!E95</f>
        <v>0</v>
      </c>
      <c r="G23" s="903" t="n">
        <f aca="false">D23*E23*F23</f>
        <v>0</v>
      </c>
      <c r="H23" s="2024"/>
      <c r="I23" s="2028"/>
      <c r="J23" s="2028"/>
      <c r="K23" s="1148"/>
      <c r="L23" s="1148"/>
      <c r="M23" s="1148"/>
      <c r="N23" s="1148"/>
    </row>
    <row r="24" customFormat="false" ht="15.5" hidden="false" customHeight="true" outlineLevel="0" collapsed="false">
      <c r="A24" s="2038" t="s">
        <v>2905</v>
      </c>
      <c r="B24" s="2038"/>
      <c r="C24" s="2038"/>
      <c r="D24" s="2035" t="n">
        <f aca="false">'Ввод данных'!C99</f>
        <v>0.8</v>
      </c>
      <c r="E24" s="2023" t="n">
        <f aca="false">'Ввод данных'!D99</f>
        <v>2.1</v>
      </c>
      <c r="F24" s="2033" t="n">
        <f aca="false">'Ввод данных'!E99</f>
        <v>0</v>
      </c>
      <c r="G24" s="903" t="n">
        <f aca="false">D24*E24*F24</f>
        <v>0</v>
      </c>
      <c r="H24" s="2024"/>
      <c r="I24" s="2028"/>
      <c r="J24" s="2028"/>
      <c r="K24" s="1148"/>
      <c r="L24" s="1148"/>
      <c r="M24" s="1148"/>
      <c r="N24" s="1148"/>
    </row>
    <row r="25" customFormat="false" ht="15.5" hidden="false" customHeight="false" outlineLevel="0" collapsed="false">
      <c r="A25" s="2036" t="s">
        <v>3874</v>
      </c>
      <c r="B25" s="2036"/>
      <c r="C25" s="2036"/>
      <c r="D25" s="2036"/>
      <c r="E25" s="2036"/>
      <c r="F25" s="2036"/>
      <c r="G25" s="903" t="n">
        <f aca="false">SUM(G21:G24)</f>
        <v>0</v>
      </c>
      <c r="H25" s="2024"/>
      <c r="I25" s="2028"/>
      <c r="J25" s="2028"/>
      <c r="K25" s="1148"/>
      <c r="L25" s="1148"/>
      <c r="M25" s="1148"/>
      <c r="N25" s="1148"/>
    </row>
    <row r="26" customFormat="false" ht="15.5" hidden="false" customHeight="true" outlineLevel="0" collapsed="false">
      <c r="A26" s="2037" t="s">
        <v>1217</v>
      </c>
      <c r="B26" s="2037"/>
      <c r="C26" s="2037"/>
      <c r="D26" s="900" t="s">
        <v>1800</v>
      </c>
      <c r="E26" s="900" t="s">
        <v>293</v>
      </c>
      <c r="F26" s="900" t="s">
        <v>1802</v>
      </c>
      <c r="G26" s="900" t="s">
        <v>2900</v>
      </c>
      <c r="H26" s="2024"/>
      <c r="I26" s="2028"/>
      <c r="J26" s="2028"/>
      <c r="K26" s="1148"/>
      <c r="L26" s="1148"/>
      <c r="M26" s="1148"/>
      <c r="N26" s="1148"/>
    </row>
    <row r="27" customFormat="false" ht="15.5" hidden="false" customHeight="true" outlineLevel="0" collapsed="false">
      <c r="A27" s="2038" t="s">
        <v>2902</v>
      </c>
      <c r="B27" s="2038"/>
      <c r="C27" s="2038"/>
      <c r="D27" s="2035" t="n">
        <f aca="false">'Ввод данных'!C85</f>
        <v>0.8</v>
      </c>
      <c r="E27" s="2023" t="n">
        <f aca="false">'Ввод данных'!D85</f>
        <v>2</v>
      </c>
      <c r="F27" s="2033" t="n">
        <f aca="false">'Ввод данных'!E85</f>
        <v>0</v>
      </c>
      <c r="G27" s="903" t="n">
        <f aca="false">D27*E27*F27</f>
        <v>0</v>
      </c>
      <c r="H27" s="2024"/>
      <c r="I27" s="2028"/>
      <c r="J27" s="2028"/>
      <c r="K27" s="1148"/>
      <c r="L27" s="1148"/>
      <c r="M27" s="1148"/>
      <c r="N27" s="1148"/>
    </row>
    <row r="28" customFormat="false" ht="15.5" hidden="false" customHeight="true" outlineLevel="0" collapsed="false">
      <c r="A28" s="2038" t="s">
        <v>2903</v>
      </c>
      <c r="B28" s="2038"/>
      <c r="C28" s="2038"/>
      <c r="D28" s="2035" t="n">
        <f aca="false">'Ввод данных'!C86</f>
        <v>0.9</v>
      </c>
      <c r="E28" s="2023" t="n">
        <f aca="false">'Ввод данных'!D86</f>
        <v>2.1</v>
      </c>
      <c r="F28" s="2033" t="n">
        <f aca="false">'Ввод данных'!E86</f>
        <v>0</v>
      </c>
      <c r="G28" s="903" t="n">
        <f aca="false">D28*E28*F28</f>
        <v>0</v>
      </c>
      <c r="H28" s="2024"/>
      <c r="I28" s="2028"/>
      <c r="J28" s="2028"/>
      <c r="K28" s="1148"/>
      <c r="L28" s="1148"/>
      <c r="M28" s="1148"/>
      <c r="N28" s="1148"/>
    </row>
    <row r="29" customFormat="false" ht="15.5" hidden="false" customHeight="true" outlineLevel="0" collapsed="false">
      <c r="A29" s="2038" t="s">
        <v>2904</v>
      </c>
      <c r="B29" s="2038"/>
      <c r="C29" s="2038"/>
      <c r="D29" s="2035" t="n">
        <f aca="false">'Ввод данных'!C87</f>
        <v>1</v>
      </c>
      <c r="E29" s="2023" t="n">
        <f aca="false">'Ввод данных'!D87</f>
        <v>2</v>
      </c>
      <c r="F29" s="2033" t="n">
        <f aca="false">'Ввод данных'!E87</f>
        <v>0</v>
      </c>
      <c r="G29" s="903" t="n">
        <f aca="false">D29*E29*F29</f>
        <v>0</v>
      </c>
      <c r="H29" s="2024"/>
      <c r="I29" s="2028"/>
      <c r="J29" s="2028"/>
      <c r="K29" s="1148"/>
      <c r="L29" s="1148"/>
      <c r="M29" s="1148"/>
      <c r="N29" s="1148"/>
    </row>
    <row r="30" customFormat="false" ht="15.5" hidden="false" customHeight="false" outlineLevel="0" collapsed="false">
      <c r="A30" s="2036" t="s">
        <v>2898</v>
      </c>
      <c r="B30" s="2036"/>
      <c r="C30" s="2036"/>
      <c r="D30" s="2036"/>
      <c r="E30" s="2036"/>
      <c r="F30" s="2036"/>
      <c r="G30" s="903" t="n">
        <f aca="false">SUM(G27:G29)</f>
        <v>0</v>
      </c>
      <c r="H30" s="2024"/>
      <c r="I30" s="2028"/>
      <c r="J30" s="2028"/>
      <c r="K30" s="1148"/>
      <c r="L30" s="1148"/>
      <c r="M30" s="1148"/>
      <c r="N30" s="1148"/>
    </row>
    <row r="31" customFormat="false" ht="15.5" hidden="false" customHeight="false" outlineLevel="0" collapsed="false">
      <c r="A31" s="2039"/>
      <c r="B31" s="2039"/>
      <c r="C31" s="2039"/>
      <c r="D31" s="2039"/>
      <c r="E31" s="2025"/>
      <c r="F31" s="2025"/>
      <c r="G31" s="2025"/>
      <c r="H31" s="2028"/>
      <c r="I31" s="2028"/>
      <c r="J31" s="2028"/>
      <c r="K31" s="1148"/>
      <c r="L31" s="1148"/>
      <c r="M31" s="1148"/>
      <c r="N31" s="1148"/>
    </row>
    <row r="32" customFormat="false" ht="15.5" hidden="false" customHeight="false" outlineLevel="0" collapsed="false">
      <c r="A32" s="890" t="s">
        <v>1236</v>
      </c>
      <c r="B32" s="890"/>
      <c r="C32" s="2031" t="s">
        <v>208</v>
      </c>
      <c r="D32" s="2031" t="s">
        <v>853</v>
      </c>
      <c r="E32" s="2040" t="s">
        <v>1802</v>
      </c>
      <c r="F32" s="890" t="s">
        <v>853</v>
      </c>
      <c r="G32" s="2025"/>
      <c r="H32" s="2028"/>
      <c r="I32" s="2028"/>
      <c r="J32" s="2028"/>
      <c r="K32" s="1148"/>
      <c r="L32" s="1148"/>
      <c r="M32" s="1148"/>
      <c r="N32" s="1148"/>
    </row>
    <row r="33" customFormat="false" ht="15.5" hidden="false" customHeight="true" outlineLevel="0" collapsed="false">
      <c r="A33" s="2041" t="s">
        <v>1862</v>
      </c>
      <c r="B33" s="2041"/>
      <c r="C33" s="2042" t="s">
        <v>156</v>
      </c>
      <c r="D33" s="2035" t="n">
        <f aca="false">'Ввод данных'!C112</f>
        <v>6</v>
      </c>
      <c r="E33" s="2023" t="n">
        <f aca="false">'Ввод данных'!D112</f>
        <v>2</v>
      </c>
      <c r="F33" s="903" t="n">
        <f aca="false">D33*E33</f>
        <v>12</v>
      </c>
      <c r="G33" s="2025"/>
      <c r="H33" s="2028"/>
      <c r="I33" s="2028"/>
      <c r="J33" s="2028"/>
      <c r="K33" s="1148"/>
      <c r="L33" s="1148"/>
      <c r="M33" s="1148"/>
      <c r="N33" s="1148"/>
    </row>
    <row r="34" customFormat="false" ht="15.5" hidden="false" customHeight="false" outlineLevel="0" collapsed="false">
      <c r="A34" s="2041"/>
      <c r="B34" s="2041"/>
      <c r="C34" s="2042" t="s">
        <v>156</v>
      </c>
      <c r="D34" s="2035" t="n">
        <f aca="false">'Ввод данных'!C113</f>
        <v>4</v>
      </c>
      <c r="E34" s="2023" t="n">
        <f aca="false">'Ввод данных'!D113</f>
        <v>1</v>
      </c>
      <c r="F34" s="903" t="n">
        <f aca="false">D34*E34</f>
        <v>4</v>
      </c>
      <c r="G34" s="2025"/>
      <c r="H34" s="2028"/>
      <c r="I34" s="2028"/>
      <c r="J34" s="2028"/>
      <c r="K34" s="1148"/>
      <c r="L34" s="1148"/>
      <c r="M34" s="1148"/>
      <c r="N34" s="1148"/>
    </row>
    <row r="35" customFormat="false" ht="15.5" hidden="false" customHeight="false" outlineLevel="0" collapsed="false">
      <c r="A35" s="2041"/>
      <c r="B35" s="2041"/>
      <c r="C35" s="2042" t="s">
        <v>156</v>
      </c>
      <c r="D35" s="2035" t="n">
        <f aca="false">'Ввод данных'!C114</f>
        <v>0</v>
      </c>
      <c r="E35" s="2023" t="n">
        <f aca="false">'Ввод данных'!D114</f>
        <v>0</v>
      </c>
      <c r="F35" s="903" t="n">
        <f aca="false">D35*E35</f>
        <v>0</v>
      </c>
      <c r="G35" s="2025"/>
      <c r="H35" s="2028"/>
      <c r="I35" s="2028"/>
      <c r="J35" s="2028"/>
      <c r="K35" s="1148"/>
      <c r="L35" s="1148"/>
      <c r="M35" s="1148"/>
      <c r="N35" s="1148"/>
    </row>
    <row r="36" customFormat="false" ht="15.5" hidden="false" customHeight="false" outlineLevel="0" collapsed="false">
      <c r="A36" s="2041"/>
      <c r="B36" s="2041"/>
      <c r="C36" s="2042" t="s">
        <v>156</v>
      </c>
      <c r="D36" s="2035" t="n">
        <f aca="false">'Ввод данных'!C115</f>
        <v>0</v>
      </c>
      <c r="E36" s="2023" t="n">
        <f aca="false">'Ввод данных'!D115</f>
        <v>0</v>
      </c>
      <c r="F36" s="903" t="n">
        <f aca="false">D36*E36</f>
        <v>0</v>
      </c>
      <c r="G36" s="2025"/>
      <c r="H36" s="2028"/>
      <c r="I36" s="2028"/>
      <c r="J36" s="2028"/>
      <c r="K36" s="1148"/>
      <c r="L36" s="1148"/>
      <c r="M36" s="1148"/>
      <c r="N36" s="1148"/>
    </row>
    <row r="37" customFormat="false" ht="15.5" hidden="false" customHeight="true" outlineLevel="0" collapsed="false">
      <c r="A37" s="2041" t="s">
        <v>1866</v>
      </c>
      <c r="B37" s="2041"/>
      <c r="C37" s="2042" t="s">
        <v>156</v>
      </c>
      <c r="D37" s="2035" t="n">
        <f aca="false">'Ввод данных'!C116</f>
        <v>1.8</v>
      </c>
      <c r="E37" s="2023" t="n">
        <f aca="false">'Ввод данных'!D116</f>
        <v>1</v>
      </c>
      <c r="F37" s="903" t="n">
        <f aca="false">D37*E37</f>
        <v>1.8</v>
      </c>
      <c r="G37" s="2025"/>
      <c r="H37" s="2028"/>
      <c r="I37" s="2028"/>
      <c r="J37" s="2025"/>
      <c r="K37" s="1148"/>
      <c r="L37" s="1148"/>
      <c r="M37" s="1148"/>
      <c r="N37" s="1148"/>
    </row>
    <row r="38" customFormat="false" ht="15.5" hidden="false" customHeight="false" outlineLevel="0" collapsed="false">
      <c r="A38" s="2041"/>
      <c r="B38" s="2041"/>
      <c r="C38" s="2042" t="s">
        <v>156</v>
      </c>
      <c r="D38" s="2035" t="n">
        <f aca="false">'Ввод данных'!C117</f>
        <v>0</v>
      </c>
      <c r="E38" s="2023" t="n">
        <f aca="false">'Ввод данных'!D117</f>
        <v>0</v>
      </c>
      <c r="F38" s="903" t="n">
        <f aca="false">D38*E38</f>
        <v>0</v>
      </c>
      <c r="G38" s="2025"/>
      <c r="H38" s="2028"/>
      <c r="I38" s="2025"/>
      <c r="J38" s="2025"/>
      <c r="K38" s="1148"/>
      <c r="L38" s="1148"/>
      <c r="M38" s="1148"/>
      <c r="N38" s="1148"/>
    </row>
    <row r="39" customFormat="false" ht="15.5" hidden="false" customHeight="false" outlineLevel="0" collapsed="false">
      <c r="A39" s="2041"/>
      <c r="B39" s="2041"/>
      <c r="C39" s="2042" t="s">
        <v>156</v>
      </c>
      <c r="D39" s="2035" t="n">
        <f aca="false">'Ввод данных'!C118</f>
        <v>0</v>
      </c>
      <c r="E39" s="2023" t="n">
        <f aca="false">'Ввод данных'!D118</f>
        <v>0</v>
      </c>
      <c r="F39" s="903" t="n">
        <f aca="false">D39*E39</f>
        <v>0</v>
      </c>
      <c r="G39" s="2025"/>
      <c r="H39" s="2028"/>
      <c r="I39" s="2028"/>
      <c r="J39" s="2025"/>
      <c r="K39" s="1148"/>
      <c r="L39" s="1148"/>
      <c r="M39" s="1148"/>
      <c r="N39" s="1148"/>
    </row>
    <row r="40" customFormat="false" ht="15.5" hidden="false" customHeight="false" outlineLevel="0" collapsed="false">
      <c r="A40" s="2041"/>
      <c r="B40" s="2041"/>
      <c r="C40" s="2042" t="s">
        <v>156</v>
      </c>
      <c r="D40" s="2035" t="n">
        <f aca="false">'Ввод данных'!C119</f>
        <v>0</v>
      </c>
      <c r="E40" s="2023" t="n">
        <f aca="false">'Ввод данных'!D119</f>
        <v>0</v>
      </c>
      <c r="F40" s="903" t="n">
        <f aca="false">D40*E40</f>
        <v>0</v>
      </c>
      <c r="G40" s="2025"/>
      <c r="H40" s="2028"/>
      <c r="I40" s="2025"/>
      <c r="J40" s="2025"/>
      <c r="K40" s="1148"/>
      <c r="L40" s="1148"/>
      <c r="M40" s="1148"/>
      <c r="N40" s="1148"/>
    </row>
    <row r="41" customFormat="false" ht="15.5" hidden="false" customHeight="true" outlineLevel="0" collapsed="false">
      <c r="A41" s="2041" t="s">
        <v>1867</v>
      </c>
      <c r="B41" s="2041"/>
      <c r="C41" s="2042" t="s">
        <v>156</v>
      </c>
      <c r="D41" s="2035" t="n">
        <f aca="false">'Ввод данных'!C120</f>
        <v>0</v>
      </c>
      <c r="E41" s="2023" t="n">
        <f aca="false">'Ввод данных'!D120</f>
        <v>0</v>
      </c>
      <c r="F41" s="903" t="n">
        <f aca="false">D41*E41</f>
        <v>0</v>
      </c>
      <c r="G41" s="2025"/>
      <c r="H41" s="2028"/>
      <c r="I41" s="2025"/>
      <c r="J41" s="2025"/>
      <c r="K41" s="1148"/>
      <c r="L41" s="1148"/>
      <c r="M41" s="1148"/>
      <c r="N41" s="1148"/>
    </row>
    <row r="42" customFormat="false" ht="15.5" hidden="false" customHeight="false" outlineLevel="0" collapsed="false">
      <c r="A42" s="2041"/>
      <c r="B42" s="2041"/>
      <c r="C42" s="2042" t="s">
        <v>156</v>
      </c>
      <c r="D42" s="2035" t="n">
        <f aca="false">'Ввод данных'!C121</f>
        <v>0</v>
      </c>
      <c r="E42" s="2023" t="n">
        <f aca="false">'Ввод данных'!D121</f>
        <v>0</v>
      </c>
      <c r="F42" s="903" t="n">
        <f aca="false">D42*E42</f>
        <v>0</v>
      </c>
      <c r="G42" s="2025"/>
      <c r="H42" s="2028"/>
      <c r="I42" s="2025"/>
      <c r="J42" s="2025"/>
      <c r="K42" s="1148"/>
      <c r="L42" s="1148"/>
      <c r="M42" s="1148"/>
      <c r="N42" s="1148"/>
    </row>
    <row r="43" customFormat="false" ht="15.5" hidden="false" customHeight="false" outlineLevel="0" collapsed="false">
      <c r="A43" s="2041"/>
      <c r="B43" s="2041"/>
      <c r="C43" s="2042" t="s">
        <v>156</v>
      </c>
      <c r="D43" s="2035" t="n">
        <f aca="false">'Ввод данных'!C122</f>
        <v>0</v>
      </c>
      <c r="E43" s="2023" t="n">
        <f aca="false">'Ввод данных'!D122</f>
        <v>0</v>
      </c>
      <c r="F43" s="903" t="n">
        <f aca="false">D43*E43</f>
        <v>0</v>
      </c>
      <c r="G43" s="2025"/>
      <c r="H43" s="2028"/>
      <c r="I43" s="2024"/>
      <c r="J43" s="2025"/>
      <c r="K43" s="1148"/>
      <c r="L43" s="1148"/>
      <c r="M43" s="1148"/>
      <c r="N43" s="1148"/>
    </row>
    <row r="44" customFormat="false" ht="15.5" hidden="false" customHeight="false" outlineLevel="0" collapsed="false">
      <c r="A44" s="2041"/>
      <c r="B44" s="2041"/>
      <c r="C44" s="2042" t="s">
        <v>156</v>
      </c>
      <c r="D44" s="2035" t="n">
        <f aca="false">'Ввод данных'!C123</f>
        <v>0</v>
      </c>
      <c r="E44" s="2023" t="n">
        <f aca="false">'Ввод данных'!D123</f>
        <v>0</v>
      </c>
      <c r="F44" s="903" t="n">
        <f aca="false">D44*E44</f>
        <v>0</v>
      </c>
      <c r="G44" s="2025"/>
      <c r="H44" s="2028"/>
      <c r="I44" s="2025"/>
      <c r="J44" s="2025"/>
      <c r="K44" s="1148"/>
      <c r="L44" s="1148"/>
      <c r="M44" s="1148"/>
      <c r="N44" s="1148"/>
    </row>
    <row r="45" customFormat="false" ht="15.5" hidden="false" customHeight="true" outlineLevel="0" collapsed="false">
      <c r="A45" s="2041" t="s">
        <v>1869</v>
      </c>
      <c r="B45" s="2041"/>
      <c r="C45" s="2042" t="s">
        <v>156</v>
      </c>
      <c r="D45" s="2035" t="n">
        <f aca="false">'Ввод данных'!C124</f>
        <v>3</v>
      </c>
      <c r="E45" s="2023" t="n">
        <f aca="false">'Ввод данных'!D124</f>
        <v>2</v>
      </c>
      <c r="F45" s="903" t="n">
        <f aca="false">D45*E45</f>
        <v>6</v>
      </c>
      <c r="G45" s="2025"/>
      <c r="H45" s="2028"/>
      <c r="I45" s="2025"/>
      <c r="J45" s="2025"/>
      <c r="K45" s="1148"/>
      <c r="L45" s="1148"/>
      <c r="M45" s="1148"/>
      <c r="N45" s="1148"/>
    </row>
    <row r="46" customFormat="false" ht="15.5" hidden="false" customHeight="false" outlineLevel="0" collapsed="false">
      <c r="A46" s="2041"/>
      <c r="B46" s="2041"/>
      <c r="C46" s="2042" t="s">
        <v>156</v>
      </c>
      <c r="D46" s="2035" t="n">
        <f aca="false">'Ввод данных'!C125</f>
        <v>0</v>
      </c>
      <c r="E46" s="2023" t="n">
        <f aca="false">'Ввод данных'!D125</f>
        <v>0</v>
      </c>
      <c r="F46" s="903" t="n">
        <f aca="false">D46*E46</f>
        <v>0</v>
      </c>
      <c r="G46" s="2025"/>
      <c r="H46" s="2043"/>
      <c r="I46" s="2025"/>
      <c r="J46" s="2025"/>
      <c r="K46" s="1148"/>
      <c r="L46" s="1148"/>
      <c r="M46" s="1148"/>
      <c r="N46" s="1148"/>
    </row>
    <row r="47" customFormat="false" ht="15.5" hidden="false" customHeight="false" outlineLevel="0" collapsed="false">
      <c r="A47" s="2041"/>
      <c r="B47" s="2041"/>
      <c r="C47" s="2042" t="s">
        <v>156</v>
      </c>
      <c r="D47" s="2035" t="n">
        <f aca="false">'Ввод данных'!C126</f>
        <v>0</v>
      </c>
      <c r="E47" s="2023" t="n">
        <f aca="false">'Ввод данных'!D126</f>
        <v>0</v>
      </c>
      <c r="F47" s="903" t="n">
        <f aca="false">D47*E47</f>
        <v>0</v>
      </c>
      <c r="G47" s="2025"/>
      <c r="H47" s="2043"/>
      <c r="I47" s="2025"/>
      <c r="J47" s="2025"/>
      <c r="K47" s="1148"/>
      <c r="L47" s="1148"/>
      <c r="M47" s="1148"/>
      <c r="N47" s="1148"/>
    </row>
    <row r="48" customFormat="false" ht="15.5" hidden="false" customHeight="false" outlineLevel="0" collapsed="false">
      <c r="A48" s="2041"/>
      <c r="B48" s="2041"/>
      <c r="C48" s="2042" t="s">
        <v>156</v>
      </c>
      <c r="D48" s="2035" t="n">
        <f aca="false">'Ввод данных'!C127</f>
        <v>0</v>
      </c>
      <c r="E48" s="2023" t="n">
        <f aca="false">'Ввод данных'!D127</f>
        <v>0</v>
      </c>
      <c r="F48" s="903" t="n">
        <f aca="false">D48*E48</f>
        <v>0</v>
      </c>
      <c r="G48" s="2025"/>
      <c r="H48" s="2043"/>
      <c r="I48" s="2025"/>
      <c r="J48" s="2025"/>
      <c r="K48" s="1148"/>
      <c r="L48" s="1148"/>
      <c r="M48" s="1148"/>
      <c r="N48" s="1148"/>
    </row>
    <row r="49" customFormat="false" ht="15.5" hidden="false" customHeight="true" outlineLevel="0" collapsed="false">
      <c r="A49" s="2041" t="s">
        <v>1870</v>
      </c>
      <c r="B49" s="2041"/>
      <c r="C49" s="2042" t="s">
        <v>156</v>
      </c>
      <c r="D49" s="2035" t="n">
        <f aca="false">'Ввод данных'!C128</f>
        <v>3.5</v>
      </c>
      <c r="E49" s="2023" t="n">
        <f aca="false">'Ввод данных'!D128</f>
        <v>1</v>
      </c>
      <c r="F49" s="903" t="n">
        <f aca="false">D49*E49</f>
        <v>3.5</v>
      </c>
      <c r="G49" s="2044"/>
      <c r="H49" s="2045"/>
      <c r="I49" s="2046" t="s">
        <v>1906</v>
      </c>
      <c r="J49" s="2025"/>
      <c r="K49" s="1148"/>
      <c r="L49" s="1148"/>
      <c r="M49" s="1148"/>
      <c r="N49" s="1148"/>
    </row>
    <row r="50" customFormat="false" ht="15.5" hidden="false" customHeight="false" outlineLevel="0" collapsed="false">
      <c r="A50" s="2041"/>
      <c r="B50" s="2041"/>
      <c r="C50" s="2042" t="s">
        <v>156</v>
      </c>
      <c r="D50" s="2035" t="n">
        <f aca="false">'Ввод данных'!C129</f>
        <v>0</v>
      </c>
      <c r="E50" s="2023" t="n">
        <f aca="false">'Ввод данных'!D129</f>
        <v>0</v>
      </c>
      <c r="F50" s="903" t="n">
        <f aca="false">D50*E50</f>
        <v>0</v>
      </c>
      <c r="G50" s="2044"/>
      <c r="H50" s="2045"/>
      <c r="I50" s="2046"/>
      <c r="J50" s="2025"/>
      <c r="K50" s="1148"/>
      <c r="L50" s="1148"/>
      <c r="M50" s="1148"/>
      <c r="N50" s="1148"/>
    </row>
    <row r="51" customFormat="false" ht="15.5" hidden="false" customHeight="false" outlineLevel="0" collapsed="false">
      <c r="A51" s="2041"/>
      <c r="B51" s="2041"/>
      <c r="C51" s="2042" t="s">
        <v>156</v>
      </c>
      <c r="D51" s="2035" t="n">
        <f aca="false">'Ввод данных'!C130</f>
        <v>0</v>
      </c>
      <c r="E51" s="2023" t="n">
        <f aca="false">'Ввод данных'!D130</f>
        <v>0</v>
      </c>
      <c r="F51" s="903" t="n">
        <f aca="false">D51*E51</f>
        <v>0</v>
      </c>
      <c r="G51" s="2044"/>
      <c r="H51" s="2045"/>
      <c r="I51" s="2046"/>
      <c r="J51" s="2025"/>
      <c r="K51" s="1148"/>
      <c r="L51" s="1148"/>
      <c r="M51" s="1148"/>
      <c r="N51" s="1148"/>
    </row>
    <row r="52" customFormat="false" ht="15.5" hidden="false" customHeight="false" outlineLevel="0" collapsed="false">
      <c r="A52" s="2041"/>
      <c r="B52" s="2041"/>
      <c r="C52" s="2042" t="s">
        <v>156</v>
      </c>
      <c r="D52" s="2035" t="n">
        <f aca="false">'Ввод данных'!C131</f>
        <v>0</v>
      </c>
      <c r="E52" s="2023" t="n">
        <f aca="false">'Ввод данных'!D131</f>
        <v>0</v>
      </c>
      <c r="F52" s="903" t="n">
        <f aca="false">D52*E52</f>
        <v>0</v>
      </c>
      <c r="G52" s="2047"/>
      <c r="H52" s="2047"/>
      <c r="I52" s="2046"/>
      <c r="J52" s="2025"/>
      <c r="K52" s="1148"/>
      <c r="L52" s="1148"/>
      <c r="M52" s="1148"/>
      <c r="N52" s="1148"/>
    </row>
    <row r="53" customFormat="false" ht="15.5" hidden="false" customHeight="true" outlineLevel="0" collapsed="false">
      <c r="A53" s="2041" t="s">
        <v>1872</v>
      </c>
      <c r="B53" s="2041"/>
      <c r="C53" s="2042" t="s">
        <v>156</v>
      </c>
      <c r="D53" s="2035" t="n">
        <f aca="false">'Ввод данных'!C132</f>
        <v>0</v>
      </c>
      <c r="E53" s="2023" t="n">
        <f aca="false">'Ввод данных'!D132</f>
        <v>0</v>
      </c>
      <c r="F53" s="903" t="n">
        <f aca="false">D53*E53</f>
        <v>0</v>
      </c>
      <c r="G53" s="2025"/>
      <c r="H53" s="2043"/>
      <c r="I53" s="2046"/>
      <c r="J53" s="2025"/>
      <c r="K53" s="1148"/>
      <c r="L53" s="1148"/>
      <c r="M53" s="1148"/>
      <c r="N53" s="1148"/>
    </row>
    <row r="54" customFormat="false" ht="15.5" hidden="false" customHeight="false" outlineLevel="0" collapsed="false">
      <c r="A54" s="2041"/>
      <c r="B54" s="2041"/>
      <c r="C54" s="2042" t="s">
        <v>156</v>
      </c>
      <c r="D54" s="2035" t="n">
        <f aca="false">'Ввод данных'!C133</f>
        <v>0</v>
      </c>
      <c r="E54" s="2023" t="n">
        <f aca="false">'Ввод данных'!D133</f>
        <v>0</v>
      </c>
      <c r="F54" s="903" t="n">
        <f aca="false">D54*E54</f>
        <v>0</v>
      </c>
      <c r="G54" s="2025"/>
      <c r="H54" s="2043"/>
      <c r="I54" s="2046"/>
      <c r="J54" s="2025"/>
      <c r="K54" s="1148"/>
      <c r="L54" s="1148"/>
      <c r="M54" s="1148"/>
      <c r="N54" s="1148"/>
    </row>
    <row r="55" customFormat="false" ht="15.5" hidden="false" customHeight="false" outlineLevel="0" collapsed="false">
      <c r="A55" s="2041"/>
      <c r="B55" s="2041"/>
      <c r="C55" s="2042" t="s">
        <v>156</v>
      </c>
      <c r="D55" s="2035" t="n">
        <f aca="false">'Ввод данных'!C134</f>
        <v>0</v>
      </c>
      <c r="E55" s="2023" t="n">
        <f aca="false">'Ввод данных'!D134</f>
        <v>0</v>
      </c>
      <c r="F55" s="903" t="n">
        <f aca="false">D55*E55</f>
        <v>0</v>
      </c>
      <c r="G55" s="2025"/>
      <c r="H55" s="2043"/>
      <c r="I55" s="2046"/>
      <c r="J55" s="2025"/>
      <c r="K55" s="1148"/>
      <c r="L55" s="1148"/>
      <c r="M55" s="1148"/>
      <c r="N55" s="1148"/>
    </row>
    <row r="56" customFormat="false" ht="15.5" hidden="false" customHeight="false" outlineLevel="0" collapsed="false">
      <c r="A56" s="2041"/>
      <c r="B56" s="2041"/>
      <c r="C56" s="2042" t="s">
        <v>156</v>
      </c>
      <c r="D56" s="2035" t="n">
        <f aca="false">'Ввод данных'!C135</f>
        <v>0</v>
      </c>
      <c r="E56" s="2023" t="n">
        <f aca="false">'Ввод данных'!D135</f>
        <v>0</v>
      </c>
      <c r="F56" s="903" t="n">
        <f aca="false">D56*E56</f>
        <v>0</v>
      </c>
      <c r="G56" s="2025"/>
      <c r="H56" s="2048"/>
      <c r="I56" s="2046"/>
      <c r="J56" s="2025"/>
      <c r="K56" s="1148"/>
      <c r="L56" s="1148"/>
      <c r="M56" s="1148"/>
      <c r="N56" s="1148"/>
    </row>
    <row r="57" customFormat="false" ht="15.5" hidden="false" customHeight="true" outlineLevel="0" collapsed="false">
      <c r="A57" s="2041" t="s">
        <v>1875</v>
      </c>
      <c r="B57" s="2041"/>
      <c r="C57" s="2042" t="s">
        <v>156</v>
      </c>
      <c r="D57" s="2035" t="n">
        <f aca="false">'Ввод данных'!C136</f>
        <v>4</v>
      </c>
      <c r="E57" s="2023" t="n">
        <f aca="false">'Ввод данных'!D136</f>
        <v>1</v>
      </c>
      <c r="F57" s="903" t="n">
        <f aca="false">D57*E57</f>
        <v>4</v>
      </c>
      <c r="G57" s="2025"/>
      <c r="H57" s="2048"/>
      <c r="I57" s="2025"/>
      <c r="J57" s="2025"/>
      <c r="K57" s="1148"/>
      <c r="L57" s="1148"/>
      <c r="M57" s="1148"/>
      <c r="N57" s="1148"/>
    </row>
    <row r="58" customFormat="false" ht="15.5" hidden="false" customHeight="false" outlineLevel="0" collapsed="false">
      <c r="A58" s="2041"/>
      <c r="B58" s="2041"/>
      <c r="C58" s="2042" t="s">
        <v>156</v>
      </c>
      <c r="D58" s="2035" t="n">
        <f aca="false">'Ввод данных'!C137</f>
        <v>2</v>
      </c>
      <c r="E58" s="2023" t="n">
        <f aca="false">'Ввод данных'!D137</f>
        <v>1</v>
      </c>
      <c r="F58" s="903" t="n">
        <f aca="false">D58*E58</f>
        <v>2</v>
      </c>
      <c r="G58" s="2025"/>
      <c r="H58" s="2048"/>
      <c r="I58" s="2025"/>
      <c r="J58" s="2025"/>
      <c r="K58" s="1148"/>
      <c r="L58" s="1148"/>
      <c r="M58" s="1148"/>
      <c r="N58" s="1148"/>
    </row>
    <row r="59" customFormat="false" ht="15.5" hidden="false" customHeight="false" outlineLevel="0" collapsed="false">
      <c r="A59" s="2041"/>
      <c r="B59" s="2041"/>
      <c r="C59" s="2042" t="s">
        <v>156</v>
      </c>
      <c r="D59" s="2035" t="n">
        <f aca="false">'Ввод данных'!C138</f>
        <v>3</v>
      </c>
      <c r="E59" s="2023" t="n">
        <f aca="false">'Ввод данных'!D138</f>
        <v>1</v>
      </c>
      <c r="F59" s="903" t="n">
        <f aca="false">D59*E59</f>
        <v>3</v>
      </c>
      <c r="G59" s="2025"/>
      <c r="H59" s="2048"/>
      <c r="I59" s="2025"/>
      <c r="J59" s="2025"/>
      <c r="K59" s="1148"/>
      <c r="L59" s="1148"/>
      <c r="M59" s="1148"/>
      <c r="N59" s="1148"/>
    </row>
    <row r="60" customFormat="false" ht="15.5" hidden="false" customHeight="false" outlineLevel="0" collapsed="false">
      <c r="A60" s="2041"/>
      <c r="B60" s="2041"/>
      <c r="C60" s="2042" t="s">
        <v>156</v>
      </c>
      <c r="D60" s="2035" t="n">
        <f aca="false">'Ввод данных'!C139</f>
        <v>0</v>
      </c>
      <c r="E60" s="2023" t="n">
        <f aca="false">'Ввод данных'!D139</f>
        <v>0</v>
      </c>
      <c r="F60" s="903" t="n">
        <f aca="false">D60*E60</f>
        <v>0</v>
      </c>
      <c r="G60" s="2025"/>
      <c r="H60" s="2048"/>
      <c r="I60" s="2024"/>
      <c r="J60" s="2025"/>
      <c r="K60" s="1148"/>
      <c r="L60" s="1148"/>
      <c r="M60" s="1148"/>
      <c r="N60" s="1148"/>
    </row>
    <row r="61" customFormat="false" ht="15.5" hidden="false" customHeight="true" outlineLevel="0" collapsed="false">
      <c r="A61" s="2041" t="s">
        <v>1880</v>
      </c>
      <c r="B61" s="2041"/>
      <c r="C61" s="2042" t="s">
        <v>156</v>
      </c>
      <c r="D61" s="2035" t="n">
        <f aca="false">'Ввод данных'!C140</f>
        <v>0</v>
      </c>
      <c r="E61" s="2023" t="n">
        <f aca="false">'Ввод данных'!D140</f>
        <v>0</v>
      </c>
      <c r="F61" s="903" t="n">
        <f aca="false">D61*E61</f>
        <v>0</v>
      </c>
      <c r="G61" s="2025"/>
      <c r="H61" s="2048"/>
      <c r="I61" s="2025"/>
      <c r="J61" s="894"/>
      <c r="K61" s="1148"/>
      <c r="L61" s="1148"/>
      <c r="M61" s="1148"/>
      <c r="N61" s="1148"/>
    </row>
    <row r="62" customFormat="false" ht="15.5" hidden="false" customHeight="false" outlineLevel="0" collapsed="false">
      <c r="A62" s="2041"/>
      <c r="B62" s="2041"/>
      <c r="C62" s="2042" t="s">
        <v>156</v>
      </c>
      <c r="D62" s="2035" t="n">
        <f aca="false">'Ввод данных'!C141</f>
        <v>0</v>
      </c>
      <c r="E62" s="2023" t="n">
        <f aca="false">'Ввод данных'!D141</f>
        <v>0</v>
      </c>
      <c r="F62" s="903" t="n">
        <f aca="false">D62*E62</f>
        <v>0</v>
      </c>
      <c r="G62" s="2025"/>
      <c r="H62" s="2048"/>
      <c r="I62" s="2024"/>
      <c r="J62" s="894"/>
      <c r="K62" s="1148"/>
      <c r="L62" s="1148"/>
      <c r="M62" s="1148"/>
      <c r="N62" s="1148"/>
    </row>
    <row r="63" customFormat="false" ht="15.5" hidden="false" customHeight="false" outlineLevel="0" collapsed="false">
      <c r="A63" s="2041"/>
      <c r="B63" s="2041"/>
      <c r="C63" s="2042" t="s">
        <v>156</v>
      </c>
      <c r="D63" s="2035" t="n">
        <f aca="false">'Ввод данных'!C142</f>
        <v>0</v>
      </c>
      <c r="E63" s="2023" t="n">
        <f aca="false">'Ввод данных'!D142</f>
        <v>0</v>
      </c>
      <c r="F63" s="903" t="n">
        <f aca="false">D63*E63</f>
        <v>0</v>
      </c>
      <c r="G63" s="2025"/>
      <c r="H63" s="2048"/>
      <c r="I63" s="2025"/>
      <c r="J63" s="2025"/>
      <c r="K63" s="1148"/>
      <c r="L63" s="1148"/>
      <c r="M63" s="1148"/>
      <c r="N63" s="1148"/>
    </row>
    <row r="64" customFormat="false" ht="15.5" hidden="false" customHeight="false" outlineLevel="0" collapsed="false">
      <c r="A64" s="2041"/>
      <c r="B64" s="2041"/>
      <c r="C64" s="2042" t="s">
        <v>156</v>
      </c>
      <c r="D64" s="2035" t="n">
        <f aca="false">'Ввод данных'!C143</f>
        <v>0</v>
      </c>
      <c r="E64" s="2023" t="n">
        <f aca="false">'Ввод данных'!D143</f>
        <v>0</v>
      </c>
      <c r="F64" s="903" t="n">
        <f aca="false">D64*E64</f>
        <v>0</v>
      </c>
      <c r="G64" s="2025"/>
      <c r="H64" s="2048"/>
      <c r="I64" s="2025"/>
      <c r="J64" s="2025"/>
      <c r="K64" s="1148"/>
      <c r="L64" s="1148"/>
      <c r="M64" s="1148"/>
      <c r="N64" s="1148"/>
    </row>
    <row r="65" customFormat="false" ht="15.5" hidden="false" customHeight="true" outlineLevel="0" collapsed="false">
      <c r="A65" s="2049" t="s">
        <v>3875</v>
      </c>
      <c r="B65" s="2049"/>
      <c r="C65" s="903" t="s">
        <v>133</v>
      </c>
      <c r="D65" s="903" t="n">
        <f aca="false">(E3+E4+E3+E4)*E5+(E3+E4+E3+E4)*E6+(E3/2)*E8*2*E9+(E3+E4+E3+E4)*E11*F11+(E3+E4+E3+E4)*E12*F12+(E3+E4+E3+E4)*E13*F13</f>
        <v>168</v>
      </c>
      <c r="E65" s="894"/>
      <c r="F65" s="894"/>
      <c r="G65" s="2025"/>
      <c r="H65" s="2048"/>
      <c r="I65" s="2025"/>
      <c r="J65" s="2025"/>
      <c r="K65" s="1148"/>
      <c r="L65" s="1148"/>
      <c r="M65" s="1148"/>
      <c r="N65" s="1148"/>
    </row>
    <row r="66" customFormat="false" ht="15.5" hidden="false" customHeight="true" outlineLevel="0" collapsed="false">
      <c r="A66" s="2049" t="s">
        <v>3876</v>
      </c>
      <c r="B66" s="2049"/>
      <c r="C66" s="903" t="s">
        <v>133</v>
      </c>
      <c r="D66" s="903" t="n">
        <f aca="false">D65-G30-G19</f>
        <v>166.8</v>
      </c>
      <c r="E66" s="894"/>
      <c r="F66" s="894"/>
      <c r="G66" s="2025"/>
      <c r="H66" s="2048"/>
      <c r="I66" s="2025"/>
      <c r="J66" s="2025"/>
      <c r="K66" s="1148"/>
      <c r="L66" s="1148"/>
      <c r="M66" s="1148"/>
      <c r="N66" s="1148"/>
    </row>
    <row r="67" customFormat="false" ht="15.5" hidden="false" customHeight="true" outlineLevel="0" collapsed="false">
      <c r="A67" s="2049" t="s">
        <v>2908</v>
      </c>
      <c r="B67" s="2049"/>
      <c r="C67" s="903" t="s">
        <v>133</v>
      </c>
      <c r="D67" s="903" t="e">
        <f aca="false">(F33+F34+F35+F36+F41+F42+F43+F44)*E5+(F49+F50+F51+F52)*(E2-1)*E7+(F57+F58+F59+F60)*((E6+E7)/1.7)*(E2-1)</f>
        <v>#VALUE!</v>
      </c>
      <c r="E67" s="894"/>
      <c r="F67" s="894"/>
      <c r="G67" s="2025"/>
      <c r="H67" s="2048"/>
      <c r="I67" s="2025"/>
      <c r="J67" s="2025"/>
      <c r="K67" s="1148"/>
      <c r="L67" s="1148"/>
      <c r="M67" s="1148"/>
      <c r="N67" s="1148"/>
    </row>
    <row r="68" customFormat="false" ht="15.5" hidden="false" customHeight="true" outlineLevel="0" collapsed="false">
      <c r="A68" s="2049" t="s">
        <v>2909</v>
      </c>
      <c r="B68" s="2049"/>
      <c r="C68" s="903" t="s">
        <v>133</v>
      </c>
      <c r="D68" s="903" t="e">
        <f aca="false">(F37+F38+F39+F40+F45+F46+F47+F48)*E5+(F53+F54+F55+F56)*(E2-1)*E7+(F61+F62+F63+F64)*((E6+E7)/1.7)*(E2-1)</f>
        <v>#VALUE!</v>
      </c>
      <c r="E68" s="894"/>
      <c r="F68" s="894"/>
      <c r="G68" s="2025"/>
      <c r="H68" s="2048"/>
      <c r="I68" s="2025"/>
      <c r="J68" s="2025"/>
      <c r="K68" s="1148"/>
      <c r="L68" s="1148"/>
      <c r="M68" s="1148"/>
      <c r="N68" s="1148"/>
    </row>
    <row r="69" customFormat="false" ht="15.5" hidden="false" customHeight="false" outlineLevel="0" collapsed="false">
      <c r="A69" s="903" t="s">
        <v>2910</v>
      </c>
      <c r="B69" s="903"/>
      <c r="C69" s="903" t="s">
        <v>133</v>
      </c>
      <c r="D69" s="903" t="e">
        <f aca="false">(D68+D67)-G25</f>
        <v>#VALUE!</v>
      </c>
      <c r="E69" s="894"/>
      <c r="F69" s="894"/>
      <c r="G69" s="2025"/>
      <c r="H69" s="2048"/>
      <c r="I69" s="2025"/>
      <c r="J69" s="2025"/>
      <c r="K69" s="1148"/>
      <c r="L69" s="1148"/>
      <c r="M69" s="1148"/>
      <c r="N69" s="1148"/>
    </row>
    <row r="70" customFormat="false" ht="15.5" hidden="false" customHeight="true" outlineLevel="0" collapsed="false">
      <c r="A70" s="2049" t="s">
        <v>3877</v>
      </c>
      <c r="B70" s="2049"/>
      <c r="C70" s="474" t="s">
        <v>133</v>
      </c>
      <c r="D70" s="474" t="e">
        <f aca="false">D66+D69</f>
        <v>#VALUE!</v>
      </c>
      <c r="E70" s="358"/>
      <c r="F70" s="358"/>
      <c r="G70" s="347"/>
      <c r="H70" s="2048"/>
      <c r="I70" s="347"/>
      <c r="J70" s="347"/>
      <c r="K70" s="1148"/>
      <c r="L70" s="1148"/>
      <c r="M70" s="1148"/>
      <c r="N70" s="1148"/>
    </row>
    <row r="71" customFormat="false" ht="15.5" hidden="false" customHeight="false" outlineLevel="0" collapsed="false">
      <c r="A71" s="2050" t="s">
        <v>2635</v>
      </c>
      <c r="B71" s="2050"/>
      <c r="C71" s="2050"/>
      <c r="D71" s="2050"/>
      <c r="E71" s="2050"/>
      <c r="F71" s="2033" t="n">
        <f aca="false">дома!J12</f>
        <v>1</v>
      </c>
      <c r="G71" s="2024" t="s">
        <v>3568</v>
      </c>
      <c r="H71" s="2048"/>
      <c r="I71" s="347"/>
      <c r="J71" s="347"/>
      <c r="K71" s="1148"/>
      <c r="L71" s="1148"/>
      <c r="M71" s="1148"/>
      <c r="N71" s="1148"/>
    </row>
    <row r="72" customFormat="false" ht="15.5" hidden="false" customHeight="false" outlineLevel="0" collapsed="false">
      <c r="A72" s="902" t="s">
        <v>3426</v>
      </c>
      <c r="B72" s="902"/>
      <c r="C72" s="2051" t="s">
        <v>156</v>
      </c>
      <c r="D72" s="2052" t="n">
        <f aca="false">E3+E3+E4+E4+F33+F34+F35+F36+F41+F42+F43+F44</f>
        <v>56</v>
      </c>
      <c r="E72" s="2024"/>
      <c r="F72" s="2024"/>
      <c r="G72" s="1217"/>
      <c r="H72" s="2048"/>
      <c r="I72" s="347"/>
      <c r="J72" s="347"/>
      <c r="K72" s="1148"/>
      <c r="L72" s="1148"/>
      <c r="M72" s="1148"/>
      <c r="N72" s="1148"/>
    </row>
    <row r="73" customFormat="false" ht="15.5" hidden="false" customHeight="false" outlineLevel="0" collapsed="false">
      <c r="A73" s="902" t="s">
        <v>3427</v>
      </c>
      <c r="B73" s="902"/>
      <c r="C73" s="925" t="s">
        <v>133</v>
      </c>
      <c r="D73" s="2053" t="e">
        <f aca="false">E3*E4*E2</f>
        <v>#VALUE!</v>
      </c>
      <c r="E73" s="2024"/>
      <c r="F73" s="2024"/>
      <c r="G73" s="1217"/>
      <c r="H73" s="2048"/>
      <c r="I73" s="347"/>
      <c r="J73" s="347"/>
      <c r="K73" s="1148"/>
      <c r="L73" s="1148"/>
      <c r="M73" s="1148"/>
      <c r="N73" s="1148"/>
    </row>
    <row r="74" customFormat="false" ht="15.5" hidden="false" customHeight="false" outlineLevel="0" collapsed="false">
      <c r="A74" s="2054"/>
      <c r="B74" s="2054"/>
      <c r="C74" s="2055"/>
      <c r="D74" s="2024"/>
      <c r="E74" s="2024"/>
      <c r="F74" s="2024"/>
      <c r="G74" s="1217"/>
      <c r="H74" s="2048"/>
      <c r="I74" s="347"/>
      <c r="J74" s="347"/>
      <c r="K74" s="1148"/>
      <c r="L74" s="1148"/>
      <c r="M74" s="1148"/>
      <c r="N74" s="1148"/>
    </row>
    <row r="75" customFormat="false" ht="15.5" hidden="false" customHeight="false" outlineLevel="0" collapsed="false">
      <c r="A75" s="2056"/>
      <c r="B75" s="2056"/>
      <c r="C75" s="358"/>
      <c r="D75" s="358"/>
      <c r="E75" s="358"/>
      <c r="F75" s="358"/>
      <c r="G75" s="347"/>
      <c r="H75" s="2048"/>
      <c r="I75" s="347"/>
      <c r="J75" s="347"/>
      <c r="K75" s="1148"/>
      <c r="L75" s="1148"/>
      <c r="M75" s="1148"/>
      <c r="N75" s="1148"/>
    </row>
    <row r="76" customFormat="false" ht="15.5" hidden="false" customHeight="false" outlineLevel="0" collapsed="false">
      <c r="A76" s="1160" t="s">
        <v>1925</v>
      </c>
      <c r="B76" s="1160"/>
      <c r="C76" s="1160"/>
      <c r="D76" s="1160"/>
      <c r="E76" s="1160"/>
      <c r="F76" s="1160"/>
      <c r="G76" s="937" t="str">
        <f aca="false">'Ввод данных'!F237</f>
        <v>Не считать</v>
      </c>
      <c r="H76" s="347" t="s">
        <v>3823</v>
      </c>
      <c r="I76" s="347"/>
      <c r="J76" s="347"/>
      <c r="K76" s="1148"/>
      <c r="L76" s="1148"/>
      <c r="M76" s="1148"/>
      <c r="N76" s="1148"/>
    </row>
    <row r="77" customFormat="false" ht="15.5" hidden="false" customHeight="false" outlineLevel="0" collapsed="false">
      <c r="A77" s="795" t="s">
        <v>2705</v>
      </c>
      <c r="B77" s="795"/>
      <c r="C77" s="795"/>
      <c r="D77" s="2057" t="s">
        <v>156</v>
      </c>
      <c r="E77" s="2057" t="n">
        <f aca="false">E80*4+E79*2</f>
        <v>47.7243575218615</v>
      </c>
      <c r="F77" s="2033"/>
      <c r="G77" s="347"/>
      <c r="H77" s="2043"/>
      <c r="I77" s="347"/>
      <c r="J77" s="347"/>
      <c r="K77" s="1148"/>
      <c r="L77" s="1148"/>
      <c r="M77" s="1148"/>
      <c r="N77" s="1148"/>
    </row>
    <row r="78" customFormat="false" ht="15.5" hidden="false" customHeight="false" outlineLevel="0" collapsed="false">
      <c r="A78" s="686" t="s">
        <v>3441</v>
      </c>
      <c r="B78" s="686"/>
      <c r="C78" s="686"/>
      <c r="D78" s="686"/>
      <c r="E78" s="537" t="n">
        <f aca="false">E8</f>
        <v>4.8</v>
      </c>
      <c r="F78" s="347"/>
      <c r="G78" s="347"/>
      <c r="H78" s="2043"/>
      <c r="I78" s="347"/>
      <c r="J78" s="347"/>
      <c r="K78" s="1148"/>
      <c r="L78" s="1148"/>
      <c r="M78" s="1148"/>
      <c r="N78" s="1148"/>
    </row>
    <row r="79" customFormat="false" ht="15.5" hidden="false" customHeight="false" outlineLevel="0" collapsed="false">
      <c r="A79" s="261" t="s">
        <v>2743</v>
      </c>
      <c r="B79" s="261"/>
      <c r="C79" s="261"/>
      <c r="D79" s="265" t="s">
        <v>156</v>
      </c>
      <c r="E79" s="265" t="n">
        <f aca="false">E4</f>
        <v>10</v>
      </c>
      <c r="F79" s="468"/>
      <c r="G79" s="347"/>
      <c r="H79" s="2043"/>
      <c r="I79" s="347"/>
      <c r="J79" s="347"/>
      <c r="K79" s="1148"/>
      <c r="L79" s="1148"/>
      <c r="M79" s="1148"/>
      <c r="N79" s="1148"/>
    </row>
    <row r="80" customFormat="false" ht="15.5" hidden="false" customHeight="false" outlineLevel="0" collapsed="false">
      <c r="A80" s="261" t="s">
        <v>2600</v>
      </c>
      <c r="B80" s="261"/>
      <c r="C80" s="261"/>
      <c r="D80" s="265" t="s">
        <v>156</v>
      </c>
      <c r="E80" s="265" t="n">
        <f aca="false">SQRT((E3/2)*(E3/2)+E8*E8)</f>
        <v>6.93108938046538</v>
      </c>
      <c r="F80" s="468"/>
      <c r="G80" s="347"/>
      <c r="H80" s="2043"/>
      <c r="I80" s="347"/>
      <c r="J80" s="347"/>
      <c r="K80" s="1148"/>
      <c r="L80" s="1148"/>
      <c r="M80" s="1148"/>
      <c r="N80" s="1148"/>
    </row>
    <row r="81" customFormat="false" ht="15.5" hidden="false" customHeight="false" outlineLevel="0" collapsed="false">
      <c r="A81" s="261" t="s">
        <v>1927</v>
      </c>
      <c r="B81" s="261"/>
      <c r="C81" s="261"/>
      <c r="D81" s="265" t="s">
        <v>156</v>
      </c>
      <c r="E81" s="2023" t="n">
        <f aca="false">'Ввод данных'!C206</f>
        <v>0.5</v>
      </c>
      <c r="F81" s="2058"/>
      <c r="G81" s="347"/>
      <c r="H81" s="2043"/>
      <c r="I81" s="347"/>
      <c r="J81" s="347"/>
      <c r="K81" s="1148"/>
      <c r="L81" s="1148"/>
      <c r="M81" s="1148"/>
      <c r="N81" s="1148"/>
    </row>
    <row r="82" customFormat="false" ht="15.5" hidden="false" customHeight="false" outlineLevel="0" collapsed="false">
      <c r="A82" s="261" t="s">
        <v>1896</v>
      </c>
      <c r="B82" s="261"/>
      <c r="C82" s="261"/>
      <c r="D82" s="265" t="s">
        <v>156</v>
      </c>
      <c r="E82" s="2023" t="n">
        <f aca="false">'Ввод данных'!C208</f>
        <v>0.8</v>
      </c>
      <c r="F82" s="2058"/>
      <c r="G82" s="347"/>
      <c r="H82" s="2043"/>
      <c r="I82" s="347"/>
      <c r="J82" s="347"/>
      <c r="K82" s="1148"/>
      <c r="L82" s="1148"/>
      <c r="M82" s="1148"/>
      <c r="N82" s="1148"/>
    </row>
    <row r="83" customFormat="false" ht="15.5" hidden="false" customHeight="false" outlineLevel="0" collapsed="false">
      <c r="A83" s="560" t="s">
        <v>2765</v>
      </c>
      <c r="B83" s="560"/>
      <c r="C83" s="560"/>
      <c r="D83" s="474" t="s">
        <v>156</v>
      </c>
      <c r="E83" s="537" t="n">
        <f aca="false">E80+E82</f>
        <v>7.73108938046538</v>
      </c>
      <c r="F83" s="347"/>
      <c r="G83" s="347"/>
      <c r="H83" s="2043"/>
      <c r="I83" s="347"/>
      <c r="J83" s="347"/>
      <c r="K83" s="1148"/>
      <c r="L83" s="1148"/>
      <c r="M83" s="1148"/>
      <c r="N83" s="1148"/>
    </row>
    <row r="84" customFormat="false" ht="15.5" hidden="false" customHeight="false" outlineLevel="0" collapsed="false">
      <c r="A84" s="560" t="s">
        <v>2768</v>
      </c>
      <c r="B84" s="560"/>
      <c r="C84" s="560"/>
      <c r="D84" s="474" t="s">
        <v>156</v>
      </c>
      <c r="E84" s="537" t="n">
        <f aca="false">E79+E81+E81</f>
        <v>11</v>
      </c>
      <c r="F84" s="347"/>
      <c r="G84" s="347"/>
      <c r="H84" s="2043"/>
      <c r="I84" s="347"/>
      <c r="J84" s="347"/>
      <c r="K84" s="1148"/>
      <c r="L84" s="1148"/>
      <c r="M84" s="1148"/>
      <c r="N84" s="1148"/>
    </row>
    <row r="85" customFormat="false" ht="15.5" hidden="false" customHeight="false" outlineLevel="0" collapsed="false">
      <c r="A85" s="261" t="s">
        <v>2773</v>
      </c>
      <c r="B85" s="261"/>
      <c r="C85" s="261"/>
      <c r="D85" s="265" t="s">
        <v>133</v>
      </c>
      <c r="E85" s="265" t="n">
        <f aca="false">E80*E79*2</f>
        <v>138.621787609308</v>
      </c>
      <c r="F85" s="2058"/>
      <c r="G85" s="347"/>
      <c r="H85" s="2043"/>
      <c r="I85" s="347"/>
      <c r="J85" s="347"/>
      <c r="K85" s="1148"/>
      <c r="L85" s="1148"/>
      <c r="M85" s="1148"/>
      <c r="N85" s="1148"/>
    </row>
    <row r="86" customFormat="false" ht="15.5" hidden="false" customHeight="false" outlineLevel="0" collapsed="false">
      <c r="A86" s="261" t="s">
        <v>2766</v>
      </c>
      <c r="B86" s="261"/>
      <c r="C86" s="261"/>
      <c r="D86" s="265" t="s">
        <v>133</v>
      </c>
      <c r="E86" s="265" t="n">
        <f aca="false">(E80*E81)*4+(E79+E81+E81)*E82*2</f>
        <v>31.4621787609308</v>
      </c>
      <c r="F86" s="601"/>
      <c r="G86" s="347"/>
      <c r="H86" s="2043"/>
      <c r="I86" s="347"/>
      <c r="J86" s="347"/>
      <c r="K86" s="1148"/>
      <c r="L86" s="1148"/>
      <c r="M86" s="1148"/>
      <c r="N86" s="1148"/>
    </row>
    <row r="87" customFormat="false" ht="15.5" hidden="false" customHeight="false" outlineLevel="0" collapsed="false">
      <c r="A87" s="261" t="s">
        <v>2781</v>
      </c>
      <c r="B87" s="261"/>
      <c r="C87" s="261"/>
      <c r="D87" s="265" t="s">
        <v>133</v>
      </c>
      <c r="E87" s="265" t="n">
        <f aca="false">E85+E86</f>
        <v>170.083966370238</v>
      </c>
      <c r="F87" s="601"/>
      <c r="G87" s="347"/>
      <c r="H87" s="2043"/>
      <c r="I87" s="347"/>
      <c r="J87" s="347"/>
      <c r="K87" s="1148"/>
      <c r="L87" s="1148"/>
      <c r="M87" s="1148"/>
      <c r="N87" s="1148"/>
    </row>
    <row r="88" customFormat="false" ht="15.5" hidden="false" customHeight="false" outlineLevel="0" collapsed="false">
      <c r="A88" s="474" t="s">
        <v>2774</v>
      </c>
      <c r="B88" s="474"/>
      <c r="C88" s="474"/>
      <c r="D88" s="474" t="s">
        <v>133</v>
      </c>
      <c r="E88" s="474" t="n">
        <f aca="false">E87*1.2</f>
        <v>204.100759644286</v>
      </c>
      <c r="F88" s="347"/>
      <c r="G88" s="347"/>
      <c r="H88" s="2043"/>
      <c r="I88" s="347"/>
      <c r="J88" s="347"/>
      <c r="K88" s="1148"/>
      <c r="L88" s="1148"/>
      <c r="M88" s="1148"/>
      <c r="N88" s="1148"/>
    </row>
    <row r="89" customFormat="false" ht="15.5" hidden="false" customHeight="false" outlineLevel="0" collapsed="false">
      <c r="A89" s="534" t="s">
        <v>2628</v>
      </c>
      <c r="B89" s="723"/>
      <c r="C89" s="754"/>
      <c r="D89" s="474" t="s">
        <v>1820</v>
      </c>
      <c r="E89" s="474"/>
      <c r="F89" s="2033"/>
      <c r="G89" s="347"/>
      <c r="H89" s="2043"/>
      <c r="I89" s="347"/>
      <c r="J89" s="347"/>
      <c r="K89" s="1148"/>
      <c r="L89" s="1148"/>
      <c r="M89" s="1148"/>
      <c r="N89" s="1148"/>
    </row>
    <row r="90" customFormat="false" ht="15.5" hidden="false" customHeight="false" outlineLevel="0" collapsed="false">
      <c r="A90" s="1021" t="s">
        <v>3518</v>
      </c>
      <c r="B90" s="2059"/>
      <c r="C90" s="2060"/>
      <c r="D90" s="265" t="s">
        <v>156</v>
      </c>
      <c r="E90" s="265" t="n">
        <v>0.15</v>
      </c>
      <c r="F90" s="2033"/>
      <c r="G90" s="347"/>
      <c r="H90" s="2043"/>
      <c r="I90" s="347"/>
      <c r="J90" s="347"/>
      <c r="K90" s="1148"/>
      <c r="L90" s="1148"/>
      <c r="M90" s="1148"/>
      <c r="N90" s="1148"/>
    </row>
    <row r="91" customFormat="false" ht="15.5" hidden="false" customHeight="false" outlineLevel="0" collapsed="false">
      <c r="A91" s="1016"/>
      <c r="B91" s="2061"/>
      <c r="C91" s="2062"/>
      <c r="D91" s="265" t="s">
        <v>156</v>
      </c>
      <c r="E91" s="265" t="n">
        <v>0.2</v>
      </c>
      <c r="F91" s="2033"/>
      <c r="G91" s="347"/>
      <c r="H91" s="2043"/>
      <c r="I91" s="347"/>
      <c r="J91" s="347"/>
      <c r="K91" s="1148"/>
      <c r="L91" s="1148"/>
      <c r="M91" s="1148"/>
      <c r="N91" s="1148"/>
    </row>
    <row r="92" customFormat="false" ht="15.5" hidden="false" customHeight="false" outlineLevel="0" collapsed="false">
      <c r="A92" s="1021" t="s">
        <v>2632</v>
      </c>
      <c r="B92" s="2059"/>
      <c r="C92" s="2060"/>
      <c r="D92" s="265" t="s">
        <v>156</v>
      </c>
      <c r="E92" s="265" t="n">
        <v>0.15</v>
      </c>
      <c r="F92" s="2033"/>
      <c r="G92" s="347"/>
      <c r="H92" s="2043"/>
      <c r="I92" s="347"/>
      <c r="J92" s="347"/>
      <c r="K92" s="1148"/>
      <c r="L92" s="1148"/>
      <c r="M92" s="1148"/>
      <c r="N92" s="1148"/>
    </row>
    <row r="93" customFormat="false" ht="15.5" hidden="false" customHeight="false" outlineLevel="0" collapsed="false">
      <c r="A93" s="1016"/>
      <c r="B93" s="2061"/>
      <c r="C93" s="2062"/>
      <c r="D93" s="265" t="s">
        <v>156</v>
      </c>
      <c r="E93" s="265" t="n">
        <v>0.2</v>
      </c>
      <c r="F93" s="2033"/>
      <c r="G93" s="347"/>
      <c r="H93" s="2043"/>
      <c r="I93" s="347"/>
      <c r="J93" s="347"/>
      <c r="K93" s="1148"/>
      <c r="L93" s="1148"/>
      <c r="M93" s="1148"/>
      <c r="N93" s="1148"/>
    </row>
    <row r="94" customFormat="false" ht="15.5" hidden="false" customHeight="false" outlineLevel="0" collapsed="false">
      <c r="A94" s="347"/>
      <c r="B94" s="347"/>
      <c r="C94" s="347"/>
      <c r="D94" s="347"/>
      <c r="E94" s="347"/>
      <c r="F94" s="347"/>
      <c r="G94" s="347"/>
      <c r="H94" s="2043"/>
      <c r="I94" s="347"/>
      <c r="J94" s="347"/>
      <c r="K94" s="1148"/>
      <c r="L94" s="1148"/>
      <c r="M94" s="1148"/>
      <c r="N94" s="1148"/>
    </row>
    <row r="95" customFormat="false" ht="15.5" hidden="false" customHeight="false" outlineLevel="0" collapsed="false">
      <c r="A95" s="347"/>
      <c r="B95" s="347"/>
      <c r="C95" s="347"/>
      <c r="D95" s="347"/>
      <c r="E95" s="347"/>
      <c r="F95" s="347"/>
      <c r="G95" s="347"/>
      <c r="H95" s="2043"/>
      <c r="I95" s="347"/>
      <c r="J95" s="347"/>
      <c r="K95" s="1148"/>
      <c r="L95" s="1148"/>
      <c r="M95" s="1148"/>
      <c r="N95" s="1148"/>
    </row>
    <row r="96" customFormat="false" ht="15.5" hidden="false" customHeight="false" outlineLevel="0" collapsed="false">
      <c r="A96" s="1160" t="s">
        <v>1942</v>
      </c>
      <c r="B96" s="1160"/>
      <c r="C96" s="1160"/>
      <c r="D96" s="1160"/>
      <c r="E96" s="1160"/>
      <c r="F96" s="1160"/>
      <c r="G96" s="937" t="str">
        <f aca="false">'Ввод данных'!F273</f>
        <v>Не считать</v>
      </c>
      <c r="H96" s="347" t="s">
        <v>3878</v>
      </c>
      <c r="I96" s="347"/>
      <c r="J96" s="347"/>
      <c r="K96" s="1148"/>
      <c r="L96" s="1148"/>
      <c r="M96" s="1148"/>
      <c r="N96" s="1148"/>
    </row>
    <row r="97" customFormat="false" ht="23.5" hidden="false" customHeight="false" outlineLevel="0" collapsed="false">
      <c r="A97" s="795" t="s">
        <v>2705</v>
      </c>
      <c r="B97" s="795"/>
      <c r="C97" s="795"/>
      <c r="D97" s="1185" t="s">
        <v>156</v>
      </c>
      <c r="E97" s="2063" t="n">
        <f aca="false">E3+E4+E3+E4</f>
        <v>40</v>
      </c>
      <c r="F97" s="2064"/>
      <c r="G97" s="2065"/>
      <c r="H97" s="2043"/>
      <c r="I97" s="347"/>
      <c r="J97" s="347"/>
      <c r="K97" s="1148"/>
      <c r="L97" s="1148"/>
      <c r="M97" s="1148"/>
      <c r="N97" s="1148"/>
    </row>
    <row r="98" customFormat="false" ht="15.5" hidden="false" customHeight="false" outlineLevel="0" collapsed="false">
      <c r="A98" s="560" t="s">
        <v>2739</v>
      </c>
      <c r="B98" s="560"/>
      <c r="C98" s="560"/>
      <c r="D98" s="680" t="s">
        <v>156</v>
      </c>
      <c r="E98" s="2066" t="n">
        <f aca="false">E4</f>
        <v>10</v>
      </c>
      <c r="F98" s="347"/>
      <c r="G98" s="347"/>
      <c r="H98" s="2067"/>
      <c r="I98" s="347"/>
      <c r="J98" s="347"/>
      <c r="K98" s="1148"/>
      <c r="L98" s="1148"/>
      <c r="M98" s="1148"/>
      <c r="N98" s="1148"/>
    </row>
    <row r="99" customFormat="false" ht="15.5" hidden="false" customHeight="false" outlineLevel="0" collapsed="false">
      <c r="A99" s="560" t="s">
        <v>2744</v>
      </c>
      <c r="B99" s="560"/>
      <c r="C99" s="560"/>
      <c r="D99" s="680" t="s">
        <v>156</v>
      </c>
      <c r="E99" s="2066" t="n">
        <f aca="false">E3</f>
        <v>10</v>
      </c>
      <c r="F99" s="351"/>
      <c r="G99" s="351"/>
      <c r="H99" s="2067"/>
      <c r="I99" s="347"/>
      <c r="J99" s="347"/>
      <c r="K99" s="1148"/>
      <c r="L99" s="1148"/>
      <c r="M99" s="1148"/>
      <c r="N99" s="1148"/>
    </row>
    <row r="100" customFormat="false" ht="15.5" hidden="false" customHeight="false" outlineLevel="0" collapsed="false">
      <c r="A100" s="686" t="s">
        <v>3441</v>
      </c>
      <c r="B100" s="686"/>
      <c r="C100" s="686"/>
      <c r="D100" s="686"/>
      <c r="E100" s="2066" t="n">
        <f aca="false">E8</f>
        <v>4.8</v>
      </c>
      <c r="F100" s="351"/>
      <c r="G100" s="351"/>
      <c r="H100" s="2067"/>
      <c r="I100" s="347"/>
      <c r="J100" s="347"/>
      <c r="K100" s="1148"/>
      <c r="L100" s="1148"/>
      <c r="M100" s="1148"/>
      <c r="N100" s="1148"/>
    </row>
    <row r="101" customFormat="false" ht="15.5" hidden="false" customHeight="false" outlineLevel="0" collapsed="false">
      <c r="A101" s="261" t="s">
        <v>1943</v>
      </c>
      <c r="B101" s="261"/>
      <c r="C101" s="261"/>
      <c r="D101" s="263" t="s">
        <v>156</v>
      </c>
      <c r="E101" s="2023" t="n">
        <f aca="false">'Ввод данных'!C248</f>
        <v>5</v>
      </c>
      <c r="F101" s="1954"/>
      <c r="G101" s="1954"/>
      <c r="H101" s="2067"/>
      <c r="I101" s="347"/>
      <c r="J101" s="347"/>
      <c r="K101" s="1148"/>
      <c r="L101" s="1148"/>
      <c r="M101" s="1148"/>
      <c r="N101" s="1148"/>
    </row>
    <row r="102" customFormat="false" ht="15.5" hidden="false" customHeight="false" outlineLevel="0" collapsed="false">
      <c r="A102" s="261" t="s">
        <v>2752</v>
      </c>
      <c r="B102" s="261"/>
      <c r="C102" s="261"/>
      <c r="D102" s="263" t="s">
        <v>156</v>
      </c>
      <c r="E102" s="2068" t="n">
        <f aca="false">SQRT(E100*E100+((E99/2)+E104)*((E99/2)+E104))</f>
        <v>7.3</v>
      </c>
      <c r="F102" s="1954"/>
      <c r="G102" s="1954"/>
      <c r="H102" s="2067"/>
      <c r="I102" s="347"/>
      <c r="J102" s="347"/>
      <c r="K102" s="1148"/>
      <c r="L102" s="1148"/>
      <c r="M102" s="1148"/>
      <c r="N102" s="1148"/>
    </row>
    <row r="103" customFormat="false" ht="15.5" hidden="false" customHeight="false" outlineLevel="0" collapsed="false">
      <c r="A103" s="261" t="s">
        <v>2755</v>
      </c>
      <c r="B103" s="261"/>
      <c r="C103" s="261"/>
      <c r="D103" s="263" t="s">
        <v>156</v>
      </c>
      <c r="E103" s="2068" t="n">
        <f aca="false">SQRT(E100*E100+((E98-E101)/2)*((E98-E101)/2))</f>
        <v>5.41202365109392</v>
      </c>
      <c r="F103" s="2069"/>
      <c r="G103" s="2070"/>
      <c r="H103" s="2067"/>
      <c r="I103" s="347"/>
      <c r="J103" s="347"/>
      <c r="K103" s="1148"/>
      <c r="L103" s="1148"/>
      <c r="M103" s="1148"/>
      <c r="N103" s="1148"/>
    </row>
    <row r="104" customFormat="false" ht="15.5" hidden="false" customHeight="false" outlineLevel="0" collapsed="false">
      <c r="A104" s="261" t="s">
        <v>1927</v>
      </c>
      <c r="B104" s="261"/>
      <c r="C104" s="261"/>
      <c r="D104" s="263" t="s">
        <v>156</v>
      </c>
      <c r="E104" s="2023" t="n">
        <f aca="false">'Ввод данных'!C249</f>
        <v>0.5</v>
      </c>
      <c r="F104" s="2069"/>
      <c r="G104" s="2070"/>
      <c r="H104" s="2067"/>
      <c r="I104" s="347"/>
      <c r="J104" s="347"/>
      <c r="K104" s="1148"/>
      <c r="L104" s="1148"/>
      <c r="M104" s="1148"/>
      <c r="N104" s="1148"/>
    </row>
    <row r="105" customFormat="false" ht="15.5" hidden="false" customHeight="false" outlineLevel="0" collapsed="false">
      <c r="A105" s="261" t="s">
        <v>1896</v>
      </c>
      <c r="B105" s="261"/>
      <c r="C105" s="261"/>
      <c r="D105" s="263" t="s">
        <v>156</v>
      </c>
      <c r="E105" s="2023" t="n">
        <f aca="false">'Ввод данных'!C250</f>
        <v>0.5</v>
      </c>
      <c r="F105" s="2069"/>
      <c r="G105" s="2070"/>
      <c r="H105" s="2067"/>
      <c r="I105" s="347"/>
      <c r="J105" s="347"/>
      <c r="K105" s="1148"/>
      <c r="L105" s="1148"/>
      <c r="M105" s="1148"/>
      <c r="N105" s="1148"/>
    </row>
    <row r="106" customFormat="false" ht="15.5" hidden="false" customHeight="false" outlineLevel="0" collapsed="false">
      <c r="A106" s="560" t="s">
        <v>2757</v>
      </c>
      <c r="B106" s="560"/>
      <c r="C106" s="560"/>
      <c r="D106" s="680" t="s">
        <v>156</v>
      </c>
      <c r="E106" s="2066" t="n">
        <f aca="false">SQRT(G103*G103+((E99/2)+E104)*((E99/2)+E104))</f>
        <v>5.5</v>
      </c>
      <c r="F106" s="351"/>
      <c r="G106" s="351"/>
      <c r="H106" s="2067"/>
      <c r="I106" s="347"/>
      <c r="J106" s="347"/>
      <c r="K106" s="1148"/>
      <c r="L106" s="1148"/>
      <c r="M106" s="1148"/>
      <c r="N106" s="1148"/>
    </row>
    <row r="107" customFormat="false" ht="15.5" hidden="false" customHeight="false" outlineLevel="0" collapsed="false">
      <c r="A107" s="261" t="s">
        <v>2766</v>
      </c>
      <c r="B107" s="261"/>
      <c r="C107" s="261"/>
      <c r="D107" s="263" t="s">
        <v>133</v>
      </c>
      <c r="E107" s="2068" t="n">
        <f aca="false">(E99+E104+E104)*E105*2+E98*2*E104</f>
        <v>21</v>
      </c>
      <c r="F107" s="2071"/>
      <c r="G107" s="2070"/>
      <c r="H107" s="2067"/>
      <c r="I107" s="347"/>
      <c r="J107" s="347"/>
      <c r="K107" s="1148"/>
      <c r="L107" s="1148"/>
      <c r="M107" s="1148"/>
      <c r="N107" s="1148"/>
    </row>
    <row r="108" customFormat="false" ht="15.5" hidden="false" customHeight="false" outlineLevel="0" collapsed="false">
      <c r="A108" s="261" t="s">
        <v>2769</v>
      </c>
      <c r="B108" s="261"/>
      <c r="C108" s="261"/>
      <c r="D108" s="680" t="s">
        <v>133</v>
      </c>
      <c r="E108" s="2066" t="n">
        <f aca="false">((E99/2)+E104)*E103*2+((E98+E105+E105-E101)/2)*((E98+E105+E105-E101)/2)*4+E101*E102*2</f>
        <v>168.532260162033</v>
      </c>
      <c r="F108" s="347"/>
      <c r="G108" s="347"/>
      <c r="H108" s="2067"/>
      <c r="I108" s="347"/>
      <c r="J108" s="347"/>
      <c r="K108" s="1148"/>
      <c r="L108" s="1148"/>
      <c r="M108" s="1148"/>
      <c r="N108" s="1148"/>
    </row>
    <row r="109" customFormat="false" ht="15.5" hidden="false" customHeight="false" outlineLevel="0" collapsed="false">
      <c r="A109" s="261" t="s">
        <v>2774</v>
      </c>
      <c r="B109" s="261"/>
      <c r="C109" s="261"/>
      <c r="D109" s="263" t="s">
        <v>133</v>
      </c>
      <c r="E109" s="2068" t="n">
        <f aca="false">E108*1.5</f>
        <v>252.79839024305</v>
      </c>
      <c r="F109" s="2033"/>
      <c r="G109" s="2070"/>
      <c r="H109" s="2067"/>
      <c r="I109" s="347"/>
      <c r="J109" s="347"/>
      <c r="K109" s="1148"/>
      <c r="L109" s="1148"/>
      <c r="M109" s="1148"/>
      <c r="N109" s="1148"/>
    </row>
    <row r="110" customFormat="false" ht="15.5" hidden="false" customHeight="false" outlineLevel="0" collapsed="false">
      <c r="A110" s="560" t="s">
        <v>2628</v>
      </c>
      <c r="B110" s="560"/>
      <c r="C110" s="560"/>
      <c r="D110" s="560" t="s">
        <v>1820</v>
      </c>
      <c r="E110" s="2066"/>
      <c r="F110" s="2033"/>
      <c r="G110" s="2070"/>
      <c r="H110" s="2067"/>
      <c r="I110" s="347"/>
      <c r="J110" s="347"/>
      <c r="K110" s="1148"/>
      <c r="L110" s="1148"/>
      <c r="M110" s="1148"/>
      <c r="N110" s="1148"/>
    </row>
    <row r="111" customFormat="false" ht="15.5" hidden="false" customHeight="false" outlineLevel="0" collapsed="false">
      <c r="A111" s="263" t="s">
        <v>3518</v>
      </c>
      <c r="B111" s="263"/>
      <c r="C111" s="263"/>
      <c r="D111" s="265" t="s">
        <v>156</v>
      </c>
      <c r="E111" s="1017" t="n">
        <v>0.15</v>
      </c>
      <c r="F111" s="2033"/>
      <c r="G111" s="2070"/>
      <c r="H111" s="2067"/>
      <c r="I111" s="347"/>
      <c r="J111" s="347"/>
      <c r="K111" s="1148"/>
      <c r="L111" s="1148"/>
      <c r="M111" s="1148"/>
      <c r="N111" s="1148"/>
    </row>
    <row r="112" customFormat="false" ht="15.5" hidden="false" customHeight="false" outlineLevel="0" collapsed="false">
      <c r="A112" s="263"/>
      <c r="B112" s="263"/>
      <c r="C112" s="263"/>
      <c r="D112" s="265" t="s">
        <v>156</v>
      </c>
      <c r="E112" s="1017" t="n">
        <v>0.2</v>
      </c>
      <c r="F112" s="2033"/>
      <c r="G112" s="2070"/>
      <c r="H112" s="2067"/>
      <c r="I112" s="347"/>
      <c r="J112" s="347"/>
      <c r="K112" s="1148"/>
      <c r="L112" s="1148"/>
      <c r="M112" s="1148"/>
      <c r="N112" s="1148"/>
    </row>
    <row r="113" customFormat="false" ht="15.5" hidden="false" customHeight="false" outlineLevel="0" collapsed="false">
      <c r="A113" s="263" t="s">
        <v>2632</v>
      </c>
      <c r="B113" s="263"/>
      <c r="C113" s="263"/>
      <c r="D113" s="265" t="s">
        <v>156</v>
      </c>
      <c r="E113" s="1017" t="n">
        <v>0.15</v>
      </c>
      <c r="F113" s="2033"/>
      <c r="G113" s="2070"/>
      <c r="H113" s="2043"/>
      <c r="I113" s="347"/>
      <c r="J113" s="347"/>
      <c r="K113" s="1148"/>
      <c r="L113" s="1148"/>
      <c r="M113" s="1148"/>
      <c r="N113" s="1148"/>
    </row>
    <row r="114" customFormat="false" ht="15.5" hidden="false" customHeight="false" outlineLevel="0" collapsed="false">
      <c r="A114" s="263"/>
      <c r="B114" s="263"/>
      <c r="C114" s="263"/>
      <c r="D114" s="265" t="s">
        <v>156</v>
      </c>
      <c r="E114" s="1017" t="n">
        <v>0.2</v>
      </c>
      <c r="F114" s="2033"/>
      <c r="G114" s="2070"/>
      <c r="H114" s="2043"/>
      <c r="I114" s="347"/>
      <c r="J114" s="347"/>
      <c r="K114" s="1148"/>
      <c r="L114" s="1148"/>
      <c r="M114" s="1148"/>
      <c r="N114" s="1148"/>
    </row>
    <row r="115" customFormat="false" ht="15.5" hidden="false" customHeight="false" outlineLevel="0" collapsed="false">
      <c r="A115" s="477"/>
      <c r="B115" s="477"/>
      <c r="C115" s="477"/>
      <c r="D115" s="479"/>
      <c r="E115" s="501"/>
      <c r="F115" s="504"/>
      <c r="G115" s="2070"/>
      <c r="H115" s="2043"/>
      <c r="I115" s="347"/>
      <c r="J115" s="347"/>
      <c r="K115" s="1148"/>
      <c r="L115" s="1148"/>
      <c r="M115" s="1148"/>
      <c r="N115" s="1148"/>
    </row>
    <row r="116" customFormat="false" ht="15.5" hidden="false" customHeight="false" outlineLevel="0" collapsed="false">
      <c r="A116" s="477"/>
      <c r="B116" s="477"/>
      <c r="C116" s="477"/>
      <c r="D116" s="479"/>
      <c r="E116" s="501"/>
      <c r="F116" s="504"/>
      <c r="G116" s="2070"/>
      <c r="H116" s="2043"/>
      <c r="I116" s="347"/>
      <c r="J116" s="347"/>
      <c r="K116" s="1148"/>
      <c r="L116" s="1148"/>
      <c r="M116" s="1148"/>
      <c r="N116" s="1148"/>
    </row>
    <row r="117" customFormat="false" ht="15.5" hidden="false" customHeight="false" outlineLevel="0" collapsed="false">
      <c r="A117" s="347"/>
      <c r="B117" s="347"/>
      <c r="C117" s="347"/>
      <c r="D117" s="347"/>
      <c r="E117" s="347"/>
      <c r="F117" s="347"/>
      <c r="G117" s="2070"/>
      <c r="H117" s="2043"/>
      <c r="I117" s="347"/>
      <c r="J117" s="347"/>
      <c r="K117" s="1148"/>
      <c r="L117" s="1148"/>
      <c r="M117" s="1148"/>
      <c r="N117" s="1148"/>
    </row>
    <row r="118" customFormat="false" ht="15.5" hidden="false" customHeight="false" outlineLevel="0" collapsed="false">
      <c r="A118" s="479"/>
      <c r="B118" s="479"/>
      <c r="C118" s="905"/>
      <c r="D118" s="2072"/>
      <c r="E118" s="2072"/>
      <c r="F118" s="358"/>
      <c r="G118" s="347"/>
      <c r="H118" s="2067"/>
      <c r="I118" s="347"/>
      <c r="J118" s="347"/>
      <c r="K118" s="1148"/>
      <c r="L118" s="1148"/>
      <c r="M118" s="1148"/>
      <c r="N118" s="1148"/>
    </row>
    <row r="119" customFormat="false" ht="15.5" hidden="false" customHeight="false" outlineLevel="0" collapsed="false">
      <c r="A119" s="1160" t="s">
        <v>1965</v>
      </c>
      <c r="B119" s="1160"/>
      <c r="C119" s="1160"/>
      <c r="D119" s="1160"/>
      <c r="E119" s="1160"/>
      <c r="F119" s="1160"/>
      <c r="G119" s="937" t="str">
        <f aca="false">'Ввод данных'!F353</f>
        <v>Не считать</v>
      </c>
      <c r="H119" s="347" t="s">
        <v>3879</v>
      </c>
      <c r="I119" s="347"/>
      <c r="J119" s="347"/>
      <c r="K119" s="1148"/>
      <c r="L119" s="1148"/>
      <c r="M119" s="1148"/>
      <c r="N119" s="1148"/>
    </row>
    <row r="120" customFormat="false" ht="15.5" hidden="false" customHeight="false" outlineLevel="0" collapsed="false">
      <c r="A120" s="1160" t="s">
        <v>1236</v>
      </c>
      <c r="B120" s="1160"/>
      <c r="C120" s="1160"/>
      <c r="D120" s="1160" t="s">
        <v>120</v>
      </c>
      <c r="E120" s="1160" t="s">
        <v>1802</v>
      </c>
      <c r="F120" s="1160"/>
      <c r="G120" s="358"/>
      <c r="H120" s="347"/>
      <c r="I120" s="347"/>
      <c r="J120" s="347"/>
      <c r="K120" s="1148"/>
      <c r="L120" s="1148"/>
      <c r="M120" s="1148"/>
      <c r="N120" s="1148"/>
    </row>
    <row r="121" customFormat="false" ht="15.5" hidden="false" customHeight="false" outlineLevel="0" collapsed="false">
      <c r="A121" s="560" t="s">
        <v>2902</v>
      </c>
      <c r="B121" s="560"/>
      <c r="C121" s="560"/>
      <c r="D121" s="680" t="s">
        <v>159</v>
      </c>
      <c r="E121" s="474" t="n">
        <v>1</v>
      </c>
      <c r="F121" s="2033" t="e">
        <f aca="false">'ввод данных'!#ref!</f>
        <v>#VALUE!</v>
      </c>
      <c r="G121" s="347"/>
      <c r="H121" s="347"/>
      <c r="I121" s="347"/>
      <c r="J121" s="347"/>
      <c r="K121" s="1148"/>
      <c r="L121" s="1148"/>
      <c r="M121" s="1148"/>
      <c r="N121" s="1148"/>
    </row>
    <row r="122" customFormat="false" ht="23.5" hidden="false" customHeight="false" outlineLevel="0" collapsed="false">
      <c r="A122" s="1973" t="s">
        <v>2903</v>
      </c>
      <c r="B122" s="1973"/>
      <c r="C122" s="1973"/>
      <c r="D122" s="1185" t="s">
        <v>159</v>
      </c>
      <c r="E122" s="2073" t="n">
        <v>1</v>
      </c>
      <c r="F122" s="2033" t="e">
        <f aca="false">'ввод данных'!#ref!</f>
        <v>#VALUE!</v>
      </c>
      <c r="G122" s="2065"/>
      <c r="H122" s="2043"/>
      <c r="I122" s="347"/>
      <c r="J122" s="347"/>
      <c r="K122" s="1148"/>
      <c r="L122" s="1148"/>
      <c r="M122" s="1148"/>
      <c r="N122" s="1148"/>
    </row>
    <row r="123" customFormat="false" ht="15.5" hidden="false" customHeight="false" outlineLevel="0" collapsed="false">
      <c r="A123" s="560" t="s">
        <v>1978</v>
      </c>
      <c r="B123" s="560"/>
      <c r="C123" s="560"/>
      <c r="D123" s="680" t="s">
        <v>156</v>
      </c>
      <c r="E123" s="2023" t="n">
        <f aca="false">'Ввод данных'!C331</f>
        <v>1</v>
      </c>
      <c r="F123" s="347"/>
      <c r="G123" s="347"/>
      <c r="H123" s="2067"/>
      <c r="I123" s="347"/>
      <c r="J123" s="347"/>
      <c r="K123" s="1148"/>
      <c r="L123" s="1148"/>
      <c r="M123" s="1148"/>
      <c r="N123" s="1148"/>
    </row>
    <row r="124" customFormat="false" ht="15.5" hidden="false" customHeight="false" outlineLevel="0" collapsed="false">
      <c r="A124" s="560" t="s">
        <v>1979</v>
      </c>
      <c r="B124" s="560"/>
      <c r="C124" s="560"/>
      <c r="D124" s="680" t="s">
        <v>156</v>
      </c>
      <c r="E124" s="2023" t="n">
        <f aca="false">'Ввод данных'!C332</f>
        <v>2</v>
      </c>
      <c r="F124" s="351"/>
      <c r="G124" s="351"/>
      <c r="H124" s="2067"/>
      <c r="I124" s="347"/>
      <c r="J124" s="347"/>
      <c r="K124" s="2021"/>
      <c r="L124" s="1148"/>
      <c r="M124" s="1148"/>
      <c r="N124" s="1148"/>
    </row>
    <row r="125" customFormat="false" ht="15.5" hidden="false" customHeight="false" outlineLevel="0" collapsed="false">
      <c r="A125" s="2074" t="s">
        <v>3500</v>
      </c>
      <c r="B125" s="2074"/>
      <c r="C125" s="2074"/>
      <c r="D125" s="725" t="s">
        <v>156</v>
      </c>
      <c r="E125" s="2023" t="n">
        <f aca="false">'Ввод данных'!C329</f>
        <v>2</v>
      </c>
      <c r="F125" s="351"/>
      <c r="G125" s="351"/>
      <c r="H125" s="2067"/>
      <c r="I125" s="347"/>
      <c r="J125" s="347"/>
      <c r="K125" s="2024"/>
      <c r="L125" s="1148"/>
      <c r="M125" s="1148"/>
      <c r="N125" s="1148"/>
    </row>
    <row r="126" customFormat="false" ht="15.5" hidden="false" customHeight="false" outlineLevel="0" collapsed="false">
      <c r="A126" s="261" t="s">
        <v>1943</v>
      </c>
      <c r="B126" s="261"/>
      <c r="C126" s="261"/>
      <c r="D126" s="263" t="s">
        <v>156</v>
      </c>
      <c r="E126" s="2023" t="n">
        <f aca="false">'Ввод данных'!C333</f>
        <v>2</v>
      </c>
      <c r="F126" s="1954"/>
      <c r="G126" s="1954"/>
      <c r="H126" s="2067"/>
      <c r="I126" s="347"/>
      <c r="J126" s="347"/>
      <c r="K126" s="2024"/>
      <c r="L126" s="1148"/>
      <c r="M126" s="1148"/>
      <c r="N126" s="1148"/>
    </row>
    <row r="127" customFormat="false" ht="15.5" hidden="false" customHeight="false" outlineLevel="0" collapsed="false">
      <c r="A127" s="261" t="s">
        <v>3504</v>
      </c>
      <c r="B127" s="261"/>
      <c r="C127" s="261"/>
      <c r="D127" s="263" t="s">
        <v>156</v>
      </c>
      <c r="E127" s="2068" t="n">
        <f aca="false">SQRT((E124/2)*(E124/2)+E125*E125)</f>
        <v>2.23606797749979</v>
      </c>
      <c r="F127" s="1954"/>
      <c r="G127" s="1954"/>
      <c r="H127" s="2067"/>
      <c r="I127" s="347"/>
      <c r="J127" s="347"/>
      <c r="K127" s="2024"/>
      <c r="L127" s="1148"/>
      <c r="M127" s="1148"/>
      <c r="N127" s="1148"/>
    </row>
    <row r="128" customFormat="false" ht="15.5" hidden="false" customHeight="false" outlineLevel="0" collapsed="false">
      <c r="A128" s="534" t="s">
        <v>3505</v>
      </c>
      <c r="B128" s="723"/>
      <c r="C128" s="754"/>
      <c r="D128" s="680" t="s">
        <v>156</v>
      </c>
      <c r="E128" s="2066" t="n">
        <f aca="false">SQRT((E126-E123)*(E126-E123)+E127*E127)</f>
        <v>2.44948974278318</v>
      </c>
      <c r="F128" s="2069"/>
      <c r="G128" s="2070"/>
      <c r="H128" s="2067"/>
      <c r="I128" s="347"/>
      <c r="J128" s="347"/>
      <c r="K128" s="2024"/>
      <c r="L128" s="1148"/>
      <c r="M128" s="1148"/>
      <c r="N128" s="1148"/>
    </row>
    <row r="129" customFormat="false" ht="15.5" hidden="false" customHeight="false" outlineLevel="0" collapsed="false">
      <c r="A129" s="534" t="s">
        <v>3507</v>
      </c>
      <c r="B129" s="723"/>
      <c r="C129" s="754"/>
      <c r="D129" s="263" t="s">
        <v>156</v>
      </c>
      <c r="E129" s="2068" t="n">
        <f aca="false">SQRT(E126*E126+E127*E127)</f>
        <v>3</v>
      </c>
      <c r="F129" s="2069"/>
      <c r="G129" s="2070"/>
      <c r="H129" s="2067"/>
      <c r="I129" s="347"/>
      <c r="J129" s="347"/>
      <c r="K129" s="2024"/>
      <c r="L129" s="1148"/>
      <c r="M129" s="1148"/>
      <c r="N129" s="1148"/>
    </row>
    <row r="130" customFormat="false" ht="15.5" hidden="false" customHeight="false" outlineLevel="0" collapsed="false">
      <c r="A130" s="261" t="s">
        <v>3508</v>
      </c>
      <c r="B130" s="261"/>
      <c r="C130" s="261"/>
      <c r="D130" s="263" t="s">
        <v>133</v>
      </c>
      <c r="E130" s="2068" t="n">
        <f aca="false">E127*(E126-E123)+E127*E123*2</f>
        <v>6.70820393249937</v>
      </c>
      <c r="F130" s="2069"/>
      <c r="G130" s="2070"/>
      <c r="H130" s="2067"/>
      <c r="I130" s="347"/>
      <c r="J130" s="347"/>
      <c r="K130" s="894"/>
      <c r="L130" s="1148"/>
      <c r="M130" s="1148"/>
      <c r="N130" s="1148"/>
    </row>
    <row r="131" customFormat="false" ht="15.5" hidden="false" customHeight="false" outlineLevel="0" collapsed="false">
      <c r="A131" s="560" t="s">
        <v>3880</v>
      </c>
      <c r="B131" s="560"/>
      <c r="C131" s="560"/>
      <c r="D131" s="680" t="s">
        <v>133</v>
      </c>
      <c r="E131" s="537" t="n">
        <f aca="false">E127*E126</f>
        <v>4.47213595499958</v>
      </c>
      <c r="F131" s="351"/>
      <c r="G131" s="351"/>
      <c r="H131" s="2067"/>
      <c r="I131" s="347"/>
      <c r="J131" s="347"/>
      <c r="K131" s="2024"/>
      <c r="L131" s="1148"/>
      <c r="M131" s="1148"/>
      <c r="N131" s="1148"/>
    </row>
    <row r="132" customFormat="false" ht="15.5" hidden="false" customHeight="false" outlineLevel="0" collapsed="false">
      <c r="A132" s="560" t="s">
        <v>3510</v>
      </c>
      <c r="B132" s="560"/>
      <c r="C132" s="560"/>
      <c r="D132" s="680" t="s">
        <v>133</v>
      </c>
      <c r="E132" s="474" t="n">
        <f aca="false">SQRT(E129*E129-(E124/2)*(E124/2))</f>
        <v>2.82842712474619</v>
      </c>
      <c r="F132" s="347"/>
      <c r="G132" s="2070"/>
      <c r="H132" s="2067"/>
      <c r="I132" s="347"/>
      <c r="J132" s="347"/>
      <c r="K132" s="2075"/>
      <c r="L132" s="1148"/>
      <c r="M132" s="1148"/>
      <c r="N132" s="1148"/>
    </row>
    <row r="133" customFormat="false" ht="15.5" hidden="false" customHeight="false" outlineLevel="0" collapsed="false">
      <c r="A133" s="261" t="s">
        <v>3512</v>
      </c>
      <c r="B133" s="261"/>
      <c r="C133" s="261"/>
      <c r="D133" s="474" t="s">
        <v>133</v>
      </c>
      <c r="E133" s="474" t="n">
        <f aca="false">E130*1.35</f>
        <v>9.05607530887415</v>
      </c>
      <c r="F133" s="347"/>
      <c r="G133" s="347"/>
      <c r="H133" s="2067"/>
      <c r="I133" s="347"/>
      <c r="J133" s="347"/>
      <c r="K133" s="2032"/>
      <c r="L133" s="1148"/>
      <c r="M133" s="1148"/>
      <c r="N133" s="1148"/>
    </row>
    <row r="134" customFormat="false" ht="15.5" hidden="false" customHeight="false" outlineLevel="0" collapsed="false">
      <c r="A134" s="261" t="s">
        <v>3881</v>
      </c>
      <c r="B134" s="261"/>
      <c r="C134" s="261"/>
      <c r="D134" s="474" t="s">
        <v>133</v>
      </c>
      <c r="E134" s="474" t="n">
        <f aca="false">E131*1.35</f>
        <v>6.03738353924943</v>
      </c>
      <c r="F134" s="347"/>
      <c r="G134" s="2070"/>
      <c r="H134" s="2067"/>
      <c r="I134" s="347"/>
      <c r="J134" s="347"/>
      <c r="K134" s="2032"/>
      <c r="L134" s="1148"/>
      <c r="M134" s="1148"/>
      <c r="N134" s="1148"/>
    </row>
    <row r="135" customFormat="false" ht="15.5" hidden="false" customHeight="false" outlineLevel="0" collapsed="false">
      <c r="A135" s="560" t="s">
        <v>2628</v>
      </c>
      <c r="B135" s="560"/>
      <c r="C135" s="560"/>
      <c r="D135" s="560" t="s">
        <v>1820</v>
      </c>
      <c r="E135" s="2066"/>
      <c r="F135" s="2033"/>
      <c r="G135" s="2070"/>
      <c r="H135" s="2067"/>
      <c r="I135" s="347"/>
      <c r="J135" s="347"/>
      <c r="K135" s="2024"/>
      <c r="L135" s="1148"/>
      <c r="M135" s="1148"/>
      <c r="N135" s="1148"/>
    </row>
    <row r="136" customFormat="false" ht="15.5" hidden="false" customHeight="false" outlineLevel="0" collapsed="false">
      <c r="A136" s="263" t="s">
        <v>3518</v>
      </c>
      <c r="B136" s="263"/>
      <c r="C136" s="263"/>
      <c r="D136" s="263" t="s">
        <v>156</v>
      </c>
      <c r="E136" s="1017" t="n">
        <v>0.15</v>
      </c>
      <c r="F136" s="2033"/>
      <c r="G136" s="2070"/>
      <c r="H136" s="2067"/>
      <c r="I136" s="347"/>
      <c r="J136" s="347"/>
      <c r="K136" s="2024"/>
      <c r="L136" s="1148"/>
      <c r="M136" s="1148"/>
      <c r="N136" s="1148"/>
    </row>
    <row r="137" customFormat="false" ht="15.5" hidden="false" customHeight="false" outlineLevel="0" collapsed="false">
      <c r="A137" s="263"/>
      <c r="B137" s="263"/>
      <c r="C137" s="263"/>
      <c r="D137" s="263" t="s">
        <v>156</v>
      </c>
      <c r="E137" s="1017" t="n">
        <v>0.2</v>
      </c>
      <c r="F137" s="2033"/>
      <c r="G137" s="2070"/>
      <c r="H137" s="2067"/>
      <c r="I137" s="347"/>
      <c r="J137" s="347"/>
      <c r="K137" s="2024"/>
      <c r="L137" s="1148"/>
      <c r="M137" s="1148"/>
      <c r="N137" s="1148"/>
    </row>
    <row r="138" customFormat="false" ht="15.5" hidden="false" customHeight="false" outlineLevel="0" collapsed="false">
      <c r="A138" s="263" t="s">
        <v>2632</v>
      </c>
      <c r="B138" s="263"/>
      <c r="C138" s="263"/>
      <c r="D138" s="263" t="s">
        <v>156</v>
      </c>
      <c r="E138" s="1017" t="n">
        <v>0.15</v>
      </c>
      <c r="F138" s="2033"/>
      <c r="G138" s="347"/>
      <c r="H138" s="2048"/>
      <c r="I138" s="347"/>
      <c r="J138" s="347"/>
      <c r="K138" s="2024"/>
      <c r="L138" s="1148"/>
      <c r="M138" s="1148"/>
      <c r="N138" s="1148"/>
    </row>
    <row r="139" customFormat="false" ht="15.5" hidden="false" customHeight="false" outlineLevel="0" collapsed="false">
      <c r="A139" s="263"/>
      <c r="B139" s="263"/>
      <c r="C139" s="263"/>
      <c r="D139" s="263" t="s">
        <v>156</v>
      </c>
      <c r="E139" s="1017" t="n">
        <v>0.2</v>
      </c>
      <c r="F139" s="2033"/>
      <c r="G139" s="347"/>
      <c r="H139" s="2048"/>
      <c r="I139" s="347"/>
      <c r="J139" s="347"/>
      <c r="K139" s="2024"/>
      <c r="L139" s="1148"/>
      <c r="M139" s="1148"/>
      <c r="N139" s="1148"/>
    </row>
    <row r="140" customFormat="false" ht="15.5" hidden="false" customHeight="false" outlineLevel="0" collapsed="false">
      <c r="A140" s="347"/>
      <c r="B140" s="347"/>
      <c r="C140" s="347"/>
      <c r="D140" s="347"/>
      <c r="E140" s="347"/>
      <c r="F140" s="358"/>
      <c r="G140" s="347"/>
      <c r="H140" s="2048"/>
      <c r="I140" s="347"/>
      <c r="J140" s="347"/>
      <c r="K140" s="998"/>
      <c r="L140" s="1148"/>
      <c r="M140" s="1148"/>
      <c r="N140" s="1148"/>
    </row>
    <row r="141" customFormat="false" ht="15.5" hidden="false" customHeight="false" outlineLevel="0" collapsed="false">
      <c r="A141" s="2025"/>
      <c r="B141" s="2025"/>
      <c r="C141" s="2025"/>
      <c r="D141" s="2025"/>
      <c r="E141" s="2024"/>
      <c r="F141" s="2055"/>
      <c r="G141" s="2025"/>
      <c r="H141" s="2048"/>
      <c r="I141" s="2048"/>
      <c r="J141" s="2048"/>
      <c r="K141" s="998"/>
      <c r="L141" s="1148"/>
      <c r="M141" s="1148"/>
      <c r="N141" s="1148"/>
    </row>
    <row r="142" customFormat="false" ht="15.5" hidden="false" customHeight="false" outlineLevel="0" collapsed="false">
      <c r="A142" s="2025"/>
      <c r="B142" s="2025"/>
      <c r="C142" s="2025"/>
      <c r="D142" s="2025"/>
      <c r="E142" s="2025"/>
      <c r="F142" s="2025"/>
      <c r="G142" s="2025"/>
      <c r="H142" s="2048"/>
      <c r="I142" s="2048"/>
      <c r="J142" s="2048"/>
      <c r="K142" s="998"/>
      <c r="L142" s="1148"/>
      <c r="M142" s="1148"/>
      <c r="N142" s="1148"/>
    </row>
    <row r="143" customFormat="false" ht="15.5" hidden="false" customHeight="false" outlineLevel="0" collapsed="false">
      <c r="A143" s="889" t="s">
        <v>2544</v>
      </c>
      <c r="B143" s="2076"/>
      <c r="C143" s="2031" t="s">
        <v>120</v>
      </c>
      <c r="D143" s="2031" t="s">
        <v>1753</v>
      </c>
      <c r="E143" s="2023" t="str">
        <f aca="false">'Ввод данных'!F416</f>
        <v>Не считать</v>
      </c>
      <c r="F143" s="2077" t="s">
        <v>2545</v>
      </c>
      <c r="G143" s="2025"/>
      <c r="H143" s="2048"/>
      <c r="I143" s="2048"/>
      <c r="J143" s="2048"/>
      <c r="K143" s="998"/>
      <c r="L143" s="1148"/>
      <c r="M143" s="1148"/>
      <c r="N143" s="1148"/>
    </row>
    <row r="144" customFormat="false" ht="15.5" hidden="false" customHeight="false" outlineLevel="0" collapsed="false">
      <c r="A144" s="560" t="s">
        <v>2547</v>
      </c>
      <c r="B144" s="560"/>
      <c r="C144" s="754" t="s">
        <v>159</v>
      </c>
      <c r="D144" s="2035"/>
      <c r="E144" s="2025"/>
      <c r="F144" s="2025"/>
      <c r="G144" s="2025"/>
      <c r="H144" s="2025"/>
      <c r="I144" s="2025"/>
      <c r="J144" s="2025"/>
      <c r="K144" s="894"/>
      <c r="L144" s="1148"/>
      <c r="M144" s="1148"/>
      <c r="N144" s="1148"/>
    </row>
    <row r="145" customFormat="false" ht="15.5" hidden="false" customHeight="false" outlineLevel="0" collapsed="false">
      <c r="A145" s="560" t="s">
        <v>2552</v>
      </c>
      <c r="B145" s="560"/>
      <c r="C145" s="754" t="s">
        <v>159</v>
      </c>
      <c r="D145" s="2035"/>
      <c r="E145" s="2025"/>
      <c r="F145" s="2025"/>
      <c r="G145" s="2025"/>
      <c r="H145" s="2025"/>
      <c r="I145" s="2025"/>
      <c r="J145" s="2025"/>
      <c r="K145" s="894"/>
      <c r="L145" s="1148"/>
      <c r="M145" s="1148"/>
      <c r="N145" s="1148"/>
    </row>
    <row r="146" customFormat="false" ht="15.5" hidden="false" customHeight="false" outlineLevel="0" collapsed="false">
      <c r="A146" s="560" t="s">
        <v>1236</v>
      </c>
      <c r="B146" s="560"/>
      <c r="C146" s="347" t="s">
        <v>120</v>
      </c>
      <c r="D146" s="474" t="s">
        <v>1753</v>
      </c>
      <c r="E146" s="474" t="s">
        <v>293</v>
      </c>
      <c r="F146" s="474" t="s">
        <v>1820</v>
      </c>
      <c r="G146" s="2025"/>
      <c r="H146" s="2025"/>
      <c r="I146" s="2025"/>
      <c r="J146" s="2025"/>
      <c r="K146" s="894"/>
      <c r="L146" s="1148"/>
      <c r="M146" s="1148"/>
      <c r="N146" s="1148"/>
    </row>
    <row r="147" customFormat="false" ht="15.5" hidden="false" customHeight="false" outlineLevel="0" collapsed="false">
      <c r="A147" s="560" t="s">
        <v>2001</v>
      </c>
      <c r="B147" s="560"/>
      <c r="C147" s="723" t="s">
        <v>156</v>
      </c>
      <c r="D147" s="680" t="e">
        <f aca="false">D150*D151*F147</f>
        <v>#VALUE!</v>
      </c>
      <c r="E147" s="2023" t="str">
        <f aca="false">связи1!E549</f>
        <v>№3</v>
      </c>
      <c r="F147" s="2033" t="e">
        <f aca="false">'ввод данных'!#ref!</f>
        <v>#VALUE!</v>
      </c>
      <c r="G147" s="358" t="s">
        <v>3521</v>
      </c>
      <c r="H147" s="347"/>
      <c r="I147" s="2025"/>
      <c r="J147" s="2025"/>
      <c r="K147" s="894"/>
      <c r="L147" s="1148"/>
      <c r="M147" s="1148"/>
      <c r="N147" s="1148"/>
    </row>
    <row r="148" customFormat="false" ht="15.5" hidden="false" customHeight="false" outlineLevel="0" collapsed="false">
      <c r="A148" s="560" t="s">
        <v>2557</v>
      </c>
      <c r="B148" s="560"/>
      <c r="C148" s="723" t="s">
        <v>156</v>
      </c>
      <c r="D148" s="680" t="e">
        <f aca="false">D150*D151*F148</f>
        <v>#VALUE!</v>
      </c>
      <c r="E148" s="2023" t="n">
        <f aca="false">связи1!E550</f>
        <v>1</v>
      </c>
      <c r="F148" s="2033" t="e">
        <f aca="false">'ввод данных'!#ref!</f>
        <v>#VALUE!</v>
      </c>
      <c r="G148" s="358" t="s">
        <v>3522</v>
      </c>
      <c r="H148" s="347"/>
      <c r="I148" s="2025"/>
      <c r="J148" s="2025"/>
      <c r="K148" s="894"/>
      <c r="L148" s="1148"/>
      <c r="M148" s="1148"/>
      <c r="N148" s="1148"/>
    </row>
    <row r="149" customFormat="false" ht="15.5" hidden="false" customHeight="false" outlineLevel="0" collapsed="false">
      <c r="A149" s="902" t="s">
        <v>2558</v>
      </c>
      <c r="B149" s="902"/>
      <c r="C149" s="948" t="s">
        <v>156</v>
      </c>
      <c r="D149" s="925" t="n">
        <f aca="false">D150*D151*F149</f>
        <v>0</v>
      </c>
      <c r="E149" s="2023" t="n">
        <f aca="false">'Ввод данных'!E362</f>
        <v>0</v>
      </c>
      <c r="F149" s="2033" t="n">
        <f aca="false">'Ввод данных'!G366</f>
        <v>0</v>
      </c>
      <c r="G149" s="358" t="s">
        <v>3523</v>
      </c>
      <c r="H149" s="2048"/>
      <c r="I149" s="2048"/>
      <c r="J149" s="2048"/>
      <c r="K149" s="894"/>
      <c r="L149" s="1148"/>
      <c r="M149" s="1148"/>
      <c r="N149" s="1148"/>
    </row>
    <row r="150" customFormat="false" ht="15.5" hidden="false" customHeight="false" outlineLevel="0" collapsed="false">
      <c r="A150" s="902" t="s">
        <v>2071</v>
      </c>
      <c r="B150" s="902"/>
      <c r="C150" s="2022" t="s">
        <v>156</v>
      </c>
      <c r="D150" s="2035"/>
      <c r="E150" s="2025"/>
      <c r="F150" s="2025"/>
      <c r="G150" s="2025"/>
      <c r="H150" s="2048"/>
      <c r="I150" s="2048"/>
      <c r="J150" s="2048"/>
      <c r="K150" s="894"/>
      <c r="L150" s="1148"/>
      <c r="M150" s="1148"/>
      <c r="N150" s="1148"/>
    </row>
    <row r="151" customFormat="false" ht="15.5" hidden="false" customHeight="false" outlineLevel="0" collapsed="false">
      <c r="A151" s="902" t="s">
        <v>2573</v>
      </c>
      <c r="B151" s="902"/>
      <c r="C151" s="2042" t="s">
        <v>156</v>
      </c>
      <c r="D151" s="2035"/>
      <c r="E151" s="2025"/>
      <c r="F151" s="2025"/>
      <c r="G151" s="2025"/>
      <c r="H151" s="2024"/>
      <c r="I151" s="2048"/>
      <c r="J151" s="2048"/>
      <c r="K151" s="894"/>
      <c r="L151" s="1148"/>
      <c r="M151" s="1148"/>
      <c r="N151" s="1148"/>
    </row>
    <row r="152" customFormat="false" ht="15.5" hidden="false" customHeight="false" outlineLevel="0" collapsed="false">
      <c r="A152" s="902" t="s">
        <v>3882</v>
      </c>
      <c r="B152" s="902"/>
      <c r="C152" s="2042" t="s">
        <v>156</v>
      </c>
      <c r="D152" s="2035"/>
      <c r="E152" s="2025"/>
      <c r="F152" s="2025"/>
      <c r="G152" s="2025"/>
      <c r="H152" s="2024"/>
      <c r="I152" s="2048"/>
      <c r="J152" s="2048"/>
      <c r="K152" s="894"/>
      <c r="L152" s="1148"/>
      <c r="M152" s="1148"/>
      <c r="N152" s="1148"/>
    </row>
    <row r="153" customFormat="false" ht="15.5" hidden="false" customHeight="false" outlineLevel="0" collapsed="false">
      <c r="A153" s="902" t="s">
        <v>3883</v>
      </c>
      <c r="B153" s="902"/>
      <c r="C153" s="2042" t="s">
        <v>156</v>
      </c>
      <c r="D153" s="2035"/>
      <c r="E153" s="2025"/>
      <c r="F153" s="2025"/>
      <c r="G153" s="2025"/>
      <c r="H153" s="2024"/>
      <c r="I153" s="2048"/>
      <c r="J153" s="2048"/>
      <c r="K153" s="894"/>
      <c r="L153" s="1148"/>
      <c r="M153" s="1148"/>
      <c r="N153" s="1148"/>
    </row>
    <row r="154" customFormat="false" ht="15.5" hidden="false" customHeight="false" outlineLevel="0" collapsed="false">
      <c r="A154" s="902" t="s">
        <v>3884</v>
      </c>
      <c r="B154" s="902"/>
      <c r="C154" s="2042" t="s">
        <v>156</v>
      </c>
      <c r="D154" s="2035"/>
      <c r="E154" s="2025"/>
      <c r="F154" s="2025"/>
      <c r="G154" s="2025"/>
      <c r="H154" s="2025"/>
      <c r="I154" s="2048"/>
      <c r="J154" s="2048"/>
      <c r="K154" s="894"/>
      <c r="L154" s="1148"/>
      <c r="M154" s="1148"/>
      <c r="N154" s="1148"/>
    </row>
    <row r="155" customFormat="false" ht="15.5" hidden="false" customHeight="false" outlineLevel="0" collapsed="false">
      <c r="A155" s="907" t="s">
        <v>3885</v>
      </c>
      <c r="B155" s="907"/>
      <c r="C155" s="2042" t="s">
        <v>156</v>
      </c>
      <c r="D155" s="2053" t="n">
        <f aca="false">D154-D152</f>
        <v>0</v>
      </c>
      <c r="E155" s="2025"/>
      <c r="F155" s="2025"/>
      <c r="G155" s="2025"/>
      <c r="H155" s="2025"/>
      <c r="I155" s="2048"/>
      <c r="J155" s="2048"/>
      <c r="K155" s="894"/>
      <c r="L155" s="1148"/>
      <c r="M155" s="1148"/>
      <c r="N155" s="1148"/>
    </row>
    <row r="156" customFormat="false" ht="15.5" hidden="false" customHeight="false" outlineLevel="0" collapsed="false">
      <c r="A156" s="902" t="s">
        <v>3886</v>
      </c>
      <c r="B156" s="902"/>
      <c r="C156" s="2042" t="s">
        <v>156</v>
      </c>
      <c r="D156" s="2042" t="e">
        <f aca="false">(D153+D152+D155+E147+E148+E149)*E143</f>
        <v>#VALUE!</v>
      </c>
      <c r="E156" s="2025"/>
      <c r="F156" s="2025"/>
      <c r="G156" s="2025"/>
      <c r="H156" s="2025"/>
      <c r="I156" s="2048"/>
      <c r="J156" s="2048"/>
      <c r="K156" s="894"/>
      <c r="L156" s="1148"/>
      <c r="M156" s="1148"/>
      <c r="N156" s="1148"/>
    </row>
    <row r="157" customFormat="false" ht="15.5" hidden="false" customHeight="false" outlineLevel="0" collapsed="false">
      <c r="A157" s="902" t="s">
        <v>1093</v>
      </c>
      <c r="B157" s="902"/>
      <c r="C157" s="2025" t="s">
        <v>120</v>
      </c>
      <c r="D157" s="2077" t="s">
        <v>853</v>
      </c>
      <c r="E157" s="2042" t="s">
        <v>1802</v>
      </c>
      <c r="F157" s="2053" t="s">
        <v>853</v>
      </c>
      <c r="G157" s="2053" t="s">
        <v>2548</v>
      </c>
      <c r="H157" s="2024"/>
      <c r="I157" s="2048"/>
      <c r="J157" s="2048"/>
      <c r="K157" s="2078"/>
      <c r="L157" s="1148"/>
      <c r="M157" s="1148"/>
      <c r="N157" s="1148"/>
    </row>
    <row r="158" customFormat="false" ht="15.5" hidden="false" customHeight="false" outlineLevel="0" collapsed="false">
      <c r="A158" s="680" t="s">
        <v>2553</v>
      </c>
      <c r="B158" s="680"/>
      <c r="C158" s="2042" t="s">
        <v>156</v>
      </c>
      <c r="D158" s="2035" t="n">
        <f aca="false">связи1!D552</f>
        <v>3</v>
      </c>
      <c r="E158" s="2023" t="n">
        <f aca="false">связи1!E552</f>
        <v>3</v>
      </c>
      <c r="F158" s="2053" t="n">
        <f aca="false">D158*E158</f>
        <v>9</v>
      </c>
      <c r="G158" s="2053" t="n">
        <f aca="false">F158*D153</f>
        <v>0</v>
      </c>
      <c r="H158" s="2024"/>
      <c r="I158" s="2048"/>
      <c r="J158" s="2048"/>
      <c r="K158" s="2055"/>
      <c r="L158" s="1148"/>
      <c r="M158" s="1148"/>
      <c r="N158" s="1148"/>
    </row>
    <row r="159" customFormat="false" ht="15.5" hidden="false" customHeight="false" outlineLevel="0" collapsed="false">
      <c r="A159" s="680"/>
      <c r="B159" s="680"/>
      <c r="C159" s="2042" t="s">
        <v>1322</v>
      </c>
      <c r="D159" s="2035" t="n">
        <f aca="false">связи1!D553</f>
        <v>2.9</v>
      </c>
      <c r="E159" s="2023" t="n">
        <f aca="false">связи1!E553</f>
        <v>2.9</v>
      </c>
      <c r="F159" s="2053" t="n">
        <f aca="false">D159*E159</f>
        <v>8.41</v>
      </c>
      <c r="G159" s="2053" t="n">
        <f aca="false">F159*D153</f>
        <v>0</v>
      </c>
      <c r="H159" s="2024"/>
      <c r="I159" s="2048"/>
      <c r="J159" s="2048"/>
      <c r="K159" s="894"/>
      <c r="L159" s="1148"/>
      <c r="M159" s="1148"/>
      <c r="N159" s="1148"/>
    </row>
    <row r="160" customFormat="false" ht="15.5" hidden="false" customHeight="false" outlineLevel="0" collapsed="false">
      <c r="A160" s="680" t="s">
        <v>2556</v>
      </c>
      <c r="B160" s="680"/>
      <c r="C160" s="2042" t="s">
        <v>156</v>
      </c>
      <c r="D160" s="2035" t="n">
        <f aca="false">связи1!D556</f>
        <v>2.2</v>
      </c>
      <c r="E160" s="2023" t="n">
        <f aca="false">связи1!E556</f>
        <v>2.2</v>
      </c>
      <c r="F160" s="2053" t="n">
        <f aca="false">D160*E160</f>
        <v>4.84</v>
      </c>
      <c r="G160" s="2053" t="n">
        <f aca="false">F160*D153</f>
        <v>0</v>
      </c>
      <c r="H160" s="2024"/>
      <c r="I160" s="2048"/>
      <c r="J160" s="2048"/>
      <c r="K160" s="894"/>
      <c r="L160" s="1148"/>
      <c r="M160" s="1148"/>
      <c r="N160" s="1148"/>
    </row>
    <row r="161" customFormat="false" ht="15.5" hidden="false" customHeight="false" outlineLevel="0" collapsed="false">
      <c r="A161" s="680"/>
      <c r="B161" s="680"/>
      <c r="C161" s="2042" t="s">
        <v>156</v>
      </c>
      <c r="D161" s="2035" t="n">
        <f aca="false">связи1!D557</f>
        <v>1</v>
      </c>
      <c r="E161" s="2023" t="n">
        <f aca="false">связи1!E557</f>
        <v>2.9</v>
      </c>
      <c r="F161" s="2053" t="n">
        <f aca="false">D161*E161</f>
        <v>2.9</v>
      </c>
      <c r="G161" s="2053" t="n">
        <f aca="false">F161*D153</f>
        <v>0</v>
      </c>
      <c r="H161" s="2024"/>
      <c r="I161" s="2048"/>
      <c r="J161" s="2048"/>
      <c r="K161" s="894"/>
      <c r="L161" s="1148"/>
      <c r="M161" s="1148"/>
      <c r="N161" s="1148"/>
    </row>
    <row r="162" customFormat="false" ht="15.5" hidden="false" customHeight="false" outlineLevel="0" collapsed="false">
      <c r="A162" s="680" t="s">
        <v>2559</v>
      </c>
      <c r="B162" s="680"/>
      <c r="C162" s="2042" t="s">
        <v>1322</v>
      </c>
      <c r="D162" s="2035" t="n">
        <f aca="false">связи1!D558</f>
        <v>2.1</v>
      </c>
      <c r="E162" s="2023"/>
      <c r="F162" s="2053" t="n">
        <f aca="false">D162*E162</f>
        <v>0</v>
      </c>
      <c r="G162" s="2053" t="n">
        <f aca="false">F162*D152*D145</f>
        <v>0</v>
      </c>
      <c r="H162" s="2048"/>
      <c r="I162" s="2048"/>
      <c r="J162" s="2048"/>
      <c r="K162" s="894"/>
      <c r="L162" s="1148"/>
      <c r="M162" s="1148"/>
      <c r="N162" s="1148"/>
    </row>
    <row r="163" customFormat="false" ht="15.5" hidden="false" customHeight="false" outlineLevel="0" collapsed="false">
      <c r="A163" s="680"/>
      <c r="B163" s="680"/>
      <c r="C163" s="2042" t="s">
        <v>156</v>
      </c>
      <c r="D163" s="2035" t="e">
        <f aca="false">'ввод данных'!#ref!</f>
        <v>#VALUE!</v>
      </c>
      <c r="E163" s="2023" t="e">
        <f aca="false">'ввод данных'!#ref!</f>
        <v>#VALUE!</v>
      </c>
      <c r="F163" s="2053" t="e">
        <f aca="false">D163*E163</f>
        <v>#VALUE!</v>
      </c>
      <c r="G163" s="2053" t="e">
        <f aca="false">F163*D152*D145</f>
        <v>#VALUE!</v>
      </c>
      <c r="H163" s="2048"/>
      <c r="I163" s="2048"/>
      <c r="J163" s="2048"/>
      <c r="K163" s="894"/>
      <c r="L163" s="1148"/>
      <c r="M163" s="1148"/>
      <c r="N163" s="1148"/>
    </row>
    <row r="164" customFormat="false" ht="15.5" hidden="false" customHeight="false" outlineLevel="0" collapsed="false">
      <c r="A164" s="680" t="s">
        <v>2559</v>
      </c>
      <c r="B164" s="680"/>
      <c r="C164" s="2042" t="s">
        <v>156</v>
      </c>
      <c r="D164" s="2035" t="e">
        <f aca="false">'ввод данных'!#ref!</f>
        <v>#VALUE!</v>
      </c>
      <c r="E164" s="2023" t="e">
        <f aca="false">'ввод данных'!#ref!</f>
        <v>#VALUE!</v>
      </c>
      <c r="F164" s="2053" t="e">
        <f aca="false">D164*E164</f>
        <v>#VALUE!</v>
      </c>
      <c r="G164" s="903" t="e">
        <f aca="false">F164*D152*D145</f>
        <v>#VALUE!</v>
      </c>
      <c r="H164" s="895"/>
      <c r="I164" s="895"/>
      <c r="J164" s="2048"/>
      <c r="K164" s="894"/>
      <c r="L164" s="1148"/>
      <c r="M164" s="1148"/>
      <c r="N164" s="1148"/>
    </row>
    <row r="165" customFormat="false" ht="15.5" hidden="false" customHeight="false" outlineLevel="0" collapsed="false">
      <c r="A165" s="680"/>
      <c r="B165" s="680"/>
      <c r="C165" s="2042" t="s">
        <v>156</v>
      </c>
      <c r="D165" s="2035" t="e">
        <f aca="false">'ввод данных'!#ref!</f>
        <v>#VALUE!</v>
      </c>
      <c r="E165" s="2023" t="e">
        <f aca="false">'ввод данных'!#ref!</f>
        <v>#VALUE!</v>
      </c>
      <c r="F165" s="2053" t="e">
        <f aca="false">D165*E165</f>
        <v>#VALUE!</v>
      </c>
      <c r="G165" s="903" t="e">
        <f aca="false">F165*D152*D145</f>
        <v>#VALUE!</v>
      </c>
      <c r="H165" s="895"/>
      <c r="I165" s="895"/>
      <c r="J165" s="998"/>
      <c r="K165" s="894"/>
      <c r="L165" s="1148"/>
      <c r="M165" s="1148"/>
      <c r="N165" s="1148"/>
    </row>
    <row r="166" customFormat="false" ht="15.5" hidden="false" customHeight="false" outlineLevel="0" collapsed="false">
      <c r="A166" s="495" t="s">
        <v>2578</v>
      </c>
      <c r="B166" s="495"/>
      <c r="C166" s="495"/>
      <c r="D166" s="495"/>
      <c r="E166" s="495"/>
      <c r="F166" s="2053" t="e">
        <f aca="false">SUM(F158:F165)</f>
        <v>#VALUE!</v>
      </c>
      <c r="G166" s="2053" t="e">
        <f aca="false">SUM(G158:G165)</f>
        <v>#VALUE!</v>
      </c>
      <c r="H166" s="2048"/>
      <c r="I166" s="2048"/>
      <c r="J166" s="895"/>
      <c r="K166" s="894"/>
      <c r="L166" s="1148"/>
      <c r="M166" s="1148"/>
      <c r="N166" s="1148"/>
    </row>
    <row r="167" customFormat="false" ht="15.5" hidden="false" customHeight="false" outlineLevel="0" collapsed="false">
      <c r="A167" s="950" t="s">
        <v>2208</v>
      </c>
      <c r="B167" s="951"/>
      <c r="C167" s="757" t="s">
        <v>120</v>
      </c>
      <c r="D167" s="757" t="s">
        <v>2580</v>
      </c>
      <c r="E167" s="757" t="s">
        <v>2581</v>
      </c>
      <c r="F167" s="757" t="s">
        <v>1802</v>
      </c>
      <c r="G167" s="2031" t="s">
        <v>2548</v>
      </c>
      <c r="H167" s="2048"/>
      <c r="I167" s="1009"/>
      <c r="J167" s="998"/>
      <c r="K167" s="894"/>
      <c r="L167" s="1148"/>
      <c r="M167" s="1148"/>
      <c r="N167" s="1148"/>
    </row>
    <row r="168" customFormat="false" ht="15.5" hidden="false" customHeight="false" outlineLevel="0" collapsed="false">
      <c r="A168" s="680" t="s">
        <v>2210</v>
      </c>
      <c r="B168" s="680"/>
      <c r="C168" s="680" t="s">
        <v>156</v>
      </c>
      <c r="D168" s="2035" t="e">
        <f aca="false">'ввод данных'!#ref!</f>
        <v>#VALUE!</v>
      </c>
      <c r="E168" s="2023" t="e">
        <f aca="false">'ввод данных'!#ref!</f>
        <v>#VALUE!</v>
      </c>
      <c r="F168" s="2033" t="n">
        <f aca="false">'Ввод данных'!G377</f>
        <v>0</v>
      </c>
      <c r="G168" s="495" t="e">
        <f aca="false">D168*E168*F168</f>
        <v>#VALUE!</v>
      </c>
      <c r="H168" s="2048"/>
      <c r="I168" s="2028"/>
      <c r="J168" s="998"/>
      <c r="K168" s="894"/>
      <c r="L168" s="1148"/>
      <c r="M168" s="1148"/>
      <c r="N168" s="1148"/>
    </row>
    <row r="169" customFormat="false" ht="15.5" hidden="false" customHeight="false" outlineLevel="0" collapsed="false">
      <c r="A169" s="680"/>
      <c r="B169" s="680"/>
      <c r="C169" s="680" t="s">
        <v>156</v>
      </c>
      <c r="D169" s="2035" t="e">
        <f aca="false">'ввод данных'!#ref!</f>
        <v>#VALUE!</v>
      </c>
      <c r="E169" s="2023" t="e">
        <f aca="false">'ввод данных'!#ref!</f>
        <v>#VALUE!</v>
      </c>
      <c r="F169" s="2033" t="n">
        <f aca="false">'Ввод данных'!G378</f>
        <v>0</v>
      </c>
      <c r="G169" s="495" t="e">
        <f aca="false">D169*E169*F169</f>
        <v>#VALUE!</v>
      </c>
      <c r="H169" s="2048"/>
      <c r="I169" s="1009"/>
      <c r="J169" s="998"/>
      <c r="K169" s="894"/>
      <c r="L169" s="1148"/>
      <c r="M169" s="1148"/>
      <c r="N169" s="1148"/>
    </row>
    <row r="170" customFormat="false" ht="15.5" hidden="false" customHeight="false" outlineLevel="0" collapsed="false">
      <c r="A170" s="680"/>
      <c r="B170" s="680"/>
      <c r="C170" s="680" t="s">
        <v>156</v>
      </c>
      <c r="D170" s="2035" t="e">
        <f aca="false">'ввод данных'!#ref!</f>
        <v>#VALUE!</v>
      </c>
      <c r="E170" s="2023" t="e">
        <f aca="false">'ввод данных'!#ref!</f>
        <v>#VALUE!</v>
      </c>
      <c r="F170" s="2033" t="n">
        <f aca="false">'Ввод данных'!G379</f>
        <v>0</v>
      </c>
      <c r="G170" s="495" t="e">
        <f aca="false">D170*E170*F170</f>
        <v>#VALUE!</v>
      </c>
      <c r="H170" s="2079"/>
      <c r="I170" s="1009"/>
      <c r="J170" s="998"/>
      <c r="K170" s="894"/>
      <c r="L170" s="1148"/>
      <c r="M170" s="1148"/>
      <c r="N170" s="1148"/>
    </row>
    <row r="171" customFormat="false" ht="15.5" hidden="false" customHeight="false" outlineLevel="0" collapsed="false">
      <c r="A171" s="725" t="s">
        <v>2593</v>
      </c>
      <c r="B171" s="725"/>
      <c r="C171" s="680" t="s">
        <v>156</v>
      </c>
      <c r="D171" s="2035" t="e">
        <f aca="false">'ввод данных'!#ref!</f>
        <v>#VALUE!</v>
      </c>
      <c r="E171" s="2023"/>
      <c r="F171" s="2033" t="e">
        <f aca="false">'ввод данных'!#ref!</f>
        <v>#VALUE!</v>
      </c>
      <c r="G171" s="495" t="e">
        <f aca="false">D171*E171*F171</f>
        <v>#VALUE!</v>
      </c>
      <c r="H171" s="895"/>
      <c r="I171" s="1009"/>
      <c r="J171" s="998"/>
      <c r="K171" s="894"/>
      <c r="L171" s="1148"/>
      <c r="M171" s="1148"/>
      <c r="N171" s="1148"/>
    </row>
    <row r="172" customFormat="false" ht="15.5" hidden="false" customHeight="false" outlineLevel="0" collapsed="false">
      <c r="A172" s="725"/>
      <c r="B172" s="725"/>
      <c r="C172" s="680" t="s">
        <v>156</v>
      </c>
      <c r="D172" s="2035"/>
      <c r="E172" s="2023"/>
      <c r="F172" s="2033"/>
      <c r="G172" s="495" t="n">
        <f aca="false">D172*E172*F172</f>
        <v>0</v>
      </c>
      <c r="H172" s="2079"/>
      <c r="I172" s="1009"/>
      <c r="J172" s="998"/>
      <c r="K172" s="894"/>
      <c r="L172" s="1148"/>
      <c r="M172" s="1148"/>
      <c r="N172" s="1148"/>
    </row>
    <row r="173" customFormat="false" ht="15.5" hidden="false" customHeight="false" outlineLevel="0" collapsed="false">
      <c r="A173" s="902" t="s">
        <v>1217</v>
      </c>
      <c r="B173" s="902"/>
      <c r="C173" s="925" t="s">
        <v>156</v>
      </c>
      <c r="D173" s="2035" t="n">
        <f aca="false">связи1!D559</f>
        <v>0.6</v>
      </c>
      <c r="E173" s="2023" t="n">
        <f aca="false">связи1!E559</f>
        <v>0.6</v>
      </c>
      <c r="F173" s="2033" t="e">
        <f aca="false">'ввод данных'!#ref!</f>
        <v>#VALUE!</v>
      </c>
      <c r="G173" s="903" t="e">
        <f aca="false">D173*E173*F173</f>
        <v>#VALUE!</v>
      </c>
      <c r="H173" s="895"/>
      <c r="I173" s="895"/>
      <c r="J173" s="998"/>
      <c r="K173" s="894"/>
      <c r="L173" s="1148"/>
      <c r="M173" s="1148"/>
      <c r="N173" s="1148"/>
    </row>
    <row r="174" customFormat="false" ht="15.5" hidden="false" customHeight="false" outlineLevel="0" collapsed="false">
      <c r="A174" s="560" t="s">
        <v>2213</v>
      </c>
      <c r="B174" s="560"/>
      <c r="C174" s="925" t="s">
        <v>156</v>
      </c>
      <c r="D174" s="2035" t="n">
        <f aca="false">связи1!D561</f>
        <v>0.5</v>
      </c>
      <c r="E174" s="2023" t="n">
        <f aca="false">связи1!E561</f>
        <v>0.8</v>
      </c>
      <c r="F174" s="2033" t="n">
        <f aca="false">связи1!F548</f>
        <v>0</v>
      </c>
      <c r="G174" s="903" t="n">
        <f aca="false">D174*E174*F174</f>
        <v>0</v>
      </c>
      <c r="H174" s="2080"/>
      <c r="I174" s="998" t="s">
        <v>3887</v>
      </c>
      <c r="J174" s="998"/>
      <c r="K174" s="894"/>
      <c r="L174" s="1148"/>
      <c r="M174" s="1148"/>
      <c r="N174" s="1148"/>
    </row>
    <row r="175" customFormat="false" ht="15.5" hidden="false" customHeight="false" outlineLevel="0" collapsed="false">
      <c r="A175" s="932" t="s">
        <v>2599</v>
      </c>
      <c r="B175" s="996"/>
      <c r="C175" s="996"/>
      <c r="D175" s="996"/>
      <c r="E175" s="996"/>
      <c r="F175" s="997"/>
      <c r="G175" s="1111" t="e">
        <f aca="false">SUM(G168:G174)*E143</f>
        <v>#VALUE!</v>
      </c>
      <c r="H175" s="2079"/>
      <c r="I175" s="1009"/>
      <c r="J175" s="998"/>
      <c r="K175" s="894"/>
      <c r="L175" s="1148"/>
      <c r="M175" s="1148"/>
      <c r="N175" s="1148"/>
    </row>
    <row r="176" customFormat="false" ht="15.5" hidden="false" customHeight="false" outlineLevel="0" collapsed="false">
      <c r="A176" s="903" t="s">
        <v>3888</v>
      </c>
      <c r="B176" s="903"/>
      <c r="C176" s="903" t="s">
        <v>133</v>
      </c>
      <c r="D176" s="903" t="e">
        <f aca="false">G166-G171-G172</f>
        <v>#VALUE!</v>
      </c>
      <c r="E176" s="895"/>
      <c r="F176" s="895"/>
      <c r="G176" s="2028"/>
      <c r="H176" s="2079"/>
      <c r="I176" s="1009"/>
      <c r="J176" s="998"/>
      <c r="K176" s="894"/>
      <c r="L176" s="1148"/>
      <c r="M176" s="1148"/>
      <c r="N176" s="1148"/>
    </row>
    <row r="177" customFormat="false" ht="15.5" hidden="false" customHeight="false" outlineLevel="0" collapsed="false">
      <c r="A177" s="903" t="s">
        <v>2648</v>
      </c>
      <c r="B177" s="903"/>
      <c r="C177" s="903" t="s">
        <v>133</v>
      </c>
      <c r="D177" s="903" t="e">
        <f aca="false">(D153*D144+D152*D145+E147*F147+E148*F148+E149*F149)*(D151+D151+D150)-G168-G169-G170-G173-G174*H174</f>
        <v>#VALUE!</v>
      </c>
      <c r="E177" s="895"/>
      <c r="F177" s="895"/>
      <c r="G177" s="2028"/>
      <c r="H177" s="2079"/>
      <c r="I177" s="1009"/>
      <c r="J177" s="998"/>
      <c r="K177" s="894"/>
      <c r="L177" s="1148"/>
      <c r="M177" s="1148"/>
      <c r="N177" s="1148"/>
    </row>
    <row r="178" customFormat="false" ht="15.5" hidden="false" customHeight="false" outlineLevel="0" collapsed="false">
      <c r="A178" s="903" t="s">
        <v>3889</v>
      </c>
      <c r="B178" s="903"/>
      <c r="C178" s="903" t="s">
        <v>133</v>
      </c>
      <c r="D178" s="903" t="e">
        <f aca="false">D176*2+D177</f>
        <v>#VALUE!</v>
      </c>
      <c r="E178" s="895"/>
      <c r="F178" s="895"/>
      <c r="G178" s="2028"/>
      <c r="H178" s="2079"/>
      <c r="I178" s="1009"/>
      <c r="J178" s="998"/>
      <c r="K178" s="894"/>
      <c r="L178" s="1148"/>
      <c r="M178" s="1148"/>
      <c r="N178" s="1148"/>
    </row>
    <row r="179" customFormat="false" ht="15.5" hidden="false" customHeight="false" outlineLevel="0" collapsed="false">
      <c r="A179" s="2081" t="s">
        <v>2592</v>
      </c>
      <c r="B179" s="2082"/>
      <c r="C179" s="2083" t="s">
        <v>120</v>
      </c>
      <c r="D179" s="2083" t="s">
        <v>853</v>
      </c>
      <c r="E179" s="2023" t="n">
        <f aca="false">связи1!E558</f>
        <v>1.5</v>
      </c>
      <c r="F179" s="2084" t="s">
        <v>3890</v>
      </c>
      <c r="G179" s="2028"/>
      <c r="H179" s="2079"/>
      <c r="I179" s="1009"/>
      <c r="J179" s="998"/>
      <c r="K179" s="894"/>
      <c r="L179" s="1148"/>
      <c r="M179" s="1148"/>
      <c r="N179" s="1148"/>
    </row>
    <row r="180" customFormat="false" ht="15.5" hidden="false" customHeight="false" outlineLevel="0" collapsed="false">
      <c r="A180" s="985" t="s">
        <v>2820</v>
      </c>
      <c r="B180" s="2085"/>
      <c r="C180" s="544" t="s">
        <v>156</v>
      </c>
      <c r="D180" s="544" t="n">
        <f aca="false">SQRT(D151*D151+D155*D155)</f>
        <v>0</v>
      </c>
      <c r="E180" s="489"/>
      <c r="F180" s="489"/>
      <c r="G180" s="2028"/>
      <c r="H180" s="2079"/>
      <c r="I180" s="1009"/>
      <c r="J180" s="998"/>
      <c r="K180" s="894"/>
      <c r="L180" s="1148"/>
      <c r="M180" s="1148"/>
      <c r="N180" s="1148"/>
    </row>
    <row r="181" customFormat="false" ht="15.5" hidden="false" customHeight="false" outlineLevel="0" collapsed="false">
      <c r="A181" s="985" t="s">
        <v>3545</v>
      </c>
      <c r="B181" s="2085"/>
      <c r="C181" s="544" t="s">
        <v>156</v>
      </c>
      <c r="D181" s="2035" t="n">
        <f aca="false">связи1!C559</f>
        <v>0.5</v>
      </c>
      <c r="E181" s="489"/>
      <c r="F181" s="489"/>
      <c r="G181" s="2028"/>
      <c r="H181" s="2079"/>
      <c r="I181" s="1009"/>
      <c r="J181" s="998"/>
      <c r="K181" s="894"/>
      <c r="L181" s="1148"/>
      <c r="M181" s="1148"/>
      <c r="N181" s="1148"/>
    </row>
    <row r="182" customFormat="false" ht="15.5" hidden="false" customHeight="false" outlineLevel="0" collapsed="false">
      <c r="A182" s="985" t="s">
        <v>3891</v>
      </c>
      <c r="B182" s="2085"/>
      <c r="C182" s="544" t="s">
        <v>156</v>
      </c>
      <c r="D182" s="2035" t="n">
        <f aca="false">связи1!C561</f>
        <v>0.5</v>
      </c>
      <c r="E182" s="489"/>
      <c r="F182" s="489"/>
      <c r="G182" s="2028"/>
      <c r="H182" s="560" t="s">
        <v>2547</v>
      </c>
      <c r="I182" s="560"/>
      <c r="J182" s="754" t="s">
        <v>159</v>
      </c>
      <c r="K182" s="2035" t="e">
        <f aca="false">'ввод данных'!#ref!</f>
        <v>#VALUE!</v>
      </c>
      <c r="L182" s="1148"/>
      <c r="M182" s="1148"/>
      <c r="N182" s="1148"/>
    </row>
    <row r="183" customFormat="false" ht="15.5" hidden="false" customHeight="false" outlineLevel="0" collapsed="false">
      <c r="A183" s="985" t="s">
        <v>2609</v>
      </c>
      <c r="B183" s="2086"/>
      <c r="C183" s="543" t="s">
        <v>133</v>
      </c>
      <c r="D183" s="544" t="n">
        <f aca="false">D180*D150</f>
        <v>0</v>
      </c>
      <c r="E183" s="489"/>
      <c r="F183" s="489"/>
      <c r="G183" s="2028"/>
      <c r="H183" s="560" t="s">
        <v>2552</v>
      </c>
      <c r="I183" s="560"/>
      <c r="J183" s="754" t="s">
        <v>159</v>
      </c>
      <c r="K183" s="2035" t="e">
        <f aca="false">'ввод данных'!#ref!</f>
        <v>#VALUE!</v>
      </c>
      <c r="L183" s="1148"/>
      <c r="M183" s="1148"/>
      <c r="N183" s="1148"/>
    </row>
    <row r="184" customFormat="false" ht="15.5" hidden="false" customHeight="false" outlineLevel="0" collapsed="false">
      <c r="A184" s="985" t="s">
        <v>2610</v>
      </c>
      <c r="B184" s="2086"/>
      <c r="C184" s="543" t="s">
        <v>133</v>
      </c>
      <c r="D184" s="544" t="n">
        <f aca="false">(D180+D181)*(D150+D182+D182)</f>
        <v>0.5</v>
      </c>
      <c r="E184" s="489"/>
      <c r="F184" s="489"/>
      <c r="G184" s="2028"/>
      <c r="H184" s="474" t="s">
        <v>2638</v>
      </c>
      <c r="I184" s="680" t="s">
        <v>133</v>
      </c>
      <c r="J184" s="474" t="n">
        <f aca="false">K142*K143*K136+K142*K143*K137</f>
        <v>0</v>
      </c>
      <c r="K184" s="894"/>
      <c r="L184" s="1148"/>
      <c r="M184" s="1148"/>
      <c r="N184" s="1148"/>
    </row>
    <row r="185" customFormat="false" ht="15.5" hidden="false" customHeight="false" outlineLevel="0" collapsed="false">
      <c r="A185" s="560" t="s">
        <v>2628</v>
      </c>
      <c r="B185" s="560"/>
      <c r="C185" s="560"/>
      <c r="D185" s="560" t="s">
        <v>1820</v>
      </c>
      <c r="E185" s="2066" t="s">
        <v>293</v>
      </c>
      <c r="F185" s="2033"/>
      <c r="G185" s="895"/>
      <c r="H185" s="903" t="s">
        <v>3888</v>
      </c>
      <c r="I185" s="903"/>
      <c r="J185" s="903" t="s">
        <v>133</v>
      </c>
      <c r="K185" s="903" t="n">
        <f aca="false">N175-N180-N181</f>
        <v>0</v>
      </c>
      <c r="L185" s="1148"/>
      <c r="M185" s="1148"/>
      <c r="N185" s="1148"/>
    </row>
    <row r="186" customFormat="false" ht="15.5" hidden="false" customHeight="false" outlineLevel="0" collapsed="false">
      <c r="A186" s="263" t="s">
        <v>3518</v>
      </c>
      <c r="B186" s="263"/>
      <c r="C186" s="263"/>
      <c r="D186" s="263" t="s">
        <v>156</v>
      </c>
      <c r="E186" s="1017" t="n">
        <v>0.15</v>
      </c>
      <c r="F186" s="2033" t="n">
        <f aca="false">связи1!F551</f>
        <v>3</v>
      </c>
      <c r="G186" s="895"/>
      <c r="H186" s="903" t="s">
        <v>2648</v>
      </c>
      <c r="I186" s="903"/>
      <c r="J186" s="903" t="s">
        <v>133</v>
      </c>
      <c r="K186" s="903" t="n">
        <f aca="false">(K162*K153+K161*K154+L156*M156+L157*M157+L158*M158)*(K160+K160+K159)-N177-N178-N179-N182-N183</f>
        <v>0</v>
      </c>
      <c r="L186" s="1148"/>
      <c r="M186" s="1148"/>
      <c r="N186" s="1148"/>
    </row>
    <row r="187" customFormat="false" ht="15.5" hidden="false" customHeight="false" outlineLevel="0" collapsed="false">
      <c r="A187" s="263"/>
      <c r="B187" s="263"/>
      <c r="C187" s="263"/>
      <c r="D187" s="263" t="s">
        <v>156</v>
      </c>
      <c r="E187" s="1017" t="n">
        <v>0.2</v>
      </c>
      <c r="F187" s="2033" t="n">
        <f aca="false">связи1!F552</f>
        <v>5</v>
      </c>
      <c r="G187" s="895"/>
      <c r="H187" s="903" t="s">
        <v>3889</v>
      </c>
      <c r="I187" s="903"/>
      <c r="J187" s="903" t="s">
        <v>133</v>
      </c>
      <c r="K187" s="903" t="n">
        <f aca="false">K185*2+K186</f>
        <v>0</v>
      </c>
      <c r="L187" s="1148"/>
      <c r="M187" s="1148"/>
      <c r="N187" s="1148"/>
    </row>
    <row r="188" customFormat="false" ht="15.5" hidden="false" customHeight="false" outlineLevel="0" collapsed="false">
      <c r="A188" s="263" t="s">
        <v>2632</v>
      </c>
      <c r="B188" s="263"/>
      <c r="C188" s="263"/>
      <c r="D188" s="263" t="s">
        <v>156</v>
      </c>
      <c r="E188" s="1017" t="n">
        <v>0.15</v>
      </c>
      <c r="F188" s="2033" t="n">
        <f aca="false">связи1!F553</f>
        <v>3</v>
      </c>
      <c r="G188" s="895"/>
      <c r="H188" s="932" t="s">
        <v>2599</v>
      </c>
      <c r="I188" s="996"/>
      <c r="J188" s="996"/>
      <c r="K188" s="996"/>
      <c r="L188" s="1148"/>
      <c r="M188" s="1148"/>
      <c r="N188" s="1148"/>
    </row>
    <row r="189" customFormat="false" ht="15.5" hidden="false" customHeight="false" outlineLevel="0" collapsed="false">
      <c r="A189" s="263"/>
      <c r="B189" s="263"/>
      <c r="C189" s="263"/>
      <c r="D189" s="263" t="s">
        <v>156</v>
      </c>
      <c r="E189" s="1017" t="n">
        <v>0.2</v>
      </c>
      <c r="F189" s="2033" t="n">
        <f aca="false">связи1!F554</f>
        <v>4</v>
      </c>
      <c r="G189" s="895"/>
      <c r="H189" s="902" t="s">
        <v>2071</v>
      </c>
      <c r="I189" s="902"/>
      <c r="J189" s="2022" t="s">
        <v>156</v>
      </c>
      <c r="K189" s="2035"/>
      <c r="L189" s="1148"/>
      <c r="M189" s="1148"/>
      <c r="N189" s="1148"/>
    </row>
    <row r="190" customFormat="false" ht="15.5" hidden="false" customHeight="false" outlineLevel="0" collapsed="false">
      <c r="A190" s="2087" t="s">
        <v>2635</v>
      </c>
      <c r="B190" s="2087"/>
      <c r="C190" s="2087"/>
      <c r="D190" s="2087"/>
      <c r="E190" s="2023" t="e">
        <f aca="false">'ввод данных'!#ref!</f>
        <v>#VALUE!</v>
      </c>
      <c r="F190" s="358" t="s">
        <v>3568</v>
      </c>
      <c r="G190" s="895"/>
      <c r="H190" s="902" t="s">
        <v>2573</v>
      </c>
      <c r="I190" s="902"/>
      <c r="J190" s="2042" t="s">
        <v>156</v>
      </c>
      <c r="K190" s="2035"/>
      <c r="L190" s="1148"/>
      <c r="M190" s="1148"/>
      <c r="N190" s="1148"/>
    </row>
    <row r="191" customFormat="false" ht="15.5" hidden="false" customHeight="false" outlineLevel="0" collapsed="false">
      <c r="A191" s="474" t="s">
        <v>2572</v>
      </c>
      <c r="B191" s="680" t="s">
        <v>156</v>
      </c>
      <c r="C191" s="474" t="n">
        <f aca="false">D150+D151*2</f>
        <v>0</v>
      </c>
      <c r="D191" s="358"/>
      <c r="E191" s="358"/>
      <c r="F191" s="489"/>
      <c r="G191" s="895"/>
      <c r="H191" s="902" t="s">
        <v>3882</v>
      </c>
      <c r="I191" s="902"/>
      <c r="J191" s="2042" t="s">
        <v>156</v>
      </c>
      <c r="K191" s="2035"/>
      <c r="L191" s="1148"/>
      <c r="M191" s="1148"/>
      <c r="N191" s="1148"/>
    </row>
    <row r="192" customFormat="false" ht="15.5" hidden="false" customHeight="false" outlineLevel="0" collapsed="false">
      <c r="A192" s="474" t="s">
        <v>2638</v>
      </c>
      <c r="B192" s="680" t="s">
        <v>133</v>
      </c>
      <c r="C192" s="474" t="n">
        <f aca="false">D150*D151*D144+D150*D151*D145</f>
        <v>0</v>
      </c>
      <c r="D192" s="358"/>
      <c r="E192" s="358"/>
      <c r="F192" s="489"/>
      <c r="G192" s="895"/>
      <c r="H192" s="902" t="s">
        <v>3883</v>
      </c>
      <c r="I192" s="902"/>
      <c r="J192" s="2042" t="s">
        <v>156</v>
      </c>
      <c r="K192" s="2035"/>
      <c r="L192" s="1148"/>
      <c r="M192" s="1148"/>
      <c r="N192" s="1148"/>
    </row>
    <row r="193" customFormat="false" ht="15.5" hidden="false" customHeight="false" outlineLevel="0" collapsed="false">
      <c r="A193" s="358"/>
      <c r="B193" s="371"/>
      <c r="C193" s="358"/>
      <c r="D193" s="358"/>
      <c r="E193" s="358"/>
      <c r="F193" s="489"/>
      <c r="G193" s="895"/>
      <c r="H193" s="902" t="s">
        <v>3884</v>
      </c>
      <c r="I193" s="902"/>
      <c r="J193" s="2042" t="s">
        <v>156</v>
      </c>
      <c r="K193" s="2035"/>
      <c r="L193" s="1148"/>
      <c r="M193" s="1148"/>
      <c r="N193" s="1148"/>
    </row>
    <row r="194" customFormat="false" ht="15.5" hidden="false" customHeight="false" outlineLevel="0" collapsed="false">
      <c r="A194" s="358"/>
      <c r="B194" s="371"/>
      <c r="C194" s="358"/>
      <c r="D194" s="358"/>
      <c r="E194" s="358"/>
      <c r="F194" s="489"/>
      <c r="G194" s="895"/>
      <c r="H194" s="907" t="s">
        <v>3885</v>
      </c>
      <c r="I194" s="907"/>
      <c r="J194" s="2042" t="s">
        <v>156</v>
      </c>
      <c r="K194" s="2053" t="n">
        <f aca="false">K193-K191</f>
        <v>0</v>
      </c>
      <c r="L194" s="1148"/>
      <c r="M194" s="1148"/>
      <c r="N194" s="1148"/>
    </row>
    <row r="195" customFormat="false" ht="15.5" hidden="false" customHeight="false" outlineLevel="0" collapsed="false">
      <c r="A195" s="2087" t="s">
        <v>2030</v>
      </c>
      <c r="B195" s="757" t="s">
        <v>120</v>
      </c>
      <c r="C195" s="757" t="s">
        <v>1753</v>
      </c>
      <c r="D195" s="2035" t="str">
        <f aca="false">'Ввод данных'!F458</f>
        <v>Не считать</v>
      </c>
      <c r="E195" s="2088" t="s">
        <v>3520</v>
      </c>
      <c r="F195" s="450"/>
      <c r="G195" s="2089"/>
      <c r="H195" s="560" t="s">
        <v>2001</v>
      </c>
      <c r="I195" s="560"/>
      <c r="J195" s="723" t="s">
        <v>156</v>
      </c>
      <c r="K195" s="680" t="n">
        <f aca="false">K198*K199*M195</f>
        <v>0</v>
      </c>
      <c r="L195" s="1148"/>
      <c r="M195" s="1148"/>
      <c r="N195" s="1148"/>
    </row>
    <row r="196" customFormat="false" ht="15.5" hidden="false" customHeight="false" outlineLevel="0" collapsed="false">
      <c r="A196" s="474" t="s">
        <v>2547</v>
      </c>
      <c r="B196" s="474" t="s">
        <v>159</v>
      </c>
      <c r="C196" s="2090" t="n">
        <f aca="false">'Ввод данных'!E422</f>
        <v>0</v>
      </c>
      <c r="D196" s="347"/>
      <c r="E196" s="347"/>
      <c r="F196" s="347"/>
      <c r="G196" s="347"/>
      <c r="H196" s="560" t="s">
        <v>2557</v>
      </c>
      <c r="I196" s="560"/>
      <c r="J196" s="723" t="s">
        <v>156</v>
      </c>
      <c r="K196" s="680" t="n">
        <f aca="false">K198*K199*M196</f>
        <v>0</v>
      </c>
      <c r="L196" s="1148"/>
      <c r="M196" s="1148"/>
      <c r="N196" s="1148"/>
    </row>
    <row r="197" customFormat="false" ht="15.5" hidden="false" customHeight="false" outlineLevel="0" collapsed="false">
      <c r="A197" s="474" t="s">
        <v>2552</v>
      </c>
      <c r="B197" s="474" t="s">
        <v>159</v>
      </c>
      <c r="C197" s="2090" t="n">
        <f aca="false">'Ввод данных'!E423</f>
        <v>0</v>
      </c>
      <c r="D197" s="895"/>
      <c r="E197" s="347"/>
      <c r="F197" s="347"/>
      <c r="G197" s="347"/>
      <c r="H197" s="902" t="s">
        <v>2558</v>
      </c>
      <c r="I197" s="902"/>
      <c r="J197" s="948" t="s">
        <v>156</v>
      </c>
      <c r="K197" s="925" t="n">
        <f aca="false">K198*K199*M197</f>
        <v>0</v>
      </c>
      <c r="L197" s="1148"/>
      <c r="M197" s="1148"/>
      <c r="N197" s="1148"/>
    </row>
    <row r="198" customFormat="false" ht="15.5" hidden="false" customHeight="false" outlineLevel="0" collapsed="false">
      <c r="A198" s="450" t="s">
        <v>1236</v>
      </c>
      <c r="B198" s="450" t="s">
        <v>120</v>
      </c>
      <c r="C198" s="450" t="s">
        <v>2548</v>
      </c>
      <c r="D198" s="474" t="s">
        <v>2975</v>
      </c>
      <c r="E198" s="895"/>
      <c r="F198" s="895"/>
      <c r="G198" s="347"/>
      <c r="H198" s="2048"/>
      <c r="I198" s="1009"/>
      <c r="J198" s="998"/>
      <c r="K198" s="2024"/>
      <c r="L198" s="1148"/>
      <c r="M198" s="1148"/>
      <c r="N198" s="1148"/>
    </row>
    <row r="199" customFormat="false" ht="15.5" hidden="false" customHeight="false" outlineLevel="0" collapsed="false">
      <c r="A199" s="474" t="s">
        <v>2001</v>
      </c>
      <c r="B199" s="474" t="s">
        <v>159</v>
      </c>
      <c r="C199" s="903" t="e">
        <f aca="false">(C204*C208+(C207-C204)*C202+(C207-C204)*((C208-C202)/2)*2)*E199</f>
        <v>#VALUE!</v>
      </c>
      <c r="D199" s="2035" t="n">
        <f aca="false">'Ввод данных'!D425</f>
        <v>0</v>
      </c>
      <c r="E199" s="2023" t="e">
        <f aca="false">'ввод данных'!#ref!</f>
        <v>#VALUE!</v>
      </c>
      <c r="F199" s="358" t="s">
        <v>3521</v>
      </c>
      <c r="G199" s="347"/>
      <c r="H199" s="2048"/>
      <c r="I199" s="1009"/>
      <c r="J199" s="998"/>
      <c r="K199" s="2024"/>
      <c r="L199" s="1148"/>
      <c r="M199" s="1148"/>
      <c r="N199" s="1148"/>
    </row>
    <row r="200" customFormat="false" ht="15.5" hidden="false" customHeight="false" outlineLevel="0" collapsed="false">
      <c r="A200" s="474" t="s">
        <v>2557</v>
      </c>
      <c r="B200" s="474" t="s">
        <v>159</v>
      </c>
      <c r="C200" s="903" t="e">
        <f aca="false">(C204*C208+(C207-C204)*C202+(C207-C204)*((C208-C202)/2)*2)*E200</f>
        <v>#VALUE!</v>
      </c>
      <c r="D200" s="2035" t="n">
        <f aca="false">'Ввод данных'!D426</f>
        <v>0</v>
      </c>
      <c r="E200" s="2023" t="e">
        <f aca="false">'ввод данных'!#ref!</f>
        <v>#VALUE!</v>
      </c>
      <c r="F200" s="358" t="s">
        <v>3522</v>
      </c>
      <c r="G200" s="2089"/>
      <c r="H200" s="2048"/>
      <c r="I200" s="1009"/>
      <c r="J200" s="998"/>
      <c r="K200" s="2024"/>
      <c r="L200" s="1148"/>
      <c r="M200" s="1148"/>
      <c r="N200" s="1148"/>
    </row>
    <row r="201" customFormat="false" ht="15.5" hidden="false" customHeight="false" outlineLevel="0" collapsed="false">
      <c r="A201" s="474" t="s">
        <v>2558</v>
      </c>
      <c r="B201" s="474" t="s">
        <v>159</v>
      </c>
      <c r="C201" s="903" t="e">
        <f aca="false">(C204*C208+(C207-C204)*C202+(C207-C204)*((C208-C202)/2)*2)*E201</f>
        <v>#VALUE!</v>
      </c>
      <c r="D201" s="2035" t="n">
        <f aca="false">'Ввод данных'!D427</f>
        <v>0</v>
      </c>
      <c r="E201" s="2023" t="e">
        <f aca="false">'ввод данных'!#ref!</f>
        <v>#VALUE!</v>
      </c>
      <c r="F201" s="358" t="s">
        <v>3523</v>
      </c>
      <c r="G201" s="2028"/>
      <c r="H201" s="2079"/>
      <c r="I201" s="1009"/>
      <c r="J201" s="998"/>
      <c r="K201" s="2024"/>
      <c r="L201" s="1148"/>
      <c r="M201" s="1148"/>
      <c r="N201" s="1148"/>
    </row>
    <row r="202" customFormat="false" ht="15.5" hidden="false" customHeight="false" outlineLevel="0" collapsed="false">
      <c r="A202" s="560" t="s">
        <v>3524</v>
      </c>
      <c r="B202" s="680" t="s">
        <v>156</v>
      </c>
      <c r="C202" s="2090"/>
      <c r="D202" s="450"/>
      <c r="E202" s="450"/>
      <c r="F202" s="450"/>
      <c r="G202" s="2028"/>
      <c r="H202" s="2079"/>
      <c r="I202" s="1009"/>
      <c r="J202" s="998"/>
      <c r="K202" s="2024"/>
      <c r="L202" s="1148"/>
      <c r="M202" s="1148"/>
      <c r="N202" s="1148"/>
    </row>
    <row r="203" customFormat="false" ht="15.5" hidden="false" customHeight="false" outlineLevel="0" collapsed="false">
      <c r="A203" s="560" t="s">
        <v>3525</v>
      </c>
      <c r="B203" s="680" t="s">
        <v>156</v>
      </c>
      <c r="C203" s="680" t="n">
        <f aca="false">SQRT((C208-C202)/2*(C208-C202)/2+(C207-C204)*(C207-C204))</f>
        <v>0</v>
      </c>
      <c r="D203" s="450"/>
      <c r="E203" s="450"/>
      <c r="F203" s="450"/>
      <c r="G203" s="2028"/>
      <c r="H203" s="2079"/>
      <c r="I203" s="1009"/>
      <c r="J203" s="998"/>
      <c r="K203" s="2024"/>
      <c r="L203" s="1148"/>
      <c r="M203" s="1148"/>
      <c r="N203" s="1148"/>
    </row>
    <row r="204" customFormat="false" ht="15.5" hidden="false" customHeight="false" outlineLevel="0" collapsed="false">
      <c r="A204" s="560" t="s">
        <v>3526</v>
      </c>
      <c r="B204" s="680" t="s">
        <v>156</v>
      </c>
      <c r="C204" s="2090"/>
      <c r="D204" s="2035"/>
      <c r="E204" s="450"/>
      <c r="F204" s="450"/>
      <c r="G204" s="2028"/>
      <c r="H204" s="2079"/>
      <c r="I204" s="1009"/>
      <c r="J204" s="998"/>
      <c r="K204" s="2024"/>
      <c r="L204" s="1148"/>
      <c r="M204" s="1148"/>
      <c r="N204" s="1148"/>
    </row>
    <row r="205" customFormat="false" ht="15.5" hidden="false" customHeight="false" outlineLevel="0" collapsed="false">
      <c r="A205" s="560" t="s">
        <v>3892</v>
      </c>
      <c r="B205" s="680" t="s">
        <v>156</v>
      </c>
      <c r="C205" s="2090"/>
      <c r="D205" s="371"/>
      <c r="E205" s="450"/>
      <c r="F205" s="450"/>
      <c r="G205" s="2028"/>
      <c r="H205" s="2079"/>
      <c r="I205" s="1009"/>
      <c r="J205" s="998"/>
      <c r="K205" s="2024"/>
      <c r="L205" s="1148"/>
      <c r="M205" s="1148"/>
      <c r="N205" s="1148"/>
    </row>
    <row r="206" customFormat="false" ht="15.5" hidden="false" customHeight="false" outlineLevel="0" collapsed="false">
      <c r="A206" s="560" t="s">
        <v>3529</v>
      </c>
      <c r="B206" s="680" t="s">
        <v>156</v>
      </c>
      <c r="C206" s="2090"/>
      <c r="D206" s="371"/>
      <c r="E206" s="450"/>
      <c r="F206" s="450"/>
      <c r="G206" s="2028"/>
      <c r="H206" s="2079"/>
      <c r="I206" s="1009"/>
      <c r="J206" s="998"/>
      <c r="K206" s="2024"/>
      <c r="L206" s="1148"/>
      <c r="M206" s="1148"/>
      <c r="N206" s="1148"/>
    </row>
    <row r="207" customFormat="false" ht="15.5" hidden="false" customHeight="false" outlineLevel="0" collapsed="false">
      <c r="A207" s="560" t="s">
        <v>3530</v>
      </c>
      <c r="B207" s="680" t="s">
        <v>156</v>
      </c>
      <c r="C207" s="2090"/>
      <c r="D207" s="450"/>
      <c r="E207" s="450"/>
      <c r="F207" s="450"/>
      <c r="G207" s="2028"/>
      <c r="H207" s="895"/>
      <c r="I207" s="1009"/>
      <c r="J207" s="998"/>
      <c r="K207" s="2024"/>
      <c r="L207" s="1148"/>
      <c r="M207" s="1148"/>
      <c r="N207" s="1148"/>
    </row>
    <row r="208" customFormat="false" ht="15.5" hidden="false" customHeight="false" outlineLevel="0" collapsed="false">
      <c r="A208" s="560" t="s">
        <v>3531</v>
      </c>
      <c r="B208" s="680" t="s">
        <v>156</v>
      </c>
      <c r="C208" s="2090"/>
      <c r="D208" s="450"/>
      <c r="E208" s="450"/>
      <c r="F208" s="450"/>
      <c r="G208" s="2028"/>
      <c r="H208" s="2079"/>
      <c r="I208" s="1009"/>
      <c r="J208" s="998"/>
      <c r="K208" s="2024"/>
      <c r="L208" s="1148"/>
      <c r="M208" s="1148"/>
      <c r="N208" s="1148"/>
    </row>
    <row r="209" customFormat="false" ht="15.5" hidden="false" customHeight="false" outlineLevel="0" collapsed="false">
      <c r="A209" s="2091" t="s">
        <v>3893</v>
      </c>
      <c r="B209" s="2092" t="s">
        <v>156</v>
      </c>
      <c r="C209" s="2090"/>
      <c r="D209" s="2025"/>
      <c r="E209" s="2025"/>
      <c r="F209" s="2025"/>
      <c r="G209" s="895"/>
      <c r="H209" s="2079"/>
      <c r="I209" s="1009"/>
      <c r="J209" s="998"/>
      <c r="K209" s="2024"/>
      <c r="L209" s="1148"/>
      <c r="M209" s="1148"/>
      <c r="N209" s="1148"/>
    </row>
    <row r="210" customFormat="false" ht="15.5" hidden="false" customHeight="false" outlineLevel="0" collapsed="false">
      <c r="A210" s="2093" t="s">
        <v>1236</v>
      </c>
      <c r="B210" s="757" t="s">
        <v>120</v>
      </c>
      <c r="C210" s="757" t="s">
        <v>2580</v>
      </c>
      <c r="D210" s="757" t="s">
        <v>2581</v>
      </c>
      <c r="E210" s="757" t="s">
        <v>1802</v>
      </c>
      <c r="F210" s="890" t="s">
        <v>3894</v>
      </c>
      <c r="G210" s="2028"/>
      <c r="H210" s="2079"/>
      <c r="I210" s="1009"/>
      <c r="J210" s="998"/>
      <c r="K210" s="2024"/>
      <c r="L210" s="1148"/>
      <c r="M210" s="1148"/>
      <c r="N210" s="1148"/>
    </row>
    <row r="211" customFormat="false" ht="15.5" hidden="false" customHeight="false" outlineLevel="0" collapsed="false">
      <c r="A211" s="701" t="s">
        <v>2210</v>
      </c>
      <c r="B211" s="680" t="s">
        <v>156</v>
      </c>
      <c r="C211" s="2090" t="n">
        <f aca="false">'Ввод данных'!C432</f>
        <v>2.7</v>
      </c>
      <c r="D211" s="2035" t="n">
        <f aca="false">'Ввод данных'!D429</f>
        <v>0</v>
      </c>
      <c r="E211" s="2023" t="e">
        <f aca="false">'ввод данных'!#ref!</f>
        <v>#VALUE!</v>
      </c>
      <c r="F211" s="2094" t="e">
        <f aca="false">C211*D211*E211</f>
        <v>#VALUE!</v>
      </c>
      <c r="G211" s="2028"/>
      <c r="H211" s="2079"/>
      <c r="I211" s="1009"/>
      <c r="J211" s="998"/>
      <c r="K211" s="2024"/>
      <c r="L211" s="1148"/>
      <c r="M211" s="1148"/>
      <c r="N211" s="1148"/>
    </row>
    <row r="212" customFormat="false" ht="15.5" hidden="false" customHeight="false" outlineLevel="0" collapsed="false">
      <c r="A212" s="2092"/>
      <c r="B212" s="680" t="s">
        <v>156</v>
      </c>
      <c r="C212" s="2090"/>
      <c r="D212" s="2035" t="n">
        <f aca="false">'Ввод данных'!D430</f>
        <v>0</v>
      </c>
      <c r="E212" s="2023" t="e">
        <f aca="false">'ввод данных'!#ref!</f>
        <v>#VALUE!</v>
      </c>
      <c r="F212" s="2094" t="e">
        <f aca="false">C212*D212*E212</f>
        <v>#VALUE!</v>
      </c>
      <c r="G212" s="2028"/>
      <c r="H212" s="2079"/>
      <c r="I212" s="1009"/>
      <c r="J212" s="998"/>
      <c r="K212" s="2024"/>
      <c r="L212" s="1148"/>
      <c r="M212" s="1148"/>
      <c r="N212" s="1148"/>
    </row>
    <row r="213" customFormat="false" ht="15.5" hidden="false" customHeight="false" outlineLevel="0" collapsed="false">
      <c r="A213" s="736"/>
      <c r="B213" s="680" t="s">
        <v>156</v>
      </c>
      <c r="C213" s="2090"/>
      <c r="D213" s="2035" t="n">
        <f aca="false">'Ввод данных'!D431</f>
        <v>0</v>
      </c>
      <c r="E213" s="2023" t="e">
        <f aca="false">'ввод данных'!#ref!</f>
        <v>#VALUE!</v>
      </c>
      <c r="F213" s="2094" t="e">
        <f aca="false">C213*D213*E213</f>
        <v>#VALUE!</v>
      </c>
      <c r="G213" s="2028"/>
      <c r="H213" s="2079"/>
      <c r="I213" s="1009"/>
      <c r="J213" s="998"/>
      <c r="K213" s="2024"/>
      <c r="L213" s="1148"/>
      <c r="M213" s="1148"/>
      <c r="N213" s="1148"/>
    </row>
    <row r="214" customFormat="false" ht="15.5" hidden="false" customHeight="false" outlineLevel="0" collapsed="false">
      <c r="A214" s="701" t="s">
        <v>3895</v>
      </c>
      <c r="B214" s="680" t="s">
        <v>156</v>
      </c>
      <c r="C214" s="2090" t="e">
        <f aca="false">'ввод данных'!#ref!</f>
        <v>#VALUE!</v>
      </c>
      <c r="D214" s="2035" t="n">
        <f aca="false">'Ввод данных'!D432</f>
        <v>0</v>
      </c>
      <c r="E214" s="2023" t="e">
        <f aca="false">'ввод данных'!#ref!</f>
        <v>#VALUE!</v>
      </c>
      <c r="F214" s="2094" t="e">
        <f aca="false">C214*D214*E214</f>
        <v>#VALUE!</v>
      </c>
      <c r="G214" s="2028"/>
      <c r="H214" s="2079"/>
      <c r="I214" s="1009"/>
      <c r="J214" s="998"/>
      <c r="K214" s="2024"/>
      <c r="L214" s="1148"/>
      <c r="M214" s="1148"/>
      <c r="N214" s="1148"/>
    </row>
    <row r="215" customFormat="false" ht="15.5" hidden="false" customHeight="false" outlineLevel="0" collapsed="false">
      <c r="A215" s="736"/>
      <c r="B215" s="680" t="s">
        <v>156</v>
      </c>
      <c r="C215" s="2090" t="n">
        <f aca="false">'Ввод данных'!C434</f>
        <v>0</v>
      </c>
      <c r="D215" s="2035" t="n">
        <f aca="false">'Ввод данных'!D433</f>
        <v>0</v>
      </c>
      <c r="E215" s="2023" t="e">
        <f aca="false">'ввод данных'!#ref!</f>
        <v>#VALUE!</v>
      </c>
      <c r="F215" s="2094" t="e">
        <f aca="false">C215*D215*E215</f>
        <v>#VALUE!</v>
      </c>
      <c r="G215" s="2028"/>
      <c r="H215" s="2079"/>
      <c r="I215" s="1009"/>
      <c r="J215" s="998"/>
      <c r="K215" s="2024"/>
      <c r="L215" s="1148"/>
      <c r="M215" s="1148"/>
      <c r="N215" s="1148"/>
    </row>
    <row r="216" customFormat="false" ht="15.5" hidden="false" customHeight="false" outlineLevel="0" collapsed="false">
      <c r="A216" s="903" t="s">
        <v>3896</v>
      </c>
      <c r="B216" s="903" t="s">
        <v>133</v>
      </c>
      <c r="C216" s="903" t="e">
        <f aca="false">F211+F212+F215+F214+F213</f>
        <v>#VALUE!</v>
      </c>
      <c r="D216" s="895"/>
      <c r="E216" s="895"/>
      <c r="F216" s="895"/>
      <c r="G216" s="2028"/>
      <c r="H216" s="2079"/>
      <c r="I216" s="1009"/>
      <c r="J216" s="998"/>
      <c r="K216" s="2024"/>
      <c r="L216" s="1148"/>
      <c r="M216" s="1148"/>
      <c r="N216" s="1148"/>
    </row>
    <row r="217" customFormat="false" ht="15.5" hidden="false" customHeight="false" outlineLevel="0" collapsed="false">
      <c r="A217" s="903" t="s">
        <v>3541</v>
      </c>
      <c r="B217" s="903" t="s">
        <v>133</v>
      </c>
      <c r="C217" s="903" t="e">
        <f aca="false">(C204*2+C203*2+C202)*(C205+C209*C197+D199*E199+D200*E200+D201*E201)</f>
        <v>#VALUE!</v>
      </c>
      <c r="D217" s="895"/>
      <c r="E217" s="895"/>
      <c r="F217" s="895"/>
      <c r="G217" s="2028"/>
      <c r="H217" s="2079"/>
      <c r="I217" s="1009"/>
      <c r="J217" s="998"/>
      <c r="K217" s="2024"/>
      <c r="L217" s="1148"/>
      <c r="M217" s="1148"/>
      <c r="N217" s="1148"/>
    </row>
    <row r="218" customFormat="false" ht="15.5" hidden="false" customHeight="false" outlineLevel="0" collapsed="false">
      <c r="A218" s="903" t="s">
        <v>3542</v>
      </c>
      <c r="B218" s="903" t="s">
        <v>133</v>
      </c>
      <c r="C218" s="903" t="e">
        <f aca="false">C217-C216</f>
        <v>#VALUE!</v>
      </c>
      <c r="D218" s="895"/>
      <c r="E218" s="895"/>
      <c r="F218" s="895"/>
      <c r="G218" s="2028"/>
      <c r="H218" s="2079"/>
      <c r="I218" s="1009"/>
      <c r="J218" s="998"/>
      <c r="K218" s="2024"/>
      <c r="L218" s="1148"/>
      <c r="M218" s="1148"/>
      <c r="N218" s="1148"/>
    </row>
    <row r="219" customFormat="false" ht="15.5" hidden="false" customHeight="false" outlineLevel="0" collapsed="false">
      <c r="A219" s="2095" t="s">
        <v>3543</v>
      </c>
      <c r="B219" s="2095"/>
      <c r="C219" s="2083" t="s">
        <v>120</v>
      </c>
      <c r="D219" s="2083" t="s">
        <v>853</v>
      </c>
      <c r="E219" s="2023" t="e">
        <f aca="false">'ввод данных'!#ref!</f>
        <v>#VALUE!</v>
      </c>
      <c r="F219" s="2084" t="s">
        <v>3555</v>
      </c>
      <c r="G219" s="2028"/>
      <c r="H219" s="2079"/>
      <c r="I219" s="1009"/>
      <c r="J219" s="998"/>
      <c r="K219" s="2024"/>
      <c r="L219" s="1148"/>
      <c r="M219" s="1148"/>
      <c r="N219" s="1148"/>
    </row>
    <row r="220" customFormat="false" ht="15.5" hidden="false" customHeight="false" outlineLevel="0" collapsed="false">
      <c r="A220" s="906" t="s">
        <v>3544</v>
      </c>
      <c r="B220" s="907"/>
      <c r="C220" s="925" t="s">
        <v>156</v>
      </c>
      <c r="D220" s="903" t="n">
        <f aca="false">SQRT((C208/2)*(C208/2)+C206*C206)</f>
        <v>0</v>
      </c>
      <c r="E220" s="1217"/>
      <c r="F220" s="1217"/>
      <c r="G220" s="2028"/>
      <c r="H220" s="2079"/>
      <c r="I220" s="1009"/>
      <c r="J220" s="998"/>
      <c r="K220" s="2024"/>
      <c r="L220" s="1148"/>
      <c r="M220" s="1148"/>
      <c r="N220" s="1148"/>
    </row>
    <row r="221" customFormat="false" ht="15.5" hidden="false" customHeight="false" outlineLevel="0" collapsed="false">
      <c r="A221" s="906" t="s">
        <v>3548</v>
      </c>
      <c r="B221" s="907"/>
      <c r="C221" s="925" t="s">
        <v>156</v>
      </c>
      <c r="D221" s="903" t="n">
        <f aca="false">SQRT(D220*D220+C204*C204)</f>
        <v>0</v>
      </c>
      <c r="E221" s="1217"/>
      <c r="F221" s="1217"/>
      <c r="G221" s="2028"/>
      <c r="H221" s="2079"/>
      <c r="I221" s="1009"/>
      <c r="J221" s="998"/>
      <c r="K221" s="2024"/>
      <c r="L221" s="1148"/>
      <c r="M221" s="1148"/>
      <c r="N221" s="1148"/>
    </row>
    <row r="222" customFormat="false" ht="15.5" hidden="false" customHeight="false" outlineLevel="0" collapsed="false">
      <c r="A222" s="906" t="s">
        <v>3549</v>
      </c>
      <c r="B222" s="907"/>
      <c r="C222" s="925" t="s">
        <v>156</v>
      </c>
      <c r="D222" s="903" t="n">
        <f aca="false">SQRT(D221*D221+C203*C203)</f>
        <v>0</v>
      </c>
      <c r="E222" s="1217"/>
      <c r="F222" s="1217"/>
      <c r="G222" s="2028"/>
      <c r="H222" s="2079"/>
      <c r="I222" s="1009"/>
      <c r="J222" s="998"/>
      <c r="K222" s="2024"/>
      <c r="L222" s="1148"/>
      <c r="M222" s="1148"/>
      <c r="N222" s="1148"/>
    </row>
    <row r="223" customFormat="false" ht="15.5" hidden="false" customHeight="false" outlineLevel="0" collapsed="false">
      <c r="A223" s="2096" t="s">
        <v>2609</v>
      </c>
      <c r="B223" s="2097"/>
      <c r="C223" s="887" t="s">
        <v>133</v>
      </c>
      <c r="D223" s="1219" t="n">
        <f aca="false">D220*C204+D221*C203*1.1+(C202/2)*SQRT(C207*C207+C206*C206)*2</f>
        <v>0</v>
      </c>
      <c r="E223" s="1217"/>
      <c r="F223" s="1217"/>
      <c r="G223" s="2028"/>
      <c r="H223" s="2079"/>
      <c r="I223" s="1009"/>
      <c r="J223" s="998"/>
      <c r="K223" s="371"/>
      <c r="L223" s="1148"/>
      <c r="M223" s="1148"/>
      <c r="N223" s="1148"/>
    </row>
    <row r="224" customFormat="false" ht="15.5" hidden="false" customHeight="false" outlineLevel="0" collapsed="false">
      <c r="A224" s="2096" t="s">
        <v>3545</v>
      </c>
      <c r="B224" s="2098"/>
      <c r="C224" s="887" t="s">
        <v>156</v>
      </c>
      <c r="D224" s="2035" t="n">
        <f aca="false">'Ввод данных'!C433</f>
        <v>0.8</v>
      </c>
      <c r="E224" s="1217"/>
      <c r="F224" s="1217"/>
      <c r="G224" s="2028"/>
      <c r="H224" s="2079"/>
      <c r="I224" s="1009"/>
      <c r="J224" s="998"/>
      <c r="K224" s="452"/>
      <c r="L224" s="1148"/>
      <c r="M224" s="1148"/>
      <c r="N224" s="1148"/>
    </row>
    <row r="225" customFormat="false" ht="15.5" hidden="false" customHeight="false" outlineLevel="0" collapsed="false">
      <c r="A225" s="906" t="s">
        <v>3550</v>
      </c>
      <c r="B225" s="907"/>
      <c r="C225" s="903" t="s">
        <v>156</v>
      </c>
      <c r="D225" s="1023" t="n">
        <f aca="false">D220+D224</f>
        <v>0.8</v>
      </c>
      <c r="E225" s="1217"/>
      <c r="F225" s="1217"/>
      <c r="G225" s="2028"/>
      <c r="H225" s="2079"/>
      <c r="I225" s="1009"/>
      <c r="J225" s="998"/>
      <c r="K225" s="452"/>
      <c r="L225" s="1148"/>
      <c r="M225" s="1148"/>
      <c r="N225" s="1148"/>
    </row>
    <row r="226" customFormat="false" ht="15.5" hidden="false" customHeight="false" outlineLevel="0" collapsed="false">
      <c r="A226" s="906" t="s">
        <v>3552</v>
      </c>
      <c r="B226" s="907"/>
      <c r="C226" s="903" t="s">
        <v>156</v>
      </c>
      <c r="D226" s="1023" t="n">
        <f aca="false">D221+D224</f>
        <v>0.8</v>
      </c>
      <c r="E226" s="1217"/>
      <c r="F226" s="1217"/>
      <c r="G226" s="2028"/>
      <c r="H226" s="2079"/>
      <c r="I226" s="1009"/>
      <c r="J226" s="998"/>
      <c r="K226" s="452"/>
      <c r="L226" s="1148"/>
      <c r="M226" s="1148"/>
      <c r="N226" s="1148"/>
    </row>
    <row r="227" customFormat="false" ht="15.5" hidden="false" customHeight="false" outlineLevel="0" collapsed="false">
      <c r="A227" s="906" t="s">
        <v>3554</v>
      </c>
      <c r="B227" s="907"/>
      <c r="C227" s="903" t="s">
        <v>156</v>
      </c>
      <c r="D227" s="1023" t="n">
        <f aca="false">D222+D224</f>
        <v>0.8</v>
      </c>
      <c r="E227" s="1217"/>
      <c r="F227" s="1217"/>
      <c r="G227" s="2028"/>
      <c r="H227" s="2079"/>
      <c r="I227" s="1009"/>
      <c r="J227" s="998"/>
      <c r="K227" s="452"/>
      <c r="L227" s="1148"/>
      <c r="M227" s="1148"/>
      <c r="N227" s="1148"/>
    </row>
    <row r="228" customFormat="false" ht="15.5" hidden="false" customHeight="false" outlineLevel="0" collapsed="false">
      <c r="A228" s="2096" t="s">
        <v>2610</v>
      </c>
      <c r="B228" s="2097"/>
      <c r="C228" s="887" t="s">
        <v>133</v>
      </c>
      <c r="D228" s="1219" t="e">
        <f aca="false">((C204*D224*2+C203*D224*2+C202*D224)*1.1+D223)*E219</f>
        <v>#VALUE!</v>
      </c>
      <c r="E228" s="1217"/>
      <c r="F228" s="1217"/>
      <c r="G228" s="2028"/>
      <c r="H228" s="2079"/>
      <c r="I228" s="1009"/>
      <c r="J228" s="998"/>
      <c r="K228" s="452"/>
      <c r="L228" s="1148"/>
      <c r="M228" s="1148"/>
      <c r="N228" s="1148"/>
    </row>
    <row r="229" customFormat="false" ht="15.5" hidden="false" customHeight="false" outlineLevel="0" collapsed="false">
      <c r="A229" s="2099" t="s">
        <v>2635</v>
      </c>
      <c r="B229" s="2099"/>
      <c r="C229" s="2099"/>
      <c r="D229" s="2099"/>
      <c r="E229" s="2023" t="e">
        <f aca="false">'ввод данных'!#ref!</f>
        <v>#VALUE!</v>
      </c>
      <c r="F229" s="2024" t="s">
        <v>3568</v>
      </c>
      <c r="G229" s="2028"/>
      <c r="H229" s="2079"/>
      <c r="I229" s="1009"/>
      <c r="J229" s="998"/>
      <c r="K229" s="894"/>
      <c r="L229" s="1148"/>
      <c r="M229" s="1148"/>
      <c r="N229" s="1148"/>
    </row>
    <row r="230" customFormat="false" ht="15.5" hidden="false" customHeight="false" outlineLevel="0" collapsed="false">
      <c r="A230" s="2100" t="s">
        <v>2572</v>
      </c>
      <c r="B230" s="2051" t="s">
        <v>156</v>
      </c>
      <c r="C230" s="2100" t="n">
        <f aca="false">C204*2+C203*2+C202</f>
        <v>0</v>
      </c>
      <c r="D230" s="2024"/>
      <c r="E230" s="2024"/>
      <c r="F230" s="1217"/>
      <c r="G230" s="2028"/>
      <c r="H230" s="2079"/>
      <c r="I230" s="1009"/>
      <c r="J230" s="998"/>
      <c r="K230" s="998"/>
      <c r="L230" s="1148"/>
      <c r="M230" s="1148"/>
      <c r="N230" s="1148"/>
    </row>
    <row r="231" customFormat="false" ht="15.5" hidden="false" customHeight="false" outlineLevel="0" collapsed="false">
      <c r="A231" s="2053" t="s">
        <v>3427</v>
      </c>
      <c r="B231" s="925" t="s">
        <v>133</v>
      </c>
      <c r="C231" s="2053" t="e">
        <f aca="false">C199+C200</f>
        <v>#VALUE!</v>
      </c>
      <c r="D231" s="2024"/>
      <c r="E231" s="2024"/>
      <c r="F231" s="1217"/>
      <c r="G231" s="2028"/>
      <c r="H231" s="2079"/>
      <c r="I231" s="1009"/>
      <c r="J231" s="998"/>
      <c r="K231" s="2084"/>
      <c r="L231" s="1148"/>
      <c r="M231" s="1148"/>
      <c r="N231" s="1148"/>
    </row>
    <row r="232" customFormat="false" ht="15.5" hidden="false" customHeight="false" outlineLevel="0" collapsed="false">
      <c r="A232" s="895"/>
      <c r="B232" s="895"/>
      <c r="C232" s="895"/>
      <c r="D232" s="895"/>
      <c r="E232" s="895"/>
      <c r="F232" s="895"/>
      <c r="G232" s="2028"/>
      <c r="H232" s="2079"/>
      <c r="I232" s="1009"/>
      <c r="J232" s="998"/>
      <c r="K232" s="1217"/>
      <c r="L232" s="1148"/>
      <c r="M232" s="1148"/>
      <c r="N232" s="1148"/>
    </row>
    <row r="233" customFormat="false" ht="15.5" hidden="false" customHeight="false" outlineLevel="0" collapsed="false">
      <c r="A233" s="895"/>
      <c r="B233" s="895"/>
      <c r="C233" s="895"/>
      <c r="D233" s="895"/>
      <c r="E233" s="895"/>
      <c r="F233" s="895"/>
      <c r="G233" s="2028"/>
      <c r="H233" s="2079"/>
      <c r="I233" s="1009"/>
      <c r="J233" s="998"/>
      <c r="K233" s="1217"/>
      <c r="L233" s="1148"/>
      <c r="M233" s="1148"/>
      <c r="N233" s="1148"/>
    </row>
    <row r="234" customFormat="false" ht="15.5" hidden="false" customHeight="false" outlineLevel="0" collapsed="false">
      <c r="A234" s="895"/>
      <c r="B234" s="895"/>
      <c r="C234" s="895"/>
      <c r="D234" s="895"/>
      <c r="E234" s="895"/>
      <c r="F234" s="895"/>
      <c r="G234" s="2028"/>
      <c r="H234" s="2079"/>
      <c r="I234" s="1009"/>
      <c r="J234" s="998"/>
      <c r="K234" s="1217"/>
      <c r="L234" s="1148"/>
      <c r="M234" s="1148"/>
      <c r="N234" s="1148"/>
    </row>
    <row r="235" customFormat="false" ht="15.5" hidden="false" customHeight="false" outlineLevel="0" collapsed="false">
      <c r="A235" s="895"/>
      <c r="B235" s="895"/>
      <c r="C235" s="895"/>
      <c r="D235" s="895"/>
      <c r="E235" s="895"/>
      <c r="F235" s="895"/>
      <c r="G235" s="2028"/>
      <c r="H235" s="2079"/>
      <c r="I235" s="1009"/>
      <c r="J235" s="998"/>
      <c r="K235" s="1217"/>
      <c r="L235" s="1148"/>
      <c r="M235" s="1148"/>
      <c r="N235" s="1148"/>
    </row>
    <row r="236" customFormat="false" ht="15.5" hidden="false" customHeight="false" outlineLevel="0" collapsed="false">
      <c r="A236" s="2084"/>
      <c r="B236" s="2084"/>
      <c r="C236" s="2101"/>
      <c r="D236" s="1217"/>
      <c r="E236" s="1217"/>
      <c r="F236" s="1217"/>
      <c r="G236" s="2028"/>
      <c r="H236" s="2079"/>
      <c r="I236" s="1009"/>
      <c r="J236" s="998"/>
      <c r="K236" s="1217"/>
      <c r="L236" s="1148"/>
      <c r="M236" s="1148"/>
      <c r="N236" s="1148"/>
    </row>
    <row r="237" customFormat="false" ht="15.5" hidden="false" customHeight="false" outlineLevel="0" collapsed="false">
      <c r="A237" s="895"/>
      <c r="B237" s="895"/>
      <c r="C237" s="895"/>
      <c r="D237" s="895"/>
      <c r="E237" s="358"/>
      <c r="F237" s="2024"/>
      <c r="G237" s="895"/>
      <c r="H237" s="2079"/>
      <c r="I237" s="1009"/>
      <c r="J237" s="998"/>
      <c r="K237" s="2024"/>
      <c r="L237" s="1148"/>
      <c r="M237" s="1148"/>
      <c r="N237" s="1148"/>
    </row>
    <row r="238" customFormat="false" ht="15.5" hidden="false" customHeight="false" outlineLevel="0" collapsed="false">
      <c r="A238" s="895"/>
      <c r="B238" s="895"/>
      <c r="C238" s="895"/>
      <c r="D238" s="895"/>
      <c r="E238" s="358"/>
      <c r="F238" s="358"/>
      <c r="G238" s="2025"/>
      <c r="H238" s="2079"/>
      <c r="I238" s="1009"/>
      <c r="J238" s="998"/>
      <c r="K238" s="1217"/>
      <c r="L238" s="1148"/>
      <c r="M238" s="1148"/>
      <c r="N238" s="1148"/>
    </row>
    <row r="239" customFormat="false" ht="15.5" hidden="false" customHeight="false" outlineLevel="0" collapsed="false">
      <c r="A239" s="895"/>
      <c r="B239" s="895"/>
      <c r="C239" s="895"/>
      <c r="D239" s="895"/>
      <c r="E239" s="358"/>
      <c r="F239" s="358"/>
      <c r="G239" s="2025"/>
      <c r="H239" s="2079"/>
      <c r="I239" s="1009"/>
      <c r="J239" s="998"/>
      <c r="K239" s="1217"/>
      <c r="L239" s="1148"/>
      <c r="M239" s="1148"/>
      <c r="N239" s="1148"/>
    </row>
    <row r="240" customFormat="false" ht="15.5" hidden="false" customHeight="false" outlineLevel="0" collapsed="false">
      <c r="A240" s="895"/>
      <c r="B240" s="895"/>
      <c r="C240" s="895"/>
      <c r="D240" s="895"/>
      <c r="E240" s="2024"/>
      <c r="F240" s="2024"/>
      <c r="G240" s="2025"/>
      <c r="H240" s="2079"/>
      <c r="I240" s="1009"/>
      <c r="J240" s="998"/>
      <c r="K240" s="894"/>
      <c r="L240" s="1148"/>
      <c r="M240" s="1148"/>
      <c r="N240" s="1148"/>
    </row>
    <row r="241" customFormat="false" ht="15.5" hidden="false" customHeight="false" outlineLevel="0" collapsed="false">
      <c r="A241" s="2102" t="s">
        <v>2069</v>
      </c>
      <c r="B241" s="756" t="s">
        <v>120</v>
      </c>
      <c r="C241" s="758" t="s">
        <v>1753</v>
      </c>
      <c r="D241" s="2035" t="str">
        <f aca="false">'Ввод данных'!F512</f>
        <v>Не считать</v>
      </c>
      <c r="E241" s="2024" t="s">
        <v>3897</v>
      </c>
      <c r="F241" s="2024"/>
      <c r="G241" s="2025"/>
      <c r="H241" s="2079"/>
      <c r="I241" s="1009"/>
      <c r="J241" s="998"/>
      <c r="K241" s="894"/>
      <c r="L241" s="1148"/>
      <c r="M241" s="1148"/>
      <c r="N241" s="1148"/>
    </row>
    <row r="242" customFormat="false" ht="15.5" hidden="false" customHeight="false" outlineLevel="0" collapsed="false">
      <c r="A242" s="2053" t="s">
        <v>2058</v>
      </c>
      <c r="B242" s="925" t="s">
        <v>156</v>
      </c>
      <c r="C242" s="474" t="n">
        <v>3</v>
      </c>
      <c r="D242" s="358"/>
      <c r="E242" s="2024"/>
      <c r="F242" s="2024"/>
      <c r="G242" s="2025"/>
      <c r="H242" s="2079"/>
      <c r="I242" s="1009"/>
      <c r="J242" s="998"/>
      <c r="K242" s="371"/>
      <c r="L242" s="1148"/>
      <c r="M242" s="1148"/>
      <c r="N242" s="1148"/>
    </row>
    <row r="243" customFormat="false" ht="15.5" hidden="false" customHeight="false" outlineLevel="0" collapsed="false">
      <c r="A243" s="2053" t="s">
        <v>3898</v>
      </c>
      <c r="B243" s="925" t="s">
        <v>156</v>
      </c>
      <c r="C243" s="2090" t="n">
        <f aca="false">'Ввод данных'!C467</f>
        <v>1</v>
      </c>
      <c r="D243" s="358"/>
      <c r="E243" s="2024"/>
      <c r="F243" s="2024"/>
      <c r="G243" s="2025"/>
      <c r="H243" s="2079"/>
      <c r="I243" s="1009"/>
      <c r="J243" s="998"/>
      <c r="K243" s="358"/>
      <c r="L243" s="1148"/>
      <c r="M243" s="1148"/>
      <c r="N243" s="1148"/>
    </row>
    <row r="244" customFormat="false" ht="15.5" hidden="false" customHeight="false" outlineLevel="0" collapsed="false">
      <c r="A244" s="2042" t="s">
        <v>3838</v>
      </c>
      <c r="B244" s="925" t="s">
        <v>156</v>
      </c>
      <c r="C244" s="2090" t="n">
        <f aca="false">'Ввод данных'!C468</f>
        <v>0.9</v>
      </c>
      <c r="D244" s="358"/>
      <c r="E244" s="2024"/>
      <c r="F244" s="2024"/>
      <c r="G244" s="2024"/>
      <c r="H244" s="2079"/>
      <c r="I244" s="1009"/>
      <c r="J244" s="998"/>
      <c r="K244" s="358"/>
      <c r="L244" s="1148"/>
      <c r="M244" s="1148"/>
      <c r="N244" s="1148"/>
    </row>
    <row r="245" customFormat="false" ht="15.5" hidden="false" customHeight="false" outlineLevel="0" collapsed="false">
      <c r="A245" s="2053" t="s">
        <v>3899</v>
      </c>
      <c r="B245" s="925" t="s">
        <v>133</v>
      </c>
      <c r="C245" s="2053" t="n">
        <f aca="false">C242*C243</f>
        <v>3</v>
      </c>
      <c r="D245" s="358"/>
      <c r="E245" s="2024"/>
      <c r="F245" s="2024"/>
      <c r="G245" s="2024"/>
      <c r="H245" s="2079"/>
      <c r="I245" s="1009"/>
      <c r="J245" s="998"/>
      <c r="K245" s="358"/>
      <c r="L245" s="1148"/>
      <c r="M245" s="1148"/>
      <c r="N245" s="1148"/>
    </row>
    <row r="246" customFormat="false" ht="15.5" hidden="false" customHeight="false" outlineLevel="0" collapsed="false">
      <c r="A246" s="903" t="s">
        <v>3900</v>
      </c>
      <c r="B246" s="903" t="s">
        <v>133</v>
      </c>
      <c r="C246" s="2053" t="n">
        <f aca="false">(C242+C243+C243)*C244</f>
        <v>4.5</v>
      </c>
      <c r="D246" s="358"/>
      <c r="E246" s="2024"/>
      <c r="F246" s="2024"/>
      <c r="G246" s="2024"/>
      <c r="H246" s="2079"/>
      <c r="I246" s="1009"/>
      <c r="J246" s="998"/>
      <c r="K246" s="358"/>
      <c r="L246" s="1148"/>
      <c r="M246" s="1148"/>
      <c r="N246" s="1148"/>
    </row>
    <row r="247" customFormat="false" ht="15.5" hidden="false" customHeight="false" outlineLevel="0" collapsed="false">
      <c r="A247" s="895"/>
      <c r="B247" s="895"/>
      <c r="C247" s="895"/>
      <c r="D247" s="358"/>
      <c r="E247" s="2024"/>
      <c r="F247" s="2024"/>
      <c r="G247" s="2024"/>
      <c r="H247" s="2079"/>
      <c r="I247" s="1009"/>
      <c r="J247" s="998"/>
      <c r="K247" s="358"/>
      <c r="L247" s="1148"/>
      <c r="M247" s="1148"/>
      <c r="N247" s="1148"/>
    </row>
    <row r="248" customFormat="false" ht="15.5" hidden="false" customHeight="false" outlineLevel="0" collapsed="false">
      <c r="A248" s="2024"/>
      <c r="B248" s="2055"/>
      <c r="C248" s="2024"/>
      <c r="D248" s="2024"/>
      <c r="E248" s="2024"/>
      <c r="F248" s="2024"/>
      <c r="G248" s="2024"/>
      <c r="H248" s="2079"/>
      <c r="I248" s="1009"/>
      <c r="J248" s="998"/>
      <c r="K248" s="371"/>
      <c r="L248" s="1148"/>
      <c r="M248" s="1148"/>
      <c r="N248" s="1148"/>
    </row>
    <row r="249" customFormat="false" ht="15.5" hidden="false" customHeight="false" outlineLevel="0" collapsed="false">
      <c r="A249" s="2024"/>
      <c r="B249" s="2055"/>
      <c r="C249" s="2024"/>
      <c r="D249" s="2024"/>
      <c r="E249" s="2024"/>
      <c r="F249" s="2024"/>
      <c r="G249" s="2024"/>
      <c r="H249" s="2079"/>
      <c r="I249" s="1009"/>
      <c r="J249" s="998"/>
      <c r="K249" s="371"/>
      <c r="L249" s="1148"/>
      <c r="M249" s="1148"/>
      <c r="N249" s="1148"/>
    </row>
    <row r="250" customFormat="false" ht="15.5" hidden="false" customHeight="false" outlineLevel="0" collapsed="false">
      <c r="A250" s="2024"/>
      <c r="B250" s="2055"/>
      <c r="C250" s="2024"/>
      <c r="D250" s="2024"/>
      <c r="E250" s="2024"/>
      <c r="F250" s="2024"/>
      <c r="G250" s="2024"/>
      <c r="H250" s="2079"/>
      <c r="I250" s="1009"/>
      <c r="J250" s="998"/>
      <c r="K250" s="371"/>
      <c r="L250" s="1148"/>
      <c r="M250" s="1148"/>
      <c r="N250" s="1148"/>
    </row>
    <row r="251" customFormat="false" ht="15.5" hidden="false" customHeight="false" outlineLevel="0" collapsed="false">
      <c r="A251" s="2024"/>
      <c r="B251" s="2055"/>
      <c r="C251" s="2024"/>
      <c r="D251" s="2024"/>
      <c r="E251" s="2024"/>
      <c r="F251" s="2024"/>
      <c r="G251" s="2024"/>
      <c r="H251" s="2079"/>
      <c r="I251" s="1009"/>
      <c r="J251" s="998"/>
      <c r="K251" s="371"/>
      <c r="L251" s="1148"/>
      <c r="M251" s="1148"/>
      <c r="N251" s="1148"/>
    </row>
    <row r="252" customFormat="false" ht="15.5" hidden="false" customHeight="false" outlineLevel="0" collapsed="false">
      <c r="A252" s="2024"/>
      <c r="B252" s="2055"/>
      <c r="C252" s="2024"/>
      <c r="D252" s="2024"/>
      <c r="E252" s="2024"/>
      <c r="F252" s="2024"/>
      <c r="G252" s="2024"/>
      <c r="H252" s="2079"/>
      <c r="I252" s="1009"/>
      <c r="J252" s="998"/>
      <c r="K252" s="371"/>
      <c r="L252" s="1148"/>
      <c r="M252" s="1148"/>
      <c r="N252" s="1148"/>
    </row>
    <row r="253" customFormat="false" ht="15.5" hidden="false" customHeight="false" outlineLevel="0" collapsed="false">
      <c r="A253" s="2024"/>
      <c r="B253" s="2055"/>
      <c r="C253" s="2024"/>
      <c r="D253" s="2024"/>
      <c r="E253" s="2024"/>
      <c r="F253" s="2024"/>
      <c r="G253" s="2024"/>
      <c r="H253" s="2079"/>
      <c r="I253" s="1009"/>
      <c r="J253" s="998"/>
      <c r="K253" s="371"/>
      <c r="L253" s="1148"/>
      <c r="M253" s="1148"/>
      <c r="N253" s="1148"/>
    </row>
    <row r="254" customFormat="false" ht="15.5" hidden="false" customHeight="false" outlineLevel="0" collapsed="false">
      <c r="A254" s="2024"/>
      <c r="B254" s="2055"/>
      <c r="C254" s="2024"/>
      <c r="D254" s="2024"/>
      <c r="E254" s="2024"/>
      <c r="F254" s="2024"/>
      <c r="G254" s="2024"/>
      <c r="H254" s="2079"/>
      <c r="I254" s="1009"/>
      <c r="J254" s="998"/>
      <c r="K254" s="371"/>
      <c r="L254" s="1148"/>
      <c r="M254" s="1148"/>
      <c r="N254" s="1148"/>
    </row>
    <row r="255" customFormat="false" ht="15.5" hidden="false" customHeight="false" outlineLevel="0" collapsed="false">
      <c r="A255" s="2024"/>
      <c r="B255" s="2055"/>
      <c r="C255" s="2024"/>
      <c r="D255" s="2024"/>
      <c r="E255" s="2024"/>
      <c r="F255" s="2024"/>
      <c r="G255" s="2024"/>
      <c r="H255" s="2079"/>
      <c r="I255" s="1009"/>
      <c r="J255" s="998"/>
      <c r="K255" s="2024"/>
      <c r="L255" s="1148"/>
      <c r="M255" s="1148"/>
      <c r="N255" s="1148"/>
    </row>
    <row r="256" customFormat="false" ht="15.5" hidden="false" customHeight="false" outlineLevel="0" collapsed="false">
      <c r="A256" s="2024"/>
      <c r="B256" s="2055"/>
      <c r="C256" s="2024"/>
      <c r="D256" s="2024"/>
      <c r="E256" s="2024"/>
      <c r="F256" s="2024"/>
      <c r="G256" s="2024"/>
      <c r="H256" s="2079"/>
      <c r="I256" s="1009"/>
      <c r="J256" s="998"/>
      <c r="K256" s="894"/>
      <c r="L256" s="1148"/>
      <c r="M256" s="1148"/>
      <c r="N256" s="1148"/>
    </row>
    <row r="257" customFormat="false" ht="15.5" hidden="false" customHeight="false" outlineLevel="0" collapsed="false">
      <c r="A257" s="895"/>
      <c r="B257" s="895"/>
      <c r="C257" s="895"/>
      <c r="D257" s="895"/>
      <c r="E257" s="358"/>
      <c r="F257" s="2024"/>
      <c r="G257" s="358"/>
      <c r="H257" s="2079"/>
      <c r="I257" s="1009"/>
      <c r="J257" s="895"/>
      <c r="K257" s="894"/>
      <c r="L257" s="1148"/>
      <c r="M257" s="1148"/>
      <c r="N257" s="1148"/>
    </row>
    <row r="258" customFormat="false" ht="15.5" hidden="false" customHeight="false" outlineLevel="0" collapsed="false">
      <c r="A258" s="895"/>
      <c r="B258" s="895"/>
      <c r="C258" s="895"/>
      <c r="D258" s="895"/>
      <c r="E258" s="358"/>
      <c r="F258" s="358"/>
      <c r="G258" s="2024"/>
      <c r="H258" s="2079"/>
      <c r="I258" s="1009"/>
      <c r="J258" s="895"/>
      <c r="K258" s="894"/>
      <c r="L258" s="1148"/>
      <c r="M258" s="1148"/>
      <c r="N258" s="1148"/>
    </row>
    <row r="259" customFormat="false" ht="15.5" hidden="false" customHeight="false" outlineLevel="0" collapsed="false">
      <c r="A259" s="895"/>
      <c r="B259" s="895"/>
      <c r="C259" s="895"/>
      <c r="D259" s="895"/>
      <c r="E259" s="358"/>
      <c r="F259" s="358"/>
      <c r="G259" s="2024"/>
      <c r="H259" s="2079"/>
      <c r="I259" s="1009"/>
      <c r="J259" s="895"/>
      <c r="K259" s="894"/>
      <c r="L259" s="1148"/>
      <c r="M259" s="1148"/>
      <c r="N259" s="1148"/>
    </row>
    <row r="260" customFormat="false" ht="15.5" hidden="false" customHeight="false" outlineLevel="0" collapsed="false">
      <c r="A260" s="895"/>
      <c r="B260" s="895"/>
      <c r="C260" s="895"/>
      <c r="D260" s="895"/>
      <c r="E260" s="2024"/>
      <c r="F260" s="2024"/>
      <c r="G260" s="2024"/>
      <c r="H260" s="2079"/>
      <c r="I260" s="1009"/>
      <c r="J260" s="895"/>
      <c r="K260" s="2055"/>
      <c r="L260" s="1148"/>
      <c r="M260" s="1148"/>
      <c r="N260" s="1148"/>
    </row>
    <row r="261" customFormat="false" ht="15.5" hidden="false" customHeight="false" outlineLevel="0" collapsed="false">
      <c r="A261" s="895"/>
      <c r="B261" s="895"/>
      <c r="C261" s="895"/>
      <c r="D261" s="895"/>
      <c r="E261" s="2024"/>
      <c r="F261" s="2024"/>
      <c r="G261" s="2024"/>
      <c r="H261" s="2079"/>
      <c r="I261" s="1009"/>
      <c r="J261" s="895"/>
      <c r="K261" s="452"/>
      <c r="L261" s="1148"/>
      <c r="M261" s="1148"/>
      <c r="N261" s="1148"/>
    </row>
    <row r="262" customFormat="false" ht="15.5" hidden="false" customHeight="false" outlineLevel="0" collapsed="false">
      <c r="A262" s="895"/>
      <c r="B262" s="895"/>
      <c r="C262" s="895"/>
      <c r="D262" s="895"/>
      <c r="E262" s="2024"/>
      <c r="F262" s="2024"/>
      <c r="G262" s="2024"/>
      <c r="H262" s="2079"/>
      <c r="I262" s="1009"/>
      <c r="J262" s="895"/>
      <c r="K262" s="452"/>
      <c r="L262" s="1148"/>
      <c r="M262" s="1148"/>
      <c r="N262" s="1148"/>
    </row>
    <row r="263" customFormat="false" ht="15.5" hidden="false" customHeight="false" outlineLevel="0" collapsed="false">
      <c r="A263" s="2103" t="s">
        <v>3812</v>
      </c>
      <c r="B263" s="2104" t="s">
        <v>120</v>
      </c>
      <c r="C263" s="756" t="s">
        <v>1753</v>
      </c>
      <c r="D263" s="2035" t="str">
        <f aca="false">'Ввод данных'!F617</f>
        <v>Не считать</v>
      </c>
      <c r="E263" s="2024" t="s">
        <v>3813</v>
      </c>
      <c r="F263" s="2024"/>
      <c r="G263" s="2024"/>
      <c r="H263" s="2079"/>
      <c r="I263" s="1009"/>
      <c r="J263" s="895"/>
      <c r="K263" s="452"/>
      <c r="L263" s="1148"/>
      <c r="M263" s="1148"/>
      <c r="N263" s="1148"/>
    </row>
    <row r="264" customFormat="false" ht="15.5" hidden="false" customHeight="false" outlineLevel="0" collapsed="false">
      <c r="A264" s="903" t="s">
        <v>2002</v>
      </c>
      <c r="B264" s="903" t="s">
        <v>159</v>
      </c>
      <c r="C264" s="2090" t="n">
        <f aca="false">'Ввод данных'!E520</f>
        <v>0</v>
      </c>
      <c r="D264" s="894"/>
      <c r="E264" s="2024"/>
      <c r="F264" s="2024"/>
      <c r="G264" s="2024"/>
      <c r="H264" s="2079"/>
      <c r="I264" s="1009"/>
      <c r="J264" s="895"/>
      <c r="K264" s="452"/>
      <c r="L264" s="1148"/>
      <c r="M264" s="1148"/>
      <c r="N264" s="1148"/>
    </row>
    <row r="265" customFormat="false" ht="15.5" hidden="false" customHeight="false" outlineLevel="0" collapsed="false">
      <c r="A265" s="903" t="s">
        <v>3814</v>
      </c>
      <c r="B265" s="903" t="s">
        <v>159</v>
      </c>
      <c r="C265" s="2090" t="n">
        <f aca="false">'Ввод данных'!E521</f>
        <v>0</v>
      </c>
      <c r="D265" s="903" t="s">
        <v>2975</v>
      </c>
      <c r="E265" s="2024"/>
      <c r="F265" s="2024"/>
      <c r="G265" s="2024"/>
      <c r="H265" s="2079"/>
      <c r="I265" s="1009"/>
      <c r="J265" s="895"/>
      <c r="K265" s="452"/>
      <c r="L265" s="1148"/>
      <c r="M265" s="1148"/>
      <c r="N265" s="1148"/>
    </row>
    <row r="266" customFormat="false" ht="15.5" hidden="false" customHeight="false" outlineLevel="0" collapsed="false">
      <c r="A266" s="903" t="s">
        <v>2001</v>
      </c>
      <c r="B266" s="903" t="s">
        <v>159</v>
      </c>
      <c r="C266" s="903"/>
      <c r="D266" s="2035" t="e">
        <f aca="false">'ввод данных'!#ref!</f>
        <v>#VALUE!</v>
      </c>
      <c r="E266" s="2023" t="e">
        <f aca="false">'ввод данных'!#ref!</f>
        <v>#VALUE!</v>
      </c>
      <c r="F266" s="2024" t="s">
        <v>3521</v>
      </c>
      <c r="G266" s="2024"/>
      <c r="H266" s="2079"/>
      <c r="I266" s="1009"/>
      <c r="J266" s="895"/>
      <c r="K266" s="894"/>
      <c r="L266" s="1148"/>
      <c r="M266" s="1148"/>
      <c r="N266" s="1148"/>
    </row>
    <row r="267" customFormat="false" ht="15.5" hidden="false" customHeight="false" outlineLevel="0" collapsed="false">
      <c r="A267" s="903" t="s">
        <v>2557</v>
      </c>
      <c r="B267" s="903" t="s">
        <v>159</v>
      </c>
      <c r="C267" s="903"/>
      <c r="D267" s="2035" t="e">
        <f aca="false">'ввод данных'!#ref!</f>
        <v>#VALUE!</v>
      </c>
      <c r="E267" s="2023" t="e">
        <f aca="false">'ввод данных'!#ref!</f>
        <v>#VALUE!</v>
      </c>
      <c r="F267" s="2024" t="s">
        <v>3522</v>
      </c>
      <c r="G267" s="2024"/>
      <c r="H267" s="2079"/>
      <c r="I267" s="1009"/>
      <c r="J267" s="895"/>
      <c r="K267" s="894"/>
      <c r="L267" s="1148"/>
      <c r="M267" s="1148"/>
      <c r="N267" s="1148"/>
    </row>
    <row r="268" customFormat="false" ht="15.5" hidden="false" customHeight="false" outlineLevel="0" collapsed="false">
      <c r="A268" s="903" t="s">
        <v>2558</v>
      </c>
      <c r="B268" s="903" t="s">
        <v>159</v>
      </c>
      <c r="C268" s="903"/>
      <c r="D268" s="2035" t="e">
        <f aca="false">'ввод данных'!#ref!</f>
        <v>#VALUE!</v>
      </c>
      <c r="E268" s="2023" t="e">
        <f aca="false">'ввод данных'!#ref!</f>
        <v>#VALUE!</v>
      </c>
      <c r="F268" s="2024" t="s">
        <v>3523</v>
      </c>
      <c r="G268" s="2024"/>
      <c r="H268" s="2079"/>
      <c r="I268" s="1009"/>
      <c r="J268" s="895"/>
      <c r="K268" s="894"/>
      <c r="L268" s="1148"/>
      <c r="M268" s="1148"/>
      <c r="N268" s="1148"/>
    </row>
    <row r="269" customFormat="false" ht="15.5" hidden="false" customHeight="false" outlineLevel="0" collapsed="false">
      <c r="A269" s="560" t="s">
        <v>2091</v>
      </c>
      <c r="B269" s="680" t="s">
        <v>156</v>
      </c>
      <c r="C269" s="2090" t="n">
        <f aca="false">'Ввод данных'!C522</f>
        <v>3</v>
      </c>
      <c r="D269" s="450"/>
      <c r="E269" s="2024"/>
      <c r="F269" s="2024"/>
      <c r="G269" s="2024"/>
      <c r="H269" s="2079"/>
      <c r="I269" s="1009"/>
      <c r="J269" s="895"/>
      <c r="K269" s="2084"/>
      <c r="L269" s="1148"/>
      <c r="M269" s="1148"/>
      <c r="N269" s="1148"/>
    </row>
    <row r="270" customFormat="false" ht="15.5" hidden="false" customHeight="false" outlineLevel="0" collapsed="false">
      <c r="A270" s="560" t="s">
        <v>3901</v>
      </c>
      <c r="B270" s="680" t="s">
        <v>156</v>
      </c>
      <c r="C270" s="2090" t="n">
        <f aca="false">'Ввод данных'!C523</f>
        <v>3</v>
      </c>
      <c r="D270" s="450"/>
      <c r="E270" s="2024"/>
      <c r="F270" s="2024"/>
      <c r="G270" s="2024"/>
      <c r="H270" s="2079"/>
      <c r="I270" s="1009"/>
      <c r="J270" s="895"/>
      <c r="K270" s="1217"/>
      <c r="L270" s="1148"/>
      <c r="M270" s="1148"/>
      <c r="N270" s="1148"/>
    </row>
    <row r="271" customFormat="false" ht="15.5" hidden="false" customHeight="false" outlineLevel="0" collapsed="false">
      <c r="A271" s="560" t="s">
        <v>2093</v>
      </c>
      <c r="B271" s="680" t="s">
        <v>156</v>
      </c>
      <c r="C271" s="2090" t="n">
        <f aca="false">'Ввод данных'!C524</f>
        <v>2.7</v>
      </c>
      <c r="D271" s="371"/>
      <c r="E271" s="2024"/>
      <c r="F271" s="2024"/>
      <c r="G271" s="2024"/>
      <c r="H271" s="2079"/>
      <c r="I271" s="1009"/>
      <c r="J271" s="895"/>
      <c r="K271" s="1217"/>
      <c r="L271" s="1148"/>
      <c r="M271" s="1148"/>
      <c r="N271" s="1148"/>
    </row>
    <row r="272" customFormat="false" ht="15.5" hidden="false" customHeight="false" outlineLevel="0" collapsed="false">
      <c r="A272" s="560" t="s">
        <v>2094</v>
      </c>
      <c r="B272" s="680" t="s">
        <v>156</v>
      </c>
      <c r="C272" s="2090" t="n">
        <f aca="false">'Ввод данных'!C525</f>
        <v>2.7</v>
      </c>
      <c r="D272" s="371"/>
      <c r="E272" s="2024"/>
      <c r="F272" s="2024"/>
      <c r="G272" s="2024"/>
      <c r="H272" s="2079"/>
      <c r="I272" s="1009"/>
      <c r="J272" s="895"/>
      <c r="K272" s="1217"/>
      <c r="L272" s="1148"/>
      <c r="M272" s="1148"/>
      <c r="N272" s="1148"/>
    </row>
    <row r="273" customFormat="false" ht="15.5" hidden="false" customHeight="false" outlineLevel="0" collapsed="false">
      <c r="A273" s="2105" t="s">
        <v>1236</v>
      </c>
      <c r="B273" s="2105" t="s">
        <v>120</v>
      </c>
      <c r="C273" s="900" t="s">
        <v>2548</v>
      </c>
      <c r="D273" s="895"/>
      <c r="E273" s="2024"/>
      <c r="F273" s="2024"/>
      <c r="G273" s="2024"/>
      <c r="H273" s="2079"/>
      <c r="I273" s="1009"/>
      <c r="J273" s="895"/>
      <c r="K273" s="1217"/>
      <c r="L273" s="1148"/>
      <c r="M273" s="1148"/>
      <c r="N273" s="1148"/>
    </row>
    <row r="274" customFormat="false" ht="15.5" hidden="false" customHeight="false" outlineLevel="0" collapsed="false">
      <c r="A274" s="903" t="s">
        <v>3902</v>
      </c>
      <c r="B274" s="924" t="s">
        <v>133</v>
      </c>
      <c r="C274" s="903" t="e">
        <f aca="false">C269*C270*E266</f>
        <v>#VALUE!</v>
      </c>
      <c r="D274" s="895"/>
      <c r="E274" s="2024"/>
      <c r="F274" s="2024"/>
      <c r="G274" s="2024"/>
      <c r="H274" s="2079"/>
      <c r="I274" s="1009"/>
      <c r="J274" s="895"/>
      <c r="K274" s="1217"/>
      <c r="L274" s="1148"/>
      <c r="M274" s="1148"/>
      <c r="N274" s="1148"/>
    </row>
    <row r="275" customFormat="false" ht="15.5" hidden="false" customHeight="false" outlineLevel="0" collapsed="false">
      <c r="A275" s="903" t="s">
        <v>3903</v>
      </c>
      <c r="B275" s="924" t="s">
        <v>133</v>
      </c>
      <c r="C275" s="903" t="e">
        <f aca="false">C269*C270*E267</f>
        <v>#VALUE!</v>
      </c>
      <c r="D275" s="895"/>
      <c r="E275" s="2024"/>
      <c r="F275" s="2024"/>
      <c r="G275" s="2024"/>
      <c r="H275" s="2079"/>
      <c r="I275" s="1009"/>
      <c r="J275" s="895"/>
      <c r="K275" s="1217"/>
      <c r="L275" s="1148"/>
      <c r="M275" s="1148"/>
      <c r="N275" s="1148"/>
    </row>
    <row r="276" customFormat="false" ht="15.5" hidden="false" customHeight="false" outlineLevel="0" collapsed="false">
      <c r="A276" s="903" t="s">
        <v>3904</v>
      </c>
      <c r="B276" s="924" t="s">
        <v>133</v>
      </c>
      <c r="C276" s="903" t="e">
        <f aca="false">C269*C270*E268</f>
        <v>#VALUE!</v>
      </c>
      <c r="D276" s="895"/>
      <c r="E276" s="2024"/>
      <c r="F276" s="2024"/>
      <c r="G276" s="2024"/>
      <c r="H276" s="2079"/>
      <c r="I276" s="1009"/>
      <c r="J276" s="895"/>
      <c r="K276" s="1217"/>
      <c r="L276" s="1148"/>
      <c r="M276" s="1148"/>
      <c r="N276" s="1148"/>
    </row>
    <row r="277" customFormat="false" ht="15.5" hidden="false" customHeight="false" outlineLevel="0" collapsed="false">
      <c r="A277" s="2099" t="s">
        <v>2635</v>
      </c>
      <c r="B277" s="2099"/>
      <c r="C277" s="2099"/>
      <c r="D277" s="2099"/>
      <c r="E277" s="2023" t="n">
        <f aca="false">'Ввод данных'!D555</f>
        <v>2</v>
      </c>
      <c r="F277" s="2024" t="s">
        <v>3568</v>
      </c>
      <c r="G277" s="2024"/>
      <c r="H277" s="2079"/>
      <c r="I277" s="1009"/>
      <c r="J277" s="895"/>
      <c r="K277" s="1217"/>
      <c r="L277" s="1148"/>
      <c r="M277" s="1148"/>
      <c r="N277" s="1148"/>
    </row>
    <row r="278" customFormat="false" ht="15.5" hidden="false" customHeight="false" outlineLevel="0" collapsed="false">
      <c r="A278" s="2100" t="s">
        <v>2572</v>
      </c>
      <c r="B278" s="2051" t="s">
        <v>156</v>
      </c>
      <c r="C278" s="2100" t="n">
        <f aca="false">(C270+C270+C269)*E277</f>
        <v>18</v>
      </c>
      <c r="D278" s="2024"/>
      <c r="E278" s="2024"/>
      <c r="F278" s="2024"/>
      <c r="G278" s="2024"/>
      <c r="H278" s="2079"/>
      <c r="I278" s="1009"/>
      <c r="J278" s="895"/>
      <c r="K278" s="1217"/>
      <c r="L278" s="1148"/>
      <c r="M278" s="1148"/>
      <c r="N278" s="1148"/>
    </row>
    <row r="279" customFormat="false" ht="15.5" hidden="false" customHeight="false" outlineLevel="0" collapsed="false">
      <c r="A279" s="2053" t="s">
        <v>3427</v>
      </c>
      <c r="B279" s="925" t="s">
        <v>133</v>
      </c>
      <c r="C279" s="2053" t="n">
        <f aca="false">C269*C270*E277</f>
        <v>18</v>
      </c>
      <c r="D279" s="2024"/>
      <c r="E279" s="2024"/>
      <c r="F279" s="2024"/>
      <c r="G279" s="2024"/>
      <c r="H279" s="2079"/>
      <c r="I279" s="1009"/>
      <c r="J279" s="895"/>
      <c r="K279" s="1217"/>
      <c r="L279" s="1148"/>
      <c r="M279" s="1148"/>
      <c r="N279" s="1148"/>
    </row>
    <row r="280" customFormat="false" ht="15.5" hidden="false" customHeight="false" outlineLevel="0" collapsed="false">
      <c r="A280" s="2024"/>
      <c r="B280" s="2055"/>
      <c r="C280" s="2024"/>
      <c r="D280" s="2024"/>
      <c r="E280" s="2024"/>
      <c r="F280" s="2024"/>
      <c r="G280" s="2024"/>
      <c r="H280" s="2079"/>
      <c r="I280" s="1009"/>
      <c r="J280" s="895"/>
      <c r="K280" s="1217"/>
      <c r="L280" s="1148"/>
      <c r="M280" s="1148"/>
      <c r="N280" s="1148"/>
    </row>
    <row r="281" customFormat="false" ht="15.5" hidden="false" customHeight="false" outlineLevel="0" collapsed="false">
      <c r="A281" s="2024"/>
      <c r="B281" s="2055"/>
      <c r="C281" s="2024"/>
      <c r="D281" s="2024"/>
      <c r="E281" s="2024"/>
      <c r="F281" s="2024"/>
      <c r="G281" s="2024"/>
      <c r="H281" s="2079"/>
      <c r="I281" s="1009"/>
      <c r="J281" s="895"/>
      <c r="K281" s="1217"/>
      <c r="L281" s="1148"/>
      <c r="M281" s="1148"/>
      <c r="N281" s="1148"/>
    </row>
    <row r="282" customFormat="false" ht="15.5" hidden="false" customHeight="false" outlineLevel="0" collapsed="false">
      <c r="A282" s="2024"/>
      <c r="B282" s="2055"/>
      <c r="C282" s="2024"/>
      <c r="D282" s="2024"/>
      <c r="E282" s="2024"/>
      <c r="F282" s="2024"/>
      <c r="G282" s="2024"/>
      <c r="H282" s="2079"/>
      <c r="I282" s="1009"/>
      <c r="J282" s="895"/>
      <c r="K282" s="1217"/>
      <c r="L282" s="1148"/>
      <c r="M282" s="1148"/>
      <c r="N282" s="1148"/>
    </row>
    <row r="283" customFormat="false" ht="15.5" hidden="false" customHeight="false" outlineLevel="0" collapsed="false">
      <c r="A283" s="2024"/>
      <c r="B283" s="2024"/>
      <c r="C283" s="2024"/>
      <c r="D283" s="2024"/>
      <c r="E283" s="2024"/>
      <c r="F283" s="2024"/>
      <c r="G283" s="2024"/>
      <c r="H283" s="2079"/>
      <c r="I283" s="1009"/>
      <c r="J283" s="895"/>
      <c r="K283" s="1217"/>
      <c r="L283" s="1148"/>
      <c r="M283" s="1148"/>
      <c r="N283" s="1148"/>
    </row>
    <row r="284" customFormat="false" ht="15.5" hidden="false" customHeight="false" outlineLevel="0" collapsed="false">
      <c r="A284" s="490"/>
      <c r="B284" s="358"/>
      <c r="C284" s="358"/>
      <c r="D284" s="358"/>
      <c r="E284" s="358"/>
      <c r="F284" s="2024"/>
      <c r="G284" s="358"/>
      <c r="H284" s="2079"/>
      <c r="I284" s="1009"/>
      <c r="J284" s="895"/>
      <c r="K284" s="1217"/>
      <c r="L284" s="1148"/>
      <c r="M284" s="1148"/>
      <c r="N284" s="1148"/>
    </row>
    <row r="285" customFormat="false" ht="15.5" hidden="false" customHeight="false" outlineLevel="0" collapsed="false">
      <c r="A285" s="358"/>
      <c r="B285" s="371"/>
      <c r="C285" s="358"/>
      <c r="D285" s="358"/>
      <c r="E285" s="358"/>
      <c r="F285" s="358"/>
      <c r="G285" s="2024"/>
      <c r="H285" s="2079"/>
      <c r="I285" s="1009"/>
      <c r="J285" s="895"/>
      <c r="K285" s="1217"/>
      <c r="L285" s="1148"/>
      <c r="M285" s="1148"/>
      <c r="N285" s="1148"/>
    </row>
    <row r="286" customFormat="false" ht="15.5" hidden="false" customHeight="false" outlineLevel="0" collapsed="false">
      <c r="A286" s="358"/>
      <c r="B286" s="371"/>
      <c r="C286" s="358"/>
      <c r="D286" s="358"/>
      <c r="E286" s="358"/>
      <c r="F286" s="358"/>
      <c r="G286" s="2024"/>
      <c r="H286" s="2079"/>
      <c r="I286" s="1009"/>
      <c r="J286" s="998"/>
      <c r="K286" s="1217"/>
      <c r="L286" s="1148"/>
      <c r="M286" s="1148"/>
      <c r="N286" s="1148"/>
    </row>
    <row r="287" customFormat="false" ht="15.5" hidden="false" customHeight="false" outlineLevel="0" collapsed="false">
      <c r="A287" s="2024"/>
      <c r="B287" s="2055"/>
      <c r="C287" s="2024"/>
      <c r="D287" s="358"/>
      <c r="E287" s="2024"/>
      <c r="F287" s="2024"/>
      <c r="G287" s="2024"/>
      <c r="H287" s="2079"/>
      <c r="I287" s="1009"/>
      <c r="J287" s="998"/>
      <c r="K287" s="1217"/>
      <c r="L287" s="1148"/>
      <c r="M287" s="1148"/>
      <c r="N287" s="1148"/>
    </row>
    <row r="288" customFormat="false" ht="15.5" hidden="false" customHeight="false" outlineLevel="0" collapsed="false">
      <c r="A288" s="2024"/>
      <c r="B288" s="2055"/>
      <c r="C288" s="2024"/>
      <c r="D288" s="2024"/>
      <c r="E288" s="2024"/>
      <c r="F288" s="2024"/>
      <c r="G288" s="2024"/>
      <c r="H288" s="2079"/>
      <c r="I288" s="1009"/>
      <c r="J288" s="998"/>
      <c r="K288" s="1217"/>
      <c r="L288" s="1148"/>
      <c r="M288" s="1148"/>
      <c r="N288" s="1148"/>
    </row>
    <row r="289" customFormat="false" ht="15.5" hidden="false" customHeight="false" outlineLevel="0" collapsed="false">
      <c r="A289" s="2050" t="s">
        <v>3905</v>
      </c>
      <c r="B289" s="2050"/>
      <c r="C289" s="2050"/>
      <c r="D289" s="2050"/>
      <c r="E289" s="2050"/>
      <c r="F289" s="2033" t="e">
        <f aca="false">'ввод данных'!#ref!</f>
        <v>#VALUE!</v>
      </c>
      <c r="G289" s="2077" t="s">
        <v>3906</v>
      </c>
      <c r="H289" s="2048"/>
      <c r="I289" s="2048"/>
      <c r="J289" s="2048"/>
      <c r="K289" s="1217"/>
      <c r="L289" s="1148"/>
      <c r="M289" s="1148"/>
      <c r="N289" s="1148"/>
    </row>
    <row r="290" customFormat="false" ht="15.5" hidden="false" customHeight="false" outlineLevel="0" collapsed="false">
      <c r="A290" s="890" t="s">
        <v>1236</v>
      </c>
      <c r="B290" s="890"/>
      <c r="C290" s="900" t="s">
        <v>120</v>
      </c>
      <c r="D290" s="2031" t="s">
        <v>1552</v>
      </c>
      <c r="E290" s="2031" t="s">
        <v>1820</v>
      </c>
      <c r="F290" s="2024"/>
      <c r="G290" s="2024"/>
      <c r="H290" s="2024"/>
      <c r="I290" s="2024"/>
      <c r="J290" s="2025"/>
      <c r="K290" s="1217"/>
      <c r="L290" s="1148"/>
      <c r="M290" s="1148"/>
      <c r="N290" s="1148"/>
    </row>
    <row r="291" customFormat="false" ht="15.5" hidden="false" customHeight="false" outlineLevel="0" collapsed="false">
      <c r="A291" s="902" t="s">
        <v>134</v>
      </c>
      <c r="B291" s="902"/>
      <c r="C291" s="2053" t="s">
        <v>156</v>
      </c>
      <c r="D291" s="2035" t="n">
        <f aca="false">'Ввод данных'!C830</f>
        <v>0.6</v>
      </c>
      <c r="E291" s="2023" t="n">
        <f aca="false">'Ввод данных'!D829</f>
        <v>0</v>
      </c>
      <c r="F291" s="2024" t="s">
        <v>3907</v>
      </c>
      <c r="G291" s="2024"/>
      <c r="H291" s="2024"/>
      <c r="I291" s="2024"/>
      <c r="J291" s="2025"/>
      <c r="K291" s="1217"/>
      <c r="L291" s="1148"/>
      <c r="M291" s="1148"/>
      <c r="N291" s="1148"/>
    </row>
    <row r="292" customFormat="false" ht="15.5" hidden="false" customHeight="false" outlineLevel="0" collapsed="false">
      <c r="A292" s="902" t="s">
        <v>3908</v>
      </c>
      <c r="B292" s="902"/>
      <c r="C292" s="903" t="s">
        <v>156</v>
      </c>
      <c r="D292" s="2035" t="e">
        <f aca="false">'ввод данных'!#ref!</f>
        <v>#VALUE!</v>
      </c>
      <c r="E292" s="2023" t="n">
        <f aca="false">'Ввод данных'!D830</f>
        <v>0</v>
      </c>
      <c r="F292" s="2024" t="s">
        <v>3909</v>
      </c>
      <c r="G292" s="2024"/>
      <c r="H292" s="2024"/>
      <c r="I292" s="2024"/>
      <c r="J292" s="2025"/>
      <c r="K292" s="1217"/>
      <c r="L292" s="1148"/>
      <c r="M292" s="1148"/>
      <c r="N292" s="1148"/>
    </row>
    <row r="293" customFormat="false" ht="15.5" hidden="false" customHeight="false" outlineLevel="0" collapsed="false">
      <c r="A293" s="902" t="s">
        <v>2214</v>
      </c>
      <c r="B293" s="902"/>
      <c r="C293" s="903" t="s">
        <v>156</v>
      </c>
      <c r="D293" s="925"/>
      <c r="E293" s="2023" t="n">
        <f aca="false">'Ввод данных'!D832</f>
        <v>0</v>
      </c>
      <c r="F293" s="2024" t="s">
        <v>3910</v>
      </c>
      <c r="G293" s="2024"/>
      <c r="H293" s="2048"/>
      <c r="I293" s="2048"/>
      <c r="J293" s="2048"/>
      <c r="K293" s="1217"/>
      <c r="L293" s="1148"/>
      <c r="M293" s="1148"/>
      <c r="N293" s="1148"/>
    </row>
    <row r="294" customFormat="false" ht="15.5" hidden="false" customHeight="false" outlineLevel="0" collapsed="false">
      <c r="A294" s="902" t="s">
        <v>2203</v>
      </c>
      <c r="B294" s="902"/>
      <c r="C294" s="2100" t="s">
        <v>156</v>
      </c>
      <c r="D294" s="2035" t="n">
        <f aca="false">'Ввод данных'!C832</f>
        <v>4</v>
      </c>
      <c r="E294" s="2025"/>
      <c r="F294" s="2025"/>
      <c r="G294" s="2025"/>
      <c r="H294" s="2048"/>
      <c r="I294" s="2048"/>
      <c r="J294" s="2048"/>
      <c r="K294" s="1217"/>
      <c r="L294" s="1148"/>
      <c r="M294" s="1148"/>
      <c r="N294" s="1148"/>
    </row>
    <row r="295" customFormat="false" ht="15.5" hidden="false" customHeight="false" outlineLevel="0" collapsed="false">
      <c r="A295" s="902" t="s">
        <v>2204</v>
      </c>
      <c r="B295" s="902"/>
      <c r="C295" s="2042" t="s">
        <v>156</v>
      </c>
      <c r="D295" s="2035" t="n">
        <f aca="false">'Ввод данных'!C833</f>
        <v>5</v>
      </c>
      <c r="E295" s="2025"/>
      <c r="F295" s="2025"/>
      <c r="G295" s="2025"/>
      <c r="H295" s="2024"/>
      <c r="I295" s="2048"/>
      <c r="J295" s="2048"/>
      <c r="K295" s="1217"/>
      <c r="L295" s="1148"/>
      <c r="M295" s="1148"/>
      <c r="N295" s="1148"/>
    </row>
    <row r="296" customFormat="false" ht="15.5" hidden="false" customHeight="false" outlineLevel="0" collapsed="false">
      <c r="A296" s="902" t="s">
        <v>2205</v>
      </c>
      <c r="B296" s="902"/>
      <c r="C296" s="2042" t="s">
        <v>156</v>
      </c>
      <c r="D296" s="2035" t="n">
        <f aca="false">'Ввод данных'!C834</f>
        <v>3</v>
      </c>
      <c r="E296" s="2025"/>
      <c r="F296" s="2025"/>
      <c r="G296" s="2025"/>
      <c r="H296" s="2024"/>
      <c r="I296" s="2048"/>
      <c r="J296" s="2048"/>
      <c r="K296" s="1217"/>
      <c r="L296" s="1148"/>
      <c r="M296" s="1148"/>
      <c r="N296" s="1148"/>
    </row>
    <row r="297" customFormat="false" ht="15.5" hidden="false" customHeight="false" outlineLevel="0" collapsed="false">
      <c r="A297" s="902" t="s">
        <v>3911</v>
      </c>
      <c r="B297" s="902"/>
      <c r="C297" s="2053" t="s">
        <v>133</v>
      </c>
      <c r="D297" s="2053" t="n">
        <f aca="false">D294*D295</f>
        <v>20</v>
      </c>
      <c r="E297" s="2025"/>
      <c r="F297" s="2025"/>
      <c r="G297" s="2025"/>
      <c r="H297" s="2024"/>
      <c r="I297" s="2048"/>
      <c r="J297" s="2048"/>
      <c r="K297" s="1217"/>
      <c r="L297" s="1148"/>
      <c r="M297" s="1148"/>
      <c r="N297" s="1148"/>
    </row>
    <row r="298" customFormat="false" ht="15.5" hidden="false" customHeight="false" outlineLevel="0" collapsed="false">
      <c r="A298" s="902" t="s">
        <v>3912</v>
      </c>
      <c r="B298" s="902"/>
      <c r="C298" s="2053" t="s">
        <v>135</v>
      </c>
      <c r="D298" s="2053" t="n">
        <f aca="false">D294*D295*D296</f>
        <v>60</v>
      </c>
      <c r="E298" s="2025"/>
      <c r="F298" s="2025"/>
      <c r="G298" s="2025"/>
      <c r="H298" s="2025"/>
      <c r="I298" s="2048"/>
      <c r="J298" s="2048"/>
      <c r="K298" s="1217"/>
      <c r="L298" s="1148"/>
      <c r="M298" s="1148"/>
      <c r="N298" s="1148"/>
    </row>
    <row r="299" customFormat="false" ht="15.5" hidden="false" customHeight="false" outlineLevel="0" collapsed="false">
      <c r="A299" s="907" t="s">
        <v>3913</v>
      </c>
      <c r="B299" s="907"/>
      <c r="C299" s="2053" t="s">
        <v>135</v>
      </c>
      <c r="D299" s="2053" t="e">
        <f aca="false">(D294+D294+D295+D295)*D296*(D291*E291+D292*E292)</f>
        <v>#VALUE!</v>
      </c>
      <c r="E299" s="2025"/>
      <c r="F299" s="2025"/>
      <c r="G299" s="2025"/>
      <c r="H299" s="2025"/>
      <c r="I299" s="2048"/>
      <c r="J299" s="2048"/>
      <c r="K299" s="1217"/>
      <c r="L299" s="1148"/>
      <c r="M299" s="1148"/>
      <c r="N299" s="1148"/>
    </row>
    <row r="300" customFormat="false" ht="15.5" hidden="false" customHeight="false" outlineLevel="0" collapsed="false">
      <c r="A300" s="890" t="s">
        <v>1093</v>
      </c>
      <c r="B300" s="890"/>
      <c r="C300" s="2106" t="s">
        <v>120</v>
      </c>
      <c r="D300" s="2107" t="s">
        <v>853</v>
      </c>
      <c r="E300" s="2031" t="s">
        <v>1802</v>
      </c>
      <c r="F300" s="2031" t="s">
        <v>853</v>
      </c>
      <c r="G300" s="2025"/>
      <c r="H300" s="2025"/>
      <c r="I300" s="2048"/>
      <c r="J300" s="2048"/>
      <c r="K300" s="1217"/>
      <c r="L300" s="1148"/>
      <c r="M300" s="1148"/>
      <c r="N300" s="1148"/>
    </row>
    <row r="301" customFormat="false" ht="15.5" hidden="false" customHeight="false" outlineLevel="0" collapsed="false">
      <c r="A301" s="680" t="s">
        <v>2206</v>
      </c>
      <c r="B301" s="680"/>
      <c r="C301" s="2042" t="s">
        <v>156</v>
      </c>
      <c r="D301" s="2035" t="n">
        <f aca="false">'Ввод данных'!C836</f>
        <v>3</v>
      </c>
      <c r="E301" s="2023" t="n">
        <f aca="false">'Ввод данных'!D836</f>
        <v>0</v>
      </c>
      <c r="F301" s="2053" t="n">
        <f aca="false">D301*E301</f>
        <v>0</v>
      </c>
      <c r="G301" s="2024"/>
      <c r="H301" s="2024"/>
      <c r="I301" s="2048"/>
      <c r="J301" s="2048"/>
      <c r="K301" s="1217"/>
      <c r="L301" s="1148"/>
      <c r="M301" s="1148"/>
      <c r="N301" s="1148"/>
    </row>
    <row r="302" customFormat="false" ht="15.5" hidden="false" customHeight="false" outlineLevel="0" collapsed="false">
      <c r="A302" s="680"/>
      <c r="B302" s="680"/>
      <c r="C302" s="2042"/>
      <c r="D302" s="2035" t="n">
        <f aca="false">'Ввод данных'!C837</f>
        <v>1</v>
      </c>
      <c r="E302" s="2023" t="n">
        <f aca="false">'Ввод данных'!D837</f>
        <v>0</v>
      </c>
      <c r="F302" s="2053" t="n">
        <f aca="false">D302*E302</f>
        <v>0</v>
      </c>
      <c r="G302" s="2024"/>
      <c r="H302" s="2024"/>
      <c r="I302" s="2048"/>
      <c r="J302" s="2048"/>
      <c r="K302" s="1217"/>
      <c r="L302" s="1148"/>
      <c r="M302" s="1148"/>
      <c r="N302" s="1148"/>
    </row>
    <row r="303" customFormat="false" ht="15.5" hidden="false" customHeight="false" outlineLevel="0" collapsed="false">
      <c r="A303" s="680" t="s">
        <v>2207</v>
      </c>
      <c r="B303" s="680"/>
      <c r="C303" s="2042" t="s">
        <v>156</v>
      </c>
      <c r="D303" s="2035" t="n">
        <f aca="false">'Ввод данных'!C838</f>
        <v>0</v>
      </c>
      <c r="E303" s="2023" t="n">
        <f aca="false">'Ввод данных'!D838</f>
        <v>0</v>
      </c>
      <c r="F303" s="2053" t="n">
        <f aca="false">D303*E303</f>
        <v>0</v>
      </c>
      <c r="G303" s="2024"/>
      <c r="H303" s="2024"/>
      <c r="I303" s="2048"/>
      <c r="J303" s="2048"/>
      <c r="K303" s="1217"/>
      <c r="L303" s="1148"/>
      <c r="M303" s="1148"/>
      <c r="N303" s="1148"/>
    </row>
    <row r="304" customFormat="false" ht="15.5" hidden="false" customHeight="false" outlineLevel="0" collapsed="false">
      <c r="A304" s="680"/>
      <c r="B304" s="680"/>
      <c r="C304" s="2042"/>
      <c r="D304" s="2035" t="n">
        <f aca="false">'Ввод данных'!C839</f>
        <v>0</v>
      </c>
      <c r="E304" s="2023" t="n">
        <f aca="false">'Ввод данных'!D839</f>
        <v>0</v>
      </c>
      <c r="F304" s="2053" t="n">
        <f aca="false">D304*E304</f>
        <v>0</v>
      </c>
      <c r="G304" s="2024"/>
      <c r="H304" s="2024"/>
      <c r="I304" s="2048"/>
      <c r="J304" s="2048"/>
      <c r="K304" s="1217"/>
      <c r="L304" s="1148"/>
      <c r="M304" s="1148"/>
      <c r="N304" s="1148"/>
    </row>
    <row r="305" customFormat="false" ht="15.5" hidden="false" customHeight="false" outlineLevel="0" collapsed="false">
      <c r="A305" s="560" t="s">
        <v>3914</v>
      </c>
      <c r="B305" s="560"/>
      <c r="C305" s="560"/>
      <c r="D305" s="560"/>
      <c r="E305" s="560"/>
      <c r="F305" s="2053" t="n">
        <f aca="false">SUM(F301:F304)</f>
        <v>0</v>
      </c>
      <c r="G305" s="2024"/>
      <c r="H305" s="2024"/>
      <c r="I305" s="2048"/>
      <c r="J305" s="2048"/>
      <c r="K305" s="1217"/>
      <c r="L305" s="1148"/>
      <c r="M305" s="1148"/>
      <c r="N305" s="1148"/>
    </row>
    <row r="306" customFormat="false" ht="15.5" hidden="false" customHeight="false" outlineLevel="0" collapsed="false">
      <c r="A306" s="1160" t="s">
        <v>2208</v>
      </c>
      <c r="B306" s="1160"/>
      <c r="C306" s="757" t="s">
        <v>120</v>
      </c>
      <c r="D306" s="757" t="s">
        <v>2580</v>
      </c>
      <c r="E306" s="757" t="s">
        <v>2581</v>
      </c>
      <c r="F306" s="757" t="s">
        <v>1802</v>
      </c>
      <c r="G306" s="2031" t="s">
        <v>2548</v>
      </c>
      <c r="H306" s="2048"/>
      <c r="I306" s="1009"/>
      <c r="J306" s="2048"/>
      <c r="K306" s="1217"/>
      <c r="L306" s="1148"/>
      <c r="M306" s="1148"/>
      <c r="N306" s="1148"/>
    </row>
    <row r="307" customFormat="false" ht="15.5" hidden="false" customHeight="false" outlineLevel="0" collapsed="false">
      <c r="A307" s="680" t="s">
        <v>2210</v>
      </c>
      <c r="B307" s="680"/>
      <c r="C307" s="680" t="s">
        <v>156</v>
      </c>
      <c r="D307" s="2035" t="n">
        <f aca="false">'Ввод данных'!C841</f>
        <v>0</v>
      </c>
      <c r="E307" s="2023" t="n">
        <f aca="false">'Ввод данных'!D841</f>
        <v>0</v>
      </c>
      <c r="F307" s="2033" t="n">
        <f aca="false">'Ввод данных'!E841</f>
        <v>0</v>
      </c>
      <c r="G307" s="495" t="n">
        <f aca="false">D307*E307*F307</f>
        <v>0</v>
      </c>
      <c r="H307" s="2048"/>
      <c r="I307" s="2028"/>
      <c r="J307" s="2048"/>
      <c r="K307" s="1217"/>
      <c r="L307" s="1148"/>
      <c r="M307" s="1148"/>
      <c r="N307" s="1148"/>
    </row>
    <row r="308" customFormat="false" ht="15.5" hidden="false" customHeight="false" outlineLevel="0" collapsed="false">
      <c r="A308" s="680"/>
      <c r="B308" s="680"/>
      <c r="C308" s="680" t="s">
        <v>156</v>
      </c>
      <c r="D308" s="2035" t="n">
        <f aca="false">'Ввод данных'!C842</f>
        <v>0</v>
      </c>
      <c r="E308" s="2023" t="n">
        <f aca="false">'Ввод данных'!D842</f>
        <v>0</v>
      </c>
      <c r="F308" s="2033" t="n">
        <f aca="false">'Ввод данных'!E842</f>
        <v>0</v>
      </c>
      <c r="G308" s="495" t="n">
        <f aca="false">D308*E308*F308</f>
        <v>0</v>
      </c>
      <c r="H308" s="2048"/>
      <c r="I308" s="1009"/>
      <c r="J308" s="2048"/>
      <c r="K308" s="1217"/>
      <c r="L308" s="1148"/>
      <c r="M308" s="1148"/>
      <c r="N308" s="1148"/>
    </row>
    <row r="309" customFormat="false" ht="15.5" hidden="false" customHeight="false" outlineLevel="0" collapsed="false">
      <c r="A309" s="680"/>
      <c r="B309" s="680"/>
      <c r="C309" s="680" t="s">
        <v>156</v>
      </c>
      <c r="D309" s="2035" t="n">
        <f aca="false">'Ввод данных'!C843</f>
        <v>0</v>
      </c>
      <c r="E309" s="2023" t="n">
        <f aca="false">'Ввод данных'!D843</f>
        <v>0</v>
      </c>
      <c r="F309" s="2033" t="n">
        <f aca="false">'Ввод данных'!E843</f>
        <v>0</v>
      </c>
      <c r="G309" s="495" t="n">
        <f aca="false">D309*E309*F309</f>
        <v>0</v>
      </c>
      <c r="H309" s="2079"/>
      <c r="I309" s="1009"/>
      <c r="J309" s="998"/>
      <c r="K309" s="1217"/>
      <c r="L309" s="1148"/>
      <c r="M309" s="1148"/>
      <c r="N309" s="1148"/>
    </row>
    <row r="310" customFormat="false" ht="15.5" hidden="false" customHeight="false" outlineLevel="0" collapsed="false">
      <c r="A310" s="725" t="s">
        <v>2211</v>
      </c>
      <c r="B310" s="725"/>
      <c r="C310" s="680" t="s">
        <v>156</v>
      </c>
      <c r="D310" s="2035" t="n">
        <f aca="false">'Ввод данных'!C844</f>
        <v>1</v>
      </c>
      <c r="E310" s="2023" t="n">
        <f aca="false">'Ввод данных'!D844</f>
        <v>2</v>
      </c>
      <c r="F310" s="2033" t="n">
        <f aca="false">'Ввод данных'!E844</f>
        <v>0</v>
      </c>
      <c r="G310" s="495" t="n">
        <f aca="false">D310*E310*F310</f>
        <v>0</v>
      </c>
      <c r="H310" s="895"/>
      <c r="I310" s="1009"/>
      <c r="J310" s="895"/>
      <c r="K310" s="1217"/>
      <c r="L310" s="1148"/>
      <c r="M310" s="1148"/>
      <c r="N310" s="1148"/>
    </row>
    <row r="311" customFormat="false" ht="15.5" hidden="false" customHeight="false" outlineLevel="0" collapsed="false">
      <c r="A311" s="725"/>
      <c r="B311" s="725"/>
      <c r="C311" s="680" t="s">
        <v>156</v>
      </c>
      <c r="D311" s="2035" t="n">
        <f aca="false">'Ввод данных'!C845</f>
        <v>0</v>
      </c>
      <c r="E311" s="2023" t="n">
        <f aca="false">'Ввод данных'!D845</f>
        <v>2.7</v>
      </c>
      <c r="F311" s="2033" t="n">
        <f aca="false">'Ввод данных'!E845</f>
        <v>0</v>
      </c>
      <c r="G311" s="495" t="n">
        <f aca="false">D311*E311*F311</f>
        <v>0</v>
      </c>
      <c r="H311" s="2079"/>
      <c r="I311" s="1009"/>
      <c r="J311" s="998"/>
      <c r="K311" s="1217"/>
      <c r="L311" s="1148"/>
      <c r="M311" s="1148"/>
      <c r="N311" s="1148"/>
    </row>
    <row r="312" customFormat="false" ht="15.5" hidden="false" customHeight="false" outlineLevel="0" collapsed="false">
      <c r="A312" s="560" t="s">
        <v>2213</v>
      </c>
      <c r="B312" s="560"/>
      <c r="C312" s="925" t="s">
        <v>156</v>
      </c>
      <c r="D312" s="2035" t="n">
        <f aca="false">'Ввод данных'!C846</f>
        <v>2</v>
      </c>
      <c r="E312" s="2023" t="n">
        <f aca="false">'Ввод данных'!D846</f>
        <v>2</v>
      </c>
      <c r="F312" s="2033" t="n">
        <f aca="false">'Ввод данных'!E846</f>
        <v>0</v>
      </c>
      <c r="G312" s="903" t="n">
        <f aca="false">D312*E312*F312</f>
        <v>0</v>
      </c>
      <c r="H312" s="2080" t="e">
        <f aca="false">'ввод данных'!#ref!</f>
        <v>#VALUE!</v>
      </c>
      <c r="I312" s="998" t="s">
        <v>3887</v>
      </c>
      <c r="J312" s="998"/>
      <c r="K312" s="1217"/>
      <c r="L312" s="1148"/>
      <c r="M312" s="1148"/>
      <c r="N312" s="1148"/>
    </row>
    <row r="313" customFormat="false" ht="15.5" hidden="false" customHeight="false" outlineLevel="0" collapsed="false">
      <c r="A313" s="902" t="s">
        <v>3915</v>
      </c>
      <c r="B313" s="902"/>
      <c r="C313" s="903" t="s">
        <v>133</v>
      </c>
      <c r="D313" s="903" t="n">
        <f aca="false">G307+G308+G309+G310+G311</f>
        <v>0</v>
      </c>
      <c r="E313" s="895"/>
      <c r="F313" s="895"/>
      <c r="G313" s="895"/>
      <c r="H313" s="895"/>
      <c r="I313" s="895"/>
      <c r="J313" s="998"/>
      <c r="K313" s="1217"/>
      <c r="L313" s="1148"/>
      <c r="M313" s="1148"/>
      <c r="N313" s="1148"/>
    </row>
    <row r="314" customFormat="false" ht="15.5" hidden="false" customHeight="false" outlineLevel="0" collapsed="false">
      <c r="A314" s="1372" t="s">
        <v>3916</v>
      </c>
      <c r="B314" s="1372"/>
      <c r="C314" s="933" t="s">
        <v>135</v>
      </c>
      <c r="D314" s="933" t="e">
        <f aca="false">D313*(D291*E291+D292*E292)</f>
        <v>#VALUE!</v>
      </c>
      <c r="E314" s="998"/>
      <c r="F314" s="998"/>
      <c r="G314" s="2028"/>
      <c r="H314" s="2079"/>
      <c r="I314" s="1009"/>
      <c r="J314" s="998"/>
      <c r="K314" s="1217"/>
      <c r="L314" s="1148"/>
      <c r="M314" s="1148"/>
      <c r="N314" s="1148"/>
    </row>
    <row r="315" customFormat="false" ht="15.5" hidden="false" customHeight="false" outlineLevel="0" collapsed="false">
      <c r="A315" s="902" t="s">
        <v>3917</v>
      </c>
      <c r="B315" s="902"/>
      <c r="C315" s="903" t="s">
        <v>135</v>
      </c>
      <c r="D315" s="1023" t="e">
        <f aca="false">D299-D314</f>
        <v>#VALUE!</v>
      </c>
      <c r="E315" s="895"/>
      <c r="F315" s="895"/>
      <c r="G315" s="895"/>
      <c r="H315" s="895"/>
      <c r="I315" s="895"/>
      <c r="J315" s="998"/>
      <c r="K315" s="1217"/>
      <c r="L315" s="1148"/>
      <c r="M315" s="1148"/>
      <c r="N315" s="1148"/>
    </row>
    <row r="316" customFormat="false" ht="15.5" hidden="false" customHeight="false" outlineLevel="0" collapsed="false">
      <c r="A316" s="2050" t="s">
        <v>2635</v>
      </c>
      <c r="B316" s="2050"/>
      <c r="C316" s="2050"/>
      <c r="D316" s="2050"/>
      <c r="E316" s="2023"/>
      <c r="F316" s="2024" t="s">
        <v>3568</v>
      </c>
      <c r="G316" s="895"/>
      <c r="H316" s="895"/>
      <c r="I316" s="895"/>
      <c r="J316" s="998"/>
      <c r="K316" s="1217"/>
      <c r="L316" s="1148"/>
      <c r="M316" s="1148"/>
      <c r="N316" s="1148"/>
    </row>
    <row r="317" customFormat="false" ht="15.5" hidden="false" customHeight="false" outlineLevel="0" collapsed="false">
      <c r="A317" s="902" t="s">
        <v>2572</v>
      </c>
      <c r="B317" s="902"/>
      <c r="C317" s="2051" t="s">
        <v>156</v>
      </c>
      <c r="D317" s="2100" t="n">
        <f aca="false">D294*2+D295*2+F305</f>
        <v>18</v>
      </c>
      <c r="E317" s="2024"/>
      <c r="F317" s="1217"/>
      <c r="G317" s="2028"/>
      <c r="H317" s="2079"/>
      <c r="I317" s="1009"/>
      <c r="J317" s="998"/>
      <c r="K317" s="1217"/>
      <c r="L317" s="1148"/>
      <c r="M317" s="1148"/>
      <c r="N317" s="1148"/>
    </row>
    <row r="318" customFormat="false" ht="15.5" hidden="false" customHeight="false" outlineLevel="0" collapsed="false">
      <c r="A318" s="902" t="s">
        <v>3427</v>
      </c>
      <c r="B318" s="902"/>
      <c r="C318" s="2108" t="s">
        <v>133</v>
      </c>
      <c r="D318" s="2109" t="n">
        <f aca="false">D294*D295</f>
        <v>20</v>
      </c>
      <c r="E318" s="2024"/>
      <c r="F318" s="1217"/>
      <c r="G318" s="2028"/>
      <c r="H318" s="2079"/>
      <c r="I318" s="1009"/>
      <c r="J318" s="998"/>
      <c r="K318" s="1217"/>
      <c r="L318" s="1148"/>
      <c r="M318" s="1148"/>
      <c r="N318" s="1148"/>
    </row>
    <row r="319" customFormat="false" ht="15.5" hidden="false" customHeight="false" outlineLevel="0" collapsed="false">
      <c r="A319" s="902" t="s">
        <v>3918</v>
      </c>
      <c r="B319" s="902"/>
      <c r="C319" s="925" t="s">
        <v>133</v>
      </c>
      <c r="D319" s="1219" t="e">
        <f aca="false">D317*(D291*E291+D292*E292)</f>
        <v>#VALUE!</v>
      </c>
      <c r="E319" s="1217"/>
      <c r="F319" s="1217"/>
      <c r="G319" s="2028"/>
      <c r="H319" s="2079"/>
      <c r="I319" s="1009"/>
      <c r="J319" s="998"/>
      <c r="K319" s="1217"/>
      <c r="L319" s="1148"/>
      <c r="M319" s="1148"/>
      <c r="N319" s="1148"/>
    </row>
    <row r="320" customFormat="false" ht="15.5" hidden="false" customHeight="false" outlineLevel="0" collapsed="false">
      <c r="A320" s="1372" t="s">
        <v>3919</v>
      </c>
      <c r="B320" s="1372"/>
      <c r="C320" s="887" t="s">
        <v>133</v>
      </c>
      <c r="D320" s="1219" t="e">
        <f aca="false">D297-D319</f>
        <v>#VALUE!</v>
      </c>
      <c r="E320" s="1217"/>
      <c r="F320" s="1217"/>
      <c r="G320" s="2028"/>
      <c r="H320" s="2079"/>
      <c r="I320" s="1009"/>
      <c r="J320" s="998"/>
      <c r="K320" s="1217"/>
      <c r="L320" s="1148"/>
      <c r="M320" s="1148"/>
      <c r="N320" s="1148"/>
    </row>
    <row r="321" customFormat="false" ht="15.5" hidden="false" customHeight="false" outlineLevel="0" collapsed="false">
      <c r="A321" s="2110" t="s">
        <v>3920</v>
      </c>
      <c r="B321" s="2110"/>
      <c r="C321" s="2110"/>
      <c r="D321" s="2110"/>
      <c r="E321" s="2110"/>
      <c r="F321" s="2110"/>
      <c r="G321" s="2110"/>
      <c r="H321" s="2110"/>
      <c r="I321" s="2110"/>
      <c r="J321" s="2110"/>
      <c r="K321" s="2110"/>
      <c r="L321" s="2111"/>
      <c r="M321" s="1148"/>
      <c r="N321" s="1148"/>
    </row>
    <row r="322" customFormat="false" ht="15.5" hidden="false" customHeight="false" outlineLevel="0" collapsed="false">
      <c r="A322" s="2110"/>
      <c r="B322" s="2110"/>
      <c r="C322" s="2110"/>
      <c r="D322" s="2110"/>
      <c r="E322" s="2110"/>
      <c r="F322" s="2110"/>
      <c r="G322" s="2110"/>
      <c r="H322" s="2110"/>
      <c r="I322" s="2110"/>
      <c r="J322" s="2110"/>
      <c r="K322" s="2110"/>
      <c r="L322" s="2111"/>
      <c r="M322" s="1148"/>
      <c r="N322" s="1148"/>
    </row>
    <row r="323" customFormat="false" ht="15.5" hidden="false" customHeight="true" outlineLevel="0" collapsed="false">
      <c r="A323" s="2112" t="s">
        <v>3570</v>
      </c>
      <c r="B323" s="2112"/>
      <c r="C323" s="2112"/>
      <c r="D323" s="2112"/>
      <c r="E323" s="2112"/>
      <c r="F323" s="2112"/>
      <c r="G323" s="2112" t="s">
        <v>3571</v>
      </c>
      <c r="H323" s="2112"/>
      <c r="I323" s="2112"/>
      <c r="J323" s="2112"/>
      <c r="K323" s="2112"/>
      <c r="L323" s="2112"/>
      <c r="M323" s="1148"/>
      <c r="N323" s="1148"/>
    </row>
    <row r="324" customFormat="false" ht="46.5" hidden="false" customHeight="false" outlineLevel="0" collapsed="false">
      <c r="A324" s="2113" t="s">
        <v>1515</v>
      </c>
      <c r="B324" s="2114" t="s">
        <v>1800</v>
      </c>
      <c r="C324" s="2115" t="s">
        <v>293</v>
      </c>
      <c r="D324" s="2115" t="s">
        <v>1802</v>
      </c>
      <c r="E324" s="2114"/>
      <c r="F324" s="2115" t="s">
        <v>3572</v>
      </c>
      <c r="G324" s="2115" t="s">
        <v>2593</v>
      </c>
      <c r="H324" s="2114" t="s">
        <v>1800</v>
      </c>
      <c r="I324" s="2114" t="s">
        <v>293</v>
      </c>
      <c r="J324" s="2114" t="s">
        <v>1802</v>
      </c>
      <c r="K324" s="2114"/>
      <c r="L324" s="2114" t="s">
        <v>3573</v>
      </c>
      <c r="M324" s="2116"/>
      <c r="N324" s="1148"/>
    </row>
    <row r="325" customFormat="false" ht="15.5" hidden="false" customHeight="false" outlineLevel="0" collapsed="false">
      <c r="A325" s="122" t="s">
        <v>2902</v>
      </c>
      <c r="B325" s="2117" t="n">
        <v>1.4</v>
      </c>
      <c r="C325" s="2118" t="n">
        <v>1.7</v>
      </c>
      <c r="D325" s="2118" t="n">
        <v>4</v>
      </c>
      <c r="E325" s="232"/>
      <c r="F325" s="2119" t="n">
        <f aca="false">B325*C325*D325</f>
        <v>9.52</v>
      </c>
      <c r="G325" s="2119" t="s">
        <v>2902</v>
      </c>
      <c r="H325" s="2117" t="n">
        <v>0.9</v>
      </c>
      <c r="I325" s="2117" t="n">
        <v>2</v>
      </c>
      <c r="J325" s="2117" t="n">
        <v>5</v>
      </c>
      <c r="K325" s="232"/>
      <c r="L325" s="232" t="n">
        <f aca="false">H325*I325*J325</f>
        <v>9</v>
      </c>
      <c r="M325" s="2116"/>
      <c r="N325" s="1148"/>
    </row>
    <row r="326" customFormat="false" ht="15.5" hidden="false" customHeight="false" outlineLevel="0" collapsed="false">
      <c r="A326" s="122" t="s">
        <v>2903</v>
      </c>
      <c r="B326" s="2117" t="n">
        <v>0.5</v>
      </c>
      <c r="C326" s="2118" t="n">
        <v>0.8</v>
      </c>
      <c r="D326" s="2118" t="n">
        <v>1</v>
      </c>
      <c r="E326" s="232"/>
      <c r="F326" s="2119" t="n">
        <f aca="false">B326*C326*D326</f>
        <v>0.4</v>
      </c>
      <c r="G326" s="2119" t="s">
        <v>2903</v>
      </c>
      <c r="H326" s="2117" t="n">
        <v>1</v>
      </c>
      <c r="I326" s="2117" t="n">
        <v>2</v>
      </c>
      <c r="J326" s="2117" t="n">
        <v>2</v>
      </c>
      <c r="K326" s="232"/>
      <c r="L326" s="232" t="n">
        <f aca="false">H326*I326*J326</f>
        <v>4</v>
      </c>
      <c r="M326" s="2116"/>
      <c r="N326" s="1148"/>
    </row>
    <row r="327" customFormat="false" ht="15.5" hidden="false" customHeight="false" outlineLevel="0" collapsed="false">
      <c r="A327" s="122" t="s">
        <v>2904</v>
      </c>
      <c r="B327" s="2117" t="n">
        <v>1.4</v>
      </c>
      <c r="C327" s="2118" t="n">
        <v>1.5</v>
      </c>
      <c r="D327" s="2118" t="n">
        <v>3</v>
      </c>
      <c r="E327" s="232"/>
      <c r="F327" s="2119" t="n">
        <f aca="false">B327*C327*D327</f>
        <v>6.3</v>
      </c>
      <c r="G327" s="2119" t="s">
        <v>2904</v>
      </c>
      <c r="H327" s="2117" t="n">
        <v>0.7</v>
      </c>
      <c r="I327" s="2117" t="n">
        <v>2</v>
      </c>
      <c r="J327" s="2117" t="n">
        <v>2</v>
      </c>
      <c r="K327" s="232"/>
      <c r="L327" s="232" t="n">
        <f aca="false">H327*I327*J327</f>
        <v>2.8</v>
      </c>
      <c r="M327" s="905"/>
      <c r="N327" s="1148"/>
    </row>
    <row r="328" customFormat="false" ht="15.5" hidden="false" customHeight="false" outlineLevel="0" collapsed="false">
      <c r="A328" s="122" t="s">
        <v>2905</v>
      </c>
      <c r="B328" s="2117" t="n">
        <v>1</v>
      </c>
      <c r="C328" s="2118" t="n">
        <v>1.7</v>
      </c>
      <c r="D328" s="2118" t="n">
        <v>2</v>
      </c>
      <c r="E328" s="232"/>
      <c r="F328" s="2119" t="n">
        <f aca="false">B328*C328*D328</f>
        <v>3.4</v>
      </c>
      <c r="G328" s="2119"/>
      <c r="H328" s="2117"/>
      <c r="I328" s="2117"/>
      <c r="J328" s="2117"/>
      <c r="K328" s="232"/>
      <c r="L328" s="232" t="n">
        <f aca="false">H328*I328*J328</f>
        <v>0</v>
      </c>
      <c r="M328" s="905"/>
      <c r="N328" s="1148"/>
    </row>
    <row r="329" customFormat="false" ht="15.5" hidden="false" customHeight="false" outlineLevel="0" collapsed="false">
      <c r="A329" s="89" t="s">
        <v>3574</v>
      </c>
      <c r="B329" s="89"/>
      <c r="C329" s="89"/>
      <c r="D329" s="89"/>
      <c r="E329" s="89"/>
      <c r="F329" s="2119" t="n">
        <f aca="false">SUM(F325:F328)</f>
        <v>19.62</v>
      </c>
      <c r="G329" s="89" t="s">
        <v>3922</v>
      </c>
      <c r="H329" s="89"/>
      <c r="I329" s="89"/>
      <c r="J329" s="89"/>
      <c r="K329" s="89"/>
      <c r="L329" s="232" t="n">
        <f aca="false">SUM(L325:L327)</f>
        <v>15.8</v>
      </c>
      <c r="M329" s="2120"/>
      <c r="N329" s="1148"/>
    </row>
    <row r="330" customFormat="false" ht="31" hidden="false" customHeight="false" outlineLevel="0" collapsed="false">
      <c r="A330" s="2113" t="s">
        <v>2069</v>
      </c>
      <c r="B330" s="2114" t="s">
        <v>209</v>
      </c>
      <c r="C330" s="2115" t="s">
        <v>273</v>
      </c>
      <c r="D330" s="2115" t="s">
        <v>1802</v>
      </c>
      <c r="E330" s="2114"/>
      <c r="F330" s="2115" t="s">
        <v>3581</v>
      </c>
      <c r="G330" s="2115" t="s">
        <v>1217</v>
      </c>
      <c r="H330" s="2114" t="s">
        <v>1800</v>
      </c>
      <c r="I330" s="2114" t="s">
        <v>293</v>
      </c>
      <c r="J330" s="2114" t="s">
        <v>1802</v>
      </c>
      <c r="K330" s="2114"/>
      <c r="L330" s="2114" t="s">
        <v>3573</v>
      </c>
      <c r="M330" s="905"/>
      <c r="N330" s="1148"/>
    </row>
    <row r="331" customFormat="false" ht="15.5" hidden="false" customHeight="false" outlineLevel="0" collapsed="false">
      <c r="A331" s="122" t="s">
        <v>2069</v>
      </c>
      <c r="B331" s="2117" t="n">
        <v>4</v>
      </c>
      <c r="C331" s="2118" t="n">
        <v>0.9</v>
      </c>
      <c r="D331" s="2118" t="n">
        <v>1</v>
      </c>
      <c r="E331" s="2117"/>
      <c r="F331" s="2119" t="n">
        <f aca="false">B331*C331*D331</f>
        <v>3.6</v>
      </c>
      <c r="G331" s="2119" t="s">
        <v>3582</v>
      </c>
      <c r="H331" s="2117" t="n">
        <v>1</v>
      </c>
      <c r="I331" s="2117" t="n">
        <v>2</v>
      </c>
      <c r="J331" s="2117" t="n">
        <v>2</v>
      </c>
      <c r="K331" s="232"/>
      <c r="L331" s="232" t="n">
        <f aca="false">H331*I331*J331</f>
        <v>4</v>
      </c>
      <c r="M331" s="2120"/>
      <c r="N331" s="1148"/>
    </row>
    <row r="332" customFormat="false" ht="15.5" hidden="false" customHeight="false" outlineLevel="0" collapsed="false">
      <c r="A332" s="122"/>
      <c r="B332" s="232"/>
      <c r="C332" s="2119"/>
      <c r="D332" s="2119"/>
      <c r="E332" s="232"/>
      <c r="F332" s="2119"/>
      <c r="G332" s="2119" t="s">
        <v>1184</v>
      </c>
      <c r="H332" s="2117" t="n">
        <v>0.9</v>
      </c>
      <c r="I332" s="2117" t="n">
        <v>2</v>
      </c>
      <c r="J332" s="2117" t="n">
        <v>1</v>
      </c>
      <c r="K332" s="232"/>
      <c r="L332" s="232" t="n">
        <f aca="false">H332*I332*J332</f>
        <v>1.8</v>
      </c>
      <c r="M332" s="2120"/>
      <c r="N332" s="1148"/>
    </row>
    <row r="333" customFormat="false" ht="15.5" hidden="false" customHeight="false" outlineLevel="0" collapsed="false">
      <c r="A333" s="89" t="s">
        <v>3583</v>
      </c>
      <c r="B333" s="89"/>
      <c r="C333" s="89"/>
      <c r="D333" s="89"/>
      <c r="E333" s="89"/>
      <c r="F333" s="2119" t="n">
        <f aca="false">F331</f>
        <v>3.6</v>
      </c>
      <c r="G333" s="89" t="s">
        <v>3584</v>
      </c>
      <c r="H333" s="89"/>
      <c r="I333" s="89"/>
      <c r="J333" s="89"/>
      <c r="K333" s="89"/>
      <c r="L333" s="232" t="n">
        <f aca="false">SUM(L331:L332)</f>
        <v>5.8</v>
      </c>
      <c r="M333" s="2120"/>
      <c r="N333" s="2116"/>
    </row>
    <row r="334" customFormat="false" ht="15.5" hidden="false" customHeight="false" outlineLevel="0" collapsed="false">
      <c r="A334" s="2121"/>
      <c r="B334" s="2121"/>
      <c r="C334" s="2122"/>
      <c r="D334" s="2122"/>
      <c r="E334" s="2121"/>
      <c r="F334" s="2123"/>
      <c r="G334" s="2122"/>
      <c r="H334" s="2121"/>
      <c r="I334" s="2121"/>
      <c r="J334" s="2121"/>
      <c r="K334" s="2121"/>
      <c r="L334" s="2124"/>
      <c r="M334" s="2120"/>
      <c r="N334" s="2124"/>
    </row>
    <row r="335" customFormat="false" ht="15.5" hidden="false" customHeight="true" outlineLevel="0" collapsed="false">
      <c r="A335" s="2112" t="s">
        <v>3586</v>
      </c>
      <c r="B335" s="2112"/>
      <c r="C335" s="2112"/>
      <c r="D335" s="2112"/>
      <c r="E335" s="2112"/>
      <c r="F335" s="2112"/>
      <c r="G335" s="2112"/>
      <c r="H335" s="2112"/>
      <c r="I335" s="2112"/>
      <c r="J335" s="2121"/>
      <c r="K335" s="2121"/>
      <c r="L335" s="2124"/>
      <c r="M335" s="2120"/>
      <c r="N335" s="2124"/>
    </row>
    <row r="336" customFormat="false" ht="46.5" hidden="false" customHeight="true" outlineLevel="0" collapsed="false">
      <c r="A336" s="2113" t="s">
        <v>1093</v>
      </c>
      <c r="B336" s="2114" t="s">
        <v>3587</v>
      </c>
      <c r="C336" s="2115" t="s">
        <v>1800</v>
      </c>
      <c r="D336" s="2115" t="s">
        <v>853</v>
      </c>
      <c r="E336" s="2114" t="s">
        <v>1992</v>
      </c>
      <c r="F336" s="2115" t="s">
        <v>1931</v>
      </c>
      <c r="G336" s="2125" t="s">
        <v>2751</v>
      </c>
      <c r="H336" s="2126" t="s">
        <v>3923</v>
      </c>
      <c r="I336" s="2126"/>
      <c r="J336" s="1148"/>
      <c r="K336" s="2116"/>
      <c r="L336" s="2116"/>
      <c r="M336" s="2116"/>
      <c r="N336" s="2116"/>
    </row>
    <row r="337" customFormat="false" ht="15.5" hidden="false" customHeight="false" outlineLevel="0" collapsed="false">
      <c r="A337" s="122" t="s">
        <v>3589</v>
      </c>
      <c r="B337" s="2127" t="n">
        <f aca="false">дома!B1319</f>
        <v>1</v>
      </c>
      <c r="C337" s="2128" t="n">
        <f aca="false">дома!C1319</f>
        <v>10</v>
      </c>
      <c r="D337" s="2128" t="n">
        <f aca="false">дома!D1319</f>
        <v>10</v>
      </c>
      <c r="E337" s="2127" t="n">
        <f aca="false">дома!E1319</f>
        <v>3</v>
      </c>
      <c r="F337" s="2128" t="n">
        <f aca="false">дома!F1319</f>
        <v>0</v>
      </c>
      <c r="G337" s="2128" t="n">
        <f aca="false">дома!G1319</f>
        <v>0</v>
      </c>
      <c r="H337" s="2127" t="n">
        <f aca="false">дома!I1319</f>
        <v>0</v>
      </c>
      <c r="I337" s="2129"/>
      <c r="J337" s="1148"/>
      <c r="K337" s="2116"/>
      <c r="L337" s="2116"/>
      <c r="M337" s="2116"/>
      <c r="N337" s="2116"/>
    </row>
    <row r="338" customFormat="false" ht="31" hidden="false" customHeight="true" outlineLevel="0" collapsed="false">
      <c r="A338" s="2130" t="s">
        <v>1236</v>
      </c>
      <c r="B338" s="2131" t="s">
        <v>120</v>
      </c>
      <c r="C338" s="2132" t="s">
        <v>3924</v>
      </c>
      <c r="D338" s="2132"/>
      <c r="E338" s="2131" t="s">
        <v>1802</v>
      </c>
      <c r="F338" s="2133" t="s">
        <v>3591</v>
      </c>
      <c r="G338" s="2134" t="s">
        <v>1236</v>
      </c>
      <c r="H338" s="2134"/>
      <c r="I338" s="2131" t="s">
        <v>3593</v>
      </c>
      <c r="J338" s="2131" t="s">
        <v>3594</v>
      </c>
      <c r="K338" s="2131" t="s">
        <v>1802</v>
      </c>
      <c r="L338" s="2131" t="s">
        <v>3573</v>
      </c>
      <c r="M338" s="2116"/>
      <c r="N338" s="2116"/>
    </row>
    <row r="339" customFormat="false" ht="15.5" hidden="false" customHeight="true" outlineLevel="0" collapsed="false">
      <c r="A339" s="2135" t="s">
        <v>3596</v>
      </c>
      <c r="B339" s="232" t="s">
        <v>156</v>
      </c>
      <c r="C339" s="2136" t="n">
        <f aca="false">дома!C1321</f>
        <v>6</v>
      </c>
      <c r="D339" s="2136"/>
      <c r="E339" s="2117" t="n">
        <f aca="false">дома!D1321</f>
        <v>2</v>
      </c>
      <c r="F339" s="2119" t="n">
        <f aca="false">C339*E339*E337</f>
        <v>36</v>
      </c>
      <c r="G339" s="2135" t="s">
        <v>3597</v>
      </c>
      <c r="H339" s="2135"/>
      <c r="I339" s="232" t="s">
        <v>156</v>
      </c>
      <c r="J339" s="2117" t="n">
        <f aca="false">дома!N1321</f>
        <v>3.5</v>
      </c>
      <c r="K339" s="2117" t="n">
        <f aca="false">дома!O1321</f>
        <v>1</v>
      </c>
      <c r="L339" s="232" t="n">
        <f aca="false">J339*K339*G337</f>
        <v>0</v>
      </c>
      <c r="M339" s="2116"/>
      <c r="N339" s="2116"/>
    </row>
    <row r="340" customFormat="false" ht="15.5" hidden="false" customHeight="false" outlineLevel="0" collapsed="false">
      <c r="A340" s="2135"/>
      <c r="B340" s="232" t="s">
        <v>156</v>
      </c>
      <c r="C340" s="2136" t="n">
        <f aca="false">дома!C1322</f>
        <v>4</v>
      </c>
      <c r="D340" s="2136"/>
      <c r="E340" s="2117" t="n">
        <f aca="false">дома!D1322</f>
        <v>1</v>
      </c>
      <c r="F340" s="2119" t="n">
        <f aca="false">C340*E340*E337</f>
        <v>12</v>
      </c>
      <c r="G340" s="2135"/>
      <c r="H340" s="2135"/>
      <c r="I340" s="232" t="s">
        <v>156</v>
      </c>
      <c r="J340" s="2117" t="n">
        <f aca="false">дома!N1322</f>
        <v>0</v>
      </c>
      <c r="K340" s="2117" t="n">
        <f aca="false">дома!O1322</f>
        <v>0</v>
      </c>
      <c r="L340" s="232" t="n">
        <f aca="false">J340*K340*G337</f>
        <v>0</v>
      </c>
      <c r="M340" s="2116"/>
      <c r="N340" s="2116"/>
    </row>
    <row r="341" customFormat="false" ht="15.5" hidden="false" customHeight="false" outlineLevel="0" collapsed="false">
      <c r="A341" s="2135"/>
      <c r="B341" s="232" t="s">
        <v>156</v>
      </c>
      <c r="C341" s="2136" t="n">
        <f aca="false">дома!C1323</f>
        <v>0</v>
      </c>
      <c r="D341" s="2136"/>
      <c r="E341" s="2117" t="n">
        <f aca="false">дома!D1323</f>
        <v>0</v>
      </c>
      <c r="F341" s="2119" t="n">
        <f aca="false">C341*E341*E337</f>
        <v>0</v>
      </c>
      <c r="G341" s="2135"/>
      <c r="H341" s="2135"/>
      <c r="I341" s="232" t="s">
        <v>156</v>
      </c>
      <c r="J341" s="2117" t="n">
        <f aca="false">дома!N1323</f>
        <v>0</v>
      </c>
      <c r="K341" s="2117" t="n">
        <f aca="false">дома!O1323</f>
        <v>0</v>
      </c>
      <c r="L341" s="232" t="n">
        <f aca="false">J341*K341*G337</f>
        <v>0</v>
      </c>
      <c r="M341" s="2116"/>
      <c r="N341" s="2116"/>
    </row>
    <row r="342" customFormat="false" ht="15.5" hidden="false" customHeight="false" outlineLevel="0" collapsed="false">
      <c r="A342" s="2135"/>
      <c r="B342" s="232"/>
      <c r="C342" s="2136" t="n">
        <f aca="false">дома!C1324</f>
        <v>0</v>
      </c>
      <c r="D342" s="2136"/>
      <c r="E342" s="2117" t="n">
        <f aca="false">дома!D1324</f>
        <v>0</v>
      </c>
      <c r="F342" s="2119" t="n">
        <f aca="false">C342*E342*E337</f>
        <v>0</v>
      </c>
      <c r="G342" s="2135"/>
      <c r="H342" s="2135"/>
      <c r="I342" s="232"/>
      <c r="J342" s="2117" t="n">
        <f aca="false">дома!N1324</f>
        <v>0</v>
      </c>
      <c r="K342" s="2117" t="n">
        <f aca="false">дома!O1324</f>
        <v>0</v>
      </c>
      <c r="L342" s="232" t="n">
        <f aca="false">J342*K342*G337</f>
        <v>0</v>
      </c>
      <c r="M342" s="2116"/>
      <c r="N342" s="2116"/>
    </row>
    <row r="343" customFormat="false" ht="15.5" hidden="false" customHeight="true" outlineLevel="0" collapsed="false">
      <c r="A343" s="2135" t="s">
        <v>3598</v>
      </c>
      <c r="B343" s="232"/>
      <c r="C343" s="2136" t="n">
        <f aca="false">дома!C1325</f>
        <v>1.8</v>
      </c>
      <c r="D343" s="2136"/>
      <c r="E343" s="2117" t="n">
        <f aca="false">дома!D1325</f>
        <v>1</v>
      </c>
      <c r="F343" s="2119" t="n">
        <f aca="false">C343*E343*E337</f>
        <v>5.4</v>
      </c>
      <c r="G343" s="2135" t="s">
        <v>3599</v>
      </c>
      <c r="H343" s="2135"/>
      <c r="I343" s="232"/>
      <c r="J343" s="2117" t="n">
        <f aca="false">дома!N1325</f>
        <v>0</v>
      </c>
      <c r="K343" s="2117" t="n">
        <f aca="false">дома!O1325</f>
        <v>0</v>
      </c>
      <c r="L343" s="232" t="n">
        <f aca="false">J343*K343*G337</f>
        <v>0</v>
      </c>
      <c r="M343" s="2116"/>
      <c r="N343" s="2116"/>
    </row>
    <row r="344" customFormat="false" ht="15.5" hidden="false" customHeight="false" outlineLevel="0" collapsed="false">
      <c r="A344" s="2135"/>
      <c r="B344" s="232"/>
      <c r="C344" s="2136" t="n">
        <f aca="false">дома!C1326</f>
        <v>0</v>
      </c>
      <c r="D344" s="2136"/>
      <c r="E344" s="2117" t="n">
        <f aca="false">дома!D1326</f>
        <v>0</v>
      </c>
      <c r="F344" s="2119" t="n">
        <f aca="false">C344*E344*E337</f>
        <v>0</v>
      </c>
      <c r="G344" s="2135"/>
      <c r="H344" s="2135"/>
      <c r="I344" s="232"/>
      <c r="J344" s="2117" t="n">
        <f aca="false">дома!N1326</f>
        <v>0</v>
      </c>
      <c r="K344" s="2117" t="n">
        <f aca="false">дома!O1326</f>
        <v>0</v>
      </c>
      <c r="L344" s="232" t="n">
        <f aca="false">J344*K344*G337</f>
        <v>0</v>
      </c>
      <c r="M344" s="2116"/>
      <c r="N344" s="2116"/>
    </row>
    <row r="345" customFormat="false" ht="15.5" hidden="false" customHeight="false" outlineLevel="0" collapsed="false">
      <c r="A345" s="2135"/>
      <c r="B345" s="232"/>
      <c r="C345" s="2136" t="n">
        <f aca="false">дома!C1327</f>
        <v>0</v>
      </c>
      <c r="D345" s="2136"/>
      <c r="E345" s="2117" t="n">
        <f aca="false">дома!D1327</f>
        <v>0</v>
      </c>
      <c r="F345" s="2119" t="n">
        <f aca="false">C345*E345*E337</f>
        <v>0</v>
      </c>
      <c r="G345" s="2135"/>
      <c r="H345" s="2135"/>
      <c r="I345" s="232"/>
      <c r="J345" s="2117" t="n">
        <f aca="false">дома!N1327</f>
        <v>0</v>
      </c>
      <c r="K345" s="2117" t="n">
        <f aca="false">дома!O1327</f>
        <v>0</v>
      </c>
      <c r="L345" s="232" t="n">
        <f aca="false">J345*K345*G337</f>
        <v>0</v>
      </c>
      <c r="M345" s="2116"/>
      <c r="N345" s="2116"/>
    </row>
    <row r="346" customFormat="false" ht="15.5" hidden="false" customHeight="false" outlineLevel="0" collapsed="false">
      <c r="A346" s="2135"/>
      <c r="B346" s="232"/>
      <c r="C346" s="2136" t="n">
        <f aca="false">дома!C1328</f>
        <v>0</v>
      </c>
      <c r="D346" s="2136"/>
      <c r="E346" s="2117" t="n">
        <f aca="false">дома!D1328</f>
        <v>0</v>
      </c>
      <c r="F346" s="2119" t="n">
        <f aca="false">C346*E346*E337</f>
        <v>0</v>
      </c>
      <c r="G346" s="2135"/>
      <c r="H346" s="2135"/>
      <c r="I346" s="232"/>
      <c r="J346" s="2117" t="n">
        <f aca="false">дома!N1328</f>
        <v>0</v>
      </c>
      <c r="K346" s="2117" t="n">
        <f aca="false">дома!O1328</f>
        <v>0</v>
      </c>
      <c r="L346" s="232" t="n">
        <f aca="false">J346*K346*G337</f>
        <v>0</v>
      </c>
      <c r="M346" s="2116"/>
      <c r="N346" s="2116"/>
    </row>
    <row r="347" customFormat="false" ht="15.5" hidden="false" customHeight="true" outlineLevel="0" collapsed="false">
      <c r="A347" s="2135" t="s">
        <v>3600</v>
      </c>
      <c r="B347" s="232" t="s">
        <v>156</v>
      </c>
      <c r="C347" s="2136" t="n">
        <f aca="false">дома!C1329</f>
        <v>0</v>
      </c>
      <c r="D347" s="2136"/>
      <c r="E347" s="2117" t="n">
        <f aca="false">дома!D1329</f>
        <v>0</v>
      </c>
      <c r="F347" s="2119" t="n">
        <f aca="false">C347*E347*E337</f>
        <v>0</v>
      </c>
      <c r="G347" s="2135" t="s">
        <v>3601</v>
      </c>
      <c r="H347" s="2135"/>
      <c r="I347" s="232" t="s">
        <v>156</v>
      </c>
      <c r="J347" s="2117" t="n">
        <f aca="false">дома!N1329</f>
        <v>4</v>
      </c>
      <c r="K347" s="2117" t="n">
        <f aca="false">дома!O1329</f>
        <v>1</v>
      </c>
      <c r="L347" s="232" t="n">
        <f aca="false">J347*K347*(G337+F337)/2</f>
        <v>0</v>
      </c>
      <c r="M347" s="2116"/>
      <c r="N347" s="2116"/>
    </row>
    <row r="348" customFormat="false" ht="15.5" hidden="false" customHeight="false" outlineLevel="0" collapsed="false">
      <c r="A348" s="2135"/>
      <c r="B348" s="232" t="s">
        <v>156</v>
      </c>
      <c r="C348" s="2136" t="n">
        <f aca="false">дома!C1330</f>
        <v>0</v>
      </c>
      <c r="D348" s="2136"/>
      <c r="E348" s="2117" t="n">
        <f aca="false">дома!D1330</f>
        <v>0</v>
      </c>
      <c r="F348" s="2119" t="n">
        <f aca="false">C348*E348*E337</f>
        <v>0</v>
      </c>
      <c r="G348" s="2135"/>
      <c r="H348" s="2135"/>
      <c r="I348" s="232" t="s">
        <v>156</v>
      </c>
      <c r="J348" s="2117" t="n">
        <f aca="false">дома!N1330</f>
        <v>2</v>
      </c>
      <c r="K348" s="2117" t="n">
        <f aca="false">дома!O1330</f>
        <v>1</v>
      </c>
      <c r="L348" s="232" t="n">
        <f aca="false">J348*K348*(G337+F337)/2</f>
        <v>0</v>
      </c>
      <c r="M348" s="2116"/>
      <c r="N348" s="2116"/>
    </row>
    <row r="349" customFormat="false" ht="15.5" hidden="false" customHeight="false" outlineLevel="0" collapsed="false">
      <c r="A349" s="2135"/>
      <c r="B349" s="232" t="s">
        <v>156</v>
      </c>
      <c r="C349" s="2136" t="n">
        <f aca="false">дома!C1331</f>
        <v>0</v>
      </c>
      <c r="D349" s="2136"/>
      <c r="E349" s="2117" t="n">
        <f aca="false">дома!D1331</f>
        <v>0</v>
      </c>
      <c r="F349" s="2119" t="n">
        <f aca="false">C349*E349*E337</f>
        <v>0</v>
      </c>
      <c r="G349" s="2135"/>
      <c r="H349" s="2135"/>
      <c r="I349" s="232" t="s">
        <v>156</v>
      </c>
      <c r="J349" s="2117" t="n">
        <f aca="false">дома!N1331</f>
        <v>3</v>
      </c>
      <c r="K349" s="2117" t="n">
        <f aca="false">дома!O1331</f>
        <v>1</v>
      </c>
      <c r="L349" s="232" t="n">
        <f aca="false">J349*K349*(G337+F337)/2</f>
        <v>0</v>
      </c>
      <c r="M349" s="2116"/>
      <c r="N349" s="2116"/>
    </row>
    <row r="350" customFormat="false" ht="15.5" hidden="false" customHeight="false" outlineLevel="0" collapsed="false">
      <c r="A350" s="2135"/>
      <c r="B350" s="232"/>
      <c r="C350" s="2136" t="n">
        <f aca="false">дома!C1332</f>
        <v>0</v>
      </c>
      <c r="D350" s="2136"/>
      <c r="E350" s="2117" t="n">
        <f aca="false">дома!D1332</f>
        <v>0</v>
      </c>
      <c r="F350" s="2119" t="n">
        <f aca="false">C350*E350*E337</f>
        <v>0</v>
      </c>
      <c r="G350" s="2135"/>
      <c r="H350" s="2135"/>
      <c r="I350" s="232"/>
      <c r="J350" s="2117" t="n">
        <f aca="false">дома!N1332</f>
        <v>0</v>
      </c>
      <c r="K350" s="2117" t="n">
        <f aca="false">дома!O1332</f>
        <v>0</v>
      </c>
      <c r="L350" s="232" t="n">
        <f aca="false">J350*K350*(G337+F337)/2</f>
        <v>0</v>
      </c>
      <c r="M350" s="2116"/>
      <c r="N350" s="2116"/>
    </row>
    <row r="351" customFormat="false" ht="15.5" hidden="false" customHeight="true" outlineLevel="0" collapsed="false">
      <c r="A351" s="2135" t="s">
        <v>3602</v>
      </c>
      <c r="B351" s="232"/>
      <c r="C351" s="2136" t="n">
        <f aca="false">дома!C1333</f>
        <v>3</v>
      </c>
      <c r="D351" s="2136"/>
      <c r="E351" s="2117" t="n">
        <f aca="false">дома!D1333</f>
        <v>2</v>
      </c>
      <c r="F351" s="2119" t="n">
        <f aca="false">C351*E351*E337</f>
        <v>18</v>
      </c>
      <c r="G351" s="2135" t="s">
        <v>3603</v>
      </c>
      <c r="H351" s="2135"/>
      <c r="I351" s="232"/>
      <c r="J351" s="2117" t="n">
        <f aca="false">дома!N1333</f>
        <v>0</v>
      </c>
      <c r="K351" s="2117" t="n">
        <f aca="false">дома!O1333</f>
        <v>0</v>
      </c>
      <c r="L351" s="232" t="n">
        <f aca="false">J351*K351*(G337+F337)/2</f>
        <v>0</v>
      </c>
      <c r="M351" s="2116"/>
      <c r="N351" s="2116"/>
    </row>
    <row r="352" customFormat="false" ht="15.5" hidden="false" customHeight="false" outlineLevel="0" collapsed="false">
      <c r="A352" s="2135"/>
      <c r="B352" s="232"/>
      <c r="C352" s="2136" t="n">
        <f aca="false">дома!C1334</f>
        <v>0</v>
      </c>
      <c r="D352" s="2136"/>
      <c r="E352" s="2117" t="n">
        <f aca="false">дома!D1334</f>
        <v>0</v>
      </c>
      <c r="F352" s="2119" t="n">
        <f aca="false">C352*E352*E337</f>
        <v>0</v>
      </c>
      <c r="G352" s="2135"/>
      <c r="H352" s="2135"/>
      <c r="I352" s="232"/>
      <c r="J352" s="2117" t="n">
        <f aca="false">дома!N1334</f>
        <v>0</v>
      </c>
      <c r="K352" s="2117" t="n">
        <f aca="false">дома!O1334</f>
        <v>0</v>
      </c>
      <c r="L352" s="232" t="n">
        <f aca="false">J352*K352*(G337+F337)/2</f>
        <v>0</v>
      </c>
      <c r="M352" s="2116"/>
      <c r="N352" s="2116"/>
    </row>
    <row r="353" customFormat="false" ht="15.5" hidden="false" customHeight="false" outlineLevel="0" collapsed="false">
      <c r="A353" s="2135"/>
      <c r="B353" s="232"/>
      <c r="C353" s="2136" t="n">
        <f aca="false">дома!C1335</f>
        <v>0</v>
      </c>
      <c r="D353" s="2136"/>
      <c r="E353" s="2117" t="n">
        <f aca="false">дома!D1335</f>
        <v>0</v>
      </c>
      <c r="F353" s="2119" t="n">
        <f aca="false">C353*E353*E337</f>
        <v>0</v>
      </c>
      <c r="G353" s="2135"/>
      <c r="H353" s="2135"/>
      <c r="I353" s="232"/>
      <c r="J353" s="2117" t="n">
        <f aca="false">дома!N1335</f>
        <v>0</v>
      </c>
      <c r="K353" s="2117" t="n">
        <f aca="false">дома!O1335</f>
        <v>0</v>
      </c>
      <c r="L353" s="232" t="n">
        <f aca="false">J353*K353*(G337+F337)/2</f>
        <v>0</v>
      </c>
      <c r="M353" s="2116"/>
      <c r="N353" s="2116"/>
    </row>
    <row r="354" customFormat="false" ht="15.5" hidden="false" customHeight="false" outlineLevel="0" collapsed="false">
      <c r="A354" s="2135"/>
      <c r="B354" s="232"/>
      <c r="C354" s="2136" t="n">
        <f aca="false">дома!C1336</f>
        <v>0</v>
      </c>
      <c r="D354" s="2136"/>
      <c r="E354" s="2117" t="n">
        <f aca="false">дома!D1336</f>
        <v>0</v>
      </c>
      <c r="F354" s="2119" t="n">
        <f aca="false">C354*E354*E337</f>
        <v>0</v>
      </c>
      <c r="G354" s="2135"/>
      <c r="H354" s="2135"/>
      <c r="I354" s="232"/>
      <c r="J354" s="2117" t="n">
        <f aca="false">дома!N1336</f>
        <v>0</v>
      </c>
      <c r="K354" s="2117" t="n">
        <f aca="false">дома!O1336</f>
        <v>0</v>
      </c>
      <c r="L354" s="232" t="n">
        <f aca="false">J354*K354*(G337+F337)/2</f>
        <v>0</v>
      </c>
      <c r="M354" s="2116"/>
      <c r="N354" s="2116"/>
    </row>
    <row r="355" customFormat="false" ht="15.5" hidden="false" customHeight="false" outlineLevel="0" collapsed="false">
      <c r="A355" s="477"/>
      <c r="B355" s="2116"/>
      <c r="C355" s="2137"/>
      <c r="D355" s="2137"/>
      <c r="E355" s="1124" t="s">
        <v>3925</v>
      </c>
      <c r="F355" s="2138" t="n">
        <f aca="false">SUM(F339:F349)</f>
        <v>53.4</v>
      </c>
      <c r="G355" s="2139"/>
      <c r="H355" s="2139"/>
      <c r="I355" s="2124"/>
      <c r="J355" s="2116"/>
      <c r="K355" s="1124" t="s">
        <v>3925</v>
      </c>
      <c r="L355" s="1124" t="n">
        <f aca="false">SUM(L339:L349)</f>
        <v>0</v>
      </c>
      <c r="M355" s="2116"/>
      <c r="N355" s="2116"/>
    </row>
    <row r="356" customFormat="false" ht="15.5" hidden="false" customHeight="false" outlineLevel="0" collapsed="false">
      <c r="A356" s="477"/>
      <c r="B356" s="2116"/>
      <c r="C356" s="2137"/>
      <c r="D356" s="2137"/>
      <c r="E356" s="2116"/>
      <c r="F356" s="2173"/>
      <c r="G356" s="2139"/>
      <c r="H356" s="2139"/>
      <c r="I356" s="2124"/>
      <c r="J356" s="2116"/>
      <c r="K356" s="2116"/>
      <c r="L356" s="2116"/>
      <c r="M356" s="2116"/>
      <c r="N356" s="2116"/>
    </row>
    <row r="357" customFormat="false" ht="15.5" hidden="false" customHeight="false" outlineLevel="0" collapsed="false">
      <c r="A357" s="2161" t="s">
        <v>1112</v>
      </c>
      <c r="B357" s="2161"/>
      <c r="C357" s="2161"/>
      <c r="D357" s="2161"/>
      <c r="E357" s="2161"/>
      <c r="F357" s="2161"/>
      <c r="G357" s="2161"/>
      <c r="H357" s="2161"/>
      <c r="I357" s="2161"/>
      <c r="J357" s="2161"/>
      <c r="K357" s="2161"/>
      <c r="L357" s="1148"/>
      <c r="M357" s="1148"/>
      <c r="N357" s="1148"/>
    </row>
    <row r="358" customFormat="false" ht="15.5" hidden="false" customHeight="false" outlineLevel="0" collapsed="false">
      <c r="A358" s="2161"/>
      <c r="B358" s="2161"/>
      <c r="C358" s="2161"/>
      <c r="D358" s="2161"/>
      <c r="E358" s="2161"/>
      <c r="F358" s="2161"/>
      <c r="G358" s="2161"/>
      <c r="H358" s="2161"/>
      <c r="I358" s="2161"/>
      <c r="J358" s="2161"/>
      <c r="K358" s="2161"/>
      <c r="L358" s="1148"/>
      <c r="M358" s="1148"/>
      <c r="N358" s="1148"/>
    </row>
    <row r="359" customFormat="false" ht="23.5" hidden="false" customHeight="false" outlineLevel="0" collapsed="false">
      <c r="A359" s="2151" t="s">
        <v>1806</v>
      </c>
      <c r="B359" s="2151"/>
      <c r="C359" s="2151"/>
      <c r="D359" s="2151"/>
      <c r="E359" s="2151"/>
      <c r="F359" s="2151"/>
      <c r="G359" s="2152" t="n">
        <f aca="false">'Ввод данных'!D1266</f>
        <v>1</v>
      </c>
      <c r="H359" s="855" t="n">
        <f aca="false">'Ввод данных'!D1267</f>
        <v>1</v>
      </c>
      <c r="I359" s="855"/>
      <c r="J359" s="855"/>
      <c r="K359" s="855"/>
      <c r="L359" s="1148"/>
      <c r="M359" s="1148"/>
      <c r="N359" s="1148"/>
    </row>
    <row r="360" customFormat="false" ht="23.5" hidden="false" customHeight="false" outlineLevel="0" collapsed="false">
      <c r="A360" s="2151"/>
      <c r="B360" s="2151"/>
      <c r="C360" s="2151"/>
      <c r="D360" s="2151"/>
      <c r="E360" s="2151"/>
      <c r="F360" s="2151"/>
      <c r="G360" s="2153"/>
      <c r="H360" s="855"/>
      <c r="I360" s="855"/>
      <c r="J360" s="855"/>
      <c r="K360" s="855"/>
      <c r="L360" s="1148"/>
      <c r="M360" s="1148"/>
      <c r="N360" s="1148"/>
    </row>
    <row r="361" customFormat="false" ht="15.5" hidden="false" customHeight="false" outlineLevel="0" collapsed="false">
      <c r="A361" s="122" t="s">
        <v>2499</v>
      </c>
      <c r="B361" s="2696" t="n">
        <f aca="false">'Ввод данных'!C1283</f>
        <v>1</v>
      </c>
      <c r="C361" s="2141"/>
      <c r="D361" s="2141"/>
      <c r="E361" s="2141"/>
      <c r="F361" s="2141"/>
      <c r="G361" s="2149"/>
      <c r="H361" s="1148"/>
      <c r="I361" s="1148"/>
      <c r="J361" s="1148"/>
      <c r="K361" s="1148"/>
      <c r="L361" s="1148"/>
      <c r="M361" s="1148"/>
      <c r="N361" s="1148"/>
    </row>
    <row r="362" customFormat="false" ht="15.5" hidden="false" customHeight="false" outlineLevel="0" collapsed="false">
      <c r="A362" s="122" t="s">
        <v>4596</v>
      </c>
      <c r="B362" s="2696" t="n">
        <f aca="false">'Ввод данных'!C1285</f>
        <v>20</v>
      </c>
      <c r="C362" s="2141"/>
      <c r="D362" s="2141"/>
      <c r="E362" s="2141"/>
      <c r="F362" s="2141"/>
      <c r="G362" s="2149"/>
      <c r="H362" s="1148"/>
      <c r="I362" s="1148"/>
      <c r="J362" s="1148"/>
      <c r="K362" s="1148"/>
      <c r="L362" s="1148"/>
      <c r="M362" s="1148"/>
      <c r="N362" s="1148"/>
    </row>
    <row r="363" customFormat="false" ht="15.5" hidden="false" customHeight="false" outlineLevel="0" collapsed="false">
      <c r="A363" s="122" t="s">
        <v>4597</v>
      </c>
      <c r="B363" s="2696" t="n">
        <f aca="false">'Ввод данных'!C1287</f>
        <v>40</v>
      </c>
      <c r="C363" s="2141"/>
      <c r="D363" s="2141"/>
      <c r="E363" s="2141"/>
      <c r="F363" s="2141"/>
      <c r="G363" s="2149"/>
      <c r="H363" s="1148"/>
      <c r="I363" s="1148"/>
      <c r="J363" s="1148"/>
      <c r="K363" s="1148"/>
      <c r="L363" s="1148"/>
      <c r="M363" s="1148"/>
      <c r="N363" s="1148"/>
    </row>
    <row r="364" customFormat="false" ht="15.5" hidden="false" customHeight="false" outlineLevel="0" collapsed="false">
      <c r="A364" s="122" t="s">
        <v>4598</v>
      </c>
      <c r="B364" s="2696" t="n">
        <f aca="false">'Ввод данных'!C1290</f>
        <v>4</v>
      </c>
      <c r="C364" s="2141"/>
      <c r="D364" s="2141"/>
      <c r="E364" s="2141"/>
      <c r="F364" s="2141"/>
      <c r="G364" s="2149"/>
      <c r="H364" s="1148"/>
      <c r="I364" s="1148"/>
      <c r="J364" s="1148"/>
      <c r="K364" s="1148"/>
      <c r="L364" s="1148"/>
      <c r="M364" s="1148"/>
      <c r="N364" s="1148"/>
    </row>
    <row r="365" customFormat="false" ht="15.5" hidden="false" customHeight="false" outlineLevel="0" collapsed="false">
      <c r="A365" s="232" t="s">
        <v>2720</v>
      </c>
      <c r="B365" s="232" t="s">
        <v>120</v>
      </c>
      <c r="C365" s="232" t="s">
        <v>1802</v>
      </c>
      <c r="D365" s="232" t="s">
        <v>1601</v>
      </c>
      <c r="E365" s="232" t="s">
        <v>3696</v>
      </c>
      <c r="F365" s="1148"/>
      <c r="G365" s="87" t="s">
        <v>1409</v>
      </c>
      <c r="H365" s="87"/>
      <c r="I365" s="232" t="s">
        <v>1802</v>
      </c>
      <c r="J365" s="232" t="s">
        <v>1601</v>
      </c>
      <c r="K365" s="232" t="s">
        <v>3696</v>
      </c>
      <c r="L365" s="1148"/>
      <c r="M365" s="1148"/>
      <c r="N365" s="1148"/>
    </row>
    <row r="366" customFormat="false" ht="15.5" hidden="false" customHeight="false" outlineLevel="0" collapsed="false">
      <c r="A366" s="232" t="str">
        <f aca="false">'Ввод данных'!A1272</f>
        <v>Кабель ВВГнг(А)-LS 3х2,5 0,66</v>
      </c>
      <c r="B366" s="232" t="s">
        <v>156</v>
      </c>
      <c r="C366" s="232" t="n">
        <f aca="false">((C337+D337+C337+D337+C339*E339*E337+C340*E340*E337+C341*E341*E337+C342*E342*E337+C343*E343*E337+C344*E344*E337+C345*E345*E337+C346*E346*E337+C347*E347*E337+C348*E348*E337+C349*E349*E337+C350*E350*E337+C351*E351*E337+C352*E352*E337+C353*E353*E337)+(B337-1)*(C337+C337+D337+D337)+((B337-1)*(J339*K339+J340*K340+J341*K341+J342*K342+J343*K343+J344*K344+J345*K345+J346*K346+J347*K347+J348*K348+J349*K349+J350*K350+J351*K351+J352*K352+J353*K353))*2*B337*G359)</f>
        <v>111.4</v>
      </c>
      <c r="D366" s="232" t="n">
        <f aca="false">VLOOKUP(A366,'Прайс лист'!B1207:G1212,6,0)</f>
        <v>47.36</v>
      </c>
      <c r="E366" s="232" t="n">
        <f aca="false">C366*D366</f>
        <v>5275.904</v>
      </c>
      <c r="F366" s="1148"/>
      <c r="G366" s="2182" t="s">
        <v>1602</v>
      </c>
      <c r="H366" s="2183"/>
      <c r="I366" s="232" t="n">
        <f aca="false">(C366+C368+C370)*H359</f>
        <v>373.2</v>
      </c>
      <c r="J366" s="232" t="n">
        <f aca="false">'Прайс лист'!G1839</f>
        <v>100</v>
      </c>
      <c r="K366" s="232" t="n">
        <f aca="false">I366*J366</f>
        <v>37320</v>
      </c>
      <c r="L366" s="1148"/>
      <c r="M366" s="1148"/>
      <c r="N366" s="1148"/>
    </row>
    <row r="367" customFormat="false" ht="15.5" hidden="false" customHeight="false" outlineLevel="0" collapsed="false">
      <c r="A367" s="232" t="str">
        <f aca="false">'Ввод данных'!A1274</f>
        <v>Труба ПВХ гофрировонная гибкая 20</v>
      </c>
      <c r="B367" s="232" t="s">
        <v>156</v>
      </c>
      <c r="C367" s="232" t="n">
        <f aca="false">C366*1.1</f>
        <v>122.54</v>
      </c>
      <c r="D367" s="232" t="n">
        <f aca="false">VLOOKUP(A367,'Прайс лист'!B1213:G1235,6,0)</f>
        <v>5.02</v>
      </c>
      <c r="E367" s="232" t="n">
        <f aca="false">C367*D367</f>
        <v>615.1508</v>
      </c>
      <c r="F367" s="1148"/>
      <c r="G367" s="2182" t="s">
        <v>1603</v>
      </c>
      <c r="H367" s="2183"/>
      <c r="I367" s="232" t="n">
        <f aca="false">I366*H359</f>
        <v>373.2</v>
      </c>
      <c r="J367" s="232" t="n">
        <f aca="false">'Прайс лист'!G1840</f>
        <v>50</v>
      </c>
      <c r="K367" s="232" t="n">
        <f aca="false">I367*J367</f>
        <v>18660</v>
      </c>
      <c r="L367" s="1148"/>
      <c r="M367" s="1148"/>
      <c r="N367" s="1148"/>
    </row>
    <row r="368" customFormat="false" ht="15.5" hidden="false" customHeight="false" outlineLevel="0" collapsed="false">
      <c r="A368" s="232" t="str">
        <f aca="false">'Ввод данных'!A1276</f>
        <v>Кабель ВВГнг(А)-LS 3х1,5 0,66</v>
      </c>
      <c r="B368" s="232" t="s">
        <v>156</v>
      </c>
      <c r="C368" s="232" t="n">
        <f aca="false">(C337+D337+C337+D337+C339*E339*E337+C340*E340*E337+C341*E341*E337+C342*E342*E337+C343*E343*E337+C344*E344*E337)*2*B337*G359</f>
        <v>186.8</v>
      </c>
      <c r="D368" s="232" t="n">
        <f aca="false">VLOOKUP(A368,'Прайс лист'!B1207:G1212,6,0)</f>
        <v>29.81</v>
      </c>
      <c r="E368" s="232" t="n">
        <f aca="false">C368*D368</f>
        <v>5568.508</v>
      </c>
      <c r="F368" s="1148"/>
      <c r="G368" s="87" t="s">
        <v>4599</v>
      </c>
      <c r="H368" s="87"/>
      <c r="I368" s="232" t="n">
        <f aca="false">C374</f>
        <v>6</v>
      </c>
      <c r="J368" s="232" t="n">
        <f aca="false">'Прайс лист'!G1841</f>
        <v>500</v>
      </c>
      <c r="K368" s="232" t="n">
        <f aca="false">I368*J368</f>
        <v>3000</v>
      </c>
      <c r="L368" s="1148"/>
      <c r="M368" s="1148"/>
      <c r="N368" s="1148"/>
    </row>
    <row r="369" customFormat="false" ht="15.5" hidden="false" customHeight="false" outlineLevel="0" collapsed="false">
      <c r="A369" s="232" t="str">
        <f aca="false">'Ввод данных'!A1278</f>
        <v>Труба ПВХ гофрировонная гибкая 25</v>
      </c>
      <c r="B369" s="232" t="s">
        <v>156</v>
      </c>
      <c r="C369" s="232" t="n">
        <f aca="false">C368*1.1</f>
        <v>205.48</v>
      </c>
      <c r="D369" s="232" t="n">
        <f aca="false">VLOOKUP(A369,'Прайс лист'!B1213:G1235,6,0)</f>
        <v>6.38</v>
      </c>
      <c r="E369" s="232" t="n">
        <f aca="false">C369*D369</f>
        <v>1310.9624</v>
      </c>
      <c r="F369" s="1148"/>
      <c r="G369" s="2182" t="s">
        <v>4600</v>
      </c>
      <c r="H369" s="2183"/>
      <c r="I369" s="232" t="n">
        <f aca="false">C381</f>
        <v>40</v>
      </c>
      <c r="J369" s="232" t="n">
        <f aca="false">'Прайс лист'!G1842</f>
        <v>200</v>
      </c>
      <c r="K369" s="232" t="n">
        <f aca="false">I369*J369</f>
        <v>8000</v>
      </c>
      <c r="L369" s="1148"/>
      <c r="M369" s="1148"/>
      <c r="N369" s="1148"/>
    </row>
    <row r="370" customFormat="false" ht="15.5" hidden="false" customHeight="false" outlineLevel="0" collapsed="false">
      <c r="A370" s="232" t="str">
        <f aca="false">'Ввод данных'!A1280</f>
        <v>Кабель ВВГнг(А)-LS 3х4 0,66</v>
      </c>
      <c r="B370" s="232" t="s">
        <v>156</v>
      </c>
      <c r="C370" s="232" t="n">
        <f aca="false">(C337+D337+D337)*2.5*G359</f>
        <v>75</v>
      </c>
      <c r="D370" s="232" t="n">
        <f aca="false">VLOOKUP(A370,'Прайс лист'!B1207:G1212,6,0)</f>
        <v>68</v>
      </c>
      <c r="E370" s="232" t="n">
        <f aca="false">C370*D370</f>
        <v>5100</v>
      </c>
      <c r="F370" s="1148"/>
      <c r="G370" s="2182" t="s">
        <v>4601</v>
      </c>
      <c r="H370" s="2183"/>
      <c r="I370" s="232" t="n">
        <f aca="false">C382</f>
        <v>20</v>
      </c>
      <c r="J370" s="232" t="n">
        <f aca="false">'Прайс лист'!G1843</f>
        <v>200</v>
      </c>
      <c r="K370" s="232" t="n">
        <f aca="false">I370*J370</f>
        <v>4000</v>
      </c>
      <c r="L370" s="1148"/>
      <c r="M370" s="1148"/>
      <c r="N370" s="1148"/>
    </row>
    <row r="371" customFormat="false" ht="15.5" hidden="false" customHeight="false" outlineLevel="0" collapsed="false">
      <c r="A371" s="232" t="str">
        <f aca="false">'Ввод данных'!A1282</f>
        <v>Труба ПВХ гофрировонная гибкая 32</v>
      </c>
      <c r="B371" s="232" t="s">
        <v>156</v>
      </c>
      <c r="C371" s="232" t="n">
        <f aca="false">C370*1.1</f>
        <v>82.5</v>
      </c>
      <c r="D371" s="232" t="n">
        <f aca="false">VLOOKUP(A371,'Прайс лист'!B1213:G1235,6,0)</f>
        <v>6.38</v>
      </c>
      <c r="E371" s="232" t="n">
        <f aca="false">C371*D371</f>
        <v>526.35</v>
      </c>
      <c r="F371" s="1148"/>
      <c r="G371" s="2182" t="s">
        <v>4602</v>
      </c>
      <c r="H371" s="2183"/>
      <c r="I371" s="232" t="n">
        <f aca="false">C376</f>
        <v>1</v>
      </c>
      <c r="J371" s="232" t="n">
        <f aca="false">'Прайс лист'!G1844</f>
        <v>6000</v>
      </c>
      <c r="K371" s="232" t="n">
        <f aca="false">I371*J371</f>
        <v>6000</v>
      </c>
      <c r="L371" s="1148"/>
      <c r="M371" s="1148"/>
      <c r="N371" s="1148"/>
    </row>
    <row r="372" customFormat="false" ht="15.5" hidden="false" customHeight="false" outlineLevel="0" collapsed="false">
      <c r="A372" s="232" t="str">
        <f aca="false">'Прайс лист'!B1236</f>
        <v>крепления для гофры</v>
      </c>
      <c r="B372" s="232" t="s">
        <v>159</v>
      </c>
      <c r="C372" s="2159" t="n">
        <f aca="false">CEILING((C371+C369+C366)*G359*IF('Ввод данных'!A1270=связи1!A536,1,0.5),1)</f>
        <v>400</v>
      </c>
      <c r="D372" s="232" t="n">
        <f aca="false">'Прайс лист'!G1236</f>
        <v>1</v>
      </c>
      <c r="E372" s="232" t="n">
        <f aca="false">C372*D372</f>
        <v>400</v>
      </c>
      <c r="F372" s="1148"/>
      <c r="G372" s="2182" t="s">
        <v>1608</v>
      </c>
      <c r="H372" s="2183"/>
      <c r="I372" s="232" t="n">
        <f aca="false">I369</f>
        <v>40</v>
      </c>
      <c r="J372" s="232" t="n">
        <f aca="false">'Прайс лист'!G1845</f>
        <v>250</v>
      </c>
      <c r="K372" s="232" t="n">
        <f aca="false">I372*J372</f>
        <v>10000</v>
      </c>
      <c r="L372" s="1148"/>
      <c r="M372" s="1148"/>
      <c r="N372" s="1148"/>
    </row>
    <row r="373" customFormat="false" ht="15.5" hidden="false" customHeight="false" outlineLevel="0" collapsed="false">
      <c r="A373" s="232" t="str">
        <f aca="false">'Прайс лист'!B1237</f>
        <v>саморез для крепления гофры</v>
      </c>
      <c r="B373" s="232" t="s">
        <v>159</v>
      </c>
      <c r="C373" s="232" t="n">
        <f aca="false">C372*2*G359</f>
        <v>800</v>
      </c>
      <c r="D373" s="232" t="n">
        <f aca="false">'Прайс лист'!G1237</f>
        <v>0.25</v>
      </c>
      <c r="E373" s="232" t="n">
        <f aca="false">C373*D373</f>
        <v>200</v>
      </c>
      <c r="F373" s="1148"/>
      <c r="G373" s="2182" t="s">
        <v>1609</v>
      </c>
      <c r="H373" s="2183"/>
      <c r="I373" s="232" t="n">
        <f aca="false">I370</f>
        <v>20</v>
      </c>
      <c r="J373" s="232" t="n">
        <f aca="false">'Прайс лист'!G1846</f>
        <v>250</v>
      </c>
      <c r="K373" s="232" t="n">
        <f aca="false">I373*J373</f>
        <v>5000</v>
      </c>
      <c r="L373" s="1148"/>
      <c r="M373" s="1148"/>
      <c r="N373" s="1148"/>
    </row>
    <row r="374" customFormat="false" ht="15.5" hidden="false" customHeight="false" outlineLevel="0" collapsed="false">
      <c r="A374" s="232" t="str">
        <f aca="false">'Прайс лист'!B1238</f>
        <v>Коробка распределения</v>
      </c>
      <c r="B374" s="232" t="s">
        <v>159</v>
      </c>
      <c r="C374" s="232" t="n">
        <f aca="false">6*B337*G359</f>
        <v>6</v>
      </c>
      <c r="D374" s="232" t="n">
        <f aca="false">'Прайс лист'!G1238</f>
        <v>20</v>
      </c>
      <c r="E374" s="232" t="n">
        <f aca="false">C374*D374</f>
        <v>120</v>
      </c>
      <c r="F374" s="1148"/>
      <c r="G374" s="1004"/>
      <c r="H374" s="1004"/>
      <c r="I374" s="1004"/>
      <c r="J374" s="1004"/>
      <c r="K374" s="1004"/>
      <c r="L374" s="1148"/>
      <c r="M374" s="1148"/>
      <c r="N374" s="1148"/>
    </row>
    <row r="375" customFormat="false" ht="15.5" hidden="false" customHeight="false" outlineLevel="0" collapsed="false">
      <c r="A375" s="232" t="str">
        <f aca="false">'Прайс лист'!B1239</f>
        <v>Вага</v>
      </c>
      <c r="B375" s="232" t="s">
        <v>159</v>
      </c>
      <c r="C375" s="232" t="n">
        <f aca="false">G359*(B362+B363)*8</f>
        <v>480</v>
      </c>
      <c r="D375" s="232" t="n">
        <f aca="false">'Прайс лист'!G1239</f>
        <v>10</v>
      </c>
      <c r="E375" s="232" t="n">
        <f aca="false">C375*D375</f>
        <v>4800</v>
      </c>
      <c r="F375" s="1148"/>
      <c r="G375" s="1004"/>
      <c r="H375" s="1004"/>
      <c r="I375" s="1004"/>
      <c r="J375" s="1004"/>
      <c r="K375" s="1004"/>
      <c r="L375" s="1148"/>
      <c r="M375" s="1148"/>
      <c r="N375" s="1148"/>
    </row>
    <row r="376" customFormat="false" ht="15.5" hidden="false" customHeight="false" outlineLevel="0" collapsed="false">
      <c r="A376" s="232" t="str">
        <f aca="false">'Прайс лист'!B1240</f>
        <v>Щиток электрический</v>
      </c>
      <c r="B376" s="232" t="s">
        <v>159</v>
      </c>
      <c r="C376" s="232" t="n">
        <f aca="false">B361</f>
        <v>1</v>
      </c>
      <c r="D376" s="232" t="n">
        <f aca="false">'Прайс лист'!G1240</f>
        <v>1200</v>
      </c>
      <c r="E376" s="232" t="n">
        <f aca="false">C376*D376</f>
        <v>1200</v>
      </c>
      <c r="F376" s="1148"/>
      <c r="G376" s="2697"/>
      <c r="H376" s="2697"/>
      <c r="I376" s="232"/>
      <c r="J376" s="232"/>
      <c r="K376" s="232"/>
      <c r="L376" s="1148"/>
      <c r="M376" s="1148"/>
      <c r="N376" s="1148"/>
    </row>
    <row r="377" customFormat="false" ht="15.5" hidden="false" customHeight="false" outlineLevel="0" collapsed="false">
      <c r="A377" s="232" t="str">
        <f aca="false">'Прайс лист'!B1241</f>
        <v>автомат, 3 полюса, 32амп</v>
      </c>
      <c r="B377" s="232" t="s">
        <v>159</v>
      </c>
      <c r="C377" s="232" t="n">
        <v>2</v>
      </c>
      <c r="D377" s="232" t="n">
        <f aca="false">'Прайс лист'!G1241</f>
        <v>180</v>
      </c>
      <c r="E377" s="232" t="n">
        <f aca="false">C377*D377</f>
        <v>360</v>
      </c>
      <c r="F377" s="1148"/>
      <c r="G377" s="2697"/>
      <c r="H377" s="2697"/>
      <c r="I377" s="232"/>
      <c r="J377" s="232"/>
      <c r="K377" s="232"/>
      <c r="L377" s="1148"/>
      <c r="M377" s="1148"/>
      <c r="N377" s="1148"/>
    </row>
    <row r="378" customFormat="false" ht="15.5" hidden="false" customHeight="false" outlineLevel="0" collapsed="false">
      <c r="A378" s="232" t="str">
        <f aca="false">'Прайс лист'!B1242</f>
        <v>автомат, 1 полюс, 16амп</v>
      </c>
      <c r="B378" s="232" t="s">
        <v>159</v>
      </c>
      <c r="C378" s="232" t="n">
        <v>20</v>
      </c>
      <c r="D378" s="232" t="n">
        <f aca="false">'Прайс лист'!G1242</f>
        <v>70</v>
      </c>
      <c r="E378" s="232" t="n">
        <f aca="false">C378*D378</f>
        <v>1400</v>
      </c>
      <c r="F378" s="1148"/>
      <c r="G378" s="2697"/>
      <c r="H378" s="2697"/>
      <c r="I378" s="232"/>
      <c r="J378" s="232"/>
      <c r="K378" s="232"/>
      <c r="L378" s="1148"/>
      <c r="M378" s="1148"/>
      <c r="N378" s="1148"/>
    </row>
    <row r="379" customFormat="false" ht="15.5" hidden="false" customHeight="false" outlineLevel="0" collapsed="false">
      <c r="A379" s="232" t="str">
        <f aca="false">'Прайс лист'!B1243</f>
        <v>автомат, 1 полюс, 25 амп</v>
      </c>
      <c r="B379" s="232" t="s">
        <v>159</v>
      </c>
      <c r="C379" s="232" t="n">
        <v>2</v>
      </c>
      <c r="D379" s="232" t="n">
        <f aca="false">'Прайс лист'!G1243</f>
        <v>167</v>
      </c>
      <c r="E379" s="232" t="n">
        <f aca="false">C379*D379</f>
        <v>334</v>
      </c>
      <c r="F379" s="1148"/>
      <c r="G379" s="2697"/>
      <c r="H379" s="2697"/>
      <c r="I379" s="232"/>
      <c r="J379" s="232"/>
      <c r="K379" s="232"/>
      <c r="L379" s="1148"/>
      <c r="M379" s="1148"/>
      <c r="N379" s="1148"/>
    </row>
    <row r="380" customFormat="false" ht="15.5" hidden="false" customHeight="false" outlineLevel="0" collapsed="false">
      <c r="A380" s="232" t="str">
        <f aca="false">'Прайс лист'!B1244</f>
        <v>Коробка электрическая</v>
      </c>
      <c r="B380" s="232" t="s">
        <v>159</v>
      </c>
      <c r="C380" s="232" t="n">
        <f aca="false">C381*G359+C382*G359</f>
        <v>60</v>
      </c>
      <c r="D380" s="232" t="n">
        <f aca="false">'Прайс лист'!G1244</f>
        <v>6</v>
      </c>
      <c r="E380" s="232" t="n">
        <f aca="false">C380*D380</f>
        <v>360</v>
      </c>
      <c r="F380" s="1148"/>
      <c r="G380" s="2697"/>
      <c r="H380" s="2697"/>
      <c r="I380" s="232"/>
      <c r="J380" s="232"/>
      <c r="K380" s="232"/>
      <c r="L380" s="1148"/>
      <c r="M380" s="1148"/>
      <c r="N380" s="1148"/>
    </row>
    <row r="381" customFormat="false" ht="15.5" hidden="false" customHeight="false" outlineLevel="0" collapsed="false">
      <c r="A381" s="232" t="str">
        <f aca="false">'Ввод данных'!A1285</f>
        <v>Розетка 2</v>
      </c>
      <c r="B381" s="232" t="s">
        <v>159</v>
      </c>
      <c r="C381" s="232" t="n">
        <f aca="false">B363</f>
        <v>40</v>
      </c>
      <c r="D381" s="232" t="n">
        <f aca="false">'Прайс лист'!G1245</f>
        <v>100</v>
      </c>
      <c r="E381" s="232" t="n">
        <f aca="false">C381*D381</f>
        <v>4000</v>
      </c>
      <c r="F381" s="1148"/>
      <c r="G381" s="2697"/>
      <c r="H381" s="2697"/>
      <c r="I381" s="232"/>
      <c r="J381" s="232"/>
      <c r="K381" s="232"/>
      <c r="L381" s="1148"/>
      <c r="M381" s="1148"/>
      <c r="N381" s="1148"/>
    </row>
    <row r="382" customFormat="false" ht="15.5" hidden="false" customHeight="false" outlineLevel="0" collapsed="false">
      <c r="A382" s="232" t="str">
        <f aca="false">'Ввод данных'!A1287</f>
        <v>Выключатель 3</v>
      </c>
      <c r="B382" s="232" t="s">
        <v>159</v>
      </c>
      <c r="C382" s="232" t="n">
        <f aca="false">B362</f>
        <v>20</v>
      </c>
      <c r="D382" s="232" t="n">
        <f aca="false">'Прайс лист'!G1250</f>
        <v>100</v>
      </c>
      <c r="E382" s="232" t="n">
        <f aca="false">C382*D382</f>
        <v>2000</v>
      </c>
      <c r="F382" s="1148"/>
      <c r="G382" s="2697"/>
      <c r="H382" s="2697"/>
      <c r="I382" s="232"/>
      <c r="J382" s="232"/>
      <c r="K382" s="232"/>
      <c r="L382" s="1148"/>
      <c r="M382" s="1148"/>
      <c r="N382" s="1148"/>
    </row>
    <row r="383" customFormat="false" ht="15.5" hidden="false" customHeight="false" outlineLevel="0" collapsed="false">
      <c r="A383" s="232" t="str">
        <f aca="false">'Ввод данных'!A1290</f>
        <v>Нет техники</v>
      </c>
      <c r="B383" s="232" t="str">
        <f aca="false">'Ввод данных'!B1290</f>
        <v>час</v>
      </c>
      <c r="C383" s="232" t="n">
        <f aca="false">'Ввод данных'!C1290</f>
        <v>4</v>
      </c>
      <c r="D383" s="232" t="n">
        <f aca="false">VLOOKUP(A383,'Прайс лист'!B180:G194,6,0)</f>
        <v>0</v>
      </c>
      <c r="E383" s="232" t="n">
        <f aca="false">C383*D383</f>
        <v>0</v>
      </c>
      <c r="F383" s="1148"/>
      <c r="G383" s="2698"/>
      <c r="H383" s="2699"/>
      <c r="I383" s="232"/>
      <c r="J383" s="232"/>
      <c r="K383" s="232"/>
      <c r="L383" s="1148"/>
      <c r="M383" s="1148"/>
      <c r="N383" s="1148"/>
    </row>
    <row r="384" customFormat="false" ht="15.5" hidden="false" customHeight="false" outlineLevel="0" collapsed="false">
      <c r="A384" s="232" t="str">
        <f aca="false">'Ввод данных'!A1291</f>
        <v>Нет техники</v>
      </c>
      <c r="B384" s="232" t="str">
        <f aca="false">'Ввод данных'!B1291</f>
        <v>час</v>
      </c>
      <c r="C384" s="232" t="n">
        <f aca="false">'Ввод данных'!C1291</f>
        <v>0</v>
      </c>
      <c r="D384" s="232" t="n">
        <f aca="false">VLOOKUP(A384,'Прайс лист'!B180:G194,6,0)</f>
        <v>0</v>
      </c>
      <c r="E384" s="232" t="n">
        <f aca="false">C384*D384</f>
        <v>0</v>
      </c>
      <c r="F384" s="1148"/>
      <c r="G384" s="2698"/>
      <c r="H384" s="2699"/>
      <c r="I384" s="232"/>
      <c r="J384" s="232"/>
      <c r="K384" s="232"/>
      <c r="L384" s="1148"/>
      <c r="M384" s="1148"/>
      <c r="N384" s="1148"/>
    </row>
    <row r="385" customFormat="false" ht="15.5" hidden="false" customHeight="false" outlineLevel="0" collapsed="false">
      <c r="A385" s="232" t="str">
        <f aca="false">'Ввод данных'!A1292</f>
        <v>расходные материалы для электрики</v>
      </c>
      <c r="B385" s="232" t="str">
        <f aca="false">'Ввод данных'!B1292</f>
        <v>рублей</v>
      </c>
      <c r="C385" s="232" t="n">
        <f aca="false">1</f>
        <v>1</v>
      </c>
      <c r="D385" s="232" t="n">
        <f aca="false">'Ввод данных'!C1292</f>
        <v>5000</v>
      </c>
      <c r="E385" s="232" t="n">
        <f aca="false">C385*D385</f>
        <v>5000</v>
      </c>
      <c r="F385" s="1148"/>
      <c r="G385" s="2698"/>
      <c r="H385" s="2699"/>
      <c r="I385" s="232"/>
      <c r="J385" s="232"/>
      <c r="K385" s="232"/>
      <c r="L385" s="1148"/>
      <c r="M385" s="1148"/>
      <c r="N385" s="1148"/>
    </row>
    <row r="386" customFormat="false" ht="15.5" hidden="false" customHeight="false" outlineLevel="0" collapsed="false">
      <c r="A386" s="2116"/>
      <c r="B386" s="2116"/>
      <c r="C386" s="2116"/>
      <c r="D386" s="2116"/>
      <c r="E386" s="232" t="n">
        <f aca="false">SUM(E366:E385)</f>
        <v>38570.8752</v>
      </c>
      <c r="F386" s="1148"/>
      <c r="G386" s="1148"/>
      <c r="H386" s="1148"/>
      <c r="I386" s="1148"/>
      <c r="J386" s="1148"/>
      <c r="K386" s="232" t="n">
        <f aca="false">SUM(K366:K385)</f>
        <v>91980</v>
      </c>
      <c r="L386" s="1148"/>
      <c r="M386" s="1148"/>
      <c r="N386" s="1148"/>
    </row>
    <row r="387" customFormat="false" ht="15.5" hidden="false" customHeight="false" outlineLevel="0" collapsed="false">
      <c r="A387" s="232" t="s">
        <v>4603</v>
      </c>
      <c r="B387" s="232" t="n">
        <f aca="false">E386</f>
        <v>38570.8752</v>
      </c>
      <c r="C387" s="2116"/>
      <c r="D387" s="2116"/>
      <c r="E387" s="2116"/>
      <c r="F387" s="1148"/>
      <c r="G387" s="1148"/>
      <c r="H387" s="1148"/>
      <c r="I387" s="1148"/>
      <c r="J387" s="1148"/>
      <c r="K387" s="2116"/>
      <c r="L387" s="1148"/>
      <c r="M387" s="1148"/>
      <c r="N387" s="1148"/>
    </row>
    <row r="388" customFormat="false" ht="15.5" hidden="false" customHeight="false" outlineLevel="0" collapsed="false">
      <c r="A388" s="232" t="s">
        <v>4604</v>
      </c>
      <c r="B388" s="232" t="n">
        <f aca="false">K386</f>
        <v>91980</v>
      </c>
      <c r="C388" s="2116"/>
      <c r="D388" s="2116"/>
      <c r="E388" s="2116"/>
      <c r="F388" s="1148"/>
      <c r="G388" s="1148"/>
      <c r="H388" s="1148"/>
      <c r="I388" s="1148"/>
      <c r="J388" s="1148"/>
      <c r="K388" s="2116"/>
      <c r="L388" s="1148"/>
      <c r="M388" s="1148"/>
      <c r="N388" s="1148"/>
    </row>
    <row r="389" customFormat="false" ht="15.5" hidden="false" customHeight="false" outlineLevel="0" collapsed="false">
      <c r="A389" s="232" t="s">
        <v>4605</v>
      </c>
      <c r="B389" s="232" t="n">
        <f aca="false">(B387+B388)*B390</f>
        <v>0</v>
      </c>
      <c r="C389" s="2116"/>
      <c r="D389" s="2116"/>
      <c r="E389" s="2116"/>
      <c r="F389" s="1148"/>
      <c r="G389" s="1148"/>
      <c r="H389" s="1148"/>
      <c r="I389" s="1148"/>
      <c r="J389" s="1148"/>
      <c r="K389" s="2116"/>
      <c r="L389" s="1148"/>
      <c r="M389" s="1148"/>
      <c r="N389" s="1148"/>
    </row>
    <row r="390" customFormat="false" ht="15.5" hidden="false" customHeight="false" outlineLevel="0" collapsed="false">
      <c r="A390" s="2167" t="s">
        <v>2503</v>
      </c>
      <c r="B390" s="2147"/>
      <c r="C390" s="2148" t="s">
        <v>3663</v>
      </c>
      <c r="D390" s="2148"/>
      <c r="E390" s="2148"/>
      <c r="F390" s="2148"/>
      <c r="G390" s="1148"/>
      <c r="H390" s="1148"/>
      <c r="I390" s="1148"/>
      <c r="J390" s="1148"/>
      <c r="K390" s="2116"/>
      <c r="L390" s="1148"/>
      <c r="M390" s="1148"/>
      <c r="N390" s="1148"/>
    </row>
    <row r="391" customFormat="false" ht="15.5" hidden="false" customHeight="false" outlineLevel="0" collapsed="false">
      <c r="A391" s="1148"/>
      <c r="B391" s="1148"/>
      <c r="C391" s="1148"/>
      <c r="D391" s="1148"/>
      <c r="E391" s="1148"/>
      <c r="F391" s="1148"/>
      <c r="G391" s="1148"/>
      <c r="H391" s="1148"/>
      <c r="I391" s="1148"/>
      <c r="J391" s="1148"/>
      <c r="K391" s="1148"/>
      <c r="L391" s="1148"/>
      <c r="M391" s="1148"/>
      <c r="N391" s="1148"/>
    </row>
    <row r="392" customFormat="false" ht="15.5" hidden="false" customHeight="false" outlineLevel="0" collapsed="false">
      <c r="A392" s="2161" t="s">
        <v>1161</v>
      </c>
      <c r="B392" s="2161"/>
      <c r="C392" s="2161"/>
      <c r="D392" s="2161"/>
      <c r="E392" s="2161"/>
      <c r="F392" s="2161"/>
      <c r="G392" s="2161"/>
      <c r="H392" s="2161"/>
      <c r="I392" s="2161"/>
      <c r="J392" s="2161"/>
      <c r="K392" s="2161"/>
      <c r="L392" s="1148"/>
      <c r="M392" s="1148"/>
      <c r="N392" s="1148"/>
    </row>
    <row r="393" customFormat="false" ht="15.5" hidden="false" customHeight="false" outlineLevel="0" collapsed="false">
      <c r="A393" s="2161"/>
      <c r="B393" s="2161"/>
      <c r="C393" s="2161"/>
      <c r="D393" s="2161"/>
      <c r="E393" s="2161"/>
      <c r="F393" s="2161"/>
      <c r="G393" s="2161"/>
      <c r="H393" s="2161"/>
      <c r="I393" s="2161"/>
      <c r="J393" s="2161"/>
      <c r="K393" s="2161"/>
      <c r="L393" s="1148"/>
      <c r="M393" s="1148"/>
      <c r="N393" s="1148"/>
    </row>
    <row r="394" customFormat="false" ht="23.5" hidden="false" customHeight="false" outlineLevel="0" collapsed="false">
      <c r="A394" s="2151" t="s">
        <v>1806</v>
      </c>
      <c r="B394" s="2151"/>
      <c r="C394" s="2151"/>
      <c r="D394" s="2151"/>
      <c r="E394" s="2151"/>
      <c r="F394" s="2151"/>
      <c r="G394" s="2152" t="n">
        <f aca="false">'Ввод данных'!D1298</f>
        <v>1</v>
      </c>
      <c r="H394" s="855" t="n">
        <f aca="false">'Ввод данных'!D1299</f>
        <v>1</v>
      </c>
      <c r="I394" s="855"/>
      <c r="J394" s="855"/>
      <c r="K394" s="855"/>
      <c r="L394" s="1148"/>
      <c r="M394" s="1148"/>
      <c r="N394" s="1148"/>
    </row>
    <row r="395" customFormat="false" ht="23.5" hidden="false" customHeight="false" outlineLevel="0" collapsed="false">
      <c r="A395" s="2151"/>
      <c r="B395" s="2151"/>
      <c r="C395" s="2151"/>
      <c r="D395" s="2151"/>
      <c r="E395" s="2151"/>
      <c r="F395" s="2151"/>
      <c r="G395" s="2153"/>
      <c r="H395" s="855"/>
      <c r="I395" s="855"/>
      <c r="J395" s="855"/>
      <c r="K395" s="855"/>
      <c r="L395" s="1148"/>
      <c r="M395" s="1148"/>
      <c r="N395" s="1148"/>
    </row>
    <row r="396" customFormat="false" ht="23.5" hidden="false" customHeight="false" outlineLevel="0" collapsed="false">
      <c r="A396" s="261" t="s">
        <v>4606</v>
      </c>
      <c r="B396" s="2700" t="n">
        <f aca="false">IF('Ввод данных'!A1302=связи1!A69,1,0)</f>
        <v>0</v>
      </c>
      <c r="C396" s="855"/>
      <c r="D396" s="855"/>
      <c r="E396" s="855"/>
      <c r="F396" s="855"/>
      <c r="G396" s="855"/>
      <c r="H396" s="855"/>
      <c r="I396" s="855"/>
      <c r="J396" s="855"/>
      <c r="K396" s="855"/>
      <c r="L396" s="1148"/>
      <c r="M396" s="1148"/>
      <c r="N396" s="1148"/>
    </row>
    <row r="397" customFormat="false" ht="23.5" hidden="false" customHeight="false" outlineLevel="0" collapsed="false">
      <c r="A397" s="261" t="s">
        <v>4607</v>
      </c>
      <c r="B397" s="2700" t="n">
        <f aca="false">IF('Ввод данных'!A1302=связи1!A70,1,0)</f>
        <v>1</v>
      </c>
      <c r="C397" s="855"/>
      <c r="D397" s="855"/>
      <c r="E397" s="855"/>
      <c r="F397" s="855"/>
      <c r="G397" s="855"/>
      <c r="H397" s="855"/>
      <c r="I397" s="855"/>
      <c r="J397" s="855"/>
      <c r="K397" s="855"/>
      <c r="L397" s="1148"/>
      <c r="M397" s="1148"/>
      <c r="N397" s="1148"/>
    </row>
    <row r="398" customFormat="false" ht="15.5" hidden="false" customHeight="false" outlineLevel="0" collapsed="false">
      <c r="A398" s="232" t="s">
        <v>1236</v>
      </c>
      <c r="B398" s="232" t="s">
        <v>1094</v>
      </c>
      <c r="C398" s="232" t="s">
        <v>1802</v>
      </c>
      <c r="D398" s="232" t="s">
        <v>2721</v>
      </c>
      <c r="E398" s="232" t="s">
        <v>3696</v>
      </c>
      <c r="F398" s="1148"/>
      <c r="G398" s="87" t="s">
        <v>1409</v>
      </c>
      <c r="H398" s="87"/>
      <c r="I398" s="232" t="s">
        <v>1802</v>
      </c>
      <c r="J398" s="232" t="s">
        <v>1601</v>
      </c>
      <c r="K398" s="232" t="s">
        <v>3696</v>
      </c>
      <c r="L398" s="1148"/>
      <c r="M398" s="1148"/>
      <c r="N398" s="1148"/>
    </row>
    <row r="399" customFormat="false" ht="15.5" hidden="false" customHeight="false" outlineLevel="0" collapsed="false">
      <c r="A399" s="87" t="s">
        <v>1162</v>
      </c>
      <c r="B399" s="87" t="s">
        <v>156</v>
      </c>
      <c r="C399" s="89" t="n">
        <f aca="false">((((C337+D337+C337+D337)*B337+(6*E337))*B396)*1.3+((C337+D337+C337+D337)*B337+(6*E337))*B397*2*G394)*1.3</f>
        <v>150.8</v>
      </c>
      <c r="D399" s="88" t="n">
        <f aca="false">'Прайс лист'!G1261</f>
        <v>40</v>
      </c>
      <c r="E399" s="89" t="n">
        <f aca="false">C399*D399</f>
        <v>6032</v>
      </c>
      <c r="F399" s="2184"/>
      <c r="G399" s="87" t="s">
        <v>1612</v>
      </c>
      <c r="H399" s="87"/>
      <c r="I399" s="88" t="n">
        <f aca="false">C399*H394+C406*H394</f>
        <v>180.8</v>
      </c>
      <c r="J399" s="88" t="n">
        <f aca="false">'Прайс лист'!G1849</f>
        <v>200</v>
      </c>
      <c r="K399" s="89" t="n">
        <f aca="false">I399*J399</f>
        <v>36160</v>
      </c>
      <c r="L399" s="1148"/>
      <c r="M399" s="1148"/>
      <c r="N399" s="1148"/>
    </row>
    <row r="400" customFormat="false" ht="15.5" hidden="false" customHeight="false" outlineLevel="0" collapsed="false">
      <c r="A400" s="87" t="s">
        <v>1163</v>
      </c>
      <c r="B400" s="87" t="s">
        <v>159</v>
      </c>
      <c r="C400" s="89" t="n">
        <f aca="false">C399/3*G394</f>
        <v>50.2666666666667</v>
      </c>
      <c r="D400" s="88" t="n">
        <f aca="false">'Прайс лист'!G1262</f>
        <v>10</v>
      </c>
      <c r="E400" s="89" t="n">
        <f aca="false">C400*D400</f>
        <v>502.666666666667</v>
      </c>
      <c r="F400" s="2184"/>
      <c r="G400" s="87" t="s">
        <v>1613</v>
      </c>
      <c r="H400" s="87"/>
      <c r="I400" s="88" t="n">
        <f aca="false">'Ввод данных'!C1303</f>
        <v>5</v>
      </c>
      <c r="J400" s="88" t="n">
        <f aca="false">'Прайс лист'!G1850</f>
        <v>1000</v>
      </c>
      <c r="K400" s="89" t="n">
        <f aca="false">I400*J400</f>
        <v>5000</v>
      </c>
      <c r="L400" s="1148"/>
      <c r="M400" s="1148"/>
      <c r="N400" s="1148"/>
    </row>
    <row r="401" customFormat="false" ht="15.5" hidden="false" customHeight="false" outlineLevel="0" collapsed="false">
      <c r="A401" s="87" t="s">
        <v>1164</v>
      </c>
      <c r="B401" s="87" t="s">
        <v>159</v>
      </c>
      <c r="C401" s="89" t="n">
        <f aca="false">C399/2.5*G394</f>
        <v>60.32</v>
      </c>
      <c r="D401" s="88" t="n">
        <f aca="false">'Прайс лист'!G1263</f>
        <v>10</v>
      </c>
      <c r="E401" s="89" t="n">
        <f aca="false">C401*D401</f>
        <v>603.2</v>
      </c>
      <c r="F401" s="2184"/>
      <c r="G401" s="87" t="s">
        <v>1612</v>
      </c>
      <c r="H401" s="87"/>
      <c r="I401" s="88" t="n">
        <f aca="false">C406*H394</f>
        <v>30</v>
      </c>
      <c r="J401" s="88" t="n">
        <f aca="false">'Прайс лист'!G1851</f>
        <v>200</v>
      </c>
      <c r="K401" s="89" t="n">
        <f aca="false">I401*J401</f>
        <v>6000</v>
      </c>
      <c r="L401" s="1148"/>
      <c r="M401" s="1148"/>
      <c r="N401" s="1148"/>
    </row>
    <row r="402" customFormat="false" ht="15.5" hidden="false" customHeight="false" outlineLevel="0" collapsed="false">
      <c r="A402" s="87" t="s">
        <v>1165</v>
      </c>
      <c r="B402" s="87" t="s">
        <v>159</v>
      </c>
      <c r="C402" s="89" t="n">
        <f aca="false">(C337*D337*B337)/2</f>
        <v>50</v>
      </c>
      <c r="D402" s="88" t="n">
        <f aca="false">'Прайс лист'!G1264</f>
        <v>300</v>
      </c>
      <c r="E402" s="89" t="n">
        <f aca="false">C402*D402</f>
        <v>15000</v>
      </c>
      <c r="F402" s="2184"/>
      <c r="G402" s="87"/>
      <c r="H402" s="87"/>
      <c r="I402" s="88"/>
      <c r="J402" s="88"/>
      <c r="K402" s="89" t="n">
        <f aca="false">I402*J402</f>
        <v>0</v>
      </c>
      <c r="L402" s="1148"/>
      <c r="M402" s="1148"/>
      <c r="N402" s="1148"/>
    </row>
    <row r="403" customFormat="false" ht="15.5" hidden="false" customHeight="false" outlineLevel="0" collapsed="false">
      <c r="A403" s="87" t="s">
        <v>1166</v>
      </c>
      <c r="B403" s="87" t="s">
        <v>159</v>
      </c>
      <c r="C403" s="89" t="n">
        <f aca="false">C402</f>
        <v>50</v>
      </c>
      <c r="D403" s="88" t="n">
        <f aca="false">'Прайс лист'!G1265</f>
        <v>250</v>
      </c>
      <c r="E403" s="89" t="n">
        <f aca="false">C403*D403</f>
        <v>12500</v>
      </c>
      <c r="F403" s="1148"/>
      <c r="G403" s="87"/>
      <c r="H403" s="87"/>
      <c r="I403" s="232"/>
      <c r="J403" s="88"/>
      <c r="K403" s="89" t="n">
        <f aca="false">I403*J403</f>
        <v>0</v>
      </c>
      <c r="L403" s="1148"/>
      <c r="M403" s="1148"/>
      <c r="N403" s="1148"/>
    </row>
    <row r="404" customFormat="false" ht="15.5" hidden="false" customHeight="false" outlineLevel="0" collapsed="false">
      <c r="A404" s="87" t="s">
        <v>1167</v>
      </c>
      <c r="B404" s="87" t="s">
        <v>159</v>
      </c>
      <c r="C404" s="89" t="n">
        <f aca="false">C402*2*G394</f>
        <v>100</v>
      </c>
      <c r="D404" s="88" t="n">
        <f aca="false">'Прайс лист'!G1266</f>
        <v>300</v>
      </c>
      <c r="E404" s="89" t="n">
        <f aca="false">C404*D404</f>
        <v>30000</v>
      </c>
      <c r="F404" s="1148"/>
      <c r="G404" s="87"/>
      <c r="H404" s="87"/>
      <c r="I404" s="232"/>
      <c r="J404" s="88"/>
      <c r="K404" s="89" t="n">
        <f aca="false">I404*J404</f>
        <v>0</v>
      </c>
      <c r="L404" s="1148"/>
      <c r="M404" s="1148"/>
      <c r="N404" s="1148"/>
    </row>
    <row r="405" customFormat="false" ht="15.5" hidden="false" customHeight="false" outlineLevel="0" collapsed="false">
      <c r="A405" s="87" t="s">
        <v>1168</v>
      </c>
      <c r="B405" s="87" t="s">
        <v>159</v>
      </c>
      <c r="C405" s="89" t="n">
        <f aca="false">C404</f>
        <v>100</v>
      </c>
      <c r="D405" s="88" t="n">
        <f aca="false">'Прайс лист'!G1267</f>
        <v>200</v>
      </c>
      <c r="E405" s="89" t="n">
        <f aca="false">C405*D405</f>
        <v>20000</v>
      </c>
      <c r="F405" s="1148"/>
      <c r="G405" s="87"/>
      <c r="H405" s="87"/>
      <c r="I405" s="232"/>
      <c r="J405" s="88"/>
      <c r="K405" s="89" t="n">
        <f aca="false">I405*J405</f>
        <v>0</v>
      </c>
      <c r="L405" s="1148"/>
      <c r="M405" s="1148"/>
      <c r="N405" s="1148"/>
    </row>
    <row r="406" customFormat="false" ht="15.5" hidden="false" customHeight="false" outlineLevel="0" collapsed="false">
      <c r="A406" s="87" t="s">
        <v>1169</v>
      </c>
      <c r="B406" s="87" t="s">
        <v>156</v>
      </c>
      <c r="C406" s="89" t="n">
        <f aca="false">30*G394</f>
        <v>30</v>
      </c>
      <c r="D406" s="88" t="n">
        <f aca="false">'Прайс лист'!G1268</f>
        <v>36</v>
      </c>
      <c r="E406" s="89" t="n">
        <f aca="false">C406*D406</f>
        <v>1080</v>
      </c>
      <c r="F406" s="1148"/>
      <c r="G406" s="87"/>
      <c r="H406" s="87"/>
      <c r="I406" s="232"/>
      <c r="J406" s="88"/>
      <c r="K406" s="89" t="n">
        <f aca="false">I406*J406</f>
        <v>0</v>
      </c>
      <c r="L406" s="1148"/>
      <c r="M406" s="1148"/>
      <c r="N406" s="1148"/>
    </row>
    <row r="407" customFormat="false" ht="15.5" hidden="false" customHeight="false" outlineLevel="0" collapsed="false">
      <c r="A407" s="87" t="s">
        <v>1170</v>
      </c>
      <c r="B407" s="87" t="s">
        <v>159</v>
      </c>
      <c r="C407" s="89" t="n">
        <v>1</v>
      </c>
      <c r="D407" s="88" t="n">
        <f aca="false">'Прайс лист'!G1269</f>
        <v>100</v>
      </c>
      <c r="E407" s="89" t="n">
        <f aca="false">C407*D407</f>
        <v>100</v>
      </c>
      <c r="F407" s="1148"/>
      <c r="G407" s="87"/>
      <c r="H407" s="87"/>
      <c r="I407" s="232"/>
      <c r="J407" s="88"/>
      <c r="K407" s="89" t="n">
        <f aca="false">I407*J407</f>
        <v>0</v>
      </c>
      <c r="L407" s="1148"/>
      <c r="M407" s="1148"/>
      <c r="N407" s="1148"/>
    </row>
    <row r="408" customFormat="false" ht="15.5" hidden="false" customHeight="false" outlineLevel="0" collapsed="false">
      <c r="A408" s="87" t="s">
        <v>1163</v>
      </c>
      <c r="B408" s="87" t="s">
        <v>159</v>
      </c>
      <c r="C408" s="89" t="n">
        <f aca="false">C406/3*G394</f>
        <v>10</v>
      </c>
      <c r="D408" s="88" t="n">
        <f aca="false">'Прайс лист'!G1270</f>
        <v>10</v>
      </c>
      <c r="E408" s="89" t="n">
        <f aca="false">C408*D408</f>
        <v>100</v>
      </c>
      <c r="F408" s="1148"/>
      <c r="G408" s="87"/>
      <c r="H408" s="87"/>
      <c r="I408" s="232"/>
      <c r="J408" s="88"/>
      <c r="K408" s="89" t="n">
        <f aca="false">I408*J408</f>
        <v>0</v>
      </c>
      <c r="L408" s="1148"/>
      <c r="M408" s="1148"/>
      <c r="N408" s="1148"/>
    </row>
    <row r="409" customFormat="false" ht="15.5" hidden="false" customHeight="false" outlineLevel="0" collapsed="false">
      <c r="A409" s="87" t="s">
        <v>1164</v>
      </c>
      <c r="B409" s="87" t="s">
        <v>159</v>
      </c>
      <c r="C409" s="89" t="n">
        <f aca="false">C406/2*G394</f>
        <v>15</v>
      </c>
      <c r="D409" s="88" t="n">
        <f aca="false">'Прайс лист'!G1271</f>
        <v>10</v>
      </c>
      <c r="E409" s="89" t="n">
        <f aca="false">C409*D409</f>
        <v>150</v>
      </c>
      <c r="F409" s="1148"/>
      <c r="G409" s="87"/>
      <c r="H409" s="87"/>
      <c r="I409" s="232"/>
      <c r="J409" s="88"/>
      <c r="K409" s="89" t="n">
        <f aca="false">I409*J409</f>
        <v>0</v>
      </c>
      <c r="L409" s="1148"/>
      <c r="M409" s="1148"/>
      <c r="N409" s="1148"/>
    </row>
    <row r="410" customFormat="false" ht="15.5" hidden="false" customHeight="false" outlineLevel="0" collapsed="false">
      <c r="A410" s="87" t="str">
        <f aca="false">'Ввод данных'!A1306</f>
        <v>Нет техники</v>
      </c>
      <c r="B410" s="87" t="str">
        <f aca="false">'Ввод данных'!B1306</f>
        <v>час</v>
      </c>
      <c r="C410" s="87" t="n">
        <f aca="false">'Ввод данных'!C1306</f>
        <v>0</v>
      </c>
      <c r="D410" s="88" t="n">
        <f aca="false">VLOOKUP(A410,'Прайс лист'!B180:G194,6,0)</f>
        <v>0</v>
      </c>
      <c r="E410" s="89" t="n">
        <f aca="false">C410*D410</f>
        <v>0</v>
      </c>
      <c r="F410" s="1148"/>
      <c r="G410" s="87"/>
      <c r="H410" s="87"/>
      <c r="I410" s="232"/>
      <c r="J410" s="88"/>
      <c r="K410" s="89" t="n">
        <f aca="false">I410*J410</f>
        <v>0</v>
      </c>
      <c r="L410" s="1148"/>
      <c r="M410" s="1148"/>
      <c r="N410" s="1148"/>
    </row>
    <row r="411" customFormat="false" ht="15.5" hidden="false" customHeight="false" outlineLevel="0" collapsed="false">
      <c r="A411" s="87" t="str">
        <f aca="false">'Ввод данных'!A1307</f>
        <v>Нет техники</v>
      </c>
      <c r="B411" s="87" t="str">
        <f aca="false">'Ввод данных'!B1307</f>
        <v>час</v>
      </c>
      <c r="C411" s="87" t="n">
        <f aca="false">'Ввод данных'!C1307</f>
        <v>0</v>
      </c>
      <c r="D411" s="88" t="n">
        <f aca="false">VLOOKUP(A411,'Прайс лист'!B180:G194,6,0)</f>
        <v>0</v>
      </c>
      <c r="E411" s="89" t="n">
        <f aca="false">C411*D411</f>
        <v>0</v>
      </c>
      <c r="F411" s="1148"/>
      <c r="G411" s="88"/>
      <c r="H411" s="88"/>
      <c r="I411" s="232"/>
      <c r="J411" s="88"/>
      <c r="K411" s="89" t="n">
        <f aca="false">I411*J411</f>
        <v>0</v>
      </c>
      <c r="L411" s="1148"/>
      <c r="M411" s="1148"/>
      <c r="N411" s="1148"/>
    </row>
    <row r="412" customFormat="false" ht="15.5" hidden="false" customHeight="false" outlineLevel="0" collapsed="false">
      <c r="A412" s="87" t="str">
        <f aca="false">'Ввод данных'!A1308</f>
        <v>расходные материалы для отопления</v>
      </c>
      <c r="B412" s="87" t="str">
        <f aca="false">'Ввод данных'!B1308</f>
        <v>рублей</v>
      </c>
      <c r="C412" s="87" t="n">
        <f aca="false">1</f>
        <v>1</v>
      </c>
      <c r="D412" s="2184" t="n">
        <f aca="false">'Ввод данных'!C1308</f>
        <v>5000</v>
      </c>
      <c r="E412" s="89" t="n">
        <f aca="false">C412*D412</f>
        <v>5000</v>
      </c>
      <c r="F412" s="1148"/>
      <c r="G412" s="2184"/>
      <c r="H412" s="2184"/>
      <c r="I412" s="2116"/>
      <c r="J412" s="2184"/>
      <c r="K412" s="2236"/>
      <c r="L412" s="1148"/>
      <c r="M412" s="1148"/>
      <c r="N412" s="1148"/>
    </row>
    <row r="413" customFormat="false" ht="15.5" hidden="false" customHeight="false" outlineLevel="0" collapsed="false">
      <c r="A413" s="2371"/>
      <c r="B413" s="2371"/>
      <c r="C413" s="2120"/>
      <c r="D413" s="2116"/>
      <c r="E413" s="232" t="n">
        <f aca="false">SUM(E399:E409)</f>
        <v>86067.8666666667</v>
      </c>
      <c r="F413" s="1148"/>
      <c r="G413" s="2116"/>
      <c r="H413" s="2116"/>
      <c r="I413" s="2116"/>
      <c r="J413" s="2116"/>
      <c r="K413" s="1124" t="n">
        <f aca="false">SUM(K399:K409)</f>
        <v>47160</v>
      </c>
      <c r="L413" s="1148"/>
      <c r="M413" s="1148"/>
      <c r="N413" s="1148"/>
    </row>
    <row r="414" customFormat="false" ht="15.5" hidden="false" customHeight="false" outlineLevel="0" collapsed="false">
      <c r="A414" s="232" t="s">
        <v>3940</v>
      </c>
      <c r="B414" s="232" t="n">
        <f aca="false">E413</f>
        <v>86067.8666666667</v>
      </c>
      <c r="C414" s="2116"/>
      <c r="D414" s="2116"/>
      <c r="E414" s="2116"/>
      <c r="F414" s="1148"/>
      <c r="G414" s="1148"/>
      <c r="H414" s="1148"/>
      <c r="I414" s="1148"/>
      <c r="J414" s="1148"/>
      <c r="K414" s="2116"/>
      <c r="L414" s="1148"/>
      <c r="M414" s="1148"/>
      <c r="N414" s="1148"/>
    </row>
    <row r="415" customFormat="false" ht="15.5" hidden="false" customHeight="false" outlineLevel="0" collapsed="false">
      <c r="A415" s="232" t="s">
        <v>3941</v>
      </c>
      <c r="B415" s="232" t="n">
        <f aca="false">K413</f>
        <v>47160</v>
      </c>
      <c r="C415" s="2116"/>
      <c r="D415" s="2116"/>
      <c r="E415" s="2116"/>
      <c r="F415" s="1148"/>
      <c r="G415" s="1148"/>
      <c r="H415" s="1148"/>
      <c r="I415" s="1148"/>
      <c r="J415" s="1148"/>
      <c r="K415" s="2116"/>
      <c r="L415" s="1148"/>
      <c r="M415" s="1148"/>
      <c r="N415" s="1148"/>
    </row>
    <row r="416" customFormat="false" ht="15.5" hidden="false" customHeight="false" outlineLevel="0" collapsed="false">
      <c r="A416" s="232" t="s">
        <v>2728</v>
      </c>
      <c r="B416" s="232" t="n">
        <f aca="false">(B414+B415)*B417</f>
        <v>0</v>
      </c>
      <c r="C416" s="2116"/>
      <c r="D416" s="2116"/>
      <c r="E416" s="2116"/>
      <c r="F416" s="1148"/>
      <c r="G416" s="1148"/>
      <c r="H416" s="1148"/>
      <c r="I416" s="1148"/>
      <c r="J416" s="1148"/>
      <c r="K416" s="2116"/>
      <c r="L416" s="1148"/>
      <c r="M416" s="1148"/>
      <c r="N416" s="1148"/>
    </row>
    <row r="417" customFormat="false" ht="15.5" hidden="false" customHeight="false" outlineLevel="0" collapsed="false">
      <c r="A417" s="2167" t="s">
        <v>2509</v>
      </c>
      <c r="B417" s="2147"/>
      <c r="C417" s="2148" t="s">
        <v>3663</v>
      </c>
      <c r="D417" s="2148"/>
      <c r="E417" s="2148"/>
      <c r="F417" s="2148"/>
      <c r="G417" s="1148"/>
      <c r="H417" s="1148"/>
      <c r="I417" s="1148"/>
      <c r="J417" s="1148"/>
      <c r="K417" s="2116"/>
      <c r="L417" s="1148"/>
      <c r="M417" s="1148"/>
      <c r="N417" s="1148"/>
    </row>
    <row r="418" customFormat="false" ht="15.5" hidden="false" customHeight="false" outlineLevel="0" collapsed="false">
      <c r="A418" s="1148"/>
      <c r="B418" s="1148"/>
      <c r="C418" s="1148"/>
      <c r="D418" s="1148"/>
      <c r="E418" s="1148"/>
      <c r="F418" s="1148"/>
      <c r="G418" s="1148"/>
      <c r="H418" s="1148"/>
      <c r="I418" s="1148"/>
      <c r="J418" s="1148"/>
      <c r="K418" s="1148"/>
      <c r="L418" s="1148"/>
      <c r="M418" s="1148"/>
      <c r="N418" s="1148"/>
    </row>
    <row r="419" customFormat="false" ht="15.5" hidden="false" customHeight="false" outlineLevel="0" collapsed="false">
      <c r="A419" s="2161" t="s">
        <v>1171</v>
      </c>
      <c r="B419" s="2161"/>
      <c r="C419" s="2161"/>
      <c r="D419" s="2161"/>
      <c r="E419" s="2161"/>
      <c r="F419" s="2161"/>
      <c r="G419" s="2161"/>
      <c r="H419" s="2161"/>
      <c r="I419" s="2161"/>
      <c r="J419" s="2161"/>
      <c r="K419" s="2161"/>
      <c r="L419" s="1148"/>
      <c r="M419" s="1148"/>
      <c r="N419" s="1148"/>
    </row>
    <row r="420" customFormat="false" ht="15.5" hidden="false" customHeight="false" outlineLevel="0" collapsed="false">
      <c r="A420" s="2161"/>
      <c r="B420" s="2161"/>
      <c r="C420" s="2161"/>
      <c r="D420" s="2161"/>
      <c r="E420" s="2161"/>
      <c r="F420" s="2161"/>
      <c r="G420" s="2161"/>
      <c r="H420" s="2161"/>
      <c r="I420" s="2161"/>
      <c r="J420" s="2161"/>
      <c r="K420" s="2161"/>
      <c r="L420" s="1148"/>
      <c r="M420" s="1148"/>
      <c r="N420" s="1148"/>
    </row>
    <row r="421" customFormat="false" ht="15.5" hidden="false" customHeight="false" outlineLevel="0" collapsed="false">
      <c r="A421" s="122" t="s">
        <v>1172</v>
      </c>
      <c r="B421" s="122" t="s">
        <v>154</v>
      </c>
      <c r="C421" s="2117" t="n">
        <f aca="false">'Ввод данных'!C1316</f>
        <v>5</v>
      </c>
      <c r="D421" s="2117" t="n">
        <v>1</v>
      </c>
      <c r="E421" s="1148"/>
      <c r="F421" s="1148"/>
      <c r="G421" s="1148"/>
      <c r="H421" s="1148"/>
      <c r="I421" s="1148"/>
      <c r="J421" s="1148"/>
      <c r="K421" s="1148"/>
      <c r="L421" s="1148"/>
      <c r="M421" s="1148"/>
      <c r="N421" s="1148"/>
    </row>
    <row r="422" customFormat="false" ht="15.5" hidden="false" customHeight="false" outlineLevel="0" collapsed="false">
      <c r="A422" s="232" t="s">
        <v>2510</v>
      </c>
      <c r="B422" s="232" t="s">
        <v>159</v>
      </c>
      <c r="C422" s="2117" t="n">
        <f aca="false">VLOOKUP('Ввод данных'!C1317,связи1!A2:B3,2,0)</f>
        <v>1</v>
      </c>
      <c r="D422" s="1148"/>
      <c r="E422" s="1148"/>
      <c r="F422" s="1148"/>
      <c r="G422" s="1148"/>
      <c r="H422" s="1148"/>
      <c r="I422" s="1148"/>
      <c r="J422" s="1148"/>
      <c r="K422" s="1148"/>
      <c r="L422" s="1148"/>
      <c r="M422" s="1148"/>
      <c r="N422" s="1148"/>
    </row>
    <row r="423" customFormat="false" ht="15.5" hidden="false" customHeight="false" outlineLevel="0" collapsed="false">
      <c r="A423" s="232" t="s">
        <v>2511</v>
      </c>
      <c r="B423" s="232" t="s">
        <v>159</v>
      </c>
      <c r="C423" s="2117" t="n">
        <f aca="false">VLOOKUP('Ввод данных'!C1318,связи1!A2:B3,2,0)</f>
        <v>1</v>
      </c>
      <c r="D423" s="1148"/>
      <c r="E423" s="1148"/>
      <c r="F423" s="1148"/>
      <c r="G423" s="1148"/>
      <c r="H423" s="1148"/>
      <c r="I423" s="1148"/>
      <c r="J423" s="1148"/>
      <c r="K423" s="1148"/>
      <c r="L423" s="1148"/>
      <c r="M423" s="1148"/>
      <c r="N423" s="1148"/>
    </row>
    <row r="424" customFormat="false" ht="15.5" hidden="false" customHeight="false" outlineLevel="0" collapsed="false">
      <c r="A424" s="232" t="s">
        <v>2512</v>
      </c>
      <c r="B424" s="232" t="s">
        <v>156</v>
      </c>
      <c r="C424" s="2117" t="n">
        <f aca="false">'Ввод данных'!C1319</f>
        <v>60</v>
      </c>
      <c r="D424" s="1148"/>
      <c r="E424" s="1148"/>
      <c r="F424" s="1148"/>
      <c r="G424" s="1148"/>
      <c r="H424" s="1148"/>
      <c r="I424" s="1148"/>
      <c r="J424" s="1148"/>
      <c r="K424" s="1148"/>
      <c r="L424" s="1148"/>
      <c r="M424" s="1148"/>
      <c r="N424" s="1148"/>
    </row>
    <row r="425" customFormat="false" ht="15.5" hidden="false" customHeight="false" outlineLevel="0" collapsed="false">
      <c r="A425" s="232" t="s">
        <v>4598</v>
      </c>
      <c r="B425" s="232" t="s">
        <v>159</v>
      </c>
      <c r="C425" s="2117" t="n">
        <f aca="false">'Ввод данных'!C1303</f>
        <v>5</v>
      </c>
      <c r="D425" s="1148"/>
      <c r="E425" s="1148"/>
      <c r="F425" s="1148"/>
      <c r="G425" s="1148"/>
      <c r="H425" s="1148"/>
      <c r="I425" s="1148"/>
      <c r="J425" s="1148"/>
      <c r="K425" s="1148"/>
      <c r="L425" s="1148"/>
      <c r="M425" s="1148"/>
      <c r="N425" s="1148"/>
    </row>
    <row r="426" customFormat="false" ht="15.5" hidden="false" customHeight="false" outlineLevel="0" collapsed="false">
      <c r="A426" s="2701" t="s">
        <v>4608</v>
      </c>
      <c r="B426" s="2701" t="s">
        <v>1094</v>
      </c>
      <c r="C426" s="2701" t="s">
        <v>1802</v>
      </c>
      <c r="D426" s="2701" t="s">
        <v>1601</v>
      </c>
      <c r="E426" s="2701" t="s">
        <v>2722</v>
      </c>
      <c r="F426" s="1148"/>
      <c r="G426" s="2702" t="s">
        <v>1614</v>
      </c>
      <c r="H426" s="2702"/>
      <c r="I426" s="2701" t="s">
        <v>1802</v>
      </c>
      <c r="J426" s="2701" t="s">
        <v>1601</v>
      </c>
      <c r="K426" s="2701" t="s">
        <v>2722</v>
      </c>
      <c r="L426" s="1148"/>
      <c r="M426" s="1148"/>
      <c r="N426" s="1148"/>
    </row>
    <row r="427" customFormat="false" ht="15.5" hidden="false" customHeight="false" outlineLevel="0" collapsed="false">
      <c r="A427" s="232" t="s">
        <v>1174</v>
      </c>
      <c r="B427" s="232" t="s">
        <v>159</v>
      </c>
      <c r="C427" s="232" t="n">
        <v>1</v>
      </c>
      <c r="D427" s="232" t="n">
        <f aca="false">'Прайс лист'!G1278</f>
        <v>2500</v>
      </c>
      <c r="E427" s="232" t="n">
        <f aca="false">C427*D427</f>
        <v>2500</v>
      </c>
      <c r="F427" s="1148"/>
      <c r="G427" s="2181" t="s">
        <v>1615</v>
      </c>
      <c r="H427" s="2703"/>
      <c r="I427" s="232" t="n">
        <f aca="false">D421</f>
        <v>1</v>
      </c>
      <c r="J427" s="232" t="n">
        <f aca="false">'Прайс лист'!G1854</f>
        <v>1500</v>
      </c>
      <c r="K427" s="232" t="n">
        <f aca="false">I427*J427</f>
        <v>1500</v>
      </c>
      <c r="L427" s="1148"/>
      <c r="M427" s="1148"/>
      <c r="N427" s="1148"/>
    </row>
    <row r="428" customFormat="false" ht="15.5" hidden="false" customHeight="false" outlineLevel="0" collapsed="false">
      <c r="A428" s="232" t="s">
        <v>1175</v>
      </c>
      <c r="B428" s="232" t="s">
        <v>156</v>
      </c>
      <c r="C428" s="232" t="n">
        <f aca="false">C424*1.2</f>
        <v>72</v>
      </c>
      <c r="D428" s="232" t="n">
        <f aca="false">'Прайс лист'!G1279</f>
        <v>19</v>
      </c>
      <c r="E428" s="232" t="n">
        <f aca="false">C428*D428</f>
        <v>1368</v>
      </c>
      <c r="F428" s="1148"/>
      <c r="G428" s="87" t="s">
        <v>1616</v>
      </c>
      <c r="H428" s="87"/>
      <c r="I428" s="232" t="n">
        <f aca="false">C422</f>
        <v>1</v>
      </c>
      <c r="J428" s="232" t="n">
        <f aca="false">'Прайс лист'!G1855</f>
        <v>1500</v>
      </c>
      <c r="K428" s="232" t="n">
        <f aca="false">I428*J428</f>
        <v>1500</v>
      </c>
      <c r="L428" s="1148"/>
      <c r="M428" s="1148"/>
      <c r="N428" s="1148"/>
    </row>
    <row r="429" customFormat="false" ht="15.5" hidden="false" customHeight="false" outlineLevel="0" collapsed="false">
      <c r="A429" s="232" t="s">
        <v>1176</v>
      </c>
      <c r="B429" s="232" t="s">
        <v>156</v>
      </c>
      <c r="C429" s="232" t="n">
        <f aca="false">C428</f>
        <v>72</v>
      </c>
      <c r="D429" s="232" t="n">
        <f aca="false">'Прайс лист'!G1280</f>
        <v>5</v>
      </c>
      <c r="E429" s="232" t="n">
        <f aca="false">C429*D429</f>
        <v>360</v>
      </c>
      <c r="F429" s="1148"/>
      <c r="G429" s="87" t="s">
        <v>4609</v>
      </c>
      <c r="H429" s="87"/>
      <c r="I429" s="232" t="n">
        <f aca="false">C423</f>
        <v>1</v>
      </c>
      <c r="J429" s="232" t="n">
        <f aca="false">'Прайс лист'!G1856</f>
        <v>3000</v>
      </c>
      <c r="K429" s="232" t="n">
        <f aca="false">I429*J429</f>
        <v>3000</v>
      </c>
      <c r="L429" s="1148"/>
      <c r="M429" s="1148"/>
      <c r="N429" s="1148"/>
    </row>
    <row r="430" customFormat="false" ht="15.5" hidden="false" customHeight="false" outlineLevel="0" collapsed="false">
      <c r="A430" s="232" t="s">
        <v>1177</v>
      </c>
      <c r="B430" s="232" t="s">
        <v>1178</v>
      </c>
      <c r="C430" s="232" t="n">
        <v>1</v>
      </c>
      <c r="D430" s="232" t="n">
        <f aca="false">'Прайс лист'!G1281</f>
        <v>100</v>
      </c>
      <c r="E430" s="232" t="n">
        <f aca="false">C430*D430</f>
        <v>100</v>
      </c>
      <c r="F430" s="1148"/>
      <c r="G430" s="87" t="s">
        <v>4610</v>
      </c>
      <c r="H430" s="87"/>
      <c r="I430" s="232" t="n">
        <f aca="false">C431</f>
        <v>1</v>
      </c>
      <c r="J430" s="232" t="n">
        <f aca="false">'Прайс лист'!G1857</f>
        <v>2500</v>
      </c>
      <c r="K430" s="232" t="n">
        <f aca="false">I430*J430</f>
        <v>2500</v>
      </c>
      <c r="L430" s="1148"/>
      <c r="M430" s="1148"/>
      <c r="N430" s="1148"/>
    </row>
    <row r="431" customFormat="false" ht="15.5" hidden="false" customHeight="false" outlineLevel="0" collapsed="false">
      <c r="A431" s="232" t="s">
        <v>1179</v>
      </c>
      <c r="B431" s="232" t="s">
        <v>159</v>
      </c>
      <c r="C431" s="232" t="n">
        <f aca="false">C423</f>
        <v>1</v>
      </c>
      <c r="D431" s="232" t="n">
        <f aca="false">'Прайс лист'!G1282</f>
        <v>8000</v>
      </c>
      <c r="E431" s="232" t="n">
        <f aca="false">C431*D431</f>
        <v>8000</v>
      </c>
      <c r="F431" s="1148"/>
      <c r="G431" s="87" t="s">
        <v>1619</v>
      </c>
      <c r="H431" s="87"/>
      <c r="I431" s="232" t="n">
        <f aca="false">C432</f>
        <v>1</v>
      </c>
      <c r="J431" s="232" t="n">
        <f aca="false">'Прайс лист'!G1858</f>
        <v>4000</v>
      </c>
      <c r="K431" s="232" t="n">
        <f aca="false">I431*J431</f>
        <v>4000</v>
      </c>
      <c r="L431" s="1148"/>
      <c r="M431" s="1148"/>
      <c r="N431" s="1148"/>
    </row>
    <row r="432" customFormat="false" ht="15.5" hidden="false" customHeight="false" outlineLevel="0" collapsed="false">
      <c r="A432" s="232" t="s">
        <v>1180</v>
      </c>
      <c r="B432" s="232" t="s">
        <v>159</v>
      </c>
      <c r="C432" s="232" t="n">
        <f aca="false">C423</f>
        <v>1</v>
      </c>
      <c r="D432" s="232" t="n">
        <f aca="false">'Прайс лист'!G1283</f>
        <v>10000</v>
      </c>
      <c r="E432" s="232" t="n">
        <f aca="false">C432*D432</f>
        <v>10000</v>
      </c>
      <c r="F432" s="1148"/>
      <c r="G432" s="87" t="s">
        <v>4611</v>
      </c>
      <c r="H432" s="87"/>
      <c r="I432" s="232" t="n">
        <f aca="false">C434</f>
        <v>10</v>
      </c>
      <c r="J432" s="232" t="n">
        <f aca="false">'Прайс лист'!G1859</f>
        <v>500</v>
      </c>
      <c r="K432" s="232" t="n">
        <f aca="false">I432*J432</f>
        <v>5000</v>
      </c>
      <c r="L432" s="1148"/>
      <c r="M432" s="1148"/>
      <c r="N432" s="1148"/>
    </row>
    <row r="433" customFormat="false" ht="15.5" hidden="false" customHeight="false" outlineLevel="0" collapsed="false">
      <c r="A433" s="232" t="s">
        <v>1181</v>
      </c>
      <c r="B433" s="232" t="s">
        <v>156</v>
      </c>
      <c r="C433" s="232" t="n">
        <f aca="false">C428</f>
        <v>72</v>
      </c>
      <c r="D433" s="232" t="n">
        <f aca="false">'Прайс лист'!G1284</f>
        <v>35</v>
      </c>
      <c r="E433" s="232" t="n">
        <f aca="false">C433*D433</f>
        <v>2520</v>
      </c>
      <c r="F433" s="1148"/>
      <c r="G433" s="88"/>
      <c r="H433" s="88"/>
      <c r="I433" s="232"/>
      <c r="J433" s="232" t="n">
        <f aca="false">'Прайс лист'!G1860</f>
        <v>7000</v>
      </c>
      <c r="K433" s="232" t="n">
        <f aca="false">I433*J433</f>
        <v>0</v>
      </c>
      <c r="L433" s="1148"/>
      <c r="M433" s="1148"/>
      <c r="N433" s="1148"/>
    </row>
    <row r="434" customFormat="false" ht="15.5" hidden="false" customHeight="false" outlineLevel="0" collapsed="false">
      <c r="A434" s="232" t="s">
        <v>1182</v>
      </c>
      <c r="B434" s="232" t="s">
        <v>156</v>
      </c>
      <c r="C434" s="232" t="n">
        <v>10</v>
      </c>
      <c r="D434" s="232" t="n">
        <f aca="false">'Прайс лист'!G1285</f>
        <v>500</v>
      </c>
      <c r="E434" s="232" t="n">
        <f aca="false">C434*D434</f>
        <v>5000</v>
      </c>
      <c r="F434" s="1148"/>
      <c r="G434" s="87"/>
      <c r="H434" s="87"/>
      <c r="I434" s="232"/>
      <c r="J434" s="232"/>
      <c r="K434" s="232"/>
      <c r="L434" s="1148"/>
      <c r="M434" s="1148"/>
      <c r="N434" s="1148"/>
    </row>
    <row r="435" customFormat="false" ht="15.5" hidden="false" customHeight="false" outlineLevel="0" collapsed="false">
      <c r="A435" s="232" t="s">
        <v>1183</v>
      </c>
      <c r="B435" s="232" t="s">
        <v>159</v>
      </c>
      <c r="C435" s="232" t="n">
        <f aca="false">C423</f>
        <v>1</v>
      </c>
      <c r="D435" s="232" t="n">
        <f aca="false">'Прайс лист'!G1286</f>
        <v>3000</v>
      </c>
      <c r="E435" s="232" t="n">
        <f aca="false">C435*D435</f>
        <v>3000</v>
      </c>
      <c r="F435" s="1148"/>
      <c r="G435" s="87"/>
      <c r="H435" s="87"/>
      <c r="I435" s="232"/>
      <c r="J435" s="232"/>
      <c r="K435" s="232"/>
      <c r="L435" s="1148"/>
      <c r="M435" s="1148"/>
      <c r="N435" s="1148"/>
    </row>
    <row r="436" customFormat="false" ht="15.5" hidden="false" customHeight="false" outlineLevel="0" collapsed="false">
      <c r="A436" s="232" t="str">
        <f aca="false">'Ввод данных'!A1321</f>
        <v>Нет техники</v>
      </c>
      <c r="B436" s="232" t="str">
        <f aca="false">'Ввод данных'!B1321</f>
        <v>час</v>
      </c>
      <c r="C436" s="232" t="n">
        <f aca="false">'Ввод данных'!C1321</f>
        <v>4</v>
      </c>
      <c r="D436" s="232" t="n">
        <f aca="false">VLOOKUP(A436,'Прайс лист'!B180:G194,6,0)</f>
        <v>0</v>
      </c>
      <c r="E436" s="232" t="n">
        <f aca="false">C436*D436</f>
        <v>0</v>
      </c>
      <c r="F436" s="1148"/>
      <c r="G436" s="87"/>
      <c r="H436" s="87"/>
      <c r="I436" s="232"/>
      <c r="J436" s="232"/>
      <c r="K436" s="232"/>
      <c r="L436" s="1148"/>
      <c r="M436" s="1148"/>
      <c r="N436" s="1148"/>
    </row>
    <row r="437" customFormat="false" ht="15.5" hidden="false" customHeight="false" outlineLevel="0" collapsed="false">
      <c r="A437" s="232" t="str">
        <f aca="false">'Ввод данных'!A1322</f>
        <v>Нет техники</v>
      </c>
      <c r="B437" s="232" t="str">
        <f aca="false">'Ввод данных'!B1322</f>
        <v>час</v>
      </c>
      <c r="C437" s="232" t="n">
        <f aca="false">'Ввод данных'!C1322</f>
        <v>0</v>
      </c>
      <c r="D437" s="232" t="n">
        <f aca="false">VLOOKUP(A437,'Прайс лист'!B180:G194,6,0)</f>
        <v>0</v>
      </c>
      <c r="E437" s="232" t="n">
        <f aca="false">C437*D437</f>
        <v>0</v>
      </c>
      <c r="F437" s="1148"/>
      <c r="G437" s="87"/>
      <c r="H437" s="87"/>
      <c r="I437" s="232"/>
      <c r="J437" s="232"/>
      <c r="K437" s="232"/>
      <c r="L437" s="1148"/>
      <c r="M437" s="1148"/>
      <c r="N437" s="1148"/>
    </row>
    <row r="438" customFormat="false" ht="15.5" hidden="false" customHeight="false" outlineLevel="0" collapsed="false">
      <c r="A438" s="232" t="str">
        <f aca="false">'Ввод данных'!A1323</f>
        <v>расходные материалы скважина</v>
      </c>
      <c r="B438" s="232" t="str">
        <f aca="false">'Ввод данных'!B1323</f>
        <v>рублей</v>
      </c>
      <c r="C438" s="232" t="n">
        <f aca="false">1</f>
        <v>1</v>
      </c>
      <c r="D438" s="1018" t="n">
        <f aca="false">'Ввод данных'!C1323</f>
        <v>5000</v>
      </c>
      <c r="E438" s="232" t="n">
        <f aca="false">C438*D438</f>
        <v>5000</v>
      </c>
      <c r="F438" s="1148"/>
      <c r="G438" s="87"/>
      <c r="H438" s="87"/>
      <c r="I438" s="232"/>
      <c r="J438" s="232"/>
      <c r="K438" s="232"/>
      <c r="L438" s="1148"/>
      <c r="M438" s="1148"/>
      <c r="N438" s="1148"/>
    </row>
    <row r="439" customFormat="false" ht="15.5" hidden="false" customHeight="false" outlineLevel="0" collapsed="false">
      <c r="F439" s="1148"/>
      <c r="G439" s="88"/>
      <c r="H439" s="88"/>
      <c r="I439" s="232"/>
      <c r="J439" s="232"/>
      <c r="K439" s="232"/>
      <c r="L439" s="1148"/>
      <c r="M439" s="1148"/>
      <c r="N439" s="1148"/>
    </row>
    <row r="440" customFormat="false" ht="15.5" hidden="false" customHeight="false" outlineLevel="0" collapsed="false">
      <c r="A440" s="2116"/>
      <c r="B440" s="2116"/>
      <c r="C440" s="2116"/>
      <c r="D440" s="2116"/>
      <c r="E440" s="232"/>
      <c r="F440" s="1148"/>
      <c r="G440" s="2184"/>
      <c r="H440" s="2184"/>
      <c r="I440" s="2116"/>
      <c r="J440" s="2116"/>
      <c r="K440" s="232"/>
      <c r="L440" s="1148"/>
      <c r="M440" s="1148"/>
      <c r="N440" s="1148"/>
    </row>
    <row r="441" customFormat="false" ht="15.5" hidden="false" customHeight="false" outlineLevel="0" collapsed="false">
      <c r="A441" s="2116"/>
      <c r="B441" s="2116"/>
      <c r="C441" s="2116"/>
      <c r="D441" s="2116"/>
      <c r="E441" s="232" t="n">
        <f aca="false">SUM(E427:E437)</f>
        <v>32848</v>
      </c>
      <c r="F441" s="1148"/>
      <c r="G441" s="2116"/>
      <c r="H441" s="2116"/>
      <c r="I441" s="2116"/>
      <c r="J441" s="2116"/>
      <c r="K441" s="232" t="n">
        <f aca="false">SUM(K427:K439)</f>
        <v>17500</v>
      </c>
      <c r="L441" s="1148"/>
      <c r="M441" s="1148"/>
      <c r="N441" s="1148"/>
    </row>
    <row r="442" customFormat="false" ht="15.5" hidden="false" customHeight="false" outlineLevel="0" collapsed="false">
      <c r="A442" s="232" t="s">
        <v>3940</v>
      </c>
      <c r="B442" s="232" t="n">
        <f aca="false">E441</f>
        <v>32848</v>
      </c>
      <c r="C442" s="2116"/>
      <c r="D442" s="2116"/>
      <c r="E442" s="2116"/>
      <c r="F442" s="1148"/>
      <c r="G442" s="2116"/>
      <c r="H442" s="2116"/>
      <c r="I442" s="2116"/>
      <c r="J442" s="2116"/>
      <c r="K442" s="2116"/>
      <c r="L442" s="1148"/>
      <c r="M442" s="1148"/>
      <c r="N442" s="1148"/>
    </row>
    <row r="443" customFormat="false" ht="15.5" hidden="false" customHeight="false" outlineLevel="0" collapsed="false">
      <c r="A443" s="232" t="s">
        <v>3941</v>
      </c>
      <c r="B443" s="232" t="n">
        <f aca="false">K441</f>
        <v>17500</v>
      </c>
      <c r="C443" s="2116"/>
      <c r="D443" s="2116"/>
      <c r="E443" s="2116"/>
      <c r="F443" s="1148"/>
      <c r="G443" s="2116"/>
      <c r="H443" s="2116"/>
      <c r="I443" s="2116"/>
      <c r="J443" s="2116"/>
      <c r="K443" s="2116"/>
      <c r="L443" s="1148"/>
      <c r="M443" s="1148"/>
      <c r="N443" s="1148"/>
    </row>
    <row r="444" customFormat="false" ht="15.5" hidden="false" customHeight="false" outlineLevel="0" collapsed="false">
      <c r="A444" s="232" t="s">
        <v>2728</v>
      </c>
      <c r="B444" s="232" t="n">
        <f aca="false">(B442+B443)*B445</f>
        <v>0</v>
      </c>
      <c r="C444" s="2116"/>
      <c r="D444" s="2116"/>
      <c r="E444" s="2116"/>
      <c r="F444" s="1148"/>
      <c r="G444" s="2116"/>
      <c r="H444" s="2116"/>
      <c r="I444" s="2116"/>
      <c r="J444" s="2116"/>
      <c r="K444" s="2116"/>
      <c r="L444" s="1148"/>
      <c r="M444" s="1148"/>
      <c r="N444" s="1148"/>
    </row>
    <row r="445" customFormat="false" ht="15.5" hidden="false" customHeight="false" outlineLevel="0" collapsed="false">
      <c r="A445" s="2167" t="s">
        <v>2514</v>
      </c>
      <c r="B445" s="2147"/>
      <c r="C445" s="2148" t="s">
        <v>3663</v>
      </c>
      <c r="D445" s="2148"/>
      <c r="E445" s="2148"/>
      <c r="F445" s="2148"/>
      <c r="G445" s="2116"/>
      <c r="H445" s="2116"/>
      <c r="I445" s="2116"/>
      <c r="J445" s="2116"/>
      <c r="K445" s="2116"/>
      <c r="L445" s="1148"/>
      <c r="M445" s="1148"/>
      <c r="N445" s="1148"/>
    </row>
    <row r="446" customFormat="false" ht="15.5" hidden="false" customHeight="false" outlineLevel="0" collapsed="false">
      <c r="A446" s="1148"/>
      <c r="B446" s="1148"/>
      <c r="C446" s="1148"/>
      <c r="D446" s="1148"/>
      <c r="E446" s="1148"/>
      <c r="F446" s="1148"/>
      <c r="G446" s="1148"/>
      <c r="H446" s="1148"/>
      <c r="I446" s="1148"/>
      <c r="J446" s="1148"/>
      <c r="K446" s="1148"/>
      <c r="L446" s="1148"/>
      <c r="M446" s="1148"/>
      <c r="N446" s="1148"/>
    </row>
    <row r="447" customFormat="false" ht="15.5" hidden="false" customHeight="false" outlineLevel="0" collapsed="false">
      <c r="A447" s="2161" t="s">
        <v>1092</v>
      </c>
      <c r="B447" s="2161"/>
      <c r="C447" s="2161"/>
      <c r="D447" s="2161"/>
      <c r="E447" s="2161"/>
      <c r="F447" s="2161"/>
      <c r="G447" s="2161"/>
      <c r="H447" s="2161"/>
      <c r="I447" s="2161"/>
      <c r="J447" s="2161"/>
      <c r="K447" s="2161"/>
      <c r="L447" s="1148"/>
      <c r="M447" s="1148"/>
      <c r="N447" s="1148"/>
    </row>
    <row r="448" customFormat="false" ht="15.5" hidden="false" customHeight="false" outlineLevel="0" collapsed="false">
      <c r="A448" s="2161"/>
      <c r="B448" s="2161"/>
      <c r="C448" s="2161"/>
      <c r="D448" s="2161"/>
      <c r="E448" s="2161"/>
      <c r="F448" s="2161"/>
      <c r="G448" s="2161"/>
      <c r="H448" s="2161"/>
      <c r="I448" s="2161"/>
      <c r="J448" s="2161"/>
      <c r="K448" s="2161"/>
      <c r="L448" s="1148"/>
      <c r="M448" s="1148"/>
      <c r="N448" s="1148"/>
    </row>
    <row r="449" customFormat="false" ht="15.5" hidden="false" customHeight="false" outlineLevel="0" collapsed="false">
      <c r="A449" s="2162" t="s">
        <v>4612</v>
      </c>
      <c r="B449" s="2253" t="s">
        <v>159</v>
      </c>
      <c r="C449" s="2117" t="n">
        <f aca="false">'Ввод данных'!C1331</f>
        <v>1</v>
      </c>
      <c r="D449" s="2116"/>
      <c r="E449" s="2116"/>
      <c r="F449" s="2116"/>
      <c r="G449" s="2116"/>
      <c r="H449" s="2116"/>
      <c r="I449" s="2116"/>
      <c r="J449" s="2116"/>
      <c r="K449" s="1148"/>
      <c r="L449" s="1148"/>
      <c r="M449" s="1148"/>
      <c r="N449" s="1148"/>
    </row>
    <row r="450" customFormat="false" ht="15.5" hidden="false" customHeight="false" outlineLevel="0" collapsed="false">
      <c r="A450" s="2162" t="s">
        <v>4613</v>
      </c>
      <c r="B450" s="2253" t="s">
        <v>159</v>
      </c>
      <c r="C450" s="2117" t="n">
        <f aca="false">'Ввод данных'!C1332</f>
        <v>3</v>
      </c>
      <c r="D450" s="2116"/>
      <c r="E450" s="2116"/>
      <c r="F450" s="2116"/>
      <c r="G450" s="2116"/>
      <c r="H450" s="2116"/>
      <c r="I450" s="2116"/>
      <c r="J450" s="2116"/>
      <c r="K450" s="1148"/>
      <c r="L450" s="1148"/>
      <c r="M450" s="1148"/>
      <c r="N450" s="1148"/>
    </row>
    <row r="451" customFormat="false" ht="15.5" hidden="false" customHeight="false" outlineLevel="0" collapsed="false">
      <c r="A451" s="2162" t="s">
        <v>4614</v>
      </c>
      <c r="B451" s="2253" t="s">
        <v>159</v>
      </c>
      <c r="C451" s="2117" t="n">
        <f aca="false">'Ввод данных'!C1333</f>
        <v>1</v>
      </c>
      <c r="D451" s="2116"/>
      <c r="E451" s="2116"/>
      <c r="F451" s="2116"/>
      <c r="G451" s="2116"/>
      <c r="H451" s="2116"/>
      <c r="I451" s="2116"/>
      <c r="J451" s="2116"/>
      <c r="K451" s="1148"/>
      <c r="L451" s="1148"/>
      <c r="M451" s="1148"/>
      <c r="N451" s="1148"/>
    </row>
    <row r="452" customFormat="false" ht="15.5" hidden="false" customHeight="false" outlineLevel="0" collapsed="false">
      <c r="A452" s="232" t="s">
        <v>4615</v>
      </c>
      <c r="B452" s="232" t="s">
        <v>159</v>
      </c>
      <c r="C452" s="2117" t="n">
        <f aca="false">'Ввод данных'!C1334</f>
        <v>0</v>
      </c>
      <c r="D452" s="2116"/>
      <c r="E452" s="2116"/>
      <c r="F452" s="2116"/>
      <c r="G452" s="2116"/>
      <c r="H452" s="2116"/>
      <c r="I452" s="2116"/>
      <c r="J452" s="2116"/>
      <c r="K452" s="1148"/>
      <c r="L452" s="1148"/>
      <c r="M452" s="1148"/>
      <c r="N452" s="1148"/>
    </row>
    <row r="453" customFormat="false" ht="15.5" hidden="false" customHeight="false" outlineLevel="0" collapsed="false">
      <c r="A453" s="232" t="s">
        <v>2519</v>
      </c>
      <c r="B453" s="232" t="s">
        <v>159</v>
      </c>
      <c r="C453" s="2117" t="n">
        <f aca="false">VLOOKUP('Ввод данных'!C1343,связи1!A2:B3,2,0)</f>
        <v>1</v>
      </c>
      <c r="D453" s="2116"/>
      <c r="E453" s="2116"/>
      <c r="F453" s="2116"/>
      <c r="G453" s="2116"/>
      <c r="H453" s="2116"/>
      <c r="I453" s="2116"/>
      <c r="J453" s="2116"/>
      <c r="K453" s="1148"/>
      <c r="L453" s="1148"/>
      <c r="M453" s="1148"/>
      <c r="N453" s="1148"/>
    </row>
    <row r="454" customFormat="false" ht="15.5" hidden="false" customHeight="false" outlineLevel="0" collapsed="false">
      <c r="A454" s="232" t="s">
        <v>2520</v>
      </c>
      <c r="B454" s="232" t="s">
        <v>156</v>
      </c>
      <c r="C454" s="2117" t="n">
        <f aca="false">'Ввод данных'!C1344</f>
        <v>10</v>
      </c>
      <c r="D454" s="2116"/>
      <c r="E454" s="2116"/>
      <c r="F454" s="2116"/>
      <c r="G454" s="2116"/>
      <c r="H454" s="2116"/>
      <c r="I454" s="2116"/>
      <c r="J454" s="2116"/>
      <c r="K454" s="1148"/>
      <c r="L454" s="1148"/>
      <c r="M454" s="1148"/>
      <c r="N454" s="1148"/>
    </row>
    <row r="455" customFormat="false" ht="15.5" hidden="false" customHeight="false" outlineLevel="0" collapsed="false">
      <c r="A455" s="232" t="s">
        <v>2521</v>
      </c>
      <c r="B455" s="232" t="s">
        <v>156</v>
      </c>
      <c r="C455" s="2117" t="n">
        <f aca="false">'Ввод данных'!C1345</f>
        <v>8</v>
      </c>
      <c r="D455" s="2116"/>
      <c r="E455" s="2116"/>
      <c r="F455" s="2116"/>
      <c r="G455" s="2116"/>
      <c r="H455" s="2116"/>
      <c r="I455" s="2116"/>
      <c r="J455" s="2116"/>
      <c r="K455" s="1148"/>
      <c r="L455" s="1148"/>
      <c r="M455" s="1148"/>
      <c r="N455" s="1148"/>
    </row>
    <row r="456" customFormat="false" ht="15.5" hidden="false" customHeight="false" outlineLevel="0" collapsed="false">
      <c r="A456" s="260" t="s">
        <v>4616</v>
      </c>
      <c r="B456" s="260" t="s">
        <v>4616</v>
      </c>
      <c r="C456" s="260" t="n">
        <f aca="false">VLOOKUP('Ввод данных'!C1337,связи1!A2:B3,2,0)</f>
        <v>1</v>
      </c>
      <c r="D456" s="2116"/>
      <c r="E456" s="2116"/>
      <c r="F456" s="2116"/>
      <c r="G456" s="2116"/>
      <c r="H456" s="2116"/>
      <c r="I456" s="2116"/>
      <c r="J456" s="2116"/>
      <c r="K456" s="1148"/>
      <c r="L456" s="1148"/>
      <c r="M456" s="1148"/>
      <c r="N456" s="1148"/>
    </row>
    <row r="457" customFormat="false" ht="15.5" hidden="false" customHeight="false" outlineLevel="0" collapsed="false">
      <c r="A457" s="260" t="str">
        <f aca="false">'Ввод данных'!A1338</f>
        <v>дно бетонное, диаметр 2м.п.</v>
      </c>
      <c r="B457" s="260" t="str">
        <f aca="false">'Ввод данных'!B1338</f>
        <v>шт</v>
      </c>
      <c r="C457" s="260" t="n">
        <f aca="false">'Ввод данных'!C1338*C456</f>
        <v>1</v>
      </c>
      <c r="D457" s="2116"/>
      <c r="E457" s="2116"/>
      <c r="F457" s="2116"/>
      <c r="G457" s="2116"/>
      <c r="H457" s="2116"/>
      <c r="I457" s="2116"/>
      <c r="J457" s="2116"/>
      <c r="K457" s="1148"/>
      <c r="L457" s="1148"/>
      <c r="M457" s="1148"/>
      <c r="N457" s="1148"/>
    </row>
    <row r="458" customFormat="false" ht="15.5" hidden="false" customHeight="false" outlineLevel="0" collapsed="false">
      <c r="A458" s="260" t="str">
        <f aca="false">'Ввод данных'!A1339</f>
        <v>кольцо бетонное, диаметр 2м.п.</v>
      </c>
      <c r="B458" s="260" t="str">
        <f aca="false">'Ввод данных'!B1339</f>
        <v>шт</v>
      </c>
      <c r="C458" s="260" t="n">
        <f aca="false">'Ввод данных'!C1339*C456</f>
        <v>3</v>
      </c>
      <c r="D458" s="2116"/>
      <c r="E458" s="2116"/>
      <c r="F458" s="2116"/>
      <c r="G458" s="2116"/>
      <c r="H458" s="2116"/>
      <c r="I458" s="2116"/>
      <c r="J458" s="2116"/>
      <c r="K458" s="1148"/>
      <c r="L458" s="1148"/>
      <c r="M458" s="1148"/>
      <c r="N458" s="1148"/>
    </row>
    <row r="459" customFormat="false" ht="15.5" hidden="false" customHeight="false" outlineLevel="0" collapsed="false">
      <c r="A459" s="260" t="str">
        <f aca="false">'Ввод данных'!A1340</f>
        <v>крышка бетонная, диаметр 2м.п.</v>
      </c>
      <c r="B459" s="260" t="str">
        <f aca="false">'Ввод данных'!B1340</f>
        <v>шт</v>
      </c>
      <c r="C459" s="260" t="n">
        <f aca="false">'Ввод данных'!C1340*C456</f>
        <v>1</v>
      </c>
      <c r="D459" s="2116"/>
      <c r="E459" s="2116"/>
      <c r="F459" s="2116"/>
      <c r="G459" s="2116"/>
      <c r="H459" s="2116"/>
      <c r="I459" s="2116"/>
      <c r="J459" s="2116"/>
      <c r="K459" s="1148"/>
      <c r="L459" s="1148"/>
      <c r="M459" s="1148"/>
      <c r="N459" s="1148"/>
    </row>
    <row r="460" customFormat="false" ht="15.5" hidden="false" customHeight="false" outlineLevel="0" collapsed="false">
      <c r="A460" s="260" t="str">
        <f aca="false">'Ввод данных'!A1341</f>
        <v>Нет люка для крышки</v>
      </c>
      <c r="B460" s="260" t="str">
        <f aca="false">'Ввод данных'!B1341</f>
        <v>шт</v>
      </c>
      <c r="C460" s="260" t="n">
        <f aca="false">'Ввод данных'!C1341*C456</f>
        <v>0</v>
      </c>
      <c r="D460" s="2116"/>
      <c r="E460" s="2116"/>
      <c r="F460" s="2116"/>
      <c r="G460" s="2116"/>
      <c r="H460" s="2116"/>
      <c r="I460" s="2116"/>
      <c r="J460" s="2116"/>
      <c r="K460" s="1148"/>
      <c r="L460" s="1148"/>
      <c r="M460" s="1148"/>
      <c r="N460" s="1148"/>
    </row>
    <row r="461" customFormat="false" ht="15.5" hidden="false" customHeight="false" outlineLevel="0" collapsed="false">
      <c r="A461" s="260"/>
      <c r="B461" s="260"/>
      <c r="C461" s="2117"/>
      <c r="D461" s="2116"/>
      <c r="E461" s="2116"/>
      <c r="F461" s="2116"/>
      <c r="G461" s="2116"/>
      <c r="H461" s="2116"/>
      <c r="I461" s="2116"/>
      <c r="J461" s="2116"/>
      <c r="K461" s="1148"/>
      <c r="L461" s="1148"/>
      <c r="M461" s="1148"/>
      <c r="N461" s="1148"/>
    </row>
    <row r="462" customFormat="false" ht="15.5" hidden="false" customHeight="false" outlineLevel="0" collapsed="false">
      <c r="A462" s="260"/>
      <c r="B462" s="260"/>
      <c r="C462" s="2117"/>
      <c r="D462" s="2116"/>
      <c r="E462" s="2116"/>
      <c r="F462" s="2116"/>
      <c r="G462" s="2116"/>
      <c r="H462" s="2116"/>
      <c r="I462" s="2116"/>
      <c r="J462" s="2116"/>
      <c r="K462" s="1148"/>
      <c r="L462" s="1148"/>
      <c r="M462" s="1148"/>
      <c r="N462" s="1148"/>
    </row>
    <row r="463" customFormat="false" ht="15.5" hidden="false" customHeight="false" outlineLevel="0" collapsed="false">
      <c r="A463" s="232" t="s">
        <v>1236</v>
      </c>
      <c r="B463" s="232" t="s">
        <v>1094</v>
      </c>
      <c r="C463" s="232" t="s">
        <v>1802</v>
      </c>
      <c r="D463" s="232" t="s">
        <v>2721</v>
      </c>
      <c r="E463" s="232" t="s">
        <v>2722</v>
      </c>
      <c r="F463" s="1148"/>
      <c r="G463" s="232" t="s">
        <v>4617</v>
      </c>
      <c r="H463" s="232" t="s">
        <v>1094</v>
      </c>
      <c r="I463" s="232" t="s">
        <v>1802</v>
      </c>
      <c r="J463" s="232" t="s">
        <v>2721</v>
      </c>
      <c r="K463" s="232" t="s">
        <v>2722</v>
      </c>
      <c r="L463" s="1148"/>
      <c r="M463" s="1148"/>
      <c r="N463" s="1148"/>
    </row>
    <row r="464" customFormat="false" ht="15.5" hidden="false" customHeight="false" outlineLevel="0" collapsed="false">
      <c r="A464" s="232" t="str">
        <f aca="false">'Ввод данных'!A1331</f>
        <v>дно бетонное, диаметр 1,5м.п.</v>
      </c>
      <c r="B464" s="232" t="s">
        <v>159</v>
      </c>
      <c r="C464" s="232" t="n">
        <f aca="false">C449</f>
        <v>1</v>
      </c>
      <c r="D464" s="232" t="n">
        <f aca="false">VLOOKUP('Ввод данных'!A1331,связи1!A74:B78,2,0)</f>
        <v>2000</v>
      </c>
      <c r="E464" s="232" t="n">
        <f aca="false">C464*D464</f>
        <v>2000</v>
      </c>
      <c r="F464" s="1148"/>
      <c r="G464" s="232" t="s">
        <v>1623</v>
      </c>
      <c r="H464" s="232" t="s">
        <v>159</v>
      </c>
      <c r="I464" s="232" t="n">
        <f aca="false">C464+C473</f>
        <v>2</v>
      </c>
      <c r="J464" s="232" t="n">
        <f aca="false">'Прайс лист'!G1862</f>
        <v>1000</v>
      </c>
      <c r="K464" s="232" t="n">
        <f aca="false">I464*J464</f>
        <v>2000</v>
      </c>
      <c r="L464" s="1148"/>
      <c r="M464" s="1148"/>
      <c r="N464" s="1148"/>
    </row>
    <row r="465" customFormat="false" ht="15.5" hidden="false" customHeight="false" outlineLevel="0" collapsed="false">
      <c r="A465" s="232" t="str">
        <f aca="false">'Ввод данных'!A1332</f>
        <v>кольцо бетонное, диаметр 1,5м.п.</v>
      </c>
      <c r="B465" s="232" t="s">
        <v>159</v>
      </c>
      <c r="C465" s="232" t="n">
        <f aca="false">C450</f>
        <v>3</v>
      </c>
      <c r="D465" s="232" t="n">
        <f aca="false">VLOOKUP('Ввод данных'!A1332,связи1!A79:B83,2,0)</f>
        <v>2800</v>
      </c>
      <c r="E465" s="232" t="n">
        <f aca="false">C465*D465</f>
        <v>8400</v>
      </c>
      <c r="F465" s="1148"/>
      <c r="G465" s="232" t="s">
        <v>1624</v>
      </c>
      <c r="H465" s="232" t="s">
        <v>159</v>
      </c>
      <c r="I465" s="232" t="n">
        <f aca="false">C465+C474</f>
        <v>6</v>
      </c>
      <c r="J465" s="232" t="n">
        <f aca="false">'Прайс лист'!G1863</f>
        <v>1000</v>
      </c>
      <c r="K465" s="232" t="n">
        <f aca="false">I465*J465</f>
        <v>6000</v>
      </c>
      <c r="L465" s="1148"/>
      <c r="M465" s="1148"/>
      <c r="N465" s="1148"/>
    </row>
    <row r="466" customFormat="false" ht="15.5" hidden="false" customHeight="false" outlineLevel="0" collapsed="false">
      <c r="A466" s="232" t="str">
        <f aca="false">'Ввод данных'!A1333</f>
        <v>крышка бетонная, диаметр 1,5м.п.</v>
      </c>
      <c r="B466" s="232" t="s">
        <v>159</v>
      </c>
      <c r="C466" s="232" t="n">
        <f aca="false">C451</f>
        <v>1</v>
      </c>
      <c r="D466" s="232" t="n">
        <f aca="false">VLOOKUP('Ввод данных'!A1333,связи1!A84:B88,2,0)</f>
        <v>4000</v>
      </c>
      <c r="E466" s="232" t="n">
        <f aca="false">C466*D466</f>
        <v>4000</v>
      </c>
      <c r="F466" s="1148"/>
      <c r="G466" s="232" t="s">
        <v>1625</v>
      </c>
      <c r="H466" s="232" t="s">
        <v>159</v>
      </c>
      <c r="I466" s="232" t="n">
        <f aca="false">C466+C475</f>
        <v>2</v>
      </c>
      <c r="J466" s="232" t="n">
        <f aca="false">'Прайс лист'!G1864</f>
        <v>1000</v>
      </c>
      <c r="K466" s="232" t="n">
        <f aca="false">I466*J466</f>
        <v>2000</v>
      </c>
      <c r="L466" s="1148"/>
      <c r="M466" s="1148"/>
      <c r="N466" s="1148"/>
    </row>
    <row r="467" customFormat="false" ht="15.5" hidden="false" customHeight="false" outlineLevel="0" collapsed="false">
      <c r="A467" s="232" t="str">
        <f aca="false">'Ввод данных'!A1334</f>
        <v>Нет люка для крышки</v>
      </c>
      <c r="B467" s="232" t="s">
        <v>159</v>
      </c>
      <c r="C467" s="232" t="n">
        <f aca="false">C452</f>
        <v>0</v>
      </c>
      <c r="D467" s="232" t="n">
        <f aca="false">VLOOKUP('Ввод данных'!A1334,связи1!A89:B91,2,0)</f>
        <v>0</v>
      </c>
      <c r="E467" s="232" t="n">
        <f aca="false">C467*D467</f>
        <v>0</v>
      </c>
      <c r="F467" s="1148"/>
      <c r="G467" s="232" t="s">
        <v>1626</v>
      </c>
      <c r="H467" s="232" t="s">
        <v>159</v>
      </c>
      <c r="I467" s="232" t="n">
        <f aca="false">C467+C476</f>
        <v>0</v>
      </c>
      <c r="J467" s="232" t="n">
        <f aca="false">'Прайс лист'!G1865</f>
        <v>1000</v>
      </c>
      <c r="K467" s="232" t="n">
        <f aca="false">I467*J467</f>
        <v>0</v>
      </c>
      <c r="L467" s="1148"/>
      <c r="M467" s="1148"/>
      <c r="N467" s="1148"/>
    </row>
    <row r="468" customFormat="false" ht="15.5" hidden="false" customHeight="false" outlineLevel="0" collapsed="false">
      <c r="A468" s="1018" t="str">
        <f aca="false">'Прайс лист'!B1201</f>
        <v>Горловина для септика бетонная</v>
      </c>
      <c r="B468" s="1018" t="str">
        <f aca="false">'Ввод данных'!B1335</f>
        <v>шт</v>
      </c>
      <c r="C468" s="1018" t="n">
        <f aca="false">'Ввод данных'!C1335</f>
        <v>1</v>
      </c>
      <c r="D468" s="1018" t="n">
        <f aca="false">'Прайс лист'!G1201</f>
        <v>1000</v>
      </c>
      <c r="E468" s="232" t="n">
        <f aca="false">C468*D468</f>
        <v>1000</v>
      </c>
      <c r="F468" s="1148"/>
      <c r="G468" s="2704" t="s">
        <v>4618</v>
      </c>
      <c r="H468" s="2704" t="s">
        <v>159</v>
      </c>
      <c r="I468" s="919" t="n">
        <f aca="false">C468</f>
        <v>1</v>
      </c>
      <c r="J468" s="919" t="n">
        <f aca="false">'Прайс лист'!G1868</f>
        <v>800</v>
      </c>
      <c r="K468" s="232" t="n">
        <f aca="false">I468*J468</f>
        <v>800</v>
      </c>
      <c r="L468" s="1148"/>
      <c r="M468" s="1148"/>
      <c r="N468" s="1148"/>
    </row>
    <row r="469" customFormat="false" ht="15.5" hidden="false" customHeight="false" outlineLevel="0" collapsed="false">
      <c r="A469" s="232" t="str">
        <f aca="false">'Прайс лист'!B1119</f>
        <v>Труба канализационная D110</v>
      </c>
      <c r="B469" s="232" t="s">
        <v>156</v>
      </c>
      <c r="C469" s="232" t="n">
        <f aca="false">C454</f>
        <v>10</v>
      </c>
      <c r="D469" s="232" t="n">
        <f aca="false">'Прайс лист'!G1119</f>
        <v>70</v>
      </c>
      <c r="E469" s="232" t="n">
        <f aca="false">C469*D469</f>
        <v>700</v>
      </c>
      <c r="F469" s="1148"/>
      <c r="G469" s="232" t="s">
        <v>4619</v>
      </c>
      <c r="H469" s="232" t="s">
        <v>156</v>
      </c>
      <c r="I469" s="232" t="n">
        <f aca="false">C469</f>
        <v>10</v>
      </c>
      <c r="J469" s="232" t="n">
        <f aca="false">'Прайс лист'!G1866</f>
        <v>500</v>
      </c>
      <c r="K469" s="232" t="n">
        <f aca="false">I469*J469</f>
        <v>5000</v>
      </c>
      <c r="L469" s="1148"/>
      <c r="M469" s="1148"/>
      <c r="N469" s="1148"/>
    </row>
    <row r="470" customFormat="false" ht="15.5" hidden="false" customHeight="false" outlineLevel="0" collapsed="false">
      <c r="A470" s="232" t="s">
        <v>4620</v>
      </c>
      <c r="B470" s="232" t="s">
        <v>156</v>
      </c>
      <c r="C470" s="232" t="n">
        <f aca="false">C455</f>
        <v>8</v>
      </c>
      <c r="D470" s="232" t="n">
        <f aca="false">'Прайс лист'!G1200</f>
        <v>300</v>
      </c>
      <c r="E470" s="232" t="n">
        <f aca="false">C470*D470</f>
        <v>2400</v>
      </c>
      <c r="F470" s="1148"/>
      <c r="G470" s="232" t="s">
        <v>2519</v>
      </c>
      <c r="H470" s="232" t="s">
        <v>159</v>
      </c>
      <c r="I470" s="232" t="n">
        <f aca="false">C453</f>
        <v>1</v>
      </c>
      <c r="J470" s="232" t="n">
        <f aca="false">'Прайс лист'!G1867</f>
        <v>2500</v>
      </c>
      <c r="K470" s="232" t="n">
        <f aca="false">I470*J470</f>
        <v>2500</v>
      </c>
      <c r="L470" s="1148"/>
      <c r="M470" s="1148"/>
      <c r="N470" s="1148"/>
    </row>
    <row r="471" customFormat="false" ht="15.5" hidden="false" customHeight="false" outlineLevel="0" collapsed="false">
      <c r="A471" s="232" t="s">
        <v>4621</v>
      </c>
      <c r="B471" s="232" t="s">
        <v>159</v>
      </c>
      <c r="C471" s="232" t="n">
        <v>3</v>
      </c>
      <c r="D471" s="232" t="n">
        <f aca="false">'Прайс лист'!G1202*C453</f>
        <v>100</v>
      </c>
      <c r="E471" s="232" t="n">
        <f aca="false">C471*D471</f>
        <v>300</v>
      </c>
      <c r="F471" s="1148"/>
      <c r="G471" s="232"/>
      <c r="H471" s="232"/>
      <c r="I471" s="232"/>
      <c r="J471" s="232"/>
      <c r="K471" s="232"/>
      <c r="L471" s="1148"/>
      <c r="M471" s="1148"/>
      <c r="N471" s="1148"/>
    </row>
    <row r="472" customFormat="false" ht="15.5" hidden="false" customHeight="false" outlineLevel="0" collapsed="false">
      <c r="A472" s="232" t="s">
        <v>4622</v>
      </c>
      <c r="B472" s="232" t="s">
        <v>159</v>
      </c>
      <c r="C472" s="232" t="n">
        <v>3</v>
      </c>
      <c r="D472" s="232" t="n">
        <f aca="false">'Прайс лист'!G1202</f>
        <v>100</v>
      </c>
      <c r="E472" s="232" t="n">
        <f aca="false">C472*D472</f>
        <v>300</v>
      </c>
      <c r="F472" s="1148"/>
      <c r="G472" s="232"/>
      <c r="H472" s="232"/>
      <c r="I472" s="232"/>
      <c r="J472" s="232"/>
      <c r="K472" s="232"/>
      <c r="L472" s="1148"/>
      <c r="M472" s="1148"/>
      <c r="N472" s="1148"/>
    </row>
    <row r="473" customFormat="false" ht="15.5" hidden="false" customHeight="false" outlineLevel="0" collapsed="false">
      <c r="A473" s="1018" t="str">
        <f aca="false">'Ввод данных'!A1338</f>
        <v>дно бетонное, диаметр 2м.п.</v>
      </c>
      <c r="B473" s="1018" t="str">
        <f aca="false">'Ввод данных'!B1338</f>
        <v>шт</v>
      </c>
      <c r="C473" s="1018" t="n">
        <f aca="false">C457</f>
        <v>1</v>
      </c>
      <c r="D473" s="1004" t="n">
        <f aca="false">VLOOKUP(A473,связи1!A74:B78,2,0)</f>
        <v>2000</v>
      </c>
      <c r="E473" s="232" t="n">
        <f aca="false">C473*D473</f>
        <v>2000</v>
      </c>
      <c r="F473" s="1148"/>
      <c r="G473" s="232"/>
      <c r="H473" s="232"/>
      <c r="I473" s="232"/>
      <c r="J473" s="232"/>
      <c r="K473" s="232"/>
      <c r="L473" s="1148"/>
      <c r="M473" s="1148"/>
      <c r="N473" s="1148"/>
    </row>
    <row r="474" customFormat="false" ht="15.5" hidden="false" customHeight="false" outlineLevel="0" collapsed="false">
      <c r="A474" s="1018" t="str">
        <f aca="false">'Ввод данных'!A1339</f>
        <v>кольцо бетонное, диаметр 2м.п.</v>
      </c>
      <c r="B474" s="1018" t="str">
        <f aca="false">'Ввод данных'!B1339</f>
        <v>шт</v>
      </c>
      <c r="C474" s="1018" t="n">
        <f aca="false">C458</f>
        <v>3</v>
      </c>
      <c r="D474" s="1004" t="n">
        <f aca="false">VLOOKUP(A474,связи1!A79:B83,2,0)</f>
        <v>3300</v>
      </c>
      <c r="E474" s="232" t="n">
        <f aca="false">C474*D474</f>
        <v>9900</v>
      </c>
      <c r="F474" s="1148"/>
      <c r="G474" s="2116"/>
      <c r="H474" s="2116"/>
      <c r="I474" s="2116"/>
      <c r="J474" s="2116"/>
      <c r="K474" s="232"/>
      <c r="L474" s="1148"/>
      <c r="M474" s="1148"/>
      <c r="N474" s="1148"/>
    </row>
    <row r="475" customFormat="false" ht="15.5" hidden="false" customHeight="false" outlineLevel="0" collapsed="false">
      <c r="A475" s="1018" t="str">
        <f aca="false">'Ввод данных'!A1340</f>
        <v>крышка бетонная, диаметр 2м.п.</v>
      </c>
      <c r="B475" s="1018" t="str">
        <f aca="false">'Ввод данных'!B1340</f>
        <v>шт</v>
      </c>
      <c r="C475" s="1018" t="n">
        <f aca="false">C459</f>
        <v>1</v>
      </c>
      <c r="D475" s="1004" t="n">
        <f aca="false">VLOOKUP(A475,связи1!A84:B88,2,0)</f>
        <v>4000</v>
      </c>
      <c r="E475" s="232" t="n">
        <f aca="false">C475*D475</f>
        <v>4000</v>
      </c>
      <c r="F475" s="1148"/>
      <c r="G475" s="2116"/>
      <c r="H475" s="2116"/>
      <c r="I475" s="2116"/>
      <c r="J475" s="2116"/>
      <c r="K475" s="232"/>
      <c r="L475" s="1148"/>
      <c r="M475" s="1148"/>
      <c r="N475" s="1148"/>
    </row>
    <row r="476" customFormat="false" ht="15.5" hidden="false" customHeight="false" outlineLevel="0" collapsed="false">
      <c r="A476" s="1018" t="str">
        <f aca="false">'Ввод данных'!A1341</f>
        <v>Нет люка для крышки</v>
      </c>
      <c r="B476" s="1018" t="str">
        <f aca="false">'Ввод данных'!B1341</f>
        <v>шт</v>
      </c>
      <c r="C476" s="1018" t="n">
        <f aca="false">C460</f>
        <v>0</v>
      </c>
      <c r="D476" s="1004" t="n">
        <f aca="false">VLOOKUP(A476,связи1!A89:B91,2,0)</f>
        <v>0</v>
      </c>
      <c r="E476" s="232" t="n">
        <f aca="false">C476*D476</f>
        <v>0</v>
      </c>
      <c r="F476" s="1148"/>
      <c r="G476" s="2116"/>
      <c r="H476" s="2116"/>
      <c r="I476" s="2116"/>
      <c r="J476" s="2116"/>
      <c r="K476" s="232"/>
      <c r="L476" s="1148"/>
      <c r="M476" s="1148"/>
      <c r="N476" s="1148"/>
    </row>
    <row r="477" customFormat="false" ht="15.5" hidden="false" customHeight="false" outlineLevel="0" collapsed="false">
      <c r="A477" s="1018" t="str">
        <f aca="false">'Ввод данных'!A1347</f>
        <v>Экскаватор погрузчик</v>
      </c>
      <c r="B477" s="1018" t="str">
        <f aca="false">'Ввод данных'!B1347</f>
        <v>час</v>
      </c>
      <c r="C477" s="1018" t="n">
        <f aca="false">'Ввод данных'!C1347</f>
        <v>5</v>
      </c>
      <c r="D477" s="1004" t="n">
        <f aca="false">VLOOKUP(A477,'Прайс лист'!B180:G194,6,0)</f>
        <v>2200</v>
      </c>
      <c r="E477" s="232" t="n">
        <f aca="false">C477*D477</f>
        <v>11000</v>
      </c>
      <c r="F477" s="1148"/>
      <c r="G477" s="2116"/>
      <c r="H477" s="2116"/>
      <c r="I477" s="2116"/>
      <c r="J477" s="2116"/>
      <c r="K477" s="232"/>
      <c r="L477" s="1148"/>
      <c r="M477" s="1148"/>
      <c r="N477" s="1148"/>
    </row>
    <row r="478" customFormat="false" ht="15.5" hidden="false" customHeight="false" outlineLevel="0" collapsed="false">
      <c r="A478" s="1018" t="str">
        <f aca="false">'Ввод данных'!A1348</f>
        <v>Манипулятор 5т</v>
      </c>
      <c r="B478" s="1018" t="str">
        <f aca="false">'Ввод данных'!B1348</f>
        <v>час</v>
      </c>
      <c r="C478" s="1018" t="n">
        <f aca="false">'Ввод данных'!C1348</f>
        <v>3</v>
      </c>
      <c r="D478" s="1004" t="n">
        <f aca="false">VLOOKUP(A478,'Прайс лист'!B180:G194,6,0)</f>
        <v>2500</v>
      </c>
      <c r="E478" s="232" t="n">
        <f aca="false">C478*D478</f>
        <v>7500</v>
      </c>
      <c r="F478" s="1148"/>
      <c r="G478" s="2116"/>
      <c r="H478" s="2116"/>
      <c r="I478" s="2116"/>
      <c r="J478" s="2116"/>
      <c r="K478" s="232"/>
      <c r="L478" s="1148"/>
      <c r="M478" s="1148"/>
      <c r="N478" s="1148"/>
    </row>
    <row r="479" customFormat="false" ht="15.5" hidden="false" customHeight="false" outlineLevel="0" collapsed="false">
      <c r="A479" s="1018" t="str">
        <f aca="false">'Ввод данных'!A1350</f>
        <v>расходные материалы для септика</v>
      </c>
      <c r="B479" s="1018" t="str">
        <f aca="false">'Ввод данных'!B1350</f>
        <v>рублей</v>
      </c>
      <c r="C479" s="1018" t="n">
        <f aca="false">1</f>
        <v>1</v>
      </c>
      <c r="D479" s="1018" t="n">
        <f aca="false">'Ввод данных'!C1350</f>
        <v>5000</v>
      </c>
      <c r="E479" s="232" t="n">
        <f aca="false">C479*D479</f>
        <v>5000</v>
      </c>
      <c r="F479" s="1148"/>
      <c r="G479" s="2116"/>
      <c r="H479" s="2116"/>
      <c r="I479" s="2116"/>
      <c r="J479" s="2116"/>
      <c r="K479" s="232"/>
      <c r="L479" s="1148"/>
      <c r="M479" s="1148"/>
      <c r="N479" s="1148"/>
    </row>
    <row r="480" customFormat="false" ht="15.5" hidden="false" customHeight="false" outlineLevel="0" collapsed="false">
      <c r="A480" s="1148"/>
      <c r="B480" s="1148"/>
      <c r="C480" s="1148"/>
      <c r="D480" s="1148"/>
      <c r="E480" s="232" t="n">
        <f aca="false">SUM(E464:E472)</f>
        <v>19100</v>
      </c>
      <c r="F480" s="1148"/>
      <c r="G480" s="1148"/>
      <c r="H480" s="1148"/>
      <c r="I480" s="1148"/>
      <c r="J480" s="1148"/>
      <c r="K480" s="232" t="n">
        <f aca="false">SUM(K464:K473)</f>
        <v>18300</v>
      </c>
      <c r="L480" s="1148"/>
      <c r="M480" s="1148"/>
      <c r="N480" s="1148"/>
    </row>
    <row r="481" customFormat="false" ht="15.5" hidden="false" customHeight="false" outlineLevel="0" collapsed="false">
      <c r="A481" s="232" t="s">
        <v>3940</v>
      </c>
      <c r="B481" s="232" t="n">
        <f aca="false">E480</f>
        <v>19100</v>
      </c>
      <c r="C481" s="1148"/>
      <c r="D481" s="1148"/>
      <c r="E481" s="1148"/>
      <c r="F481" s="1148"/>
      <c r="G481" s="1148"/>
      <c r="H481" s="1148"/>
      <c r="I481" s="1148"/>
      <c r="J481" s="1148"/>
      <c r="K481" s="1148"/>
      <c r="L481" s="1148"/>
      <c r="M481" s="1148"/>
      <c r="N481" s="1148"/>
    </row>
    <row r="482" customFormat="false" ht="15.5" hidden="false" customHeight="false" outlineLevel="0" collapsed="false">
      <c r="A482" s="232" t="s">
        <v>3941</v>
      </c>
      <c r="B482" s="232" t="n">
        <f aca="false">K480</f>
        <v>18300</v>
      </c>
      <c r="C482" s="1148"/>
      <c r="D482" s="1148"/>
      <c r="E482" s="1148"/>
      <c r="F482" s="1148"/>
      <c r="G482" s="1148"/>
      <c r="H482" s="1148"/>
      <c r="I482" s="1148"/>
      <c r="J482" s="1148"/>
      <c r="K482" s="1148"/>
      <c r="L482" s="1148"/>
      <c r="M482" s="1148"/>
      <c r="N482" s="1148"/>
    </row>
    <row r="483" customFormat="false" ht="15.5" hidden="false" customHeight="false" outlineLevel="0" collapsed="false">
      <c r="A483" s="232" t="s">
        <v>2728</v>
      </c>
      <c r="B483" s="232" t="n">
        <f aca="false">(B481+B482)*B484</f>
        <v>0</v>
      </c>
      <c r="C483" s="1148"/>
      <c r="D483" s="1148"/>
      <c r="E483" s="1148"/>
      <c r="F483" s="1148"/>
      <c r="G483" s="1148"/>
      <c r="H483" s="1148"/>
      <c r="I483" s="1148"/>
      <c r="J483" s="1148"/>
      <c r="K483" s="1148"/>
      <c r="L483" s="1148"/>
      <c r="M483" s="1148"/>
      <c r="N483" s="1148"/>
    </row>
    <row r="484" customFormat="false" ht="15.5" hidden="false" customHeight="false" outlineLevel="0" collapsed="false">
      <c r="A484" s="2167" t="s">
        <v>2523</v>
      </c>
      <c r="B484" s="2147"/>
      <c r="C484" s="2148" t="s">
        <v>3663</v>
      </c>
      <c r="D484" s="2148"/>
      <c r="E484" s="2148"/>
      <c r="F484" s="2148"/>
      <c r="G484" s="1148"/>
      <c r="H484" s="1148"/>
      <c r="I484" s="1148"/>
      <c r="J484" s="1148"/>
      <c r="K484" s="1148"/>
      <c r="L484" s="1148"/>
      <c r="M484" s="1148"/>
      <c r="N484" s="1148"/>
    </row>
    <row r="485" customFormat="false" ht="15.5" hidden="false" customHeight="false" outlineLevel="0" collapsed="false">
      <c r="A485" s="1148"/>
      <c r="B485" s="1148"/>
      <c r="C485" s="1148"/>
      <c r="D485" s="1148"/>
      <c r="E485" s="1148"/>
      <c r="F485" s="1148"/>
      <c r="G485" s="1148"/>
      <c r="H485" s="1148"/>
      <c r="I485" s="1148"/>
      <c r="J485" s="1148"/>
      <c r="K485" s="1148"/>
      <c r="L485" s="1148"/>
      <c r="M485" s="1148"/>
      <c r="N485" s="1148"/>
    </row>
    <row r="486" customFormat="false" ht="15.5" hidden="false" customHeight="false" outlineLevel="0" collapsed="false">
      <c r="A486" s="2161" t="s">
        <v>1184</v>
      </c>
      <c r="B486" s="2161"/>
      <c r="C486" s="2161"/>
      <c r="D486" s="2161"/>
      <c r="E486" s="2161"/>
      <c r="F486" s="2161"/>
      <c r="G486" s="2161"/>
      <c r="H486" s="2161"/>
      <c r="I486" s="2161"/>
      <c r="J486" s="2161"/>
      <c r="K486" s="2161"/>
      <c r="L486" s="1148"/>
      <c r="M486" s="1148"/>
      <c r="N486" s="1148"/>
    </row>
    <row r="487" customFormat="false" ht="15.5" hidden="false" customHeight="false" outlineLevel="0" collapsed="false">
      <c r="A487" s="2161"/>
      <c r="B487" s="2161"/>
      <c r="C487" s="2161"/>
      <c r="D487" s="2161"/>
      <c r="E487" s="2161"/>
      <c r="F487" s="2161"/>
      <c r="G487" s="2161"/>
      <c r="H487" s="2161"/>
      <c r="I487" s="2161"/>
      <c r="J487" s="2161"/>
      <c r="K487" s="2161"/>
      <c r="L487" s="1148"/>
      <c r="M487" s="1148"/>
      <c r="N487" s="1148"/>
    </row>
    <row r="488" customFormat="false" ht="23.5" hidden="false" customHeight="false" outlineLevel="0" collapsed="false">
      <c r="A488" s="2161"/>
      <c r="B488" s="2705"/>
      <c r="C488" s="2705"/>
      <c r="D488" s="2706"/>
      <c r="E488" s="2706" t="n">
        <f aca="false">'Ввод данных'!D1356</f>
        <v>1</v>
      </c>
      <c r="F488" s="2706"/>
      <c r="G488" s="2706" t="n">
        <f aca="false">'Ввод данных'!D1357</f>
        <v>1</v>
      </c>
      <c r="H488" s="2706"/>
      <c r="I488" s="2706"/>
      <c r="J488" s="2706"/>
      <c r="K488" s="2706"/>
      <c r="L488" s="1148"/>
      <c r="M488" s="1148"/>
      <c r="N488" s="1148"/>
    </row>
    <row r="489" customFormat="false" ht="23.5" hidden="false" customHeight="false" outlineLevel="0" collapsed="false">
      <c r="A489" s="2161"/>
      <c r="B489" s="2705"/>
      <c r="C489" s="2705"/>
      <c r="D489" s="2706"/>
      <c r="E489" s="2706"/>
      <c r="F489" s="2706"/>
      <c r="G489" s="2706"/>
      <c r="H489" s="2706"/>
      <c r="I489" s="2706"/>
      <c r="J489" s="2706"/>
      <c r="K489" s="2706"/>
      <c r="L489" s="1148"/>
      <c r="M489" s="1148"/>
      <c r="N489" s="1148"/>
    </row>
    <row r="490" customFormat="false" ht="23.5" hidden="false" customHeight="false" outlineLevel="0" collapsed="false">
      <c r="A490" s="232" t="s">
        <v>1188</v>
      </c>
      <c r="B490" s="2162" t="s">
        <v>159</v>
      </c>
      <c r="C490" s="2707" t="n">
        <f aca="false">VLOOKUP('Ввод данных'!C1360,связи1!A2:B3,2,0)</f>
        <v>1</v>
      </c>
      <c r="D490" s="855"/>
      <c r="E490" s="855"/>
      <c r="F490" s="855"/>
      <c r="G490" s="855"/>
      <c r="H490" s="855"/>
      <c r="I490" s="855"/>
      <c r="J490" s="855"/>
      <c r="K490" s="855"/>
      <c r="L490" s="1148"/>
      <c r="M490" s="1148"/>
      <c r="N490" s="1148"/>
    </row>
    <row r="491" customFormat="false" ht="23.5" hidden="false" customHeight="false" outlineLevel="0" collapsed="false">
      <c r="A491" s="232" t="s">
        <v>1189</v>
      </c>
      <c r="B491" s="2162" t="s">
        <v>159</v>
      </c>
      <c r="C491" s="2707" t="n">
        <f aca="false">VLOOKUP('Ввод данных'!C1361,связи1!A2:B3,2,0)</f>
        <v>1</v>
      </c>
      <c r="D491" s="855"/>
      <c r="E491" s="855"/>
      <c r="F491" s="855"/>
      <c r="G491" s="855"/>
      <c r="H491" s="855"/>
      <c r="I491" s="855"/>
      <c r="J491" s="855"/>
      <c r="K491" s="855"/>
      <c r="L491" s="1148"/>
      <c r="M491" s="1148"/>
      <c r="N491" s="1148"/>
    </row>
    <row r="492" customFormat="false" ht="23.5" hidden="false" customHeight="false" outlineLevel="0" collapsed="false">
      <c r="A492" s="232" t="s">
        <v>2524</v>
      </c>
      <c r="B492" s="2162" t="s">
        <v>159</v>
      </c>
      <c r="C492" s="2707" t="n">
        <f aca="false">VLOOKUP('Ввод данных'!C1362,связи1!A2:B3,2,0)</f>
        <v>1</v>
      </c>
      <c r="D492" s="855"/>
      <c r="E492" s="855"/>
      <c r="F492" s="855"/>
      <c r="G492" s="855"/>
      <c r="H492" s="855"/>
      <c r="I492" s="855"/>
      <c r="J492" s="855"/>
      <c r="K492" s="855"/>
      <c r="L492" s="1148"/>
      <c r="M492" s="1148"/>
      <c r="N492" s="1148"/>
    </row>
    <row r="493" customFormat="false" ht="23.5" hidden="false" customHeight="false" outlineLevel="0" collapsed="false">
      <c r="A493" s="232" t="s">
        <v>1186</v>
      </c>
      <c r="B493" s="2162" t="s">
        <v>159</v>
      </c>
      <c r="C493" s="2707" t="n">
        <f aca="false">VLOOKUP('Ввод данных'!C1363,связи1!A2:B3,2,0)</f>
        <v>1</v>
      </c>
      <c r="D493" s="855"/>
      <c r="E493" s="855"/>
      <c r="F493" s="855"/>
      <c r="G493" s="855"/>
      <c r="H493" s="855"/>
      <c r="I493" s="855"/>
      <c r="J493" s="855"/>
      <c r="K493" s="855"/>
      <c r="L493" s="1148"/>
      <c r="M493" s="1148"/>
      <c r="N493" s="1148"/>
    </row>
    <row r="494" customFormat="false" ht="23.5" hidden="false" customHeight="false" outlineLevel="0" collapsed="false">
      <c r="A494" s="232" t="s">
        <v>1187</v>
      </c>
      <c r="B494" s="2162" t="s">
        <v>159</v>
      </c>
      <c r="C494" s="2707" t="n">
        <f aca="false">VLOOKUP('Ввод данных'!C1364,связи1!A2:B3,2,0)</f>
        <v>1</v>
      </c>
      <c r="D494" s="855"/>
      <c r="E494" s="855"/>
      <c r="F494" s="855"/>
      <c r="G494" s="855"/>
      <c r="H494" s="855"/>
      <c r="I494" s="855"/>
      <c r="J494" s="855"/>
      <c r="K494" s="855"/>
      <c r="L494" s="1148"/>
      <c r="M494" s="1148"/>
      <c r="N494" s="1148"/>
    </row>
    <row r="495" customFormat="false" ht="15.5" hidden="false" customHeight="false" outlineLevel="0" collapsed="false">
      <c r="A495" s="2160"/>
      <c r="B495" s="2160"/>
      <c r="C495" s="2160"/>
      <c r="D495" s="2160"/>
      <c r="E495" s="2160"/>
      <c r="F495" s="2160"/>
      <c r="G495" s="2160"/>
      <c r="H495" s="2160"/>
      <c r="I495" s="2160"/>
      <c r="J495" s="2160"/>
      <c r="K495" s="2160"/>
      <c r="L495" s="2160"/>
      <c r="M495" s="2160"/>
      <c r="N495" s="2160"/>
    </row>
    <row r="496" customFormat="false" ht="15.5" hidden="false" customHeight="false" outlineLevel="0" collapsed="false">
      <c r="A496" s="1148"/>
      <c r="B496" s="1148"/>
      <c r="C496" s="1148"/>
      <c r="D496" s="1148"/>
      <c r="E496" s="1148"/>
      <c r="F496" s="1148"/>
      <c r="G496" s="1148"/>
      <c r="H496" s="1148"/>
      <c r="I496" s="1148"/>
      <c r="J496" s="1148"/>
      <c r="K496" s="1148"/>
      <c r="L496" s="1148"/>
      <c r="M496" s="1148"/>
      <c r="N496" s="1148"/>
    </row>
    <row r="497" customFormat="false" ht="15.5" hidden="false" customHeight="false" outlineLevel="0" collapsed="false">
      <c r="A497" s="1148"/>
      <c r="B497" s="1148"/>
      <c r="C497" s="1148"/>
      <c r="D497" s="1148"/>
      <c r="E497" s="1148"/>
      <c r="F497" s="1148"/>
      <c r="G497" s="1148"/>
      <c r="H497" s="1148"/>
      <c r="I497" s="1148"/>
      <c r="J497" s="1148"/>
      <c r="K497" s="1148"/>
      <c r="L497" s="1148"/>
      <c r="M497" s="1148"/>
      <c r="N497" s="1148"/>
    </row>
    <row r="498" customFormat="false" ht="15.5" hidden="false" customHeight="false" outlineLevel="0" collapsed="false">
      <c r="A498" s="1148"/>
      <c r="B498" s="1148"/>
      <c r="C498" s="1148"/>
      <c r="D498" s="1148"/>
      <c r="E498" s="1148"/>
      <c r="F498" s="1148"/>
      <c r="G498" s="1148"/>
      <c r="H498" s="1148"/>
      <c r="I498" s="1148"/>
      <c r="J498" s="1148"/>
      <c r="K498" s="1148"/>
      <c r="L498" s="1148"/>
      <c r="M498" s="1148"/>
      <c r="N498" s="1148"/>
    </row>
    <row r="499" customFormat="false" ht="15.5" hidden="false" customHeight="false" outlineLevel="0" collapsed="false">
      <c r="A499" s="1148"/>
      <c r="B499" s="1148"/>
      <c r="C499" s="1148"/>
      <c r="D499" s="1148"/>
      <c r="E499" s="1148"/>
      <c r="F499" s="1148"/>
      <c r="G499" s="1148"/>
      <c r="H499" s="1148"/>
      <c r="I499" s="1148"/>
      <c r="J499" s="1148"/>
      <c r="K499" s="1148"/>
      <c r="L499" s="1148"/>
      <c r="M499" s="1148"/>
      <c r="N499" s="1148"/>
    </row>
    <row r="500" customFormat="false" ht="15.5" hidden="false" customHeight="false" outlineLevel="0" collapsed="false">
      <c r="A500" s="1148"/>
      <c r="B500" s="1148"/>
      <c r="C500" s="1148"/>
      <c r="D500" s="1148"/>
      <c r="E500" s="1148"/>
      <c r="F500" s="1148"/>
      <c r="G500" s="1148"/>
      <c r="H500" s="1148"/>
      <c r="I500" s="1148"/>
      <c r="J500" s="1148"/>
      <c r="K500" s="1148"/>
      <c r="L500" s="1148"/>
      <c r="M500" s="1148"/>
      <c r="N500" s="1148"/>
    </row>
    <row r="501" customFormat="false" ht="15.5" hidden="false" customHeight="false" outlineLevel="0" collapsed="false">
      <c r="A501" s="1148"/>
      <c r="B501" s="1148"/>
      <c r="C501" s="1148"/>
      <c r="D501" s="1148"/>
      <c r="E501" s="1148"/>
      <c r="F501" s="1148"/>
      <c r="G501" s="1148"/>
      <c r="H501" s="1148"/>
      <c r="I501" s="1148"/>
      <c r="J501" s="1148"/>
      <c r="K501" s="1148"/>
      <c r="L501" s="1148"/>
      <c r="M501" s="1148"/>
      <c r="N501" s="1148"/>
    </row>
    <row r="502" customFormat="false" ht="15.5" hidden="false" customHeight="false" outlineLevel="0" collapsed="false">
      <c r="A502" s="1148"/>
      <c r="B502" s="1148"/>
      <c r="C502" s="1148"/>
      <c r="D502" s="1148"/>
      <c r="E502" s="1148"/>
      <c r="F502" s="1148"/>
      <c r="G502" s="1148"/>
      <c r="H502" s="1148"/>
      <c r="I502" s="1148"/>
      <c r="J502" s="1148"/>
      <c r="K502" s="1148"/>
      <c r="L502" s="1148"/>
      <c r="M502" s="1148"/>
      <c r="N502" s="1148"/>
    </row>
    <row r="503" customFormat="false" ht="15.5" hidden="false" customHeight="false" outlineLevel="0" collapsed="false">
      <c r="A503" s="1148"/>
      <c r="B503" s="1148"/>
      <c r="C503" s="1148"/>
      <c r="D503" s="1148"/>
      <c r="E503" s="1148"/>
      <c r="F503" s="1148"/>
      <c r="G503" s="1148"/>
      <c r="H503" s="1148"/>
      <c r="I503" s="1148"/>
      <c r="J503" s="1148"/>
      <c r="K503" s="1148"/>
      <c r="L503" s="1148"/>
      <c r="M503" s="1148"/>
      <c r="N503" s="1148"/>
    </row>
    <row r="504" customFormat="false" ht="15.5" hidden="false" customHeight="false" outlineLevel="0" collapsed="false">
      <c r="A504" s="1148"/>
      <c r="B504" s="1148"/>
      <c r="C504" s="1148"/>
      <c r="D504" s="1148"/>
      <c r="E504" s="1148"/>
      <c r="F504" s="1148"/>
      <c r="G504" s="1148"/>
      <c r="H504" s="1148"/>
      <c r="I504" s="1148"/>
      <c r="J504" s="1148"/>
      <c r="K504" s="1148"/>
      <c r="L504" s="1148"/>
      <c r="M504" s="1148"/>
      <c r="N504" s="1148"/>
    </row>
    <row r="505" customFormat="false" ht="15.5" hidden="false" customHeight="false" outlineLevel="0" collapsed="false">
      <c r="A505" s="1148"/>
      <c r="B505" s="1148"/>
      <c r="C505" s="1148"/>
      <c r="D505" s="1148"/>
      <c r="E505" s="1148"/>
      <c r="F505" s="1148"/>
      <c r="G505" s="1148"/>
      <c r="H505" s="1148"/>
      <c r="I505" s="1148"/>
      <c r="J505" s="1148"/>
      <c r="K505" s="1148"/>
      <c r="L505" s="1148"/>
      <c r="M505" s="1148"/>
      <c r="N505" s="1148"/>
    </row>
    <row r="506" customFormat="false" ht="15.5" hidden="false" customHeight="false" outlineLevel="0" collapsed="false">
      <c r="A506" s="1148"/>
      <c r="B506" s="1148"/>
      <c r="C506" s="1148"/>
      <c r="D506" s="1148"/>
      <c r="E506" s="1148"/>
      <c r="F506" s="1148"/>
      <c r="G506" s="1148"/>
      <c r="H506" s="1148"/>
      <c r="I506" s="1148"/>
      <c r="J506" s="1148"/>
      <c r="K506" s="1148"/>
      <c r="L506" s="1148"/>
      <c r="M506" s="1148"/>
      <c r="N506" s="1148"/>
    </row>
    <row r="507" customFormat="false" ht="15.5" hidden="false" customHeight="false" outlineLevel="0" collapsed="false">
      <c r="A507" s="1148"/>
      <c r="B507" s="1148"/>
      <c r="C507" s="1148"/>
      <c r="D507" s="1148"/>
      <c r="E507" s="1148"/>
      <c r="F507" s="1148"/>
      <c r="G507" s="1148"/>
      <c r="H507" s="1148"/>
      <c r="I507" s="1148"/>
      <c r="J507" s="1148"/>
      <c r="K507" s="1148"/>
      <c r="L507" s="1148"/>
      <c r="M507" s="1148"/>
      <c r="N507" s="1148"/>
    </row>
    <row r="508" customFormat="false" ht="15.5" hidden="false" customHeight="false" outlineLevel="0" collapsed="false">
      <c r="A508" s="1148"/>
      <c r="B508" s="1148"/>
      <c r="C508" s="1148"/>
      <c r="D508" s="1148"/>
      <c r="E508" s="1148"/>
      <c r="F508" s="1148"/>
      <c r="G508" s="1148"/>
      <c r="H508" s="1148"/>
      <c r="I508" s="1148"/>
      <c r="J508" s="1148"/>
      <c r="K508" s="1148"/>
      <c r="L508" s="1148"/>
      <c r="M508" s="1148"/>
      <c r="N508" s="1148"/>
    </row>
    <row r="509" customFormat="false" ht="15.5" hidden="false" customHeight="false" outlineLevel="0" collapsed="false">
      <c r="A509" s="1148"/>
      <c r="B509" s="1148"/>
      <c r="C509" s="1148"/>
      <c r="D509" s="1148"/>
      <c r="E509" s="1148"/>
      <c r="F509" s="1148"/>
      <c r="G509" s="1148"/>
      <c r="H509" s="1148"/>
      <c r="I509" s="1148"/>
      <c r="J509" s="1148"/>
      <c r="K509" s="1148"/>
      <c r="L509" s="1148"/>
      <c r="M509" s="1148"/>
      <c r="N509" s="1148"/>
    </row>
    <row r="510" customFormat="false" ht="15.5" hidden="false" customHeight="false" outlineLevel="0" collapsed="false">
      <c r="A510" s="1148"/>
      <c r="B510" s="1148"/>
      <c r="C510" s="1148"/>
      <c r="D510" s="1148"/>
      <c r="E510" s="1148"/>
      <c r="F510" s="1148"/>
      <c r="G510" s="1148"/>
      <c r="H510" s="1148"/>
      <c r="I510" s="1148"/>
      <c r="J510" s="1148"/>
      <c r="K510" s="1148"/>
      <c r="L510" s="1148"/>
      <c r="M510" s="1148"/>
      <c r="N510" s="1148"/>
    </row>
    <row r="511" customFormat="false" ht="15.5" hidden="false" customHeight="false" outlineLevel="0" collapsed="false">
      <c r="A511" s="1148"/>
      <c r="B511" s="1148"/>
      <c r="C511" s="1148"/>
      <c r="D511" s="1148"/>
      <c r="E511" s="1148"/>
      <c r="F511" s="1148"/>
      <c r="G511" s="1148"/>
      <c r="H511" s="1148"/>
      <c r="I511" s="1148"/>
      <c r="J511" s="1148"/>
      <c r="K511" s="1148"/>
      <c r="L511" s="1148"/>
      <c r="M511" s="1148"/>
      <c r="N511" s="1148"/>
    </row>
    <row r="512" customFormat="false" ht="15.5" hidden="false" customHeight="false" outlineLevel="0" collapsed="false">
      <c r="A512" s="1148"/>
      <c r="B512" s="1148"/>
      <c r="C512" s="1148"/>
      <c r="D512" s="1148"/>
      <c r="E512" s="1148"/>
      <c r="F512" s="1148"/>
      <c r="G512" s="1148"/>
      <c r="H512" s="1148"/>
      <c r="I512" s="1148"/>
      <c r="J512" s="1148"/>
      <c r="K512" s="1148"/>
      <c r="L512" s="1148"/>
      <c r="M512" s="1148"/>
      <c r="N512" s="1148"/>
    </row>
    <row r="513" customFormat="false" ht="15.5" hidden="false" customHeight="false" outlineLevel="0" collapsed="false">
      <c r="A513" s="1148"/>
      <c r="B513" s="1148"/>
      <c r="C513" s="1148"/>
      <c r="D513" s="1148"/>
      <c r="E513" s="1148"/>
      <c r="F513" s="1148"/>
      <c r="G513" s="1148"/>
      <c r="H513" s="1148"/>
      <c r="I513" s="1148"/>
      <c r="J513" s="1148"/>
      <c r="K513" s="1148"/>
      <c r="L513" s="1148"/>
      <c r="M513" s="1148"/>
      <c r="N513" s="1148"/>
    </row>
    <row r="514" customFormat="false" ht="15.5" hidden="false" customHeight="false" outlineLevel="0" collapsed="false">
      <c r="A514" s="2160"/>
      <c r="B514" s="1148"/>
      <c r="C514" s="2149"/>
      <c r="D514" s="2149"/>
      <c r="E514" s="1148"/>
      <c r="F514" s="2149"/>
      <c r="G514" s="2149"/>
      <c r="H514" s="1148"/>
      <c r="I514" s="1148"/>
      <c r="J514" s="1148"/>
      <c r="K514" s="1148"/>
      <c r="L514" s="1148"/>
      <c r="M514" s="1148"/>
      <c r="N514" s="1148"/>
    </row>
    <row r="515" customFormat="false" ht="15.5" hidden="false" customHeight="false" outlineLevel="0" collapsed="false">
      <c r="A515" s="2160"/>
      <c r="B515" s="1148"/>
      <c r="C515" s="2149"/>
      <c r="D515" s="2149"/>
      <c r="E515" s="1148"/>
      <c r="F515" s="2149"/>
      <c r="G515" s="2149"/>
      <c r="H515" s="1148"/>
      <c r="I515" s="1148"/>
      <c r="J515" s="1148"/>
      <c r="K515" s="1148"/>
      <c r="L515" s="1148"/>
      <c r="M515" s="1148"/>
      <c r="N515" s="1148"/>
    </row>
    <row r="516" customFormat="false" ht="15.5" hidden="false" customHeight="false" outlineLevel="0" collapsed="false">
      <c r="A516" s="2160"/>
      <c r="B516" s="1148"/>
      <c r="C516" s="2149"/>
      <c r="D516" s="2149"/>
      <c r="E516" s="1148"/>
      <c r="F516" s="2149"/>
      <c r="G516" s="2149"/>
      <c r="H516" s="1148"/>
      <c r="I516" s="1148"/>
      <c r="J516" s="1148"/>
      <c r="K516" s="1148"/>
      <c r="L516" s="1148"/>
      <c r="M516" s="1148"/>
      <c r="N516" s="1148"/>
    </row>
    <row r="517" customFormat="false" ht="15.5" hidden="false" customHeight="false" outlineLevel="0" collapsed="false">
      <c r="A517" s="2160"/>
      <c r="B517" s="1148"/>
      <c r="C517" s="2149"/>
      <c r="D517" s="2149"/>
      <c r="E517" s="1148"/>
      <c r="F517" s="2149"/>
      <c r="G517" s="2149"/>
      <c r="H517" s="1148"/>
      <c r="I517" s="1148"/>
      <c r="J517" s="1148"/>
      <c r="K517" s="1148"/>
      <c r="L517" s="1148"/>
      <c r="M517" s="1148"/>
      <c r="N517" s="1148"/>
    </row>
    <row r="518" customFormat="false" ht="15.5" hidden="false" customHeight="false" outlineLevel="0" collapsed="false">
      <c r="A518" s="2160"/>
      <c r="B518" s="1148"/>
      <c r="C518" s="2149"/>
      <c r="D518" s="2149"/>
      <c r="E518" s="1148"/>
      <c r="F518" s="2149"/>
      <c r="G518" s="2149"/>
      <c r="H518" s="1148"/>
      <c r="I518" s="1148"/>
      <c r="J518" s="1148"/>
      <c r="K518" s="1148"/>
      <c r="L518" s="1148"/>
      <c r="M518" s="1148"/>
      <c r="N518" s="1148"/>
    </row>
    <row r="519" customFormat="false" ht="15.5" hidden="false" customHeight="false" outlineLevel="0" collapsed="false">
      <c r="A519" s="2160"/>
      <c r="B519" s="1148"/>
      <c r="C519" s="2149"/>
      <c r="D519" s="2149"/>
      <c r="E519" s="1148"/>
      <c r="F519" s="2149"/>
      <c r="G519" s="2149"/>
      <c r="H519" s="1148"/>
      <c r="I519" s="1148"/>
      <c r="J519" s="1148"/>
      <c r="K519" s="1148"/>
      <c r="L519" s="1148"/>
      <c r="M519" s="1148"/>
      <c r="N519" s="1148"/>
    </row>
    <row r="520" customFormat="false" ht="15.5" hidden="false" customHeight="false" outlineLevel="0" collapsed="false">
      <c r="A520" s="2160"/>
      <c r="B520" s="1148"/>
      <c r="C520" s="2149"/>
      <c r="D520" s="2149"/>
      <c r="E520" s="1148"/>
      <c r="F520" s="2149"/>
      <c r="G520" s="2149"/>
      <c r="H520" s="1148"/>
      <c r="I520" s="1148"/>
      <c r="J520" s="1148"/>
      <c r="K520" s="1148"/>
      <c r="L520" s="1148"/>
      <c r="M520" s="1148"/>
      <c r="N520" s="1148"/>
    </row>
    <row r="521" customFormat="false" ht="15.5" hidden="false" customHeight="false" outlineLevel="0" collapsed="false">
      <c r="A521" s="2160"/>
      <c r="B521" s="1148"/>
      <c r="C521" s="2149"/>
      <c r="D521" s="2149"/>
      <c r="E521" s="1148"/>
      <c r="F521" s="2149"/>
      <c r="G521" s="2149"/>
      <c r="H521" s="1148"/>
      <c r="I521" s="1148"/>
      <c r="J521" s="1148"/>
      <c r="K521" s="1148"/>
      <c r="L521" s="1148"/>
      <c r="M521" s="1148"/>
      <c r="N521" s="1148"/>
    </row>
    <row r="522" customFormat="false" ht="15.5" hidden="false" customHeight="false" outlineLevel="0" collapsed="false">
      <c r="A522" s="2160"/>
      <c r="B522" s="1148"/>
      <c r="C522" s="2149"/>
      <c r="D522" s="2149"/>
      <c r="E522" s="1148"/>
      <c r="F522" s="2149"/>
      <c r="G522" s="2149"/>
      <c r="H522" s="1148"/>
      <c r="I522" s="1148"/>
      <c r="J522" s="1148"/>
      <c r="K522" s="1148"/>
      <c r="L522" s="1148"/>
      <c r="M522" s="1148"/>
      <c r="N522" s="1148"/>
    </row>
    <row r="523" customFormat="false" ht="15.5" hidden="false" customHeight="false" outlineLevel="0" collapsed="false">
      <c r="A523" s="2160"/>
      <c r="B523" s="1148"/>
      <c r="C523" s="2149"/>
      <c r="D523" s="2149"/>
      <c r="E523" s="1148"/>
      <c r="F523" s="2149"/>
      <c r="G523" s="2149"/>
      <c r="H523" s="1148"/>
      <c r="I523" s="1148"/>
      <c r="J523" s="1148"/>
      <c r="K523" s="1148"/>
      <c r="L523" s="1148"/>
      <c r="M523" s="1148"/>
      <c r="N523" s="1148"/>
    </row>
    <row r="524" customFormat="false" ht="15.5" hidden="false" customHeight="false" outlineLevel="0" collapsed="false">
      <c r="A524" s="2160"/>
      <c r="B524" s="1148"/>
      <c r="C524" s="2149"/>
      <c r="D524" s="2149"/>
      <c r="E524" s="1148"/>
      <c r="F524" s="2149"/>
      <c r="G524" s="2149"/>
      <c r="H524" s="1148"/>
      <c r="I524" s="1148"/>
      <c r="J524" s="1148"/>
      <c r="K524" s="1148"/>
      <c r="L524" s="1148"/>
      <c r="M524" s="1148"/>
      <c r="N524" s="1148"/>
    </row>
    <row r="525" customFormat="false" ht="15.5" hidden="false" customHeight="false" outlineLevel="0" collapsed="false">
      <c r="A525" s="2160"/>
      <c r="B525" s="1148"/>
      <c r="C525" s="2149"/>
      <c r="D525" s="2149"/>
      <c r="E525" s="1148"/>
      <c r="F525" s="2149"/>
      <c r="G525" s="2149"/>
      <c r="H525" s="1148"/>
      <c r="I525" s="1148"/>
      <c r="J525" s="1148"/>
      <c r="K525" s="1148"/>
      <c r="L525" s="1148"/>
      <c r="M525" s="1148"/>
      <c r="N525" s="1148"/>
    </row>
    <row r="526" customFormat="false" ht="15.5" hidden="false" customHeight="false" outlineLevel="0" collapsed="false">
      <c r="A526" s="2160"/>
      <c r="B526" s="1148"/>
      <c r="C526" s="2149"/>
      <c r="D526" s="2149"/>
      <c r="E526" s="1148"/>
      <c r="F526" s="2149"/>
      <c r="G526" s="2149"/>
      <c r="H526" s="1148"/>
      <c r="I526" s="1148"/>
      <c r="J526" s="1148"/>
      <c r="K526" s="1148"/>
      <c r="L526" s="1148"/>
      <c r="M526" s="1148"/>
      <c r="N526" s="1148"/>
    </row>
    <row r="527" customFormat="false" ht="15.5" hidden="false" customHeight="false" outlineLevel="0" collapsed="false">
      <c r="A527" s="2160"/>
      <c r="B527" s="1148"/>
      <c r="C527" s="2149"/>
      <c r="D527" s="2149"/>
      <c r="E527" s="1148"/>
      <c r="F527" s="2149"/>
      <c r="G527" s="2149"/>
      <c r="H527" s="1148"/>
      <c r="I527" s="1148"/>
      <c r="J527" s="1148"/>
      <c r="K527" s="1148"/>
      <c r="L527" s="1148"/>
      <c r="M527" s="1148"/>
      <c r="N527" s="1148"/>
    </row>
    <row r="528" customFormat="false" ht="15.5" hidden="false" customHeight="false" outlineLevel="0" collapsed="false">
      <c r="A528" s="2160"/>
      <c r="B528" s="1148"/>
      <c r="C528" s="2149"/>
      <c r="D528" s="2149"/>
      <c r="E528" s="1148"/>
      <c r="F528" s="2149"/>
      <c r="G528" s="2149"/>
      <c r="H528" s="1148"/>
      <c r="I528" s="1148"/>
      <c r="J528" s="1148"/>
      <c r="K528" s="1148"/>
      <c r="L528" s="1148"/>
      <c r="M528" s="1148"/>
      <c r="N528" s="1148"/>
    </row>
    <row r="529" customFormat="false" ht="15.5" hidden="false" customHeight="false" outlineLevel="0" collapsed="false">
      <c r="A529" s="2160"/>
      <c r="B529" s="1148"/>
      <c r="C529" s="2149"/>
      <c r="D529" s="2149"/>
      <c r="E529" s="1148"/>
      <c r="F529" s="2149"/>
      <c r="G529" s="2149"/>
      <c r="H529" s="1148"/>
      <c r="I529" s="1148"/>
      <c r="J529" s="1148"/>
      <c r="K529" s="1148"/>
      <c r="L529" s="1148"/>
      <c r="M529" s="1148"/>
      <c r="N529" s="1148"/>
    </row>
    <row r="530" customFormat="false" ht="15.5" hidden="false" customHeight="false" outlineLevel="0" collapsed="false">
      <c r="A530" s="2160"/>
      <c r="B530" s="1148"/>
      <c r="C530" s="2149"/>
      <c r="D530" s="2149"/>
      <c r="E530" s="1148"/>
      <c r="F530" s="2149"/>
      <c r="G530" s="2149"/>
      <c r="H530" s="1148"/>
      <c r="I530" s="1148"/>
      <c r="J530" s="1148"/>
      <c r="K530" s="1148"/>
      <c r="L530" s="1148"/>
      <c r="M530" s="1148"/>
      <c r="N530" s="1148"/>
    </row>
    <row r="531" customFormat="false" ht="15.5" hidden="false" customHeight="false" outlineLevel="0" collapsed="false">
      <c r="A531" s="2160"/>
      <c r="B531" s="1148"/>
      <c r="C531" s="2149"/>
      <c r="D531" s="2149"/>
      <c r="E531" s="1148"/>
      <c r="F531" s="2149"/>
      <c r="G531" s="2149"/>
      <c r="H531" s="1148"/>
      <c r="I531" s="1148"/>
      <c r="J531" s="1148"/>
      <c r="K531" s="1148"/>
      <c r="L531" s="1148"/>
      <c r="M531" s="1148"/>
      <c r="N531" s="1148"/>
    </row>
    <row r="532" customFormat="false" ht="15.5" hidden="false" customHeight="false" outlineLevel="0" collapsed="false">
      <c r="A532" s="2160"/>
      <c r="B532" s="1148"/>
      <c r="C532" s="2149"/>
      <c r="D532" s="2149"/>
      <c r="E532" s="1148"/>
      <c r="F532" s="2149"/>
      <c r="G532" s="2149"/>
      <c r="H532" s="1148"/>
      <c r="I532" s="1148"/>
      <c r="J532" s="1148"/>
      <c r="K532" s="1148"/>
      <c r="L532" s="1148"/>
      <c r="M532" s="1148"/>
      <c r="N532" s="1148"/>
    </row>
    <row r="533" customFormat="false" ht="15.5" hidden="false" customHeight="false" outlineLevel="0" collapsed="false">
      <c r="A533" s="2160"/>
      <c r="B533" s="1148"/>
      <c r="C533" s="2149"/>
      <c r="D533" s="2149"/>
      <c r="E533" s="1148"/>
      <c r="F533" s="2149"/>
      <c r="G533" s="2149"/>
      <c r="H533" s="1148"/>
      <c r="I533" s="1148"/>
      <c r="J533" s="1148"/>
      <c r="K533" s="1148"/>
      <c r="L533" s="1148"/>
      <c r="M533" s="1148"/>
      <c r="N533" s="1148"/>
    </row>
    <row r="534" customFormat="false" ht="15.5" hidden="false" customHeight="false" outlineLevel="0" collapsed="false">
      <c r="A534" s="2160"/>
      <c r="B534" s="1148"/>
      <c r="C534" s="2149"/>
      <c r="D534" s="2149"/>
      <c r="E534" s="1148"/>
      <c r="F534" s="2149"/>
      <c r="G534" s="2149"/>
      <c r="H534" s="1148"/>
      <c r="I534" s="1148"/>
      <c r="J534" s="1148"/>
      <c r="K534" s="1148"/>
      <c r="L534" s="1148"/>
      <c r="M534" s="1148"/>
      <c r="N534" s="1148"/>
    </row>
    <row r="535" customFormat="false" ht="15.5" hidden="false" customHeight="false" outlineLevel="0" collapsed="false">
      <c r="A535" s="2160"/>
      <c r="B535" s="1148"/>
      <c r="C535" s="2149"/>
      <c r="D535" s="2149"/>
      <c r="E535" s="1148"/>
      <c r="F535" s="2149"/>
      <c r="G535" s="2149"/>
      <c r="H535" s="1148"/>
      <c r="I535" s="1148"/>
      <c r="J535" s="1148"/>
      <c r="K535" s="1148"/>
      <c r="L535" s="1148"/>
      <c r="M535" s="1148"/>
      <c r="N535" s="1148"/>
    </row>
    <row r="536" customFormat="false" ht="15.5" hidden="false" customHeight="false" outlineLevel="0" collapsed="false">
      <c r="A536" s="2160"/>
      <c r="B536" s="1148"/>
      <c r="C536" s="2149"/>
      <c r="D536" s="2149"/>
      <c r="E536" s="1148"/>
      <c r="F536" s="2149"/>
      <c r="G536" s="2149"/>
      <c r="H536" s="1148"/>
      <c r="I536" s="1148"/>
      <c r="J536" s="1148"/>
      <c r="K536" s="1148"/>
      <c r="L536" s="1148"/>
      <c r="M536" s="1148"/>
      <c r="N536" s="1148"/>
    </row>
    <row r="537" customFormat="false" ht="15.5" hidden="false" customHeight="false" outlineLevel="0" collapsed="false">
      <c r="A537" s="2160"/>
      <c r="B537" s="1148"/>
      <c r="C537" s="2149"/>
      <c r="D537" s="2149"/>
      <c r="E537" s="1148"/>
      <c r="F537" s="2149"/>
      <c r="G537" s="2149"/>
      <c r="H537" s="1148"/>
      <c r="I537" s="1148"/>
      <c r="J537" s="1148"/>
      <c r="K537" s="1148"/>
      <c r="L537" s="1148"/>
      <c r="M537" s="1148"/>
      <c r="N537" s="1148"/>
    </row>
    <row r="538" customFormat="false" ht="15.5" hidden="false" customHeight="false" outlineLevel="0" collapsed="false">
      <c r="A538" s="2160"/>
      <c r="B538" s="1148"/>
      <c r="C538" s="2149"/>
      <c r="D538" s="2149"/>
      <c r="E538" s="1148"/>
      <c r="F538" s="2149"/>
      <c r="G538" s="2149"/>
      <c r="H538" s="1148"/>
      <c r="I538" s="1148"/>
      <c r="J538" s="1148"/>
      <c r="K538" s="1148"/>
      <c r="L538" s="1148"/>
      <c r="M538" s="1148"/>
      <c r="N538" s="1148"/>
    </row>
    <row r="539" customFormat="false" ht="15.5" hidden="false" customHeight="false" outlineLevel="0" collapsed="false">
      <c r="A539" s="2160"/>
      <c r="B539" s="1148"/>
      <c r="C539" s="2149"/>
      <c r="D539" s="2149"/>
      <c r="E539" s="1148"/>
      <c r="F539" s="2149"/>
      <c r="G539" s="2149"/>
      <c r="H539" s="1148"/>
      <c r="I539" s="1148"/>
      <c r="J539" s="1148"/>
      <c r="K539" s="1148"/>
      <c r="L539" s="1148"/>
      <c r="M539" s="1148"/>
      <c r="N539" s="1148"/>
    </row>
    <row r="540" customFormat="false" ht="15.5" hidden="false" customHeight="false" outlineLevel="0" collapsed="false">
      <c r="A540" s="2160"/>
      <c r="B540" s="1148"/>
      <c r="C540" s="2149"/>
      <c r="D540" s="2149"/>
      <c r="E540" s="1148"/>
      <c r="F540" s="2149"/>
      <c r="G540" s="2149"/>
      <c r="H540" s="1148"/>
      <c r="I540" s="1148"/>
      <c r="J540" s="1148"/>
      <c r="K540" s="1148"/>
      <c r="L540" s="1148"/>
      <c r="M540" s="1148"/>
      <c r="N540" s="1148"/>
    </row>
    <row r="541" customFormat="false" ht="15.5" hidden="false" customHeight="false" outlineLevel="0" collapsed="false">
      <c r="A541" s="2160"/>
      <c r="B541" s="1148"/>
      <c r="C541" s="2149"/>
      <c r="D541" s="2149"/>
      <c r="E541" s="1148"/>
      <c r="F541" s="2149"/>
      <c r="G541" s="2149"/>
      <c r="H541" s="1148"/>
      <c r="I541" s="1148"/>
      <c r="J541" s="1148"/>
      <c r="K541" s="1148"/>
      <c r="L541" s="1148"/>
      <c r="M541" s="1148"/>
      <c r="N541" s="1148"/>
    </row>
    <row r="542" customFormat="false" ht="15.5" hidden="false" customHeight="false" outlineLevel="0" collapsed="false">
      <c r="A542" s="2160"/>
      <c r="B542" s="1148"/>
      <c r="C542" s="2149"/>
      <c r="D542" s="2149"/>
      <c r="E542" s="1148"/>
      <c r="F542" s="2149"/>
      <c r="G542" s="2149"/>
      <c r="H542" s="1148"/>
      <c r="I542" s="1148"/>
      <c r="J542" s="1148"/>
      <c r="K542" s="1148"/>
      <c r="L542" s="1148"/>
      <c r="M542" s="1148"/>
      <c r="N542" s="1148"/>
    </row>
    <row r="543" customFormat="false" ht="15.5" hidden="false" customHeight="false" outlineLevel="0" collapsed="false">
      <c r="A543" s="2160"/>
      <c r="B543" s="1148"/>
      <c r="C543" s="2149"/>
      <c r="D543" s="2149"/>
      <c r="E543" s="1148"/>
      <c r="F543" s="2149"/>
      <c r="G543" s="2149"/>
      <c r="H543" s="1148"/>
      <c r="I543" s="1148"/>
      <c r="J543" s="1148"/>
      <c r="K543" s="1148"/>
      <c r="L543" s="1148"/>
      <c r="M543" s="1148"/>
      <c r="N543" s="1148"/>
    </row>
    <row r="544" customFormat="false" ht="15.5" hidden="false" customHeight="false" outlineLevel="0" collapsed="false">
      <c r="A544" s="2160"/>
      <c r="B544" s="1148"/>
      <c r="C544" s="2149"/>
      <c r="D544" s="2149"/>
      <c r="E544" s="1148"/>
      <c r="F544" s="2149"/>
      <c r="G544" s="2149"/>
      <c r="H544" s="1148"/>
      <c r="I544" s="1148"/>
      <c r="J544" s="1148"/>
      <c r="K544" s="1148"/>
      <c r="L544" s="1148"/>
      <c r="M544" s="1148"/>
      <c r="N544" s="1148"/>
    </row>
    <row r="545" customFormat="false" ht="15.5" hidden="false" customHeight="false" outlineLevel="0" collapsed="false">
      <c r="A545" s="2160"/>
      <c r="B545" s="1148"/>
      <c r="C545" s="2149"/>
      <c r="D545" s="2149"/>
      <c r="E545" s="1148"/>
      <c r="F545" s="2149"/>
      <c r="G545" s="2149"/>
      <c r="H545" s="1148"/>
      <c r="I545" s="1148"/>
      <c r="J545" s="1148"/>
      <c r="K545" s="1148"/>
      <c r="L545" s="1148"/>
      <c r="M545" s="1148"/>
      <c r="N545" s="1148"/>
    </row>
    <row r="546" customFormat="false" ht="15.5" hidden="false" customHeight="false" outlineLevel="0" collapsed="false">
      <c r="A546" s="2160"/>
      <c r="B546" s="1148"/>
      <c r="C546" s="2149"/>
      <c r="D546" s="2149"/>
      <c r="E546" s="1148"/>
      <c r="F546" s="2149"/>
      <c r="G546" s="2149"/>
      <c r="H546" s="1148"/>
      <c r="I546" s="1148"/>
      <c r="J546" s="1148"/>
      <c r="K546" s="1148"/>
      <c r="L546" s="1148"/>
      <c r="M546" s="1148"/>
      <c r="N546" s="1148"/>
    </row>
    <row r="547" customFormat="false" ht="15.5" hidden="false" customHeight="false" outlineLevel="0" collapsed="false">
      <c r="A547" s="2160"/>
      <c r="B547" s="1148"/>
      <c r="C547" s="2149"/>
      <c r="D547" s="2149"/>
      <c r="E547" s="1148"/>
      <c r="F547" s="2149"/>
      <c r="G547" s="2149"/>
      <c r="H547" s="1148"/>
      <c r="I547" s="1148"/>
      <c r="J547" s="1148"/>
      <c r="K547" s="1148"/>
      <c r="L547" s="1148"/>
      <c r="M547" s="1148"/>
      <c r="N547" s="1148"/>
    </row>
    <row r="548" customFormat="false" ht="15.5" hidden="false" customHeight="false" outlineLevel="0" collapsed="false">
      <c r="A548" s="2160"/>
      <c r="B548" s="1148"/>
      <c r="C548" s="2149"/>
      <c r="D548" s="2149"/>
      <c r="E548" s="1148"/>
      <c r="F548" s="2149"/>
      <c r="G548" s="2149"/>
      <c r="H548" s="1148"/>
      <c r="I548" s="1148"/>
      <c r="J548" s="1148"/>
      <c r="K548" s="1148"/>
      <c r="L548" s="1148"/>
      <c r="M548" s="1148"/>
      <c r="N548" s="1148"/>
    </row>
    <row r="549" customFormat="false" ht="15.5" hidden="false" customHeight="false" outlineLevel="0" collapsed="false">
      <c r="A549" s="2160"/>
      <c r="B549" s="1148"/>
      <c r="C549" s="2149"/>
      <c r="D549" s="2149"/>
      <c r="E549" s="1148"/>
      <c r="F549" s="2149"/>
      <c r="G549" s="2149"/>
      <c r="H549" s="1148"/>
      <c r="I549" s="1148"/>
      <c r="J549" s="1148"/>
      <c r="K549" s="1148"/>
      <c r="L549" s="1148"/>
      <c r="M549" s="1148"/>
      <c r="N549" s="1148"/>
    </row>
    <row r="550" customFormat="false" ht="15.5" hidden="false" customHeight="false" outlineLevel="0" collapsed="false">
      <c r="A550" s="2160"/>
      <c r="B550" s="1148"/>
      <c r="C550" s="2149"/>
      <c r="D550" s="2149"/>
      <c r="E550" s="1148"/>
      <c r="F550" s="2149"/>
      <c r="G550" s="2149"/>
      <c r="H550" s="1148"/>
      <c r="I550" s="1148"/>
      <c r="J550" s="1148"/>
      <c r="K550" s="1148"/>
      <c r="L550" s="1148"/>
      <c r="M550" s="1148"/>
      <c r="N550" s="1148"/>
    </row>
    <row r="551" customFormat="false" ht="15.5" hidden="false" customHeight="false" outlineLevel="0" collapsed="false">
      <c r="A551" s="2160"/>
      <c r="B551" s="1148"/>
      <c r="C551" s="2149"/>
      <c r="D551" s="2149"/>
      <c r="E551" s="1148"/>
      <c r="F551" s="2149"/>
      <c r="G551" s="2149"/>
      <c r="H551" s="1148"/>
      <c r="I551" s="1148"/>
      <c r="J551" s="1148"/>
      <c r="K551" s="1148"/>
      <c r="L551" s="1148"/>
      <c r="M551" s="1148"/>
      <c r="N551" s="1148"/>
    </row>
    <row r="552" customFormat="false" ht="15.5" hidden="false" customHeight="false" outlineLevel="0" collapsed="false">
      <c r="A552" s="2160"/>
      <c r="B552" s="1148"/>
      <c r="C552" s="2149"/>
      <c r="D552" s="2149"/>
      <c r="E552" s="1148"/>
      <c r="F552" s="2149"/>
      <c r="G552" s="2149"/>
      <c r="H552" s="1148"/>
      <c r="I552" s="1148"/>
      <c r="J552" s="1148"/>
      <c r="K552" s="1148"/>
      <c r="L552" s="1148"/>
      <c r="M552" s="1148"/>
      <c r="N552" s="1148"/>
    </row>
    <row r="553" customFormat="false" ht="15.5" hidden="false" customHeight="false" outlineLevel="0" collapsed="false">
      <c r="A553" s="2160"/>
      <c r="B553" s="1148"/>
      <c r="C553" s="2149"/>
      <c r="D553" s="2149"/>
      <c r="E553" s="1148"/>
      <c r="F553" s="2149"/>
      <c r="G553" s="2149"/>
      <c r="H553" s="1148"/>
      <c r="I553" s="1148"/>
      <c r="J553" s="1148"/>
      <c r="K553" s="1148"/>
      <c r="L553" s="1148"/>
      <c r="M553" s="1148"/>
      <c r="N553" s="1148"/>
    </row>
    <row r="554" customFormat="false" ht="15.5" hidden="false" customHeight="false" outlineLevel="0" collapsed="false">
      <c r="A554" s="2160"/>
      <c r="B554" s="1148"/>
      <c r="C554" s="2149"/>
      <c r="D554" s="2149"/>
      <c r="E554" s="1148"/>
      <c r="F554" s="2149"/>
      <c r="G554" s="2149"/>
      <c r="H554" s="1148"/>
      <c r="I554" s="1148"/>
      <c r="J554" s="1148"/>
      <c r="K554" s="1148"/>
      <c r="L554" s="1148"/>
      <c r="M554" s="1148"/>
      <c r="N554" s="1148"/>
    </row>
    <row r="555" customFormat="false" ht="15.5" hidden="false" customHeight="false" outlineLevel="0" collapsed="false">
      <c r="A555" s="2160"/>
      <c r="B555" s="1148"/>
      <c r="C555" s="2149"/>
      <c r="D555" s="2149"/>
      <c r="E555" s="1148"/>
      <c r="F555" s="2149"/>
      <c r="G555" s="2149"/>
      <c r="H555" s="1148"/>
      <c r="I555" s="1148"/>
      <c r="J555" s="1148"/>
      <c r="K555" s="1148"/>
      <c r="L555" s="1148"/>
      <c r="M555" s="1148"/>
      <c r="N555" s="1148"/>
    </row>
  </sheetData>
  <mergeCells count="240"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F19"/>
    <mergeCell ref="A20:C20"/>
    <mergeCell ref="A21:C21"/>
    <mergeCell ref="A22:C22"/>
    <mergeCell ref="A23:C23"/>
    <mergeCell ref="A24:C24"/>
    <mergeCell ref="A25:F25"/>
    <mergeCell ref="A26:C26"/>
    <mergeCell ref="A27:C27"/>
    <mergeCell ref="A28:C28"/>
    <mergeCell ref="A29:C29"/>
    <mergeCell ref="A30:F30"/>
    <mergeCell ref="A32:B32"/>
    <mergeCell ref="A33:B36"/>
    <mergeCell ref="A37:B40"/>
    <mergeCell ref="A41:B44"/>
    <mergeCell ref="A45:B48"/>
    <mergeCell ref="A49:B52"/>
    <mergeCell ref="I49:I56"/>
    <mergeCell ref="A53:B56"/>
    <mergeCell ref="A57:B60"/>
    <mergeCell ref="A61:B64"/>
    <mergeCell ref="A65:B65"/>
    <mergeCell ref="A66:B66"/>
    <mergeCell ref="A67:B67"/>
    <mergeCell ref="A68:B68"/>
    <mergeCell ref="A69:B69"/>
    <mergeCell ref="A70:B70"/>
    <mergeCell ref="A71:E71"/>
    <mergeCell ref="A72:B72"/>
    <mergeCell ref="A73:B73"/>
    <mergeCell ref="A76:F76"/>
    <mergeCell ref="A77:C77"/>
    <mergeCell ref="A78:D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96:F96"/>
    <mergeCell ref="A97:C97"/>
    <mergeCell ref="A98:C98"/>
    <mergeCell ref="A99:C99"/>
    <mergeCell ref="A100:D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110:C110"/>
    <mergeCell ref="A111:C112"/>
    <mergeCell ref="A113:C114"/>
    <mergeCell ref="A119:F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30:C130"/>
    <mergeCell ref="A131:C131"/>
    <mergeCell ref="A132:C132"/>
    <mergeCell ref="A133:C133"/>
    <mergeCell ref="A134:C134"/>
    <mergeCell ref="A135:C135"/>
    <mergeCell ref="A136:C137"/>
    <mergeCell ref="A138:C139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9"/>
    <mergeCell ref="A160:B161"/>
    <mergeCell ref="A162:B163"/>
    <mergeCell ref="A164:B165"/>
    <mergeCell ref="A166:E166"/>
    <mergeCell ref="A168:B170"/>
    <mergeCell ref="A171:B172"/>
    <mergeCell ref="A173:B173"/>
    <mergeCell ref="A174:B174"/>
    <mergeCell ref="H182:I182"/>
    <mergeCell ref="H183:I183"/>
    <mergeCell ref="A185:C185"/>
    <mergeCell ref="A186:C187"/>
    <mergeCell ref="A188:C189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7:I197"/>
    <mergeCell ref="A277:D277"/>
    <mergeCell ref="A289:E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2"/>
    <mergeCell ref="A303:B304"/>
    <mergeCell ref="A305:E305"/>
    <mergeCell ref="A306:B306"/>
    <mergeCell ref="A307:B309"/>
    <mergeCell ref="A310:B311"/>
    <mergeCell ref="A312:B312"/>
    <mergeCell ref="A313:B313"/>
    <mergeCell ref="A314:B314"/>
    <mergeCell ref="A316:D316"/>
    <mergeCell ref="A317:B317"/>
    <mergeCell ref="A318:B318"/>
    <mergeCell ref="A319:B319"/>
    <mergeCell ref="A320:B320"/>
    <mergeCell ref="A321:K322"/>
    <mergeCell ref="L321:L322"/>
    <mergeCell ref="A323:F323"/>
    <mergeCell ref="G323:L323"/>
    <mergeCell ref="A329:E329"/>
    <mergeCell ref="G329:K329"/>
    <mergeCell ref="A333:E333"/>
    <mergeCell ref="G333:K333"/>
    <mergeCell ref="A335:I335"/>
    <mergeCell ref="H336:I336"/>
    <mergeCell ref="C338:D338"/>
    <mergeCell ref="G338:H338"/>
    <mergeCell ref="A339:A342"/>
    <mergeCell ref="C339:D339"/>
    <mergeCell ref="G339:H342"/>
    <mergeCell ref="C340:D340"/>
    <mergeCell ref="C341:D341"/>
    <mergeCell ref="C342:D342"/>
    <mergeCell ref="A343:A346"/>
    <mergeCell ref="C343:D343"/>
    <mergeCell ref="G343:H346"/>
    <mergeCell ref="C344:D344"/>
    <mergeCell ref="C345:D345"/>
    <mergeCell ref="C346:D346"/>
    <mergeCell ref="A347:A350"/>
    <mergeCell ref="C347:D347"/>
    <mergeCell ref="G347:H350"/>
    <mergeCell ref="C348:D348"/>
    <mergeCell ref="C349:D349"/>
    <mergeCell ref="C350:D350"/>
    <mergeCell ref="A351:A354"/>
    <mergeCell ref="C351:D351"/>
    <mergeCell ref="G351:H354"/>
    <mergeCell ref="C352:D352"/>
    <mergeCell ref="C353:D353"/>
    <mergeCell ref="C354:D354"/>
    <mergeCell ref="A357:K358"/>
    <mergeCell ref="A359:F360"/>
    <mergeCell ref="G365:H365"/>
    <mergeCell ref="G376:H376"/>
    <mergeCell ref="G377:H377"/>
    <mergeCell ref="G378:H378"/>
    <mergeCell ref="G379:H379"/>
    <mergeCell ref="G380:H380"/>
    <mergeCell ref="G381:H381"/>
    <mergeCell ref="G382:H382"/>
    <mergeCell ref="C390:F390"/>
    <mergeCell ref="A392:K393"/>
    <mergeCell ref="A394:F395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C417:F417"/>
    <mergeCell ref="A419:K420"/>
    <mergeCell ref="G426:H426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39:H439"/>
    <mergeCell ref="C445:F445"/>
    <mergeCell ref="A447:K448"/>
    <mergeCell ref="C484:F484"/>
    <mergeCell ref="A486:K48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AG2547"/>
  <sheetViews>
    <sheetView showFormulas="false" showGridLines="false" showRowColHeaders="true" showZeros="true" rightToLeft="false" tabSelected="false" showOutlineSymbols="true" defaultGridColor="true" view="normal" topLeftCell="A5" colorId="64" zoomScale="60" zoomScaleNormal="60" zoomScalePageLayoutView="100" workbookViewId="0">
      <selection pane="topLeft" activeCell="N5" activeCellId="0" sqref="N5"/>
    </sheetView>
  </sheetViews>
  <sheetFormatPr defaultColWidth="9.19140625" defaultRowHeight="15.5" zeroHeight="false" outlineLevelRow="0" outlineLevelCol="1"/>
  <cols>
    <col collapsed="false" customWidth="true" hidden="false" outlineLevel="0" max="1" min="1" style="878" width="0.73"/>
    <col collapsed="false" customWidth="true" hidden="false" outlineLevel="0" max="2" min="2" style="878" width="51.18"/>
    <col collapsed="false" customWidth="true" hidden="false" outlineLevel="0" max="3" min="3" style="2708" width="9.27"/>
    <col collapsed="false" customWidth="true" hidden="false" outlineLevel="0" max="4" min="4" style="2271" width="10.46"/>
    <col collapsed="false" customWidth="true" hidden="false" outlineLevel="0" max="5" min="5" style="2709" width="14.01"/>
    <col collapsed="false" customWidth="true" hidden="false" outlineLevel="0" max="6" min="6" style="2709" width="17.27"/>
    <col collapsed="false" customWidth="true" hidden="false" outlineLevel="0" max="7" min="7" style="2709" width="13.17"/>
    <col collapsed="false" customWidth="true" hidden="false" outlineLevel="0" max="8" min="8" style="2710" width="15.45"/>
    <col collapsed="false" customWidth="true" hidden="true" outlineLevel="0" max="9" min="9" style="2711" width="10.46"/>
    <col collapsed="false" customWidth="true" hidden="false" outlineLevel="1" max="10" min="10" style="878" width="13.82"/>
    <col collapsed="false" customWidth="true" hidden="false" outlineLevel="1" max="11" min="11" style="878" width="12.83"/>
    <col collapsed="false" customWidth="false" hidden="false" outlineLevel="0" max="33" min="12" style="2712" width="9.18"/>
    <col collapsed="false" customWidth="false" hidden="false" outlineLevel="0" max="1024" min="34" style="878" width="9.18"/>
  </cols>
  <sheetData>
    <row r="1" customFormat="false" ht="15.5" hidden="false" customHeight="false" outlineLevel="0" collapsed="false">
      <c r="A1" s="2712"/>
      <c r="B1" s="2713" t="s">
        <v>4623</v>
      </c>
      <c r="C1" s="2714"/>
      <c r="D1" s="2715"/>
      <c r="E1" s="2716"/>
      <c r="F1" s="2716"/>
      <c r="G1" s="2716"/>
      <c r="H1" s="2717"/>
      <c r="I1" s="2718"/>
      <c r="J1" s="2712"/>
      <c r="K1" s="2719"/>
    </row>
    <row r="2" customFormat="false" ht="15.5" hidden="false" customHeight="false" outlineLevel="0" collapsed="false">
      <c r="A2" s="2712"/>
      <c r="B2" s="2713" t="s">
        <v>4624</v>
      </c>
      <c r="C2" s="2714"/>
      <c r="D2" s="2720" t="s">
        <v>4625</v>
      </c>
      <c r="E2" s="2720"/>
      <c r="F2" s="2720"/>
      <c r="G2" s="2720"/>
      <c r="H2" s="2721" t="n">
        <f aca="false">'Ввод данных'!C12</f>
        <v>10</v>
      </c>
      <c r="I2" s="2718"/>
      <c r="J2" s="2712"/>
      <c r="K2" s="2719"/>
    </row>
    <row r="3" customFormat="false" ht="15.5" hidden="false" customHeight="false" outlineLevel="0" collapsed="false">
      <c r="A3" s="2712"/>
      <c r="B3" s="2713"/>
      <c r="C3" s="2714"/>
      <c r="D3" s="2720" t="s">
        <v>4626</v>
      </c>
      <c r="E3" s="2720"/>
      <c r="F3" s="2720"/>
      <c r="G3" s="2720"/>
      <c r="H3" s="2721" t="n">
        <f aca="false">'Ввод данных'!C11</f>
        <v>10</v>
      </c>
      <c r="I3" s="2718"/>
      <c r="J3" s="2712"/>
      <c r="K3" s="2719"/>
    </row>
    <row r="4" customFormat="false" ht="15.5" hidden="false" customHeight="false" outlineLevel="0" collapsed="false">
      <c r="A4" s="2712"/>
      <c r="B4" s="2713"/>
      <c r="C4" s="2714"/>
      <c r="D4" s="2720" t="s">
        <v>2032</v>
      </c>
      <c r="E4" s="2720"/>
      <c r="F4" s="2720"/>
      <c r="G4" s="2720"/>
      <c r="H4" s="2721" t="n">
        <f aca="false">дома!C15</f>
        <v>1</v>
      </c>
      <c r="I4" s="2718"/>
      <c r="J4" s="2712"/>
      <c r="K4" s="2719"/>
    </row>
    <row r="5" customFormat="false" ht="15.5" hidden="false" customHeight="false" outlineLevel="0" collapsed="false">
      <c r="A5" s="2712"/>
      <c r="B5" s="2713"/>
      <c r="C5" s="2714"/>
      <c r="D5" s="2720" t="s">
        <v>4627</v>
      </c>
      <c r="E5" s="2720"/>
      <c r="F5" s="2720"/>
      <c r="G5" s="2720"/>
      <c r="H5" s="2721" t="n">
        <f aca="false">дома!J108</f>
        <v>100</v>
      </c>
      <c r="I5" s="2718"/>
      <c r="J5" s="2712"/>
      <c r="K5" s="2719"/>
    </row>
    <row r="6" customFormat="false" ht="15.5" hidden="false" customHeight="false" outlineLevel="0" collapsed="false">
      <c r="A6" s="2712"/>
      <c r="B6" s="2713"/>
      <c r="C6" s="2714"/>
      <c r="D6" s="2720" t="s">
        <v>4628</v>
      </c>
      <c r="E6" s="2720"/>
      <c r="F6" s="2720"/>
      <c r="G6" s="2720"/>
      <c r="H6" s="2721" t="n">
        <f aca="false">дома!K108</f>
        <v>100</v>
      </c>
      <c r="I6" s="2718"/>
      <c r="J6" s="2712"/>
      <c r="K6" s="2719"/>
    </row>
    <row r="7" customFormat="false" ht="15.5" hidden="false" customHeight="false" outlineLevel="0" collapsed="false">
      <c r="A7" s="2712"/>
      <c r="B7" s="2712"/>
      <c r="C7" s="2722"/>
      <c r="D7" s="2723"/>
      <c r="E7" s="2724"/>
      <c r="F7" s="2724"/>
      <c r="G7" s="2724"/>
      <c r="H7" s="2725"/>
      <c r="I7" s="2726"/>
      <c r="J7" s="2712"/>
      <c r="K7" s="2719"/>
    </row>
    <row r="8" customFormat="false" ht="15.5" hidden="false" customHeight="false" outlineLevel="0" collapsed="false">
      <c r="A8" s="2712"/>
      <c r="B8" s="2727" t="s">
        <v>4629</v>
      </c>
      <c r="C8" s="2727"/>
      <c r="D8" s="2727"/>
      <c r="E8" s="2727"/>
      <c r="F8" s="2727"/>
      <c r="G8" s="2727"/>
      <c r="H8" s="2727"/>
      <c r="I8" s="2726"/>
      <c r="J8" s="2712"/>
      <c r="K8" s="2719"/>
    </row>
    <row r="9" customFormat="false" ht="15.5" hidden="false" customHeight="false" outlineLevel="0" collapsed="false">
      <c r="A9" s="2727"/>
      <c r="B9" s="2727" t="s">
        <v>4630</v>
      </c>
      <c r="C9" s="2727"/>
      <c r="D9" s="2727"/>
      <c r="E9" s="2727"/>
      <c r="F9" s="2727"/>
      <c r="G9" s="2727"/>
      <c r="H9" s="2727"/>
      <c r="I9" s="2726"/>
      <c r="J9" s="2712"/>
      <c r="K9" s="2719"/>
    </row>
    <row r="10" customFormat="false" ht="15.5" hidden="false" customHeight="false" outlineLevel="0" collapsed="false">
      <c r="A10" s="2727"/>
      <c r="B10" s="2728"/>
      <c r="C10" s="2728"/>
      <c r="D10" s="2729"/>
      <c r="E10" s="2730"/>
      <c r="F10" s="2730"/>
      <c r="G10" s="2730"/>
      <c r="H10" s="2731"/>
      <c r="I10" s="2726"/>
      <c r="J10" s="2732"/>
      <c r="K10" s="2733"/>
    </row>
    <row r="11" customFormat="false" ht="15.5" hidden="false" customHeight="false" outlineLevel="0" collapsed="false">
      <c r="A11" s="2734"/>
      <c r="B11" s="183" t="s">
        <v>4631</v>
      </c>
      <c r="C11" s="183" t="s">
        <v>3593</v>
      </c>
      <c r="D11" s="368" t="s">
        <v>1802</v>
      </c>
      <c r="E11" s="786" t="s">
        <v>4632</v>
      </c>
      <c r="F11" s="786" t="s">
        <v>4633</v>
      </c>
      <c r="G11" s="786" t="s">
        <v>4634</v>
      </c>
      <c r="H11" s="245" t="s">
        <v>4635</v>
      </c>
      <c r="I11" s="2735"/>
      <c r="J11" s="6" t="s">
        <v>4636</v>
      </c>
      <c r="K11" s="6"/>
      <c r="L11" s="2736"/>
    </row>
    <row r="12" customFormat="false" ht="21" hidden="false" customHeight="false" outlineLevel="0" collapsed="false">
      <c r="A12" s="2712"/>
      <c r="B12" s="2737" t="s">
        <v>4637</v>
      </c>
      <c r="C12" s="2737"/>
      <c r="D12" s="2737"/>
      <c r="E12" s="2737"/>
      <c r="F12" s="2737"/>
      <c r="G12" s="2737"/>
      <c r="H12" s="2738" t="n">
        <f aca="false">VLOOKUP('Ввод данных'!F890,связи1!A2:B3,2,0)*фундамент!D562</f>
        <v>0</v>
      </c>
      <c r="I12" s="2739" t="n">
        <f aca="false">H12</f>
        <v>0</v>
      </c>
      <c r="J12" s="296"/>
      <c r="K12" s="296"/>
      <c r="L12" s="2736"/>
    </row>
    <row r="13" customFormat="false" ht="15.5" hidden="false" customHeight="false" outlineLevel="0" collapsed="false">
      <c r="A13" s="2740"/>
      <c r="B13" s="2741" t="s">
        <v>2720</v>
      </c>
      <c r="C13" s="2741"/>
      <c r="D13" s="2741"/>
      <c r="E13" s="2741"/>
      <c r="F13" s="2741"/>
      <c r="G13" s="2741"/>
      <c r="H13" s="2742" t="n">
        <f aca="false">H12</f>
        <v>0</v>
      </c>
      <c r="I13" s="2743" t="n">
        <f aca="false">H13</f>
        <v>0</v>
      </c>
      <c r="J13" s="2744" t="s">
        <v>4638</v>
      </c>
      <c r="K13" s="114" t="s">
        <v>4639</v>
      </c>
      <c r="L13" s="2736"/>
    </row>
    <row r="14" customFormat="false" ht="15.5" hidden="false" customHeight="false" outlineLevel="0" collapsed="false">
      <c r="A14" s="2745"/>
      <c r="B14" s="122" t="str">
        <f aca="false">фундамент!A597</f>
        <v>Сосна влаж,150*40мм</v>
      </c>
      <c r="C14" s="88" t="str">
        <f aca="false">фундамент!B597</f>
        <v>м3</v>
      </c>
      <c r="D14" s="122" t="n">
        <f aca="false">фундамент!C597</f>
        <v>0</v>
      </c>
      <c r="E14" s="122" t="n">
        <f aca="false">фундамент!D597</f>
        <v>6500</v>
      </c>
      <c r="F14" s="2746" t="n">
        <v>8000</v>
      </c>
      <c r="G14" s="122" t="n">
        <f aca="false">IF(F14&gt;0,D14*F14,E14*D14)</f>
        <v>0</v>
      </c>
      <c r="H14" s="2210" t="n">
        <f aca="false">D14*E14*H12</f>
        <v>0</v>
      </c>
      <c r="I14" s="2747" t="n">
        <f aca="false">IF(G14&gt;H14,G14,H14)*$H$12</f>
        <v>0</v>
      </c>
      <c r="J14" s="2744"/>
      <c r="K14" s="226" t="n">
        <f aca="false">D14-J14</f>
        <v>0</v>
      </c>
      <c r="L14" s="2736"/>
    </row>
    <row r="15" customFormat="false" ht="15.5" hidden="false" customHeight="false" outlineLevel="0" collapsed="false">
      <c r="A15" s="2745"/>
      <c r="B15" s="122" t="str">
        <f aca="false">фундамент!A598</f>
        <v>Пленка гидроизоляционная</v>
      </c>
      <c r="C15" s="88" t="str">
        <f aca="false">фундамент!B598</f>
        <v>м2</v>
      </c>
      <c r="D15" s="122" t="n">
        <f aca="false">фундамент!C598</f>
        <v>0</v>
      </c>
      <c r="E15" s="122" t="n">
        <f aca="false">фундамент!D598</f>
        <v>15</v>
      </c>
      <c r="F15" s="2182"/>
      <c r="G15" s="122" t="n">
        <f aca="false">IF(F15&gt;0,D15*F15,E15*D15)</f>
        <v>0</v>
      </c>
      <c r="H15" s="2210" t="n">
        <f aca="false">D15*E15*H12</f>
        <v>0</v>
      </c>
      <c r="I15" s="2747" t="n">
        <f aca="false">IF(G15&gt;H15,G15,H15)*$H$12</f>
        <v>0</v>
      </c>
      <c r="J15" s="2744"/>
      <c r="K15" s="226" t="n">
        <f aca="false">D15-J15</f>
        <v>0</v>
      </c>
      <c r="L15" s="2736"/>
    </row>
    <row r="16" customFormat="false" ht="15.5" hidden="false" customHeight="false" outlineLevel="0" collapsed="false">
      <c r="A16" s="2745"/>
      <c r="B16" s="122" t="str">
        <f aca="false">фундамент!A599</f>
        <v>Гидроизол</v>
      </c>
      <c r="C16" s="88" t="str">
        <f aca="false">фундамент!B599</f>
        <v>м2</v>
      </c>
      <c r="D16" s="122" t="n">
        <f aca="false">фундамент!C599</f>
        <v>0</v>
      </c>
      <c r="E16" s="122" t="n">
        <f aca="false">фундамент!D599</f>
        <v>70</v>
      </c>
      <c r="F16" s="2182"/>
      <c r="G16" s="122" t="n">
        <f aca="false">IF(F16&gt;0,D16*F16,E16*D16)</f>
        <v>0</v>
      </c>
      <c r="H16" s="2210" t="n">
        <f aca="false">D16*E16*H12</f>
        <v>0</v>
      </c>
      <c r="I16" s="2747" t="n">
        <f aca="false">IF(G16&gt;H16,G16,H16)*$H$12</f>
        <v>0</v>
      </c>
      <c r="J16" s="2744"/>
      <c r="K16" s="226" t="n">
        <f aca="false">D16-J16</f>
        <v>0</v>
      </c>
      <c r="L16" s="2736"/>
    </row>
    <row r="17" customFormat="false" ht="15.5" hidden="false" customHeight="false" outlineLevel="0" collapsed="false">
      <c r="A17" s="2745"/>
      <c r="B17" s="122" t="str">
        <f aca="false">фундамент!A600</f>
        <v>Арматура стальная Ø 12</v>
      </c>
      <c r="C17" s="88" t="str">
        <f aca="false">фундамент!B600</f>
        <v>м.п</v>
      </c>
      <c r="D17" s="122" t="n">
        <f aca="false">фундамент!C600</f>
        <v>0</v>
      </c>
      <c r="E17" s="122" t="n">
        <f aca="false">фундамент!D600</f>
        <v>29.2152</v>
      </c>
      <c r="F17" s="2182"/>
      <c r="G17" s="122" t="n">
        <f aca="false">IF(F17&gt;0,D17*F17,E17*D17)</f>
        <v>0</v>
      </c>
      <c r="H17" s="2209" t="n">
        <f aca="false">D17*E17*H12</f>
        <v>0</v>
      </c>
      <c r="I17" s="2747" t="n">
        <f aca="false">IF(G17&gt;H17,G17,H17)*$H$12</f>
        <v>0</v>
      </c>
      <c r="J17" s="2744"/>
      <c r="K17" s="226" t="n">
        <f aca="false">D17-J17</f>
        <v>0</v>
      </c>
      <c r="L17" s="2736"/>
    </row>
    <row r="18" customFormat="false" ht="15.5" hidden="false" customHeight="false" outlineLevel="0" collapsed="false">
      <c r="A18" s="2745"/>
      <c r="B18" s="122" t="str">
        <f aca="false">фундамент!A601</f>
        <v>Нет арматуры</v>
      </c>
      <c r="C18" s="88" t="str">
        <f aca="false">фундамент!B601</f>
        <v>м.п</v>
      </c>
      <c r="D18" s="122" t="n">
        <f aca="false">фундамент!C601</f>
        <v>0</v>
      </c>
      <c r="E18" s="122" t="n">
        <f aca="false">фундамент!D601</f>
        <v>0</v>
      </c>
      <c r="F18" s="2182"/>
      <c r="G18" s="122" t="n">
        <f aca="false">IF(F18&gt;0,D18*F18,E18*D18)</f>
        <v>0</v>
      </c>
      <c r="H18" s="2210" t="n">
        <f aca="false">D18*E18*H12</f>
        <v>0</v>
      </c>
      <c r="I18" s="2747" t="n">
        <f aca="false">IF(G18&gt;H18,G18,H18)*$H$12</f>
        <v>0</v>
      </c>
      <c r="J18" s="2744"/>
      <c r="K18" s="226" t="n">
        <f aca="false">D18-J18</f>
        <v>0</v>
      </c>
      <c r="L18" s="2736"/>
    </row>
    <row r="19" customFormat="false" ht="15.5" hidden="false" customHeight="false" outlineLevel="0" collapsed="false">
      <c r="A19" s="2745"/>
      <c r="B19" s="122" t="str">
        <f aca="false">фундамент!A602</f>
        <v>Вязальная проволока</v>
      </c>
      <c r="C19" s="88" t="str">
        <f aca="false">фундамент!B602</f>
        <v>кг</v>
      </c>
      <c r="D19" s="122" t="n">
        <f aca="false">фундамент!C602</f>
        <v>0</v>
      </c>
      <c r="E19" s="122" t="n">
        <f aca="false">фундамент!D602</f>
        <v>80</v>
      </c>
      <c r="F19" s="2182"/>
      <c r="G19" s="122" t="n">
        <f aca="false">IF(F19&gt;0,D19*F19,E19*D19)</f>
        <v>0</v>
      </c>
      <c r="H19" s="2210" t="n">
        <f aca="false">D19*E19*H12</f>
        <v>0</v>
      </c>
      <c r="I19" s="2747" t="n">
        <f aca="false">IF(G19&gt;H19,G19,H19)*$H$12</f>
        <v>0</v>
      </c>
      <c r="J19" s="2744"/>
      <c r="K19" s="226" t="n">
        <f aca="false">D19-J19</f>
        <v>0</v>
      </c>
      <c r="L19" s="2736"/>
    </row>
    <row r="20" customFormat="false" ht="15.5" hidden="false" customHeight="false" outlineLevel="0" collapsed="false">
      <c r="A20" s="2745"/>
      <c r="B20" s="122" t="str">
        <f aca="false">фундамент!A603</f>
        <v>Гвозди строительные 3,5 x 90</v>
      </c>
      <c r="C20" s="88" t="str">
        <f aca="false">фундамент!B603</f>
        <v>кг</v>
      </c>
      <c r="D20" s="122" t="n">
        <f aca="false">фундамент!C603</f>
        <v>0</v>
      </c>
      <c r="E20" s="122" t="n">
        <f aca="false">фундамент!D603</f>
        <v>70</v>
      </c>
      <c r="F20" s="2182"/>
      <c r="G20" s="122" t="n">
        <f aca="false">IF(F20&gt;0,D20*F20,E20*D20)</f>
        <v>0</v>
      </c>
      <c r="H20" s="2210" t="n">
        <f aca="false">D20*E20*H12</f>
        <v>0</v>
      </c>
      <c r="I20" s="2747" t="n">
        <f aca="false">IF(G20&gt;H20,G20,H20)*$H$12</f>
        <v>0</v>
      </c>
      <c r="J20" s="2744"/>
      <c r="K20" s="226" t="n">
        <f aca="false">D20-J20</f>
        <v>0</v>
      </c>
      <c r="L20" s="2736"/>
    </row>
    <row r="21" customFormat="false" ht="15.5" hidden="false" customHeight="false" outlineLevel="0" collapsed="false">
      <c r="A21" s="2745"/>
      <c r="B21" s="122" t="str">
        <f aca="false">фундамент!A604</f>
        <v>ПГС, машина 13м3</v>
      </c>
      <c r="C21" s="88" t="str">
        <f aca="false">фундамент!B604</f>
        <v>маш</v>
      </c>
      <c r="D21" s="122" t="n">
        <f aca="false">фундамент!C604</f>
        <v>0</v>
      </c>
      <c r="E21" s="122" t="n">
        <f aca="false">фундамент!D604</f>
        <v>10000</v>
      </c>
      <c r="F21" s="2182"/>
      <c r="G21" s="122" t="n">
        <f aca="false">IF(F21&gt;0,D21*F21,E21*D21)</f>
        <v>0</v>
      </c>
      <c r="H21" s="2210" t="n">
        <f aca="false">D21*E21*H12</f>
        <v>0</v>
      </c>
      <c r="I21" s="2747" t="n">
        <f aca="false">IF(G21&gt;H21,G21,H21)*$H$12</f>
        <v>0</v>
      </c>
      <c r="J21" s="2744"/>
      <c r="K21" s="226" t="n">
        <f aca="false">D21-J21</f>
        <v>0</v>
      </c>
      <c r="L21" s="2736"/>
    </row>
    <row r="22" customFormat="false" ht="15.5" hidden="false" customHeight="false" outlineLevel="0" collapsed="false">
      <c r="A22" s="2745"/>
      <c r="B22" s="122" t="str">
        <f aca="false">фундамент!A605</f>
        <v>Бетон, м200</v>
      </c>
      <c r="C22" s="88" t="str">
        <f aca="false">фундамент!B605</f>
        <v>м3</v>
      </c>
      <c r="D22" s="122" t="n">
        <f aca="false">фундамент!C605</f>
        <v>0</v>
      </c>
      <c r="E22" s="122" t="n">
        <f aca="false">фундамент!D605</f>
        <v>2500</v>
      </c>
      <c r="F22" s="2182"/>
      <c r="G22" s="122" t="n">
        <f aca="false">IF(F22&gt;0,D22*F22,E22*D22)</f>
        <v>0</v>
      </c>
      <c r="H22" s="2210" t="n">
        <f aca="false">D22*E22*H12</f>
        <v>0</v>
      </c>
      <c r="I22" s="2747" t="n">
        <f aca="false">IF(G22&gt;H22,G22,H22)*$H$12</f>
        <v>0</v>
      </c>
      <c r="J22" s="2744"/>
      <c r="K22" s="226" t="n">
        <f aca="false">D22-J22</f>
        <v>0</v>
      </c>
      <c r="L22" s="2736"/>
    </row>
    <row r="23" customFormat="false" ht="15.5" hidden="false" customHeight="false" outlineLevel="0" collapsed="false">
      <c r="A23" s="2745"/>
      <c r="B23" s="2748" t="s">
        <v>4640</v>
      </c>
      <c r="C23" s="2748"/>
      <c r="D23" s="2748"/>
      <c r="E23" s="2748"/>
      <c r="F23" s="2749"/>
      <c r="G23" s="85" t="n">
        <f aca="false">SUM(G14:G22)*H12</f>
        <v>0</v>
      </c>
      <c r="H23" s="85" t="n">
        <f aca="false">SUM(H14:H22)</f>
        <v>0</v>
      </c>
      <c r="I23" s="2747" t="n">
        <f aca="false">IF(G23&gt;H23,G23,H23)*$H$12</f>
        <v>0</v>
      </c>
      <c r="J23" s="2744"/>
      <c r="K23" s="226" t="n">
        <f aca="false">D23-J23</f>
        <v>0</v>
      </c>
      <c r="L23" s="2736"/>
    </row>
    <row r="24" customFormat="false" ht="15.5" hidden="false" customHeight="false" outlineLevel="0" collapsed="false">
      <c r="A24" s="2745"/>
      <c r="B24" s="2750" t="s">
        <v>1409</v>
      </c>
      <c r="C24" s="2750"/>
      <c r="D24" s="2750"/>
      <c r="E24" s="2750"/>
      <c r="F24" s="2750"/>
      <c r="G24" s="905"/>
      <c r="H24" s="2742" t="n">
        <f aca="false">H12</f>
        <v>0</v>
      </c>
      <c r="I24" s="2751" t="n">
        <f aca="false">H24</f>
        <v>0</v>
      </c>
      <c r="J24" s="2752"/>
      <c r="K24" s="2753"/>
    </row>
    <row r="25" customFormat="false" ht="15.5" hidden="false" customHeight="false" outlineLevel="0" collapsed="false">
      <c r="A25" s="2754"/>
      <c r="B25" s="87" t="str">
        <f aca="false">фундамент!G597</f>
        <v>сборка опалубки</v>
      </c>
      <c r="C25" s="88" t="str">
        <f aca="false">фундамент!I597</f>
        <v>м2</v>
      </c>
      <c r="D25" s="122" t="n">
        <f aca="false">фундамент!J597</f>
        <v>0</v>
      </c>
      <c r="E25" s="88" t="n">
        <f aca="false">фундамент!K597</f>
        <v>300</v>
      </c>
      <c r="F25" s="88"/>
      <c r="G25" s="122" t="n">
        <f aca="false">IF(F25&gt;0,D25*F25,E25*D25)</f>
        <v>0</v>
      </c>
      <c r="H25" s="2210" t="n">
        <f aca="false">D25*E25*H12</f>
        <v>0</v>
      </c>
      <c r="I25" s="2747" t="n">
        <f aca="false">IF(G25&gt;H25,G25,H25)*$H$24</f>
        <v>0</v>
      </c>
      <c r="J25" s="2736"/>
      <c r="K25" s="2719"/>
    </row>
    <row r="26" customFormat="false" ht="15.5" hidden="false" customHeight="false" outlineLevel="0" collapsed="false">
      <c r="A26" s="2745"/>
      <c r="B26" s="87" t="str">
        <f aca="false">фундамент!G598</f>
        <v>разборка опалубки</v>
      </c>
      <c r="C26" s="88" t="str">
        <f aca="false">фундамент!I598</f>
        <v>м2</v>
      </c>
      <c r="D26" s="122" t="n">
        <f aca="false">фундамент!J598</f>
        <v>0</v>
      </c>
      <c r="E26" s="88" t="n">
        <f aca="false">фундамент!K598</f>
        <v>100</v>
      </c>
      <c r="F26" s="88"/>
      <c r="G26" s="122" t="n">
        <f aca="false">IF(F26&gt;0,D26*F26,E26*D26)</f>
        <v>0</v>
      </c>
      <c r="H26" s="2210" t="n">
        <f aca="false">D26*E26*H12</f>
        <v>0</v>
      </c>
      <c r="I26" s="2747" t="n">
        <f aca="false">IF(G26&gt;H26,G26,H26)*$H$24</f>
        <v>0</v>
      </c>
      <c r="J26" s="2736"/>
      <c r="K26" s="2719"/>
    </row>
    <row r="27" customFormat="false" ht="15.5" hidden="false" customHeight="false" outlineLevel="0" collapsed="false">
      <c r="A27" s="2745"/>
      <c r="B27" s="87" t="str">
        <f aca="false">фундамент!G599</f>
        <v>трамбовка</v>
      </c>
      <c r="C27" s="88" t="str">
        <f aca="false">фундамент!I599</f>
        <v>м2</v>
      </c>
      <c r="D27" s="122" t="n">
        <f aca="false">фундамент!J599</f>
        <v>0</v>
      </c>
      <c r="E27" s="88" t="n">
        <f aca="false">фундамент!K599</f>
        <v>600</v>
      </c>
      <c r="F27" s="88"/>
      <c r="G27" s="122" t="n">
        <f aca="false">IF(F27&gt;0,D27*F27,E27*D27)</f>
        <v>0</v>
      </c>
      <c r="H27" s="2210" t="n">
        <f aca="false">D27*E27*H12</f>
        <v>0</v>
      </c>
      <c r="I27" s="2747" t="n">
        <f aca="false">IF(G27&gt;H27,G27,H27)*$H$24</f>
        <v>0</v>
      </c>
      <c r="J27" s="2736"/>
      <c r="K27" s="2719"/>
    </row>
    <row r="28" customFormat="false" ht="15.5" hidden="false" customHeight="false" outlineLevel="0" collapsed="false">
      <c r="A28" s="2745"/>
      <c r="B28" s="87" t="str">
        <f aca="false">фундамент!G600</f>
        <v>настил пленки</v>
      </c>
      <c r="C28" s="88" t="str">
        <f aca="false">фундамент!I600</f>
        <v>м2</v>
      </c>
      <c r="D28" s="122" t="n">
        <f aca="false">фундамент!J600</f>
        <v>0</v>
      </c>
      <c r="E28" s="88" t="n">
        <f aca="false">фундамент!K600</f>
        <v>10</v>
      </c>
      <c r="F28" s="88"/>
      <c r="G28" s="122" t="n">
        <f aca="false">IF(F28&gt;0,D28*F28,E28*D28)</f>
        <v>0</v>
      </c>
      <c r="H28" s="2210" t="n">
        <f aca="false">D28*E28*H12</f>
        <v>0</v>
      </c>
      <c r="I28" s="2747" t="n">
        <f aca="false">IF(G28&gt;H28,G28,H28)*$H$24</f>
        <v>0</v>
      </c>
      <c r="J28" s="2736"/>
      <c r="K28" s="2719"/>
    </row>
    <row r="29" customFormat="false" ht="15.5" hidden="false" customHeight="false" outlineLevel="0" collapsed="false">
      <c r="A29" s="2745"/>
      <c r="B29" s="87" t="str">
        <f aca="false">фундамент!G601</f>
        <v>армирование</v>
      </c>
      <c r="C29" s="88" t="str">
        <f aca="false">фундамент!I601</f>
        <v>м.п</v>
      </c>
      <c r="D29" s="122" t="n">
        <f aca="false">фундамент!J601</f>
        <v>0</v>
      </c>
      <c r="E29" s="88" t="n">
        <f aca="false">фундамент!K601</f>
        <v>30</v>
      </c>
      <c r="F29" s="88"/>
      <c r="G29" s="122" t="n">
        <f aca="false">IF(F29&gt;0,D29*F29,E29*D29)</f>
        <v>0</v>
      </c>
      <c r="H29" s="2210" t="n">
        <f aca="false">D29*E29*H12</f>
        <v>0</v>
      </c>
      <c r="I29" s="2747" t="n">
        <f aca="false">IF(G29&gt;H29,G29,H29)*$H$24</f>
        <v>0</v>
      </c>
      <c r="J29" s="2736"/>
      <c r="K29" s="2719"/>
    </row>
    <row r="30" customFormat="false" ht="15.5" hidden="false" customHeight="false" outlineLevel="0" collapsed="false">
      <c r="A30" s="2745"/>
      <c r="B30" s="87" t="str">
        <f aca="false">фундамент!G602</f>
        <v>армирование</v>
      </c>
      <c r="C30" s="88" t="str">
        <f aca="false">фундамент!I602</f>
        <v>м.п.</v>
      </c>
      <c r="D30" s="122" t="n">
        <f aca="false">фундамент!J602</f>
        <v>0</v>
      </c>
      <c r="E30" s="88" t="n">
        <f aca="false">фундамент!K602</f>
        <v>30</v>
      </c>
      <c r="F30" s="88"/>
      <c r="G30" s="122" t="n">
        <f aca="false">IF(F30&gt;0,D30*F30,E30*D30)</f>
        <v>0</v>
      </c>
      <c r="H30" s="2210" t="n">
        <f aca="false">D30*E30*H12</f>
        <v>0</v>
      </c>
      <c r="I30" s="2747" t="n">
        <f aca="false">IF(G30&gt;H30,G30,H30)*$H$24</f>
        <v>0</v>
      </c>
      <c r="J30" s="2736"/>
      <c r="K30" s="2719"/>
    </row>
    <row r="31" customFormat="false" ht="15.5" hidden="false" customHeight="false" outlineLevel="0" collapsed="false">
      <c r="A31" s="2745"/>
      <c r="B31" s="87" t="str">
        <f aca="false">фундамент!G603</f>
        <v>настил гидроизола</v>
      </c>
      <c r="C31" s="88" t="str">
        <f aca="false">фундамент!I603</f>
        <v>м2</v>
      </c>
      <c r="D31" s="122" t="n">
        <f aca="false">фундамент!J603</f>
        <v>0</v>
      </c>
      <c r="E31" s="88" t="n">
        <f aca="false">фундамент!K603</f>
        <v>100</v>
      </c>
      <c r="F31" s="88"/>
      <c r="G31" s="122" t="n">
        <f aca="false">IF(F31&gt;0,D31*F31,E31*D31)</f>
        <v>0</v>
      </c>
      <c r="H31" s="2210" t="n">
        <f aca="false">D31*E31*H12</f>
        <v>0</v>
      </c>
      <c r="I31" s="2747" t="n">
        <f aca="false">IF(G31&gt;H31,G31,H31)*$H$24</f>
        <v>0</v>
      </c>
      <c r="J31" s="2736"/>
      <c r="K31" s="2719"/>
    </row>
    <row r="32" customFormat="false" ht="15.5" hidden="false" customHeight="false" outlineLevel="0" collapsed="false">
      <c r="A32" s="2745"/>
      <c r="B32" s="87" t="str">
        <f aca="false">фундамент!G604</f>
        <v>приемка бетона</v>
      </c>
      <c r="C32" s="88" t="str">
        <f aca="false">фундамент!I604</f>
        <v>м3</v>
      </c>
      <c r="D32" s="122" t="n">
        <f aca="false">фундамент!J604</f>
        <v>0</v>
      </c>
      <c r="E32" s="88" t="n">
        <f aca="false">фундамент!K604</f>
        <v>1200</v>
      </c>
      <c r="F32" s="88"/>
      <c r="G32" s="122" t="n">
        <f aca="false">IF(F32&gt;0,D32*F32,E32*D32)</f>
        <v>0</v>
      </c>
      <c r="H32" s="2210" t="n">
        <f aca="false">D32*E32*H12</f>
        <v>0</v>
      </c>
      <c r="I32" s="2747" t="n">
        <f aca="false">IF(G32&gt;H32,G32,H32)*$H$24</f>
        <v>0</v>
      </c>
      <c r="J32" s="2736"/>
      <c r="K32" s="2719"/>
    </row>
    <row r="33" customFormat="false" ht="15.5" hidden="false" customHeight="false" outlineLevel="0" collapsed="false">
      <c r="A33" s="2745"/>
      <c r="B33" s="2748" t="s">
        <v>4641</v>
      </c>
      <c r="C33" s="2748"/>
      <c r="D33" s="2748"/>
      <c r="E33" s="2748"/>
      <c r="F33" s="2748"/>
      <c r="G33" s="2210" t="n">
        <f aca="false">SUM(G25:G32)*H24</f>
        <v>0</v>
      </c>
      <c r="H33" s="2210" t="n">
        <f aca="false">SUM(H25:H32)</f>
        <v>0</v>
      </c>
      <c r="I33" s="2747" t="n">
        <f aca="false">IF(G33&gt;H33,G33,H33)*$H$24</f>
        <v>0</v>
      </c>
      <c r="J33" s="2736"/>
      <c r="K33" s="2719"/>
    </row>
    <row r="34" customFormat="false" ht="21" hidden="false" customHeight="false" outlineLevel="0" collapsed="false">
      <c r="A34" s="2745"/>
      <c r="B34" s="2755" t="s">
        <v>4642</v>
      </c>
      <c r="C34" s="2755"/>
      <c r="D34" s="2755"/>
      <c r="E34" s="2755"/>
      <c r="F34" s="2755"/>
      <c r="G34" s="905"/>
      <c r="H34" s="2756" t="n">
        <f aca="false">фундамент!F514*фундамент!E537</f>
        <v>0</v>
      </c>
      <c r="I34" s="2757" t="n">
        <f aca="false">H34</f>
        <v>0</v>
      </c>
      <c r="J34" s="2712"/>
      <c r="K34" s="2719"/>
    </row>
    <row r="35" customFormat="false" ht="15.5" hidden="false" customHeight="false" outlineLevel="0" collapsed="false">
      <c r="A35" s="2754"/>
      <c r="B35" s="2758" t="s">
        <v>2720</v>
      </c>
      <c r="C35" s="2758"/>
      <c r="D35" s="2758"/>
      <c r="E35" s="2758"/>
      <c r="F35" s="2758"/>
      <c r="G35" s="905"/>
      <c r="H35" s="2759" t="n">
        <f aca="false">H34</f>
        <v>0</v>
      </c>
      <c r="I35" s="2757" t="n">
        <f aca="false">H35</f>
        <v>0</v>
      </c>
      <c r="J35" s="2732"/>
      <c r="K35" s="2733"/>
    </row>
    <row r="36" customFormat="false" ht="15.5" hidden="false" customHeight="false" outlineLevel="0" collapsed="false">
      <c r="A36" s="2754"/>
      <c r="B36" s="122" t="str">
        <f aca="false">фундамент!A613</f>
        <v>Скальник, 1 маш 13м3</v>
      </c>
      <c r="C36" s="88" t="str">
        <f aca="false">фундамент!B613</f>
        <v>маш</v>
      </c>
      <c r="D36" s="122" t="n">
        <f aca="false">фундамент!C613</f>
        <v>0</v>
      </c>
      <c r="E36" s="122" t="n">
        <f aca="false">фундамент!D613</f>
        <v>15000</v>
      </c>
      <c r="F36" s="122"/>
      <c r="G36" s="122" t="n">
        <f aca="false">IF(F36&gt;0,D36*F36,E36*D36)</f>
        <v>0</v>
      </c>
      <c r="H36" s="2210" t="n">
        <f aca="false">D36*E36*$H$34</f>
        <v>0</v>
      </c>
      <c r="I36" s="2747" t="n">
        <f aca="false">IF(G36&gt;H36,G36,H36)*$H$34</f>
        <v>0</v>
      </c>
      <c r="J36" s="2744"/>
      <c r="K36" s="226" t="n">
        <f aca="false">D36-J36</f>
        <v>0</v>
      </c>
      <c r="L36" s="2736"/>
    </row>
    <row r="37" customFormat="false" ht="15.5" hidden="false" customHeight="false" outlineLevel="0" collapsed="false">
      <c r="A37" s="2745"/>
      <c r="B37" s="122" t="str">
        <f aca="false">фундамент!A614</f>
        <v>ПГС, машина 13м3</v>
      </c>
      <c r="C37" s="88" t="str">
        <f aca="false">фундамент!B614</f>
        <v>маш</v>
      </c>
      <c r="D37" s="122" t="n">
        <f aca="false">фундамент!C614</f>
        <v>0</v>
      </c>
      <c r="E37" s="122" t="n">
        <f aca="false">фундамент!D614</f>
        <v>10000</v>
      </c>
      <c r="F37" s="122"/>
      <c r="G37" s="122" t="n">
        <f aca="false">IF(F37&gt;0,D37*F37,E37*D37)</f>
        <v>0</v>
      </c>
      <c r="H37" s="2210" t="n">
        <f aca="false">D37*E37*$H$34</f>
        <v>0</v>
      </c>
      <c r="I37" s="2747" t="n">
        <f aca="false">IF(G37&gt;H37,G37,H37)*$H$34</f>
        <v>0</v>
      </c>
      <c r="J37" s="2744"/>
      <c r="K37" s="226" t="n">
        <f aca="false">D37-J37</f>
        <v>0</v>
      </c>
      <c r="L37" s="2736"/>
    </row>
    <row r="38" customFormat="false" ht="15.5" hidden="false" customHeight="false" outlineLevel="0" collapsed="false">
      <c r="A38" s="2745"/>
      <c r="B38" s="122" t="str">
        <f aca="false">фундамент!A615</f>
        <v>Песок, машина 13м3</v>
      </c>
      <c r="C38" s="88" t="str">
        <f aca="false">фундамент!B615</f>
        <v>маш</v>
      </c>
      <c r="D38" s="122" t="n">
        <f aca="false">фундамент!C615</f>
        <v>0</v>
      </c>
      <c r="E38" s="122" t="n">
        <f aca="false">фундамент!D615</f>
        <v>12000</v>
      </c>
      <c r="F38" s="122"/>
      <c r="G38" s="122" t="n">
        <f aca="false">IF(F38&gt;0,D38*F38,E38*D38)</f>
        <v>0</v>
      </c>
      <c r="H38" s="2210" t="n">
        <f aca="false">D38*E38*$H$34</f>
        <v>0</v>
      </c>
      <c r="I38" s="2747" t="n">
        <f aca="false">IF(G38&gt;H38,G38,H38)*$H$34</f>
        <v>0</v>
      </c>
      <c r="J38" s="2744"/>
      <c r="K38" s="226" t="n">
        <f aca="false">D38-J38</f>
        <v>0</v>
      </c>
      <c r="L38" s="2736"/>
    </row>
    <row r="39" customFormat="false" ht="15.5" hidden="false" customHeight="false" outlineLevel="0" collapsed="false">
      <c r="A39" s="2745"/>
      <c r="B39" s="122" t="str">
        <f aca="false">фундамент!A616</f>
        <v>Геотекстиль</v>
      </c>
      <c r="C39" s="88" t="str">
        <f aca="false">фундамент!B616</f>
        <v>м2</v>
      </c>
      <c r="D39" s="122" t="n">
        <f aca="false">фундамент!C616</f>
        <v>0</v>
      </c>
      <c r="E39" s="122" t="n">
        <f aca="false">фундамент!D616</f>
        <v>100</v>
      </c>
      <c r="F39" s="122"/>
      <c r="G39" s="122" t="n">
        <f aca="false">IF(F39&gt;0,D39*F39,E39*D39)</f>
        <v>0</v>
      </c>
      <c r="H39" s="2210" t="n">
        <f aca="false">D39*E39*$H$34</f>
        <v>0</v>
      </c>
      <c r="I39" s="2747" t="n">
        <f aca="false">IF(G39&gt;H39,G39,H39)*$H$34</f>
        <v>0</v>
      </c>
      <c r="J39" s="2744"/>
      <c r="K39" s="226" t="n">
        <f aca="false">D39-J39</f>
        <v>0</v>
      </c>
      <c r="L39" s="2736"/>
    </row>
    <row r="40" customFormat="false" ht="15.5" hidden="false" customHeight="false" outlineLevel="0" collapsed="false">
      <c r="A40" s="2745"/>
      <c r="B40" s="122" t="str">
        <f aca="false">фундамент!A617</f>
        <v>Плитный,28кг/м3, технониколь, 100мм</v>
      </c>
      <c r="C40" s="88" t="str">
        <f aca="false">фундамент!B617</f>
        <v>м3</v>
      </c>
      <c r="D40" s="122" t="n">
        <f aca="false">фундамент!C617</f>
        <v>0</v>
      </c>
      <c r="E40" s="122" t="n">
        <f aca="false">фундамент!D617</f>
        <v>1700</v>
      </c>
      <c r="F40" s="122"/>
      <c r="G40" s="122" t="n">
        <f aca="false">IF(F40&gt;0,D40*F40,E40*D40)</f>
        <v>0</v>
      </c>
      <c r="H40" s="2210" t="n">
        <f aca="false">D40*E40*$H$34</f>
        <v>0</v>
      </c>
      <c r="I40" s="2747" t="n">
        <f aca="false">IF(G40&gt;H40,G40,H40)*$H$34</f>
        <v>0</v>
      </c>
      <c r="J40" s="2744"/>
      <c r="K40" s="226" t="n">
        <f aca="false">D40-J40</f>
        <v>0</v>
      </c>
      <c r="L40" s="2736"/>
    </row>
    <row r="41" customFormat="false" ht="15.5" hidden="false" customHeight="false" outlineLevel="0" collapsed="false">
      <c r="A41" s="2745"/>
      <c r="B41" s="122" t="str">
        <f aca="false">фундамент!A618</f>
        <v>Пленка гидроизоляционная</v>
      </c>
      <c r="C41" s="88" t="str">
        <f aca="false">фундамент!B618</f>
        <v>м2</v>
      </c>
      <c r="D41" s="122" t="n">
        <f aca="false">фундамент!C618</f>
        <v>0</v>
      </c>
      <c r="E41" s="122" t="n">
        <f aca="false">фундамент!D618</f>
        <v>15</v>
      </c>
      <c r="F41" s="122"/>
      <c r="G41" s="122" t="n">
        <f aca="false">IF(F41&gt;0,D41*F41,E41*D41)</f>
        <v>0</v>
      </c>
      <c r="H41" s="2210" t="n">
        <f aca="false">D41*E41*$H$34</f>
        <v>0</v>
      </c>
      <c r="I41" s="2747" t="n">
        <f aca="false">IF(G41&gt;H41,G41,H41)*$H$34</f>
        <v>0</v>
      </c>
      <c r="J41" s="2744"/>
      <c r="K41" s="226" t="n">
        <f aca="false">D41-J41</f>
        <v>0</v>
      </c>
      <c r="L41" s="2736"/>
    </row>
    <row r="42" customFormat="false" ht="15.5" hidden="false" customHeight="false" outlineLevel="0" collapsed="false">
      <c r="A42" s="2745"/>
      <c r="B42" s="122" t="str">
        <f aca="false">фундамент!A619</f>
        <v>Кладочная сетка, 100*100/150*150/200*200мм</v>
      </c>
      <c r="C42" s="88" t="str">
        <f aca="false">фундамент!B619</f>
        <v>м2</v>
      </c>
      <c r="D42" s="122" t="n">
        <f aca="false">фундамент!C619</f>
        <v>0</v>
      </c>
      <c r="E42" s="122" t="n">
        <f aca="false">фундамент!D619</f>
        <v>70</v>
      </c>
      <c r="F42" s="122"/>
      <c r="G42" s="122" t="n">
        <f aca="false">IF(F42&gt;0,D42*F42,E42*D42)</f>
        <v>0</v>
      </c>
      <c r="H42" s="2210" t="n">
        <f aca="false">D42*E42*$H$34</f>
        <v>0</v>
      </c>
      <c r="I42" s="2747" t="n">
        <f aca="false">IF(G42&gt;H42,G42,H42)*$H$34</f>
        <v>0</v>
      </c>
      <c r="J42" s="2744"/>
      <c r="K42" s="226" t="n">
        <f aca="false">D42-J42</f>
        <v>0</v>
      </c>
      <c r="L42" s="2736"/>
    </row>
    <row r="43" customFormat="false" ht="15.5" hidden="false" customHeight="false" outlineLevel="0" collapsed="false">
      <c r="A43" s="2745"/>
      <c r="B43" s="122" t="str">
        <f aca="false">фундамент!A620</f>
        <v>Стяжки пластиковые</v>
      </c>
      <c r="C43" s="88" t="str">
        <f aca="false">фундамент!B620</f>
        <v>шт</v>
      </c>
      <c r="D43" s="122" t="n">
        <f aca="false">фундамент!C620</f>
        <v>0</v>
      </c>
      <c r="E43" s="122" t="n">
        <f aca="false">фундамент!D620</f>
        <v>2</v>
      </c>
      <c r="F43" s="122"/>
      <c r="G43" s="122" t="n">
        <f aca="false">IF(F43&gt;0,D43*F43,E43*D43)</f>
        <v>0</v>
      </c>
      <c r="H43" s="2210" t="n">
        <f aca="false">D43*E43*$H$34</f>
        <v>0</v>
      </c>
      <c r="I43" s="2747" t="n">
        <f aca="false">IF(G43&gt;H43,G43,H43)*$H$34</f>
        <v>0</v>
      </c>
      <c r="J43" s="2744"/>
      <c r="K43" s="226" t="n">
        <f aca="false">D43-J43</f>
        <v>0</v>
      </c>
      <c r="L43" s="2736"/>
    </row>
    <row r="44" customFormat="false" ht="15.5" hidden="false" customHeight="false" outlineLevel="0" collapsed="false">
      <c r="A44" s="2745"/>
      <c r="B44" s="122" t="str">
        <f aca="false">фундамент!A621</f>
        <v>Стяжки пластиковые</v>
      </c>
      <c r="C44" s="88" t="str">
        <f aca="false">фундамент!B621</f>
        <v>шт</v>
      </c>
      <c r="D44" s="122" t="n">
        <f aca="false">фундамент!C621</f>
        <v>0</v>
      </c>
      <c r="E44" s="122" t="n">
        <f aca="false">фундамент!D621</f>
        <v>2</v>
      </c>
      <c r="F44" s="122"/>
      <c r="G44" s="122" t="n">
        <f aca="false">IF(F44&gt;0,D44*F44,E44*D44)</f>
        <v>0</v>
      </c>
      <c r="H44" s="2210" t="n">
        <f aca="false">D44*E44*$H$34</f>
        <v>0</v>
      </c>
      <c r="I44" s="2747" t="n">
        <f aca="false">IF(G44&gt;H44,G44,H44)*$H$34</f>
        <v>0</v>
      </c>
      <c r="J44" s="2744"/>
      <c r="K44" s="226" t="n">
        <f aca="false">D44-J44</f>
        <v>0</v>
      </c>
      <c r="L44" s="2736"/>
    </row>
    <row r="45" customFormat="false" ht="15.5" hidden="false" customHeight="false" outlineLevel="0" collapsed="false">
      <c r="A45" s="2745"/>
      <c r="B45" s="122" t="str">
        <f aca="false">фундамент!A622</f>
        <v>Труба теплого пола 3</v>
      </c>
      <c r="C45" s="88" t="str">
        <f aca="false">фундамент!B622</f>
        <v>м.п</v>
      </c>
      <c r="D45" s="122" t="n">
        <f aca="false">фундамент!C622</f>
        <v>0</v>
      </c>
      <c r="E45" s="122" t="n">
        <f aca="false">фундамент!D622</f>
        <v>60</v>
      </c>
      <c r="F45" s="122"/>
      <c r="G45" s="122" t="n">
        <f aca="false">IF(F45&gt;0,D45*F45,E45*D45)</f>
        <v>0</v>
      </c>
      <c r="H45" s="2210" t="n">
        <f aca="false">D45*E45*$H$34</f>
        <v>0</v>
      </c>
      <c r="I45" s="2747" t="n">
        <f aca="false">IF(G45&gt;H45,G45,H45)*$H$34</f>
        <v>0</v>
      </c>
      <c r="J45" s="2744"/>
      <c r="K45" s="226" t="n">
        <f aca="false">D45-J45</f>
        <v>0</v>
      </c>
      <c r="L45" s="2736"/>
    </row>
    <row r="46" customFormat="false" ht="15.5" hidden="false" customHeight="false" outlineLevel="0" collapsed="false">
      <c r="A46" s="2745"/>
      <c r="B46" s="122" t="str">
        <f aca="false">фундамент!A623</f>
        <v>Коллектор 6</v>
      </c>
      <c r="C46" s="88" t="str">
        <f aca="false">фундамент!B623</f>
        <v>шт</v>
      </c>
      <c r="D46" s="122" t="n">
        <f aca="false">фундамент!C623</f>
        <v>0</v>
      </c>
      <c r="E46" s="122" t="n">
        <f aca="false">фундамент!D623</f>
        <v>15000</v>
      </c>
      <c r="F46" s="122"/>
      <c r="G46" s="122" t="n">
        <f aca="false">IF(F46&gt;0,D46*F46,E46*D46)</f>
        <v>0</v>
      </c>
      <c r="H46" s="2210" t="n">
        <f aca="false">D46*E46*$H$34</f>
        <v>0</v>
      </c>
      <c r="I46" s="2747" t="n">
        <f aca="false">IF(G46&gt;H46,G46,H46)*$H$34</f>
        <v>0</v>
      </c>
      <c r="J46" s="2744"/>
      <c r="K46" s="226" t="n">
        <f aca="false">D46-J46</f>
        <v>0</v>
      </c>
      <c r="L46" s="2736"/>
    </row>
    <row r="47" customFormat="false" ht="15.5" hidden="false" customHeight="false" outlineLevel="0" collapsed="false">
      <c r="A47" s="2745"/>
      <c r="B47" s="122" t="str">
        <f aca="false">фундамент!A624</f>
        <v>Арматура стальная Ø 10 </v>
      </c>
      <c r="C47" s="88" t="str">
        <f aca="false">фундамент!B624</f>
        <v>м.п.</v>
      </c>
      <c r="D47" s="122" t="n">
        <f aca="false">фундамент!C624</f>
        <v>0</v>
      </c>
      <c r="E47" s="122" t="n">
        <f aca="false">фундамент!D624</f>
        <v>21.0397</v>
      </c>
      <c r="F47" s="122"/>
      <c r="G47" s="122" t="n">
        <f aca="false">IF(F47&gt;0,D47*F47,E47*D47)</f>
        <v>0</v>
      </c>
      <c r="H47" s="2210" t="n">
        <f aca="false">D47*E47*$H$34</f>
        <v>0</v>
      </c>
      <c r="I47" s="2747" t="n">
        <f aca="false">IF(G47&gt;H47,G47,H47)*$H$34</f>
        <v>0</v>
      </c>
      <c r="J47" s="2744"/>
      <c r="K47" s="226" t="n">
        <f aca="false">D47-J47</f>
        <v>0</v>
      </c>
      <c r="L47" s="2736"/>
    </row>
    <row r="48" customFormat="false" ht="15.5" hidden="false" customHeight="false" outlineLevel="0" collapsed="false">
      <c r="A48" s="2745"/>
      <c r="B48" s="122" t="str">
        <f aca="false">фундамент!A625</f>
        <v>Вязальная проволока</v>
      </c>
      <c r="C48" s="88" t="str">
        <f aca="false">фундамент!B625</f>
        <v>кг</v>
      </c>
      <c r="D48" s="122" t="n">
        <f aca="false">фундамент!C625</f>
        <v>0</v>
      </c>
      <c r="E48" s="122" t="n">
        <f aca="false">фундамент!D625</f>
        <v>80</v>
      </c>
      <c r="F48" s="122"/>
      <c r="G48" s="122" t="n">
        <f aca="false">IF(F48&gt;0,D48*F48,E48*D48)</f>
        <v>0</v>
      </c>
      <c r="H48" s="2210" t="n">
        <f aca="false">D48*E48*$H$34</f>
        <v>0</v>
      </c>
      <c r="I48" s="2747" t="n">
        <f aca="false">IF(G48&gt;H48,G48,H48)*$H$34</f>
        <v>0</v>
      </c>
      <c r="J48" s="2744"/>
      <c r="K48" s="226" t="n">
        <f aca="false">D48-J48</f>
        <v>0</v>
      </c>
      <c r="L48" s="2736"/>
    </row>
    <row r="49" customFormat="false" ht="15.5" hidden="false" customHeight="false" outlineLevel="0" collapsed="false">
      <c r="A49" s="2745"/>
      <c r="B49" s="122" t="str">
        <f aca="false">фундамент!A626</f>
        <v>Подставка под арматурный каркас</v>
      </c>
      <c r="C49" s="88" t="str">
        <f aca="false">фундамент!B626</f>
        <v>шт</v>
      </c>
      <c r="D49" s="122" t="n">
        <f aca="false">фундамент!C626</f>
        <v>0</v>
      </c>
      <c r="E49" s="122" t="n">
        <f aca="false">фундамент!D626</f>
        <v>5</v>
      </c>
      <c r="F49" s="122"/>
      <c r="G49" s="122" t="n">
        <f aca="false">IF(F49&gt;0,D49*F49,E49*D49)</f>
        <v>0</v>
      </c>
      <c r="H49" s="2210" t="n">
        <f aca="false">D49*E49*$H$34</f>
        <v>0</v>
      </c>
      <c r="I49" s="2747" t="n">
        <f aca="false">IF(G49&gt;H49,G49,H49)*$H$34</f>
        <v>0</v>
      </c>
      <c r="J49" s="2744"/>
      <c r="K49" s="226" t="n">
        <f aca="false">D49-J49</f>
        <v>0</v>
      </c>
      <c r="L49" s="2736"/>
    </row>
    <row r="50" customFormat="false" ht="15.5" hidden="false" customHeight="false" outlineLevel="0" collapsed="false">
      <c r="A50" s="2745"/>
      <c r="B50" s="122" t="str">
        <f aca="false">фундамент!A627</f>
        <v>труба дренажная d90 с перфорацией, в фильтре</v>
      </c>
      <c r="C50" s="88" t="str">
        <f aca="false">фундамент!B627</f>
        <v>шт</v>
      </c>
      <c r="D50" s="122" t="n">
        <f aca="false">фундамент!C627</f>
        <v>0</v>
      </c>
      <c r="E50" s="122" t="n">
        <f aca="false">фундамент!D627</f>
        <v>95</v>
      </c>
      <c r="F50" s="122"/>
      <c r="G50" s="122" t="n">
        <f aca="false">IF(F50&gt;0,D50*F50,E50*D50)</f>
        <v>0</v>
      </c>
      <c r="H50" s="2210" t="n">
        <f aca="false">D50*E50*$H$34</f>
        <v>0</v>
      </c>
      <c r="I50" s="2747" t="n">
        <f aca="false">IF(G50&gt;H50,G50,H50)*$H$34</f>
        <v>0</v>
      </c>
      <c r="J50" s="2744"/>
      <c r="K50" s="226" t="n">
        <f aca="false">D50-J50</f>
        <v>0</v>
      </c>
      <c r="L50" s="2736"/>
    </row>
    <row r="51" customFormat="false" ht="15.5" hidden="false" customHeight="false" outlineLevel="0" collapsed="false">
      <c r="A51" s="2745"/>
      <c r="B51" s="122" t="str">
        <f aca="false">фундамент!A628</f>
        <v>Дренажный колодец D400</v>
      </c>
      <c r="C51" s="88" t="str">
        <f aca="false">фундамент!B628</f>
        <v>шт</v>
      </c>
      <c r="D51" s="122" t="n">
        <f aca="false">фундамент!C628</f>
        <v>0</v>
      </c>
      <c r="E51" s="122" t="n">
        <f aca="false">фундамент!D628</f>
        <v>2500</v>
      </c>
      <c r="F51" s="122"/>
      <c r="G51" s="122" t="n">
        <f aca="false">IF(F51&gt;0,D51*F51,E51*D51)</f>
        <v>0</v>
      </c>
      <c r="H51" s="2210" t="n">
        <f aca="false">D51*E51*$H$34</f>
        <v>0</v>
      </c>
      <c r="I51" s="2747" t="n">
        <f aca="false">IF(G51&gt;H51,G51,H51)*$H$34</f>
        <v>0</v>
      </c>
      <c r="J51" s="2744"/>
      <c r="K51" s="226" t="n">
        <f aca="false">D51-J51</f>
        <v>0</v>
      </c>
      <c r="L51" s="2736"/>
    </row>
    <row r="52" customFormat="false" ht="15.5" hidden="false" customHeight="false" outlineLevel="0" collapsed="false">
      <c r="A52" s="2745"/>
      <c r="B52" s="122" t="str">
        <f aca="false">фундамент!A629</f>
        <v>Демпферная лента</v>
      </c>
      <c r="C52" s="88" t="str">
        <f aca="false">фундамент!B629</f>
        <v>м.п.</v>
      </c>
      <c r="D52" s="122" t="n">
        <f aca="false">фундамент!C629</f>
        <v>0</v>
      </c>
      <c r="E52" s="122" t="n">
        <f aca="false">фундамент!D629</f>
        <v>50</v>
      </c>
      <c r="F52" s="122"/>
      <c r="G52" s="122" t="n">
        <f aca="false">IF(F52&gt;0,D52*F52,E52*D52)</f>
        <v>0</v>
      </c>
      <c r="H52" s="2210" t="n">
        <f aca="false">D52*E52*$H$34</f>
        <v>0</v>
      </c>
      <c r="I52" s="2747" t="n">
        <f aca="false">IF(G52&gt;H52,G52,H52)*$H$34</f>
        <v>0</v>
      </c>
      <c r="J52" s="2744"/>
      <c r="K52" s="226" t="n">
        <f aca="false">D52-J52</f>
        <v>0</v>
      </c>
      <c r="L52" s="2736"/>
    </row>
    <row r="53" customFormat="false" ht="15.5" hidden="false" customHeight="false" outlineLevel="0" collapsed="false">
      <c r="A53" s="2745"/>
      <c r="B53" s="122" t="str">
        <f aca="false">фундамент!A630</f>
        <v>Бетон, м350</v>
      </c>
      <c r="C53" s="88" t="str">
        <f aca="false">фундамент!B630</f>
        <v>м3</v>
      </c>
      <c r="D53" s="122" t="n">
        <f aca="false">фундамент!C630</f>
        <v>0</v>
      </c>
      <c r="E53" s="122" t="n">
        <f aca="false">фундамент!D630</f>
        <v>3500</v>
      </c>
      <c r="F53" s="122"/>
      <c r="G53" s="122" t="n">
        <f aca="false">IF(F53&gt;0,D53*F53,E53*D53)</f>
        <v>0</v>
      </c>
      <c r="H53" s="2210" t="n">
        <f aca="false">D53*E53*$H$34</f>
        <v>0</v>
      </c>
      <c r="I53" s="2747" t="n">
        <f aca="false">IF(G53&gt;H53,G53,H53)*$H$34</f>
        <v>0</v>
      </c>
      <c r="J53" s="2744"/>
      <c r="K53" s="226" t="n">
        <f aca="false">D53-J53</f>
        <v>0</v>
      </c>
      <c r="L53" s="2736"/>
    </row>
    <row r="54" customFormat="false" ht="15.5" hidden="false" customHeight="false" outlineLevel="0" collapsed="false">
      <c r="A54" s="2745"/>
      <c r="B54" s="2748" t="s">
        <v>4640</v>
      </c>
      <c r="C54" s="2748"/>
      <c r="D54" s="2748"/>
      <c r="E54" s="2748"/>
      <c r="F54" s="2748"/>
      <c r="G54" s="85" t="n">
        <f aca="false">SUM(G36:G53)*H34</f>
        <v>0</v>
      </c>
      <c r="H54" s="85" t="n">
        <f aca="false">SUM(H36:H53)</f>
        <v>0</v>
      </c>
      <c r="I54" s="2747" t="n">
        <f aca="false">IF(G54&gt;H54,G54,H54)*$H$34</f>
        <v>0</v>
      </c>
      <c r="J54" s="2744"/>
      <c r="K54" s="226" t="n">
        <f aca="false">D54-J54</f>
        <v>0</v>
      </c>
      <c r="L54" s="2736"/>
    </row>
    <row r="55" customFormat="false" ht="15.5" hidden="false" customHeight="false" outlineLevel="0" collapsed="false">
      <c r="A55" s="2745"/>
      <c r="B55" s="2750" t="s">
        <v>1409</v>
      </c>
      <c r="C55" s="2750"/>
      <c r="D55" s="2750"/>
      <c r="E55" s="2750"/>
      <c r="F55" s="2750"/>
      <c r="G55" s="905"/>
      <c r="H55" s="2742" t="n">
        <f aca="false">H34</f>
        <v>0</v>
      </c>
      <c r="I55" s="2757" t="n">
        <f aca="false">H55</f>
        <v>0</v>
      </c>
      <c r="J55" s="2752"/>
      <c r="K55" s="2753"/>
    </row>
    <row r="56" customFormat="false" ht="15.5" hidden="false" customHeight="false" outlineLevel="0" collapsed="false">
      <c r="A56" s="2754"/>
      <c r="B56" s="87" t="str">
        <f aca="false">фундамент!G613</f>
        <v>трамбовка скальник</v>
      </c>
      <c r="C56" s="88" t="str">
        <f aca="false">фундамент!I613</f>
        <v>м2</v>
      </c>
      <c r="D56" s="122" t="n">
        <f aca="false">фундамент!J613</f>
        <v>0</v>
      </c>
      <c r="E56" s="89" t="n">
        <f aca="false">фундамент!K613</f>
        <v>400</v>
      </c>
      <c r="F56" s="89"/>
      <c r="G56" s="122" t="n">
        <f aca="false">IF(F56&gt;0,D56*F56,E56*D56)</f>
        <v>0</v>
      </c>
      <c r="H56" s="2210" t="n">
        <f aca="false">D56*E56*$H$34</f>
        <v>0</v>
      </c>
      <c r="I56" s="2747" t="n">
        <f aca="false">IF(G56&gt;H56,G56,H56)*$H$55</f>
        <v>0</v>
      </c>
      <c r="J56" s="2736"/>
      <c r="K56" s="2719"/>
    </row>
    <row r="57" customFormat="false" ht="15.5" hidden="false" customHeight="false" outlineLevel="0" collapsed="false">
      <c r="A57" s="2745"/>
      <c r="B57" s="87" t="str">
        <f aca="false">фундамент!G614</f>
        <v>трамбовка пгс</v>
      </c>
      <c r="C57" s="88" t="str">
        <f aca="false">фундамент!I614</f>
        <v>м2</v>
      </c>
      <c r="D57" s="122" t="n">
        <f aca="false">фундамент!J614</f>
        <v>0</v>
      </c>
      <c r="E57" s="89" t="n">
        <f aca="false">фундамент!K614</f>
        <v>600</v>
      </c>
      <c r="F57" s="89"/>
      <c r="G57" s="122" t="n">
        <f aca="false">IF(F57&gt;0,D57*F57,E57*D57)</f>
        <v>0</v>
      </c>
      <c r="H57" s="2210" t="n">
        <f aca="false">D57*E57*$H$34</f>
        <v>0</v>
      </c>
      <c r="I57" s="2747" t="n">
        <f aca="false">IF(G57&gt;H57,G57,H57)*$H$55</f>
        <v>0</v>
      </c>
      <c r="J57" s="2736"/>
      <c r="K57" s="2719"/>
    </row>
    <row r="58" customFormat="false" ht="15.5" hidden="false" customHeight="false" outlineLevel="0" collapsed="false">
      <c r="A58" s="2745"/>
      <c r="B58" s="87" t="str">
        <f aca="false">фундамент!G615</f>
        <v>трамбовка песок</v>
      </c>
      <c r="C58" s="88" t="str">
        <f aca="false">фундамент!I615</f>
        <v>м2</v>
      </c>
      <c r="D58" s="122" t="n">
        <f aca="false">фундамент!J615</f>
        <v>0</v>
      </c>
      <c r="E58" s="89" t="n">
        <f aca="false">фундамент!K615</f>
        <v>350</v>
      </c>
      <c r="F58" s="89"/>
      <c r="G58" s="122" t="n">
        <f aca="false">IF(F58&gt;0,D58*F58,E58*D58)</f>
        <v>0</v>
      </c>
      <c r="H58" s="2210" t="n">
        <f aca="false">D58*E58*$H$34</f>
        <v>0</v>
      </c>
      <c r="I58" s="2747" t="n">
        <f aca="false">IF(G58&gt;H58,G58,H58)*$H$55</f>
        <v>0</v>
      </c>
      <c r="J58" s="2736"/>
      <c r="K58" s="2719"/>
    </row>
    <row r="59" customFormat="false" ht="15.5" hidden="false" customHeight="false" outlineLevel="0" collapsed="false">
      <c r="A59" s="2745"/>
      <c r="B59" s="87" t="str">
        <f aca="false">фундамент!G616</f>
        <v>укладка геотекстиля</v>
      </c>
      <c r="C59" s="88" t="str">
        <f aca="false">фундамент!I616</f>
        <v>м2</v>
      </c>
      <c r="D59" s="122" t="n">
        <f aca="false">фундамент!J616</f>
        <v>0</v>
      </c>
      <c r="E59" s="89" t="n">
        <f aca="false">фундамент!K616</f>
        <v>200</v>
      </c>
      <c r="F59" s="89"/>
      <c r="G59" s="122" t="n">
        <f aca="false">IF(F59&gt;0,D59*F59,E59*D59)</f>
        <v>0</v>
      </c>
      <c r="H59" s="2210" t="n">
        <f aca="false">D59*E59*$H$34</f>
        <v>0</v>
      </c>
      <c r="I59" s="2747" t="n">
        <f aca="false">IF(G59&gt;H59,G59,H59)*$H$55</f>
        <v>0</v>
      </c>
      <c r="J59" s="2736"/>
      <c r="K59" s="2719"/>
    </row>
    <row r="60" customFormat="false" ht="15.5" hidden="false" customHeight="false" outlineLevel="0" collapsed="false">
      <c r="A60" s="2745"/>
      <c r="B60" s="87" t="str">
        <f aca="false">фундамент!G617</f>
        <v>укладка карбона</v>
      </c>
      <c r="C60" s="88" t="str">
        <f aca="false">фундамент!I617</f>
        <v>м2</v>
      </c>
      <c r="D60" s="122" t="n">
        <f aca="false">фундамент!J617</f>
        <v>0</v>
      </c>
      <c r="E60" s="89" t="n">
        <f aca="false">фундамент!K617</f>
        <v>200</v>
      </c>
      <c r="F60" s="89"/>
      <c r="G60" s="122" t="n">
        <f aca="false">IF(F60&gt;0,D60*F60,E60*D60)</f>
        <v>0</v>
      </c>
      <c r="H60" s="2210" t="n">
        <f aca="false">D60*E60*$H$34</f>
        <v>0</v>
      </c>
      <c r="I60" s="2747" t="n">
        <f aca="false">IF(G60&gt;H60,G60,H60)*$H$55</f>
        <v>0</v>
      </c>
      <c r="J60" s="2736"/>
      <c r="K60" s="2719"/>
    </row>
    <row r="61" customFormat="false" ht="15.5" hidden="false" customHeight="false" outlineLevel="0" collapsed="false">
      <c r="A61" s="2745"/>
      <c r="B61" s="87" t="str">
        <f aca="false">фундамент!G618</f>
        <v>укладка пленки</v>
      </c>
      <c r="C61" s="88" t="str">
        <f aca="false">фундамент!I618</f>
        <v>м2</v>
      </c>
      <c r="D61" s="122" t="n">
        <f aca="false">фундамент!J618</f>
        <v>0</v>
      </c>
      <c r="E61" s="89" t="n">
        <f aca="false">фундамент!K618</f>
        <v>10</v>
      </c>
      <c r="F61" s="89"/>
      <c r="G61" s="122" t="n">
        <f aca="false">IF(F61&gt;0,D61*F61,E61*D61)</f>
        <v>0</v>
      </c>
      <c r="H61" s="2210" t="n">
        <f aca="false">D61*E61*$H$34</f>
        <v>0</v>
      </c>
      <c r="I61" s="2747" t="n">
        <f aca="false">IF(G61&gt;H61,G61,H61)*$H$55</f>
        <v>0</v>
      </c>
      <c r="J61" s="2736"/>
      <c r="K61" s="2719"/>
    </row>
    <row r="62" customFormat="false" ht="15.5" hidden="false" customHeight="false" outlineLevel="0" collapsed="false">
      <c r="A62" s="2745"/>
      <c r="B62" s="87" t="str">
        <f aca="false">фундамент!G619</f>
        <v>укладка сетки</v>
      </c>
      <c r="C62" s="88" t="str">
        <f aca="false">фундамент!I619</f>
        <v>м2</v>
      </c>
      <c r="D62" s="122" t="n">
        <f aca="false">фундамент!J619</f>
        <v>0</v>
      </c>
      <c r="E62" s="89" t="n">
        <f aca="false">фундамент!K619</f>
        <v>100</v>
      </c>
      <c r="F62" s="89"/>
      <c r="G62" s="122" t="n">
        <f aca="false">IF(F62&gt;0,D62*F62,E62*D62)</f>
        <v>0</v>
      </c>
      <c r="H62" s="2210" t="n">
        <f aca="false">D62*E62*$H$34</f>
        <v>0</v>
      </c>
      <c r="I62" s="2747" t="n">
        <f aca="false">IF(G62&gt;H62,G62,H62)*$H$55</f>
        <v>0</v>
      </c>
      <c r="J62" s="2736"/>
      <c r="K62" s="2719"/>
    </row>
    <row r="63" customFormat="false" ht="15.5" hidden="false" customHeight="false" outlineLevel="0" collapsed="false">
      <c r="A63" s="2745"/>
      <c r="B63" s="87" t="str">
        <f aca="false">фундамент!G620</f>
        <v>укладка теп. Пола</v>
      </c>
      <c r="C63" s="88" t="str">
        <f aca="false">фундамент!I620</f>
        <v>м2</v>
      </c>
      <c r="D63" s="122" t="n">
        <f aca="false">фундамент!J620</f>
        <v>0</v>
      </c>
      <c r="E63" s="89" t="n">
        <f aca="false">фундамент!K620</f>
        <v>600</v>
      </c>
      <c r="F63" s="89"/>
      <c r="G63" s="122" t="n">
        <f aca="false">IF(F63&gt;0,D63*F63,E63*D63)</f>
        <v>0</v>
      </c>
      <c r="H63" s="2210" t="n">
        <f aca="false">D63*E63*$H$34</f>
        <v>0</v>
      </c>
      <c r="I63" s="2747" t="n">
        <f aca="false">IF(G63&gt;H63,G63,H63)*$H$55</f>
        <v>0</v>
      </c>
      <c r="J63" s="2736"/>
      <c r="K63" s="2719"/>
    </row>
    <row r="64" customFormat="false" ht="15.5" hidden="false" customHeight="false" outlineLevel="0" collapsed="false">
      <c r="A64" s="2745"/>
      <c r="B64" s="87" t="str">
        <f aca="false">фундамент!G621</f>
        <v>монтаж коллектора</v>
      </c>
      <c r="C64" s="88" t="str">
        <f aca="false">фундамент!I621</f>
        <v>шт</v>
      </c>
      <c r="D64" s="122" t="n">
        <f aca="false">фундамент!J621</f>
        <v>0</v>
      </c>
      <c r="E64" s="89" t="n">
        <f aca="false">фундамент!K621</f>
        <v>1000</v>
      </c>
      <c r="F64" s="89"/>
      <c r="G64" s="122" t="n">
        <f aca="false">IF(F64&gt;0,D64*F64,E64*D64)</f>
        <v>0</v>
      </c>
      <c r="H64" s="2210" t="n">
        <f aca="false">D64*E64*$H$34</f>
        <v>0</v>
      </c>
      <c r="I64" s="2747" t="n">
        <f aca="false">IF(G64&gt;H64,G64,H64)*$H$55</f>
        <v>0</v>
      </c>
      <c r="J64" s="2736"/>
      <c r="K64" s="2719"/>
    </row>
    <row r="65" customFormat="false" ht="15.5" hidden="false" customHeight="false" outlineLevel="0" collapsed="false">
      <c r="A65" s="2745"/>
      <c r="B65" s="87" t="str">
        <f aca="false">фундамент!G622</f>
        <v>армирование</v>
      </c>
      <c r="C65" s="88" t="str">
        <f aca="false">фундамент!I622</f>
        <v>м2</v>
      </c>
      <c r="D65" s="122" t="n">
        <f aca="false">фундамент!J622</f>
        <v>0</v>
      </c>
      <c r="E65" s="89" t="n">
        <f aca="false">фундамент!K622</f>
        <v>300</v>
      </c>
      <c r="F65" s="89"/>
      <c r="G65" s="122" t="n">
        <f aca="false">IF(F65&gt;0,D65*F65,E65*D65)</f>
        <v>0</v>
      </c>
      <c r="H65" s="2210" t="n">
        <f aca="false">D65*E65*$H$34</f>
        <v>0</v>
      </c>
      <c r="I65" s="2747" t="n">
        <f aca="false">IF(G65&gt;H65,G65,H65)*$H$55</f>
        <v>0</v>
      </c>
      <c r="J65" s="2736"/>
      <c r="K65" s="2719"/>
    </row>
    <row r="66" customFormat="false" ht="15.5" hidden="false" customHeight="false" outlineLevel="0" collapsed="false">
      <c r="A66" s="2745"/>
      <c r="B66" s="87" t="str">
        <f aca="false">фундамент!G623</f>
        <v>монтаж дренажн труб</v>
      </c>
      <c r="C66" s="88" t="str">
        <f aca="false">фундамент!I623</f>
        <v>м.п.</v>
      </c>
      <c r="D66" s="122" t="n">
        <f aca="false">фундамент!J623</f>
        <v>0</v>
      </c>
      <c r="E66" s="89" t="n">
        <f aca="false">фундамент!K623</f>
        <v>200</v>
      </c>
      <c r="F66" s="89"/>
      <c r="G66" s="122" t="n">
        <f aca="false">IF(F66&gt;0,D66*F66,E66*D66)</f>
        <v>0</v>
      </c>
      <c r="H66" s="2210" t="n">
        <f aca="false">D66*E66*$H$34</f>
        <v>0</v>
      </c>
      <c r="I66" s="2747" t="n">
        <f aca="false">IF(G66&gt;H66,G66,H66)*$H$55</f>
        <v>0</v>
      </c>
      <c r="J66" s="2736"/>
      <c r="K66" s="2719"/>
    </row>
    <row r="67" customFormat="false" ht="15.5" hidden="false" customHeight="false" outlineLevel="0" collapsed="false">
      <c r="A67" s="2745"/>
      <c r="B67" s="87" t="str">
        <f aca="false">фундамент!G624</f>
        <v>монтаж дренаж колодец</v>
      </c>
      <c r="C67" s="88" t="str">
        <f aca="false">фундамент!I624</f>
        <v>шт</v>
      </c>
      <c r="D67" s="122" t="n">
        <f aca="false">фундамент!J624</f>
        <v>0</v>
      </c>
      <c r="E67" s="89" t="n">
        <f aca="false">фундамент!K624</f>
        <v>300</v>
      </c>
      <c r="F67" s="89"/>
      <c r="G67" s="122" t="n">
        <f aca="false">IF(F67&gt;0,D67*F67,E67*D67)</f>
        <v>0</v>
      </c>
      <c r="H67" s="2210" t="n">
        <f aca="false">D67*E67*$H$34</f>
        <v>0</v>
      </c>
      <c r="I67" s="2747" t="n">
        <f aca="false">IF(G67&gt;H67,G67,H67)*$H$55</f>
        <v>0</v>
      </c>
      <c r="J67" s="2736"/>
      <c r="K67" s="2719"/>
    </row>
    <row r="68" customFormat="false" ht="15.5" hidden="false" customHeight="false" outlineLevel="0" collapsed="false">
      <c r="A68" s="2745"/>
      <c r="B68" s="87" t="str">
        <f aca="false">фундамент!G625</f>
        <v>приемка бетона на пол</v>
      </c>
      <c r="C68" s="88" t="str">
        <f aca="false">фундамент!I625</f>
        <v>м2</v>
      </c>
      <c r="D68" s="122" t="n">
        <f aca="false">фундамент!J625</f>
        <v>0</v>
      </c>
      <c r="E68" s="89" t="n">
        <f aca="false">фундамент!K625</f>
        <v>350</v>
      </c>
      <c r="F68" s="89"/>
      <c r="G68" s="122" t="n">
        <f aca="false">IF(F68&gt;0,D68*F68,E68*D68)</f>
        <v>0</v>
      </c>
      <c r="H68" s="2210" t="n">
        <f aca="false">D68*E68*$H$34</f>
        <v>0</v>
      </c>
      <c r="I68" s="2747" t="n">
        <f aca="false">IF(G68&gt;H68,G68,H68)*$H$55</f>
        <v>0</v>
      </c>
      <c r="J68" s="2736"/>
      <c r="K68" s="2719"/>
    </row>
    <row r="69" customFormat="false" ht="15.5" hidden="false" customHeight="false" outlineLevel="0" collapsed="false">
      <c r="A69" s="2745"/>
      <c r="B69" s="87" t="str">
        <f aca="false">фундамент!G626</f>
        <v>демпферная лента</v>
      </c>
      <c r="C69" s="88" t="str">
        <f aca="false">фундамент!I626</f>
        <v>м.п.</v>
      </c>
      <c r="D69" s="122" t="n">
        <f aca="false">фундамент!J626</f>
        <v>0</v>
      </c>
      <c r="E69" s="89" t="n">
        <f aca="false">фундамент!K626</f>
        <v>100</v>
      </c>
      <c r="F69" s="89"/>
      <c r="G69" s="122" t="n">
        <f aca="false">IF(F69&gt;0,D69*F69,E69*D69)</f>
        <v>0</v>
      </c>
      <c r="H69" s="2210" t="n">
        <f aca="false">D69*E69*$H$34</f>
        <v>0</v>
      </c>
      <c r="I69" s="2747" t="n">
        <f aca="false">IF(G69&gt;H69,G69,H69)*$H$55</f>
        <v>0</v>
      </c>
      <c r="J69" s="2736"/>
      <c r="K69" s="2719"/>
    </row>
    <row r="70" customFormat="false" ht="15.5" hidden="false" customHeight="false" outlineLevel="0" collapsed="false">
      <c r="A70" s="2745"/>
      <c r="B70" s="2748" t="s">
        <v>4641</v>
      </c>
      <c r="C70" s="2748"/>
      <c r="D70" s="2748"/>
      <c r="E70" s="2748"/>
      <c r="F70" s="2748"/>
      <c r="G70" s="2210" t="n">
        <f aca="false">SUM(G56:G69)*H55</f>
        <v>0</v>
      </c>
      <c r="H70" s="2210" t="n">
        <f aca="false">SUM(H56:H69)</f>
        <v>0</v>
      </c>
      <c r="I70" s="2747" t="n">
        <f aca="false">IF(G70&gt;H70,G70,H70)*$H$55</f>
        <v>0</v>
      </c>
      <c r="J70" s="2736"/>
      <c r="K70" s="2719"/>
    </row>
    <row r="71" customFormat="false" ht="21" hidden="false" customHeight="false" outlineLevel="0" collapsed="false">
      <c r="A71" s="2745"/>
      <c r="B71" s="2755" t="s">
        <v>4643</v>
      </c>
      <c r="C71" s="2755"/>
      <c r="D71" s="2755"/>
      <c r="E71" s="2755"/>
      <c r="F71" s="2755"/>
      <c r="G71" s="905"/>
      <c r="H71" s="2756" t="n">
        <f aca="false">фундамент!F514*фундамент!E517</f>
        <v>0</v>
      </c>
      <c r="I71" s="2757" t="n">
        <f aca="false">H71</f>
        <v>0</v>
      </c>
      <c r="J71" s="2712"/>
      <c r="K71" s="2719"/>
    </row>
    <row r="72" customFormat="false" ht="15.5" hidden="false" customHeight="false" outlineLevel="0" collapsed="false">
      <c r="A72" s="2754"/>
      <c r="B72" s="2758" t="s">
        <v>2720</v>
      </c>
      <c r="C72" s="2758"/>
      <c r="D72" s="2758"/>
      <c r="E72" s="2758"/>
      <c r="F72" s="2760"/>
      <c r="G72" s="905"/>
      <c r="H72" s="2759" t="n">
        <f aca="false">H71</f>
        <v>0</v>
      </c>
      <c r="I72" s="2757" t="n">
        <f aca="false">H72</f>
        <v>0</v>
      </c>
      <c r="J72" s="2732"/>
      <c r="K72" s="2733"/>
    </row>
    <row r="73" customFormat="false" ht="15.5" hidden="false" customHeight="false" outlineLevel="0" collapsed="false">
      <c r="A73" s="2754"/>
      <c r="B73" s="87" t="str">
        <f aca="false">фундамент!A638</f>
        <v>Праймер для обработки</v>
      </c>
      <c r="C73" s="88" t="str">
        <f aca="false">фундамент!B638</f>
        <v>л</v>
      </c>
      <c r="D73" s="122" t="n">
        <f aca="false">фундамент!C638</f>
        <v>0</v>
      </c>
      <c r="E73" s="89" t="n">
        <f aca="false">фундамент!D638</f>
        <v>100</v>
      </c>
      <c r="F73" s="89"/>
      <c r="G73" s="122" t="n">
        <f aca="false">IF(F73&gt;0,D73*F73,E73*D73)</f>
        <v>0</v>
      </c>
      <c r="H73" s="85" t="n">
        <f aca="false">D73*E73*$H$72</f>
        <v>0</v>
      </c>
      <c r="I73" s="2747" t="n">
        <f aca="false">IF(G73&gt;H73,G73,H73)*$H$71</f>
        <v>0</v>
      </c>
      <c r="J73" s="2744"/>
      <c r="K73" s="226" t="n">
        <f aca="false">D73-J73</f>
        <v>0</v>
      </c>
      <c r="L73" s="2736"/>
    </row>
    <row r="74" customFormat="false" ht="15.5" hidden="false" customHeight="false" outlineLevel="0" collapsed="false">
      <c r="A74" s="2745"/>
      <c r="B74" s="87" t="str">
        <f aca="false">фундамент!A639</f>
        <v>Гидроизол</v>
      </c>
      <c r="C74" s="88" t="str">
        <f aca="false">фундамент!B639</f>
        <v>м2</v>
      </c>
      <c r="D74" s="122" t="n">
        <f aca="false">фундамент!C639</f>
        <v>0</v>
      </c>
      <c r="E74" s="89" t="n">
        <f aca="false">фундамент!D639</f>
        <v>70</v>
      </c>
      <c r="F74" s="89"/>
      <c r="G74" s="122" t="n">
        <f aca="false">IF(F74&gt;0,D74*F74,E74*D74)</f>
        <v>0</v>
      </c>
      <c r="H74" s="85" t="n">
        <f aca="false">D74*E74*$H$72</f>
        <v>0</v>
      </c>
      <c r="I74" s="2747" t="n">
        <f aca="false">IF(G74&gt;H74,G74,H74)*$H$71</f>
        <v>0</v>
      </c>
      <c r="J74" s="2744"/>
      <c r="K74" s="226" t="n">
        <f aca="false">D74-J74</f>
        <v>0</v>
      </c>
      <c r="L74" s="2736"/>
    </row>
    <row r="75" customFormat="false" ht="15.5" hidden="false" customHeight="false" outlineLevel="0" collapsed="false">
      <c r="A75" s="2745"/>
      <c r="B75" s="87" t="str">
        <f aca="false">фундамент!A640</f>
        <v>Мастика битумная</v>
      </c>
      <c r="C75" s="88" t="str">
        <f aca="false">фундамент!B640</f>
        <v>кг</v>
      </c>
      <c r="D75" s="122" t="n">
        <f aca="false">фундамент!C640</f>
        <v>0</v>
      </c>
      <c r="E75" s="89" t="n">
        <f aca="false">фундамент!D640</f>
        <v>100</v>
      </c>
      <c r="F75" s="89"/>
      <c r="G75" s="122" t="n">
        <f aca="false">IF(F75&gt;0,D75*F75,E75*D75)</f>
        <v>0</v>
      </c>
      <c r="H75" s="85" t="n">
        <f aca="false">D75*E75*$H$72</f>
        <v>0</v>
      </c>
      <c r="I75" s="2747" t="n">
        <f aca="false">IF(G75&gt;H75,G75,H75)*$H$71</f>
        <v>0</v>
      </c>
      <c r="J75" s="2744"/>
      <c r="K75" s="226" t="n">
        <f aca="false">D75-J75</f>
        <v>0</v>
      </c>
      <c r="L75" s="2736"/>
    </row>
    <row r="76" customFormat="false" ht="15.5" hidden="false" customHeight="false" outlineLevel="0" collapsed="false">
      <c r="A76" s="2745"/>
      <c r="B76" s="87" t="str">
        <f aca="false">фундамент!A641</f>
        <v>Блоки ФБС</v>
      </c>
      <c r="C76" s="88" t="str">
        <f aca="false">фундамент!B641</f>
        <v>м3</v>
      </c>
      <c r="D76" s="122" t="n">
        <f aca="false">фундамент!C641</f>
        <v>0</v>
      </c>
      <c r="E76" s="89" t="n">
        <f aca="false">фундамент!D641</f>
        <v>1200</v>
      </c>
      <c r="F76" s="89"/>
      <c r="G76" s="122" t="n">
        <f aca="false">IF(F76&gt;0,D76*F76,E76*D76)</f>
        <v>0</v>
      </c>
      <c r="H76" s="85" t="n">
        <f aca="false">D76*E76*$H$72</f>
        <v>0</v>
      </c>
      <c r="I76" s="2747" t="n">
        <f aca="false">IF(G76&gt;H76,G76,H76)*$H$71</f>
        <v>0</v>
      </c>
      <c r="J76" s="2744"/>
      <c r="K76" s="226" t="n">
        <f aca="false">D76-J76</f>
        <v>0</v>
      </c>
      <c r="L76" s="2736"/>
    </row>
    <row r="77" customFormat="false" ht="15.5" hidden="false" customHeight="false" outlineLevel="0" collapsed="false">
      <c r="A77" s="2745"/>
      <c r="B77" s="87" t="str">
        <f aca="false">фундамент!A642</f>
        <v>Кладочная сетка, 100*100/150*150/200*200мм</v>
      </c>
      <c r="C77" s="88" t="str">
        <f aca="false">фундамент!B642</f>
        <v>м2</v>
      </c>
      <c r="D77" s="122" t="n">
        <f aca="false">фундамент!C642</f>
        <v>0</v>
      </c>
      <c r="E77" s="89" t="n">
        <f aca="false">фундамент!D642</f>
        <v>70</v>
      </c>
      <c r="F77" s="89"/>
      <c r="G77" s="122" t="n">
        <f aca="false">IF(F77&gt;0,D77*F77,E77*D77)</f>
        <v>0</v>
      </c>
      <c r="H77" s="85" t="n">
        <f aca="false">D77*E77*$H$72</f>
        <v>0</v>
      </c>
      <c r="I77" s="2747" t="n">
        <f aca="false">IF(G77&gt;H77,G77,H77)*$H$71</f>
        <v>0</v>
      </c>
      <c r="J77" s="2744"/>
      <c r="K77" s="226" t="n">
        <f aca="false">D77-J77</f>
        <v>0</v>
      </c>
      <c r="L77" s="2736"/>
    </row>
    <row r="78" customFormat="false" ht="15.5" hidden="false" customHeight="false" outlineLevel="0" collapsed="false">
      <c r="A78" s="2745"/>
      <c r="B78" s="87" t="str">
        <f aca="false">фундамент!A643</f>
        <v>Вязальная проволока</v>
      </c>
      <c r="C78" s="88" t="str">
        <f aca="false">фундамент!B643</f>
        <v>кг</v>
      </c>
      <c r="D78" s="122" t="n">
        <f aca="false">фундамент!C643</f>
        <v>0</v>
      </c>
      <c r="E78" s="89" t="n">
        <f aca="false">фундамент!D643</f>
        <v>80</v>
      </c>
      <c r="F78" s="89"/>
      <c r="G78" s="122" t="n">
        <f aca="false">IF(F78&gt;0,D78*F78,E78*D78)</f>
        <v>0</v>
      </c>
      <c r="H78" s="85" t="n">
        <f aca="false">D78*E78*$H$72</f>
        <v>0</v>
      </c>
      <c r="I78" s="2747" t="n">
        <f aca="false">IF(G78&gt;H78,G78,H78)*$H$71</f>
        <v>0</v>
      </c>
      <c r="J78" s="2744"/>
      <c r="K78" s="226" t="n">
        <f aca="false">D78-J78</f>
        <v>0</v>
      </c>
      <c r="L78" s="2736"/>
    </row>
    <row r="79" customFormat="false" ht="15.5" hidden="false" customHeight="false" outlineLevel="0" collapsed="false">
      <c r="A79" s="2745"/>
      <c r="B79" s="87" t="str">
        <f aca="false">фундамент!A644</f>
        <v>Раствор, м250</v>
      </c>
      <c r="C79" s="88" t="str">
        <f aca="false">фундамент!B644</f>
        <v>м3</v>
      </c>
      <c r="D79" s="122" t="n">
        <f aca="false">фундамент!C644</f>
        <v>0</v>
      </c>
      <c r="E79" s="89" t="n">
        <f aca="false">фундамент!D644</f>
        <v>2500</v>
      </c>
      <c r="F79" s="89"/>
      <c r="G79" s="122" t="n">
        <f aca="false">IF(F79&gt;0,D79*F79,E79*D79)</f>
        <v>0</v>
      </c>
      <c r="H79" s="85" t="n">
        <f aca="false">D79*E79*$H$72</f>
        <v>0</v>
      </c>
      <c r="I79" s="2747" t="n">
        <f aca="false">IF(G79&gt;H79,G79,H79)*$H$71</f>
        <v>0</v>
      </c>
      <c r="J79" s="2744"/>
      <c r="K79" s="226" t="n">
        <f aca="false">D79-J79</f>
        <v>0</v>
      </c>
      <c r="L79" s="2736"/>
    </row>
    <row r="80" customFormat="false" ht="15.5" hidden="false" customHeight="false" outlineLevel="0" collapsed="false">
      <c r="A80" s="2745"/>
      <c r="B80" s="87" t="str">
        <f aca="false">фундамент!A645</f>
        <v>Сосна влаж,150*40мм</v>
      </c>
      <c r="C80" s="88" t="str">
        <f aca="false">фундамент!B645</f>
        <v>м3</v>
      </c>
      <c r="D80" s="122" t="n">
        <f aca="false">фундамент!C645</f>
        <v>0</v>
      </c>
      <c r="E80" s="89" t="n">
        <f aca="false">фундамент!D645</f>
        <v>6500</v>
      </c>
      <c r="F80" s="89"/>
      <c r="G80" s="122" t="n">
        <f aca="false">IF(F80&gt;0,D80*F80,E80*D80)</f>
        <v>0</v>
      </c>
      <c r="H80" s="85" t="n">
        <f aca="false">D80*E80*$H$72</f>
        <v>0</v>
      </c>
      <c r="I80" s="2747" t="n">
        <f aca="false">IF(G80&gt;H80,G80,H80)*$H$71</f>
        <v>0</v>
      </c>
      <c r="J80" s="2744"/>
      <c r="K80" s="226" t="n">
        <f aca="false">D80-J80</f>
        <v>0</v>
      </c>
      <c r="L80" s="2736"/>
    </row>
    <row r="81" customFormat="false" ht="15.5" hidden="false" customHeight="false" outlineLevel="0" collapsed="false">
      <c r="A81" s="2745"/>
      <c r="B81" s="87" t="str">
        <f aca="false">фундамент!A646</f>
        <v>Арматура стальная Ø 10 </v>
      </c>
      <c r="C81" s="88" t="str">
        <f aca="false">фундамент!B646</f>
        <v>м.п.</v>
      </c>
      <c r="D81" s="122" t="n">
        <f aca="false">фундамент!C646</f>
        <v>0</v>
      </c>
      <c r="E81" s="89" t="n">
        <f aca="false">фундамент!D646</f>
        <v>21.0397</v>
      </c>
      <c r="F81" s="89"/>
      <c r="G81" s="122" t="n">
        <f aca="false">IF(F81&gt;0,D81*F81,E81*D81)</f>
        <v>0</v>
      </c>
      <c r="H81" s="85" t="n">
        <f aca="false">D81*E81*$H$72</f>
        <v>0</v>
      </c>
      <c r="I81" s="2747" t="n">
        <f aca="false">IF(G81&gt;H81,G81,H81)*$H$71</f>
        <v>0</v>
      </c>
      <c r="J81" s="2744"/>
      <c r="K81" s="226" t="n">
        <f aca="false">D81-J81</f>
        <v>0</v>
      </c>
      <c r="L81" s="2736"/>
    </row>
    <row r="82" customFormat="false" ht="15.5" hidden="false" customHeight="false" outlineLevel="0" collapsed="false">
      <c r="A82" s="2745"/>
      <c r="B82" s="87" t="str">
        <f aca="false">фундамент!A647</f>
        <v>Нет арматуры</v>
      </c>
      <c r="C82" s="88" t="str">
        <f aca="false">фундамент!B647</f>
        <v>м.п.</v>
      </c>
      <c r="D82" s="122" t="n">
        <f aca="false">фундамент!C647</f>
        <v>0</v>
      </c>
      <c r="E82" s="89" t="n">
        <f aca="false">фундамент!D647</f>
        <v>0</v>
      </c>
      <c r="F82" s="89"/>
      <c r="G82" s="122" t="n">
        <f aca="false">IF(F82&gt;0,D82*F82,E82*D82)</f>
        <v>0</v>
      </c>
      <c r="H82" s="85" t="n">
        <f aca="false">D82*E82*$H$72</f>
        <v>0</v>
      </c>
      <c r="I82" s="2747" t="n">
        <f aca="false">IF(G82&gt;H82,G82,H82)*$H$71</f>
        <v>0</v>
      </c>
      <c r="J82" s="2744"/>
      <c r="K82" s="226" t="n">
        <f aca="false">D82-J82</f>
        <v>0</v>
      </c>
      <c r="L82" s="2736"/>
    </row>
    <row r="83" customFormat="false" ht="15.5" hidden="false" customHeight="false" outlineLevel="0" collapsed="false">
      <c r="A83" s="2745"/>
      <c r="B83" s="87" t="str">
        <f aca="false">фундамент!A648</f>
        <v>Бетон, м300</v>
      </c>
      <c r="C83" s="88" t="str">
        <f aca="false">фундамент!B648</f>
        <v>м3</v>
      </c>
      <c r="D83" s="122" t="n">
        <f aca="false">фундамент!C648</f>
        <v>0</v>
      </c>
      <c r="E83" s="89" t="n">
        <f aca="false">фундамент!D648</f>
        <v>3000</v>
      </c>
      <c r="F83" s="89"/>
      <c r="G83" s="122" t="n">
        <f aca="false">IF(F83&gt;0,D83*F83,E83*D83)</f>
        <v>0</v>
      </c>
      <c r="H83" s="85" t="n">
        <f aca="false">D83*E83*$H$72</f>
        <v>0</v>
      </c>
      <c r="I83" s="2747" t="n">
        <f aca="false">IF(G83&gt;H83,G83,H83)*$H$71</f>
        <v>0</v>
      </c>
      <c r="J83" s="2744"/>
      <c r="K83" s="226" t="n">
        <f aca="false">D83-J83</f>
        <v>0</v>
      </c>
      <c r="L83" s="2736"/>
    </row>
    <row r="84" customFormat="false" ht="15.5" hidden="false" customHeight="false" outlineLevel="0" collapsed="false">
      <c r="A84" s="2745"/>
      <c r="B84" s="87" t="str">
        <f aca="false">фундамент!A649</f>
        <v>Праймер для обработки</v>
      </c>
      <c r="C84" s="88" t="str">
        <f aca="false">фундамент!B649</f>
        <v>л</v>
      </c>
      <c r="D84" s="122" t="n">
        <f aca="false">фундамент!C649</f>
        <v>0</v>
      </c>
      <c r="E84" s="89" t="n">
        <f aca="false">фундамент!D649</f>
        <v>100</v>
      </c>
      <c r="F84" s="89"/>
      <c r="G84" s="122" t="n">
        <f aca="false">IF(F84&gt;0,D84*F84,E84*D84)</f>
        <v>0</v>
      </c>
      <c r="H84" s="85" t="n">
        <f aca="false">D84*E84*$H$72</f>
        <v>0</v>
      </c>
      <c r="I84" s="2747" t="n">
        <f aca="false">IF(G84&gt;H84,G84,H84)*$H$71</f>
        <v>0</v>
      </c>
      <c r="J84" s="2744"/>
      <c r="K84" s="226" t="n">
        <f aca="false">D84-J84</f>
        <v>0</v>
      </c>
      <c r="L84" s="2736"/>
    </row>
    <row r="85" customFormat="false" ht="15.5" hidden="false" customHeight="false" outlineLevel="0" collapsed="false">
      <c r="A85" s="2745"/>
      <c r="B85" s="87" t="str">
        <f aca="false">фундамент!A650</f>
        <v>Плитный,28кг/м3, технониколь, 100мм</v>
      </c>
      <c r="C85" s="88" t="str">
        <f aca="false">фундамент!B650</f>
        <v>м3</v>
      </c>
      <c r="D85" s="122" t="n">
        <f aca="false">фундамент!C650</f>
        <v>0</v>
      </c>
      <c r="E85" s="89" t="n">
        <f aca="false">фундамент!D650</f>
        <v>1700</v>
      </c>
      <c r="F85" s="89"/>
      <c r="G85" s="122" t="n">
        <f aca="false">IF(F85&gt;0,D85*F85,E85*D85)</f>
        <v>0</v>
      </c>
      <c r="H85" s="85" t="n">
        <f aca="false">D85*E85*$H$72</f>
        <v>0</v>
      </c>
      <c r="I85" s="2747" t="n">
        <f aca="false">IF(G85&gt;H85,G85,H85)*$H$71</f>
        <v>0</v>
      </c>
      <c r="J85" s="2744"/>
      <c r="K85" s="226" t="n">
        <f aca="false">D85-J85</f>
        <v>0</v>
      </c>
      <c r="L85" s="2736"/>
    </row>
    <row r="86" customFormat="false" ht="15.5" hidden="false" customHeight="false" outlineLevel="0" collapsed="false">
      <c r="A86" s="2745"/>
      <c r="B86" s="87" t="str">
        <f aca="false">фундамент!A651</f>
        <v>Грибок для крепления утеплителя</v>
      </c>
      <c r="C86" s="88" t="str">
        <f aca="false">фундамент!B651</f>
        <v>шт</v>
      </c>
      <c r="D86" s="122" t="n">
        <f aca="false">фундамент!C651</f>
        <v>0</v>
      </c>
      <c r="E86" s="89" t="n">
        <f aca="false">фундамент!D651</f>
        <v>15</v>
      </c>
      <c r="F86" s="89"/>
      <c r="G86" s="122" t="n">
        <f aca="false">IF(F86&gt;0,D86*F86,E86*D86)</f>
        <v>0</v>
      </c>
      <c r="H86" s="85" t="n">
        <f aca="false">D86*E86*$H$72</f>
        <v>0</v>
      </c>
      <c r="I86" s="2747" t="n">
        <f aca="false">IF(G86&gt;H86,G86,H86)*$H$71</f>
        <v>0</v>
      </c>
      <c r="J86" s="2744"/>
      <c r="K86" s="226" t="n">
        <f aca="false">D86-J86</f>
        <v>0</v>
      </c>
      <c r="L86" s="2736"/>
    </row>
    <row r="87" customFormat="false" ht="15.5" hidden="false" customHeight="false" outlineLevel="0" collapsed="false">
      <c r="A87" s="2745"/>
      <c r="B87" s="2748" t="s">
        <v>4640</v>
      </c>
      <c r="C87" s="2748"/>
      <c r="D87" s="2748"/>
      <c r="E87" s="2748"/>
      <c r="F87" s="2748"/>
      <c r="G87" s="85" t="n">
        <f aca="false">SUM(G73:G86)*H71</f>
        <v>0</v>
      </c>
      <c r="H87" s="85" t="n">
        <f aca="false">SUM(H73:H86)</f>
        <v>0</v>
      </c>
      <c r="I87" s="2747" t="n">
        <f aca="false">IF(G87&gt;H87,G87,H87)*$H$71</f>
        <v>0</v>
      </c>
      <c r="J87" s="2744"/>
      <c r="K87" s="226" t="n">
        <f aca="false">D87-J87</f>
        <v>0</v>
      </c>
      <c r="L87" s="2736"/>
    </row>
    <row r="88" customFormat="false" ht="15.5" hidden="false" customHeight="false" outlineLevel="0" collapsed="false">
      <c r="A88" s="2745"/>
      <c r="B88" s="2750" t="s">
        <v>1409</v>
      </c>
      <c r="C88" s="2750"/>
      <c r="D88" s="2750"/>
      <c r="E88" s="2750"/>
      <c r="F88" s="2750"/>
      <c r="G88" s="905"/>
      <c r="H88" s="2742" t="n">
        <f aca="false">H71</f>
        <v>0</v>
      </c>
      <c r="I88" s="2757" t="n">
        <f aca="false">H88</f>
        <v>0</v>
      </c>
      <c r="J88" s="2752"/>
      <c r="K88" s="2753"/>
    </row>
    <row r="89" customFormat="false" ht="15.5" hidden="false" customHeight="false" outlineLevel="0" collapsed="false">
      <c r="A89" s="2754"/>
      <c r="B89" s="87" t="str">
        <f aca="false">фундамент!G638</f>
        <v>обработка праймер</v>
      </c>
      <c r="C89" s="88" t="s">
        <v>133</v>
      </c>
      <c r="D89" s="122" t="n">
        <f aca="false">фундамент!J638</f>
        <v>0</v>
      </c>
      <c r="E89" s="89" t="n">
        <f aca="false">фундамент!K638</f>
        <v>200</v>
      </c>
      <c r="F89" s="89"/>
      <c r="G89" s="122" t="n">
        <f aca="false">IF(F89&gt;0,D89*F89,E89*D89)</f>
        <v>0</v>
      </c>
      <c r="H89" s="85" t="n">
        <f aca="false">D89*E89*$H$72</f>
        <v>0</v>
      </c>
      <c r="I89" s="2747" t="n">
        <f aca="false">IF(G89&gt;H89,G89,H89)*$H$88</f>
        <v>0</v>
      </c>
      <c r="J89" s="2736"/>
      <c r="K89" s="2719"/>
    </row>
    <row r="90" customFormat="false" ht="15.5" hidden="false" customHeight="false" outlineLevel="0" collapsed="false">
      <c r="A90" s="2745"/>
      <c r="B90" s="87" t="str">
        <f aca="false">фундамент!G639</f>
        <v>настил гидроизола</v>
      </c>
      <c r="C90" s="88" t="s">
        <v>133</v>
      </c>
      <c r="D90" s="122" t="n">
        <f aca="false">фундамент!J639</f>
        <v>0</v>
      </c>
      <c r="E90" s="89" t="n">
        <f aca="false">фундамент!K639</f>
        <v>100</v>
      </c>
      <c r="F90" s="89"/>
      <c r="G90" s="122" t="n">
        <f aca="false">IF(F90&gt;0,D90*F90,E90*D90)</f>
        <v>0</v>
      </c>
      <c r="H90" s="85" t="n">
        <f aca="false">D90*E90*$H$72</f>
        <v>0</v>
      </c>
      <c r="I90" s="2747" t="n">
        <f aca="false">IF(G90&gt;H90,G90,H90)*$H$88</f>
        <v>0</v>
      </c>
      <c r="J90" s="2736"/>
      <c r="K90" s="2719"/>
    </row>
    <row r="91" customFormat="false" ht="15.5" hidden="false" customHeight="false" outlineLevel="0" collapsed="false">
      <c r="A91" s="2745"/>
      <c r="B91" s="87" t="str">
        <f aca="false">фундамент!G640</f>
        <v>Кладка блоков ФБС</v>
      </c>
      <c r="C91" s="88" t="s">
        <v>135</v>
      </c>
      <c r="D91" s="122" t="n">
        <f aca="false">фундамент!J640</f>
        <v>0</v>
      </c>
      <c r="E91" s="89" t="n">
        <f aca="false">фундамент!K640</f>
        <v>1000</v>
      </c>
      <c r="F91" s="89"/>
      <c r="G91" s="122" t="n">
        <f aca="false">IF(F91&gt;0,D91*F91,E91*D91)</f>
        <v>0</v>
      </c>
      <c r="H91" s="85" t="n">
        <f aca="false">D91*E91*$H$72</f>
        <v>0</v>
      </c>
      <c r="I91" s="2747" t="n">
        <f aca="false">IF(G91&gt;H91,G91,H91)*$H$88</f>
        <v>0</v>
      </c>
      <c r="J91" s="2736"/>
      <c r="K91" s="2719"/>
    </row>
    <row r="92" customFormat="false" ht="15.5" hidden="false" customHeight="false" outlineLevel="0" collapsed="false">
      <c r="A92" s="2745"/>
      <c r="B92" s="87" t="str">
        <f aca="false">фундамент!G641</f>
        <v>укладка сетки</v>
      </c>
      <c r="C92" s="88" t="s">
        <v>133</v>
      </c>
      <c r="D92" s="122" t="n">
        <f aca="false">фундамент!J641</f>
        <v>0</v>
      </c>
      <c r="E92" s="89" t="n">
        <f aca="false">фундамент!K641</f>
        <v>100</v>
      </c>
      <c r="F92" s="89"/>
      <c r="G92" s="122" t="n">
        <f aca="false">IF(F92&gt;0,D92*F92,E92*D92)</f>
        <v>0</v>
      </c>
      <c r="H92" s="85" t="n">
        <f aca="false">D92*E92*$H$72</f>
        <v>0</v>
      </c>
      <c r="I92" s="2747" t="n">
        <f aca="false">IF(G92&gt;H92,G92,H92)*$H$88</f>
        <v>0</v>
      </c>
      <c r="J92" s="2736"/>
      <c r="K92" s="2719"/>
    </row>
    <row r="93" customFormat="false" ht="15.5" hidden="false" customHeight="false" outlineLevel="0" collapsed="false">
      <c r="A93" s="2745"/>
      <c r="B93" s="87" t="str">
        <f aca="false">фундамент!G642</f>
        <v>гидроизоляция стен</v>
      </c>
      <c r="C93" s="88" t="s">
        <v>133</v>
      </c>
      <c r="D93" s="122" t="n">
        <f aca="false">фундамент!J642</f>
        <v>0</v>
      </c>
      <c r="E93" s="89" t="n">
        <f aca="false">фундамент!K642</f>
        <v>200</v>
      </c>
      <c r="F93" s="89"/>
      <c r="G93" s="122" t="n">
        <f aca="false">IF(F93&gt;0,D93*F93,E93*D93)</f>
        <v>0</v>
      </c>
      <c r="H93" s="85" t="n">
        <f aca="false">D93*E93*$H$72</f>
        <v>0</v>
      </c>
      <c r="I93" s="2747" t="n">
        <f aca="false">IF(G93&gt;H93,G93,H93)*$H$88</f>
        <v>0</v>
      </c>
      <c r="J93" s="2736"/>
      <c r="K93" s="2719"/>
    </row>
    <row r="94" customFormat="false" ht="15.5" hidden="false" customHeight="false" outlineLevel="0" collapsed="false">
      <c r="A94" s="2745"/>
      <c r="B94" s="87" t="str">
        <f aca="false">фундамент!G643</f>
        <v>Монтаж утеплителя стен наружних</v>
      </c>
      <c r="C94" s="285" t="s">
        <v>133</v>
      </c>
      <c r="D94" s="122" t="n">
        <f aca="false">фундамент!J643</f>
        <v>0</v>
      </c>
      <c r="E94" s="89" t="n">
        <f aca="false">фундамент!K643</f>
        <v>200</v>
      </c>
      <c r="F94" s="89"/>
      <c r="G94" s="122" t="n">
        <f aca="false">IF(F94&gt;0,D94*F94,E94*D94)</f>
        <v>0</v>
      </c>
      <c r="H94" s="85" t="n">
        <f aca="false">D94*E94*$H$72</f>
        <v>0</v>
      </c>
      <c r="I94" s="2747" t="n">
        <f aca="false">IF(G94&gt;H94,G94,H94)*$H$88</f>
        <v>0</v>
      </c>
      <c r="J94" s="2736"/>
      <c r="K94" s="2719"/>
    </row>
    <row r="95" customFormat="false" ht="15.5" hidden="false" customHeight="false" outlineLevel="0" collapsed="false">
      <c r="A95" s="2745"/>
      <c r="B95" s="87" t="str">
        <f aca="false">фундамент!G644</f>
        <v>сборка опалубки</v>
      </c>
      <c r="C95" s="88" t="s">
        <v>133</v>
      </c>
      <c r="D95" s="122" t="n">
        <f aca="false">фундамент!J644</f>
        <v>0</v>
      </c>
      <c r="E95" s="89" t="n">
        <f aca="false">фундамент!K644</f>
        <v>300</v>
      </c>
      <c r="F95" s="89"/>
      <c r="G95" s="122" t="n">
        <f aca="false">IF(F95&gt;0,D95*F95,E95*D95)</f>
        <v>0</v>
      </c>
      <c r="H95" s="85" t="n">
        <f aca="false">D95*E95*$H$72</f>
        <v>0</v>
      </c>
      <c r="I95" s="2747" t="n">
        <f aca="false">IF(G95&gt;H95,G95,H95)*$H$88</f>
        <v>0</v>
      </c>
      <c r="J95" s="2736"/>
      <c r="K95" s="2719"/>
    </row>
    <row r="96" customFormat="false" ht="15.5" hidden="false" customHeight="false" outlineLevel="0" collapsed="false">
      <c r="A96" s="2745"/>
      <c r="B96" s="87" t="str">
        <f aca="false">фундамент!G645</f>
        <v>разборка опалубки</v>
      </c>
      <c r="C96" s="88" t="s">
        <v>133</v>
      </c>
      <c r="D96" s="122" t="n">
        <f aca="false">фундамент!J645</f>
        <v>0</v>
      </c>
      <c r="E96" s="89" t="n">
        <f aca="false">фундамент!K645</f>
        <v>100</v>
      </c>
      <c r="F96" s="89"/>
      <c r="G96" s="122" t="n">
        <f aca="false">IF(F96&gt;0,D96*F96,E96*D96)</f>
        <v>0</v>
      </c>
      <c r="H96" s="85" t="n">
        <f aca="false">D96*E96*$H$72</f>
        <v>0</v>
      </c>
      <c r="I96" s="2747" t="n">
        <f aca="false">IF(G96&gt;H96,G96,H96)*$H$88</f>
        <v>0</v>
      </c>
      <c r="J96" s="2736"/>
      <c r="K96" s="2719"/>
    </row>
    <row r="97" customFormat="false" ht="15.5" hidden="false" customHeight="false" outlineLevel="0" collapsed="false">
      <c r="A97" s="2734"/>
      <c r="B97" s="87" t="str">
        <f aca="false">фундамент!G646</f>
        <v>приемка бетона</v>
      </c>
      <c r="C97" s="285" t="s">
        <v>135</v>
      </c>
      <c r="D97" s="122" t="n">
        <f aca="false">фундамент!J646</f>
        <v>0</v>
      </c>
      <c r="E97" s="89" t="n">
        <f aca="false">фундамент!K646</f>
        <v>350</v>
      </c>
      <c r="F97" s="89"/>
      <c r="G97" s="122" t="n">
        <f aca="false">IF(F97&gt;0,D97*F97,E97*D97)</f>
        <v>0</v>
      </c>
      <c r="H97" s="85" t="n">
        <f aca="false">D97*E97*$H$72</f>
        <v>0</v>
      </c>
      <c r="I97" s="2747" t="n">
        <f aca="false">IF(G97&gt;H97,G97,H97)*$H$88</f>
        <v>0</v>
      </c>
      <c r="J97" s="2761"/>
      <c r="K97" s="2733"/>
    </row>
    <row r="98" customFormat="false" ht="15.5" hidden="false" customHeight="false" outlineLevel="0" collapsed="false">
      <c r="A98" s="2745"/>
      <c r="B98" s="2748" t="s">
        <v>4641</v>
      </c>
      <c r="C98" s="2748"/>
      <c r="D98" s="2748"/>
      <c r="E98" s="2748"/>
      <c r="F98" s="2748"/>
      <c r="G98" s="2210" t="n">
        <f aca="false">SUM(G89:G97)*H88</f>
        <v>0</v>
      </c>
      <c r="H98" s="2210" t="n">
        <f aca="false">SUM(H89:H97)</f>
        <v>0</v>
      </c>
      <c r="I98" s="2747" t="n">
        <f aca="false">IF(G98&gt;H98,G98,H98)*$H$88</f>
        <v>0</v>
      </c>
      <c r="J98" s="2736"/>
      <c r="K98" s="2719"/>
    </row>
    <row r="99" customFormat="false" ht="21" hidden="false" customHeight="false" outlineLevel="0" collapsed="false">
      <c r="A99" s="2745"/>
      <c r="B99" s="2755" t="s">
        <v>4644</v>
      </c>
      <c r="C99" s="2755"/>
      <c r="D99" s="2755"/>
      <c r="E99" s="2755"/>
      <c r="F99" s="2755"/>
      <c r="G99" s="905"/>
      <c r="H99" s="2756" t="n">
        <f aca="false">фундамент!F514*фундамент!E518</f>
        <v>0</v>
      </c>
      <c r="I99" s="2757" t="n">
        <f aca="false">H99</f>
        <v>0</v>
      </c>
      <c r="J99" s="2712"/>
      <c r="K99" s="2719"/>
    </row>
    <row r="100" customFormat="false" ht="15.5" hidden="false" customHeight="false" outlineLevel="0" collapsed="false">
      <c r="A100" s="2754"/>
      <c r="B100" s="2758" t="s">
        <v>2720</v>
      </c>
      <c r="C100" s="2758"/>
      <c r="D100" s="2758"/>
      <c r="E100" s="2758"/>
      <c r="F100" s="2760"/>
      <c r="G100" s="905"/>
      <c r="H100" s="2759" t="n">
        <f aca="false">H99</f>
        <v>0</v>
      </c>
      <c r="I100" s="2757" t="n">
        <f aca="false">H100</f>
        <v>0</v>
      </c>
      <c r="J100" s="2732"/>
      <c r="K100" s="2733"/>
    </row>
    <row r="101" customFormat="false" ht="15.5" hidden="false" customHeight="false" outlineLevel="0" collapsed="false">
      <c r="A101" s="2754"/>
      <c r="B101" s="87" t="str">
        <f aca="false">фундамент!A659</f>
        <v>Праймер для обработки</v>
      </c>
      <c r="C101" s="88" t="str">
        <f aca="false">фундамент!B659</f>
        <v>л</v>
      </c>
      <c r="D101" s="122" t="n">
        <f aca="false">фундамент!C659</f>
        <v>0</v>
      </c>
      <c r="E101" s="87" t="n">
        <f aca="false">фундамент!D659</f>
        <v>100</v>
      </c>
      <c r="F101" s="87"/>
      <c r="G101" s="122" t="n">
        <f aca="false">IF(F101&gt;0,D101*F101,E101*D101)</f>
        <v>0</v>
      </c>
      <c r="H101" s="85" t="n">
        <f aca="false">D101*E101*$H$100</f>
        <v>0</v>
      </c>
      <c r="I101" s="2747" t="n">
        <f aca="false">IF(G101&gt;H101,G101,H101)*$H$99</f>
        <v>0</v>
      </c>
      <c r="J101" s="2744"/>
      <c r="K101" s="226" t="n">
        <f aca="false">D101-J101</f>
        <v>0</v>
      </c>
      <c r="L101" s="2736"/>
    </row>
    <row r="102" customFormat="false" ht="15.5" hidden="false" customHeight="false" outlineLevel="0" collapsed="false">
      <c r="A102" s="2745"/>
      <c r="B102" s="87" t="str">
        <f aca="false">фундамент!A660</f>
        <v>Гидроизол</v>
      </c>
      <c r="C102" s="88" t="str">
        <f aca="false">фундамент!B660</f>
        <v>м2</v>
      </c>
      <c r="D102" s="122" t="n">
        <f aca="false">фундамент!C660</f>
        <v>0</v>
      </c>
      <c r="E102" s="87" t="n">
        <f aca="false">фундамент!D660</f>
        <v>70</v>
      </c>
      <c r="F102" s="87"/>
      <c r="G102" s="122" t="n">
        <f aca="false">IF(F102&gt;0,D102*F102,E102*D102)</f>
        <v>0</v>
      </c>
      <c r="H102" s="85" t="n">
        <f aca="false">D102*E102*$H$100</f>
        <v>0</v>
      </c>
      <c r="I102" s="2747" t="n">
        <f aca="false">IF(G102&gt;H102,G102,H102)*$H$99</f>
        <v>0</v>
      </c>
      <c r="J102" s="2744"/>
      <c r="K102" s="226" t="n">
        <f aca="false">D102-J102</f>
        <v>0</v>
      </c>
      <c r="L102" s="2736"/>
    </row>
    <row r="103" customFormat="false" ht="15.5" hidden="false" customHeight="false" outlineLevel="0" collapsed="false">
      <c r="A103" s="2745"/>
      <c r="B103" s="87" t="str">
        <f aca="false">фундамент!A661</f>
        <v>Мастика битумная</v>
      </c>
      <c r="C103" s="88" t="str">
        <f aca="false">фундамент!B661</f>
        <v>кг</v>
      </c>
      <c r="D103" s="122" t="n">
        <f aca="false">фундамент!C661</f>
        <v>0</v>
      </c>
      <c r="E103" s="87" t="n">
        <f aca="false">фундамент!D661</f>
        <v>100</v>
      </c>
      <c r="F103" s="87"/>
      <c r="G103" s="122" t="n">
        <f aca="false">IF(F103&gt;0,D103*F103,E103*D103)</f>
        <v>0</v>
      </c>
      <c r="H103" s="85" t="n">
        <f aca="false">D103*E103*$H$100</f>
        <v>0</v>
      </c>
      <c r="I103" s="2747" t="n">
        <f aca="false">IF(G103&gt;H103,G103,H103)*$H$99</f>
        <v>0</v>
      </c>
      <c r="J103" s="2744"/>
      <c r="K103" s="226" t="n">
        <f aca="false">D103-J103</f>
        <v>0</v>
      </c>
      <c r="L103" s="2736"/>
    </row>
    <row r="104" customFormat="false" ht="15.5" hidden="false" customHeight="false" outlineLevel="0" collapsed="false">
      <c r="A104" s="2745"/>
      <c r="B104" s="87" t="str">
        <f aca="false">фундамент!A662</f>
        <v>Сосна влаж,150*40мм</v>
      </c>
      <c r="C104" s="88" t="str">
        <f aca="false">фундамент!B662</f>
        <v>м3</v>
      </c>
      <c r="D104" s="122" t="n">
        <f aca="false">фундамент!C662</f>
        <v>0</v>
      </c>
      <c r="E104" s="87" t="n">
        <f aca="false">фундамент!D662</f>
        <v>6500</v>
      </c>
      <c r="F104" s="87"/>
      <c r="G104" s="122" t="n">
        <f aca="false">IF(F104&gt;0,D104*F104,E104*D104)</f>
        <v>0</v>
      </c>
      <c r="H104" s="85" t="n">
        <f aca="false">D104*E104*$H$100</f>
        <v>0</v>
      </c>
      <c r="I104" s="2747" t="n">
        <f aca="false">IF(G104&gt;H104,G104,H104)*$H$99</f>
        <v>0</v>
      </c>
      <c r="J104" s="2744"/>
      <c r="K104" s="226" t="n">
        <f aca="false">D104-J104</f>
        <v>0</v>
      </c>
      <c r="L104" s="2736"/>
    </row>
    <row r="105" customFormat="false" ht="15.5" hidden="false" customHeight="false" outlineLevel="0" collapsed="false">
      <c r="A105" s="2745"/>
      <c r="B105" s="87" t="str">
        <f aca="false">фундамент!A663</f>
        <v>Крепления для опалубки</v>
      </c>
      <c r="C105" s="88" t="str">
        <f aca="false">фундамент!B663</f>
        <v>шт</v>
      </c>
      <c r="D105" s="122" t="n">
        <f aca="false">фундамент!C663</f>
        <v>0</v>
      </c>
      <c r="E105" s="87" t="n">
        <f aca="false">фундамент!D663</f>
        <v>20</v>
      </c>
      <c r="F105" s="87"/>
      <c r="G105" s="122" t="n">
        <f aca="false">IF(F105&gt;0,D105*F105,E105*D105)</f>
        <v>0</v>
      </c>
      <c r="H105" s="85" t="n">
        <f aca="false">D105*E105*$H$100</f>
        <v>0</v>
      </c>
      <c r="I105" s="2747" t="n">
        <f aca="false">IF(G105&gt;H105,G105,H105)*$H$99</f>
        <v>0</v>
      </c>
      <c r="J105" s="2744"/>
      <c r="K105" s="226" t="n">
        <f aca="false">D105-J105</f>
        <v>0</v>
      </c>
      <c r="L105" s="2736"/>
    </row>
    <row r="106" customFormat="false" ht="15.5" hidden="false" customHeight="false" outlineLevel="0" collapsed="false">
      <c r="A106" s="2745"/>
      <c r="B106" s="87" t="str">
        <f aca="false">фундамент!A664</f>
        <v>Арматура стальная Ø 12</v>
      </c>
      <c r="C106" s="88" t="str">
        <f aca="false">фундамент!B664</f>
        <v>м.п.</v>
      </c>
      <c r="D106" s="122" t="n">
        <f aca="false">фундамент!C664</f>
        <v>0</v>
      </c>
      <c r="E106" s="87" t="n">
        <f aca="false">фундамент!D664</f>
        <v>29.2152</v>
      </c>
      <c r="F106" s="87"/>
      <c r="G106" s="122" t="n">
        <f aca="false">IF(F106&gt;0,D106*F106,E106*D106)</f>
        <v>0</v>
      </c>
      <c r="H106" s="85" t="n">
        <f aca="false">D106*E106*$H$100</f>
        <v>0</v>
      </c>
      <c r="I106" s="2747" t="n">
        <f aca="false">IF(G106&gt;H106,G106,H106)*$H$99</f>
        <v>0</v>
      </c>
      <c r="J106" s="2744"/>
      <c r="K106" s="226" t="n">
        <f aca="false">D106-J106</f>
        <v>0</v>
      </c>
      <c r="L106" s="2736"/>
    </row>
    <row r="107" customFormat="false" ht="15.5" hidden="false" customHeight="false" outlineLevel="0" collapsed="false">
      <c r="A107" s="2745"/>
      <c r="B107" s="87" t="str">
        <f aca="false">фундамент!A665</f>
        <v>Вязальная проволока</v>
      </c>
      <c r="C107" s="88" t="str">
        <f aca="false">фундамент!B665</f>
        <v>кг</v>
      </c>
      <c r="D107" s="122" t="n">
        <f aca="false">фундамент!C665</f>
        <v>0</v>
      </c>
      <c r="E107" s="87" t="n">
        <f aca="false">фундамент!D665</f>
        <v>80</v>
      </c>
      <c r="F107" s="87"/>
      <c r="G107" s="122" t="n">
        <f aca="false">IF(F107&gt;0,D107*F107,E107*D107)</f>
        <v>0</v>
      </c>
      <c r="H107" s="85" t="n">
        <f aca="false">D107*E107*$H$100</f>
        <v>0</v>
      </c>
      <c r="I107" s="2747" t="n">
        <f aca="false">IF(G107&gt;H107,G107,H107)*$H$99</f>
        <v>0</v>
      </c>
      <c r="J107" s="2744"/>
      <c r="K107" s="226" t="n">
        <f aca="false">D107-J107</f>
        <v>0</v>
      </c>
      <c r="L107" s="2736"/>
    </row>
    <row r="108" customFormat="false" ht="15.5" hidden="false" customHeight="false" outlineLevel="0" collapsed="false">
      <c r="A108" s="2745"/>
      <c r="B108" s="87" t="str">
        <f aca="false">фундамент!A666</f>
        <v>Бетон, м300</v>
      </c>
      <c r="C108" s="88" t="str">
        <f aca="false">фундамент!B666</f>
        <v>м3</v>
      </c>
      <c r="D108" s="122" t="n">
        <f aca="false">фундамент!C666</f>
        <v>0</v>
      </c>
      <c r="E108" s="87" t="n">
        <f aca="false">фундамент!D666</f>
        <v>3000</v>
      </c>
      <c r="F108" s="87"/>
      <c r="G108" s="122" t="n">
        <f aca="false">IF(F108&gt;0,D108*F108,E108*D108)</f>
        <v>0</v>
      </c>
      <c r="H108" s="85" t="n">
        <f aca="false">D108*E108*$H$100</f>
        <v>0</v>
      </c>
      <c r="I108" s="2747" t="n">
        <f aca="false">IF(G108&gt;H108,G108,H108)*$H$99</f>
        <v>0</v>
      </c>
      <c r="J108" s="2744"/>
      <c r="K108" s="226" t="n">
        <f aca="false">D108-J108</f>
        <v>0</v>
      </c>
      <c r="L108" s="2736"/>
    </row>
    <row r="109" customFormat="false" ht="15.5" hidden="false" customHeight="false" outlineLevel="0" collapsed="false">
      <c r="A109" s="2745"/>
      <c r="B109" s="87" t="str">
        <f aca="false">фундамент!A667</f>
        <v>Праймер для обработки</v>
      </c>
      <c r="C109" s="88" t="str">
        <f aca="false">фундамент!B667</f>
        <v>кг</v>
      </c>
      <c r="D109" s="122" t="n">
        <f aca="false">фундамент!C667</f>
        <v>0</v>
      </c>
      <c r="E109" s="87" t="n">
        <f aca="false">фундамент!D667</f>
        <v>100</v>
      </c>
      <c r="F109" s="87"/>
      <c r="G109" s="122" t="n">
        <f aca="false">IF(F109&gt;0,D109*F109,E109*D109)</f>
        <v>0</v>
      </c>
      <c r="H109" s="85" t="n">
        <f aca="false">D109*E109*$H$100</f>
        <v>0</v>
      </c>
      <c r="I109" s="2747" t="n">
        <f aca="false">IF(G109&gt;H109,G109,H109)*$H$99</f>
        <v>0</v>
      </c>
      <c r="J109" s="2744"/>
      <c r="K109" s="226" t="n">
        <f aca="false">D109-J109</f>
        <v>0</v>
      </c>
      <c r="L109" s="2736"/>
    </row>
    <row r="110" customFormat="false" ht="15.5" hidden="false" customHeight="false" outlineLevel="0" collapsed="false">
      <c r="A110" s="2745"/>
      <c r="B110" s="87" t="str">
        <f aca="false">фундамент!A668</f>
        <v>Плитный,28кг/м3, технониколь, 100мм</v>
      </c>
      <c r="C110" s="88" t="str">
        <f aca="false">фундамент!B668</f>
        <v>м3</v>
      </c>
      <c r="D110" s="122" t="n">
        <f aca="false">фундамент!C668</f>
        <v>0</v>
      </c>
      <c r="E110" s="87" t="n">
        <f aca="false">фундамент!D668</f>
        <v>1700</v>
      </c>
      <c r="F110" s="87"/>
      <c r="G110" s="122" t="n">
        <f aca="false">IF(F110&gt;0,D110*F110,E110*D110)</f>
        <v>0</v>
      </c>
      <c r="H110" s="85" t="n">
        <f aca="false">D110*E110*$H$100</f>
        <v>0</v>
      </c>
      <c r="I110" s="2747" t="n">
        <f aca="false">IF(G110&gt;H110,G110,H110)*$H$99</f>
        <v>0</v>
      </c>
      <c r="J110" s="2744"/>
      <c r="K110" s="226" t="n">
        <f aca="false">D110-J110</f>
        <v>0</v>
      </c>
      <c r="L110" s="2736"/>
    </row>
    <row r="111" customFormat="false" ht="15.5" hidden="false" customHeight="false" outlineLevel="0" collapsed="false">
      <c r="A111" s="2745"/>
      <c r="B111" s="87" t="str">
        <f aca="false">фундамент!A669</f>
        <v>Грибок для крепления утеплителя</v>
      </c>
      <c r="C111" s="88" t="str">
        <f aca="false">фундамент!B669</f>
        <v>шт</v>
      </c>
      <c r="D111" s="122" t="n">
        <f aca="false">фундамент!C669</f>
        <v>0</v>
      </c>
      <c r="E111" s="87" t="n">
        <f aca="false">фундамент!D669</f>
        <v>15</v>
      </c>
      <c r="F111" s="87"/>
      <c r="G111" s="122" t="n">
        <f aca="false">IF(F111&gt;0,D111*F111,E111*D111)</f>
        <v>0</v>
      </c>
      <c r="H111" s="85" t="n">
        <f aca="false">D111*E111*$H$100</f>
        <v>0</v>
      </c>
      <c r="I111" s="2747" t="n">
        <f aca="false">IF(G111&gt;H111,G111,H111)*$H$99</f>
        <v>0</v>
      </c>
      <c r="J111" s="2744"/>
      <c r="K111" s="226" t="n">
        <f aca="false">D111-J111</f>
        <v>0</v>
      </c>
      <c r="L111" s="2736"/>
    </row>
    <row r="112" customFormat="false" ht="15.5" hidden="false" customHeight="false" outlineLevel="0" collapsed="false">
      <c r="A112" s="2745"/>
      <c r="B112" s="2748" t="s">
        <v>4640</v>
      </c>
      <c r="C112" s="2748"/>
      <c r="D112" s="2748"/>
      <c r="E112" s="2748"/>
      <c r="F112" s="2748"/>
      <c r="G112" s="85" t="n">
        <f aca="false">SUM(G101:G111)*H99</f>
        <v>0</v>
      </c>
      <c r="H112" s="85" t="n">
        <f aca="false">SUM(H101:H111)</f>
        <v>0</v>
      </c>
      <c r="I112" s="2747" t="n">
        <f aca="false">IF(G112&gt;H112,G112,H112)*$H$99</f>
        <v>0</v>
      </c>
      <c r="J112" s="2744"/>
      <c r="K112" s="226" t="n">
        <f aca="false">D112-J112</f>
        <v>0</v>
      </c>
      <c r="L112" s="2736"/>
    </row>
    <row r="113" customFormat="false" ht="15.5" hidden="false" customHeight="false" outlineLevel="0" collapsed="false">
      <c r="A113" s="2745"/>
      <c r="B113" s="2750" t="s">
        <v>1409</v>
      </c>
      <c r="C113" s="2750"/>
      <c r="D113" s="2750"/>
      <c r="E113" s="2750"/>
      <c r="F113" s="2750"/>
      <c r="G113" s="905"/>
      <c r="H113" s="2742" t="n">
        <f aca="false">H99</f>
        <v>0</v>
      </c>
      <c r="I113" s="2757" t="n">
        <f aca="false">H113</f>
        <v>0</v>
      </c>
      <c r="J113" s="2752"/>
      <c r="K113" s="2753"/>
    </row>
    <row r="114" customFormat="false" ht="15.5" hidden="false" customHeight="false" outlineLevel="0" collapsed="false">
      <c r="A114" s="2754"/>
      <c r="B114" s="87" t="str">
        <f aca="false">фундамент!G659</f>
        <v>обработка праймер</v>
      </c>
      <c r="C114" s="88" t="s">
        <v>133</v>
      </c>
      <c r="D114" s="122" t="n">
        <f aca="false">фундамент!J659</f>
        <v>0</v>
      </c>
      <c r="E114" s="89" t="n">
        <f aca="false">фундамент!K659</f>
        <v>200</v>
      </c>
      <c r="F114" s="89"/>
      <c r="G114" s="122" t="n">
        <f aca="false">IF(F114&gt;0,D114*F114,E114*D114)</f>
        <v>0</v>
      </c>
      <c r="H114" s="85" t="n">
        <f aca="false">D114*E114*$H$100</f>
        <v>0</v>
      </c>
      <c r="I114" s="2747" t="n">
        <f aca="false">IF(G114&gt;H114,G114,H114)*$H$113</f>
        <v>0</v>
      </c>
      <c r="J114" s="2736"/>
      <c r="K114" s="2719"/>
    </row>
    <row r="115" customFormat="false" ht="15.5" hidden="false" customHeight="false" outlineLevel="0" collapsed="false">
      <c r="A115" s="2745"/>
      <c r="B115" s="87" t="str">
        <f aca="false">фундамент!G660</f>
        <v>настил гидроизола</v>
      </c>
      <c r="C115" s="88" t="s">
        <v>133</v>
      </c>
      <c r="D115" s="122" t="n">
        <f aca="false">фундамент!J660</f>
        <v>0</v>
      </c>
      <c r="E115" s="89" t="n">
        <f aca="false">фундамент!K660</f>
        <v>100</v>
      </c>
      <c r="F115" s="89"/>
      <c r="G115" s="122" t="n">
        <f aca="false">IF(F115&gt;0,D115*F115,E115*D115)</f>
        <v>0</v>
      </c>
      <c r="H115" s="85" t="n">
        <f aca="false">D115*E115*$H$100</f>
        <v>0</v>
      </c>
      <c r="I115" s="2747" t="n">
        <f aca="false">IF(G115&gt;H115,G115,H115)*$H$113</f>
        <v>0</v>
      </c>
      <c r="J115" s="2736"/>
      <c r="K115" s="2719"/>
    </row>
    <row r="116" customFormat="false" ht="15.5" hidden="false" customHeight="false" outlineLevel="0" collapsed="false">
      <c r="A116" s="2745"/>
      <c r="B116" s="87" t="str">
        <f aca="false">фундамент!G661</f>
        <v>вязка арматуры</v>
      </c>
      <c r="C116" s="88" t="s">
        <v>156</v>
      </c>
      <c r="D116" s="122" t="n">
        <f aca="false">фундамент!J661</f>
        <v>0</v>
      </c>
      <c r="E116" s="89" t="n">
        <f aca="false">фундамент!K661</f>
        <v>300</v>
      </c>
      <c r="F116" s="89"/>
      <c r="G116" s="122" t="n">
        <f aca="false">IF(F116&gt;0,D116*F116,E116*D116)</f>
        <v>0</v>
      </c>
      <c r="H116" s="85" t="n">
        <f aca="false">D116*E116*$H$100</f>
        <v>0</v>
      </c>
      <c r="I116" s="2747" t="n">
        <f aca="false">IF(G116&gt;H116,G116,H116)*$H$113</f>
        <v>0</v>
      </c>
      <c r="J116" s="2736"/>
      <c r="K116" s="2719"/>
    </row>
    <row r="117" customFormat="false" ht="15.5" hidden="false" customHeight="false" outlineLevel="0" collapsed="false">
      <c r="A117" s="2745"/>
      <c r="B117" s="87" t="str">
        <f aca="false">фундамент!G662</f>
        <v>сборка опалубки</v>
      </c>
      <c r="C117" s="88" t="s">
        <v>133</v>
      </c>
      <c r="D117" s="122" t="n">
        <f aca="false">фундамент!J662</f>
        <v>0</v>
      </c>
      <c r="E117" s="89" t="n">
        <f aca="false">фундамент!K662</f>
        <v>300</v>
      </c>
      <c r="F117" s="89"/>
      <c r="G117" s="122" t="n">
        <f aca="false">IF(F117&gt;0,D117*F117,E117*D117)</f>
        <v>0</v>
      </c>
      <c r="H117" s="85" t="n">
        <f aca="false">D117*E117*$H$100</f>
        <v>0</v>
      </c>
      <c r="I117" s="2747" t="n">
        <f aca="false">IF(G117&gt;H117,G117,H117)*$H$113</f>
        <v>0</v>
      </c>
      <c r="J117" s="2736"/>
      <c r="K117" s="2719"/>
    </row>
    <row r="118" customFormat="false" ht="15.5" hidden="false" customHeight="false" outlineLevel="0" collapsed="false">
      <c r="A118" s="2745"/>
      <c r="B118" s="87" t="str">
        <f aca="false">фундамент!G663</f>
        <v>разборка опалубки</v>
      </c>
      <c r="C118" s="88" t="s">
        <v>133</v>
      </c>
      <c r="D118" s="122" t="n">
        <f aca="false">фундамент!J663</f>
        <v>0</v>
      </c>
      <c r="E118" s="89" t="n">
        <f aca="false">фундамент!K663</f>
        <v>100</v>
      </c>
      <c r="F118" s="89"/>
      <c r="G118" s="122" t="n">
        <f aca="false">IF(F118&gt;0,D118*F118,E118*D118)</f>
        <v>0</v>
      </c>
      <c r="H118" s="85" t="n">
        <f aca="false">D118*E118*$H$100</f>
        <v>0</v>
      </c>
      <c r="I118" s="2747" t="n">
        <f aca="false">IF(G118&gt;H118,G118,H118)*$H$113</f>
        <v>0</v>
      </c>
      <c r="J118" s="2736"/>
      <c r="K118" s="2719"/>
    </row>
    <row r="119" customFormat="false" ht="15.5" hidden="false" customHeight="false" outlineLevel="0" collapsed="false">
      <c r="A119" s="2745"/>
      <c r="B119" s="87" t="str">
        <f aca="false">фундамент!G664</f>
        <v>приемка бетона</v>
      </c>
      <c r="C119" s="285" t="s">
        <v>135</v>
      </c>
      <c r="D119" s="122" t="n">
        <f aca="false">фундамент!J664</f>
        <v>0</v>
      </c>
      <c r="E119" s="89" t="n">
        <f aca="false">фундамент!K664</f>
        <v>1200</v>
      </c>
      <c r="F119" s="89"/>
      <c r="G119" s="122" t="n">
        <f aca="false">IF(F119&gt;0,D119*F119,E119*D119)</f>
        <v>0</v>
      </c>
      <c r="H119" s="85" t="n">
        <f aca="false">D119*E119*$H$100</f>
        <v>0</v>
      </c>
      <c r="I119" s="2747" t="n">
        <f aca="false">IF(G119&gt;H119,G119,H119)*$H$113</f>
        <v>0</v>
      </c>
      <c r="J119" s="2736"/>
      <c r="K119" s="2719"/>
    </row>
    <row r="120" customFormat="false" ht="15.5" hidden="false" customHeight="false" outlineLevel="0" collapsed="false">
      <c r="A120" s="2745"/>
      <c r="B120" s="87" t="str">
        <f aca="false">фундамент!G665</f>
        <v>гидроизоляция стен</v>
      </c>
      <c r="C120" s="285" t="s">
        <v>133</v>
      </c>
      <c r="D120" s="122" t="n">
        <f aca="false">фундамент!J665</f>
        <v>0</v>
      </c>
      <c r="E120" s="89" t="n">
        <f aca="false">фундамент!K665</f>
        <v>200</v>
      </c>
      <c r="F120" s="89"/>
      <c r="G120" s="122" t="n">
        <f aca="false">IF(F120&gt;0,D120*F120,E120*D120)</f>
        <v>0</v>
      </c>
      <c r="H120" s="85" t="n">
        <f aca="false">D120*E120*$H$100</f>
        <v>0</v>
      </c>
      <c r="I120" s="2747" t="n">
        <f aca="false">IF(G120&gt;H120,G120,H120)*$H$113</f>
        <v>0</v>
      </c>
      <c r="J120" s="2736"/>
      <c r="K120" s="2719"/>
    </row>
    <row r="121" customFormat="false" ht="15.5" hidden="false" customHeight="false" outlineLevel="0" collapsed="false">
      <c r="A121" s="2745"/>
      <c r="B121" s="87" t="str">
        <f aca="false">фундамент!G666</f>
        <v>утепление фундамента</v>
      </c>
      <c r="C121" s="88" t="s">
        <v>133</v>
      </c>
      <c r="D121" s="122" t="n">
        <f aca="false">фундамент!J666</f>
        <v>0</v>
      </c>
      <c r="E121" s="89" t="n">
        <f aca="false">фундамент!K666</f>
        <v>200</v>
      </c>
      <c r="F121" s="89"/>
      <c r="G121" s="122" t="n">
        <f aca="false">IF(F121&gt;0,D121*F121,E121*D121)</f>
        <v>0</v>
      </c>
      <c r="H121" s="85" t="n">
        <f aca="false">D121*E121*$H$100</f>
        <v>0</v>
      </c>
      <c r="I121" s="2747" t="n">
        <f aca="false">IF(G121&gt;H121,G121,H121)*$H$113</f>
        <v>0</v>
      </c>
      <c r="J121" s="2736"/>
      <c r="K121" s="2719"/>
    </row>
    <row r="122" customFormat="false" ht="15.5" hidden="false" customHeight="false" outlineLevel="0" collapsed="false">
      <c r="A122" s="2745"/>
      <c r="B122" s="2748" t="s">
        <v>4641</v>
      </c>
      <c r="C122" s="2748"/>
      <c r="D122" s="2748"/>
      <c r="E122" s="2748"/>
      <c r="F122" s="2748"/>
      <c r="G122" s="85" t="n">
        <f aca="false">SUM(G114:G121)*H113</f>
        <v>0</v>
      </c>
      <c r="H122" s="85" t="n">
        <f aca="false">SUM(H114:H121)</f>
        <v>0</v>
      </c>
      <c r="I122" s="2747" t="n">
        <f aca="false">IF(G122&gt;H122,G122,H122)*$H$113</f>
        <v>0</v>
      </c>
      <c r="J122" s="2736"/>
      <c r="K122" s="2719"/>
    </row>
    <row r="123" customFormat="false" ht="21" hidden="false" customHeight="false" outlineLevel="0" collapsed="false">
      <c r="A123" s="2745"/>
      <c r="B123" s="2762" t="s">
        <v>4645</v>
      </c>
      <c r="C123" s="2762"/>
      <c r="D123" s="2762"/>
      <c r="E123" s="2762"/>
      <c r="F123" s="2762"/>
      <c r="G123" s="905"/>
      <c r="H123" s="2763" t="n">
        <f aca="false">VLOOKUP('Ввод данных'!F714,связи1!A2:B3,2,0)</f>
        <v>0</v>
      </c>
      <c r="I123" s="2757" t="n">
        <f aca="false">H123</f>
        <v>0</v>
      </c>
      <c r="J123" s="2712"/>
      <c r="K123" s="2719"/>
    </row>
    <row r="124" customFormat="false" ht="15.5" hidden="false" customHeight="false" outlineLevel="0" collapsed="false">
      <c r="A124" s="2754"/>
      <c r="B124" s="2758" t="s">
        <v>2720</v>
      </c>
      <c r="C124" s="2758"/>
      <c r="D124" s="2758"/>
      <c r="E124" s="2758"/>
      <c r="F124" s="2758"/>
      <c r="G124" s="905"/>
      <c r="H124" s="2764" t="n">
        <f aca="false">H123</f>
        <v>0</v>
      </c>
      <c r="I124" s="2757" t="n">
        <f aca="false">H124</f>
        <v>0</v>
      </c>
      <c r="J124" s="2732"/>
      <c r="K124" s="2733"/>
    </row>
    <row r="125" customFormat="false" ht="15.5" hidden="false" customHeight="false" outlineLevel="0" collapsed="false">
      <c r="A125" s="2712"/>
      <c r="B125" s="298" t="str">
        <f aca="false">фундамент!A271</f>
        <v>пробное забуривание</v>
      </c>
      <c r="C125" s="2765" t="str">
        <f aca="false">фундамент!B271</f>
        <v>шт</v>
      </c>
      <c r="D125" s="298" t="n">
        <f aca="false">фундамент!C271</f>
        <v>1</v>
      </c>
      <c r="E125" s="298" t="n">
        <f aca="false">фундамент!D271</f>
        <v>5000</v>
      </c>
      <c r="F125" s="298"/>
      <c r="G125" s="122" t="n">
        <f aca="false">IF(F125&gt;0,D125*F125,E125*D125)</f>
        <v>5000</v>
      </c>
      <c r="H125" s="2210" t="n">
        <f aca="false">D125*E125*$H$124</f>
        <v>0</v>
      </c>
      <c r="I125" s="2747" t="n">
        <f aca="false">IF(G125&gt;H125,G125,H125)*$H$123</f>
        <v>0</v>
      </c>
      <c r="J125" s="2744"/>
      <c r="K125" s="226" t="n">
        <f aca="false">D125-J125</f>
        <v>1</v>
      </c>
      <c r="L125" s="2736"/>
    </row>
    <row r="126" customFormat="false" ht="15.5" hidden="false" customHeight="false" outlineLevel="0" collapsed="false">
      <c r="A126" s="2719"/>
      <c r="B126" s="298" t="str">
        <f aca="false">фундамент!A272</f>
        <v>108мм, 2,5м длина, 1 лопасть</v>
      </c>
      <c r="C126" s="2765" t="str">
        <f aca="false">фундамент!B272</f>
        <v>шт</v>
      </c>
      <c r="D126" s="298" t="n">
        <f aca="false">фундамент!C272</f>
        <v>25</v>
      </c>
      <c r="E126" s="298" t="n">
        <f aca="false">фундамент!D272</f>
        <v>1950</v>
      </c>
      <c r="F126" s="298"/>
      <c r="G126" s="122" t="n">
        <f aca="false">IF(F126&gt;0,D126*F126,E126*D126)</f>
        <v>48750</v>
      </c>
      <c r="H126" s="2210" t="n">
        <f aca="false">D126*E126*$H$124</f>
        <v>0</v>
      </c>
      <c r="I126" s="2747" t="n">
        <f aca="false">IF(G126&gt;H126,G126,H126)*$H$123</f>
        <v>0</v>
      </c>
      <c r="J126" s="2744"/>
      <c r="K126" s="226" t="n">
        <f aca="false">D126-J126</f>
        <v>25</v>
      </c>
      <c r="L126" s="2736"/>
    </row>
    <row r="127" customFormat="false" ht="15.5" hidden="false" customHeight="false" outlineLevel="0" collapsed="false">
      <c r="A127" s="2719"/>
      <c r="B127" s="298" t="str">
        <f aca="false">фундамент!A273</f>
        <v>Оголовкок для свай 200*200</v>
      </c>
      <c r="C127" s="2765" t="str">
        <f aca="false">фундамент!B273</f>
        <v>шт</v>
      </c>
      <c r="D127" s="298" t="n">
        <f aca="false">фундамент!C273</f>
        <v>25</v>
      </c>
      <c r="E127" s="298" t="n">
        <f aca="false">фундамент!D273</f>
        <v>250</v>
      </c>
      <c r="F127" s="298"/>
      <c r="G127" s="122" t="n">
        <f aca="false">IF(F127&gt;0,D127*F127,E127*D127)</f>
        <v>6250</v>
      </c>
      <c r="H127" s="2210" t="n">
        <f aca="false">D127*E127*$H$124</f>
        <v>0</v>
      </c>
      <c r="I127" s="2747" t="n">
        <f aca="false">IF(G127&gt;H127,G127,H127)*$H$123</f>
        <v>0</v>
      </c>
      <c r="J127" s="2744"/>
      <c r="K127" s="226" t="n">
        <f aca="false">D127-J127</f>
        <v>25</v>
      </c>
      <c r="L127" s="2736"/>
    </row>
    <row r="128" customFormat="false" ht="15.5" hidden="false" customHeight="false" outlineLevel="0" collapsed="false">
      <c r="A128" s="2719"/>
      <c r="B128" s="298" t="str">
        <f aca="false">фундамент!A274</f>
        <v>обвязка металлом</v>
      </c>
      <c r="C128" s="2765" t="str">
        <f aca="false">фундамент!B274</f>
        <v>м.п.</v>
      </c>
      <c r="D128" s="298" t="n">
        <f aca="false">фундамент!C274</f>
        <v>56</v>
      </c>
      <c r="E128" s="298" t="n">
        <f aca="false">фундамент!D274</f>
        <v>100</v>
      </c>
      <c r="F128" s="298"/>
      <c r="G128" s="122" t="n">
        <f aca="false">IF(F128&gt;0,D128*F128,E128*D128)</f>
        <v>5600</v>
      </c>
      <c r="H128" s="2210" t="n">
        <f aca="false">D128*E128*$H$124</f>
        <v>0</v>
      </c>
      <c r="I128" s="2747" t="n">
        <f aca="false">IF(G128&gt;H128,G128,H128)*$H$123</f>
        <v>0</v>
      </c>
      <c r="J128" s="2744"/>
      <c r="K128" s="226" t="n">
        <f aca="false">D128-J128</f>
        <v>56</v>
      </c>
      <c r="L128" s="2736"/>
    </row>
    <row r="129" customFormat="false" ht="15.5" hidden="false" customHeight="false" outlineLevel="0" collapsed="false">
      <c r="A129" s="2719"/>
      <c r="B129" s="298" t="str">
        <f aca="false">фундамент!A275</f>
        <v>Раствор, м200</v>
      </c>
      <c r="C129" s="2765" t="str">
        <f aca="false">фундамент!B275</f>
        <v>м3</v>
      </c>
      <c r="D129" s="298" t="n">
        <f aca="false">фундамент!C275</f>
        <v>1.1304</v>
      </c>
      <c r="E129" s="298" t="n">
        <f aca="false">фундамент!D275</f>
        <v>2100</v>
      </c>
      <c r="F129" s="298"/>
      <c r="G129" s="122" t="n">
        <f aca="false">IF(F129&gt;0,D129*F129,E129*D129)</f>
        <v>2373.84</v>
      </c>
      <c r="H129" s="2210" t="n">
        <f aca="false">D129*E129*$H$124</f>
        <v>0</v>
      </c>
      <c r="I129" s="2747" t="n">
        <f aca="false">IF(G129&gt;H129,G129,H129)*$H$123</f>
        <v>0</v>
      </c>
      <c r="J129" s="2744"/>
      <c r="K129" s="226" t="n">
        <f aca="false">D129-J129</f>
        <v>1.1304</v>
      </c>
      <c r="L129" s="2736"/>
    </row>
    <row r="130" customFormat="false" ht="15.5" hidden="false" customHeight="false" outlineLevel="0" collapsed="false">
      <c r="A130" s="2719"/>
      <c r="B130" s="298" t="str">
        <f aca="false">фундамент!A276</f>
        <v>Электроды ок 47</v>
      </c>
      <c r="C130" s="2765" t="str">
        <f aca="false">фундамент!B276</f>
        <v>шт</v>
      </c>
      <c r="D130" s="298" t="n">
        <f aca="false">фундамент!C276</f>
        <v>25</v>
      </c>
      <c r="E130" s="298" t="n">
        <f aca="false">фундамент!D276</f>
        <v>10</v>
      </c>
      <c r="F130" s="298"/>
      <c r="G130" s="122" t="n">
        <f aca="false">IF(F130&gt;0,D130*F130,E130*D130)</f>
        <v>250</v>
      </c>
      <c r="H130" s="2210" t="n">
        <f aca="false">D130*E130*$H$124</f>
        <v>0</v>
      </c>
      <c r="I130" s="2747" t="n">
        <f aca="false">IF(G130&gt;H130,G130,H130)*$H$123</f>
        <v>0</v>
      </c>
      <c r="J130" s="2744"/>
      <c r="K130" s="226" t="n">
        <f aca="false">D130-J130</f>
        <v>25</v>
      </c>
      <c r="L130" s="2736"/>
    </row>
    <row r="131" customFormat="false" ht="15.5" hidden="false" customHeight="false" outlineLevel="0" collapsed="false">
      <c r="A131" s="2719"/>
      <c r="B131" s="2748" t="s">
        <v>4640</v>
      </c>
      <c r="C131" s="2748"/>
      <c r="D131" s="2748"/>
      <c r="E131" s="2748"/>
      <c r="F131" s="2748"/>
      <c r="G131" s="2210" t="n">
        <f aca="false">SUM(G125:G130)*H123</f>
        <v>0</v>
      </c>
      <c r="H131" s="2210" t="n">
        <f aca="false">SUM(H125:H130)</f>
        <v>0</v>
      </c>
      <c r="I131" s="2747" t="n">
        <f aca="false">IF(G131&gt;H131,G131,H131)*$H$123</f>
        <v>0</v>
      </c>
      <c r="J131" s="2744"/>
      <c r="K131" s="226" t="n">
        <f aca="false">D131-J131</f>
        <v>0</v>
      </c>
      <c r="L131" s="2736"/>
    </row>
    <row r="132" customFormat="false" ht="15.5" hidden="false" customHeight="false" outlineLevel="0" collapsed="false">
      <c r="A132" s="2719"/>
      <c r="B132" s="2750" t="s">
        <v>1409</v>
      </c>
      <c r="C132" s="2750"/>
      <c r="D132" s="2750"/>
      <c r="E132" s="2750"/>
      <c r="F132" s="2750"/>
      <c r="G132" s="905"/>
      <c r="H132" s="2766" t="n">
        <f aca="false">H123</f>
        <v>0</v>
      </c>
      <c r="I132" s="2757" t="n">
        <f aca="false">H132</f>
        <v>0</v>
      </c>
      <c r="J132" s="2752"/>
      <c r="K132" s="2753"/>
    </row>
    <row r="133" customFormat="false" ht="15.5" hidden="false" customHeight="false" outlineLevel="0" collapsed="false">
      <c r="A133" s="2712"/>
      <c r="B133" s="2648" t="str">
        <f aca="false">фундамент!G271</f>
        <v>разбивка осей</v>
      </c>
      <c r="C133" s="2765" t="s">
        <v>159</v>
      </c>
      <c r="D133" s="2311" t="n">
        <f aca="false">фундамент!J271</f>
        <v>1</v>
      </c>
      <c r="E133" s="2767" t="n">
        <f aca="false">фундамент!K271</f>
        <v>7000</v>
      </c>
      <c r="F133" s="2767"/>
      <c r="G133" s="122" t="n">
        <f aca="false">IF(F133&gt;0,D133*F133,E133*D133)</f>
        <v>7000</v>
      </c>
      <c r="H133" s="2210" t="n">
        <f aca="false">D133*E133*$H$124</f>
        <v>0</v>
      </c>
      <c r="I133" s="2747" t="n">
        <f aca="false">IF(G133&gt;H133,G133,H133)*$H$123</f>
        <v>0</v>
      </c>
      <c r="L133" s="878"/>
      <c r="M133" s="878"/>
    </row>
    <row r="134" customFormat="false" ht="15.5" hidden="false" customHeight="false" outlineLevel="0" collapsed="false">
      <c r="A134" s="2719"/>
      <c r="B134" s="2648" t="str">
        <f aca="false">фундамент!G272</f>
        <v>монтаж свай</v>
      </c>
      <c r="C134" s="2765" t="s">
        <v>159</v>
      </c>
      <c r="D134" s="2311" t="n">
        <f aca="false">фундамент!J272</f>
        <v>25</v>
      </c>
      <c r="E134" s="2767" t="n">
        <f aca="false">фундамент!K272</f>
        <v>1000</v>
      </c>
      <c r="F134" s="2767"/>
      <c r="G134" s="122" t="n">
        <f aca="false">IF(F134&gt;0,D134*F134,E134*D134)</f>
        <v>25000</v>
      </c>
      <c r="H134" s="2210" t="n">
        <f aca="false">D134*E134*$H$124</f>
        <v>0</v>
      </c>
      <c r="I134" s="2747" t="n">
        <f aca="false">IF(G134&gt;H134,G134,H134)*$H$123</f>
        <v>0</v>
      </c>
      <c r="L134" s="878"/>
      <c r="M134" s="878"/>
    </row>
    <row r="135" customFormat="false" ht="15.5" hidden="false" customHeight="false" outlineLevel="0" collapsed="false">
      <c r="A135" s="2719"/>
      <c r="B135" s="2648" t="str">
        <f aca="false">фундамент!G273</f>
        <v>монтаж оголовков</v>
      </c>
      <c r="C135" s="2765" t="s">
        <v>159</v>
      </c>
      <c r="D135" s="2311" t="n">
        <f aca="false">фундамент!J273</f>
        <v>25</v>
      </c>
      <c r="E135" s="2767" t="n">
        <f aca="false">фундамент!K273</f>
        <v>100</v>
      </c>
      <c r="F135" s="2767"/>
      <c r="G135" s="122" t="n">
        <f aca="false">IF(F135&gt;0,D135*F135,E135*D135)</f>
        <v>2500</v>
      </c>
      <c r="H135" s="2210" t="n">
        <f aca="false">D135*E135*$H$124</f>
        <v>0</v>
      </c>
      <c r="I135" s="2747" t="n">
        <f aca="false">IF(G135&gt;H135,G135,H135)*$H$123</f>
        <v>0</v>
      </c>
      <c r="L135" s="878"/>
      <c r="M135" s="878"/>
    </row>
    <row r="136" customFormat="false" ht="15.5" hidden="false" customHeight="false" outlineLevel="0" collapsed="false">
      <c r="A136" s="2719"/>
      <c r="B136" s="2648" t="str">
        <f aca="false">фундамент!G274</f>
        <v>обвязка металлом</v>
      </c>
      <c r="C136" s="2765" t="s">
        <v>156</v>
      </c>
      <c r="D136" s="2311" t="n">
        <f aca="false">фундамент!J274</f>
        <v>56</v>
      </c>
      <c r="E136" s="2767" t="n">
        <f aca="false">фундамент!K274</f>
        <v>100</v>
      </c>
      <c r="F136" s="2767"/>
      <c r="G136" s="122" t="n">
        <f aca="false">IF(F136&gt;0,D136*F136,E136*D136)</f>
        <v>5600</v>
      </c>
      <c r="H136" s="2210" t="n">
        <f aca="false">D136*E136*$H$124</f>
        <v>0</v>
      </c>
      <c r="I136" s="2747" t="n">
        <f aca="false">IF(G136&gt;H136,G136,H136)*$H$123</f>
        <v>0</v>
      </c>
      <c r="L136" s="878"/>
      <c r="M136" s="878"/>
    </row>
    <row r="137" customFormat="false" ht="15.5" hidden="false" customHeight="false" outlineLevel="0" collapsed="false">
      <c r="A137" s="2719"/>
      <c r="B137" s="2648" t="str">
        <f aca="false">фундамент!G275</f>
        <v>заливка бетоном</v>
      </c>
      <c r="C137" s="2765" t="s">
        <v>159</v>
      </c>
      <c r="D137" s="2311" t="n">
        <f aca="false">фундамент!J275</f>
        <v>25</v>
      </c>
      <c r="E137" s="2767" t="n">
        <f aca="false">фундамент!K275</f>
        <v>200</v>
      </c>
      <c r="F137" s="2767"/>
      <c r="G137" s="122" t="n">
        <f aca="false">IF(F137&gt;0,D137*F137,E137*D137)</f>
        <v>5000</v>
      </c>
      <c r="H137" s="2210" t="n">
        <f aca="false">D137*E137*$H$124</f>
        <v>0</v>
      </c>
      <c r="I137" s="2747" t="n">
        <f aca="false">IF(G137&gt;H137,G137,H137)*$H$123</f>
        <v>0</v>
      </c>
      <c r="J137" s="2736"/>
      <c r="K137" s="2719"/>
    </row>
    <row r="138" customFormat="false" ht="15.5" hidden="false" customHeight="false" outlineLevel="0" collapsed="false">
      <c r="A138" s="2719"/>
      <c r="B138" s="2648" t="str">
        <f aca="false">фундамент!G276</f>
        <v>Обрезка винтовых свай по невелиру</v>
      </c>
      <c r="C138" s="2765" t="s">
        <v>159</v>
      </c>
      <c r="D138" s="2311" t="n">
        <f aca="false">фундамент!J276</f>
        <v>25</v>
      </c>
      <c r="E138" s="2767" t="n">
        <f aca="false">фундамент!K276</f>
        <v>200</v>
      </c>
      <c r="F138" s="2767"/>
      <c r="G138" s="122" t="n">
        <f aca="false">IF(F138&gt;0,D138*F138,E138*D138)</f>
        <v>5000</v>
      </c>
      <c r="H138" s="2210" t="n">
        <f aca="false">D138*E138*$H$124</f>
        <v>0</v>
      </c>
      <c r="I138" s="2747" t="n">
        <f aca="false">IF(G138&gt;H138,G138,H138)*$H$123</f>
        <v>0</v>
      </c>
      <c r="J138" s="2736"/>
      <c r="K138" s="2719"/>
    </row>
    <row r="139" customFormat="false" ht="15.5" hidden="false" customHeight="false" outlineLevel="0" collapsed="false">
      <c r="A139" s="2719"/>
      <c r="B139" s="2648" t="str">
        <f aca="false">фундамент!G277</f>
        <v>Наварка оголовка</v>
      </c>
      <c r="C139" s="2765" t="s">
        <v>159</v>
      </c>
      <c r="D139" s="2311" t="n">
        <f aca="false">фундамент!J277</f>
        <v>25</v>
      </c>
      <c r="E139" s="2767" t="n">
        <f aca="false">фундамент!K277</f>
        <v>250</v>
      </c>
      <c r="F139" s="2767"/>
      <c r="G139" s="122" t="n">
        <f aca="false">IF(F139&gt;0,D139*F139,E139*D139)</f>
        <v>6250</v>
      </c>
      <c r="H139" s="2210" t="n">
        <f aca="false">D139*E139*$H$124</f>
        <v>0</v>
      </c>
      <c r="I139" s="2747" t="n">
        <f aca="false">IF(G139&gt;H139,G139,H139)*$H$123</f>
        <v>0</v>
      </c>
      <c r="J139" s="2736"/>
      <c r="K139" s="2719"/>
    </row>
    <row r="140" customFormat="false" ht="15.5" hidden="false" customHeight="false" outlineLevel="0" collapsed="false">
      <c r="A140" s="2719"/>
      <c r="B140" s="2748" t="s">
        <v>4641</v>
      </c>
      <c r="C140" s="2748"/>
      <c r="D140" s="2748"/>
      <c r="E140" s="2748"/>
      <c r="F140" s="2748"/>
      <c r="G140" s="2210" t="n">
        <f aca="false">SUM(G133:G139)*H132</f>
        <v>0</v>
      </c>
      <c r="H140" s="2210" t="n">
        <f aca="false">SUM(H133:H139)</f>
        <v>0</v>
      </c>
      <c r="I140" s="2747" t="n">
        <f aca="false">IF(G140&gt;H140,G140,H140)*$H$123</f>
        <v>0</v>
      </c>
      <c r="J140" s="2736"/>
      <c r="K140" s="2719"/>
    </row>
    <row r="141" customFormat="false" ht="21" hidden="false" customHeight="false" outlineLevel="0" collapsed="false">
      <c r="A141" s="2719"/>
      <c r="B141" s="2768" t="s">
        <v>4646</v>
      </c>
      <c r="C141" s="2768"/>
      <c r="D141" s="2768"/>
      <c r="E141" s="2768"/>
      <c r="F141" s="2769"/>
      <c r="G141" s="905"/>
      <c r="H141" s="2770" t="n">
        <f aca="false">фундамент!B287*VLOOKUP('Ввод данных'!D578,связи1!A2:B3,2,0)</f>
        <v>0</v>
      </c>
      <c r="I141" s="2757" t="n">
        <f aca="false">H141</f>
        <v>0</v>
      </c>
      <c r="J141" s="2712"/>
      <c r="K141" s="2719"/>
    </row>
    <row r="142" customFormat="false" ht="15.5" hidden="false" customHeight="false" outlineLevel="0" collapsed="false">
      <c r="A142" s="2719"/>
      <c r="B142" s="2758" t="s">
        <v>2720</v>
      </c>
      <c r="C142" s="2758"/>
      <c r="D142" s="2758"/>
      <c r="E142" s="2758"/>
      <c r="F142" s="2771"/>
      <c r="G142" s="905"/>
      <c r="H142" s="2770" t="n">
        <f aca="false">H141</f>
        <v>0</v>
      </c>
      <c r="I142" s="2757" t="n">
        <f aca="false">H142</f>
        <v>0</v>
      </c>
      <c r="J142" s="2732"/>
      <c r="K142" s="2733"/>
    </row>
    <row r="143" customFormat="false" ht="15.5" hidden="false" customHeight="false" outlineLevel="0" collapsed="false">
      <c r="A143" s="2719"/>
      <c r="B143" s="639" t="str">
        <f aca="false">фундамент!A290</f>
        <v>пробное забуривание</v>
      </c>
      <c r="C143" s="238" t="str">
        <f aca="false">C125</f>
        <v>шт</v>
      </c>
      <c r="D143" s="245" t="n">
        <f aca="false">фундамент!C290</f>
        <v>1</v>
      </c>
      <c r="E143" s="23" t="n">
        <f aca="false">фундамент!D290</f>
        <v>5000</v>
      </c>
      <c r="F143" s="23"/>
      <c r="G143" s="122" t="n">
        <f aca="false">IF(F143&gt;0,D143*F143,E143*D143)</f>
        <v>5000</v>
      </c>
      <c r="H143" s="2210" t="n">
        <f aca="false">D143*E143*$H$141</f>
        <v>0</v>
      </c>
      <c r="I143" s="2747" t="n">
        <f aca="false">IF(G143&gt;H143,G143,H143)*$H$141</f>
        <v>0</v>
      </c>
      <c r="J143" s="2744"/>
      <c r="K143" s="226" t="n">
        <f aca="false">D143-J143</f>
        <v>1</v>
      </c>
      <c r="L143" s="2736"/>
    </row>
    <row r="144" customFormat="false" ht="15.5" hidden="false" customHeight="false" outlineLevel="0" collapsed="false">
      <c r="A144" s="2719"/>
      <c r="B144" s="639" t="str">
        <f aca="false">фундамент!A291</f>
        <v>76мм, 3,5м длина, 2 лопасть</v>
      </c>
      <c r="C144" s="238" t="str">
        <f aca="false">C126</f>
        <v>шт</v>
      </c>
      <c r="D144" s="245" t="n">
        <f aca="false">фундамент!C291</f>
        <v>8</v>
      </c>
      <c r="E144" s="23" t="n">
        <f aca="false">фундамент!D291</f>
        <v>2130</v>
      </c>
      <c r="F144" s="23"/>
      <c r="G144" s="122" t="n">
        <f aca="false">IF(F144&gt;0,D144*F144,E144*D144)</f>
        <v>17040</v>
      </c>
      <c r="H144" s="2210" t="n">
        <f aca="false">D144*E144*$H$141</f>
        <v>0</v>
      </c>
      <c r="I144" s="2747" t="n">
        <f aca="false">IF(G144&gt;H144,G144,H144)*$H$141</f>
        <v>0</v>
      </c>
      <c r="J144" s="2744"/>
      <c r="K144" s="226" t="n">
        <f aca="false">D144-J144</f>
        <v>8</v>
      </c>
      <c r="L144" s="2736"/>
    </row>
    <row r="145" customFormat="false" ht="15.5" hidden="false" customHeight="false" outlineLevel="0" collapsed="false">
      <c r="A145" s="2719"/>
      <c r="B145" s="639" t="str">
        <f aca="false">фундамент!A292</f>
        <v>Оголовкок для свай 200*200</v>
      </c>
      <c r="C145" s="238" t="str">
        <f aca="false">C127</f>
        <v>шт</v>
      </c>
      <c r="D145" s="245" t="n">
        <f aca="false">фундамент!C292</f>
        <v>8</v>
      </c>
      <c r="E145" s="23" t="n">
        <f aca="false">фундамент!D292</f>
        <v>250</v>
      </c>
      <c r="F145" s="23"/>
      <c r="G145" s="122" t="n">
        <f aca="false">IF(F145&gt;0,D145*F145,E145*D145)</f>
        <v>2000</v>
      </c>
      <c r="H145" s="2210" t="n">
        <f aca="false">D145*E145*$H$141</f>
        <v>0</v>
      </c>
      <c r="I145" s="2747" t="n">
        <f aca="false">IF(G145&gt;H145,G145,H145)*$H$141</f>
        <v>0</v>
      </c>
      <c r="J145" s="2744"/>
      <c r="K145" s="226" t="n">
        <f aca="false">D145-J145</f>
        <v>8</v>
      </c>
      <c r="L145" s="2736"/>
    </row>
    <row r="146" customFormat="false" ht="15.5" hidden="false" customHeight="false" outlineLevel="0" collapsed="false">
      <c r="A146" s="2719"/>
      <c r="B146" s="639" t="str">
        <f aca="false">фундамент!A293</f>
        <v>обвязка металлом, 20/40/3000</v>
      </c>
      <c r="C146" s="238" t="str">
        <f aca="false">C128</f>
        <v>м.п.</v>
      </c>
      <c r="D146" s="245" t="n">
        <f aca="false">фундамент!C293</f>
        <v>8</v>
      </c>
      <c r="E146" s="23" t="n">
        <f aca="false">фундамент!D293</f>
        <v>100</v>
      </c>
      <c r="F146" s="23"/>
      <c r="G146" s="122" t="n">
        <f aca="false">IF(F146&gt;0,D146*F146,E146*D146)</f>
        <v>800</v>
      </c>
      <c r="H146" s="2210" t="n">
        <f aca="false">D146*E146*$H$141</f>
        <v>0</v>
      </c>
      <c r="I146" s="2747" t="n">
        <f aca="false">IF(G146&gt;H146,G146,H146)*$H$141</f>
        <v>0</v>
      </c>
      <c r="J146" s="2744"/>
      <c r="K146" s="226" t="n">
        <f aca="false">D146-J146</f>
        <v>8</v>
      </c>
      <c r="L146" s="2736"/>
    </row>
    <row r="147" customFormat="false" ht="15.5" hidden="false" customHeight="false" outlineLevel="0" collapsed="false">
      <c r="A147" s="2719"/>
      <c r="B147" s="639" t="str">
        <f aca="false">фундамент!A294</f>
        <v>Раствор, м200</v>
      </c>
      <c r="C147" s="238" t="str">
        <f aca="false">C129</f>
        <v>м3</v>
      </c>
      <c r="D147" s="245" t="n">
        <f aca="false">фундамент!C294</f>
        <v>0.361728</v>
      </c>
      <c r="E147" s="23" t="n">
        <f aca="false">фундамент!D294</f>
        <v>2100</v>
      </c>
      <c r="F147" s="23"/>
      <c r="G147" s="122" t="n">
        <f aca="false">IF(F147&gt;0,D147*F147,E147*D147)</f>
        <v>759.6288</v>
      </c>
      <c r="H147" s="2210" t="n">
        <f aca="false">D147*E147*$H$141</f>
        <v>0</v>
      </c>
      <c r="I147" s="2747" t="n">
        <f aca="false">IF(G147&gt;H147,G147,H147)*$H$141</f>
        <v>0</v>
      </c>
      <c r="J147" s="2744"/>
      <c r="K147" s="226" t="n">
        <f aca="false">D147-J147</f>
        <v>0.361728</v>
      </c>
      <c r="L147" s="2736"/>
    </row>
    <row r="148" customFormat="false" ht="15.5" hidden="false" customHeight="false" outlineLevel="0" collapsed="false">
      <c r="A148" s="2719"/>
      <c r="B148" s="639" t="str">
        <f aca="false">фундамент!A295</f>
        <v>Электроды ок 47</v>
      </c>
      <c r="C148" s="238" t="str">
        <f aca="false">C130</f>
        <v>шт</v>
      </c>
      <c r="D148" s="245" t="n">
        <f aca="false">фундамент!C295</f>
        <v>8</v>
      </c>
      <c r="E148" s="23" t="n">
        <f aca="false">фундамент!D295</f>
        <v>10</v>
      </c>
      <c r="F148" s="23"/>
      <c r="G148" s="122" t="n">
        <f aca="false">IF(F148&gt;0,D148*F148,E148*D148)</f>
        <v>80</v>
      </c>
      <c r="H148" s="2210" t="n">
        <f aca="false">D148*E148*$H$141</f>
        <v>0</v>
      </c>
      <c r="I148" s="2747" t="n">
        <f aca="false">IF(G148&gt;H148,G148,H148)*$H$141</f>
        <v>0</v>
      </c>
      <c r="J148" s="2744"/>
      <c r="K148" s="226" t="n">
        <f aca="false">D148-J148</f>
        <v>8</v>
      </c>
      <c r="L148" s="2736"/>
    </row>
    <row r="149" customFormat="false" ht="15.5" hidden="false" customHeight="false" outlineLevel="0" collapsed="false">
      <c r="A149" s="2719"/>
      <c r="B149" s="2748" t="s">
        <v>4640</v>
      </c>
      <c r="C149" s="2748"/>
      <c r="D149" s="2748"/>
      <c r="E149" s="2748"/>
      <c r="F149" s="2748"/>
      <c r="G149" s="2210" t="n">
        <f aca="false">SUM(G143:G148)*H141</f>
        <v>0</v>
      </c>
      <c r="H149" s="2210" t="n">
        <f aca="false">SUM(H143:H148)</f>
        <v>0</v>
      </c>
      <c r="I149" s="2747" t="n">
        <f aca="false">IF(G149&gt;H149,G149,H149)*$H$141</f>
        <v>0</v>
      </c>
      <c r="J149" s="2744"/>
      <c r="K149" s="226" t="n">
        <f aca="false">D149-J149</f>
        <v>0</v>
      </c>
      <c r="L149" s="2736"/>
    </row>
    <row r="150" customFormat="false" ht="15.5" hidden="false" customHeight="false" outlineLevel="0" collapsed="false">
      <c r="A150" s="2719"/>
      <c r="B150" s="2772" t="str">
        <f aca="false">B132</f>
        <v>Работы</v>
      </c>
      <c r="C150" s="2772"/>
      <c r="D150" s="2772"/>
      <c r="E150" s="2772"/>
      <c r="F150" s="2773"/>
      <c r="G150" s="905"/>
      <c r="H150" s="2770" t="n">
        <f aca="false">H141</f>
        <v>0</v>
      </c>
      <c r="I150" s="2757" t="n">
        <f aca="false">H150</f>
        <v>0</v>
      </c>
      <c r="J150" s="2752"/>
      <c r="K150" s="2753"/>
    </row>
    <row r="151" customFormat="false" ht="15.5" hidden="false" customHeight="false" outlineLevel="0" collapsed="false">
      <c r="A151" s="2719"/>
      <c r="B151" s="639" t="str">
        <f aca="false">фундамент!G290</f>
        <v>разбивка осей</v>
      </c>
      <c r="C151" s="238" t="str">
        <f aca="false">фундамент!I290</f>
        <v>шт</v>
      </c>
      <c r="D151" s="245" t="n">
        <f aca="false">фундамент!J290</f>
        <v>1</v>
      </c>
      <c r="E151" s="23" t="n">
        <f aca="false">фундамент!K290</f>
        <v>7000</v>
      </c>
      <c r="F151" s="23"/>
      <c r="G151" s="122" t="n">
        <f aca="false">IF(F151&gt;0,D151*F151,E151*D151)</f>
        <v>7000</v>
      </c>
      <c r="H151" s="2210" t="n">
        <f aca="false">D151*E151*$H$150</f>
        <v>0</v>
      </c>
      <c r="I151" s="2747" t="n">
        <f aca="false">IF(G151&gt;H151,G151,H151)*$H$141</f>
        <v>0</v>
      </c>
      <c r="J151" s="2736"/>
      <c r="K151" s="2719"/>
    </row>
    <row r="152" customFormat="false" ht="15.5" hidden="false" customHeight="false" outlineLevel="0" collapsed="false">
      <c r="A152" s="2719"/>
      <c r="B152" s="639" t="str">
        <f aca="false">фундамент!G291</f>
        <v>монтаж свай гидравликой</v>
      </c>
      <c r="C152" s="238" t="str">
        <f aca="false">фундамент!I291</f>
        <v>шт</v>
      </c>
      <c r="D152" s="245" t="n">
        <f aca="false">фундамент!J291</f>
        <v>1</v>
      </c>
      <c r="E152" s="23" t="n">
        <f aca="false">фундамент!K291</f>
        <v>1000</v>
      </c>
      <c r="F152" s="23"/>
      <c r="G152" s="122" t="n">
        <f aca="false">IF(F152&gt;0,D152*F152,E152*D152)</f>
        <v>1000</v>
      </c>
      <c r="H152" s="2210" t="n">
        <f aca="false">D152*E152*$H$150</f>
        <v>0</v>
      </c>
      <c r="I152" s="2747" t="n">
        <f aca="false">IF(G152&gt;H152,G152,H152)*$H$141</f>
        <v>0</v>
      </c>
      <c r="J152" s="2736"/>
      <c r="K152" s="2719"/>
    </row>
    <row r="153" customFormat="false" ht="15.5" hidden="false" customHeight="false" outlineLevel="0" collapsed="false">
      <c r="A153" s="2719"/>
      <c r="B153" s="639" t="str">
        <f aca="false">фундамент!G292</f>
        <v>монтаж оголовков</v>
      </c>
      <c r="C153" s="238" t="str">
        <f aca="false">фундамент!I292</f>
        <v>шт</v>
      </c>
      <c r="D153" s="245" t="n">
        <f aca="false">фундамент!J292</f>
        <v>8</v>
      </c>
      <c r="E153" s="23" t="n">
        <f aca="false">фундамент!K292</f>
        <v>100</v>
      </c>
      <c r="F153" s="23"/>
      <c r="G153" s="122" t="n">
        <f aca="false">IF(F153&gt;0,D153*F153,E153*D153)</f>
        <v>800</v>
      </c>
      <c r="H153" s="2210" t="n">
        <f aca="false">D153*E153*$H$150</f>
        <v>0</v>
      </c>
      <c r="I153" s="2747" t="n">
        <f aca="false">IF(G153&gt;H153,G153,H153)*$H$141</f>
        <v>0</v>
      </c>
      <c r="J153" s="2736"/>
      <c r="K153" s="2719"/>
    </row>
    <row r="154" customFormat="false" ht="15.5" hidden="false" customHeight="false" outlineLevel="0" collapsed="false">
      <c r="A154" s="2719"/>
      <c r="B154" s="639" t="str">
        <f aca="false">фундамент!G293</f>
        <v>обвязка металлом</v>
      </c>
      <c r="C154" s="238" t="str">
        <f aca="false">фундамент!I293</f>
        <v>м.п.</v>
      </c>
      <c r="D154" s="245" t="n">
        <f aca="false">фундамент!J293</f>
        <v>8</v>
      </c>
      <c r="E154" s="23" t="n">
        <f aca="false">фундамент!K293</f>
        <v>100</v>
      </c>
      <c r="F154" s="23"/>
      <c r="G154" s="122" t="n">
        <f aca="false">IF(F154&gt;0,D154*F154,E154*D154)</f>
        <v>800</v>
      </c>
      <c r="H154" s="2210" t="n">
        <f aca="false">D154*E154*$H$150</f>
        <v>0</v>
      </c>
      <c r="I154" s="2747" t="n">
        <f aca="false">IF(G154&gt;H154,G154,H154)*$H$141</f>
        <v>0</v>
      </c>
      <c r="J154" s="2736"/>
      <c r="K154" s="2719"/>
    </row>
    <row r="155" customFormat="false" ht="15.5" hidden="false" customHeight="false" outlineLevel="0" collapsed="false">
      <c r="A155" s="2719"/>
      <c r="B155" s="639" t="str">
        <f aca="false">фундамент!G294</f>
        <v>заливка бетоном</v>
      </c>
      <c r="C155" s="238" t="str">
        <f aca="false">фундамент!I294</f>
        <v>шт</v>
      </c>
      <c r="D155" s="245" t="n">
        <f aca="false">фундамент!J294</f>
        <v>8</v>
      </c>
      <c r="E155" s="23" t="n">
        <f aca="false">фундамент!K294</f>
        <v>200</v>
      </c>
      <c r="F155" s="23"/>
      <c r="G155" s="122" t="n">
        <f aca="false">IF(F155&gt;0,D155*F155,E155*D155)</f>
        <v>1600</v>
      </c>
      <c r="H155" s="2210" t="n">
        <f aca="false">D155*E155*$H$150</f>
        <v>0</v>
      </c>
      <c r="I155" s="2747" t="n">
        <f aca="false">IF(G155&gt;H155,G155,H155)*$H$141</f>
        <v>0</v>
      </c>
      <c r="J155" s="2736"/>
      <c r="K155" s="2719"/>
    </row>
    <row r="156" customFormat="false" ht="15.5" hidden="false" customHeight="false" outlineLevel="0" collapsed="false">
      <c r="A156" s="2719"/>
      <c r="B156" s="639" t="str">
        <f aca="false">фундамент!G295</f>
        <v>Обрезка винтовых свай по невелиру</v>
      </c>
      <c r="C156" s="238" t="str">
        <f aca="false">фундамент!I295</f>
        <v>шт</v>
      </c>
      <c r="D156" s="245" t="n">
        <f aca="false">фундамент!J295</f>
        <v>8</v>
      </c>
      <c r="E156" s="23" t="n">
        <f aca="false">фундамент!K295</f>
        <v>200</v>
      </c>
      <c r="F156" s="23"/>
      <c r="G156" s="122" t="n">
        <f aca="false">IF(F156&gt;0,D156*F156,E156*D156)</f>
        <v>1600</v>
      </c>
      <c r="H156" s="2210" t="n">
        <f aca="false">D156*E156*$H$150</f>
        <v>0</v>
      </c>
      <c r="I156" s="2747" t="n">
        <f aca="false">IF(G156&gt;H156,G156,H156)*$H$141</f>
        <v>0</v>
      </c>
      <c r="J156" s="2736"/>
      <c r="K156" s="2719"/>
    </row>
    <row r="157" customFormat="false" ht="15.5" hidden="false" customHeight="false" outlineLevel="0" collapsed="false">
      <c r="A157" s="2719"/>
      <c r="B157" s="639" t="str">
        <f aca="false">фундамент!G296</f>
        <v>Наварка оголовка</v>
      </c>
      <c r="C157" s="238" t="str">
        <f aca="false">фундамент!I296</f>
        <v>шт</v>
      </c>
      <c r="D157" s="245" t="n">
        <f aca="false">фундамент!J296</f>
        <v>8</v>
      </c>
      <c r="E157" s="23" t="n">
        <f aca="false">фундамент!K296</f>
        <v>250</v>
      </c>
      <c r="F157" s="23"/>
      <c r="G157" s="122" t="n">
        <f aca="false">IF(F157&gt;0,D157*F157,E157*D157)</f>
        <v>2000</v>
      </c>
      <c r="H157" s="2210" t="n">
        <f aca="false">D157*E157*$H$150</f>
        <v>0</v>
      </c>
      <c r="I157" s="2747" t="n">
        <f aca="false">IF(G157&gt;H157,G157,H157)*$H$141</f>
        <v>0</v>
      </c>
      <c r="J157" s="2736"/>
      <c r="K157" s="2719"/>
    </row>
    <row r="158" customFormat="false" ht="15.5" hidden="false" customHeight="false" outlineLevel="0" collapsed="false">
      <c r="A158" s="2719"/>
      <c r="B158" s="2748" t="s">
        <v>4641</v>
      </c>
      <c r="C158" s="2748"/>
      <c r="D158" s="2748"/>
      <c r="E158" s="2748"/>
      <c r="F158" s="2748"/>
      <c r="G158" s="2210" t="n">
        <f aca="false">SUM(G151:G157)*H150</f>
        <v>0</v>
      </c>
      <c r="H158" s="2210" t="n">
        <f aca="false">SUM(H151:H157)</f>
        <v>0</v>
      </c>
      <c r="I158" s="2747" t="n">
        <f aca="false">IF(G158&gt;H158,G158,H158)*$H$141</f>
        <v>0</v>
      </c>
      <c r="J158" s="2736"/>
      <c r="K158" s="2719"/>
    </row>
    <row r="159" customFormat="false" ht="21" hidden="false" customHeight="false" outlineLevel="0" collapsed="false">
      <c r="A159" s="2719"/>
      <c r="B159" s="2768" t="s">
        <v>4647</v>
      </c>
      <c r="C159" s="2768"/>
      <c r="D159" s="2768"/>
      <c r="E159" s="2768"/>
      <c r="F159" s="2769"/>
      <c r="G159" s="905"/>
      <c r="H159" s="2770" t="n">
        <f aca="false">фундамент!B302</f>
        <v>0</v>
      </c>
      <c r="I159" s="2757" t="n">
        <f aca="false">H159</f>
        <v>0</v>
      </c>
      <c r="J159" s="2712"/>
      <c r="K159" s="2719"/>
    </row>
    <row r="160" customFormat="false" ht="15.5" hidden="false" customHeight="false" outlineLevel="0" collapsed="false">
      <c r="A160" s="2719"/>
      <c r="B160" s="2758" t="s">
        <v>2720</v>
      </c>
      <c r="C160" s="2758"/>
      <c r="D160" s="2758"/>
      <c r="E160" s="2758"/>
      <c r="F160" s="2771"/>
      <c r="G160" s="905"/>
      <c r="H160" s="2770" t="n">
        <f aca="false">H159</f>
        <v>0</v>
      </c>
      <c r="I160" s="2757" t="n">
        <f aca="false">H160</f>
        <v>0</v>
      </c>
      <c r="J160" s="2732"/>
      <c r="K160" s="2733"/>
    </row>
    <row r="161" customFormat="false" ht="15.5" hidden="false" customHeight="false" outlineLevel="0" collapsed="false">
      <c r="A161" s="2719"/>
      <c r="B161" s="639" t="str">
        <f aca="false">фундамент!A305</f>
        <v>пробное забуривание</v>
      </c>
      <c r="C161" s="238" t="str">
        <f aca="false">фундамент!B305</f>
        <v>шт</v>
      </c>
      <c r="D161" s="245" t="n">
        <f aca="false">фундамент!C305</f>
        <v>1</v>
      </c>
      <c r="E161" s="23" t="n">
        <f aca="false">фундамент!D305</f>
        <v>5000</v>
      </c>
      <c r="F161" s="23"/>
      <c r="G161" s="122" t="n">
        <f aca="false">IF(F161&gt;0,D161*F161,E161*D161)</f>
        <v>5000</v>
      </c>
      <c r="H161" s="2210" t="n">
        <f aca="false">D161*E161*$H$159</f>
        <v>0</v>
      </c>
      <c r="I161" s="2747" t="n">
        <f aca="false">IF(G161&gt;H161,G161,H161)*$H$159</f>
        <v>0</v>
      </c>
      <c r="J161" s="2744"/>
      <c r="K161" s="226" t="n">
        <f aca="false">D161-J161</f>
        <v>1</v>
      </c>
      <c r="L161" s="2736"/>
    </row>
    <row r="162" customFormat="false" ht="15.5" hidden="false" customHeight="false" outlineLevel="0" collapsed="false">
      <c r="A162" s="2719"/>
      <c r="B162" s="639" t="str">
        <f aca="false">фундамент!A306</f>
        <v>89мм, 4,5м длина, 2 лопасть</v>
      </c>
      <c r="C162" s="238" t="str">
        <f aca="false">фундамент!B306</f>
        <v>шт</v>
      </c>
      <c r="D162" s="245" t="n">
        <f aca="false">фундамент!C306</f>
        <v>5</v>
      </c>
      <c r="E162" s="23" t="n">
        <f aca="false">фундамент!D306</f>
        <v>2760</v>
      </c>
      <c r="F162" s="23"/>
      <c r="G162" s="122" t="n">
        <f aca="false">IF(F162&gt;0,D162*F162,E162*D162)</f>
        <v>13800</v>
      </c>
      <c r="H162" s="2210" t="n">
        <f aca="false">D162*E162*$H$159</f>
        <v>0</v>
      </c>
      <c r="I162" s="2747" t="n">
        <f aca="false">IF(G162&gt;H162,G162,H162)*$H$159</f>
        <v>0</v>
      </c>
      <c r="J162" s="2744"/>
      <c r="K162" s="226" t="n">
        <f aca="false">D162-J162</f>
        <v>5</v>
      </c>
      <c r="L162" s="2736"/>
    </row>
    <row r="163" customFormat="false" ht="15.5" hidden="false" customHeight="false" outlineLevel="0" collapsed="false">
      <c r="A163" s="2719"/>
      <c r="B163" s="639" t="str">
        <f aca="false">фундамент!A307</f>
        <v>Оголовкок для свай 200*200</v>
      </c>
      <c r="C163" s="238" t="str">
        <f aca="false">фундамент!B307</f>
        <v>шт</v>
      </c>
      <c r="D163" s="245" t="n">
        <f aca="false">фундамент!C307</f>
        <v>5</v>
      </c>
      <c r="E163" s="23" t="n">
        <f aca="false">фундамент!D307</f>
        <v>250</v>
      </c>
      <c r="F163" s="23"/>
      <c r="G163" s="122" t="n">
        <f aca="false">IF(F163&gt;0,D163*F163,E163*D163)</f>
        <v>1250</v>
      </c>
      <c r="H163" s="2210" t="n">
        <f aca="false">D163*E163*$H$159</f>
        <v>0</v>
      </c>
      <c r="I163" s="2747" t="n">
        <f aca="false">IF(G163&gt;H163,G163,H163)*$H$159</f>
        <v>0</v>
      </c>
      <c r="J163" s="2744"/>
      <c r="K163" s="226" t="n">
        <f aca="false">D163-J163</f>
        <v>5</v>
      </c>
      <c r="L163" s="2736"/>
    </row>
    <row r="164" customFormat="false" ht="15.5" hidden="false" customHeight="false" outlineLevel="0" collapsed="false">
      <c r="A164" s="2719"/>
      <c r="B164" s="639" t="str">
        <f aca="false">фундамент!A308</f>
        <v>обвязка металлом, 20/40/3000</v>
      </c>
      <c r="C164" s="238" t="str">
        <f aca="false">фундамент!B308</f>
        <v>м.п.</v>
      </c>
      <c r="D164" s="245" t="n">
        <f aca="false">фундамент!C308</f>
        <v>5</v>
      </c>
      <c r="E164" s="23" t="n">
        <f aca="false">фундамент!D308</f>
        <v>100</v>
      </c>
      <c r="F164" s="23"/>
      <c r="G164" s="122" t="n">
        <f aca="false">IF(F164&gt;0,D164*F164,E164*D164)</f>
        <v>500</v>
      </c>
      <c r="H164" s="2210" t="n">
        <f aca="false">D164*E164*$H$159</f>
        <v>0</v>
      </c>
      <c r="I164" s="2747" t="n">
        <f aca="false">IF(G164&gt;H164,G164,H164)*$H$159</f>
        <v>0</v>
      </c>
      <c r="J164" s="2744"/>
      <c r="K164" s="226" t="n">
        <f aca="false">D164-J164</f>
        <v>5</v>
      </c>
      <c r="L164" s="2736"/>
    </row>
    <row r="165" customFormat="false" ht="15.5" hidden="false" customHeight="false" outlineLevel="0" collapsed="false">
      <c r="A165" s="2719"/>
      <c r="B165" s="639" t="str">
        <f aca="false">фундамент!A309</f>
        <v>Раствор, м200</v>
      </c>
      <c r="C165" s="238" t="str">
        <f aca="false">фундамент!B309</f>
        <v>м3</v>
      </c>
      <c r="D165" s="245" t="n">
        <f aca="false">фундамент!C309</f>
        <v>0.22608</v>
      </c>
      <c r="E165" s="23" t="n">
        <f aca="false">фундамент!D309</f>
        <v>2100</v>
      </c>
      <c r="F165" s="23"/>
      <c r="G165" s="122" t="n">
        <f aca="false">IF(F165&gt;0,D165*F165,E165*D165)</f>
        <v>474.768</v>
      </c>
      <c r="H165" s="2210" t="n">
        <f aca="false">D165*E165*$H$159</f>
        <v>0</v>
      </c>
      <c r="I165" s="2747" t="n">
        <f aca="false">IF(G165&gt;H165,G165,H165)*$H$159</f>
        <v>0</v>
      </c>
      <c r="J165" s="2744"/>
      <c r="K165" s="226" t="n">
        <f aca="false">D165-J165</f>
        <v>0.22608</v>
      </c>
      <c r="L165" s="2736"/>
    </row>
    <row r="166" customFormat="false" ht="15.5" hidden="false" customHeight="false" outlineLevel="0" collapsed="false">
      <c r="A166" s="2719"/>
      <c r="B166" s="639" t="str">
        <f aca="false">фундамент!A310</f>
        <v>Электроды ок 47</v>
      </c>
      <c r="C166" s="238" t="str">
        <f aca="false">фундамент!B310</f>
        <v>шт</v>
      </c>
      <c r="D166" s="245" t="n">
        <f aca="false">фундамент!C310</f>
        <v>5</v>
      </c>
      <c r="E166" s="23" t="n">
        <f aca="false">фундамент!D310</f>
        <v>10</v>
      </c>
      <c r="F166" s="23"/>
      <c r="G166" s="122" t="n">
        <f aca="false">IF(F166&gt;0,D166*F166,E166*D166)</f>
        <v>50</v>
      </c>
      <c r="H166" s="2210" t="n">
        <f aca="false">D166*E166*$H$159</f>
        <v>0</v>
      </c>
      <c r="I166" s="2747" t="n">
        <f aca="false">IF(G166&gt;H166,G166,H166)*$H$159</f>
        <v>0</v>
      </c>
      <c r="J166" s="2744"/>
      <c r="K166" s="226" t="n">
        <f aca="false">D166-J166</f>
        <v>5</v>
      </c>
      <c r="L166" s="2736"/>
    </row>
    <row r="167" customFormat="false" ht="15.5" hidden="false" customHeight="false" outlineLevel="0" collapsed="false">
      <c r="A167" s="2719"/>
      <c r="B167" s="2748" t="s">
        <v>4640</v>
      </c>
      <c r="C167" s="2748"/>
      <c r="D167" s="2748"/>
      <c r="E167" s="2748"/>
      <c r="F167" s="2748"/>
      <c r="G167" s="2210" t="n">
        <f aca="false">SUM(G161:G166)*H159</f>
        <v>0</v>
      </c>
      <c r="H167" s="2210" t="n">
        <f aca="false">SUM(H161:H166)</f>
        <v>0</v>
      </c>
      <c r="I167" s="2747" t="n">
        <f aca="false">IF(G167&gt;H167,G167,H167)*$H$159</f>
        <v>0</v>
      </c>
      <c r="J167" s="2744"/>
      <c r="K167" s="226" t="n">
        <f aca="false">D167-J167</f>
        <v>0</v>
      </c>
      <c r="L167" s="2736"/>
    </row>
    <row r="168" customFormat="false" ht="15.5" hidden="false" customHeight="false" outlineLevel="0" collapsed="false">
      <c r="A168" s="2719"/>
      <c r="B168" s="2772" t="str">
        <f aca="false">B150</f>
        <v>Работы</v>
      </c>
      <c r="C168" s="2772"/>
      <c r="D168" s="2772"/>
      <c r="E168" s="2772"/>
      <c r="F168" s="2773"/>
      <c r="G168" s="905"/>
      <c r="H168" s="2770" t="n">
        <f aca="false">H160</f>
        <v>0</v>
      </c>
      <c r="I168" s="2757" t="n">
        <f aca="false">H168</f>
        <v>0</v>
      </c>
      <c r="J168" s="2752"/>
      <c r="K168" s="2753"/>
    </row>
    <row r="169" customFormat="false" ht="15.5" hidden="false" customHeight="false" outlineLevel="0" collapsed="false">
      <c r="A169" s="2719"/>
      <c r="B169" s="639" t="str">
        <f aca="false">фундамент!G304</f>
        <v>разбивка осей</v>
      </c>
      <c r="C169" s="238" t="str">
        <f aca="false">фундамент!I304</f>
        <v>шт</v>
      </c>
      <c r="D169" s="245" t="n">
        <f aca="false">фундамент!J304</f>
        <v>1</v>
      </c>
      <c r="E169" s="23" t="n">
        <f aca="false">фундамент!K304</f>
        <v>7000</v>
      </c>
      <c r="F169" s="23"/>
      <c r="G169" s="122" t="n">
        <f aca="false">IF(F169&gt;0,D169*F169,E169*D169)</f>
        <v>7000</v>
      </c>
      <c r="H169" s="2210" t="n">
        <f aca="false">D169*E169*$H$168</f>
        <v>0</v>
      </c>
      <c r="I169" s="2747" t="n">
        <f aca="false">IF(G169&gt;H169,G169,H169)*$H$159</f>
        <v>0</v>
      </c>
      <c r="J169" s="2736"/>
      <c r="K169" s="2719"/>
    </row>
    <row r="170" customFormat="false" ht="15.5" hidden="false" customHeight="false" outlineLevel="0" collapsed="false">
      <c r="A170" s="2719"/>
      <c r="B170" s="639" t="str">
        <f aca="false">фундамент!G305</f>
        <v>монтаж свай гидравликой</v>
      </c>
      <c r="C170" s="238" t="str">
        <f aca="false">фундамент!I305</f>
        <v>шт</v>
      </c>
      <c r="D170" s="245" t="n">
        <f aca="false">фундамент!J305</f>
        <v>5</v>
      </c>
      <c r="E170" s="23" t="n">
        <f aca="false">фундамент!K305</f>
        <v>1000</v>
      </c>
      <c r="F170" s="23"/>
      <c r="G170" s="122" t="n">
        <f aca="false">IF(F170&gt;0,D170*F170,E170*D170)</f>
        <v>5000</v>
      </c>
      <c r="H170" s="2210" t="n">
        <f aca="false">D170*E170*$H$168</f>
        <v>0</v>
      </c>
      <c r="I170" s="2747" t="n">
        <f aca="false">IF(G170&gt;H170,G170,H170)*$H$159</f>
        <v>0</v>
      </c>
      <c r="J170" s="2736"/>
      <c r="K170" s="2719"/>
    </row>
    <row r="171" customFormat="false" ht="15.5" hidden="false" customHeight="false" outlineLevel="0" collapsed="false">
      <c r="A171" s="2719"/>
      <c r="B171" s="639" t="str">
        <f aca="false">фундамент!G306</f>
        <v>монтаж оголовков</v>
      </c>
      <c r="C171" s="238" t="str">
        <f aca="false">фундамент!I306</f>
        <v>шт</v>
      </c>
      <c r="D171" s="245" t="n">
        <f aca="false">фундамент!J306</f>
        <v>5</v>
      </c>
      <c r="E171" s="23" t="n">
        <f aca="false">фундамент!K306</f>
        <v>100</v>
      </c>
      <c r="F171" s="23"/>
      <c r="G171" s="122" t="n">
        <f aca="false">IF(F171&gt;0,D171*F171,E171*D171)</f>
        <v>500</v>
      </c>
      <c r="H171" s="2210" t="n">
        <f aca="false">D171*E171*$H$168</f>
        <v>0</v>
      </c>
      <c r="I171" s="2747" t="n">
        <f aca="false">IF(G171&gt;H171,G171,H171)*$H$159</f>
        <v>0</v>
      </c>
      <c r="J171" s="2736"/>
      <c r="K171" s="2719"/>
    </row>
    <row r="172" customFormat="false" ht="15.5" hidden="false" customHeight="false" outlineLevel="0" collapsed="false">
      <c r="A172" s="2719"/>
      <c r="B172" s="639" t="str">
        <f aca="false">фундамент!G307</f>
        <v>обвязка металлом</v>
      </c>
      <c r="C172" s="238" t="str">
        <f aca="false">фундамент!I307</f>
        <v>м.п.</v>
      </c>
      <c r="D172" s="245" t="n">
        <f aca="false">фундамент!J307</f>
        <v>5</v>
      </c>
      <c r="E172" s="23" t="n">
        <f aca="false">фундамент!K307</f>
        <v>100</v>
      </c>
      <c r="F172" s="23"/>
      <c r="G172" s="122" t="n">
        <f aca="false">IF(F172&gt;0,D172*F172,E172*D172)</f>
        <v>500</v>
      </c>
      <c r="H172" s="2210" t="n">
        <f aca="false">D172*E172*$H$168</f>
        <v>0</v>
      </c>
      <c r="I172" s="2747" t="n">
        <f aca="false">IF(G172&gt;H172,G172,H172)*$H$159</f>
        <v>0</v>
      </c>
      <c r="J172" s="2736"/>
      <c r="K172" s="2719"/>
    </row>
    <row r="173" customFormat="false" ht="15.5" hidden="false" customHeight="false" outlineLevel="0" collapsed="false">
      <c r="A173" s="2719"/>
      <c r="B173" s="639" t="str">
        <f aca="false">фундамент!G308</f>
        <v>заливка бетоном</v>
      </c>
      <c r="C173" s="238" t="str">
        <f aca="false">фундамент!I308</f>
        <v>шт</v>
      </c>
      <c r="D173" s="245" t="n">
        <f aca="false">фундамент!J308</f>
        <v>5</v>
      </c>
      <c r="E173" s="23" t="n">
        <f aca="false">фундамент!K308</f>
        <v>200</v>
      </c>
      <c r="F173" s="23"/>
      <c r="G173" s="122" t="n">
        <f aca="false">IF(F173&gt;0,D173*F173,E173*D173)</f>
        <v>1000</v>
      </c>
      <c r="H173" s="2210" t="n">
        <f aca="false">D173*E173*$H$168</f>
        <v>0</v>
      </c>
      <c r="I173" s="2747" t="n">
        <f aca="false">IF(G173&gt;H173,G173,H173)*$H$159</f>
        <v>0</v>
      </c>
      <c r="J173" s="2736"/>
      <c r="K173" s="2719"/>
    </row>
    <row r="174" customFormat="false" ht="15.5" hidden="false" customHeight="false" outlineLevel="0" collapsed="false">
      <c r="A174" s="2719"/>
      <c r="B174" s="639" t="str">
        <f aca="false">фундамент!G309</f>
        <v>Обрезка винтовых свай по невелиру</v>
      </c>
      <c r="C174" s="238" t="str">
        <f aca="false">фундамент!I309</f>
        <v>шт</v>
      </c>
      <c r="D174" s="245" t="n">
        <f aca="false">фундамент!J309</f>
        <v>5</v>
      </c>
      <c r="E174" s="23" t="n">
        <f aca="false">фундамент!K309</f>
        <v>200</v>
      </c>
      <c r="F174" s="23"/>
      <c r="G174" s="122" t="n">
        <f aca="false">IF(F174&gt;0,D174*F174,E174*D174)</f>
        <v>1000</v>
      </c>
      <c r="H174" s="2210" t="n">
        <f aca="false">D174*E174*$H$168</f>
        <v>0</v>
      </c>
      <c r="I174" s="2747" t="n">
        <f aca="false">IF(G174&gt;H174,G174,H174)*$H$159</f>
        <v>0</v>
      </c>
      <c r="J174" s="2736"/>
      <c r="K174" s="2719"/>
    </row>
    <row r="175" customFormat="false" ht="15.5" hidden="false" customHeight="false" outlineLevel="0" collapsed="false">
      <c r="A175" s="2719"/>
      <c r="B175" s="639" t="str">
        <f aca="false">фундамент!G310</f>
        <v>Наварка оголовка</v>
      </c>
      <c r="C175" s="238" t="str">
        <f aca="false">фундамент!I310</f>
        <v>шт</v>
      </c>
      <c r="D175" s="245" t="n">
        <f aca="false">фундамент!J310</f>
        <v>5</v>
      </c>
      <c r="E175" s="23" t="n">
        <f aca="false">фундамент!K310</f>
        <v>250</v>
      </c>
      <c r="F175" s="23"/>
      <c r="G175" s="122" t="n">
        <f aca="false">IF(F175&gt;0,D175*F175,E175*D175)</f>
        <v>1250</v>
      </c>
      <c r="H175" s="2210" t="n">
        <f aca="false">D175*E175*$H$168</f>
        <v>0</v>
      </c>
      <c r="I175" s="2747" t="n">
        <f aca="false">IF(G175&gt;H175,G175,H175)*$H$159</f>
        <v>0</v>
      </c>
      <c r="J175" s="2736"/>
      <c r="K175" s="2719"/>
    </row>
    <row r="176" customFormat="false" ht="15.5" hidden="false" customHeight="false" outlineLevel="0" collapsed="false">
      <c r="A176" s="2719"/>
      <c r="B176" s="2748" t="s">
        <v>4641</v>
      </c>
      <c r="C176" s="2748"/>
      <c r="D176" s="2748"/>
      <c r="E176" s="2748"/>
      <c r="F176" s="2748"/>
      <c r="G176" s="2210" t="n">
        <f aca="false">SUM(G169:G175)*H168</f>
        <v>0</v>
      </c>
      <c r="H176" s="2210" t="n">
        <f aca="false">SUM(H169:H175)</f>
        <v>0</v>
      </c>
      <c r="I176" s="2747" t="n">
        <f aca="false">IF(G176&gt;H176,G176,H176)*$H$159</f>
        <v>0</v>
      </c>
      <c r="J176" s="2736"/>
      <c r="K176" s="2719"/>
    </row>
    <row r="177" customFormat="false" ht="21" hidden="false" customHeight="false" outlineLevel="0" collapsed="false">
      <c r="A177" s="2719"/>
      <c r="B177" s="2762" t="s">
        <v>4047</v>
      </c>
      <c r="C177" s="2762"/>
      <c r="D177" s="2762"/>
      <c r="E177" s="2762"/>
      <c r="F177" s="2762"/>
      <c r="G177" s="905"/>
      <c r="H177" s="2774" t="n">
        <f aca="false">VLOOKUP('Ввод данных'!F764,связи1!A2:B3,2,0)*IF('Ввод данных'!C739=связи1!A3,1,0)</f>
        <v>0</v>
      </c>
      <c r="I177" s="2757" t="n">
        <f aca="false">H177</f>
        <v>0</v>
      </c>
      <c r="J177" s="2712"/>
      <c r="K177" s="2719"/>
    </row>
    <row r="178" customFormat="false" ht="15.5" hidden="false" customHeight="false" outlineLevel="0" collapsed="false">
      <c r="A178" s="2712"/>
      <c r="B178" s="2775" t="s">
        <v>2720</v>
      </c>
      <c r="C178" s="2775"/>
      <c r="D178" s="2775"/>
      <c r="E178" s="2775"/>
      <c r="F178" s="2775"/>
      <c r="G178" s="905"/>
      <c r="H178" s="2776" t="n">
        <f aca="false">H177</f>
        <v>0</v>
      </c>
      <c r="I178" s="2757" t="n">
        <f aca="false">H178</f>
        <v>0</v>
      </c>
      <c r="J178" s="2732"/>
      <c r="K178" s="2733"/>
    </row>
    <row r="179" customFormat="false" ht="15.5" hidden="false" customHeight="false" outlineLevel="0" collapsed="false">
      <c r="A179" s="2712"/>
      <c r="B179" s="298" t="str">
        <f aca="false">фундамент!A345</f>
        <v>Сосна влаж,150*40мм</v>
      </c>
      <c r="C179" s="2765" t="str">
        <f aca="false">фундамент!B345</f>
        <v>м3</v>
      </c>
      <c r="D179" s="298" t="n">
        <f aca="false">фундамент!C345</f>
        <v>3.84384</v>
      </c>
      <c r="E179" s="298" t="n">
        <f aca="false">фундамент!D345</f>
        <v>6500</v>
      </c>
      <c r="F179" s="298"/>
      <c r="G179" s="122" t="n">
        <f aca="false">IF(F179&gt;0,D179*F179,E179*D179)</f>
        <v>24984.96</v>
      </c>
      <c r="H179" s="85" t="n">
        <f aca="false">D179*E179*$H$178</f>
        <v>0</v>
      </c>
      <c r="I179" s="2747" t="n">
        <f aca="false">IF(G179&gt;H179,G179,H179)*$H$177</f>
        <v>0</v>
      </c>
      <c r="J179" s="2744"/>
      <c r="K179" s="226" t="n">
        <f aca="false">D179-J179</f>
        <v>3.84384</v>
      </c>
      <c r="L179" s="2736"/>
    </row>
    <row r="180" customFormat="false" ht="15.5" hidden="false" customHeight="false" outlineLevel="0" collapsed="false">
      <c r="A180" s="2719"/>
      <c r="B180" s="298" t="str">
        <f aca="false">фундамент!A346</f>
        <v>Пленка гидроизоляционная</v>
      </c>
      <c r="C180" s="2765" t="str">
        <f aca="false">фундамент!B346</f>
        <v>м2</v>
      </c>
      <c r="D180" s="298" t="n">
        <f aca="false">фундамент!C346</f>
        <v>96.096</v>
      </c>
      <c r="E180" s="298" t="n">
        <f aca="false">фундамент!D346</f>
        <v>15</v>
      </c>
      <c r="F180" s="298"/>
      <c r="G180" s="122" t="n">
        <f aca="false">IF(F180&gt;0,D180*F180,E180*D180)</f>
        <v>1441.44</v>
      </c>
      <c r="H180" s="85" t="n">
        <f aca="false">D180*E180*$H$178</f>
        <v>0</v>
      </c>
      <c r="I180" s="2747" t="n">
        <f aca="false">IF(G180&gt;H180,G180,H180)*$H$177</f>
        <v>0</v>
      </c>
      <c r="J180" s="2744"/>
      <c r="K180" s="226" t="n">
        <f aca="false">D180-J180</f>
        <v>96.096</v>
      </c>
      <c r="L180" s="2736"/>
    </row>
    <row r="181" customFormat="false" ht="15.5" hidden="false" customHeight="false" outlineLevel="0" collapsed="false">
      <c r="A181" s="2719"/>
      <c r="B181" s="298" t="str">
        <f aca="false">фундамент!A348</f>
        <v>Арматура стальная Ø 8</v>
      </c>
      <c r="C181" s="2765" t="str">
        <f aca="false">фундамент!B348</f>
        <v>м.п</v>
      </c>
      <c r="D181" s="298" t="n">
        <f aca="false">фундамент!C348</f>
        <v>443.52</v>
      </c>
      <c r="E181" s="298" t="n">
        <f aca="false">фундамент!D348</f>
        <v>16.037</v>
      </c>
      <c r="F181" s="298"/>
      <c r="G181" s="122" t="n">
        <f aca="false">IF(F181&gt;0,D181*F181,E181*D181)</f>
        <v>7112.73024</v>
      </c>
      <c r="H181" s="85" t="n">
        <f aca="false">D181*E181*$H$178</f>
        <v>0</v>
      </c>
      <c r="I181" s="2747" t="n">
        <f aca="false">IF(G181&gt;H181,G181,H181)*$H$177</f>
        <v>0</v>
      </c>
      <c r="J181" s="2744"/>
      <c r="K181" s="226" t="n">
        <f aca="false">D181-J181</f>
        <v>443.52</v>
      </c>
      <c r="L181" s="2736"/>
    </row>
    <row r="182" customFormat="false" ht="15.5" hidden="false" customHeight="false" outlineLevel="0" collapsed="false">
      <c r="A182" s="2719"/>
      <c r="B182" s="298" t="str">
        <f aca="false">фундамент!A349</f>
        <v>Арматура стальная Ø 6</v>
      </c>
      <c r="C182" s="2765" t="str">
        <f aca="false">фундамент!B349</f>
        <v>м.п</v>
      </c>
      <c r="D182" s="298" t="n">
        <f aca="false">фундамент!C349</f>
        <v>304.92</v>
      </c>
      <c r="E182" s="298" t="n">
        <f aca="false">фундамент!D349</f>
        <v>9.0132</v>
      </c>
      <c r="F182" s="298"/>
      <c r="G182" s="122" t="n">
        <f aca="false">IF(F182&gt;0,D182*F182,E182*D182)</f>
        <v>2748.304944</v>
      </c>
      <c r="H182" s="85" t="n">
        <f aca="false">D182*E182*$H$178</f>
        <v>0</v>
      </c>
      <c r="I182" s="2747" t="n">
        <f aca="false">IF(G182&gt;H182,G182,H182)*$H$177</f>
        <v>0</v>
      </c>
      <c r="J182" s="2744"/>
      <c r="K182" s="226" t="n">
        <f aca="false">D182-J182</f>
        <v>304.92</v>
      </c>
      <c r="L182" s="2736"/>
    </row>
    <row r="183" customFormat="false" ht="15.5" hidden="false" customHeight="false" outlineLevel="0" collapsed="false">
      <c r="A183" s="2719"/>
      <c r="B183" s="298" t="str">
        <f aca="false">фундамент!A350</f>
        <v>Вязальная проволока</v>
      </c>
      <c r="C183" s="2765" t="str">
        <f aca="false">фундамент!B350</f>
        <v>кг</v>
      </c>
      <c r="D183" s="298" t="n">
        <f aca="false">фундамент!C350</f>
        <v>16.46568</v>
      </c>
      <c r="E183" s="298" t="n">
        <f aca="false">фундамент!D350</f>
        <v>80</v>
      </c>
      <c r="F183" s="298"/>
      <c r="G183" s="122" t="n">
        <f aca="false">IF(F183&gt;0,D183*F183,E183*D183)</f>
        <v>1317.2544</v>
      </c>
      <c r="H183" s="85" t="n">
        <f aca="false">D183*E183*$H$178</f>
        <v>0</v>
      </c>
      <c r="I183" s="2747" t="n">
        <f aca="false">IF(G183&gt;H183,G183,H183)*$H$177</f>
        <v>0</v>
      </c>
      <c r="J183" s="2744"/>
      <c r="K183" s="226" t="n">
        <f aca="false">D183-J183</f>
        <v>16.46568</v>
      </c>
      <c r="L183" s="2736"/>
    </row>
    <row r="184" customFormat="false" ht="15.5" hidden="false" customHeight="false" outlineLevel="0" collapsed="false">
      <c r="A184" s="2719"/>
      <c r="B184" s="298" t="str">
        <f aca="false">фундамент!A351</f>
        <v>Гвозди строительные 3,5 x 90</v>
      </c>
      <c r="C184" s="2765" t="str">
        <f aca="false">фундамент!B351</f>
        <v>кг</v>
      </c>
      <c r="D184" s="298" t="n">
        <f aca="false">фундамент!C351</f>
        <v>21.14112</v>
      </c>
      <c r="E184" s="298" t="n">
        <f aca="false">фундамент!D351</f>
        <v>70</v>
      </c>
      <c r="F184" s="298"/>
      <c r="G184" s="122" t="n">
        <f aca="false">IF(F184&gt;0,D184*F184,E184*D184)</f>
        <v>1479.8784</v>
      </c>
      <c r="H184" s="85" t="n">
        <f aca="false">D184*E184*$H$178</f>
        <v>0</v>
      </c>
      <c r="I184" s="2747" t="n">
        <f aca="false">IF(G184&gt;H184,G184,H184)*$H$177</f>
        <v>0</v>
      </c>
      <c r="J184" s="2744"/>
      <c r="K184" s="226" t="n">
        <f aca="false">D184-J184</f>
        <v>21.14112</v>
      </c>
      <c r="L184" s="2736"/>
    </row>
    <row r="185" customFormat="false" ht="15.5" hidden="false" customHeight="false" outlineLevel="0" collapsed="false">
      <c r="A185" s="2719"/>
      <c r="B185" s="298" t="str">
        <f aca="false">фундамент!A352</f>
        <v>Гидроизол</v>
      </c>
      <c r="C185" s="2765" t="str">
        <f aca="false">фундамент!B352</f>
        <v>м2</v>
      </c>
      <c r="D185" s="298" t="n">
        <f aca="false">фундамент!C352</f>
        <v>18.48</v>
      </c>
      <c r="E185" s="298" t="n">
        <f aca="false">фундамент!D352</f>
        <v>70</v>
      </c>
      <c r="F185" s="298"/>
      <c r="G185" s="122" t="n">
        <f aca="false">IF(F185&gt;0,D185*F185,E185*D185)</f>
        <v>1293.6</v>
      </c>
      <c r="H185" s="85" t="n">
        <f aca="false">D185*E185*$H$178</f>
        <v>0</v>
      </c>
      <c r="I185" s="2747" t="n">
        <f aca="false">IF(G185&gt;H185,G185,H185)*$H$177</f>
        <v>0</v>
      </c>
      <c r="J185" s="2744"/>
      <c r="K185" s="226" t="n">
        <f aca="false">D185-J185</f>
        <v>18.48</v>
      </c>
      <c r="L185" s="2736"/>
    </row>
    <row r="186" customFormat="false" ht="15.5" hidden="false" customHeight="false" outlineLevel="0" collapsed="false">
      <c r="A186" s="2719"/>
      <c r="B186" s="298" t="str">
        <f aca="false">фундамент!A353</f>
        <v>ПГС, машина 13м3</v>
      </c>
      <c r="C186" s="2765" t="str">
        <f aca="false">фундамент!B353</f>
        <v>маш</v>
      </c>
      <c r="D186" s="298" t="n">
        <f aca="false">фундамент!C353</f>
        <v>0.616</v>
      </c>
      <c r="E186" s="298" t="n">
        <f aca="false">фундамент!D353</f>
        <v>10000</v>
      </c>
      <c r="F186" s="298"/>
      <c r="G186" s="122" t="n">
        <f aca="false">IF(F186&gt;0,D186*F186,E186*D186)</f>
        <v>6160</v>
      </c>
      <c r="H186" s="85" t="n">
        <f aca="false">D186*E186*$H$178</f>
        <v>0</v>
      </c>
      <c r="I186" s="2747" t="n">
        <f aca="false">IF(G186&gt;H186,G186,H186)*$H$177</f>
        <v>0</v>
      </c>
      <c r="J186" s="2744"/>
      <c r="K186" s="226" t="n">
        <f aca="false">D186-J186</f>
        <v>0.616</v>
      </c>
      <c r="L186" s="2736"/>
    </row>
    <row r="187" customFormat="false" ht="15.5" hidden="false" customHeight="false" outlineLevel="0" collapsed="false">
      <c r="A187" s="2719"/>
      <c r="B187" s="298" t="str">
        <f aca="false">фундамент!A354</f>
        <v>Бетон, м250</v>
      </c>
      <c r="C187" s="2765" t="str">
        <f aca="false">фундамент!B354</f>
        <v>м3</v>
      </c>
      <c r="D187" s="298" t="n">
        <f aca="false">фундамент!C354</f>
        <v>11.088</v>
      </c>
      <c r="E187" s="298" t="n">
        <f aca="false">фундамент!D354</f>
        <v>2750</v>
      </c>
      <c r="F187" s="298"/>
      <c r="G187" s="122" t="n">
        <f aca="false">IF(F187&gt;0,D187*F187,E187*D187)</f>
        <v>30492</v>
      </c>
      <c r="H187" s="85" t="n">
        <f aca="false">D187*E187*$H$178</f>
        <v>0</v>
      </c>
      <c r="I187" s="2747" t="n">
        <f aca="false">IF(G187&gt;H187,G187,H187)*$H$177</f>
        <v>0</v>
      </c>
      <c r="J187" s="2744"/>
      <c r="K187" s="226" t="n">
        <f aca="false">D187-J187</f>
        <v>11.088</v>
      </c>
      <c r="L187" s="2736"/>
    </row>
    <row r="188" customFormat="false" ht="15.5" hidden="false" customHeight="false" outlineLevel="0" collapsed="false">
      <c r="A188" s="2719"/>
      <c r="B188" s="298" t="str">
        <f aca="false">фундамент!A355</f>
        <v>Нет</v>
      </c>
      <c r="C188" s="2765" t="str">
        <f aca="false">фундамент!B355</f>
        <v>м3</v>
      </c>
      <c r="D188" s="298" t="n">
        <f aca="false">фундамент!C355</f>
        <v>0</v>
      </c>
      <c r="E188" s="298" t="n">
        <f aca="false">фундамент!D355</f>
        <v>0</v>
      </c>
      <c r="F188" s="298"/>
      <c r="G188" s="122" t="n">
        <f aca="false">IF(F188&gt;0,D188*F188,E188*D188)</f>
        <v>0</v>
      </c>
      <c r="H188" s="85" t="n">
        <f aca="false">D188*E188*$H$178</f>
        <v>0</v>
      </c>
      <c r="I188" s="2747" t="n">
        <f aca="false">IF(G188&gt;H188,G188,H188)*$H$177</f>
        <v>0</v>
      </c>
      <c r="J188" s="2744"/>
      <c r="K188" s="226" t="n">
        <f aca="false">D188-J188</f>
        <v>0</v>
      </c>
      <c r="L188" s="2736"/>
    </row>
    <row r="189" customFormat="false" ht="15.5" hidden="false" customHeight="false" outlineLevel="0" collapsed="false">
      <c r="A189" s="2719"/>
      <c r="B189" s="298" t="str">
        <f aca="false">фундамент!A356</f>
        <v>Грибок для крепления утеплителя</v>
      </c>
      <c r="C189" s="2765" t="str">
        <f aca="false">фундамент!B356</f>
        <v>шт</v>
      </c>
      <c r="D189" s="298" t="n">
        <f aca="false">фундамент!C356</f>
        <v>0</v>
      </c>
      <c r="E189" s="298" t="n">
        <f aca="false">фундамент!D356</f>
        <v>15</v>
      </c>
      <c r="F189" s="298"/>
      <c r="G189" s="122" t="n">
        <f aca="false">IF(F189&gt;0,D189*F189,E189*D189)</f>
        <v>0</v>
      </c>
      <c r="H189" s="85" t="n">
        <f aca="false">D189*E189*$H$178</f>
        <v>0</v>
      </c>
      <c r="I189" s="2747" t="n">
        <f aca="false">IF(G189&gt;H189,G189,H189)*$H$177</f>
        <v>0</v>
      </c>
      <c r="J189" s="2744"/>
      <c r="K189" s="226" t="n">
        <f aca="false">D189-J189</f>
        <v>0</v>
      </c>
      <c r="L189" s="2736"/>
    </row>
    <row r="190" customFormat="false" ht="15.5" hidden="false" customHeight="false" outlineLevel="0" collapsed="false">
      <c r="A190" s="2719"/>
      <c r="B190" s="298" t="str">
        <f aca="false">фундамент!A357</f>
        <v>Нет</v>
      </c>
      <c r="C190" s="2765" t="str">
        <f aca="false">фундамент!B357</f>
        <v>м3</v>
      </c>
      <c r="D190" s="298" t="n">
        <f aca="false">фундамент!C357</f>
        <v>0</v>
      </c>
      <c r="E190" s="298" t="n">
        <f aca="false">фундамент!D357</f>
        <v>0</v>
      </c>
      <c r="F190" s="298"/>
      <c r="G190" s="122" t="n">
        <f aca="false">IF(F190&gt;0,D190*F190,E190*D190)</f>
        <v>0</v>
      </c>
      <c r="H190" s="85" t="n">
        <f aca="false">D190*E190*$H$178</f>
        <v>0</v>
      </c>
      <c r="I190" s="2747" t="n">
        <f aca="false">IF(G190&gt;H190,G190,H190)*$H$177</f>
        <v>0</v>
      </c>
      <c r="J190" s="2744"/>
      <c r="K190" s="226" t="n">
        <f aca="false">D190-J190</f>
        <v>0</v>
      </c>
      <c r="L190" s="2736"/>
    </row>
    <row r="191" customFormat="false" ht="15.5" hidden="false" customHeight="false" outlineLevel="0" collapsed="false">
      <c r="A191" s="2719"/>
      <c r="B191" s="298" t="str">
        <f aca="false">фундамент!A358</f>
        <v>ПГС, машина 5м3</v>
      </c>
      <c r="C191" s="2765" t="str">
        <f aca="false">фундамент!B358</f>
        <v>маш</v>
      </c>
      <c r="D191" s="298" t="n">
        <f aca="false">фундамент!C358</f>
        <v>0</v>
      </c>
      <c r="E191" s="298" t="n">
        <f aca="false">фундамент!D358</f>
        <v>6000</v>
      </c>
      <c r="F191" s="298"/>
      <c r="G191" s="122" t="n">
        <f aca="false">IF(F191&gt;0,D191*F191,E191*D191)</f>
        <v>0</v>
      </c>
      <c r="H191" s="85" t="n">
        <f aca="false">D191*E191*$H$178</f>
        <v>0</v>
      </c>
      <c r="I191" s="2747" t="n">
        <f aca="false">IF(G191&gt;H191,G191,H191)*$H$177</f>
        <v>0</v>
      </c>
      <c r="J191" s="2744"/>
      <c r="K191" s="226" t="n">
        <f aca="false">D191-J191</f>
        <v>0</v>
      </c>
      <c r="L191" s="2736"/>
    </row>
    <row r="192" customFormat="false" ht="15.5" hidden="false" customHeight="false" outlineLevel="0" collapsed="false">
      <c r="A192" s="2719"/>
      <c r="B192" s="298" t="str">
        <f aca="false">фундамент!A359</f>
        <v>Кладочная сетка, 100*100/150*150/200*200мм</v>
      </c>
      <c r="C192" s="2765" t="str">
        <f aca="false">фундамент!B359</f>
        <v>м2</v>
      </c>
      <c r="D192" s="298" t="n">
        <f aca="false">фундамент!C359</f>
        <v>0</v>
      </c>
      <c r="E192" s="298" t="n">
        <f aca="false">фундамент!D359</f>
        <v>70</v>
      </c>
      <c r="F192" s="298"/>
      <c r="G192" s="122" t="n">
        <f aca="false">IF(F192&gt;0,D192*F192,E192*D192)</f>
        <v>0</v>
      </c>
      <c r="H192" s="85" t="n">
        <f aca="false">D192*E192*$H$178</f>
        <v>0</v>
      </c>
      <c r="I192" s="2747" t="n">
        <f aca="false">IF(G192&gt;H192,G192,H192)*$H$177</f>
        <v>0</v>
      </c>
      <c r="J192" s="2744"/>
      <c r="K192" s="226" t="n">
        <f aca="false">D192-J192</f>
        <v>0</v>
      </c>
      <c r="L192" s="2736"/>
    </row>
    <row r="193" customFormat="false" ht="15.5" hidden="false" customHeight="false" outlineLevel="0" collapsed="false">
      <c r="A193" s="2719"/>
      <c r="B193" s="298" t="str">
        <f aca="false">фундамент!A360</f>
        <v>Бетон, м200</v>
      </c>
      <c r="C193" s="2765" t="str">
        <f aca="false">фундамент!B360</f>
        <v>м3</v>
      </c>
      <c r="D193" s="298" t="n">
        <f aca="false">фундамент!C360</f>
        <v>0</v>
      </c>
      <c r="E193" s="298" t="n">
        <f aca="false">фундамент!D360</f>
        <v>2500</v>
      </c>
      <c r="F193" s="298"/>
      <c r="G193" s="122" t="n">
        <f aca="false">IF(F193&gt;0,D193*F193,E193*D193)</f>
        <v>0</v>
      </c>
      <c r="H193" s="85" t="n">
        <f aca="false">D193*E193*$H$178</f>
        <v>0</v>
      </c>
      <c r="I193" s="2747" t="n">
        <f aca="false">IF(G193&gt;H193,G193,H193)*$H$177</f>
        <v>0</v>
      </c>
      <c r="J193" s="2744"/>
      <c r="K193" s="226" t="n">
        <f aca="false">D193-J193</f>
        <v>0</v>
      </c>
      <c r="L193" s="2736"/>
    </row>
    <row r="194" customFormat="false" ht="15.5" hidden="false" customHeight="false" outlineLevel="0" collapsed="false">
      <c r="A194" s="2719"/>
      <c r="B194" s="298" t="str">
        <f aca="false">фундамент!G361</f>
        <v>Труба теплого пола 3</v>
      </c>
      <c r="C194" s="2765" t="str">
        <f aca="false">фундамент!I361</f>
        <v>м.п</v>
      </c>
      <c r="D194" s="298" t="n">
        <f aca="false">фундамент!J361</f>
        <v>308</v>
      </c>
      <c r="E194" s="298" t="n">
        <f aca="false">фундамент!K361</f>
        <v>60</v>
      </c>
      <c r="F194" s="298"/>
      <c r="G194" s="122" t="n">
        <f aca="false">IF(F194&gt;0,D194*F194,E194*D194)</f>
        <v>18480</v>
      </c>
      <c r="H194" s="85" t="n">
        <f aca="false">D194*E194*$H$178</f>
        <v>0</v>
      </c>
      <c r="I194" s="2747" t="n">
        <f aca="false">IF(G194&gt;H194,G194,H194)*$H$177</f>
        <v>0</v>
      </c>
      <c r="J194" s="2744"/>
      <c r="K194" s="226" t="n">
        <f aca="false">D194-J194</f>
        <v>308</v>
      </c>
      <c r="L194" s="2736"/>
    </row>
    <row r="195" customFormat="false" ht="15.5" hidden="false" customHeight="false" outlineLevel="0" collapsed="false">
      <c r="A195" s="2719"/>
      <c r="B195" s="298" t="str">
        <f aca="false">фундамент!G362</f>
        <v>Коллектор 1</v>
      </c>
      <c r="C195" s="2765" t="str">
        <f aca="false">фундамент!I362</f>
        <v>шт</v>
      </c>
      <c r="D195" s="298" t="n">
        <f aca="false">фундамент!J362</f>
        <v>1.1</v>
      </c>
      <c r="E195" s="298" t="n">
        <f aca="false">фундамент!K362</f>
        <v>5000</v>
      </c>
      <c r="F195" s="298"/>
      <c r="G195" s="122" t="n">
        <f aca="false">IF(F195&gt;0,D195*F195,E195*D195)</f>
        <v>5500</v>
      </c>
      <c r="H195" s="85" t="n">
        <f aca="false">D195*E195*$H$178</f>
        <v>0</v>
      </c>
      <c r="I195" s="2747" t="n">
        <f aca="false">IF(G195&gt;H195,G195,H195)*$H$177</f>
        <v>0</v>
      </c>
      <c r="J195" s="2744"/>
      <c r="K195" s="2777" t="n">
        <f aca="false">D195-J195</f>
        <v>1.1</v>
      </c>
      <c r="L195" s="2736"/>
    </row>
    <row r="196" customFormat="false" ht="15.5" hidden="false" customHeight="false" outlineLevel="0" collapsed="false">
      <c r="A196" s="2719"/>
      <c r="B196" s="2748" t="s">
        <v>4640</v>
      </c>
      <c r="C196" s="2748"/>
      <c r="D196" s="2748"/>
      <c r="E196" s="2748"/>
      <c r="F196" s="2748"/>
      <c r="G196" s="2210" t="n">
        <f aca="false">SUM(G179:G195)*H177</f>
        <v>0</v>
      </c>
      <c r="H196" s="2210" t="n">
        <f aca="false">SUM(H179:H195)</f>
        <v>0</v>
      </c>
      <c r="I196" s="2747" t="n">
        <f aca="false">IF(G196&gt;H196,G196,H196)*$H$177</f>
        <v>0</v>
      </c>
      <c r="J196" s="2744"/>
      <c r="K196" s="226" t="n">
        <f aca="false">D196-J196</f>
        <v>0</v>
      </c>
      <c r="L196" s="2736"/>
    </row>
    <row r="197" customFormat="false" ht="15.5" hidden="false" customHeight="false" outlineLevel="0" collapsed="false">
      <c r="A197" s="2719"/>
      <c r="B197" s="2750" t="s">
        <v>1409</v>
      </c>
      <c r="C197" s="2750"/>
      <c r="D197" s="2750"/>
      <c r="E197" s="2750"/>
      <c r="F197" s="2750"/>
      <c r="G197" s="905"/>
      <c r="H197" s="2766" t="n">
        <f aca="false">H177</f>
        <v>0</v>
      </c>
      <c r="I197" s="2757" t="n">
        <f aca="false">H197</f>
        <v>0</v>
      </c>
      <c r="J197" s="2752"/>
      <c r="K197" s="2753"/>
    </row>
    <row r="198" customFormat="false" ht="15.5" hidden="false" customHeight="false" outlineLevel="0" collapsed="false">
      <c r="A198" s="2712"/>
      <c r="B198" s="2648" t="str">
        <f aca="false">фундамент!G345</f>
        <v>разбивка осей</v>
      </c>
      <c r="C198" s="2765" t="str">
        <f aca="false">фундамент!I345</f>
        <v>шт</v>
      </c>
      <c r="D198" s="298" t="n">
        <f aca="false">фундамент!J345</f>
        <v>1.05</v>
      </c>
      <c r="E198" s="177" t="n">
        <f aca="false">фундамент!K345</f>
        <v>7000</v>
      </c>
      <c r="F198" s="177"/>
      <c r="G198" s="122" t="n">
        <f aca="false">IF(F198&gt;0,D198*F198,E198*D198)</f>
        <v>7350</v>
      </c>
      <c r="H198" s="2210" t="n">
        <f aca="false">D198*E198*$H$178</f>
        <v>0</v>
      </c>
      <c r="I198" s="2747" t="n">
        <f aca="false">IF(G198&gt;H198,G198,H198)*$H$177</f>
        <v>0</v>
      </c>
      <c r="J198" s="2736"/>
      <c r="K198" s="2719"/>
    </row>
    <row r="199" customFormat="false" ht="15.5" hidden="false" customHeight="false" outlineLevel="0" collapsed="false">
      <c r="A199" s="2719"/>
      <c r="B199" s="2648" t="str">
        <f aca="false">фундамент!G346</f>
        <v>сборка опалубки</v>
      </c>
      <c r="C199" s="2765" t="str">
        <f aca="false">фундамент!I346</f>
        <v>м2</v>
      </c>
      <c r="D199" s="298" t="n">
        <f aca="false">фундамент!J346</f>
        <v>70.56</v>
      </c>
      <c r="E199" s="177" t="n">
        <f aca="false">фундамент!K346</f>
        <v>300</v>
      </c>
      <c r="F199" s="177"/>
      <c r="G199" s="122" t="n">
        <f aca="false">IF(F199&gt;0,D199*F199,E199*D199)</f>
        <v>21168</v>
      </c>
      <c r="H199" s="2210" t="n">
        <f aca="false">D199*E199*$H$178</f>
        <v>0</v>
      </c>
      <c r="I199" s="2747" t="n">
        <f aca="false">IF(G199&gt;H199,G199,H199)*$H$177</f>
        <v>0</v>
      </c>
      <c r="J199" s="2736"/>
      <c r="K199" s="2719"/>
    </row>
    <row r="200" customFormat="false" ht="15.5" hidden="false" customHeight="false" outlineLevel="0" collapsed="false">
      <c r="A200" s="2719"/>
      <c r="B200" s="2648" t="str">
        <f aca="false">фундамент!G347</f>
        <v>разборка опалубки</v>
      </c>
      <c r="C200" s="2765" t="str">
        <f aca="false">фундамент!I347</f>
        <v>м2</v>
      </c>
      <c r="D200" s="298" t="n">
        <f aca="false">фундамент!J347</f>
        <v>74.088</v>
      </c>
      <c r="E200" s="177" t="n">
        <f aca="false">фундамент!K347</f>
        <v>100</v>
      </c>
      <c r="F200" s="177"/>
      <c r="G200" s="122" t="n">
        <f aca="false">IF(F200&gt;0,D200*F200,E200*D200)</f>
        <v>7408.8</v>
      </c>
      <c r="H200" s="2210" t="n">
        <f aca="false">D200*E200*$H$178</f>
        <v>0</v>
      </c>
      <c r="I200" s="2747" t="n">
        <f aca="false">IF(G200&gt;H200,G200,H200)*$H$177</f>
        <v>0</v>
      </c>
      <c r="J200" s="2736"/>
      <c r="K200" s="2719"/>
    </row>
    <row r="201" customFormat="false" ht="15.5" hidden="false" customHeight="false" outlineLevel="0" collapsed="false">
      <c r="A201" s="2719"/>
      <c r="B201" s="2648" t="str">
        <f aca="false">фундамент!G348</f>
        <v>настил пленки</v>
      </c>
      <c r="C201" s="2765" t="str">
        <f aca="false">фундамент!I348</f>
        <v>м2</v>
      </c>
      <c r="D201" s="298" t="n">
        <f aca="false">фундамент!J348</f>
        <v>77.7924</v>
      </c>
      <c r="E201" s="177" t="n">
        <f aca="false">фундамент!K348</f>
        <v>10</v>
      </c>
      <c r="F201" s="177"/>
      <c r="G201" s="122" t="n">
        <f aca="false">IF(F201&gt;0,D201*F201,E201*D201)</f>
        <v>777.924</v>
      </c>
      <c r="H201" s="2210" t="n">
        <f aca="false">D201*E201*$H$178</f>
        <v>0</v>
      </c>
      <c r="I201" s="2747" t="n">
        <f aca="false">IF(G201&gt;H201,G201,H201)*$H$177</f>
        <v>0</v>
      </c>
      <c r="J201" s="2736"/>
      <c r="K201" s="2719"/>
    </row>
    <row r="202" customFormat="false" ht="15.5" hidden="false" customHeight="false" outlineLevel="0" collapsed="false">
      <c r="A202" s="2719"/>
      <c r="B202" s="2648" t="str">
        <f aca="false">фундамент!G350</f>
        <v>армирование</v>
      </c>
      <c r="C202" s="2765" t="str">
        <f aca="false">фундамент!I350</f>
        <v>м.п</v>
      </c>
      <c r="D202" s="298" t="n">
        <f aca="false">фундамент!J350</f>
        <v>423.36</v>
      </c>
      <c r="E202" s="177" t="n">
        <f aca="false">фундамент!K350</f>
        <v>30</v>
      </c>
      <c r="F202" s="177"/>
      <c r="G202" s="122" t="n">
        <f aca="false">IF(F202&gt;0,D202*F202,E202*D202)</f>
        <v>12700.8</v>
      </c>
      <c r="H202" s="2210" t="n">
        <f aca="false">D202*E202*$H$178</f>
        <v>0</v>
      </c>
      <c r="I202" s="2747" t="n">
        <f aca="false">IF(G202&gt;H202,G202,H202)*$H$177</f>
        <v>0</v>
      </c>
      <c r="J202" s="2736"/>
      <c r="K202" s="2719"/>
    </row>
    <row r="203" customFormat="false" ht="15.5" hidden="false" customHeight="false" outlineLevel="0" collapsed="false">
      <c r="A203" s="2719"/>
      <c r="B203" s="2648" t="str">
        <f aca="false">фундамент!G351</f>
        <v>армирование</v>
      </c>
      <c r="C203" s="2765" t="str">
        <f aca="false">фундамент!I351</f>
        <v>м.п.</v>
      </c>
      <c r="D203" s="298" t="n">
        <f aca="false">фундамент!J351</f>
        <v>194.04</v>
      </c>
      <c r="E203" s="177" t="n">
        <f aca="false">фундамент!K351</f>
        <v>500</v>
      </c>
      <c r="F203" s="177"/>
      <c r="G203" s="122" t="n">
        <f aca="false">IF(F203&gt;0,D203*F203,E203*D203)</f>
        <v>97020</v>
      </c>
      <c r="H203" s="2210" t="n">
        <f aca="false">D203*E203*$H$178</f>
        <v>0</v>
      </c>
      <c r="I203" s="2747" t="n">
        <f aca="false">IF(G203&gt;H203,G203,H203)*$H$177</f>
        <v>0</v>
      </c>
      <c r="J203" s="2736"/>
      <c r="K203" s="2719"/>
    </row>
    <row r="204" customFormat="false" ht="15.5" hidden="false" customHeight="false" outlineLevel="0" collapsed="false">
      <c r="A204" s="2719"/>
      <c r="B204" s="2648" t="str">
        <f aca="false">фундамент!G352</f>
        <v>настил гидроизола</v>
      </c>
      <c r="C204" s="2765" t="str">
        <f aca="false">фундамент!I352</f>
        <v>м2</v>
      </c>
      <c r="D204" s="298" t="n">
        <f aca="false">фундамент!J352</f>
        <v>17.64</v>
      </c>
      <c r="E204" s="177" t="n">
        <f aca="false">фундамент!K352</f>
        <v>100</v>
      </c>
      <c r="F204" s="177"/>
      <c r="G204" s="122" t="n">
        <f aca="false">IF(F204&gt;0,D204*F204,E204*D204)</f>
        <v>1764</v>
      </c>
      <c r="H204" s="2210" t="n">
        <f aca="false">D204*E204*$H$178</f>
        <v>0</v>
      </c>
      <c r="I204" s="2747" t="n">
        <f aca="false">IF(G204&gt;H204,G204,H204)*$H$177</f>
        <v>0</v>
      </c>
      <c r="J204" s="2736"/>
      <c r="K204" s="2719"/>
    </row>
    <row r="205" customFormat="false" ht="15.5" hidden="false" customHeight="false" outlineLevel="0" collapsed="false">
      <c r="A205" s="2719"/>
      <c r="B205" s="2648" t="str">
        <f aca="false">фундамент!G353</f>
        <v>трамбовка</v>
      </c>
      <c r="C205" s="2765" t="str">
        <f aca="false">фундамент!I353</f>
        <v>м2</v>
      </c>
      <c r="D205" s="298" t="n">
        <f aca="false">фундамент!J353</f>
        <v>18.522</v>
      </c>
      <c r="E205" s="177" t="n">
        <f aca="false">фундамент!K353</f>
        <v>350</v>
      </c>
      <c r="F205" s="177"/>
      <c r="G205" s="122" t="n">
        <f aca="false">IF(F205&gt;0,D205*F205,E205*D205)</f>
        <v>6482.7</v>
      </c>
      <c r="H205" s="2210" t="n">
        <f aca="false">D205*E205*$H$178</f>
        <v>0</v>
      </c>
      <c r="I205" s="2747" t="n">
        <f aca="false">IF(G205&gt;H205,G205,H205)*$H$177</f>
        <v>0</v>
      </c>
      <c r="J205" s="2736"/>
      <c r="K205" s="2719"/>
    </row>
    <row r="206" customFormat="false" ht="15.5" hidden="false" customHeight="false" outlineLevel="0" collapsed="false">
      <c r="A206" s="2719"/>
      <c r="B206" s="2648" t="str">
        <f aca="false">фундамент!G354</f>
        <v>приемка бетона</v>
      </c>
      <c r="C206" s="2765" t="str">
        <f aca="false">фундамент!I354</f>
        <v>м3</v>
      </c>
      <c r="D206" s="298" t="n">
        <f aca="false">фундамент!J354</f>
        <v>10.584</v>
      </c>
      <c r="E206" s="177" t="n">
        <f aca="false">фундамент!K354</f>
        <v>1200</v>
      </c>
      <c r="F206" s="177"/>
      <c r="G206" s="122" t="n">
        <f aca="false">IF(F206&gt;0,D206*F206,E206*D206)</f>
        <v>12700.8</v>
      </c>
      <c r="H206" s="2210" t="n">
        <f aca="false">D206*E206*$H$178</f>
        <v>0</v>
      </c>
      <c r="I206" s="2747" t="n">
        <f aca="false">IF(G206&gt;H206,G206,H206)*$H$177</f>
        <v>0</v>
      </c>
      <c r="J206" s="2736"/>
      <c r="K206" s="2719"/>
    </row>
    <row r="207" customFormat="false" ht="15.5" hidden="false" customHeight="false" outlineLevel="0" collapsed="false">
      <c r="A207" s="2719"/>
      <c r="B207" s="2648" t="str">
        <f aca="false">фундамент!G355</f>
        <v>утепление фундамента</v>
      </c>
      <c r="C207" s="2765" t="str">
        <f aca="false">фундамент!I355</f>
        <v>м2</v>
      </c>
      <c r="D207" s="298" t="n">
        <f aca="false">фундамент!J355</f>
        <v>0</v>
      </c>
      <c r="E207" s="177" t="n">
        <f aca="false">фундамент!K355</f>
        <v>200</v>
      </c>
      <c r="F207" s="177"/>
      <c r="G207" s="122" t="n">
        <f aca="false">IF(F207&gt;0,D207*F207,E207*D207)</f>
        <v>0</v>
      </c>
      <c r="H207" s="2210" t="n">
        <f aca="false">D207*E207*$H$178</f>
        <v>0</v>
      </c>
      <c r="I207" s="2747" t="n">
        <f aca="false">IF(G207&gt;H207,G207,H207)*$H$177</f>
        <v>0</v>
      </c>
      <c r="J207" s="2736"/>
      <c r="K207" s="2719"/>
    </row>
    <row r="208" customFormat="false" ht="15.5" hidden="false" customHeight="false" outlineLevel="0" collapsed="false">
      <c r="A208" s="2719"/>
      <c r="B208" s="2648" t="str">
        <f aca="false">фундамент!G356</f>
        <v>утепление отмостки</v>
      </c>
      <c r="C208" s="2765" t="str">
        <f aca="false">фундамент!I356</f>
        <v>м2</v>
      </c>
      <c r="D208" s="298" t="n">
        <f aca="false">фундамент!J356</f>
        <v>0</v>
      </c>
      <c r="E208" s="177" t="n">
        <f aca="false">фундамент!K356</f>
        <v>200</v>
      </c>
      <c r="F208" s="177"/>
      <c r="G208" s="122" t="n">
        <f aca="false">IF(F208&gt;0,D208*F208,E208*D208)</f>
        <v>0</v>
      </c>
      <c r="H208" s="2210" t="n">
        <f aca="false">D208*E208*$H$178</f>
        <v>0</v>
      </c>
      <c r="I208" s="2747" t="n">
        <f aca="false">IF(G208&gt;H208,G208,H208)*$H$177</f>
        <v>0</v>
      </c>
      <c r="J208" s="2736"/>
      <c r="K208" s="2719"/>
    </row>
    <row r="209" customFormat="false" ht="15.5" hidden="false" customHeight="false" outlineLevel="0" collapsed="false">
      <c r="A209" s="2719"/>
      <c r="B209" s="2648" t="str">
        <f aca="false">фундамент!G357</f>
        <v>трамбовка пгс</v>
      </c>
      <c r="C209" s="2765" t="str">
        <f aca="false">фундамент!I357</f>
        <v>м2</v>
      </c>
      <c r="D209" s="298" t="n">
        <f aca="false">фундамент!J357</f>
        <v>0</v>
      </c>
      <c r="E209" s="177" t="n">
        <f aca="false">фундамент!K357</f>
        <v>600</v>
      </c>
      <c r="F209" s="177"/>
      <c r="G209" s="122" t="n">
        <f aca="false">IF(F209&gt;0,D209*F209,E209*D209)</f>
        <v>0</v>
      </c>
      <c r="H209" s="2210" t="n">
        <f aca="false">D209*E209*$H$178</f>
        <v>0</v>
      </c>
      <c r="I209" s="2747" t="n">
        <f aca="false">IF(G209&gt;H209,G209,H209)*$H$177</f>
        <v>0</v>
      </c>
      <c r="J209" s="2736"/>
      <c r="K209" s="2719"/>
    </row>
    <row r="210" customFormat="false" ht="15.5" hidden="false" customHeight="false" outlineLevel="0" collapsed="false">
      <c r="A210" s="2719"/>
      <c r="B210" s="2648" t="str">
        <f aca="false">фундамент!G358</f>
        <v>кладка сетки</v>
      </c>
      <c r="C210" s="2765" t="str">
        <f aca="false">фундамент!I358</f>
        <v>м2</v>
      </c>
      <c r="D210" s="298" t="n">
        <f aca="false">фундамент!J358</f>
        <v>0</v>
      </c>
      <c r="E210" s="177" t="n">
        <f aca="false">фундамент!K358</f>
        <v>100</v>
      </c>
      <c r="F210" s="177"/>
      <c r="G210" s="122" t="n">
        <f aca="false">IF(F210&gt;0,D210*F210,E210*D210)</f>
        <v>0</v>
      </c>
      <c r="H210" s="2210" t="n">
        <f aca="false">D210*E210*$H$178</f>
        <v>0</v>
      </c>
      <c r="I210" s="2747" t="n">
        <f aca="false">IF(G210&gt;H210,G210,H210)*$H$177</f>
        <v>0</v>
      </c>
      <c r="J210" s="2736"/>
      <c r="K210" s="2719"/>
    </row>
    <row r="211" customFormat="false" ht="15.5" hidden="false" customHeight="false" outlineLevel="0" collapsed="false">
      <c r="A211" s="2719"/>
      <c r="B211" s="2648" t="str">
        <f aca="false">фундамент!G359</f>
        <v>приемка бетона</v>
      </c>
      <c r="C211" s="2765" t="s">
        <v>135</v>
      </c>
      <c r="D211" s="298" t="n">
        <f aca="false">фундамент!J359</f>
        <v>0</v>
      </c>
      <c r="E211" s="177" t="n">
        <f aca="false">фундамент!K359</f>
        <v>1200</v>
      </c>
      <c r="F211" s="177"/>
      <c r="G211" s="122" t="n">
        <f aca="false">IF(F211&gt;0,D211*F211,E211*D211)</f>
        <v>0</v>
      </c>
      <c r="H211" s="2210" t="n">
        <f aca="false">D211*E211*$H$178</f>
        <v>0</v>
      </c>
      <c r="I211" s="2747" t="n">
        <f aca="false">IF(G211&gt;H211,G211,H211)*$H$177</f>
        <v>0</v>
      </c>
      <c r="J211" s="2736"/>
      <c r="K211" s="2719"/>
    </row>
    <row r="212" customFormat="false" ht="15.5" hidden="false" customHeight="false" outlineLevel="0" collapsed="false">
      <c r="A212" s="2719"/>
      <c r="B212" s="2648" t="str">
        <f aca="false">фундамент!G363</f>
        <v>укладка теп. Пола</v>
      </c>
      <c r="C212" s="2765" t="str">
        <f aca="false">фундамент!I363</f>
        <v>м2</v>
      </c>
      <c r="D212" s="298" t="n">
        <f aca="false">фундамент!J363</f>
        <v>105</v>
      </c>
      <c r="E212" s="177" t="n">
        <f aca="false">фундамент!K363</f>
        <v>600</v>
      </c>
      <c r="F212" s="177"/>
      <c r="G212" s="122" t="n">
        <f aca="false">IF(F212&gt;0,D212*F212,E212*D212)</f>
        <v>63000</v>
      </c>
      <c r="H212" s="2210" t="n">
        <f aca="false">D212*E212*$H$178</f>
        <v>0</v>
      </c>
      <c r="I212" s="2747" t="n">
        <f aca="false">IF(G212&gt;H212,G212,H212)*$H$177</f>
        <v>0</v>
      </c>
      <c r="J212" s="2736"/>
      <c r="K212" s="2719"/>
    </row>
    <row r="213" customFormat="false" ht="15.5" hidden="false" customHeight="false" outlineLevel="0" collapsed="false">
      <c r="A213" s="2719"/>
      <c r="B213" s="2748" t="s">
        <v>4641</v>
      </c>
      <c r="C213" s="2748"/>
      <c r="D213" s="2748"/>
      <c r="E213" s="2748"/>
      <c r="F213" s="2748"/>
      <c r="G213" s="2210" t="n">
        <f aca="false">SUM(G198:G212)*H197</f>
        <v>0</v>
      </c>
      <c r="H213" s="2210" t="n">
        <f aca="false">SUM(H198:H212)</f>
        <v>0</v>
      </c>
      <c r="I213" s="2747" t="n">
        <f aca="false">IF(G213&gt;H213,G213,H213)*$H$177</f>
        <v>0</v>
      </c>
      <c r="J213" s="2736"/>
      <c r="K213" s="2719"/>
    </row>
    <row r="214" customFormat="false" ht="21" hidden="false" customHeight="false" outlineLevel="0" collapsed="false">
      <c r="A214" s="2719"/>
      <c r="B214" s="2762" t="s">
        <v>2145</v>
      </c>
      <c r="C214" s="2762"/>
      <c r="D214" s="2762"/>
      <c r="E214" s="2762"/>
      <c r="F214" s="2762"/>
      <c r="G214" s="905"/>
      <c r="H214" s="2774" t="n">
        <f aca="false">VLOOKUP('Ввод данных'!F764,связи1!A2:B3,2,0)*VLOOKUP('Ввод данных'!C739,связи1!A2:B3,2,0)</f>
        <v>0</v>
      </c>
      <c r="I214" s="2757" t="n">
        <f aca="false">H214</f>
        <v>0</v>
      </c>
      <c r="J214" s="2712"/>
      <c r="K214" s="2719"/>
    </row>
    <row r="215" customFormat="false" ht="15.5" hidden="false" customHeight="false" outlineLevel="0" collapsed="false">
      <c r="A215" s="2712"/>
      <c r="B215" s="2775" t="s">
        <v>2720</v>
      </c>
      <c r="C215" s="2775"/>
      <c r="D215" s="2775"/>
      <c r="E215" s="2775"/>
      <c r="F215" s="2775"/>
      <c r="G215" s="905"/>
      <c r="H215" s="2776" t="n">
        <f aca="false">H214</f>
        <v>0</v>
      </c>
      <c r="I215" s="2757" t="n">
        <f aca="false">H215</f>
        <v>0</v>
      </c>
      <c r="J215" s="2732"/>
      <c r="K215" s="2733"/>
    </row>
    <row r="216" customFormat="false" ht="15.5" hidden="false" customHeight="false" outlineLevel="0" collapsed="false">
      <c r="A216" s="2712"/>
      <c r="B216" s="298" t="str">
        <f aca="false">фундамент!A409</f>
        <v>Экскаватор погрузчик, бурение</v>
      </c>
      <c r="C216" s="2765" t="str">
        <f aca="false">фундамент!B409</f>
        <v>шт</v>
      </c>
      <c r="D216" s="298" t="n">
        <f aca="false">фундамент!C409</f>
        <v>82.5</v>
      </c>
      <c r="E216" s="298" t="n">
        <f aca="false">фундамент!D409</f>
        <v>300</v>
      </c>
      <c r="F216" s="298"/>
      <c r="G216" s="122" t="n">
        <f aca="false">IF(F216&gt;0,D216*F216,E216*D216)</f>
        <v>24750</v>
      </c>
      <c r="H216" s="2778" t="n">
        <f aca="false">D216*E216*$H$215</f>
        <v>0</v>
      </c>
      <c r="I216" s="2747" t="n">
        <f aca="false">IF(G216&gt;H216,G216,H216)*$H$214</f>
        <v>0</v>
      </c>
      <c r="J216" s="2744"/>
      <c r="K216" s="226" t="n">
        <f aca="false">D216-J216</f>
        <v>82.5</v>
      </c>
      <c r="L216" s="2736"/>
    </row>
    <row r="217" customFormat="false" ht="15.5" hidden="false" customHeight="false" outlineLevel="0" collapsed="false">
      <c r="A217" s="2719"/>
      <c r="B217" s="298" t="str">
        <f aca="false">фундамент!A410</f>
        <v>Бетон, м300</v>
      </c>
      <c r="C217" s="2765" t="str">
        <f aca="false">фундамент!B410</f>
        <v>м3</v>
      </c>
      <c r="D217" s="298" t="n">
        <f aca="false">фундамент!C410</f>
        <v>5.828625</v>
      </c>
      <c r="E217" s="298" t="n">
        <f aca="false">фундамент!D410</f>
        <v>3000</v>
      </c>
      <c r="F217" s="298"/>
      <c r="G217" s="122" t="n">
        <f aca="false">IF(F217&gt;0,D217*F217,E217*D217)</f>
        <v>17485.875</v>
      </c>
      <c r="H217" s="2778" t="n">
        <f aca="false">D217*E217*$H$215</f>
        <v>0</v>
      </c>
      <c r="I217" s="2747" t="n">
        <f aca="false">IF(G217&gt;H217,G217,H217)*$H$214</f>
        <v>0</v>
      </c>
      <c r="J217" s="2744"/>
      <c r="K217" s="226" t="n">
        <f aca="false">D217-J217</f>
        <v>5.828625</v>
      </c>
      <c r="L217" s="2736"/>
    </row>
    <row r="218" customFormat="false" ht="15.5" hidden="false" customHeight="false" outlineLevel="0" collapsed="false">
      <c r="A218" s="2719"/>
      <c r="B218" s="298" t="str">
        <f aca="false">фундамент!A411</f>
        <v>Арматурный скелет для свай</v>
      </c>
      <c r="C218" s="2765" t="str">
        <f aca="false">фундамент!B411</f>
        <v>м.п.</v>
      </c>
      <c r="D218" s="298" t="n">
        <f aca="false">фундамент!C411</f>
        <v>272.25</v>
      </c>
      <c r="E218" s="298" t="n">
        <f aca="false">фундамент!D411</f>
        <v>500</v>
      </c>
      <c r="F218" s="298"/>
      <c r="G218" s="122" t="n">
        <f aca="false">IF(F218&gt;0,D218*F218,E218*D218)</f>
        <v>136125</v>
      </c>
      <c r="H218" s="2778" t="n">
        <f aca="false">D218*E218*$H$215</f>
        <v>0</v>
      </c>
      <c r="I218" s="2747" t="n">
        <f aca="false">IF(G218&gt;H218,G218,H218)*$H$214</f>
        <v>0</v>
      </c>
      <c r="J218" s="2744"/>
      <c r="K218" s="226" t="n">
        <f aca="false">D218-J218</f>
        <v>272.25</v>
      </c>
      <c r="L218" s="2736"/>
    </row>
    <row r="219" customFormat="false" ht="15.5" hidden="false" customHeight="false" outlineLevel="0" collapsed="false">
      <c r="A219" s="2719"/>
      <c r="B219" s="298" t="str">
        <f aca="false">фундамент!A412</f>
        <v>Сосна влаж,150*40мм</v>
      </c>
      <c r="C219" s="2765" t="str">
        <f aca="false">фундамент!B412</f>
        <v>м3</v>
      </c>
      <c r="D219" s="298" t="n">
        <f aca="false">фундамент!C412</f>
        <v>3.84384</v>
      </c>
      <c r="E219" s="298" t="n">
        <f aca="false">фундамент!D412</f>
        <v>6500</v>
      </c>
      <c r="F219" s="298"/>
      <c r="G219" s="122" t="n">
        <f aca="false">IF(F219&gt;0,D219*F219,E219*D219)</f>
        <v>24984.96</v>
      </c>
      <c r="H219" s="2778" t="n">
        <f aca="false">D219*E219*$H$215</f>
        <v>0</v>
      </c>
      <c r="I219" s="2747" t="n">
        <f aca="false">IF(G219&gt;H219,G219,H219)*$H$214</f>
        <v>0</v>
      </c>
      <c r="J219" s="2744"/>
      <c r="K219" s="226" t="n">
        <f aca="false">D219-J219</f>
        <v>3.84384</v>
      </c>
      <c r="L219" s="2736"/>
    </row>
    <row r="220" customFormat="false" ht="15.5" hidden="false" customHeight="false" outlineLevel="0" collapsed="false">
      <c r="A220" s="2719"/>
      <c r="B220" s="298" t="str">
        <f aca="false">фундамент!A413</f>
        <v>Пленка гидроизоляционная</v>
      </c>
      <c r="C220" s="2765" t="str">
        <f aca="false">фундамент!B413</f>
        <v>м2</v>
      </c>
      <c r="D220" s="298" t="n">
        <f aca="false">фундамент!C413</f>
        <v>96.096</v>
      </c>
      <c r="E220" s="298" t="n">
        <f aca="false">фундамент!D413</f>
        <v>15</v>
      </c>
      <c r="F220" s="298"/>
      <c r="G220" s="122" t="n">
        <f aca="false">IF(F220&gt;0,D220*F220,E220*D220)</f>
        <v>1441.44</v>
      </c>
      <c r="H220" s="2778" t="n">
        <f aca="false">D220*E220*$H$215</f>
        <v>0</v>
      </c>
      <c r="I220" s="2747" t="n">
        <f aca="false">IF(G220&gt;H220,G220,H220)*$H$214</f>
        <v>0</v>
      </c>
      <c r="J220" s="2744"/>
      <c r="K220" s="226" t="n">
        <f aca="false">D220-J220</f>
        <v>96.096</v>
      </c>
      <c r="L220" s="2736"/>
    </row>
    <row r="221" customFormat="false" ht="15.5" hidden="false" customHeight="false" outlineLevel="0" collapsed="false">
      <c r="A221" s="2719"/>
      <c r="B221" s="298" t="str">
        <f aca="false">фундамент!A415</f>
        <v>Арматура стальная Ø 8</v>
      </c>
      <c r="C221" s="2765" t="str">
        <f aca="false">фундамент!B415</f>
        <v>м.п</v>
      </c>
      <c r="D221" s="298" t="n">
        <f aca="false">фундамент!C415</f>
        <v>443.52</v>
      </c>
      <c r="E221" s="298" t="n">
        <f aca="false">фундамент!D415</f>
        <v>16.037</v>
      </c>
      <c r="F221" s="298"/>
      <c r="G221" s="122" t="n">
        <f aca="false">IF(F221&gt;0,D221*F221,E221*D221)</f>
        <v>7112.73024</v>
      </c>
      <c r="H221" s="2778" t="n">
        <f aca="false">D221*E221*$H$215</f>
        <v>0</v>
      </c>
      <c r="I221" s="2747" t="n">
        <f aca="false">IF(G221&gt;H221,G221,H221)*$H$214</f>
        <v>0</v>
      </c>
      <c r="J221" s="2744"/>
      <c r="K221" s="226" t="n">
        <f aca="false">D221-J221</f>
        <v>443.52</v>
      </c>
      <c r="L221" s="2736"/>
    </row>
    <row r="222" customFormat="false" ht="15.5" hidden="false" customHeight="false" outlineLevel="0" collapsed="false">
      <c r="A222" s="2719"/>
      <c r="B222" s="298" t="str">
        <f aca="false">фундамент!A416</f>
        <v>Арматура стальная Ø 6</v>
      </c>
      <c r="C222" s="2765" t="str">
        <f aca="false">фундамент!B416</f>
        <v>м.п</v>
      </c>
      <c r="D222" s="298" t="n">
        <f aca="false">фундамент!C416</f>
        <v>304.92</v>
      </c>
      <c r="E222" s="298" t="n">
        <f aca="false">фундамент!D416</f>
        <v>9.0132</v>
      </c>
      <c r="F222" s="298"/>
      <c r="G222" s="122" t="n">
        <f aca="false">IF(F222&gt;0,D222*F222,E222*D222)</f>
        <v>2748.304944</v>
      </c>
      <c r="H222" s="2778" t="n">
        <f aca="false">D222*E222*$H$215</f>
        <v>0</v>
      </c>
      <c r="I222" s="2747" t="n">
        <f aca="false">IF(G222&gt;H222,G222,H222)*$H$214</f>
        <v>0</v>
      </c>
      <c r="J222" s="2744"/>
      <c r="K222" s="226" t="n">
        <f aca="false">D222-J222</f>
        <v>304.92</v>
      </c>
      <c r="L222" s="2736"/>
    </row>
    <row r="223" customFormat="false" ht="15.5" hidden="false" customHeight="false" outlineLevel="0" collapsed="false">
      <c r="A223" s="2719"/>
      <c r="B223" s="298" t="str">
        <f aca="false">фундамент!A417</f>
        <v>Вязальная проволока</v>
      </c>
      <c r="C223" s="2765" t="str">
        <f aca="false">фундамент!B417</f>
        <v>кг</v>
      </c>
      <c r="D223" s="298" t="n">
        <f aca="false">фундамент!C417</f>
        <v>16.46568</v>
      </c>
      <c r="E223" s="298" t="n">
        <f aca="false">фундамент!D417</f>
        <v>80</v>
      </c>
      <c r="F223" s="298"/>
      <c r="G223" s="122" t="n">
        <f aca="false">IF(F223&gt;0,D223*F223,E223*D223)</f>
        <v>1317.2544</v>
      </c>
      <c r="H223" s="2778" t="n">
        <f aca="false">D223*E223*$H$215</f>
        <v>0</v>
      </c>
      <c r="I223" s="2747" t="n">
        <f aca="false">IF(G223&gt;H223,G223,H223)*$H$214</f>
        <v>0</v>
      </c>
      <c r="J223" s="2744"/>
      <c r="K223" s="226" t="n">
        <f aca="false">D223-J223</f>
        <v>16.46568</v>
      </c>
      <c r="L223" s="2736"/>
    </row>
    <row r="224" customFormat="false" ht="15.5" hidden="false" customHeight="false" outlineLevel="0" collapsed="false">
      <c r="A224" s="2719"/>
      <c r="B224" s="298" t="str">
        <f aca="false">фундамент!A418</f>
        <v>Гвозди строительные 3,5 x 90</v>
      </c>
      <c r="C224" s="2765" t="str">
        <f aca="false">фундамент!B418</f>
        <v>кг</v>
      </c>
      <c r="D224" s="298" t="n">
        <f aca="false">фундамент!C418</f>
        <v>21.14112</v>
      </c>
      <c r="E224" s="298" t="n">
        <f aca="false">фундамент!D418</f>
        <v>70</v>
      </c>
      <c r="F224" s="298"/>
      <c r="G224" s="122" t="n">
        <f aca="false">IF(F224&gt;0,D224*F224,E224*D224)</f>
        <v>1479.8784</v>
      </c>
      <c r="H224" s="2778" t="n">
        <f aca="false">D224*E224*$H$215</f>
        <v>0</v>
      </c>
      <c r="I224" s="2747" t="n">
        <f aca="false">IF(G224&gt;H224,G224,H224)*$H$214</f>
        <v>0</v>
      </c>
      <c r="J224" s="2744"/>
      <c r="K224" s="226" t="n">
        <f aca="false">D224-J224</f>
        <v>21.14112</v>
      </c>
      <c r="L224" s="2736"/>
    </row>
    <row r="225" customFormat="false" ht="15.5" hidden="false" customHeight="false" outlineLevel="0" collapsed="false">
      <c r="A225" s="2719"/>
      <c r="B225" s="298" t="str">
        <f aca="false">фундамент!A419</f>
        <v>Гидроизол</v>
      </c>
      <c r="C225" s="2765" t="str">
        <f aca="false">фундамент!B419</f>
        <v>м2</v>
      </c>
      <c r="D225" s="298" t="n">
        <f aca="false">фундамент!C419</f>
        <v>18.48</v>
      </c>
      <c r="E225" s="298" t="n">
        <f aca="false">фундамент!D419</f>
        <v>70</v>
      </c>
      <c r="F225" s="298"/>
      <c r="G225" s="122" t="n">
        <f aca="false">IF(F225&gt;0,D225*F225,E225*D225)</f>
        <v>1293.6</v>
      </c>
      <c r="H225" s="2778" t="n">
        <f aca="false">D225*E225*$H$215</f>
        <v>0</v>
      </c>
      <c r="I225" s="2747" t="n">
        <f aca="false">IF(G225&gt;H225,G225,H225)*$H$214</f>
        <v>0</v>
      </c>
      <c r="J225" s="2744"/>
      <c r="K225" s="226" t="n">
        <f aca="false">D225-J225</f>
        <v>18.48</v>
      </c>
      <c r="L225" s="2736"/>
    </row>
    <row r="226" customFormat="false" ht="15.5" hidden="false" customHeight="false" outlineLevel="0" collapsed="false">
      <c r="A226" s="2719"/>
      <c r="B226" s="298" t="str">
        <f aca="false">фундамент!A420</f>
        <v>ПГС, машина 13м3</v>
      </c>
      <c r="C226" s="2765" t="str">
        <f aca="false">фундамент!B420</f>
        <v>маш</v>
      </c>
      <c r="D226" s="298" t="n">
        <f aca="false">фундамент!C420</f>
        <v>0.616</v>
      </c>
      <c r="E226" s="298" t="n">
        <f aca="false">фундамент!D420</f>
        <v>10000</v>
      </c>
      <c r="F226" s="298"/>
      <c r="G226" s="122" t="n">
        <f aca="false">IF(F226&gt;0,D226*F226,E226*D226)</f>
        <v>6160</v>
      </c>
      <c r="H226" s="2778" t="n">
        <f aca="false">D226*E226*$H$215</f>
        <v>0</v>
      </c>
      <c r="I226" s="2747" t="n">
        <f aca="false">IF(G226&gt;H226,G226,H226)*$H$214</f>
        <v>0</v>
      </c>
      <c r="J226" s="2744"/>
      <c r="K226" s="226" t="n">
        <f aca="false">D226-J226</f>
        <v>0.616</v>
      </c>
      <c r="L226" s="2736"/>
    </row>
    <row r="227" customFormat="false" ht="15.5" hidden="false" customHeight="false" outlineLevel="0" collapsed="false">
      <c r="A227" s="2719"/>
      <c r="B227" s="298" t="str">
        <f aca="false">фундамент!A421</f>
        <v>Бетон, м250</v>
      </c>
      <c r="C227" s="2765" t="str">
        <f aca="false">фундамент!B421</f>
        <v>м3</v>
      </c>
      <c r="D227" s="298" t="n">
        <f aca="false">фундамент!C421</f>
        <v>11.088</v>
      </c>
      <c r="E227" s="298" t="n">
        <f aca="false">фундамент!D421</f>
        <v>2750</v>
      </c>
      <c r="F227" s="298"/>
      <c r="G227" s="122" t="n">
        <f aca="false">IF(F227&gt;0,D227*F227,E227*D227)</f>
        <v>30492</v>
      </c>
      <c r="H227" s="2778" t="n">
        <f aca="false">D227*E227*$H$215</f>
        <v>0</v>
      </c>
      <c r="I227" s="2747" t="n">
        <f aca="false">IF(G227&gt;H227,G227,H227)*$H$214</f>
        <v>0</v>
      </c>
      <c r="J227" s="2744"/>
      <c r="K227" s="226" t="n">
        <f aca="false">D227-J227</f>
        <v>11.088</v>
      </c>
      <c r="L227" s="2736"/>
    </row>
    <row r="228" customFormat="false" ht="15.5" hidden="false" customHeight="false" outlineLevel="0" collapsed="false">
      <c r="A228" s="2719"/>
      <c r="B228" s="298" t="str">
        <f aca="false">фундамент!A422</f>
        <v>Нет</v>
      </c>
      <c r="C228" s="2765" t="str">
        <f aca="false">фундамент!B422</f>
        <v>м3</v>
      </c>
      <c r="D228" s="298" t="n">
        <f aca="false">фундамент!C422</f>
        <v>0</v>
      </c>
      <c r="E228" s="298" t="n">
        <f aca="false">фундамент!D422</f>
        <v>0</v>
      </c>
      <c r="F228" s="298"/>
      <c r="G228" s="122" t="n">
        <f aca="false">IF(F228&gt;0,D228*F228,E228*D228)</f>
        <v>0</v>
      </c>
      <c r="H228" s="2778" t="n">
        <f aca="false">D228*E228*$H$215</f>
        <v>0</v>
      </c>
      <c r="I228" s="2747" t="n">
        <f aca="false">IF(G228&gt;H228,G228,H228)*$H$214</f>
        <v>0</v>
      </c>
      <c r="J228" s="2744"/>
      <c r="K228" s="226" t="n">
        <f aca="false">D228-J228</f>
        <v>0</v>
      </c>
      <c r="L228" s="2736"/>
    </row>
    <row r="229" customFormat="false" ht="15.5" hidden="false" customHeight="false" outlineLevel="0" collapsed="false">
      <c r="A229" s="2719"/>
      <c r="B229" s="298" t="str">
        <f aca="false">фундамент!A423</f>
        <v>Грибок для крепления утеплителя</v>
      </c>
      <c r="C229" s="2765" t="str">
        <f aca="false">фундамент!B423</f>
        <v>шт</v>
      </c>
      <c r="D229" s="298" t="n">
        <f aca="false">фундамент!C423</f>
        <v>0</v>
      </c>
      <c r="E229" s="298" t="n">
        <f aca="false">фундамент!D423</f>
        <v>15</v>
      </c>
      <c r="F229" s="298"/>
      <c r="G229" s="122" t="n">
        <f aca="false">IF(F229&gt;0,D229*F229,E229*D229)</f>
        <v>0</v>
      </c>
      <c r="H229" s="2778" t="n">
        <f aca="false">D229*E229*$H$215</f>
        <v>0</v>
      </c>
      <c r="I229" s="2747" t="n">
        <f aca="false">IF(G229&gt;H229,G229,H229)*$H$214</f>
        <v>0</v>
      </c>
      <c r="J229" s="2744"/>
      <c r="K229" s="226" t="n">
        <f aca="false">D229-J229</f>
        <v>0</v>
      </c>
      <c r="L229" s="2736"/>
    </row>
    <row r="230" customFormat="false" ht="15.5" hidden="false" customHeight="false" outlineLevel="0" collapsed="false">
      <c r="A230" s="2719"/>
      <c r="B230" s="298" t="str">
        <f aca="false">фундамент!A424</f>
        <v>Нет</v>
      </c>
      <c r="C230" s="2765" t="str">
        <f aca="false">фундамент!B424</f>
        <v>м3</v>
      </c>
      <c r="D230" s="298" t="n">
        <f aca="false">фундамент!C424</f>
        <v>0</v>
      </c>
      <c r="E230" s="298" t="n">
        <f aca="false">фундамент!D424</f>
        <v>0</v>
      </c>
      <c r="F230" s="298"/>
      <c r="G230" s="122" t="n">
        <f aca="false">IF(F230&gt;0,D230*F230,E230*D230)</f>
        <v>0</v>
      </c>
      <c r="H230" s="2778" t="n">
        <f aca="false">D230*E230*$H$215</f>
        <v>0</v>
      </c>
      <c r="I230" s="2747" t="n">
        <f aca="false">IF(G230&gt;H230,G230,H230)*$H$214</f>
        <v>0</v>
      </c>
      <c r="J230" s="2744"/>
      <c r="K230" s="226" t="n">
        <f aca="false">D230-J230</f>
        <v>0</v>
      </c>
      <c r="L230" s="2736"/>
    </row>
    <row r="231" customFormat="false" ht="15.5" hidden="false" customHeight="false" outlineLevel="0" collapsed="false">
      <c r="A231" s="2719"/>
      <c r="B231" s="298" t="str">
        <f aca="false">фундамент!A425</f>
        <v>ПГС, машина 5м3</v>
      </c>
      <c r="C231" s="2765" t="str">
        <f aca="false">фундамент!B425</f>
        <v>маш</v>
      </c>
      <c r="D231" s="298" t="n">
        <f aca="false">фундамент!C425</f>
        <v>0</v>
      </c>
      <c r="E231" s="298" t="n">
        <f aca="false">фундамент!D425</f>
        <v>6000</v>
      </c>
      <c r="F231" s="298"/>
      <c r="G231" s="122" t="n">
        <f aca="false">IF(F231&gt;0,D231*F231,E231*D231)</f>
        <v>0</v>
      </c>
      <c r="H231" s="2778" t="n">
        <f aca="false">D231*E231*$H$215</f>
        <v>0</v>
      </c>
      <c r="I231" s="2747" t="n">
        <f aca="false">IF(G231&gt;H231,G231,H231)*$H$214</f>
        <v>0</v>
      </c>
      <c r="J231" s="2744"/>
      <c r="K231" s="226" t="n">
        <f aca="false">D231-J231</f>
        <v>0</v>
      </c>
      <c r="L231" s="2736"/>
    </row>
    <row r="232" customFormat="false" ht="15.5" hidden="false" customHeight="false" outlineLevel="0" collapsed="false">
      <c r="A232" s="2719"/>
      <c r="B232" s="298" t="str">
        <f aca="false">фундамент!A426</f>
        <v>Кладочная сетка, 100*100/150*150/200*200мм</v>
      </c>
      <c r="C232" s="2765" t="str">
        <f aca="false">фундамент!B426</f>
        <v>м2</v>
      </c>
      <c r="D232" s="298" t="n">
        <f aca="false">фундамент!C426</f>
        <v>0</v>
      </c>
      <c r="E232" s="298" t="n">
        <f aca="false">фундамент!D426</f>
        <v>70</v>
      </c>
      <c r="F232" s="298"/>
      <c r="G232" s="122" t="n">
        <f aca="false">IF(F232&gt;0,D232*F232,E232*D232)</f>
        <v>0</v>
      </c>
      <c r="H232" s="2778" t="n">
        <f aca="false">D232*E232*$H$215</f>
        <v>0</v>
      </c>
      <c r="I232" s="2747" t="n">
        <f aca="false">IF(G232&gt;H232,G232,H232)*$H$214</f>
        <v>0</v>
      </c>
      <c r="J232" s="2744"/>
      <c r="K232" s="226" t="n">
        <f aca="false">D232-J232</f>
        <v>0</v>
      </c>
      <c r="L232" s="2736"/>
    </row>
    <row r="233" customFormat="false" ht="15.5" hidden="false" customHeight="false" outlineLevel="0" collapsed="false">
      <c r="A233" s="2719"/>
      <c r="B233" s="298" t="str">
        <f aca="false">фундамент!A427</f>
        <v>Бетон, м200</v>
      </c>
      <c r="C233" s="2765" t="str">
        <f aca="false">фундамент!B427</f>
        <v>м3</v>
      </c>
      <c r="D233" s="298" t="n">
        <f aca="false">фундамент!C427</f>
        <v>0</v>
      </c>
      <c r="E233" s="298" t="n">
        <f aca="false">фундамент!D427</f>
        <v>2500</v>
      </c>
      <c r="F233" s="298"/>
      <c r="G233" s="122" t="n">
        <f aca="false">IF(F233&gt;0,D233*F233,E233*D233)</f>
        <v>0</v>
      </c>
      <c r="H233" s="2778" t="n">
        <f aca="false">D233*E233*$H$215</f>
        <v>0</v>
      </c>
      <c r="I233" s="2747" t="n">
        <f aca="false">IF(G233&gt;H233,G233,H233)*$H$214</f>
        <v>0</v>
      </c>
      <c r="J233" s="2744"/>
      <c r="K233" s="226" t="n">
        <f aca="false">D233-J233</f>
        <v>0</v>
      </c>
      <c r="L233" s="2736"/>
    </row>
    <row r="234" customFormat="false" ht="15.5" hidden="false" customHeight="false" outlineLevel="0" collapsed="false">
      <c r="A234" s="2719"/>
      <c r="B234" s="298" t="str">
        <f aca="false">фундамент!G427</f>
        <v>Труба теплого пола 3</v>
      </c>
      <c r="C234" s="2765" t="str">
        <f aca="false">фундамент!I427</f>
        <v>м.п</v>
      </c>
      <c r="D234" s="298" t="n">
        <f aca="false">фундамент!J427</f>
        <v>308</v>
      </c>
      <c r="E234" s="298" t="n">
        <f aca="false">фундамент!K427</f>
        <v>60</v>
      </c>
      <c r="F234" s="298"/>
      <c r="G234" s="122" t="n">
        <f aca="false">IF(F234&gt;0,D234*F234,E234*D234)</f>
        <v>18480</v>
      </c>
      <c r="H234" s="2778" t="n">
        <f aca="false">D234*E234*$H$215</f>
        <v>0</v>
      </c>
      <c r="I234" s="2747" t="n">
        <f aca="false">IF(G234&gt;H234,G234,H234)*$H$214</f>
        <v>0</v>
      </c>
      <c r="J234" s="2744"/>
      <c r="K234" s="226" t="n">
        <f aca="false">D234-J234</f>
        <v>308</v>
      </c>
      <c r="L234" s="296"/>
      <c r="M234" s="296"/>
      <c r="N234" s="296"/>
    </row>
    <row r="235" customFormat="false" ht="15.5" hidden="false" customHeight="false" outlineLevel="0" collapsed="false">
      <c r="A235" s="2719"/>
      <c r="B235" s="298" t="str">
        <f aca="false">фундамент!G428</f>
        <v>Коллектор 1</v>
      </c>
      <c r="C235" s="2765" t="str">
        <f aca="false">фундамент!I428</f>
        <v>шт</v>
      </c>
      <c r="D235" s="2311" t="n">
        <f aca="false">фундамент!J428</f>
        <v>1.1</v>
      </c>
      <c r="E235" s="298" t="n">
        <f aca="false">фундамент!K428</f>
        <v>5000</v>
      </c>
      <c r="F235" s="298"/>
      <c r="G235" s="122" t="n">
        <f aca="false">IF(F235&gt;0,D235*F235,E235*D235)</f>
        <v>5500</v>
      </c>
      <c r="H235" s="2778" t="n">
        <f aca="false">D235*E235*$H$215</f>
        <v>0</v>
      </c>
      <c r="I235" s="2747" t="n">
        <f aca="false">IF(G235&gt;H235,G235,H235)*$H$214</f>
        <v>0</v>
      </c>
      <c r="J235" s="2744"/>
      <c r="K235" s="226" t="n">
        <f aca="false">D235-J235</f>
        <v>1.1</v>
      </c>
      <c r="L235" s="296"/>
      <c r="M235" s="296"/>
      <c r="N235" s="296"/>
    </row>
    <row r="236" customFormat="false" ht="15.5" hidden="false" customHeight="false" outlineLevel="0" collapsed="false">
      <c r="A236" s="2719"/>
      <c r="B236" s="2748" t="s">
        <v>4640</v>
      </c>
      <c r="C236" s="2748"/>
      <c r="D236" s="2748"/>
      <c r="E236" s="2748"/>
      <c r="F236" s="2748"/>
      <c r="G236" s="2210" t="n">
        <f aca="false">SUM(G216:G235)*H214</f>
        <v>0</v>
      </c>
      <c r="H236" s="2779" t="n">
        <f aca="false">SUM(H216:H235)</f>
        <v>0</v>
      </c>
      <c r="I236" s="2747" t="n">
        <f aca="false">IF(G236&gt;H236,G236,H236)*$H$214</f>
        <v>0</v>
      </c>
      <c r="J236" s="2744"/>
      <c r="K236" s="226" t="n">
        <f aca="false">D236-J236</f>
        <v>0</v>
      </c>
      <c r="L236" s="878"/>
      <c r="M236" s="878"/>
      <c r="N236" s="878"/>
    </row>
    <row r="237" customFormat="false" ht="15.5" hidden="false" customHeight="false" outlineLevel="0" collapsed="false">
      <c r="A237" s="2719"/>
      <c r="B237" s="2750" t="s">
        <v>1409</v>
      </c>
      <c r="C237" s="2750"/>
      <c r="D237" s="2750"/>
      <c r="E237" s="2750"/>
      <c r="F237" s="2750"/>
      <c r="G237" s="905"/>
      <c r="H237" s="2780" t="n">
        <f aca="false">H214</f>
        <v>0</v>
      </c>
      <c r="I237" s="2757" t="n">
        <f aca="false">H237</f>
        <v>0</v>
      </c>
      <c r="J237" s="2781"/>
      <c r="L237" s="878"/>
      <c r="M237" s="878"/>
      <c r="N237" s="878"/>
    </row>
    <row r="238" customFormat="false" ht="15.5" hidden="false" customHeight="false" outlineLevel="0" collapsed="false">
      <c r="A238" s="2712"/>
      <c r="B238" s="2648" t="str">
        <f aca="false">фундамент!G409</f>
        <v>приемка бетона</v>
      </c>
      <c r="C238" s="2765" t="s">
        <v>135</v>
      </c>
      <c r="D238" s="122" t="n">
        <f aca="false">фундамент!J409</f>
        <v>5.5636875</v>
      </c>
      <c r="E238" s="89" t="n">
        <f aca="false">фундамент!K409</f>
        <v>1200</v>
      </c>
      <c r="F238" s="89"/>
      <c r="G238" s="122" t="n">
        <f aca="false">IF(F238&gt;0,D238*F238,E238*D238)</f>
        <v>6676.425</v>
      </c>
      <c r="H238" s="2210" t="n">
        <f aca="false">D238*E238*$H$215</f>
        <v>0</v>
      </c>
      <c r="I238" s="2747" t="n">
        <f aca="false">IF(G238&gt;H238,G238,H238)*$H$214</f>
        <v>0</v>
      </c>
      <c r="J238" s="2736"/>
      <c r="K238" s="2719"/>
    </row>
    <row r="239" customFormat="false" ht="15.5" hidden="false" customHeight="false" outlineLevel="0" collapsed="false">
      <c r="A239" s="2719"/>
      <c r="B239" s="2648" t="str">
        <f aca="false">фундамент!G410</f>
        <v>армирование свай скелет из арматуры</v>
      </c>
      <c r="C239" s="2765" t="s">
        <v>156</v>
      </c>
      <c r="D239" s="122" t="n">
        <f aca="false">фундамент!J410</f>
        <v>78.75</v>
      </c>
      <c r="E239" s="89" t="n">
        <f aca="false">фундамент!K410</f>
        <v>500</v>
      </c>
      <c r="F239" s="89"/>
      <c r="G239" s="122" t="n">
        <f aca="false">IF(F239&gt;0,D239*F239,E239*D239)</f>
        <v>39375</v>
      </c>
      <c r="H239" s="2210" t="n">
        <f aca="false">D239*E239*$H$215</f>
        <v>0</v>
      </c>
      <c r="I239" s="2747" t="n">
        <f aca="false">IF(G239&gt;H239,G239,H239)*$H$214</f>
        <v>0</v>
      </c>
      <c r="J239" s="2736"/>
      <c r="K239" s="2719"/>
    </row>
    <row r="240" customFormat="false" ht="15.5" hidden="false" customHeight="false" outlineLevel="0" collapsed="false">
      <c r="A240" s="2719"/>
      <c r="B240" s="2648" t="str">
        <f aca="false">фундамент!G411</f>
        <v>разбивка осей</v>
      </c>
      <c r="C240" s="2765" t="s">
        <v>159</v>
      </c>
      <c r="D240" s="122" t="n">
        <f aca="false">фундамент!J411</f>
        <v>1.05</v>
      </c>
      <c r="E240" s="89" t="n">
        <f aca="false">фундамент!K411</f>
        <v>7000</v>
      </c>
      <c r="F240" s="89"/>
      <c r="G240" s="122" t="n">
        <f aca="false">IF(F240&gt;0,D240*F240,E240*D240)</f>
        <v>7350</v>
      </c>
      <c r="H240" s="2210" t="n">
        <f aca="false">D240*E240*$H$215</f>
        <v>0</v>
      </c>
      <c r="I240" s="2747" t="n">
        <f aca="false">IF(G240&gt;H240,G240,H240)*$H$214</f>
        <v>0</v>
      </c>
      <c r="J240" s="2736"/>
      <c r="K240" s="2719"/>
    </row>
    <row r="241" customFormat="false" ht="15.5" hidden="false" customHeight="false" outlineLevel="0" collapsed="false">
      <c r="A241" s="2719"/>
      <c r="B241" s="2648" t="str">
        <f aca="false">фундамент!G412</f>
        <v>сборка опалубки</v>
      </c>
      <c r="C241" s="2765" t="s">
        <v>133</v>
      </c>
      <c r="D241" s="122" t="n">
        <f aca="false">фундамент!J412</f>
        <v>70.56</v>
      </c>
      <c r="E241" s="89" t="n">
        <f aca="false">фундамент!K412</f>
        <v>300</v>
      </c>
      <c r="F241" s="89"/>
      <c r="G241" s="122" t="n">
        <f aca="false">IF(F241&gt;0,D241*F241,E241*D241)</f>
        <v>21168</v>
      </c>
      <c r="H241" s="2210" t="n">
        <f aca="false">D241*E241*$H$215</f>
        <v>0</v>
      </c>
      <c r="I241" s="2747" t="n">
        <f aca="false">IF(G241&gt;H241,G241,H241)*$H$214</f>
        <v>0</v>
      </c>
      <c r="J241" s="2736"/>
      <c r="K241" s="2719"/>
    </row>
    <row r="242" customFormat="false" ht="15.5" hidden="false" customHeight="false" outlineLevel="0" collapsed="false">
      <c r="A242" s="2719"/>
      <c r="B242" s="2648" t="str">
        <f aca="false">фундамент!G413</f>
        <v>разборка опалубки</v>
      </c>
      <c r="C242" s="2765" t="s">
        <v>133</v>
      </c>
      <c r="D242" s="122" t="n">
        <f aca="false">фундамент!J413</f>
        <v>74.088</v>
      </c>
      <c r="E242" s="89" t="n">
        <f aca="false">фундамент!K413</f>
        <v>100</v>
      </c>
      <c r="F242" s="89"/>
      <c r="G242" s="122" t="n">
        <f aca="false">IF(F242&gt;0,D242*F242,E242*D242)</f>
        <v>7408.8</v>
      </c>
      <c r="H242" s="2210" t="n">
        <f aca="false">D242*E242*$H$215</f>
        <v>0</v>
      </c>
      <c r="I242" s="2747" t="n">
        <f aca="false">IF(G242&gt;H242,G242,H242)*$H$214</f>
        <v>0</v>
      </c>
      <c r="J242" s="2736"/>
      <c r="K242" s="2719"/>
    </row>
    <row r="243" customFormat="false" ht="15.5" hidden="false" customHeight="false" outlineLevel="0" collapsed="false">
      <c r="A243" s="2719"/>
      <c r="B243" s="2648" t="str">
        <f aca="false">фундамент!G414</f>
        <v>настил пленки</v>
      </c>
      <c r="C243" s="2765" t="s">
        <v>133</v>
      </c>
      <c r="D243" s="122" t="n">
        <f aca="false">фундамент!J414</f>
        <v>77.7924</v>
      </c>
      <c r="E243" s="89" t="n">
        <f aca="false">фундамент!K414</f>
        <v>10</v>
      </c>
      <c r="F243" s="89"/>
      <c r="G243" s="122" t="n">
        <f aca="false">IF(F243&gt;0,D243*F243,E243*D243)</f>
        <v>777.924</v>
      </c>
      <c r="H243" s="2210" t="n">
        <f aca="false">D243*E243*$H$215</f>
        <v>0</v>
      </c>
      <c r="I243" s="2747" t="n">
        <f aca="false">IF(G243&gt;H243,G243,H243)*$H$214</f>
        <v>0</v>
      </c>
      <c r="J243" s="2736"/>
      <c r="K243" s="2719"/>
    </row>
    <row r="244" customFormat="false" ht="15.5" hidden="false" customHeight="false" outlineLevel="0" collapsed="false">
      <c r="A244" s="2719"/>
      <c r="B244" s="2648" t="str">
        <f aca="false">фундамент!G416</f>
        <v>армирование</v>
      </c>
      <c r="C244" s="2765" t="s">
        <v>1415</v>
      </c>
      <c r="D244" s="122" t="n">
        <f aca="false">фундамент!J416</f>
        <v>423.36</v>
      </c>
      <c r="E244" s="89" t="n">
        <f aca="false">фундамент!K416</f>
        <v>30</v>
      </c>
      <c r="F244" s="89"/>
      <c r="G244" s="122" t="n">
        <f aca="false">IF(F244&gt;0,D244*F244,E244*D244)</f>
        <v>12700.8</v>
      </c>
      <c r="H244" s="2210" t="n">
        <f aca="false">D244*E244*$H$215</f>
        <v>0</v>
      </c>
      <c r="I244" s="2747" t="n">
        <f aca="false">IF(G244&gt;H244,G244,H244)*$H$214</f>
        <v>0</v>
      </c>
      <c r="J244" s="2736"/>
      <c r="K244" s="2719"/>
    </row>
    <row r="245" customFormat="false" ht="15.5" hidden="false" customHeight="false" outlineLevel="0" collapsed="false">
      <c r="A245" s="2719"/>
      <c r="B245" s="2648" t="str">
        <f aca="false">фундамент!G417</f>
        <v>армирование</v>
      </c>
      <c r="C245" s="2765" t="s">
        <v>156</v>
      </c>
      <c r="D245" s="122" t="n">
        <f aca="false">фундамент!J417</f>
        <v>194.04</v>
      </c>
      <c r="E245" s="89" t="n">
        <f aca="false">фундамент!K417</f>
        <v>30</v>
      </c>
      <c r="F245" s="89"/>
      <c r="G245" s="122" t="n">
        <f aca="false">IF(F245&gt;0,D245*F245,E245*D245)</f>
        <v>5821.2</v>
      </c>
      <c r="H245" s="2210" t="n">
        <f aca="false">D245*E245*$H$215</f>
        <v>0</v>
      </c>
      <c r="I245" s="2747" t="n">
        <f aca="false">IF(G245&gt;H245,G245,H245)*$H$214</f>
        <v>0</v>
      </c>
      <c r="J245" s="2736"/>
      <c r="K245" s="2719"/>
    </row>
    <row r="246" customFormat="false" ht="15.5" hidden="false" customHeight="false" outlineLevel="0" collapsed="false">
      <c r="A246" s="2719"/>
      <c r="B246" s="2648" t="str">
        <f aca="false">фундамент!G418</f>
        <v>настил гидроизола</v>
      </c>
      <c r="C246" s="2765" t="s">
        <v>133</v>
      </c>
      <c r="D246" s="122" t="n">
        <f aca="false">фундамент!J418</f>
        <v>17.64</v>
      </c>
      <c r="E246" s="89" t="n">
        <f aca="false">фундамент!K418</f>
        <v>100</v>
      </c>
      <c r="F246" s="89"/>
      <c r="G246" s="122" t="n">
        <f aca="false">IF(F246&gt;0,D246*F246,E246*D246)</f>
        <v>1764</v>
      </c>
      <c r="H246" s="2210" t="n">
        <f aca="false">D246*E246*$H$215</f>
        <v>0</v>
      </c>
      <c r="I246" s="2747" t="n">
        <f aca="false">IF(G246&gt;H246,G246,H246)*$H$214</f>
        <v>0</v>
      </c>
      <c r="J246" s="2736"/>
      <c r="K246" s="2719"/>
    </row>
    <row r="247" customFormat="false" ht="15.5" hidden="false" customHeight="false" outlineLevel="0" collapsed="false">
      <c r="A247" s="2719"/>
      <c r="B247" s="2648" t="str">
        <f aca="false">фундамент!G419</f>
        <v>трамбовка</v>
      </c>
      <c r="C247" s="2765" t="s">
        <v>133</v>
      </c>
      <c r="D247" s="122" t="n">
        <f aca="false">фундамент!J419</f>
        <v>18.522</v>
      </c>
      <c r="E247" s="89" t="n">
        <f aca="false">фундамент!K419</f>
        <v>600</v>
      </c>
      <c r="F247" s="89"/>
      <c r="G247" s="122" t="n">
        <f aca="false">IF(F247&gt;0,D247*F247,E247*D247)</f>
        <v>11113.2</v>
      </c>
      <c r="H247" s="2210" t="n">
        <f aca="false">D247*E247*$H$215</f>
        <v>0</v>
      </c>
      <c r="I247" s="2747" t="n">
        <f aca="false">IF(G247&gt;H247,G247,H247)*$H$214</f>
        <v>0</v>
      </c>
      <c r="J247" s="2736"/>
      <c r="K247" s="2719"/>
    </row>
    <row r="248" customFormat="false" ht="15.5" hidden="false" customHeight="false" outlineLevel="0" collapsed="false">
      <c r="A248" s="2719"/>
      <c r="B248" s="2648" t="str">
        <f aca="false">фундамент!G420</f>
        <v>приемка бетона</v>
      </c>
      <c r="C248" s="2765" t="s">
        <v>135</v>
      </c>
      <c r="D248" s="122" t="n">
        <f aca="false">фундамент!J420</f>
        <v>10.584</v>
      </c>
      <c r="E248" s="89" t="n">
        <f aca="false">фундамент!K420</f>
        <v>1200</v>
      </c>
      <c r="F248" s="89"/>
      <c r="G248" s="122" t="n">
        <f aca="false">IF(F248&gt;0,D248*F248,E248*D248)</f>
        <v>12700.8</v>
      </c>
      <c r="H248" s="2210" t="n">
        <f aca="false">D248*E248*$H$215</f>
        <v>0</v>
      </c>
      <c r="I248" s="2747" t="n">
        <f aca="false">IF(G248&gt;H248,G248,H248)*$H$214</f>
        <v>0</v>
      </c>
      <c r="J248" s="2736"/>
      <c r="K248" s="2719"/>
    </row>
    <row r="249" customFormat="false" ht="15.5" hidden="false" customHeight="false" outlineLevel="0" collapsed="false">
      <c r="A249" s="2719"/>
      <c r="B249" s="2648" t="str">
        <f aca="false">фундамент!G421</f>
        <v>утепление фундамента</v>
      </c>
      <c r="C249" s="2765" t="s">
        <v>133</v>
      </c>
      <c r="D249" s="122" t="n">
        <f aca="false">фундамент!J421</f>
        <v>0</v>
      </c>
      <c r="E249" s="89" t="n">
        <f aca="false">фундамент!K421</f>
        <v>200</v>
      </c>
      <c r="F249" s="89"/>
      <c r="G249" s="122" t="n">
        <f aca="false">IF(F249&gt;0,D249*F249,E249*D249)</f>
        <v>0</v>
      </c>
      <c r="H249" s="2210" t="n">
        <f aca="false">D249*E249*$H$215</f>
        <v>0</v>
      </c>
      <c r="I249" s="2747" t="n">
        <f aca="false">IF(G249&gt;H249,G249,H249)*$H$214</f>
        <v>0</v>
      </c>
      <c r="J249" s="2736"/>
      <c r="K249" s="2719"/>
    </row>
    <row r="250" customFormat="false" ht="15.5" hidden="false" customHeight="false" outlineLevel="0" collapsed="false">
      <c r="A250" s="2719"/>
      <c r="B250" s="2648" t="str">
        <f aca="false">фундамент!G422</f>
        <v>утепление отмостки</v>
      </c>
      <c r="C250" s="2765" t="s">
        <v>133</v>
      </c>
      <c r="D250" s="122" t="n">
        <f aca="false">фундамент!J422</f>
        <v>0</v>
      </c>
      <c r="E250" s="89" t="n">
        <f aca="false">фундамент!K422</f>
        <v>200</v>
      </c>
      <c r="F250" s="89"/>
      <c r="G250" s="122" t="n">
        <f aca="false">IF(F250&gt;0,D250*F250,E250*D250)</f>
        <v>0</v>
      </c>
      <c r="H250" s="2210" t="n">
        <f aca="false">D250*E250*$H$215</f>
        <v>0</v>
      </c>
      <c r="I250" s="2747" t="n">
        <f aca="false">IF(G250&gt;H250,G250,H250)*$H$214</f>
        <v>0</v>
      </c>
      <c r="J250" s="2736"/>
      <c r="K250" s="2719"/>
    </row>
    <row r="251" customFormat="false" ht="15.5" hidden="false" customHeight="false" outlineLevel="0" collapsed="false">
      <c r="A251" s="2719"/>
      <c r="B251" s="2648" t="str">
        <f aca="false">фундамент!G423</f>
        <v>трамбовка пгс</v>
      </c>
      <c r="C251" s="2765" t="s">
        <v>133</v>
      </c>
      <c r="D251" s="122" t="n">
        <f aca="false">фундамент!J423</f>
        <v>0</v>
      </c>
      <c r="E251" s="89" t="n">
        <f aca="false">фундамент!K423</f>
        <v>600</v>
      </c>
      <c r="F251" s="89"/>
      <c r="G251" s="122" t="n">
        <f aca="false">IF(F251&gt;0,D251*F251,E251*D251)</f>
        <v>0</v>
      </c>
      <c r="H251" s="2210" t="n">
        <f aca="false">D251*E251*$H$215</f>
        <v>0</v>
      </c>
      <c r="I251" s="2747" t="n">
        <f aca="false">IF(G251&gt;H251,G251,H251)*$H$214</f>
        <v>0</v>
      </c>
      <c r="J251" s="2736"/>
      <c r="K251" s="2719"/>
    </row>
    <row r="252" customFormat="false" ht="15.5" hidden="false" customHeight="false" outlineLevel="0" collapsed="false">
      <c r="A252" s="2719"/>
      <c r="B252" s="2648" t="str">
        <f aca="false">фундамент!G424</f>
        <v>кладка сетки</v>
      </c>
      <c r="C252" s="2765" t="s">
        <v>133</v>
      </c>
      <c r="D252" s="122" t="n">
        <f aca="false">фундамент!J424</f>
        <v>0</v>
      </c>
      <c r="E252" s="89" t="n">
        <f aca="false">фундамент!K424</f>
        <v>100</v>
      </c>
      <c r="F252" s="89"/>
      <c r="G252" s="122" t="n">
        <f aca="false">IF(F252&gt;0,D252*F252,E252*D252)</f>
        <v>0</v>
      </c>
      <c r="H252" s="2210" t="n">
        <f aca="false">D252*E252*$H$215</f>
        <v>0</v>
      </c>
      <c r="I252" s="2747" t="n">
        <f aca="false">IF(G252&gt;H252,G252,H252)*$H$214</f>
        <v>0</v>
      </c>
      <c r="J252" s="2736"/>
      <c r="K252" s="2719"/>
    </row>
    <row r="253" customFormat="false" ht="15.5" hidden="false" customHeight="false" outlineLevel="0" collapsed="false">
      <c r="A253" s="2719"/>
      <c r="B253" s="2648" t="str">
        <f aca="false">фундамент!G425</f>
        <v>приемка бетона</v>
      </c>
      <c r="C253" s="2765" t="s">
        <v>133</v>
      </c>
      <c r="D253" s="122" t="n">
        <f aca="false">фундамент!J425</f>
        <v>0</v>
      </c>
      <c r="E253" s="89" t="n">
        <f aca="false">фундамент!K425</f>
        <v>1200</v>
      </c>
      <c r="F253" s="89"/>
      <c r="G253" s="122" t="n">
        <f aca="false">IF(F253&gt;0,D253*F253,E253*D253)</f>
        <v>0</v>
      </c>
      <c r="H253" s="2210" t="n">
        <f aca="false">D253*E253*$H$215</f>
        <v>0</v>
      </c>
      <c r="I253" s="2747" t="n">
        <f aca="false">IF(G253&gt;H253,G253,H253)*$H$214</f>
        <v>0</v>
      </c>
      <c r="J253" s="2736"/>
      <c r="K253" s="2719"/>
    </row>
    <row r="254" customFormat="false" ht="15.5" hidden="false" customHeight="false" outlineLevel="0" collapsed="false">
      <c r="A254" s="2719"/>
      <c r="B254" s="2648" t="str">
        <f aca="false">фундамент!G429</f>
        <v>укладка теп. Пола</v>
      </c>
      <c r="C254" s="2765" t="str">
        <f aca="false">фундамент!I429</f>
        <v>м2</v>
      </c>
      <c r="D254" s="122" t="n">
        <f aca="false">фундамент!J429</f>
        <v>105</v>
      </c>
      <c r="E254" s="89" t="n">
        <f aca="false">фундамент!K429</f>
        <v>600</v>
      </c>
      <c r="F254" s="89"/>
      <c r="G254" s="122" t="n">
        <f aca="false">IF(F254&gt;0,D254*F254,E254*D254)</f>
        <v>63000</v>
      </c>
      <c r="H254" s="2210" t="n">
        <f aca="false">D254*E254*$H$215</f>
        <v>0</v>
      </c>
      <c r="I254" s="2747" t="n">
        <f aca="false">IF(G254&gt;H254,G254,H254)*$H$214</f>
        <v>0</v>
      </c>
      <c r="J254" s="2736"/>
      <c r="K254" s="2719"/>
    </row>
    <row r="255" customFormat="false" ht="15.5" hidden="false" customHeight="false" outlineLevel="0" collapsed="false">
      <c r="A255" s="2719"/>
      <c r="B255" s="2748" t="s">
        <v>4641</v>
      </c>
      <c r="C255" s="2748"/>
      <c r="D255" s="2748"/>
      <c r="E255" s="2748"/>
      <c r="F255" s="2748"/>
      <c r="G255" s="2210" t="n">
        <f aca="false">SUM(G238:G254)*H237</f>
        <v>0</v>
      </c>
      <c r="H255" s="2210" t="n">
        <f aca="false">SUM(H238:H254)</f>
        <v>0</v>
      </c>
      <c r="I255" s="2747" t="n">
        <f aca="false">IF(G255&gt;H255,G255,H255)*$H$214</f>
        <v>0</v>
      </c>
      <c r="J255" s="2736"/>
      <c r="K255" s="2719"/>
    </row>
    <row r="256" customFormat="false" ht="21" hidden="false" customHeight="false" outlineLevel="0" collapsed="false">
      <c r="A256" s="2719"/>
      <c r="B256" s="2762" t="s">
        <v>4648</v>
      </c>
      <c r="C256" s="2762"/>
      <c r="D256" s="2762"/>
      <c r="E256" s="2762"/>
      <c r="F256" s="2782"/>
      <c r="G256" s="905"/>
      <c r="H256" s="2774" t="n">
        <f aca="false">VLOOKUP('Ввод данных'!F822,связи1!A2:B3,2,0)</f>
        <v>0</v>
      </c>
      <c r="I256" s="2757" t="n">
        <f aca="false">H256</f>
        <v>0</v>
      </c>
      <c r="J256" s="2712"/>
      <c r="K256" s="2719"/>
    </row>
    <row r="257" customFormat="false" ht="15.5" hidden="false" customHeight="false" outlineLevel="0" collapsed="false">
      <c r="A257" s="2712"/>
      <c r="B257" s="2775" t="s">
        <v>2720</v>
      </c>
      <c r="C257" s="2775"/>
      <c r="D257" s="2775"/>
      <c r="E257" s="2775"/>
      <c r="F257" s="2783"/>
      <c r="G257" s="905"/>
      <c r="H257" s="2776" t="n">
        <f aca="false">H256</f>
        <v>0</v>
      </c>
      <c r="I257" s="2757" t="n">
        <f aca="false">H257</f>
        <v>0</v>
      </c>
      <c r="J257" s="2732"/>
      <c r="K257" s="2733"/>
    </row>
    <row r="258" customFormat="false" ht="15.5" hidden="false" customHeight="false" outlineLevel="0" collapsed="false">
      <c r="A258" s="2712"/>
      <c r="B258" s="298" t="str">
        <f aca="false">фундамент!A478</f>
        <v>Скальник, 1 маш 13м3</v>
      </c>
      <c r="C258" s="2765" t="str">
        <f aca="false">фундамент!B478</f>
        <v>маш</v>
      </c>
      <c r="D258" s="298" t="n">
        <f aca="false">фундамент!C478</f>
        <v>1.53846153846154</v>
      </c>
      <c r="E258" s="177" t="n">
        <f aca="false">фундамент!D478</f>
        <v>15000</v>
      </c>
      <c r="F258" s="177"/>
      <c r="G258" s="122" t="n">
        <f aca="false">IF(F258&gt;0,D258*F258,E258*D258)</f>
        <v>23076.9230769231</v>
      </c>
      <c r="H258" s="85" t="n">
        <f aca="false">D258*E258*$H$257</f>
        <v>0</v>
      </c>
      <c r="I258" s="2784" t="n">
        <f aca="false">IF(G258&gt;H258,G258,H258)*$H$256</f>
        <v>0</v>
      </c>
      <c r="J258" s="2744"/>
      <c r="K258" s="226" t="n">
        <f aca="false">D258-J258</f>
        <v>1.53846153846154</v>
      </c>
      <c r="L258" s="2736"/>
    </row>
    <row r="259" customFormat="false" ht="15.5" hidden="false" customHeight="false" outlineLevel="0" collapsed="false">
      <c r="A259" s="2719"/>
      <c r="B259" s="298" t="str">
        <f aca="false">фундамент!A479</f>
        <v>ПГС, машина 13м3</v>
      </c>
      <c r="C259" s="2765" t="str">
        <f aca="false">фундамент!B479</f>
        <v>маш</v>
      </c>
      <c r="D259" s="298" t="n">
        <f aca="false">фундамент!C479</f>
        <v>1.53846153846154</v>
      </c>
      <c r="E259" s="177" t="n">
        <f aca="false">фундамент!D479</f>
        <v>10000</v>
      </c>
      <c r="F259" s="177"/>
      <c r="G259" s="122" t="n">
        <f aca="false">IF(F259&gt;0,D259*F259,E259*D259)</f>
        <v>15384.6153846154</v>
      </c>
      <c r="H259" s="85" t="n">
        <f aca="false">D259*E259*$H$257</f>
        <v>0</v>
      </c>
      <c r="I259" s="2784" t="n">
        <f aca="false">IF(G259&gt;H259,G259,H259)*$H$256</f>
        <v>0</v>
      </c>
      <c r="J259" s="2744"/>
      <c r="K259" s="226" t="n">
        <f aca="false">D259-J259</f>
        <v>1.53846153846154</v>
      </c>
      <c r="L259" s="2736"/>
    </row>
    <row r="260" customFormat="false" ht="15.5" hidden="false" customHeight="false" outlineLevel="0" collapsed="false">
      <c r="A260" s="2719"/>
      <c r="B260" s="298" t="str">
        <f aca="false">фундамент!A480</f>
        <v>Песок, машина 13м3</v>
      </c>
      <c r="C260" s="2765" t="str">
        <f aca="false">фундамент!B480</f>
        <v>маш</v>
      </c>
      <c r="D260" s="298" t="n">
        <f aca="false">фундамент!C480</f>
        <v>0.769230769230769</v>
      </c>
      <c r="E260" s="177" t="n">
        <f aca="false">фундамент!D480</f>
        <v>12000</v>
      </c>
      <c r="F260" s="177"/>
      <c r="G260" s="122" t="n">
        <f aca="false">IF(F260&gt;0,D260*F260,E260*D260)</f>
        <v>9230.76923076923</v>
      </c>
      <c r="H260" s="85" t="n">
        <f aca="false">D260*E260*$H$257</f>
        <v>0</v>
      </c>
      <c r="I260" s="2784" t="n">
        <f aca="false">IF(G260&gt;H260,G260,H260)*$H$256</f>
        <v>0</v>
      </c>
      <c r="J260" s="2744"/>
      <c r="K260" s="226" t="n">
        <f aca="false">D260-J260</f>
        <v>0.769230769230769</v>
      </c>
      <c r="L260" s="2736"/>
    </row>
    <row r="261" customFormat="false" ht="15.5" hidden="false" customHeight="false" outlineLevel="0" collapsed="false">
      <c r="A261" s="2719"/>
      <c r="B261" s="298" t="str">
        <f aca="false">фундамент!A481</f>
        <v>Сосна влаж,180*40мм</v>
      </c>
      <c r="C261" s="2765" t="str">
        <f aca="false">фундамент!B481</f>
        <v>м3</v>
      </c>
      <c r="D261" s="298" t="n">
        <f aca="false">фундамент!C481</f>
        <v>0</v>
      </c>
      <c r="E261" s="177" t="n">
        <f aca="false">фундамент!D481</f>
        <v>6500</v>
      </c>
      <c r="F261" s="177"/>
      <c r="G261" s="122" t="n">
        <f aca="false">IF(F261&gt;0,D261*F261,E261*D261)</f>
        <v>0</v>
      </c>
      <c r="H261" s="85" t="n">
        <f aca="false">D261*E261*$H$257</f>
        <v>0</v>
      </c>
      <c r="I261" s="2784" t="n">
        <f aca="false">IF(G261&gt;H261,G261,H261)*$H$256</f>
        <v>0</v>
      </c>
      <c r="J261" s="2744"/>
      <c r="K261" s="226" t="n">
        <f aca="false">D261-J261</f>
        <v>0</v>
      </c>
      <c r="L261" s="2736"/>
    </row>
    <row r="262" customFormat="false" ht="15.5" hidden="false" customHeight="false" outlineLevel="0" collapsed="false">
      <c r="A262" s="2719"/>
      <c r="B262" s="298" t="str">
        <f aca="false">фундамент!A482</f>
        <v>Нет утеплителя</v>
      </c>
      <c r="C262" s="2765" t="str">
        <f aca="false">фундамент!B482</f>
        <v>м3</v>
      </c>
      <c r="D262" s="298" t="n">
        <f aca="false">фундамент!C482</f>
        <v>0</v>
      </c>
      <c r="E262" s="298" t="n">
        <f aca="false">фундамент!D482</f>
        <v>0</v>
      </c>
      <c r="F262" s="298"/>
      <c r="G262" s="122" t="n">
        <f aca="false">IF(F262&gt;0,D262*F262,E262*D262)</f>
        <v>0</v>
      </c>
      <c r="H262" s="85" t="n">
        <f aca="false">D262*E262*$H$257</f>
        <v>0</v>
      </c>
      <c r="I262" s="2784" t="n">
        <f aca="false">IF(G262&gt;H262,G262,H262)*$H$256</f>
        <v>0</v>
      </c>
      <c r="J262" s="2744"/>
      <c r="K262" s="226" t="n">
        <f aca="false">D262-J262</f>
        <v>0</v>
      </c>
      <c r="L262" s="2736"/>
    </row>
    <row r="263" customFormat="false" ht="15.5" hidden="false" customHeight="false" outlineLevel="0" collapsed="false">
      <c r="A263" s="2719"/>
      <c r="B263" s="298" t="str">
        <f aca="false">фундамент!A483</f>
        <v>Нет утеплителя</v>
      </c>
      <c r="C263" s="2765" t="str">
        <f aca="false">фундамент!B483</f>
        <v>м3</v>
      </c>
      <c r="D263" s="298" t="n">
        <f aca="false">фундамент!C483</f>
        <v>0</v>
      </c>
      <c r="E263" s="177" t="n">
        <f aca="false">фундамент!D483</f>
        <v>0</v>
      </c>
      <c r="F263" s="177"/>
      <c r="G263" s="122" t="n">
        <f aca="false">IF(F263&gt;0,D263*F263,E263*D263)</f>
        <v>0</v>
      </c>
      <c r="H263" s="85" t="n">
        <f aca="false">D263*E263*$H$257</f>
        <v>0</v>
      </c>
      <c r="I263" s="2784" t="n">
        <f aca="false">IF(G263&gt;H263,G263,H263)*$H$256</f>
        <v>0</v>
      </c>
      <c r="J263" s="2744"/>
      <c r="K263" s="226" t="n">
        <f aca="false">D263-J263</f>
        <v>0</v>
      </c>
      <c r="L263" s="2736"/>
    </row>
    <row r="264" customFormat="false" ht="15.5" hidden="false" customHeight="false" outlineLevel="0" collapsed="false">
      <c r="A264" s="2719"/>
      <c r="B264" s="298" t="str">
        <f aca="false">фундамент!A484</f>
        <v>Пленка гидроизоляционная</v>
      </c>
      <c r="C264" s="2765" t="str">
        <f aca="false">фундамент!B484</f>
        <v>м2</v>
      </c>
      <c r="D264" s="298" t="n">
        <f aca="false">фундамент!C484</f>
        <v>130</v>
      </c>
      <c r="E264" s="177" t="n">
        <f aca="false">фундамент!D484</f>
        <v>15</v>
      </c>
      <c r="F264" s="177"/>
      <c r="G264" s="122" t="n">
        <f aca="false">IF(F264&gt;0,D264*F264,E264*D264)</f>
        <v>1950</v>
      </c>
      <c r="H264" s="85" t="n">
        <f aca="false">D264*E264*$H$257</f>
        <v>0</v>
      </c>
      <c r="I264" s="2784" t="n">
        <f aca="false">IF(G264&gt;H264,G264,H264)*$H$256</f>
        <v>0</v>
      </c>
      <c r="J264" s="2744"/>
      <c r="K264" s="226" t="n">
        <f aca="false">D264-J264</f>
        <v>130</v>
      </c>
      <c r="L264" s="2736"/>
    </row>
    <row r="265" customFormat="false" ht="15.5" hidden="false" customHeight="false" outlineLevel="0" collapsed="false">
      <c r="A265" s="2719"/>
      <c r="B265" s="298" t="str">
        <f aca="false">фундамент!A485</f>
        <v>Кладочная сетка, 100*100/150*150/200*200мм</v>
      </c>
      <c r="C265" s="2765" t="str">
        <f aca="false">фундамент!B485</f>
        <v>м2</v>
      </c>
      <c r="D265" s="298" t="n">
        <f aca="false">фундамент!C485</f>
        <v>100</v>
      </c>
      <c r="E265" s="177" t="n">
        <f aca="false">фундамент!D485</f>
        <v>70</v>
      </c>
      <c r="F265" s="177"/>
      <c r="G265" s="122" t="n">
        <f aca="false">IF(F265&gt;0,D265*F265,E265*D265)</f>
        <v>7000</v>
      </c>
      <c r="H265" s="85" t="n">
        <f aca="false">D265*E265*$H$257</f>
        <v>0</v>
      </c>
      <c r="I265" s="2784" t="n">
        <f aca="false">IF(G265&gt;H265,G265,H265)*$H$256</f>
        <v>0</v>
      </c>
      <c r="J265" s="2744"/>
      <c r="K265" s="226" t="n">
        <f aca="false">D265-J265</f>
        <v>100</v>
      </c>
      <c r="L265" s="2736"/>
    </row>
    <row r="266" customFormat="false" ht="15.5" hidden="false" customHeight="false" outlineLevel="0" collapsed="false">
      <c r="A266" s="2719"/>
      <c r="B266" s="298" t="str">
        <f aca="false">фундамент!A486</f>
        <v>Стяжки пластиковые</v>
      </c>
      <c r="C266" s="2765" t="str">
        <f aca="false">фундамент!B486</f>
        <v>шт</v>
      </c>
      <c r="D266" s="298" t="n">
        <f aca="false">фундамент!C486</f>
        <v>1140</v>
      </c>
      <c r="E266" s="177" t="n">
        <f aca="false">фундамент!D486</f>
        <v>2</v>
      </c>
      <c r="F266" s="177"/>
      <c r="G266" s="122" t="n">
        <f aca="false">IF(F266&gt;0,D266*F266,E266*D266)</f>
        <v>2280</v>
      </c>
      <c r="H266" s="85" t="n">
        <f aca="false">D266*E266*$H$257</f>
        <v>0</v>
      </c>
      <c r="I266" s="2784" t="n">
        <f aca="false">IF(G266&gt;H266,G266,H266)*$H$256</f>
        <v>0</v>
      </c>
      <c r="J266" s="2744"/>
      <c r="K266" s="226" t="n">
        <f aca="false">D266-J266</f>
        <v>1140</v>
      </c>
      <c r="L266" s="2736"/>
    </row>
    <row r="267" customFormat="false" ht="15.5" hidden="false" customHeight="false" outlineLevel="0" collapsed="false">
      <c r="A267" s="2719"/>
      <c r="B267" s="298" t="str">
        <f aca="false">фундамент!A487</f>
        <v>Бетон, м350</v>
      </c>
      <c r="C267" s="2765" t="str">
        <f aca="false">фундамент!B487</f>
        <v>м3</v>
      </c>
      <c r="D267" s="298" t="n">
        <f aca="false">фундамент!C487</f>
        <v>0</v>
      </c>
      <c r="E267" s="177" t="n">
        <f aca="false">фундамент!D487</f>
        <v>3500</v>
      </c>
      <c r="F267" s="177"/>
      <c r="G267" s="122" t="n">
        <f aca="false">IF(F267&gt;0,D267*F267,E267*D267)</f>
        <v>0</v>
      </c>
      <c r="H267" s="85" t="n">
        <f aca="false">D267*E267*$H$257</f>
        <v>0</v>
      </c>
      <c r="I267" s="2784" t="n">
        <f aca="false">IF(G267&gt;H267,G267,H267)*$H$256</f>
        <v>0</v>
      </c>
      <c r="J267" s="2744"/>
      <c r="K267" s="226" t="n">
        <f aca="false">D267-J267</f>
        <v>0</v>
      </c>
      <c r="L267" s="2736"/>
    </row>
    <row r="268" customFormat="false" ht="15.5" hidden="false" customHeight="false" outlineLevel="0" collapsed="false">
      <c r="A268" s="2719"/>
      <c r="B268" s="298" t="str">
        <f aca="false">фундамент!A488</f>
        <v>Бетон, м250</v>
      </c>
      <c r="C268" s="2765" t="str">
        <f aca="false">фундамент!B488</f>
        <v>м3</v>
      </c>
      <c r="D268" s="298" t="n">
        <f aca="false">фундамент!C488</f>
        <v>0</v>
      </c>
      <c r="E268" s="177" t="n">
        <f aca="false">фундамент!D488</f>
        <v>2750</v>
      </c>
      <c r="F268" s="177"/>
      <c r="G268" s="122" t="n">
        <f aca="false">IF(F268&gt;0,D268*F268,E268*D268)</f>
        <v>0</v>
      </c>
      <c r="H268" s="85" t="n">
        <f aca="false">D268*E268*$H$257</f>
        <v>0</v>
      </c>
      <c r="I268" s="2784" t="n">
        <f aca="false">IF(G268&gt;H268,G268,H268)*$H$256</f>
        <v>0</v>
      </c>
      <c r="J268" s="2744"/>
      <c r="K268" s="226" t="n">
        <f aca="false">D268-J268</f>
        <v>0</v>
      </c>
      <c r="L268" s="2736"/>
    </row>
    <row r="269" customFormat="false" ht="15.5" hidden="false" customHeight="false" outlineLevel="0" collapsed="false">
      <c r="A269" s="2719"/>
      <c r="B269" s="298" t="str">
        <f aca="false">фундамент!A489</f>
        <v>Труба теплого пола 3</v>
      </c>
      <c r="C269" s="2765" t="str">
        <f aca="false">фундамент!B489</f>
        <v>м.п</v>
      </c>
      <c r="D269" s="298" t="n">
        <f aca="false">фундамент!C489</f>
        <v>280</v>
      </c>
      <c r="E269" s="177" t="n">
        <f aca="false">фундамент!D489</f>
        <v>60</v>
      </c>
      <c r="F269" s="177"/>
      <c r="G269" s="122" t="n">
        <f aca="false">IF(F269&gt;0,D269*F269,E269*D269)</f>
        <v>16800</v>
      </c>
      <c r="H269" s="85" t="n">
        <f aca="false">D269*E269*$H$257</f>
        <v>0</v>
      </c>
      <c r="I269" s="2784" t="n">
        <f aca="false">IF(G269&gt;H269,G269,H269)*$H$256</f>
        <v>0</v>
      </c>
      <c r="J269" s="2744"/>
      <c r="K269" s="226" t="n">
        <f aca="false">D269-J269</f>
        <v>280</v>
      </c>
      <c r="L269" s="2736"/>
    </row>
    <row r="270" customFormat="false" ht="15.5" hidden="false" customHeight="false" outlineLevel="0" collapsed="false">
      <c r="A270" s="2719"/>
      <c r="B270" s="298" t="str">
        <f aca="false">фундамент!A490</f>
        <v>Коллектор 1</v>
      </c>
      <c r="C270" s="2765" t="str">
        <f aca="false">фундамент!B490</f>
        <v>шт</v>
      </c>
      <c r="D270" s="298" t="n">
        <f aca="false">фундамент!C490</f>
        <v>1</v>
      </c>
      <c r="E270" s="177" t="n">
        <f aca="false">фундамент!D490</f>
        <v>5000</v>
      </c>
      <c r="F270" s="177"/>
      <c r="G270" s="122" t="n">
        <f aca="false">IF(F270&gt;0,D270*F270,E270*D270)</f>
        <v>5000</v>
      </c>
      <c r="H270" s="85" t="n">
        <f aca="false">D270*E270*$H$257</f>
        <v>0</v>
      </c>
      <c r="I270" s="2784" t="n">
        <f aca="false">IF(G270&gt;H270,G270,H270)*$H$256</f>
        <v>0</v>
      </c>
      <c r="J270" s="2744"/>
      <c r="K270" s="226" t="n">
        <f aca="false">D270-J270</f>
        <v>1</v>
      </c>
      <c r="L270" s="2736"/>
    </row>
    <row r="271" customFormat="false" ht="15.5" hidden="false" customHeight="false" outlineLevel="0" collapsed="false">
      <c r="A271" s="2719"/>
      <c r="B271" s="298" t="str">
        <f aca="false">фундамент!A491</f>
        <v>Нет арматуры</v>
      </c>
      <c r="C271" s="2765" t="str">
        <f aca="false">фундамент!B491</f>
        <v>м.п.</v>
      </c>
      <c r="D271" s="298" t="n">
        <f aca="false">фундамент!C491</f>
        <v>246.4</v>
      </c>
      <c r="E271" s="177" t="n">
        <f aca="false">фундамент!D491</f>
        <v>0</v>
      </c>
      <c r="F271" s="177"/>
      <c r="G271" s="122" t="n">
        <f aca="false">IF(F271&gt;0,D271*F271,E271*D271)</f>
        <v>0</v>
      </c>
      <c r="H271" s="85" t="n">
        <f aca="false">D271*E271*$H$257</f>
        <v>0</v>
      </c>
      <c r="I271" s="2784" t="n">
        <f aca="false">IF(G271&gt;H271,G271,H271)*$H$256</f>
        <v>0</v>
      </c>
      <c r="J271" s="2744"/>
      <c r="K271" s="226" t="n">
        <f aca="false">D271-J271</f>
        <v>246.4</v>
      </c>
      <c r="L271" s="2736"/>
    </row>
    <row r="272" customFormat="false" ht="15.5" hidden="false" customHeight="false" outlineLevel="0" collapsed="false">
      <c r="A272" s="2719"/>
      <c r="B272" s="298" t="str">
        <f aca="false">фундамент!A492</f>
        <v>Нет арматуры</v>
      </c>
      <c r="C272" s="2765" t="str">
        <f aca="false">фундамент!B492</f>
        <v>м.п.</v>
      </c>
      <c r="D272" s="298" t="n">
        <f aca="false">фундамент!C492</f>
        <v>1000</v>
      </c>
      <c r="E272" s="177" t="n">
        <f aca="false">фундамент!D492</f>
        <v>0</v>
      </c>
      <c r="F272" s="177"/>
      <c r="G272" s="122" t="n">
        <f aca="false">IF(F272&gt;0,D272*F272,E272*D272)</f>
        <v>0</v>
      </c>
      <c r="H272" s="85" t="n">
        <f aca="false">D272*E272*$H$257</f>
        <v>0</v>
      </c>
      <c r="I272" s="2784" t="n">
        <f aca="false">IF(G272&gt;H272,G272,H272)*$H$256</f>
        <v>0</v>
      </c>
      <c r="J272" s="2744"/>
      <c r="K272" s="226" t="n">
        <f aca="false">D272-J272</f>
        <v>1000</v>
      </c>
      <c r="L272" s="2736"/>
    </row>
    <row r="273" customFormat="false" ht="15.5" hidden="false" customHeight="false" outlineLevel="0" collapsed="false">
      <c r="A273" s="2719"/>
      <c r="B273" s="298" t="str">
        <f aca="false">фундамент!A493</f>
        <v>Нет арматуры</v>
      </c>
      <c r="C273" s="2765" t="str">
        <f aca="false">фундамент!B493</f>
        <v>м.п.</v>
      </c>
      <c r="D273" s="298" t="n">
        <f aca="false">фундамент!C493</f>
        <v>0</v>
      </c>
      <c r="E273" s="298" t="n">
        <f aca="false">фундамент!D493</f>
        <v>0</v>
      </c>
      <c r="F273" s="298"/>
      <c r="G273" s="122" t="n">
        <f aca="false">IF(F273&gt;0,D273*F273,E273*D273)</f>
        <v>0</v>
      </c>
      <c r="H273" s="85" t="n">
        <f aca="false">D273*E273*$H$257</f>
        <v>0</v>
      </c>
      <c r="I273" s="2784" t="n">
        <f aca="false">IF(G273&gt;H273,G273,H273)*$H$256</f>
        <v>0</v>
      </c>
      <c r="J273" s="2744"/>
      <c r="K273" s="226" t="n">
        <f aca="false">D273-J273</f>
        <v>0</v>
      </c>
      <c r="L273" s="2736"/>
    </row>
    <row r="274" customFormat="false" ht="15.5" hidden="false" customHeight="false" outlineLevel="0" collapsed="false">
      <c r="A274" s="2719"/>
      <c r="B274" s="298" t="str">
        <f aca="false">фундамент!A494</f>
        <v>Вязальная проволока</v>
      </c>
      <c r="C274" s="2765" t="str">
        <f aca="false">фундамент!B494</f>
        <v>кг</v>
      </c>
      <c r="D274" s="298" t="n">
        <f aca="false">фундамент!C494</f>
        <v>24.928</v>
      </c>
      <c r="E274" s="177" t="n">
        <f aca="false">фундамент!D494</f>
        <v>80</v>
      </c>
      <c r="F274" s="177"/>
      <c r="G274" s="122" t="n">
        <f aca="false">IF(F274&gt;0,D274*F274,E274*D274)</f>
        <v>1994.24</v>
      </c>
      <c r="H274" s="85" t="n">
        <f aca="false">D274*E274*$H$257</f>
        <v>0</v>
      </c>
      <c r="I274" s="2784" t="n">
        <f aca="false">IF(G274&gt;H274,G274,H274)*$H$256</f>
        <v>0</v>
      </c>
      <c r="J274" s="2744"/>
      <c r="K274" s="226" t="n">
        <f aca="false">D274-J274</f>
        <v>24.928</v>
      </c>
      <c r="L274" s="2736"/>
    </row>
    <row r="275" customFormat="false" ht="15.5" hidden="false" customHeight="false" outlineLevel="0" collapsed="false">
      <c r="A275" s="2719"/>
      <c r="B275" s="298" t="str">
        <f aca="false">фундамент!A495</f>
        <v>Подставка под арматурный каркас</v>
      </c>
      <c r="C275" s="2765" t="str">
        <f aca="false">фундамент!B495</f>
        <v>шт</v>
      </c>
      <c r="D275" s="298" t="n">
        <f aca="false">фундамент!C495</f>
        <v>300</v>
      </c>
      <c r="E275" s="177" t="n">
        <f aca="false">фундамент!D495</f>
        <v>5</v>
      </c>
      <c r="F275" s="177"/>
      <c r="G275" s="122" t="n">
        <f aca="false">IF(F275&gt;0,D275*F275,E275*D275)</f>
        <v>1500</v>
      </c>
      <c r="H275" s="85" t="n">
        <f aca="false">D275*E275*$H$257</f>
        <v>0</v>
      </c>
      <c r="I275" s="2784" t="n">
        <f aca="false">IF(G275&gt;H275,G275,H275)*$H$256</f>
        <v>0</v>
      </c>
      <c r="J275" s="2744"/>
      <c r="K275" s="226" t="n">
        <f aca="false">D275-J275</f>
        <v>300</v>
      </c>
      <c r="L275" s="2736"/>
    </row>
    <row r="276" customFormat="false" ht="15.5" hidden="false" customHeight="false" outlineLevel="0" collapsed="false">
      <c r="A276" s="2719"/>
      <c r="B276" s="298" t="str">
        <f aca="false">фундамент!A496</f>
        <v>Гвозди строительные 3,5 x 90</v>
      </c>
      <c r="C276" s="2765" t="str">
        <f aca="false">фундамент!B496</f>
        <v>кг</v>
      </c>
      <c r="D276" s="298" t="n">
        <f aca="false">фундамент!C496</f>
        <v>0</v>
      </c>
      <c r="E276" s="177" t="n">
        <f aca="false">фундамент!D496</f>
        <v>70</v>
      </c>
      <c r="F276" s="177"/>
      <c r="G276" s="122" t="n">
        <f aca="false">IF(F276&gt;0,D276*F276,E276*D276)</f>
        <v>0</v>
      </c>
      <c r="H276" s="85" t="n">
        <f aca="false">D276*E276*$H$257</f>
        <v>0</v>
      </c>
      <c r="I276" s="2784" t="n">
        <f aca="false">IF(G276&gt;H276,G276,H276)*$H$256</f>
        <v>0</v>
      </c>
      <c r="J276" s="2744"/>
      <c r="K276" s="226" t="n">
        <f aca="false">D276-J276</f>
        <v>0</v>
      </c>
      <c r="L276" s="2736"/>
    </row>
    <row r="277" customFormat="false" ht="15.5" hidden="false" customHeight="false" outlineLevel="0" collapsed="false">
      <c r="A277" s="2719"/>
      <c r="B277" s="298" t="str">
        <f aca="false">фундамент!A497</f>
        <v>Геотекстиль</v>
      </c>
      <c r="C277" s="2765" t="str">
        <f aca="false">фундамент!B497</f>
        <v>м2</v>
      </c>
      <c r="D277" s="298" t="n">
        <f aca="false">фундамент!C497</f>
        <v>115</v>
      </c>
      <c r="E277" s="177" t="n">
        <f aca="false">фундамент!D497</f>
        <v>100</v>
      </c>
      <c r="F277" s="177"/>
      <c r="G277" s="122" t="n">
        <f aca="false">IF(F277&gt;0,D277*F277,E277*D277)</f>
        <v>11500</v>
      </c>
      <c r="H277" s="85" t="n">
        <f aca="false">D277*E277*$H$257</f>
        <v>0</v>
      </c>
      <c r="I277" s="2784" t="n">
        <f aca="false">IF(G277&gt;H277,G277,H277)*$H$256</f>
        <v>0</v>
      </c>
      <c r="J277" s="2744"/>
      <c r="K277" s="226" t="n">
        <f aca="false">D277-J277</f>
        <v>115</v>
      </c>
      <c r="L277" s="2736"/>
    </row>
    <row r="278" customFormat="false" ht="15.5" hidden="false" customHeight="false" outlineLevel="0" collapsed="false">
      <c r="A278" s="2719"/>
      <c r="B278" s="298" t="str">
        <f aca="false">фундамент!A498</f>
        <v>Труба гофрированная одностенная d110</v>
      </c>
      <c r="C278" s="2765" t="str">
        <f aca="false">фундамент!B498</f>
        <v>м.п.</v>
      </c>
      <c r="D278" s="298" t="n">
        <f aca="false">фундамент!C498</f>
        <v>61</v>
      </c>
      <c r="E278" s="177" t="n">
        <f aca="false">фундамент!D498</f>
        <v>77</v>
      </c>
      <c r="F278" s="177"/>
      <c r="G278" s="122" t="n">
        <f aca="false">IF(F278&gt;0,D278*F278,E278*D278)</f>
        <v>4697</v>
      </c>
      <c r="H278" s="85" t="n">
        <f aca="false">D278*E278*$H$257</f>
        <v>0</v>
      </c>
      <c r="I278" s="2784" t="n">
        <f aca="false">IF(G278&gt;H278,G278,H278)*$H$256</f>
        <v>0</v>
      </c>
      <c r="J278" s="2744"/>
      <c r="K278" s="226" t="n">
        <f aca="false">D278-J278</f>
        <v>61</v>
      </c>
      <c r="L278" s="2736"/>
    </row>
    <row r="279" customFormat="false" ht="15.5" hidden="false" customHeight="false" outlineLevel="0" collapsed="false">
      <c r="A279" s="2719"/>
      <c r="B279" s="298" t="str">
        <f aca="false">фундамент!A499</f>
        <v>Дренажный колодец D300</v>
      </c>
      <c r="C279" s="2765" t="str">
        <f aca="false">фундамент!B499</f>
        <v>шт</v>
      </c>
      <c r="D279" s="298" t="n">
        <f aca="false">фундамент!C499</f>
        <v>0</v>
      </c>
      <c r="E279" s="177" t="n">
        <f aca="false">фундамент!D499</f>
        <v>1500</v>
      </c>
      <c r="F279" s="177"/>
      <c r="G279" s="122" t="n">
        <f aca="false">IF(F279&gt;0,D279*F279,E279*D279)</f>
        <v>0</v>
      </c>
      <c r="H279" s="85" t="n">
        <f aca="false">D279*E279*$H$257</f>
        <v>0</v>
      </c>
      <c r="I279" s="2784" t="n">
        <f aca="false">IF(G279&gt;H279,G279,H279)*$H$256</f>
        <v>0</v>
      </c>
      <c r="J279" s="2744"/>
      <c r="K279" s="226" t="n">
        <f aca="false">D279-J279</f>
        <v>0</v>
      </c>
      <c r="L279" s="2736"/>
    </row>
    <row r="280" customFormat="false" ht="15.5" hidden="false" customHeight="false" outlineLevel="0" collapsed="false">
      <c r="A280" s="2719"/>
      <c r="B280" s="298" t="str">
        <f aca="false">фундамент!A500</f>
        <v>Труба канализационная D110</v>
      </c>
      <c r="C280" s="2765" t="str">
        <f aca="false">фундамент!B500</f>
        <v>шт</v>
      </c>
      <c r="D280" s="298" t="n">
        <f aca="false">фундамент!C500</f>
        <v>0</v>
      </c>
      <c r="E280" s="177" t="n">
        <f aca="false">фундамент!D500</f>
        <v>70</v>
      </c>
      <c r="F280" s="177"/>
      <c r="G280" s="122" t="n">
        <f aca="false">IF(F280&gt;0,D280*F280,E280*D280)</f>
        <v>0</v>
      </c>
      <c r="H280" s="85" t="n">
        <f aca="false">D280*E280*$H$257</f>
        <v>0</v>
      </c>
      <c r="I280" s="2784" t="n">
        <f aca="false">IF(G280&gt;H280,G280,H280)*$H$256</f>
        <v>0</v>
      </c>
      <c r="J280" s="2744"/>
      <c r="K280" s="226" t="n">
        <f aca="false">D280-J280</f>
        <v>0</v>
      </c>
      <c r="L280" s="2736"/>
    </row>
    <row r="281" customFormat="false" ht="15.5" hidden="false" customHeight="false" outlineLevel="0" collapsed="false">
      <c r="A281" s="2719"/>
      <c r="B281" s="2748" t="s">
        <v>4640</v>
      </c>
      <c r="C281" s="2748"/>
      <c r="D281" s="2748"/>
      <c r="E281" s="2748"/>
      <c r="F281" s="2748"/>
      <c r="G281" s="85" t="n">
        <f aca="false">SUM(G258:G280)*H256</f>
        <v>0</v>
      </c>
      <c r="H281" s="85" t="n">
        <f aca="false">SUM(H258:H280)</f>
        <v>0</v>
      </c>
      <c r="I281" s="2784" t="n">
        <f aca="false">IF(G281&gt;H281,G281,H281)*$H$256</f>
        <v>0</v>
      </c>
      <c r="J281" s="2744"/>
      <c r="K281" s="226" t="n">
        <f aca="false">D281-J281</f>
        <v>0</v>
      </c>
      <c r="L281" s="2736"/>
    </row>
    <row r="282" customFormat="false" ht="15.5" hidden="false" customHeight="false" outlineLevel="0" collapsed="false">
      <c r="A282" s="2719"/>
      <c r="B282" s="2750" t="s">
        <v>1409</v>
      </c>
      <c r="C282" s="2750"/>
      <c r="D282" s="2750"/>
      <c r="E282" s="2750"/>
      <c r="F282" s="2785"/>
      <c r="G282" s="905"/>
      <c r="H282" s="2766" t="n">
        <f aca="false">H256</f>
        <v>0</v>
      </c>
      <c r="I282" s="2757" t="n">
        <f aca="false">H282</f>
        <v>0</v>
      </c>
      <c r="J282" s="2752"/>
      <c r="K282" s="2753"/>
    </row>
    <row r="283" customFormat="false" ht="15.5" hidden="false" customHeight="false" outlineLevel="0" collapsed="false">
      <c r="A283" s="2712"/>
      <c r="B283" s="2648" t="str">
        <f aca="false">фундамент!G478</f>
        <v>разбивка осей фундамента</v>
      </c>
      <c r="C283" s="2765" t="str">
        <f aca="false">фундамент!I478</f>
        <v>шт</v>
      </c>
      <c r="D283" s="298" t="n">
        <f aca="false">фундамент!J478</f>
        <v>1</v>
      </c>
      <c r="E283" s="177" t="n">
        <f aca="false">фундамент!K478</f>
        <v>7000</v>
      </c>
      <c r="F283" s="177"/>
      <c r="G283" s="122" t="n">
        <f aca="false">IF(F283&gt;0,D283*F283,E283*D283)</f>
        <v>7000</v>
      </c>
      <c r="H283" s="85" t="n">
        <f aca="false">E283*D283*$H$282</f>
        <v>0</v>
      </c>
      <c r="I283" s="2718" t="n">
        <f aca="false">IF(G283&gt;H283,G283,H283)*$H$256</f>
        <v>0</v>
      </c>
      <c r="J283" s="2712"/>
      <c r="K283" s="2719"/>
    </row>
    <row r="284" customFormat="false" ht="15.5" hidden="false" customHeight="false" outlineLevel="0" collapsed="false">
      <c r="A284" s="2719"/>
      <c r="B284" s="2648" t="str">
        <f aca="false">фундамент!G479</f>
        <v>трамбовка пгс</v>
      </c>
      <c r="C284" s="2765" t="str">
        <f aca="false">фундамент!I479</f>
        <v>м2</v>
      </c>
      <c r="D284" s="298" t="n">
        <f aca="false">фундамент!J479</f>
        <v>100</v>
      </c>
      <c r="E284" s="177" t="n">
        <f aca="false">фундамент!K479</f>
        <v>600</v>
      </c>
      <c r="F284" s="177"/>
      <c r="G284" s="122" t="n">
        <f aca="false">IF(F284&gt;0,D284*F284,E284*D284)</f>
        <v>60000</v>
      </c>
      <c r="H284" s="85" t="n">
        <f aca="false">E284*D284*$H$282</f>
        <v>0</v>
      </c>
      <c r="I284" s="2718" t="n">
        <f aca="false">IF(G284&gt;H284,G284,H284)*$H$256</f>
        <v>0</v>
      </c>
      <c r="J284" s="2712"/>
      <c r="K284" s="2719"/>
    </row>
    <row r="285" customFormat="false" ht="15.5" hidden="false" customHeight="false" outlineLevel="0" collapsed="false">
      <c r="A285" s="2719"/>
      <c r="B285" s="2648" t="str">
        <f aca="false">фундамент!G480</f>
        <v>трамбовка скальник</v>
      </c>
      <c r="C285" s="2765" t="str">
        <f aca="false">фундамент!I480</f>
        <v>м2</v>
      </c>
      <c r="D285" s="298" t="n">
        <f aca="false">фундамент!J480</f>
        <v>100</v>
      </c>
      <c r="E285" s="177" t="n">
        <f aca="false">фундамент!K480</f>
        <v>400</v>
      </c>
      <c r="F285" s="177"/>
      <c r="G285" s="122" t="n">
        <f aca="false">IF(F285&gt;0,D285*F285,E285*D285)</f>
        <v>40000</v>
      </c>
      <c r="H285" s="85" t="n">
        <f aca="false">E285*D285*$H$282</f>
        <v>0</v>
      </c>
      <c r="I285" s="2718" t="n">
        <f aca="false">IF(G285&gt;H285,G285,H285)*$H$256</f>
        <v>0</v>
      </c>
      <c r="J285" s="2712"/>
      <c r="K285" s="2719"/>
    </row>
    <row r="286" customFormat="false" ht="15.5" hidden="false" customHeight="false" outlineLevel="0" collapsed="false">
      <c r="A286" s="2719"/>
      <c r="B286" s="2648" t="str">
        <f aca="false">фундамент!G481</f>
        <v>трамбовка песок</v>
      </c>
      <c r="C286" s="2765" t="str">
        <f aca="false">фундамент!I481</f>
        <v>м2</v>
      </c>
      <c r="D286" s="298" t="n">
        <f aca="false">фундамент!J481</f>
        <v>100</v>
      </c>
      <c r="E286" s="177" t="n">
        <f aca="false">фундамент!K481</f>
        <v>350</v>
      </c>
      <c r="F286" s="177"/>
      <c r="G286" s="122" t="n">
        <f aca="false">IF(F286&gt;0,D286*F286,E286*D286)</f>
        <v>35000</v>
      </c>
      <c r="H286" s="85" t="n">
        <f aca="false">E286*D286*$H$282</f>
        <v>0</v>
      </c>
      <c r="I286" s="2718" t="n">
        <f aca="false">IF(G286&gt;H286,G286,H286)*$H$256</f>
        <v>0</v>
      </c>
      <c r="J286" s="2712"/>
      <c r="K286" s="2719"/>
    </row>
    <row r="287" customFormat="false" ht="15.5" hidden="false" customHeight="false" outlineLevel="0" collapsed="false">
      <c r="A287" s="2719"/>
      <c r="B287" s="2648" t="str">
        <f aca="false">фундамент!G482</f>
        <v>сборка/разборка опалубки</v>
      </c>
      <c r="C287" s="2765" t="str">
        <f aca="false">фундамент!I482</f>
        <v>м2</v>
      </c>
      <c r="D287" s="298" t="n">
        <f aca="false">фундамент!J482</f>
        <v>0</v>
      </c>
      <c r="E287" s="177" t="n">
        <f aca="false">фундамент!K482</f>
        <v>400</v>
      </c>
      <c r="F287" s="177"/>
      <c r="G287" s="122" t="n">
        <f aca="false">IF(F287&gt;0,D287*F287,E287*D287)</f>
        <v>0</v>
      </c>
      <c r="H287" s="85" t="n">
        <f aca="false">E287*D287*$H$282</f>
        <v>0</v>
      </c>
      <c r="I287" s="2718" t="n">
        <f aca="false">IF(G287&gt;H287,G287,H287)*$H$256</f>
        <v>0</v>
      </c>
      <c r="J287" s="2712"/>
      <c r="K287" s="2719"/>
    </row>
    <row r="288" customFormat="false" ht="15.5" hidden="false" customHeight="false" outlineLevel="0" collapsed="false">
      <c r="A288" s="2719"/>
      <c r="B288" s="2648" t="str">
        <f aca="false">фундамент!G483</f>
        <v>укладка утеплителя под плиту</v>
      </c>
      <c r="C288" s="2765" t="str">
        <f aca="false">фундамент!I483</f>
        <v>м2</v>
      </c>
      <c r="D288" s="298" t="n">
        <f aca="false">фундамент!J483</f>
        <v>100</v>
      </c>
      <c r="E288" s="177" t="n">
        <f aca="false">фундамент!K483</f>
        <v>200</v>
      </c>
      <c r="F288" s="177"/>
      <c r="G288" s="122" t="n">
        <f aca="false">IF(F288&gt;0,D288*F288,E288*D288)</f>
        <v>20000</v>
      </c>
      <c r="H288" s="85" t="n">
        <f aca="false">E288*D288*$H$282</f>
        <v>0</v>
      </c>
      <c r="I288" s="2718" t="n">
        <f aca="false">IF(G288&gt;H288,G288,H288)*$H$256</f>
        <v>0</v>
      </c>
      <c r="J288" s="2712"/>
      <c r="K288" s="2719"/>
    </row>
    <row r="289" customFormat="false" ht="15.5" hidden="false" customHeight="false" outlineLevel="0" collapsed="false">
      <c r="A289" s="2719"/>
      <c r="B289" s="2648" t="str">
        <f aca="false">фундамент!G484</f>
        <v>укладка утеплителя под отмостка</v>
      </c>
      <c r="C289" s="2765" t="str">
        <f aca="false">фундамент!I484</f>
        <v>м2</v>
      </c>
      <c r="D289" s="298" t="n">
        <f aca="false">фундамент!J484</f>
        <v>0</v>
      </c>
      <c r="E289" s="177" t="n">
        <f aca="false">фундамент!K484</f>
        <v>200</v>
      </c>
      <c r="F289" s="177"/>
      <c r="G289" s="122" t="n">
        <f aca="false">IF(F289&gt;0,D289*F289,E289*D289)</f>
        <v>0</v>
      </c>
      <c r="H289" s="85" t="n">
        <f aca="false">E289*D289*$H$282</f>
        <v>0</v>
      </c>
      <c r="I289" s="2718" t="n">
        <f aca="false">IF(G289&gt;H289,G289,H289)*$H$256</f>
        <v>0</v>
      </c>
      <c r="J289" s="2712"/>
      <c r="K289" s="2719"/>
    </row>
    <row r="290" customFormat="false" ht="15.5" hidden="false" customHeight="false" outlineLevel="0" collapsed="false">
      <c r="A290" s="2719"/>
      <c r="B290" s="2648" t="str">
        <f aca="false">фундамент!G485</f>
        <v>укладка пленки</v>
      </c>
      <c r="C290" s="2765" t="str">
        <f aca="false">фундамент!I485</f>
        <v>м2</v>
      </c>
      <c r="D290" s="298" t="n">
        <f aca="false">фундамент!J485</f>
        <v>100</v>
      </c>
      <c r="E290" s="177" t="n">
        <f aca="false">фундамент!K485</f>
        <v>10</v>
      </c>
      <c r="F290" s="177"/>
      <c r="G290" s="122" t="n">
        <f aca="false">IF(F290&gt;0,D290*F290,E290*D290)</f>
        <v>1000</v>
      </c>
      <c r="H290" s="85" t="n">
        <f aca="false">E290*D290*$H$282</f>
        <v>0</v>
      </c>
      <c r="I290" s="2718" t="n">
        <f aca="false">IF(G290&gt;H290,G290,H290)*$H$256</f>
        <v>0</v>
      </c>
      <c r="J290" s="2712"/>
      <c r="K290" s="2719"/>
    </row>
    <row r="291" customFormat="false" ht="15.5" hidden="false" customHeight="false" outlineLevel="0" collapsed="false">
      <c r="A291" s="2719"/>
      <c r="B291" s="2648" t="str">
        <f aca="false">фундамент!G486</f>
        <v>кладка сетки</v>
      </c>
      <c r="C291" s="2765" t="str">
        <f aca="false">фундамент!I486</f>
        <v>м2</v>
      </c>
      <c r="D291" s="298" t="n">
        <f aca="false">фундамент!J486</f>
        <v>100</v>
      </c>
      <c r="E291" s="177" t="n">
        <f aca="false">фундамент!K486</f>
        <v>100</v>
      </c>
      <c r="F291" s="177"/>
      <c r="G291" s="122" t="n">
        <f aca="false">IF(F291&gt;0,D291*F291,E291*D291)</f>
        <v>10000</v>
      </c>
      <c r="H291" s="85" t="n">
        <f aca="false">E291*D291*$H$282</f>
        <v>0</v>
      </c>
      <c r="I291" s="2718" t="n">
        <f aca="false">IF(G291&gt;H291,G291,H291)*$H$256</f>
        <v>0</v>
      </c>
      <c r="J291" s="2712"/>
      <c r="K291" s="2719"/>
    </row>
    <row r="292" customFormat="false" ht="15.5" hidden="false" customHeight="false" outlineLevel="0" collapsed="false">
      <c r="A292" s="2719"/>
      <c r="B292" s="2648" t="str">
        <f aca="false">фундамент!G487</f>
        <v>укладка теп. Пола</v>
      </c>
      <c r="C292" s="2765" t="str">
        <f aca="false">фундамент!I487</f>
        <v>м2</v>
      </c>
      <c r="D292" s="298" t="n">
        <f aca="false">фундамент!J487</f>
        <v>100</v>
      </c>
      <c r="E292" s="177" t="n">
        <f aca="false">фундамент!K487</f>
        <v>600</v>
      </c>
      <c r="F292" s="177"/>
      <c r="G292" s="122" t="n">
        <f aca="false">IF(F292&gt;0,D292*F292,E292*D292)</f>
        <v>60000</v>
      </c>
      <c r="H292" s="85" t="n">
        <f aca="false">E292*D292*$H$282</f>
        <v>0</v>
      </c>
      <c r="I292" s="2718" t="n">
        <f aca="false">IF(G292&gt;H292,G292,H292)*$H$256</f>
        <v>0</v>
      </c>
      <c r="J292" s="2712"/>
      <c r="K292" s="2719"/>
    </row>
    <row r="293" customFormat="false" ht="15.5" hidden="false" customHeight="false" outlineLevel="0" collapsed="false">
      <c r="A293" s="2719"/>
      <c r="B293" s="2648" t="str">
        <f aca="false">фундамент!G488</f>
        <v>Заливка бетоном перекрытия/плиты</v>
      </c>
      <c r="C293" s="2765" t="str">
        <f aca="false">фундамент!I488</f>
        <v>м2</v>
      </c>
      <c r="D293" s="298" t="n">
        <f aca="false">фундамент!J488</f>
        <v>100</v>
      </c>
      <c r="E293" s="177" t="n">
        <f aca="false">фундамент!K488</f>
        <v>350</v>
      </c>
      <c r="F293" s="177"/>
      <c r="G293" s="122" t="n">
        <f aca="false">IF(F293&gt;0,D293*F293,E293*D293)</f>
        <v>35000</v>
      </c>
      <c r="H293" s="85" t="n">
        <f aca="false">E293*D293*$H$282</f>
        <v>0</v>
      </c>
      <c r="I293" s="2718" t="n">
        <f aca="false">IF(G293&gt;H293,G293,H293)*$H$256</f>
        <v>0</v>
      </c>
      <c r="J293" s="2712"/>
      <c r="K293" s="2719"/>
    </row>
    <row r="294" customFormat="false" ht="15.5" hidden="false" customHeight="false" outlineLevel="0" collapsed="false">
      <c r="A294" s="2719"/>
      <c r="B294" s="2648" t="str">
        <f aca="false">фундамент!G489</f>
        <v>заливка бетоном отмостки</v>
      </c>
      <c r="C294" s="2765" t="str">
        <f aca="false">фундамент!I489</f>
        <v>м2</v>
      </c>
      <c r="D294" s="298" t="n">
        <f aca="false">фундамент!J489</f>
        <v>0</v>
      </c>
      <c r="E294" s="177" t="n">
        <f aca="false">фундамент!K489</f>
        <v>500</v>
      </c>
      <c r="F294" s="177"/>
      <c r="G294" s="122" t="n">
        <f aca="false">IF(F294&gt;0,D294*F294,E294*D294)</f>
        <v>0</v>
      </c>
      <c r="H294" s="85" t="n">
        <f aca="false">E294*D294*$H$282</f>
        <v>0</v>
      </c>
      <c r="I294" s="2718" t="n">
        <f aca="false">IF(G294&gt;H294,G294,H294)*$H$256</f>
        <v>0</v>
      </c>
      <c r="J294" s="2712"/>
      <c r="K294" s="2719"/>
    </row>
    <row r="295" customFormat="false" ht="15.5" hidden="false" customHeight="false" outlineLevel="0" collapsed="false">
      <c r="A295" s="2719"/>
      <c r="B295" s="2648" t="str">
        <f aca="false">фундамент!G490</f>
        <v>армирование пол</v>
      </c>
      <c r="C295" s="2765" t="str">
        <f aca="false">фундамент!I490</f>
        <v>м2</v>
      </c>
      <c r="D295" s="298" t="n">
        <f aca="false">фундамент!J490</f>
        <v>100</v>
      </c>
      <c r="E295" s="177" t="n">
        <f aca="false">фундамент!K490</f>
        <v>300</v>
      </c>
      <c r="F295" s="177"/>
      <c r="G295" s="122" t="n">
        <f aca="false">IF(F295&gt;0,D295*F295,E295*D295)</f>
        <v>30000</v>
      </c>
      <c r="H295" s="85" t="n">
        <f aca="false">E295*D295*$H$282</f>
        <v>0</v>
      </c>
      <c r="I295" s="2718" t="n">
        <f aca="false">IF(G295&gt;H295,G295,H295)*$H$256</f>
        <v>0</v>
      </c>
      <c r="J295" s="2712"/>
      <c r="K295" s="2719"/>
    </row>
    <row r="296" customFormat="false" ht="15.5" hidden="false" customHeight="false" outlineLevel="0" collapsed="false">
      <c r="A296" s="2719"/>
      <c r="B296" s="2648" t="str">
        <f aca="false">фундамент!G491</f>
        <v>армирование отмостки</v>
      </c>
      <c r="C296" s="2765" t="str">
        <f aca="false">фундамент!I491</f>
        <v>м2</v>
      </c>
      <c r="D296" s="298" t="n">
        <f aca="false">фундамент!J491</f>
        <v>0</v>
      </c>
      <c r="E296" s="177" t="n">
        <f aca="false">фундамент!K491</f>
        <v>350</v>
      </c>
      <c r="F296" s="177"/>
      <c r="G296" s="122" t="n">
        <f aca="false">IF(F296&gt;0,D296*F296,E296*D296)</f>
        <v>0</v>
      </c>
      <c r="H296" s="85" t="n">
        <f aca="false">E296*D296*$H$282</f>
        <v>0</v>
      </c>
      <c r="I296" s="2718" t="n">
        <f aca="false">IF(G296&gt;H296,G296,H296)*$H$256</f>
        <v>0</v>
      </c>
      <c r="J296" s="2712"/>
      <c r="K296" s="2719"/>
    </row>
    <row r="297" customFormat="false" ht="15.5" hidden="false" customHeight="false" outlineLevel="0" collapsed="false">
      <c r="A297" s="2719"/>
      <c r="B297" s="2648" t="str">
        <f aca="false">фундамент!G492</f>
        <v>монтаж канализации</v>
      </c>
      <c r="C297" s="2765" t="str">
        <f aca="false">фундамент!I492</f>
        <v>м.п.</v>
      </c>
      <c r="D297" s="298" t="n">
        <f aca="false">фундамент!J492</f>
        <v>0</v>
      </c>
      <c r="E297" s="177" t="n">
        <f aca="false">фундамент!K492</f>
        <v>200</v>
      </c>
      <c r="F297" s="177"/>
      <c r="G297" s="122" t="n">
        <f aca="false">IF(F297&gt;0,D297*F297,E297*D297)</f>
        <v>0</v>
      </c>
      <c r="H297" s="85" t="n">
        <f aca="false">E297*D297*$H$282</f>
        <v>0</v>
      </c>
      <c r="I297" s="2718" t="n">
        <f aca="false">IF(G297&gt;H297,G297,H297)*$H$256</f>
        <v>0</v>
      </c>
      <c r="J297" s="2712"/>
      <c r="K297" s="2719"/>
    </row>
    <row r="298" customFormat="false" ht="15.5" hidden="false" customHeight="false" outlineLevel="0" collapsed="false">
      <c r="A298" s="2719"/>
      <c r="B298" s="2648" t="str">
        <f aca="false">фундамент!G493</f>
        <v>укладка геотекстиля</v>
      </c>
      <c r="C298" s="2765" t="str">
        <f aca="false">фундамент!I493</f>
        <v>м2</v>
      </c>
      <c r="D298" s="298" t="n">
        <f aca="false">фундамент!J493</f>
        <v>100</v>
      </c>
      <c r="E298" s="177" t="n">
        <f aca="false">фундамент!K493</f>
        <v>200</v>
      </c>
      <c r="F298" s="177"/>
      <c r="G298" s="122" t="n">
        <f aca="false">IF(F298&gt;0,D298*F298,E298*D298)</f>
        <v>20000</v>
      </c>
      <c r="H298" s="85" t="n">
        <f aca="false">E298*D298*$H$282</f>
        <v>0</v>
      </c>
      <c r="I298" s="2718" t="n">
        <f aca="false">IF(G298&gt;H298,G298,H298)*$H$256</f>
        <v>0</v>
      </c>
      <c r="J298" s="2712"/>
      <c r="K298" s="2719"/>
    </row>
    <row r="299" customFormat="false" ht="15.5" hidden="false" customHeight="false" outlineLevel="0" collapsed="false">
      <c r="A299" s="2719"/>
      <c r="B299" s="2648" t="str">
        <f aca="false">фундамент!G494</f>
        <v>укладка дренажа</v>
      </c>
      <c r="C299" s="2765" t="str">
        <f aca="false">фундамент!I494</f>
        <v>м2</v>
      </c>
      <c r="D299" s="298" t="n">
        <f aca="false">фундамент!J494</f>
        <v>61</v>
      </c>
      <c r="E299" s="177" t="n">
        <f aca="false">фундамент!K494</f>
        <v>200</v>
      </c>
      <c r="F299" s="177"/>
      <c r="G299" s="122" t="n">
        <f aca="false">IF(F299&gt;0,D299*F299,E299*D299)</f>
        <v>12200</v>
      </c>
      <c r="H299" s="85" t="n">
        <f aca="false">E299*D299*$H$282</f>
        <v>0</v>
      </c>
      <c r="I299" s="2718" t="n">
        <f aca="false">IF(G299&gt;H299,G299,H299)*$H$256</f>
        <v>0</v>
      </c>
      <c r="J299" s="2712"/>
      <c r="K299" s="2719"/>
    </row>
    <row r="300" customFormat="false" ht="15.5" hidden="false" customHeight="false" outlineLevel="0" collapsed="false">
      <c r="A300" s="2719"/>
      <c r="B300" s="2648" t="str">
        <f aca="false">фундамент!G495</f>
        <v>монтаж дренажного колодца</v>
      </c>
      <c r="C300" s="2765" t="str">
        <f aca="false">фундамент!I495</f>
        <v>шт</v>
      </c>
      <c r="D300" s="298" t="n">
        <f aca="false">фундамент!J495</f>
        <v>0</v>
      </c>
      <c r="E300" s="177" t="n">
        <f aca="false">фундамент!K495</f>
        <v>300</v>
      </c>
      <c r="F300" s="177"/>
      <c r="G300" s="122" t="n">
        <f aca="false">IF(F300&gt;0,D300*F300,E300*D300)</f>
        <v>0</v>
      </c>
      <c r="H300" s="85" t="n">
        <f aca="false">E300*D300*$H$282</f>
        <v>0</v>
      </c>
      <c r="I300" s="2718" t="n">
        <f aca="false">IF(G300&gt;H300,G300,H300)*$H$256</f>
        <v>0</v>
      </c>
      <c r="J300" s="2712"/>
      <c r="K300" s="2719"/>
    </row>
    <row r="301" customFormat="false" ht="15.5" hidden="false" customHeight="false" outlineLevel="0" collapsed="false">
      <c r="A301" s="2719"/>
      <c r="B301" s="2748" t="s">
        <v>4641</v>
      </c>
      <c r="C301" s="2748"/>
      <c r="D301" s="2748"/>
      <c r="E301" s="2748"/>
      <c r="F301" s="2748"/>
      <c r="G301" s="2210" t="n">
        <f aca="false">SUM(G283:G300)*H282</f>
        <v>0</v>
      </c>
      <c r="H301" s="2210" t="n">
        <f aca="false">SUM(H283:H300)</f>
        <v>0</v>
      </c>
      <c r="I301" s="2718" t="n">
        <f aca="false">IF(G301&gt;H301,G301,H301)*$H$256</f>
        <v>0</v>
      </c>
      <c r="J301" s="2712"/>
      <c r="K301" s="2719"/>
    </row>
    <row r="302" customFormat="false" ht="21" hidden="false" customHeight="false" outlineLevel="0" collapsed="false">
      <c r="A302" s="2719"/>
      <c r="B302" s="2762" t="s">
        <v>4649</v>
      </c>
      <c r="C302" s="2762"/>
      <c r="D302" s="2762"/>
      <c r="E302" s="2762"/>
      <c r="F302" s="2762"/>
      <c r="G302" s="905"/>
      <c r="H302" s="2774" t="n">
        <f aca="false">IF('Ввод данных'!$A$8=связи1!A157,1,0)+IF('Ввод данных'!$A$8=связи1!A168,1,0)+IF('Ввод данных'!$A$8=связи1!A176,1,0)+IF('Ввод данных'!$A$8=связи1!A183,1,0)</f>
        <v>0</v>
      </c>
      <c r="I302" s="2757" t="n">
        <f aca="false">H302</f>
        <v>0</v>
      </c>
      <c r="J302" s="2712"/>
      <c r="K302" s="2719"/>
    </row>
    <row r="303" customFormat="false" ht="15.5" hidden="false" customHeight="false" outlineLevel="0" collapsed="false">
      <c r="A303" s="2712"/>
      <c r="B303" s="2775" t="s">
        <v>2720</v>
      </c>
      <c r="C303" s="2775"/>
      <c r="D303" s="2775"/>
      <c r="E303" s="2775"/>
      <c r="F303" s="2775"/>
      <c r="G303" s="905"/>
      <c r="H303" s="2776" t="n">
        <f aca="false">H302</f>
        <v>0</v>
      </c>
      <c r="I303" s="2757" t="n">
        <f aca="false">H303</f>
        <v>0</v>
      </c>
      <c r="J303" s="2732"/>
      <c r="K303" s="2733"/>
    </row>
    <row r="304" customFormat="false" ht="15.5" hidden="false" customHeight="false" outlineLevel="0" collapsed="false">
      <c r="A304" s="2712"/>
      <c r="B304" s="298" t="str">
        <f aca="false">дома!A1394</f>
        <v>Брус естественной влажности, 150*150мм</v>
      </c>
      <c r="C304" s="2765" t="str">
        <f aca="false">дома!B1394</f>
        <v>м3</v>
      </c>
      <c r="D304" s="298" t="n">
        <f aca="false">дома!C1394</f>
        <v>1.26</v>
      </c>
      <c r="E304" s="298" t="n">
        <f aca="false">дома!D1394</f>
        <v>6500</v>
      </c>
      <c r="F304" s="298"/>
      <c r="G304" s="122" t="n">
        <f aca="false">IF(F304&gt;0,D304*F304,E304*D304)</f>
        <v>8190</v>
      </c>
      <c r="H304" s="85" t="n">
        <f aca="false">D304*E304*$H$303</f>
        <v>0</v>
      </c>
      <c r="I304" s="2784" t="n">
        <f aca="false">IF(G304&gt;H304,G304,H304)*$H$302</f>
        <v>0</v>
      </c>
      <c r="J304" s="2744"/>
      <c r="K304" s="226" t="n">
        <f aca="false">D304-J304</f>
        <v>1.26</v>
      </c>
      <c r="L304" s="2736"/>
    </row>
    <row r="305" customFormat="false" ht="15.5" hidden="false" customHeight="false" outlineLevel="0" collapsed="false">
      <c r="A305" s="2719"/>
      <c r="B305" s="298" t="str">
        <f aca="false">дома!A1395</f>
        <v>обработка мастикой</v>
      </c>
      <c r="C305" s="2765" t="str">
        <f aca="false">дома!B1395</f>
        <v>л</v>
      </c>
      <c r="D305" s="298" t="n">
        <f aca="false">дома!C1395</f>
        <v>8.82</v>
      </c>
      <c r="E305" s="298" t="n">
        <f aca="false">дома!D1395</f>
        <v>60</v>
      </c>
      <c r="F305" s="298"/>
      <c r="G305" s="122" t="n">
        <f aca="false">IF(F305&gt;0,D305*F305,E305*D305)</f>
        <v>529.2</v>
      </c>
      <c r="H305" s="85" t="n">
        <f aca="false">D305*E305*$H$303</f>
        <v>0</v>
      </c>
      <c r="I305" s="2784" t="n">
        <f aca="false">IF(G305&gt;H305,G305,H305)*$H$302</f>
        <v>0</v>
      </c>
      <c r="J305" s="2744"/>
      <c r="K305" s="226" t="n">
        <f aca="false">D305-J305</f>
        <v>8.82</v>
      </c>
      <c r="L305" s="2736"/>
    </row>
    <row r="306" customFormat="false" ht="15.5" hidden="false" customHeight="false" outlineLevel="0" collapsed="false">
      <c r="A306" s="2719"/>
      <c r="B306" s="298" t="str">
        <f aca="false">дома!A1396</f>
        <v>Sip панель 2800*1250*174мм</v>
      </c>
      <c r="C306" s="2765" t="str">
        <f aca="false">дома!B1396</f>
        <v>м2</v>
      </c>
      <c r="D306" s="298" t="n">
        <f aca="false">дома!C1396</f>
        <v>-1.8</v>
      </c>
      <c r="E306" s="298" t="n">
        <f aca="false">дома!D1396</f>
        <v>1200</v>
      </c>
      <c r="F306" s="298"/>
      <c r="G306" s="122" t="n">
        <f aca="false">IF(F306&gt;0,D306*F306,E306*D306)</f>
        <v>-2160</v>
      </c>
      <c r="H306" s="85" t="n">
        <f aca="false">D306*E306*$H$303</f>
        <v>-0</v>
      </c>
      <c r="I306" s="2784" t="n">
        <f aca="false">IF(G306&gt;H306,G306,H306)*$H$302</f>
        <v>-0</v>
      </c>
      <c r="J306" s="2744"/>
      <c r="K306" s="226" t="n">
        <f aca="false">D306-J306</f>
        <v>-1.8</v>
      </c>
      <c r="L306" s="2736"/>
    </row>
    <row r="307" customFormat="false" ht="15.5" hidden="false" customHeight="false" outlineLevel="0" collapsed="false">
      <c r="A307" s="2719"/>
      <c r="B307" s="298" t="str">
        <f aca="false">дома!A1397</f>
        <v>Sip панель 2800*1250*174мм</v>
      </c>
      <c r="C307" s="2765" t="str">
        <f aca="false">дома!B1397</f>
        <v>м2</v>
      </c>
      <c r="D307" s="298" t="n">
        <f aca="false">дома!C1397</f>
        <v>0</v>
      </c>
      <c r="E307" s="298" t="n">
        <f aca="false">дома!D1397</f>
        <v>1200</v>
      </c>
      <c r="F307" s="298"/>
      <c r="G307" s="122" t="n">
        <f aca="false">IF(F307&gt;0,D307*F307,E307*D307)</f>
        <v>0</v>
      </c>
      <c r="H307" s="85" t="n">
        <f aca="false">D307*E307*$H$303</f>
        <v>0</v>
      </c>
      <c r="I307" s="2784" t="n">
        <f aca="false">IF(G307&gt;H307,G307,H307)*$H$302</f>
        <v>0</v>
      </c>
      <c r="J307" s="2744"/>
      <c r="K307" s="226" t="n">
        <f aca="false">D307-J307</f>
        <v>0</v>
      </c>
      <c r="L307" s="2736"/>
    </row>
    <row r="308" customFormat="false" ht="15.5" hidden="false" customHeight="false" outlineLevel="0" collapsed="false">
      <c r="A308" s="2719"/>
      <c r="B308" s="298" t="str">
        <f aca="false">дома!A1398</f>
        <v>Sip панель 2800*1250*124мм</v>
      </c>
      <c r="C308" s="2765" t="str">
        <f aca="false">дома!B1398</f>
        <v>м2</v>
      </c>
      <c r="D308" s="298" t="n">
        <f aca="false">дома!C1398</f>
        <v>0</v>
      </c>
      <c r="E308" s="298" t="n">
        <f aca="false">дома!D1398</f>
        <v>800</v>
      </c>
      <c r="F308" s="298"/>
      <c r="G308" s="122" t="n">
        <f aca="false">IF(F308&gt;0,D308*F308,E308*D308)</f>
        <v>0</v>
      </c>
      <c r="H308" s="85" t="n">
        <f aca="false">D308*E308*$H$303</f>
        <v>0</v>
      </c>
      <c r="I308" s="2784" t="n">
        <f aca="false">IF(G308&gt;H308,G308,H308)*$H$302</f>
        <v>0</v>
      </c>
      <c r="J308" s="2744"/>
      <c r="K308" s="226" t="n">
        <f aca="false">D308-J308</f>
        <v>0</v>
      </c>
      <c r="L308" s="2736"/>
    </row>
    <row r="309" customFormat="false" ht="15.5" hidden="false" customHeight="false" outlineLevel="0" collapsed="false">
      <c r="A309" s="2719"/>
      <c r="B309" s="298" t="str">
        <f aca="false">дома!A1399</f>
        <v>Болты анкерные с гайкой 12,0 х 280</v>
      </c>
      <c r="C309" s="2765" t="str">
        <f aca="false">дома!B1399</f>
        <v>шт</v>
      </c>
      <c r="D309" s="298" t="n">
        <f aca="false">дома!C1399</f>
        <v>112</v>
      </c>
      <c r="E309" s="298" t="n">
        <f aca="false">дома!D1399</f>
        <v>27.1</v>
      </c>
      <c r="F309" s="298"/>
      <c r="G309" s="122" t="n">
        <f aca="false">IF(F309&gt;0,D309*F309,E309*D309)</f>
        <v>3035.2</v>
      </c>
      <c r="H309" s="85" t="n">
        <f aca="false">D309*E309*$H$303</f>
        <v>0</v>
      </c>
      <c r="I309" s="2784" t="n">
        <f aca="false">IF(G309&gt;H309,G309,H309)*$H$302</f>
        <v>0</v>
      </c>
      <c r="J309" s="2744"/>
      <c r="K309" s="226" t="n">
        <f aca="false">D309-J309</f>
        <v>112</v>
      </c>
      <c r="L309" s="2736"/>
    </row>
    <row r="310" customFormat="false" ht="15.5" hidden="false" customHeight="false" outlineLevel="0" collapsed="false">
      <c r="A310" s="2719"/>
      <c r="B310" s="298" t="str">
        <f aca="false">дома!A1400</f>
        <v>обвязка наружние стены верх низ</v>
      </c>
      <c r="C310" s="2765" t="str">
        <f aca="false">дома!B1400</f>
        <v>м3</v>
      </c>
      <c r="D310" s="298" t="n">
        <f aca="false">дома!C1400</f>
        <v>0.6</v>
      </c>
      <c r="E310" s="298" t="n">
        <f aca="false">дома!D1400</f>
        <v>9000</v>
      </c>
      <c r="F310" s="298"/>
      <c r="G310" s="122" t="n">
        <f aca="false">IF(F310&gt;0,D310*F310,E310*D310)</f>
        <v>5400</v>
      </c>
      <c r="H310" s="85" t="n">
        <f aca="false">D310*E310*$H$303</f>
        <v>0</v>
      </c>
      <c r="I310" s="2784" t="n">
        <f aca="false">IF(G310&gt;H310,G310,H310)*$H$302</f>
        <v>0</v>
      </c>
      <c r="J310" s="2744"/>
      <c r="K310" s="226" t="n">
        <f aca="false">D310-J310</f>
        <v>0.6</v>
      </c>
      <c r="L310" s="2736"/>
    </row>
    <row r="311" customFormat="false" ht="15.5" hidden="false" customHeight="false" outlineLevel="0" collapsed="false">
      <c r="A311" s="2719"/>
      <c r="B311" s="298" t="str">
        <f aca="false">дома!A1401</f>
        <v>обвязка несущие перегородки верх низ</v>
      </c>
      <c r="C311" s="2765" t="str">
        <f aca="false">дома!B1401</f>
        <v>м3</v>
      </c>
      <c r="D311" s="298" t="n">
        <f aca="false">дома!C1401</f>
        <v>0.24</v>
      </c>
      <c r="E311" s="298" t="n">
        <f aca="false">дома!D1401</f>
        <v>9000</v>
      </c>
      <c r="F311" s="298"/>
      <c r="G311" s="122" t="n">
        <f aca="false">IF(F311&gt;0,D311*F311,E311*D311)</f>
        <v>2160</v>
      </c>
      <c r="H311" s="85" t="n">
        <f aca="false">D311*E311*$H$303</f>
        <v>0</v>
      </c>
      <c r="I311" s="2784" t="n">
        <f aca="false">IF(G311&gt;H311,G311,H311)*$H$302</f>
        <v>0</v>
      </c>
      <c r="J311" s="2744"/>
      <c r="K311" s="226" t="n">
        <f aca="false">D311-J311</f>
        <v>0.24</v>
      </c>
      <c r="L311" s="2736"/>
    </row>
    <row r="312" customFormat="false" ht="15.5" hidden="false" customHeight="false" outlineLevel="0" collapsed="false">
      <c r="A312" s="2719"/>
      <c r="B312" s="298" t="str">
        <f aca="false">дома!A1402</f>
        <v>обвязка несущие перегородки верх низ</v>
      </c>
      <c r="C312" s="2765" t="str">
        <f aca="false">дома!B1402</f>
        <v>м3</v>
      </c>
      <c r="D312" s="298" t="n">
        <f aca="false">дома!C1402</f>
        <v>0.117</v>
      </c>
      <c r="E312" s="298" t="n">
        <f aca="false">дома!D1402</f>
        <v>9000</v>
      </c>
      <c r="F312" s="298"/>
      <c r="G312" s="122" t="n">
        <f aca="false">IF(F312&gt;0,D312*F312,E312*D312)</f>
        <v>1053</v>
      </c>
      <c r="H312" s="85" t="n">
        <f aca="false">D312*E312*$H$303</f>
        <v>0</v>
      </c>
      <c r="I312" s="2784" t="n">
        <f aca="false">IF(G312&gt;H312,G312,H312)*$H$302</f>
        <v>0</v>
      </c>
      <c r="J312" s="2744"/>
      <c r="K312" s="226" t="n">
        <f aca="false">D312-J312</f>
        <v>0.117</v>
      </c>
      <c r="L312" s="2736"/>
    </row>
    <row r="313" customFormat="false" ht="15.5" hidden="false" customHeight="false" outlineLevel="0" collapsed="false">
      <c r="A313" s="2719"/>
      <c r="B313" s="298" t="str">
        <f aca="false">дома!A1403</f>
        <v>стойки наружние стены</v>
      </c>
      <c r="C313" s="2765" t="str">
        <f aca="false">дома!B1403</f>
        <v>м3</v>
      </c>
      <c r="D313" s="298" t="n">
        <f aca="false">дома!C1403</f>
        <v>0</v>
      </c>
      <c r="E313" s="298" t="n">
        <f aca="false">дома!D1403</f>
        <v>9000</v>
      </c>
      <c r="F313" s="298"/>
      <c r="G313" s="122" t="n">
        <f aca="false">IF(F313&gt;0,D313*F313,E313*D313)</f>
        <v>0</v>
      </c>
      <c r="H313" s="85" t="n">
        <f aca="false">D313*E313*$H$303</f>
        <v>0</v>
      </c>
      <c r="I313" s="2784" t="n">
        <f aca="false">IF(G313&gt;H313,G313,H313)*$H$302</f>
        <v>0</v>
      </c>
      <c r="J313" s="2744"/>
      <c r="K313" s="226" t="n">
        <f aca="false">D313-J313</f>
        <v>0</v>
      </c>
      <c r="L313" s="2736"/>
    </row>
    <row r="314" customFormat="false" ht="15.5" hidden="false" customHeight="false" outlineLevel="0" collapsed="false">
      <c r="A314" s="2719"/>
      <c r="B314" s="298" t="str">
        <f aca="false">дома!A1404</f>
        <v>стойки перегородки несущие</v>
      </c>
      <c r="C314" s="2765" t="str">
        <f aca="false">дома!B1404</f>
        <v>м3</v>
      </c>
      <c r="D314" s="298" t="n">
        <f aca="false">дома!C1404</f>
        <v>0</v>
      </c>
      <c r="E314" s="298" t="n">
        <f aca="false">дома!D1404</f>
        <v>9000</v>
      </c>
      <c r="F314" s="298"/>
      <c r="G314" s="122" t="n">
        <f aca="false">IF(F314&gt;0,D314*F314,E314*D314)</f>
        <v>0</v>
      </c>
      <c r="H314" s="85" t="n">
        <f aca="false">D314*E314*$H$303</f>
        <v>0</v>
      </c>
      <c r="I314" s="2784" t="n">
        <f aca="false">IF(G314&gt;H314,G314,H314)*$H$302</f>
        <v>0</v>
      </c>
      <c r="J314" s="2744"/>
      <c r="K314" s="226" t="n">
        <f aca="false">D314-J314</f>
        <v>0</v>
      </c>
      <c r="L314" s="2736"/>
    </row>
    <row r="315" customFormat="false" ht="15.5" hidden="false" customHeight="false" outlineLevel="0" collapsed="false">
      <c r="A315" s="2719"/>
      <c r="B315" s="298" t="str">
        <f aca="false">дома!A1405</f>
        <v>Стойки перегородки простые</v>
      </c>
      <c r="C315" s="2765" t="str">
        <f aca="false">дома!B1405</f>
        <v>м3</v>
      </c>
      <c r="D315" s="298" t="n">
        <f aca="false">дома!C1405</f>
        <v>0</v>
      </c>
      <c r="E315" s="298" t="n">
        <f aca="false">дома!D1405</f>
        <v>9000</v>
      </c>
      <c r="F315" s="298"/>
      <c r="G315" s="122" t="n">
        <f aca="false">IF(F315&gt;0,D315*F315,E315*D315)</f>
        <v>0</v>
      </c>
      <c r="H315" s="85" t="n">
        <f aca="false">D315*E315*$H$303</f>
        <v>0</v>
      </c>
      <c r="I315" s="2784" t="n">
        <f aca="false">IF(G315&gt;H315,G315,H315)*$H$302</f>
        <v>0</v>
      </c>
      <c r="J315" s="2744"/>
      <c r="K315" s="226" t="n">
        <f aca="false">D315-J315</f>
        <v>0</v>
      </c>
      <c r="L315" s="2736"/>
    </row>
    <row r="316" customFormat="false" ht="15.5" hidden="false" customHeight="false" outlineLevel="0" collapsed="false">
      <c r="A316" s="2719"/>
      <c r="B316" s="298" t="str">
        <f aca="false">дома!A1406</f>
        <v>брус, обвязка кровли, сип панели</v>
      </c>
      <c r="C316" s="2765" t="str">
        <f aca="false">дома!B1406</f>
        <v>м3</v>
      </c>
      <c r="D316" s="298" t="n">
        <f aca="false">дома!C1406</f>
        <v>-0.15</v>
      </c>
      <c r="E316" s="298" t="n">
        <f aca="false">дома!D1406</f>
        <v>0</v>
      </c>
      <c r="F316" s="298"/>
      <c r="G316" s="122" t="n">
        <f aca="false">IF(F316&gt;0,D316*F316,E316*D316)</f>
        <v>-0</v>
      </c>
      <c r="H316" s="85" t="n">
        <f aca="false">D316*E316*$H$303</f>
        <v>-0</v>
      </c>
      <c r="I316" s="2784" t="n">
        <f aca="false">IF(G316&gt;H316,G316,H316)*$H$302</f>
        <v>-0</v>
      </c>
      <c r="J316" s="2744"/>
      <c r="K316" s="226" t="n">
        <f aca="false">D316-J316</f>
        <v>-0.15</v>
      </c>
      <c r="L316" s="2736"/>
    </row>
    <row r="317" customFormat="false" ht="15.5" hidden="false" customHeight="false" outlineLevel="0" collapsed="false">
      <c r="A317" s="2719"/>
      <c r="B317" s="298" t="str">
        <f aca="false">дома!A1407</f>
        <v>торцевая доска, кровля, сип панели</v>
      </c>
      <c r="C317" s="2765" t="str">
        <f aca="false">дома!B1407</f>
        <v>м3</v>
      </c>
      <c r="D317" s="298" t="n">
        <f aca="false">дома!C1407</f>
        <v>0.15</v>
      </c>
      <c r="E317" s="298" t="n">
        <f aca="false">дома!D1407</f>
        <v>0</v>
      </c>
      <c r="F317" s="298"/>
      <c r="G317" s="122" t="n">
        <f aca="false">IF(F317&gt;0,D317*F317,E317*D317)</f>
        <v>0</v>
      </c>
      <c r="H317" s="85" t="n">
        <f aca="false">D317*E317*$H$303</f>
        <v>0</v>
      </c>
      <c r="I317" s="2784" t="n">
        <f aca="false">IF(G317&gt;H317,G317,H317)*$H$302</f>
        <v>0</v>
      </c>
      <c r="J317" s="2744"/>
      <c r="K317" s="226" t="n">
        <f aca="false">D317-J317</f>
        <v>0.15</v>
      </c>
      <c r="L317" s="2736"/>
    </row>
    <row r="318" customFormat="false" ht="15.5" hidden="false" customHeight="false" outlineLevel="0" collapsed="false">
      <c r="A318" s="2719"/>
      <c r="B318" s="298" t="str">
        <f aca="false">дома!A1408</f>
        <v>Нет</v>
      </c>
      <c r="C318" s="2765" t="str">
        <f aca="false">дома!B1408</f>
        <v>м2</v>
      </c>
      <c r="D318" s="298" t="n">
        <f aca="false">дома!C1408</f>
        <v>0</v>
      </c>
      <c r="E318" s="298" t="n">
        <f aca="false">дома!D1408</f>
        <v>0</v>
      </c>
      <c r="F318" s="298"/>
      <c r="G318" s="122" t="n">
        <f aca="false">IF(F318&gt;0,D318*F318,E318*D318)</f>
        <v>0</v>
      </c>
      <c r="H318" s="85" t="n">
        <f aca="false">D318*E318*$H$303</f>
        <v>0</v>
      </c>
      <c r="I318" s="2784" t="n">
        <f aca="false">IF(G318&gt;H318,G318,H318)*$H$302</f>
        <v>0</v>
      </c>
      <c r="J318" s="2744"/>
      <c r="K318" s="226" t="n">
        <f aca="false">D318-J318</f>
        <v>0</v>
      </c>
      <c r="L318" s="2736"/>
    </row>
    <row r="319" customFormat="false" ht="15.5" hidden="false" customHeight="false" outlineLevel="0" collapsed="false">
      <c r="A319" s="2719"/>
      <c r="B319" s="298" t="str">
        <f aca="false">дома!A1409</f>
        <v>Пена монтажная, всесезонняя 800мл</v>
      </c>
      <c r="C319" s="2765" t="str">
        <f aca="false">дома!B1409</f>
        <v>шт</v>
      </c>
      <c r="D319" s="298" t="n">
        <f aca="false">дома!C1409</f>
        <v>10</v>
      </c>
      <c r="E319" s="298" t="n">
        <f aca="false">дома!D1409</f>
        <v>300</v>
      </c>
      <c r="F319" s="298"/>
      <c r="G319" s="122" t="n">
        <f aca="false">IF(F319&gt;0,D319*F319,E319*D319)</f>
        <v>3000</v>
      </c>
      <c r="H319" s="85" t="n">
        <f aca="false">D319*E319*$H$303</f>
        <v>0</v>
      </c>
      <c r="I319" s="2784" t="n">
        <f aca="false">IF(G319&gt;H319,G319,H319)*$H$302</f>
        <v>0</v>
      </c>
      <c r="J319" s="2744"/>
      <c r="K319" s="226" t="n">
        <f aca="false">D319-J319</f>
        <v>10</v>
      </c>
      <c r="L319" s="2736"/>
    </row>
    <row r="320" customFormat="false" ht="15.5" hidden="false" customHeight="false" outlineLevel="0" collapsed="false">
      <c r="A320" s="2719"/>
      <c r="B320" s="298" t="str">
        <f aca="false">дома!A1410</f>
        <v>Саморезы 3,5 x 55</v>
      </c>
      <c r="C320" s="2765" t="str">
        <f aca="false">дома!B1410</f>
        <v>кг</v>
      </c>
      <c r="D320" s="298" t="n">
        <f aca="false">дома!C1410</f>
        <v>3.33333333333333</v>
      </c>
      <c r="E320" s="298" t="n">
        <f aca="false">дома!D1410</f>
        <v>105.62</v>
      </c>
      <c r="F320" s="298"/>
      <c r="G320" s="122" t="n">
        <f aca="false">IF(F320&gt;0,D320*F320,E320*D320)</f>
        <v>352.066666666667</v>
      </c>
      <c r="H320" s="85" t="n">
        <f aca="false">D320*E320*$H$303</f>
        <v>0</v>
      </c>
      <c r="I320" s="2784" t="n">
        <f aca="false">IF(G320&gt;H320,G320,H320)*$H$302</f>
        <v>0</v>
      </c>
      <c r="J320" s="2744"/>
      <c r="K320" s="226" t="n">
        <f aca="false">D320-J320</f>
        <v>3.33333333333333</v>
      </c>
      <c r="L320" s="2736"/>
    </row>
    <row r="321" customFormat="false" ht="15.5" hidden="false" customHeight="false" outlineLevel="0" collapsed="false">
      <c r="A321" s="2719"/>
      <c r="B321" s="298" t="str">
        <f aca="false">дома!A1411</f>
        <v>Саморезы 4,2 x 90</v>
      </c>
      <c r="C321" s="2765" t="str">
        <f aca="false">дома!B1411</f>
        <v>шт</v>
      </c>
      <c r="D321" s="298" t="n">
        <f aca="false">дома!C1411</f>
        <v>3.33333333333333</v>
      </c>
      <c r="E321" s="298" t="n">
        <f aca="false">дома!D1411</f>
        <v>107.62</v>
      </c>
      <c r="F321" s="298"/>
      <c r="G321" s="122" t="n">
        <f aca="false">IF(F321&gt;0,D321*F321,E321*D321)</f>
        <v>358.733333333333</v>
      </c>
      <c r="H321" s="85" t="n">
        <f aca="false">D321*E321*$H$303</f>
        <v>0</v>
      </c>
      <c r="I321" s="2784" t="n">
        <f aca="false">IF(G321&gt;H321,G321,H321)*$H$302</f>
        <v>0</v>
      </c>
      <c r="J321" s="2744"/>
      <c r="K321" s="226" t="n">
        <f aca="false">D321-J321</f>
        <v>3.33333333333333</v>
      </c>
      <c r="L321" s="2736"/>
    </row>
    <row r="322" customFormat="false" ht="15.5" hidden="false" customHeight="false" outlineLevel="0" collapsed="false">
      <c r="A322" s="2719"/>
      <c r="B322" s="2748" t="s">
        <v>4640</v>
      </c>
      <c r="C322" s="2748"/>
      <c r="D322" s="2748"/>
      <c r="E322" s="2748"/>
      <c r="F322" s="2748"/>
      <c r="G322" s="85" t="n">
        <f aca="false">SUM(G304:G321)*H302</f>
        <v>0</v>
      </c>
      <c r="H322" s="85" t="n">
        <f aca="false">SUM(H304:H321)</f>
        <v>0</v>
      </c>
      <c r="I322" s="2784" t="n">
        <f aca="false">IF(G322&gt;H322,G322,H322)*$H$302</f>
        <v>0</v>
      </c>
      <c r="J322" s="2744"/>
      <c r="K322" s="226" t="n">
        <f aca="false">D322-J322</f>
        <v>0</v>
      </c>
      <c r="L322" s="2736"/>
    </row>
    <row r="323" customFormat="false" ht="15.5" hidden="false" customHeight="false" outlineLevel="0" collapsed="false">
      <c r="A323" s="2719"/>
      <c r="B323" s="2750" t="s">
        <v>1409</v>
      </c>
      <c r="C323" s="2750"/>
      <c r="D323" s="2750"/>
      <c r="E323" s="2750"/>
      <c r="F323" s="2750"/>
      <c r="G323" s="905"/>
      <c r="H323" s="2766" t="n">
        <f aca="false">H302</f>
        <v>0</v>
      </c>
      <c r="I323" s="2757" t="n">
        <f aca="false">H323</f>
        <v>0</v>
      </c>
      <c r="L323" s="878"/>
      <c r="M323" s="878"/>
    </row>
    <row r="324" customFormat="false" ht="15.5" hidden="false" customHeight="false" outlineLevel="0" collapsed="false">
      <c r="A324" s="2712"/>
      <c r="B324" s="2648" t="str">
        <f aca="false">дома!L1394</f>
        <v>монтаж обвязочного бруса</v>
      </c>
      <c r="C324" s="2765" t="s">
        <v>156</v>
      </c>
      <c r="D324" s="298" t="n">
        <f aca="false">дома!N1394</f>
        <v>56</v>
      </c>
      <c r="E324" s="177" t="n">
        <f aca="false">дома!O1394</f>
        <v>200</v>
      </c>
      <c r="F324" s="177"/>
      <c r="G324" s="122" t="n">
        <f aca="false">IF(F324&gt;0,D324*F324,E324*D324)</f>
        <v>11200</v>
      </c>
      <c r="H324" s="2210" t="n">
        <f aca="false">D324*E324*$H$323</f>
        <v>0</v>
      </c>
      <c r="I324" s="2718" t="n">
        <f aca="false">IF(G324&gt;H324,G324,H324)*$H$302</f>
        <v>0</v>
      </c>
      <c r="L324" s="878"/>
      <c r="M324" s="878"/>
    </row>
    <row r="325" customFormat="false" ht="15.5" hidden="false" customHeight="false" outlineLevel="0" collapsed="false">
      <c r="A325" s="2719"/>
      <c r="B325" s="2648" t="str">
        <f aca="false">дома!L1395</f>
        <v>обработка мастикой</v>
      </c>
      <c r="C325" s="2765" t="s">
        <v>156</v>
      </c>
      <c r="D325" s="298" t="n">
        <f aca="false">дома!N1395</f>
        <v>56</v>
      </c>
      <c r="E325" s="177" t="n">
        <f aca="false">дома!O1395</f>
        <v>200</v>
      </c>
      <c r="F325" s="177"/>
      <c r="G325" s="122" t="n">
        <f aca="false">IF(F325&gt;0,D325*F325,E325*D325)</f>
        <v>11200</v>
      </c>
      <c r="H325" s="2210" t="n">
        <f aca="false">D325*E325*$H$323</f>
        <v>0</v>
      </c>
      <c r="I325" s="2718" t="n">
        <f aca="false">IF(G325&gt;H325,G325,H325)*$H$302</f>
        <v>0</v>
      </c>
      <c r="L325" s="878"/>
      <c r="M325" s="878"/>
    </row>
    <row r="326" customFormat="false" ht="15.5" hidden="false" customHeight="false" outlineLevel="0" collapsed="false">
      <c r="A326" s="2719"/>
      <c r="B326" s="2648" t="str">
        <f aca="false">дома!L1396</f>
        <v>монтаж наружних стен сиппанели</v>
      </c>
      <c r="C326" s="2765" t="s">
        <v>133</v>
      </c>
      <c r="D326" s="298" t="n">
        <f aca="false">дома!N1396</f>
        <v>0</v>
      </c>
      <c r="E326" s="177" t="n">
        <f aca="false">дома!O1396</f>
        <v>400</v>
      </c>
      <c r="F326" s="177"/>
      <c r="G326" s="122" t="n">
        <f aca="false">IF(F326&gt;0,D326*F326,E326*D326)</f>
        <v>0</v>
      </c>
      <c r="H326" s="2210" t="n">
        <f aca="false">D326*E326*$H$323</f>
        <v>0</v>
      </c>
      <c r="I326" s="2718" t="n">
        <f aca="false">IF(G326&gt;H326,G326,H326)*$H$302</f>
        <v>0</v>
      </c>
      <c r="J326" s="2712"/>
      <c r="K326" s="2719"/>
    </row>
    <row r="327" customFormat="false" ht="15.5" hidden="false" customHeight="false" outlineLevel="0" collapsed="false">
      <c r="A327" s="2719"/>
      <c r="B327" s="2648" t="str">
        <f aca="false">дома!L1397</f>
        <v>Монтаж несущих перегородок сип панели</v>
      </c>
      <c r="C327" s="2765" t="s">
        <v>133</v>
      </c>
      <c r="D327" s="298" t="n">
        <f aca="false">дома!N1397</f>
        <v>0</v>
      </c>
      <c r="E327" s="177" t="n">
        <f aca="false">дома!O1397</f>
        <v>400</v>
      </c>
      <c r="F327" s="177"/>
      <c r="G327" s="122" t="n">
        <f aca="false">IF(F327&gt;0,D327*F327,E327*D327)</f>
        <v>0</v>
      </c>
      <c r="H327" s="2210" t="n">
        <f aca="false">D327*E327*$H$323</f>
        <v>0</v>
      </c>
      <c r="I327" s="2718" t="n">
        <f aca="false">IF(G327&gt;H327,G327,H327)*$H$302</f>
        <v>0</v>
      </c>
      <c r="J327" s="2712"/>
      <c r="K327" s="2719"/>
    </row>
    <row r="328" customFormat="false" ht="15.5" hidden="false" customHeight="false" outlineLevel="0" collapsed="false">
      <c r="A328" s="2719"/>
      <c r="B328" s="2648" t="str">
        <f aca="false">дома!L1399</f>
        <v>Монтаж перегородок сип панели</v>
      </c>
      <c r="C328" s="2765" t="s">
        <v>133</v>
      </c>
      <c r="D328" s="298" t="n">
        <f aca="false">дома!N1399</f>
        <v>0</v>
      </c>
      <c r="E328" s="177" t="n">
        <f aca="false">дома!O1399</f>
        <v>300</v>
      </c>
      <c r="F328" s="177"/>
      <c r="G328" s="122" t="n">
        <f aca="false">IF(F328&gt;0,D328*F328,E328*D328)</f>
        <v>0</v>
      </c>
      <c r="H328" s="2210" t="n">
        <f aca="false">D328*E328*$H$323</f>
        <v>0</v>
      </c>
      <c r="I328" s="2718" t="n">
        <f aca="false">IF(G328&gt;H328,G328,H328)*$H$302</f>
        <v>0</v>
      </c>
      <c r="J328" s="2712"/>
      <c r="K328" s="2719"/>
    </row>
    <row r="329" customFormat="false" ht="15.5" hidden="false" customHeight="false" outlineLevel="0" collapsed="false">
      <c r="A329" s="2719"/>
      <c r="B329" s="2648" t="str">
        <f aca="false">дома!L1400</f>
        <v>монтаж покрытия кровли</v>
      </c>
      <c r="C329" s="2765" t="s">
        <v>133</v>
      </c>
      <c r="D329" s="298" t="n">
        <f aca="false">дома!N1400</f>
        <v>0</v>
      </c>
      <c r="E329" s="177" t="n">
        <f aca="false">дома!O1400</f>
        <v>400</v>
      </c>
      <c r="F329" s="177"/>
      <c r="G329" s="122" t="n">
        <f aca="false">IF(F329&gt;0,D329*F329,E329*D329)</f>
        <v>0</v>
      </c>
      <c r="H329" s="2210" t="n">
        <f aca="false">D329*E329*$H$323</f>
        <v>0</v>
      </c>
      <c r="I329" s="2718" t="n">
        <f aca="false">IF(G329&gt;H329,G329,H329)*$H$302</f>
        <v>0</v>
      </c>
      <c r="J329" s="2712"/>
      <c r="K329" s="2719"/>
    </row>
    <row r="330" customFormat="false" ht="15.5" hidden="false" customHeight="false" outlineLevel="0" collapsed="false">
      <c r="A330" s="2719"/>
      <c r="B330" s="2748" t="s">
        <v>4641</v>
      </c>
      <c r="C330" s="2748"/>
      <c r="D330" s="2748"/>
      <c r="E330" s="2748"/>
      <c r="F330" s="2748"/>
      <c r="G330" s="2210" t="n">
        <f aca="false">SUM(G324:G329)*H323</f>
        <v>0</v>
      </c>
      <c r="H330" s="2210" t="n">
        <f aca="false">SUM(H324:H329)</f>
        <v>0</v>
      </c>
      <c r="I330" s="2718" t="n">
        <f aca="false">IF(G330&gt;H330,G330,H330)*$H$302</f>
        <v>0</v>
      </c>
      <c r="J330" s="2712"/>
      <c r="K330" s="2719"/>
    </row>
    <row r="331" customFormat="false" ht="21" hidden="false" customHeight="false" outlineLevel="0" collapsed="false">
      <c r="A331" s="2719"/>
      <c r="B331" s="2762" t="s">
        <v>2372</v>
      </c>
      <c r="C331" s="2762"/>
      <c r="D331" s="2762"/>
      <c r="E331" s="2762"/>
      <c r="F331" s="2762"/>
      <c r="G331" s="905"/>
      <c r="H331" s="2774" t="n">
        <f aca="false">IF('Ввод данных'!$A$8=связи1!A150,1,0)+IF('Ввод данных'!$A$8=связи1!A169,1,0)+IF('Ввод данных'!$A$8=связи1!A177,1,0)+IF('Ввод данных'!$A$8=связи1!A184,1,0)+IF('Ввод данных'!$A$8=связи1!A185,1,0)</f>
        <v>0</v>
      </c>
      <c r="I331" s="2757" t="n">
        <f aca="false">H331</f>
        <v>0</v>
      </c>
      <c r="J331" s="2712"/>
      <c r="K331" s="2719"/>
    </row>
    <row r="332" customFormat="false" ht="15.5" hidden="false" customHeight="false" outlineLevel="0" collapsed="false">
      <c r="A332" s="2712"/>
      <c r="B332" s="2775" t="s">
        <v>2720</v>
      </c>
      <c r="C332" s="2775"/>
      <c r="D332" s="2775"/>
      <c r="E332" s="2775"/>
      <c r="F332" s="2775"/>
      <c r="G332" s="905"/>
      <c r="H332" s="2776" t="n">
        <f aca="false">H331</f>
        <v>0</v>
      </c>
      <c r="I332" s="2757" t="n">
        <f aca="false">H332</f>
        <v>0</v>
      </c>
      <c r="J332" s="2732"/>
      <c r="K332" s="2733"/>
      <c r="L332" s="2732"/>
    </row>
    <row r="333" customFormat="false" ht="15.5" hidden="false" customHeight="false" outlineLevel="0" collapsed="false">
      <c r="A333" s="2712"/>
      <c r="B333" s="298" t="str">
        <f aca="false">дома!A1466</f>
        <v>Брус естественной влажности, 150*150мм</v>
      </c>
      <c r="C333" s="2765" t="str">
        <f aca="false">дома!B1466</f>
        <v>м3</v>
      </c>
      <c r="D333" s="298" t="n">
        <f aca="false">дома!C1466</f>
        <v>1.26</v>
      </c>
      <c r="E333" s="298" t="n">
        <f aca="false">дома!D1466</f>
        <v>6500</v>
      </c>
      <c r="F333" s="298"/>
      <c r="G333" s="122" t="n">
        <f aca="false">IF(F333&gt;0,D333*F333,E333*D333)</f>
        <v>8190</v>
      </c>
      <c r="H333" s="85" t="n">
        <f aca="false">D333*E333*$H$332</f>
        <v>0</v>
      </c>
      <c r="I333" s="2784" t="n">
        <f aca="false">IF(G333&gt;H333,G333,H333)*$H$331</f>
        <v>0</v>
      </c>
      <c r="J333" s="2744"/>
      <c r="K333" s="226" t="n">
        <f aca="false">D333-J333</f>
        <v>1.26</v>
      </c>
      <c r="L333" s="2786" t="s">
        <v>3699</v>
      </c>
      <c r="M333" s="2787"/>
    </row>
    <row r="334" customFormat="false" ht="15.5" hidden="false" customHeight="false" outlineLevel="0" collapsed="false">
      <c r="A334" s="2719"/>
      <c r="B334" s="298" t="str">
        <f aca="false">дома!A1467</f>
        <v>Болты анкерные с гайкой 12,0 х 280</v>
      </c>
      <c r="C334" s="2765" t="str">
        <f aca="false">дома!B1467</f>
        <v>шт</v>
      </c>
      <c r="D334" s="298" t="n">
        <f aca="false">дома!C1467</f>
        <v>56</v>
      </c>
      <c r="E334" s="298" t="n">
        <f aca="false">дома!D1467</f>
        <v>27.1</v>
      </c>
      <c r="F334" s="298"/>
      <c r="G334" s="122" t="n">
        <f aca="false">IF(F334&gt;0,D334*F334,E334*D334)</f>
        <v>1517.6</v>
      </c>
      <c r="H334" s="85" t="n">
        <f aca="false">D334*E334*$H$332</f>
        <v>0</v>
      </c>
      <c r="I334" s="2784" t="n">
        <f aca="false">IF(G334&gt;H334,G334,H334)*$H$331</f>
        <v>0</v>
      </c>
      <c r="J334" s="2744"/>
      <c r="K334" s="226" t="n">
        <f aca="false">D334-J334</f>
        <v>56</v>
      </c>
      <c r="L334" s="2786" t="s">
        <v>3702</v>
      </c>
      <c r="M334" s="2787"/>
    </row>
    <row r="335" customFormat="false" ht="15.5" hidden="false" customHeight="false" outlineLevel="0" collapsed="false">
      <c r="A335" s="2719"/>
      <c r="B335" s="298" t="str">
        <f aca="false">дома!A1468</f>
        <v>ГПС 150х50-1,2</v>
      </c>
      <c r="C335" s="2765" t="str">
        <f aca="false">дома!B1468</f>
        <v>м3</v>
      </c>
      <c r="D335" s="298" t="n">
        <f aca="false">дома!C1468</f>
        <v>0</v>
      </c>
      <c r="E335" s="298" t="n">
        <f aca="false">дома!D1468</f>
        <v>201</v>
      </c>
      <c r="F335" s="298"/>
      <c r="G335" s="122" t="n">
        <f aca="false">IF(F335&gt;0,D335*F335,E335*D335)</f>
        <v>0</v>
      </c>
      <c r="H335" s="85" t="n">
        <f aca="false">D335*E335*$H$332</f>
        <v>0</v>
      </c>
      <c r="I335" s="2784" t="n">
        <f aca="false">IF(G335&gt;H335,G335,H335)*$H$331</f>
        <v>0</v>
      </c>
      <c r="J335" s="2744"/>
      <c r="K335" s="226" t="n">
        <f aca="false">D335-J335</f>
        <v>0</v>
      </c>
      <c r="L335" s="2786" t="s">
        <v>3704</v>
      </c>
      <c r="M335" s="2787"/>
    </row>
    <row r="336" customFormat="false" ht="15.5" hidden="false" customHeight="false" outlineLevel="0" collapsed="false">
      <c r="A336" s="2719"/>
      <c r="B336" s="298" t="str">
        <f aca="false">дома!H1481</f>
        <v>ГПН 152х35-1,2</v>
      </c>
      <c r="C336" s="2765" t="str">
        <f aca="false">дома!I1481</f>
        <v>мп.</v>
      </c>
      <c r="D336" s="298" t="n">
        <f aca="false">дома!J1481</f>
        <v>0</v>
      </c>
      <c r="E336" s="298" t="n">
        <f aca="false">дома!K1481</f>
        <v>163</v>
      </c>
      <c r="F336" s="298"/>
      <c r="G336" s="122" t="n">
        <f aca="false">IF(F336&gt;0,D336*F336,E336*D336)</f>
        <v>0</v>
      </c>
      <c r="H336" s="85" t="n">
        <f aca="false">D336*E336*$H$332</f>
        <v>0</v>
      </c>
      <c r="I336" s="2784" t="n">
        <f aca="false">IF(G336&gt;H336,G336,H336)*$H$331</f>
        <v>0</v>
      </c>
      <c r="J336" s="2744"/>
      <c r="K336" s="226" t="n">
        <f aca="false">D336-J336</f>
        <v>0</v>
      </c>
      <c r="L336" s="2786" t="s">
        <v>3718</v>
      </c>
      <c r="M336" s="2787"/>
    </row>
    <row r="337" customFormat="false" ht="15.5" hidden="false" customHeight="false" outlineLevel="0" collapsed="false">
      <c r="A337" s="2719"/>
      <c r="B337" s="298" t="str">
        <f aca="false">дома!H1482</f>
        <v>Болты анкерные с гайкой 12,0 x 100</v>
      </c>
      <c r="C337" s="2765" t="str">
        <f aca="false">дома!I1482</f>
        <v>шт.</v>
      </c>
      <c r="D337" s="298" t="n">
        <f aca="false">дома!J1482</f>
        <v>0</v>
      </c>
      <c r="E337" s="298" t="n">
        <f aca="false">дома!K1482</f>
        <v>11.2</v>
      </c>
      <c r="F337" s="298"/>
      <c r="G337" s="122" t="n">
        <f aca="false">IF(F337&gt;0,D337*F337,E337*D337)</f>
        <v>0</v>
      </c>
      <c r="H337" s="85" t="n">
        <f aca="false">D337*E337*$H$332</f>
        <v>0</v>
      </c>
      <c r="I337" s="2784" t="n">
        <f aca="false">IF(G337&gt;H337,G337,H337)*$H$331</f>
        <v>0</v>
      </c>
      <c r="J337" s="2744"/>
      <c r="K337" s="226" t="n">
        <f aca="false">D337-J337</f>
        <v>0</v>
      </c>
      <c r="L337" s="2786" t="s">
        <v>3722</v>
      </c>
      <c r="M337" s="2787"/>
    </row>
    <row r="338" customFormat="false" ht="15.5" hidden="false" customHeight="false" outlineLevel="0" collapsed="false">
      <c r="A338" s="2719"/>
      <c r="B338" s="298" t="str">
        <f aca="false">дома!H1484</f>
        <v>ГПН 122х35-1,5</v>
      </c>
      <c r="C338" s="2765" t="str">
        <f aca="false">дома!I1484</f>
        <v>мп.</v>
      </c>
      <c r="D338" s="298" t="n">
        <f aca="false">дома!J1484</f>
        <v>0</v>
      </c>
      <c r="E338" s="298" t="n">
        <f aca="false">дома!K1484</f>
        <v>163</v>
      </c>
      <c r="F338" s="298"/>
      <c r="G338" s="122" t="n">
        <f aca="false">IF(F338&gt;0,D338*F338,E338*D338)</f>
        <v>0</v>
      </c>
      <c r="H338" s="85" t="n">
        <f aca="false">D338*E338*$H$332</f>
        <v>0</v>
      </c>
      <c r="I338" s="2784" t="n">
        <f aca="false">IF(G338&gt;H338,G338,H338)*$H$331</f>
        <v>0</v>
      </c>
      <c r="J338" s="2744"/>
      <c r="K338" s="226" t="n">
        <f aca="false">D338-J338</f>
        <v>0</v>
      </c>
      <c r="L338" s="2786" t="s">
        <v>3727</v>
      </c>
      <c r="M338" s="2787"/>
    </row>
    <row r="339" customFormat="false" ht="15.5" hidden="false" customHeight="false" outlineLevel="0" collapsed="false">
      <c r="A339" s="2719"/>
      <c r="B339" s="298" t="str">
        <f aca="false">дома!H1485</f>
        <v>Болты анкерные с гайкой 12,0 x 100</v>
      </c>
      <c r="C339" s="2765" t="str">
        <f aca="false">дома!I1485</f>
        <v>шт.</v>
      </c>
      <c r="D339" s="298" t="n">
        <f aca="false">дома!J1485</f>
        <v>0</v>
      </c>
      <c r="E339" s="298" t="n">
        <f aca="false">дома!K1485</f>
        <v>11.2</v>
      </c>
      <c r="F339" s="298"/>
      <c r="G339" s="122" t="n">
        <f aca="false">IF(F339&gt;0,D339*F339,E339*D339)</f>
        <v>0</v>
      </c>
      <c r="H339" s="85" t="n">
        <f aca="false">D339*E339*$H$332</f>
        <v>0</v>
      </c>
      <c r="I339" s="2784" t="n">
        <f aca="false">IF(G339&gt;H339,G339,H339)*$H$331</f>
        <v>0</v>
      </c>
      <c r="J339" s="2744"/>
      <c r="K339" s="226" t="n">
        <f aca="false">D339-J339</f>
        <v>0</v>
      </c>
      <c r="L339" s="2786" t="s">
        <v>3722</v>
      </c>
      <c r="M339" s="2787"/>
    </row>
    <row r="340" customFormat="false" ht="15.5" hidden="false" customHeight="false" outlineLevel="0" collapsed="false">
      <c r="A340" s="2719"/>
      <c r="B340" s="298" t="str">
        <f aca="false">дома!H1487</f>
        <v>ГПН 172х35-2,0</v>
      </c>
      <c r="C340" s="2765" t="str">
        <f aca="false">дома!I1487</f>
        <v>мп.</v>
      </c>
      <c r="D340" s="298" t="n">
        <f aca="false">дома!J1487</f>
        <v>0</v>
      </c>
      <c r="E340" s="298" t="n">
        <f aca="false">дома!K1487</f>
        <v>274</v>
      </c>
      <c r="F340" s="298"/>
      <c r="G340" s="122" t="n">
        <f aca="false">IF(F340&gt;0,D340*F340,E340*D340)</f>
        <v>0</v>
      </c>
      <c r="H340" s="85" t="n">
        <f aca="false">D340*E340*$H$332</f>
        <v>0</v>
      </c>
      <c r="I340" s="2784" t="n">
        <f aca="false">IF(G340&gt;H340,G340,H340)*$H$331</f>
        <v>0</v>
      </c>
      <c r="J340" s="2744"/>
      <c r="K340" s="226" t="n">
        <f aca="false">D340-J340</f>
        <v>0</v>
      </c>
      <c r="L340" s="2786" t="s">
        <v>3731</v>
      </c>
      <c r="M340" s="2787"/>
    </row>
    <row r="341" customFormat="false" ht="15.5" hidden="false" customHeight="false" outlineLevel="0" collapsed="false">
      <c r="A341" s="2719"/>
      <c r="B341" s="298" t="str">
        <f aca="false">дома!H1488</f>
        <v>Болты анкерные с гайкой 12,0 x 100</v>
      </c>
      <c r="C341" s="2765" t="str">
        <f aca="false">дома!I1488</f>
        <v>шт.</v>
      </c>
      <c r="D341" s="298" t="n">
        <f aca="false">дома!J1488</f>
        <v>0</v>
      </c>
      <c r="E341" s="298" t="n">
        <f aca="false">дома!K1488</f>
        <v>11.2</v>
      </c>
      <c r="F341" s="298"/>
      <c r="G341" s="122" t="n">
        <f aca="false">IF(F341&gt;0,D341*F341,E341*D341)</f>
        <v>0</v>
      </c>
      <c r="H341" s="85" t="n">
        <f aca="false">D341*E341*$H$332</f>
        <v>0</v>
      </c>
      <c r="I341" s="2784" t="n">
        <f aca="false">IF(G341&gt;H341,G341,H341)*$H$331</f>
        <v>0</v>
      </c>
      <c r="J341" s="2744"/>
      <c r="K341" s="226" t="n">
        <f aca="false">D341-J341</f>
        <v>0</v>
      </c>
      <c r="L341" s="2786" t="s">
        <v>3722</v>
      </c>
      <c r="M341" s="2787"/>
    </row>
    <row r="342" customFormat="false" ht="15.5" hidden="false" customHeight="false" outlineLevel="0" collapsed="false">
      <c r="A342" s="2719"/>
      <c r="B342" s="298" t="str">
        <f aca="false">дома!Q1466</f>
        <v>Уголок для крепления окон/дверей</v>
      </c>
      <c r="C342" s="2765" t="str">
        <f aca="false">дома!S1466</f>
        <v>м.п.</v>
      </c>
      <c r="D342" s="298" t="n">
        <f aca="false">дома!T1466</f>
        <v>8.1</v>
      </c>
      <c r="E342" s="298" t="n">
        <f aca="false">дома!U1466</f>
        <v>77</v>
      </c>
      <c r="F342" s="298"/>
      <c r="G342" s="122" t="n">
        <f aca="false">IF(F342&gt;0,D342*F342,E342*D342)</f>
        <v>623.7</v>
      </c>
      <c r="H342" s="85" t="n">
        <f aca="false">D342*E342*$H$332</f>
        <v>0</v>
      </c>
      <c r="I342" s="2784"/>
      <c r="J342" s="2744"/>
      <c r="K342" s="226" t="n">
        <f aca="false">D342-J342</f>
        <v>8.1</v>
      </c>
      <c r="L342" s="2788" t="s">
        <v>3701</v>
      </c>
      <c r="M342" s="2787"/>
    </row>
    <row r="343" customFormat="false" ht="15.5" hidden="false" customHeight="false" outlineLevel="0" collapsed="false">
      <c r="A343" s="2719"/>
      <c r="B343" s="298" t="str">
        <f aca="false">дома!A1469</f>
        <v>ГПС 120х50-1,5</v>
      </c>
      <c r="C343" s="2765" t="str">
        <f aca="false">дома!B1469</f>
        <v>м3</v>
      </c>
      <c r="D343" s="298" t="n">
        <f aca="false">дома!C1469</f>
        <v>0</v>
      </c>
      <c r="E343" s="298" t="n">
        <f aca="false">дома!D1469</f>
        <v>224</v>
      </c>
      <c r="F343" s="298"/>
      <c r="G343" s="122" t="n">
        <f aca="false">IF(F343&gt;0,D343*F343,E343*D343)</f>
        <v>0</v>
      </c>
      <c r="H343" s="85" t="n">
        <f aca="false">D343*E343*$H$332</f>
        <v>0</v>
      </c>
      <c r="I343" s="2784" t="n">
        <f aca="false">IF(G343&gt;H343,G343,H343)*$H$331</f>
        <v>0</v>
      </c>
      <c r="J343" s="2744"/>
      <c r="K343" s="226" t="n">
        <f aca="false">D343-J343</f>
        <v>0</v>
      </c>
      <c r="L343" s="2786" t="s">
        <v>3706</v>
      </c>
      <c r="M343" s="2787"/>
    </row>
    <row r="344" customFormat="false" ht="15.5" hidden="false" customHeight="false" outlineLevel="0" collapsed="false">
      <c r="A344" s="2719"/>
      <c r="B344" s="298" t="str">
        <f aca="false">дома!A1470</f>
        <v>ГПС 170х50-2,0</v>
      </c>
      <c r="C344" s="2765" t="str">
        <f aca="false">дома!B1470</f>
        <v>м3</v>
      </c>
      <c r="D344" s="298" t="n">
        <f aca="false">дома!C1470</f>
        <v>0</v>
      </c>
      <c r="E344" s="298" t="n">
        <f aca="false">дома!D1470</f>
        <v>358</v>
      </c>
      <c r="F344" s="298"/>
      <c r="G344" s="122" t="n">
        <f aca="false">IF(F344&gt;0,D344*F344,E344*D344)</f>
        <v>0</v>
      </c>
      <c r="H344" s="85" t="n">
        <f aca="false">D344*E344*$H$332</f>
        <v>0</v>
      </c>
      <c r="I344" s="2784" t="n">
        <f aca="false">IF(G344&gt;H344,G344,H344)*$H$331</f>
        <v>0</v>
      </c>
      <c r="J344" s="2744"/>
      <c r="K344" s="226" t="n">
        <f aca="false">D344-J344</f>
        <v>0</v>
      </c>
      <c r="L344" s="2789" t="s">
        <v>3707</v>
      </c>
      <c r="M344" s="2790"/>
    </row>
    <row r="345" customFormat="false" ht="15.5" hidden="false" customHeight="false" outlineLevel="0" collapsed="false">
      <c r="A345" s="2719"/>
      <c r="B345" s="298" t="str">
        <f aca="false">дома!A1471</f>
        <v>Лист ГВЛВ 2500х1200х10 мм</v>
      </c>
      <c r="C345" s="2765" t="str">
        <f aca="false">дома!B1471</f>
        <v>м2</v>
      </c>
      <c r="D345" s="298" t="n">
        <f aca="false">дома!C1471</f>
        <v>100</v>
      </c>
      <c r="E345" s="298" t="n">
        <f aca="false">дома!D1471</f>
        <v>150</v>
      </c>
      <c r="F345" s="298"/>
      <c r="G345" s="122" t="n">
        <f aca="false">IF(F345&gt;0,D345*F345,E345*D345)</f>
        <v>15000</v>
      </c>
      <c r="H345" s="85" t="n">
        <f aca="false">D345*E345*$H$332</f>
        <v>0</v>
      </c>
      <c r="I345" s="2784" t="n">
        <f aca="false">IF(G345&gt;H345,G345,H345)*$H$331</f>
        <v>0</v>
      </c>
      <c r="J345" s="2744"/>
      <c r="K345" s="226" t="n">
        <f aca="false">D345-J345</f>
        <v>100</v>
      </c>
      <c r="L345" s="2791" t="s">
        <v>2387</v>
      </c>
      <c r="M345" s="2787"/>
    </row>
    <row r="346" customFormat="false" ht="15.5" hidden="false" customHeight="false" outlineLevel="0" collapsed="false">
      <c r="A346" s="2719"/>
      <c r="B346" s="298" t="str">
        <f aca="false">дома!A1472</f>
        <v>нет</v>
      </c>
      <c r="C346" s="2765" t="str">
        <f aca="false">дома!B1472</f>
        <v>м.п.</v>
      </c>
      <c r="D346" s="298" t="n">
        <f aca="false">дома!C1472</f>
        <v>0</v>
      </c>
      <c r="E346" s="298" t="n">
        <f aca="false">дома!D1472</f>
        <v>0</v>
      </c>
      <c r="F346" s="298"/>
      <c r="G346" s="122" t="n">
        <f aca="false">IF(F346&gt;0,D346*F346,E346*D346)</f>
        <v>0</v>
      </c>
      <c r="H346" s="85" t="n">
        <f aca="false">D346*E346*$H$332</f>
        <v>0</v>
      </c>
      <c r="I346" s="2784" t="n">
        <f aca="false">IF(G346&gt;H346,G346,H346)*$H$331</f>
        <v>0</v>
      </c>
      <c r="J346" s="2744"/>
      <c r="K346" s="226" t="n">
        <f aca="false">D346-J346</f>
        <v>0</v>
      </c>
      <c r="L346" s="822" t="s">
        <v>2390</v>
      </c>
      <c r="M346" s="2787"/>
    </row>
    <row r="347" customFormat="false" ht="15.5" hidden="false" customHeight="false" outlineLevel="0" collapsed="false">
      <c r="A347" s="2719"/>
      <c r="B347" s="298" t="str">
        <f aca="false">дома!A1473</f>
        <v>Нет</v>
      </c>
      <c r="C347" s="2765" t="str">
        <f aca="false">дома!B1473</f>
        <v>м3</v>
      </c>
      <c r="D347" s="298" t="n">
        <f aca="false">дома!C1473</f>
        <v>0</v>
      </c>
      <c r="E347" s="298" t="n">
        <f aca="false">дома!D1473</f>
        <v>0</v>
      </c>
      <c r="F347" s="298"/>
      <c r="G347" s="122" t="n">
        <f aca="false">IF(F347&gt;0,D347*F347,E347*D347)</f>
        <v>0</v>
      </c>
      <c r="H347" s="85" t="n">
        <f aca="false">D347*E347*$H$332</f>
        <v>0</v>
      </c>
      <c r="I347" s="2784" t="n">
        <f aca="false">IF(G347&gt;H347,G347,H347)*$H$331</f>
        <v>0</v>
      </c>
      <c r="J347" s="2744"/>
      <c r="K347" s="226" t="n">
        <f aca="false">D347-J347</f>
        <v>0</v>
      </c>
      <c r="L347" s="2791" t="s">
        <v>2234</v>
      </c>
      <c r="M347" s="2787"/>
    </row>
    <row r="348" customFormat="false" ht="15.5" hidden="false" customHeight="false" outlineLevel="0" collapsed="false">
      <c r="A348" s="2719"/>
      <c r="B348" s="298" t="str">
        <f aca="false">дома!A1474</f>
        <v>Нет</v>
      </c>
      <c r="C348" s="2765" t="str">
        <f aca="false">дома!B1474</f>
        <v>м3</v>
      </c>
      <c r="D348" s="298" t="n">
        <f aca="false">дома!C1474</f>
        <v>0</v>
      </c>
      <c r="E348" s="298" t="n">
        <f aca="false">дома!D1474</f>
        <v>0</v>
      </c>
      <c r="F348" s="298"/>
      <c r="G348" s="122" t="n">
        <f aca="false">IF(F348&gt;0,D348*F348,E348*D348)</f>
        <v>0</v>
      </c>
      <c r="H348" s="85" t="n">
        <f aca="false">D348*E348*$H$332</f>
        <v>0</v>
      </c>
      <c r="I348" s="2784" t="n">
        <f aca="false">IF(G348&gt;H348,G348,H348)*$H$331</f>
        <v>0</v>
      </c>
      <c r="J348" s="2744"/>
      <c r="K348" s="226" t="n">
        <f aca="false">D348-J348</f>
        <v>0</v>
      </c>
      <c r="L348" s="2791" t="s">
        <v>2384</v>
      </c>
      <c r="M348" s="2787"/>
    </row>
    <row r="349" customFormat="false" ht="15.5" hidden="false" customHeight="false" outlineLevel="0" collapsed="false">
      <c r="A349" s="2719"/>
      <c r="B349" s="298" t="str">
        <f aca="false">дома!A1475</f>
        <v>нет</v>
      </c>
      <c r="C349" s="2765" t="str">
        <f aca="false">дома!B1475</f>
        <v>м2</v>
      </c>
      <c r="D349" s="298" t="n">
        <f aca="false">дома!C1475</f>
        <v>0</v>
      </c>
      <c r="E349" s="298" t="n">
        <f aca="false">дома!D1475</f>
        <v>0</v>
      </c>
      <c r="F349" s="298"/>
      <c r="G349" s="122" t="n">
        <f aca="false">IF(F349&gt;0,D349*F349,E349*D349)</f>
        <v>0</v>
      </c>
      <c r="H349" s="85" t="n">
        <f aca="false">D349*E349*$H$332</f>
        <v>0</v>
      </c>
      <c r="I349" s="2784" t="n">
        <f aca="false">IF(G349&gt;H349,G349,H349)*$H$331</f>
        <v>0</v>
      </c>
      <c r="J349" s="2744"/>
      <c r="K349" s="226" t="n">
        <f aca="false">D349-J349</f>
        <v>0</v>
      </c>
      <c r="L349" s="822" t="s">
        <v>2062</v>
      </c>
      <c r="M349" s="2787"/>
    </row>
    <row r="350" customFormat="false" ht="15.5" hidden="false" customHeight="false" outlineLevel="0" collapsed="false">
      <c r="A350" s="2719"/>
      <c r="B350" s="298" t="str">
        <f aca="false">дома!A1476</f>
        <v>нет</v>
      </c>
      <c r="C350" s="2765" t="str">
        <f aca="false">дома!B1476</f>
        <v>м2</v>
      </c>
      <c r="D350" s="298" t="n">
        <f aca="false">дома!C1476</f>
        <v>0</v>
      </c>
      <c r="E350" s="298" t="n">
        <f aca="false">дома!D1476</f>
        <v>0</v>
      </c>
      <c r="F350" s="298"/>
      <c r="G350" s="122" t="n">
        <f aca="false">IF(F350&gt;0,D350*F350,E350*D350)</f>
        <v>0</v>
      </c>
      <c r="H350" s="85" t="n">
        <f aca="false">D350*E350*$H$332</f>
        <v>0</v>
      </c>
      <c r="I350" s="2784" t="n">
        <f aca="false">IF(G350&gt;H350,G350,H350)*$H$331</f>
        <v>0</v>
      </c>
      <c r="J350" s="2744"/>
      <c r="K350" s="226" t="n">
        <f aca="false">D350-J350</f>
        <v>0</v>
      </c>
      <c r="L350" s="2791" t="s">
        <v>3711</v>
      </c>
      <c r="M350" s="2787"/>
    </row>
    <row r="351" customFormat="false" ht="15.5" hidden="false" customHeight="false" outlineLevel="0" collapsed="false">
      <c r="A351" s="2719"/>
      <c r="B351" s="298" t="str">
        <f aca="false">дома!A1477</f>
        <v>нет</v>
      </c>
      <c r="C351" s="2765" t="str">
        <f aca="false">дома!B1477</f>
        <v>м2</v>
      </c>
      <c r="D351" s="298" t="n">
        <f aca="false">дома!C1477</f>
        <v>0</v>
      </c>
      <c r="E351" s="298" t="n">
        <f aca="false">дома!D1477</f>
        <v>0</v>
      </c>
      <c r="F351" s="298"/>
      <c r="G351" s="122" t="n">
        <f aca="false">IF(F351&gt;0,D351*F351,E351*D351)</f>
        <v>0</v>
      </c>
      <c r="H351" s="85" t="n">
        <f aca="false">D351*E351*$H$332</f>
        <v>0</v>
      </c>
      <c r="I351" s="2784" t="n">
        <f aca="false">IF(G351&gt;H351,G351,H351)*$H$331</f>
        <v>0</v>
      </c>
      <c r="J351" s="2744"/>
      <c r="K351" s="226" t="n">
        <f aca="false">D351-J351</f>
        <v>0</v>
      </c>
      <c r="L351" s="2791" t="s">
        <v>3712</v>
      </c>
      <c r="M351" s="2787"/>
    </row>
    <row r="352" customFormat="false" ht="15.5" hidden="false" customHeight="false" outlineLevel="0" collapsed="false">
      <c r="A352" s="2719"/>
      <c r="B352" s="298" t="str">
        <f aca="false">дома!A1478</f>
        <v>Саморезы 3,5 x 25</v>
      </c>
      <c r="C352" s="2765" t="str">
        <f aca="false">дома!B1478</f>
        <v>шт</v>
      </c>
      <c r="D352" s="298" t="n">
        <f aca="false">дома!C1478</f>
        <v>0</v>
      </c>
      <c r="E352" s="298" t="n">
        <f aca="false">дома!D1478</f>
        <v>0.2</v>
      </c>
      <c r="F352" s="298"/>
      <c r="G352" s="122" t="n">
        <f aca="false">IF(F352&gt;0,D352*F352,E352*D352)</f>
        <v>0</v>
      </c>
      <c r="H352" s="85" t="n">
        <f aca="false">D352*E352*$H$332</f>
        <v>0</v>
      </c>
      <c r="I352" s="2784" t="n">
        <f aca="false">IF(G352&gt;H352,G352,H352)*$H$331</f>
        <v>0</v>
      </c>
      <c r="J352" s="2744"/>
      <c r="K352" s="226" t="n">
        <f aca="false">D352-J352</f>
        <v>0</v>
      </c>
      <c r="L352" s="2791" t="s">
        <v>3713</v>
      </c>
      <c r="M352" s="2787"/>
    </row>
    <row r="353" customFormat="false" ht="15.5" hidden="false" customHeight="false" outlineLevel="0" collapsed="false">
      <c r="A353" s="2719"/>
      <c r="B353" s="298" t="str">
        <f aca="false">дома!A1479</f>
        <v>Гвозди ершоные 2,8 х 90</v>
      </c>
      <c r="C353" s="2765" t="str">
        <f aca="false">дома!B1479</f>
        <v>кг</v>
      </c>
      <c r="D353" s="298" t="n">
        <f aca="false">дома!C1479</f>
        <v>0</v>
      </c>
      <c r="E353" s="298" t="n">
        <f aca="false">дома!D1479</f>
        <v>76.49</v>
      </c>
      <c r="F353" s="298"/>
      <c r="G353" s="122" t="n">
        <f aca="false">IF(F353&gt;0,D353*F353,E353*D353)</f>
        <v>0</v>
      </c>
      <c r="H353" s="85" t="n">
        <f aca="false">D353*E353*$H$332</f>
        <v>0</v>
      </c>
      <c r="I353" s="2784" t="n">
        <f aca="false">IF(G353&gt;H353,G353,H353)*$H$331</f>
        <v>0</v>
      </c>
      <c r="J353" s="2744"/>
      <c r="K353" s="226" t="n">
        <f aca="false">D353-J353</f>
        <v>0</v>
      </c>
      <c r="L353" s="2792"/>
      <c r="M353" s="2787"/>
    </row>
    <row r="354" customFormat="false" ht="15.5" hidden="false" customHeight="false" outlineLevel="0" collapsed="false">
      <c r="A354" s="2719"/>
      <c r="B354" s="298" t="str">
        <f aca="false">дома!A1480</f>
        <v>Гвозди ершоные 3,4 x 60</v>
      </c>
      <c r="C354" s="2765" t="str">
        <f aca="false">дома!B1480</f>
        <v>кг</v>
      </c>
      <c r="D354" s="298" t="n">
        <f aca="false">дома!C1480</f>
        <v>0</v>
      </c>
      <c r="E354" s="298" t="n">
        <f aca="false">дома!D1480</f>
        <v>75.51</v>
      </c>
      <c r="F354" s="298"/>
      <c r="G354" s="122" t="n">
        <f aca="false">IF(F354&gt;0,D354*F354,E354*D354)</f>
        <v>0</v>
      </c>
      <c r="H354" s="85" t="n">
        <f aca="false">D354*E354*$H$332</f>
        <v>0</v>
      </c>
      <c r="I354" s="2784" t="n">
        <f aca="false">IF(G354&gt;H354,G354,H354)*$H$331</f>
        <v>0</v>
      </c>
      <c r="J354" s="2744"/>
      <c r="K354" s="226" t="n">
        <f aca="false">D354-J354</f>
        <v>0</v>
      </c>
      <c r="L354" s="2792"/>
      <c r="M354" s="2787"/>
    </row>
    <row r="355" customFormat="false" ht="15.5" hidden="false" customHeight="false" outlineLevel="0" collapsed="false">
      <c r="A355" s="2719"/>
      <c r="B355" s="298" t="str">
        <f aca="false">дома!A1481</f>
        <v>нет ветроизоляции</v>
      </c>
      <c r="C355" s="2765" t="str">
        <f aca="false">дома!B1481</f>
        <v>м2</v>
      </c>
      <c r="D355" s="298" t="n">
        <f aca="false">дома!C1481</f>
        <v>0</v>
      </c>
      <c r="E355" s="298" t="n">
        <f aca="false">дома!D1481</f>
        <v>0</v>
      </c>
      <c r="F355" s="298"/>
      <c r="G355" s="122" t="n">
        <f aca="false">IF(F355&gt;0,D355*F355,E355*D355)</f>
        <v>0</v>
      </c>
      <c r="H355" s="85" t="n">
        <f aca="false">D355*E355*$H$332</f>
        <v>0</v>
      </c>
      <c r="I355" s="2784" t="n">
        <f aca="false">IF(G355&gt;H355,G355,H355)*$H$331</f>
        <v>0</v>
      </c>
      <c r="J355" s="2744"/>
      <c r="K355" s="226" t="n">
        <f aca="false">D355-J355</f>
        <v>0</v>
      </c>
      <c r="L355" s="2791" t="s">
        <v>3717</v>
      </c>
      <c r="M355" s="2787"/>
    </row>
    <row r="356" customFormat="false" ht="15.5" hidden="false" customHeight="false" outlineLevel="0" collapsed="false">
      <c r="A356" s="2719"/>
      <c r="B356" s="298" t="str">
        <f aca="false">дома!A1482</f>
        <v>нет пароизоляции</v>
      </c>
      <c r="C356" s="2765" t="str">
        <f aca="false">дома!B1482</f>
        <v>м2</v>
      </c>
      <c r="D356" s="298" t="n">
        <f aca="false">дома!C1482</f>
        <v>0</v>
      </c>
      <c r="E356" s="298" t="n">
        <f aca="false">дома!D1482</f>
        <v>0</v>
      </c>
      <c r="F356" s="298"/>
      <c r="G356" s="122" t="n">
        <f aca="false">IF(F356&gt;0,D356*F356,E356*D356)</f>
        <v>0</v>
      </c>
      <c r="H356" s="85" t="n">
        <f aca="false">D356*E356*$H$332</f>
        <v>0</v>
      </c>
      <c r="I356" s="2784" t="n">
        <f aca="false">IF(G356&gt;H356,G356,H356)*$H$331</f>
        <v>0</v>
      </c>
      <c r="J356" s="2744"/>
      <c r="K356" s="226" t="n">
        <f aca="false">D356-J356</f>
        <v>0</v>
      </c>
      <c r="L356" s="2791" t="s">
        <v>3721</v>
      </c>
      <c r="M356" s="2787"/>
    </row>
    <row r="357" customFormat="false" ht="15.5" hidden="false" customHeight="false" outlineLevel="0" collapsed="false">
      <c r="A357" s="2719"/>
      <c r="B357" s="298" t="str">
        <f aca="false">дома!A1483</f>
        <v>Скобы для степлера, 1000шт/уп</v>
      </c>
      <c r="C357" s="2765" t="str">
        <f aca="false">дома!B1483</f>
        <v>уп</v>
      </c>
      <c r="D357" s="298" t="n">
        <f aca="false">дома!C1483</f>
        <v>5</v>
      </c>
      <c r="E357" s="298" t="n">
        <f aca="false">дома!D1483</f>
        <v>100</v>
      </c>
      <c r="F357" s="298"/>
      <c r="G357" s="122" t="n">
        <f aca="false">IF(F357&gt;0,D357*F357,E357*D357)</f>
        <v>500</v>
      </c>
      <c r="H357" s="85" t="n">
        <f aca="false">D357*E357*$H$332</f>
        <v>0</v>
      </c>
      <c r="I357" s="2784" t="n">
        <f aca="false">IF(G357&gt;H357,G357,H357)*$H$331</f>
        <v>0</v>
      </c>
      <c r="J357" s="2744"/>
      <c r="K357" s="226" t="n">
        <f aca="false">D357-J357</f>
        <v>5</v>
      </c>
      <c r="L357" s="2792"/>
      <c r="M357" s="2787"/>
    </row>
    <row r="358" customFormat="false" ht="15.5" hidden="false" customHeight="false" outlineLevel="0" collapsed="false">
      <c r="A358" s="2719"/>
      <c r="B358" s="2748" t="s">
        <v>4640</v>
      </c>
      <c r="C358" s="2748"/>
      <c r="D358" s="2748"/>
      <c r="E358" s="2748"/>
      <c r="F358" s="2748"/>
      <c r="G358" s="85" t="n">
        <f aca="false">SUM(G333:G357)*H331</f>
        <v>0</v>
      </c>
      <c r="H358" s="85" t="n">
        <f aca="false">SUM(H333:H357)</f>
        <v>0</v>
      </c>
      <c r="I358" s="2784" t="n">
        <f aca="false">IF(G358&gt;H358,G358,H358)*$H$331</f>
        <v>0</v>
      </c>
      <c r="J358" s="2744"/>
      <c r="K358" s="226" t="n">
        <f aca="false">D358-J358</f>
        <v>0</v>
      </c>
      <c r="L358" s="2792"/>
      <c r="M358" s="2787"/>
    </row>
    <row r="359" customFormat="false" ht="15.5" hidden="false" customHeight="false" outlineLevel="0" collapsed="false">
      <c r="A359" s="2719"/>
      <c r="B359" s="2750" t="s">
        <v>1409</v>
      </c>
      <c r="C359" s="2750"/>
      <c r="D359" s="2750"/>
      <c r="E359" s="2750"/>
      <c r="F359" s="2750"/>
      <c r="G359" s="905"/>
      <c r="H359" s="2766" t="n">
        <f aca="false">H331</f>
        <v>0</v>
      </c>
      <c r="I359" s="2757" t="n">
        <f aca="false">H359</f>
        <v>0</v>
      </c>
      <c r="J359" s="2752"/>
      <c r="K359" s="2753"/>
      <c r="L359" s="296"/>
      <c r="M359" s="2736"/>
    </row>
    <row r="360" customFormat="false" ht="15.5" hidden="false" customHeight="false" outlineLevel="0" collapsed="false">
      <c r="A360" s="2712"/>
      <c r="B360" s="2648" t="str">
        <f aca="false">дома!G1466</f>
        <v>монтаж обвязки</v>
      </c>
      <c r="C360" s="2765" t="s">
        <v>156</v>
      </c>
      <c r="D360" s="298" t="n">
        <f aca="false">дома!L1466</f>
        <v>0</v>
      </c>
      <c r="E360" s="177" t="n">
        <f aca="false">дома!O1466</f>
        <v>200</v>
      </c>
      <c r="F360" s="177"/>
      <c r="G360" s="122" t="n">
        <f aca="false">IF(F360&gt;0,D360*F360,E360*D360)</f>
        <v>0</v>
      </c>
      <c r="H360" s="89" t="n">
        <f aca="false">D360*E360*$H$332</f>
        <v>0</v>
      </c>
      <c r="I360" s="2718" t="n">
        <f aca="false">IF(G360&gt;H360,G360,H360)*$H$331</f>
        <v>0</v>
      </c>
      <c r="J360" s="2712"/>
      <c r="K360" s="2719"/>
      <c r="L360" s="296"/>
      <c r="M360" s="2736"/>
    </row>
    <row r="361" customFormat="false" ht="15.5" hidden="false" customHeight="false" outlineLevel="0" collapsed="false">
      <c r="A361" s="2719"/>
      <c r="B361" s="2648" t="str">
        <f aca="false">дома!G1467</f>
        <v>монтаж стен каркаса</v>
      </c>
      <c r="C361" s="2765" t="s">
        <v>133</v>
      </c>
      <c r="D361" s="298" t="n">
        <f aca="false">дома!L1467</f>
        <v>0</v>
      </c>
      <c r="E361" s="177" t="n">
        <f aca="false">дома!O1467</f>
        <v>400</v>
      </c>
      <c r="F361" s="177"/>
      <c r="G361" s="122" t="n">
        <f aca="false">IF(F361&gt;0,D361*F361,E361*D361)</f>
        <v>0</v>
      </c>
      <c r="H361" s="89" t="n">
        <f aca="false">D361*E361*$H$332</f>
        <v>0</v>
      </c>
      <c r="I361" s="2718" t="n">
        <f aca="false">IF(G361&gt;H361,G361,H361)*$H$331</f>
        <v>0</v>
      </c>
      <c r="J361" s="2712"/>
      <c r="K361" s="2719"/>
      <c r="L361" s="296"/>
      <c r="M361" s="2736"/>
    </row>
    <row r="362" customFormat="false" ht="15.5" hidden="false" customHeight="false" outlineLevel="0" collapsed="false">
      <c r="A362" s="2719"/>
      <c r="B362" s="2648" t="str">
        <f aca="false">дома!G1468</f>
        <v>Монтаж несущих перегородок</v>
      </c>
      <c r="C362" s="2765" t="s">
        <v>133</v>
      </c>
      <c r="D362" s="298" t="n">
        <f aca="false">дома!L1468</f>
        <v>0</v>
      </c>
      <c r="E362" s="177" t="n">
        <f aca="false">дома!O1468</f>
        <v>400</v>
      </c>
      <c r="F362" s="177"/>
      <c r="G362" s="122" t="n">
        <f aca="false">IF(F362&gt;0,D362*F362,E362*D362)</f>
        <v>0</v>
      </c>
      <c r="H362" s="89" t="n">
        <f aca="false">D362*E362*$H$332</f>
        <v>0</v>
      </c>
      <c r="I362" s="2718" t="n">
        <f aca="false">IF(G362&gt;H362,G362,H362)*$H$331</f>
        <v>0</v>
      </c>
      <c r="J362" s="2712"/>
      <c r="K362" s="2719"/>
      <c r="L362" s="296"/>
      <c r="M362" s="2736"/>
    </row>
    <row r="363" customFormat="false" ht="15.5" hidden="false" customHeight="false" outlineLevel="0" collapsed="false">
      <c r="A363" s="2719"/>
      <c r="B363" s="2648" t="str">
        <f aca="false">дома!G1469</f>
        <v>Монтаж перегородок</v>
      </c>
      <c r="C363" s="2765" t="s">
        <v>133</v>
      </c>
      <c r="D363" s="298" t="n">
        <f aca="false">дома!L1469</f>
        <v>0</v>
      </c>
      <c r="E363" s="177" t="n">
        <f aca="false">дома!O1469</f>
        <v>400</v>
      </c>
      <c r="F363" s="177"/>
      <c r="G363" s="122" t="n">
        <f aca="false">IF(F363&gt;0,D363*F363,E363*D363)</f>
        <v>0</v>
      </c>
      <c r="H363" s="89" t="n">
        <f aca="false">D363*E363*$H$332</f>
        <v>0</v>
      </c>
      <c r="I363" s="2718" t="n">
        <f aca="false">IF(G363&gt;H363,G363,H363)*$H$331</f>
        <v>0</v>
      </c>
      <c r="L363" s="296"/>
      <c r="M363" s="878"/>
    </row>
    <row r="364" customFormat="false" ht="15.5" hidden="false" customHeight="false" outlineLevel="0" collapsed="false">
      <c r="A364" s="2719"/>
      <c r="B364" s="2648" t="str">
        <f aca="false">дома!G1470</f>
        <v>Монтаж вентиляционного зазора</v>
      </c>
      <c r="C364" s="2765" t="s">
        <v>133</v>
      </c>
      <c r="D364" s="298" t="n">
        <f aca="false">дома!L1470</f>
        <v>0</v>
      </c>
      <c r="E364" s="177" t="n">
        <f aca="false">дома!O1470</f>
        <v>80</v>
      </c>
      <c r="F364" s="177"/>
      <c r="G364" s="122" t="n">
        <f aca="false">IF(F364&gt;0,D364*F364,E364*D364)</f>
        <v>0</v>
      </c>
      <c r="H364" s="89" t="n">
        <f aca="false">D364*E364*$H$332</f>
        <v>0</v>
      </c>
      <c r="I364" s="2718" t="n">
        <f aca="false">IF(G364&gt;H364,G364,H364)*$H$331</f>
        <v>0</v>
      </c>
      <c r="L364" s="296"/>
      <c r="M364" s="878"/>
    </row>
    <row r="365" customFormat="false" ht="15.5" hidden="false" customHeight="false" outlineLevel="0" collapsed="false">
      <c r="A365" s="2719"/>
      <c r="B365" s="2648" t="str">
        <f aca="false">дома!G1471</f>
        <v>Монтаж технологического зазора</v>
      </c>
      <c r="C365" s="2765" t="s">
        <v>133</v>
      </c>
      <c r="D365" s="298" t="n">
        <f aca="false">дома!L1471</f>
        <v>0</v>
      </c>
      <c r="E365" s="177" t="n">
        <f aca="false">дома!O1471</f>
        <v>80</v>
      </c>
      <c r="F365" s="177"/>
      <c r="G365" s="122" t="n">
        <f aca="false">IF(F365&gt;0,D365*F365,E365*D365)</f>
        <v>0</v>
      </c>
      <c r="H365" s="89" t="n">
        <f aca="false">D365*E365*$H$332</f>
        <v>0</v>
      </c>
      <c r="I365" s="2718" t="n">
        <f aca="false">IF(G365&gt;H365,G365,H365)*$H$331</f>
        <v>0</v>
      </c>
      <c r="L365" s="296"/>
      <c r="M365" s="878"/>
    </row>
    <row r="366" customFormat="false" ht="15.5" hidden="false" customHeight="false" outlineLevel="0" collapsed="false">
      <c r="A366" s="2719"/>
      <c r="B366" s="2648" t="str">
        <f aca="false">дома!G1472</f>
        <v>монтаж ветроизоляции стен</v>
      </c>
      <c r="C366" s="2765" t="s">
        <v>133</v>
      </c>
      <c r="D366" s="298" t="n">
        <f aca="false">дома!L1472</f>
        <v>0</v>
      </c>
      <c r="E366" s="177" t="n">
        <f aca="false">дома!O1472</f>
        <v>100</v>
      </c>
      <c r="F366" s="177"/>
      <c r="G366" s="122" t="n">
        <f aca="false">IF(F366&gt;0,D366*F366,E366*D366)</f>
        <v>0</v>
      </c>
      <c r="H366" s="89" t="n">
        <f aca="false">D366*E366*$H$332</f>
        <v>0</v>
      </c>
      <c r="I366" s="2718" t="n">
        <f aca="false">IF(G366&gt;H366,G366,H366)*$H$331</f>
        <v>0</v>
      </c>
      <c r="L366" s="296"/>
      <c r="M366" s="878"/>
    </row>
    <row r="367" customFormat="false" ht="15.5" hidden="false" customHeight="false" outlineLevel="0" collapsed="false">
      <c r="A367" s="2719"/>
      <c r="B367" s="2648" t="str">
        <f aca="false">дома!G1473</f>
        <v>монтаж пароизоляции стен</v>
      </c>
      <c r="C367" s="2765" t="s">
        <v>133</v>
      </c>
      <c r="D367" s="298" t="n">
        <f aca="false">дома!L1473</f>
        <v>0</v>
      </c>
      <c r="E367" s="177" t="n">
        <f aca="false">дома!O1473</f>
        <v>100</v>
      </c>
      <c r="F367" s="177"/>
      <c r="G367" s="122" t="n">
        <f aca="false">IF(F367&gt;0,D367*F367,E367*D367)</f>
        <v>0</v>
      </c>
      <c r="H367" s="89" t="n">
        <f aca="false">D367*E367*$H$332</f>
        <v>0</v>
      </c>
      <c r="I367" s="2718" t="n">
        <f aca="false">IF(G367&gt;H367,G367,H367)*$H$331</f>
        <v>0</v>
      </c>
      <c r="J367" s="2712"/>
      <c r="K367" s="2719"/>
      <c r="L367" s="296"/>
      <c r="M367" s="2736"/>
    </row>
    <row r="368" customFormat="false" ht="15.5" hidden="false" customHeight="false" outlineLevel="0" collapsed="false">
      <c r="A368" s="2719"/>
      <c r="B368" s="2648" t="str">
        <f aca="false">дома!G1474</f>
        <v>монтаж osb/фанера наруж стены</v>
      </c>
      <c r="C368" s="2765" t="s">
        <v>133</v>
      </c>
      <c r="D368" s="298" t="n">
        <f aca="false">дома!L1474</f>
        <v>0</v>
      </c>
      <c r="E368" s="177" t="n">
        <f aca="false">дома!O1474</f>
        <v>200</v>
      </c>
      <c r="F368" s="177"/>
      <c r="G368" s="122" t="n">
        <f aca="false">IF(F368&gt;0,D368*F368,E368*D368)</f>
        <v>0</v>
      </c>
      <c r="H368" s="89" t="n">
        <f aca="false">D368*E368*$H$332</f>
        <v>0</v>
      </c>
      <c r="I368" s="2718" t="n">
        <f aca="false">IF(G368&gt;H368,G368,H368)*$H$331</f>
        <v>0</v>
      </c>
      <c r="J368" s="2712"/>
      <c r="K368" s="2719"/>
      <c r="L368" s="296"/>
      <c r="M368" s="2736"/>
    </row>
    <row r="369" customFormat="false" ht="15.5" hidden="false" customHeight="false" outlineLevel="0" collapsed="false">
      <c r="A369" s="2719"/>
      <c r="B369" s="2648" t="str">
        <f aca="false">дома!G1475</f>
        <v>монтаж osb/фанера потолок</v>
      </c>
      <c r="C369" s="2765" t="s">
        <v>133</v>
      </c>
      <c r="D369" s="298" t="n">
        <f aca="false">дома!L1475</f>
        <v>0</v>
      </c>
      <c r="E369" s="177" t="n">
        <f aca="false">дома!O1475</f>
        <v>200</v>
      </c>
      <c r="F369" s="177"/>
      <c r="G369" s="122" t="n">
        <f aca="false">IF(F369&gt;0,D369*F369,E369*D369)</f>
        <v>0</v>
      </c>
      <c r="H369" s="89" t="n">
        <f aca="false">D369*E369*$H$332</f>
        <v>0</v>
      </c>
      <c r="I369" s="2718" t="n">
        <f aca="false">IF(G369&gt;H369,G369,H369)*$H$331</f>
        <v>0</v>
      </c>
      <c r="J369" s="2712"/>
      <c r="K369" s="2719"/>
      <c r="L369" s="296"/>
      <c r="M369" s="2736"/>
    </row>
    <row r="370" customFormat="false" ht="15.5" hidden="false" customHeight="false" outlineLevel="0" collapsed="false">
      <c r="A370" s="2719"/>
      <c r="B370" s="2648" t="str">
        <f aca="false">дома!G1476</f>
        <v>монтаж osb/фанера перегородки</v>
      </c>
      <c r="C370" s="2765" t="s">
        <v>133</v>
      </c>
      <c r="D370" s="298" t="n">
        <f aca="false">дома!L1476</f>
        <v>0</v>
      </c>
      <c r="E370" s="177" t="n">
        <f aca="false">дома!O1476</f>
        <v>200</v>
      </c>
      <c r="F370" s="177"/>
      <c r="G370" s="122" t="n">
        <f aca="false">IF(F370&gt;0,D370*F370,E370*D370)</f>
        <v>0</v>
      </c>
      <c r="H370" s="89" t="n">
        <f aca="false">D370*E370*$H$332</f>
        <v>0</v>
      </c>
      <c r="I370" s="2718" t="n">
        <f aca="false">IF(G370&gt;H370,G370,H370)*$H$331</f>
        <v>0</v>
      </c>
      <c r="J370" s="2712"/>
      <c r="K370" s="2719"/>
      <c r="L370" s="296"/>
      <c r="M370" s="2736"/>
    </row>
    <row r="371" customFormat="false" ht="15.5" hidden="false" customHeight="false" outlineLevel="0" collapsed="false">
      <c r="A371" s="2719"/>
      <c r="B371" s="2648" t="str">
        <f aca="false">дома!G1477</f>
        <v>монтаж osb/фанера пол</v>
      </c>
      <c r="C371" s="2765" t="s">
        <v>133</v>
      </c>
      <c r="D371" s="298" t="n">
        <f aca="false">дома!L1477</f>
        <v>100</v>
      </c>
      <c r="E371" s="177" t="n">
        <f aca="false">дома!O1477</f>
        <v>200</v>
      </c>
      <c r="F371" s="177"/>
      <c r="G371" s="122" t="n">
        <f aca="false">IF(F371&gt;0,D371*F371,E371*D371)</f>
        <v>20000</v>
      </c>
      <c r="H371" s="89" t="n">
        <f aca="false">D371*E371*$H$332</f>
        <v>0</v>
      </c>
      <c r="I371" s="2718" t="n">
        <f aca="false">IF(G371&gt;H371,G371,H371)*$H$331</f>
        <v>0</v>
      </c>
      <c r="J371" s="2712"/>
      <c r="K371" s="2719"/>
      <c r="L371" s="296"/>
      <c r="M371" s="2736"/>
    </row>
    <row r="372" customFormat="false" ht="15.5" hidden="false" customHeight="false" outlineLevel="0" collapsed="false">
      <c r="A372" s="2719"/>
      <c r="B372" s="2648" t="str">
        <f aca="false">дома!G1478</f>
        <v>утепление наружних стен</v>
      </c>
      <c r="C372" s="2765" t="s">
        <v>133</v>
      </c>
      <c r="D372" s="298" t="n">
        <f aca="false">дома!L1478</f>
        <v>0</v>
      </c>
      <c r="E372" s="177" t="n">
        <f aca="false">дома!O1478</f>
        <v>200</v>
      </c>
      <c r="F372" s="177"/>
      <c r="G372" s="122" t="n">
        <f aca="false">IF(F372&gt;0,D372*F372,E372*D372)</f>
        <v>0</v>
      </c>
      <c r="H372" s="89" t="n">
        <f aca="false">D372*E372*$H$332</f>
        <v>0</v>
      </c>
      <c r="I372" s="2718" t="n">
        <f aca="false">IF(G372&gt;H372,G372,H372)*$H$331</f>
        <v>0</v>
      </c>
      <c r="J372" s="2712"/>
      <c r="K372" s="2719"/>
      <c r="L372" s="296"/>
      <c r="M372" s="2736"/>
    </row>
    <row r="373" customFormat="false" ht="15.5" hidden="false" customHeight="false" outlineLevel="0" collapsed="false">
      <c r="A373" s="2719"/>
      <c r="B373" s="2648" t="str">
        <f aca="false">дома!G1479</f>
        <v>Утепление перегородок</v>
      </c>
      <c r="C373" s="2765" t="s">
        <v>133</v>
      </c>
      <c r="D373" s="298" t="n">
        <f aca="false">дома!L1479</f>
        <v>0</v>
      </c>
      <c r="E373" s="177" t="n">
        <f aca="false">дома!O1479</f>
        <v>200</v>
      </c>
      <c r="F373" s="177"/>
      <c r="G373" s="122" t="n">
        <f aca="false">IF(F373&gt;0,D373*F373,E373*D373)</f>
        <v>0</v>
      </c>
      <c r="H373" s="89" t="n">
        <f aca="false">D373*E373*$H$332</f>
        <v>0</v>
      </c>
      <c r="I373" s="2718" t="n">
        <f aca="false">IF(G373&gt;H373,G373,H373)*$H$331</f>
        <v>0</v>
      </c>
      <c r="J373" s="2712"/>
      <c r="K373" s="2719"/>
      <c r="L373" s="296"/>
      <c r="M373" s="2736"/>
    </row>
    <row r="374" customFormat="false" ht="15.5" hidden="false" customHeight="false" outlineLevel="0" collapsed="false">
      <c r="A374" s="2719"/>
      <c r="B374" s="2748" t="s">
        <v>4641</v>
      </c>
      <c r="C374" s="2748"/>
      <c r="D374" s="2748"/>
      <c r="E374" s="2748"/>
      <c r="F374" s="2748"/>
      <c r="G374" s="2210" t="n">
        <f aca="false">SUM(G360:G373)*H359</f>
        <v>0</v>
      </c>
      <c r="H374" s="2210" t="n">
        <f aca="false">SUM(H360:H373)</f>
        <v>0</v>
      </c>
      <c r="I374" s="2718" t="n">
        <f aca="false">IF(G374&gt;H374,G374,H374)*$H$331</f>
        <v>0</v>
      </c>
      <c r="J374" s="2712"/>
      <c r="K374" s="2719"/>
      <c r="L374" s="296"/>
      <c r="M374" s="2736"/>
    </row>
    <row r="375" customFormat="false" ht="21" hidden="false" customHeight="false" outlineLevel="0" collapsed="false">
      <c r="A375" s="2719"/>
      <c r="B375" s="2768" t="s">
        <v>4650</v>
      </c>
      <c r="C375" s="2768"/>
      <c r="D375" s="2768"/>
      <c r="E375" s="2793"/>
      <c r="F375" s="2793"/>
      <c r="G375" s="2200"/>
      <c r="H375" s="2770" t="n">
        <f aca="false">IF('Ввод данных'!$A$8=связи1!A152,1,0)+IF('Ввод данных'!$A$8=связи1!A169,1,0)+IF('Ввод данных'!$A$8=связи1!A177,1,0)+IF('Ввод данных'!$A$8=связи1!A184,1,0)+IF('Ввод данных'!$A$8=связи1!A185,1,0)</f>
        <v>0</v>
      </c>
      <c r="I375" s="2757" t="n">
        <f aca="false">H375</f>
        <v>0</v>
      </c>
      <c r="J375" s="2712"/>
      <c r="K375" s="2719"/>
      <c r="L375" s="296"/>
      <c r="M375" s="2736"/>
    </row>
    <row r="376" customFormat="false" ht="15.5" hidden="false" customHeight="false" outlineLevel="0" collapsed="false">
      <c r="A376" s="2719"/>
      <c r="B376" s="2794" t="s">
        <v>2720</v>
      </c>
      <c r="C376" s="2794"/>
      <c r="D376" s="2793"/>
      <c r="E376" s="2793"/>
      <c r="F376" s="2793"/>
      <c r="G376" s="2200"/>
      <c r="H376" s="2770" t="n">
        <f aca="false">H375</f>
        <v>0</v>
      </c>
      <c r="I376" s="2757" t="n">
        <f aca="false">H376</f>
        <v>0</v>
      </c>
      <c r="J376" s="2732"/>
      <c r="K376" s="2733"/>
      <c r="L376" s="296"/>
      <c r="M376" s="2736"/>
    </row>
    <row r="377" customFormat="false" ht="15.5" hidden="false" customHeight="false" outlineLevel="0" collapsed="false">
      <c r="A377" s="2719"/>
      <c r="B377" s="298" t="str">
        <f aca="false">дома!AQ1466</f>
        <v>Брус естественной влажности, 150*150мм</v>
      </c>
      <c r="C377" s="2765" t="str">
        <f aca="false">дома!AR1466</f>
        <v>м3</v>
      </c>
      <c r="D377" s="122" t="n">
        <f aca="false">дома!AS1466</f>
        <v>1.26</v>
      </c>
      <c r="E377" s="122" t="n">
        <f aca="false">дома!AT1466</f>
        <v>6500</v>
      </c>
      <c r="F377" s="298"/>
      <c r="G377" s="122" t="n">
        <f aca="false">IF(F377&gt;0,D377*F377,E377*D377)</f>
        <v>8190</v>
      </c>
      <c r="H377" s="85" t="n">
        <f aca="false">D377*E377*$H$375</f>
        <v>0</v>
      </c>
      <c r="I377" s="2784" t="n">
        <f aca="false">IF(G377&gt;H377,G377,H377)*$H$375</f>
        <v>0</v>
      </c>
      <c r="J377" s="2744"/>
      <c r="K377" s="226" t="n">
        <f aca="false">D377-J377</f>
        <v>1.26</v>
      </c>
      <c r="L377" s="2786" t="s">
        <v>3699</v>
      </c>
      <c r="M377" s="2787"/>
    </row>
    <row r="378" customFormat="false" ht="15.5" hidden="false" customHeight="false" outlineLevel="0" collapsed="false">
      <c r="A378" s="2719"/>
      <c r="B378" s="298" t="str">
        <f aca="false">дома!AQ1467</f>
        <v>Болты анкерные с гайкой 12,0 х 280</v>
      </c>
      <c r="C378" s="2765" t="str">
        <f aca="false">дома!AR1467</f>
        <v>шт</v>
      </c>
      <c r="D378" s="122" t="n">
        <f aca="false">дома!AS1467</f>
        <v>56</v>
      </c>
      <c r="E378" s="122" t="n">
        <f aca="false">дома!AT1467</f>
        <v>27.1</v>
      </c>
      <c r="F378" s="298"/>
      <c r="G378" s="122" t="n">
        <f aca="false">IF(F378&gt;0,D378*F378,E378*D378)</f>
        <v>1517.6</v>
      </c>
      <c r="H378" s="85" t="n">
        <f aca="false">D378*E378*$H$375</f>
        <v>0</v>
      </c>
      <c r="I378" s="2784" t="n">
        <f aca="false">IF(G378&gt;H378,G378,H378)*$H$375</f>
        <v>0</v>
      </c>
      <c r="J378" s="2744"/>
      <c r="K378" s="226" t="n">
        <f aca="false">D378-J378</f>
        <v>56</v>
      </c>
      <c r="L378" s="2786" t="s">
        <v>3702</v>
      </c>
      <c r="M378" s="2787"/>
    </row>
    <row r="379" customFormat="false" ht="15.5" hidden="false" customHeight="false" outlineLevel="0" collapsed="false">
      <c r="A379" s="2719"/>
      <c r="B379" s="298" t="str">
        <f aca="false">дома!AQ1468</f>
        <v>ГПС 150х50-1,2</v>
      </c>
      <c r="C379" s="2765" t="str">
        <f aca="false">дома!AR1468</f>
        <v>м3</v>
      </c>
      <c r="D379" s="122" t="n">
        <f aca="false">дома!AS1468</f>
        <v>0</v>
      </c>
      <c r="E379" s="122" t="n">
        <f aca="false">дома!AT1468</f>
        <v>201</v>
      </c>
      <c r="F379" s="298"/>
      <c r="G379" s="122" t="n">
        <f aca="false">IF(F379&gt;0,D379*F379,E379*D379)</f>
        <v>0</v>
      </c>
      <c r="H379" s="85" t="n">
        <f aca="false">D379*E379*$H$375</f>
        <v>0</v>
      </c>
      <c r="I379" s="2784" t="n">
        <f aca="false">IF(G379&gt;H379,G379,H379)*$H$375</f>
        <v>0</v>
      </c>
      <c r="J379" s="2744"/>
      <c r="K379" s="226" t="n">
        <f aca="false">D379-J379</f>
        <v>0</v>
      </c>
      <c r="L379" s="2786" t="s">
        <v>3704</v>
      </c>
      <c r="M379" s="2787"/>
    </row>
    <row r="380" customFormat="false" ht="15.5" hidden="false" customHeight="false" outlineLevel="0" collapsed="false">
      <c r="A380" s="2719"/>
      <c r="B380" s="298" t="str">
        <f aca="false">дома!AZ1466</f>
        <v>ГПН 152х35-1,2</v>
      </c>
      <c r="C380" s="2765" t="str">
        <f aca="false">дома!BA1466</f>
        <v>мп.</v>
      </c>
      <c r="D380" s="122" t="n">
        <f aca="false">дома!BB1466</f>
        <v>0</v>
      </c>
      <c r="E380" s="122" t="n">
        <f aca="false">дома!BC1466</f>
        <v>163</v>
      </c>
      <c r="F380" s="298"/>
      <c r="G380" s="122" t="n">
        <f aca="false">IF(F380&gt;0,D380*F380,E380*D380)</f>
        <v>0</v>
      </c>
      <c r="H380" s="85" t="n">
        <f aca="false">D380*E380*$H$375</f>
        <v>0</v>
      </c>
      <c r="I380" s="2784" t="n">
        <f aca="false">IF(G380&gt;H380,G380,H380)*$H$375</f>
        <v>0</v>
      </c>
      <c r="J380" s="2744"/>
      <c r="K380" s="226" t="n">
        <f aca="false">D380-J380</f>
        <v>0</v>
      </c>
      <c r="L380" s="2786" t="s">
        <v>3718</v>
      </c>
      <c r="M380" s="2787"/>
    </row>
    <row r="381" customFormat="false" ht="15.5" hidden="false" customHeight="false" outlineLevel="0" collapsed="false">
      <c r="A381" s="2719"/>
      <c r="B381" s="298" t="str">
        <f aca="false">дома!AZ1467</f>
        <v>Болты анкерные с гайкой 12,0 x 100</v>
      </c>
      <c r="C381" s="2765" t="str">
        <f aca="false">дома!BA1467</f>
        <v>шт.</v>
      </c>
      <c r="D381" s="122" t="n">
        <f aca="false">дома!BB1467</f>
        <v>0</v>
      </c>
      <c r="E381" s="122" t="n">
        <f aca="false">дома!BC1467</f>
        <v>11.2</v>
      </c>
      <c r="F381" s="298"/>
      <c r="G381" s="122" t="n">
        <f aca="false">IF(F381&gt;0,D381*F381,E381*D381)</f>
        <v>0</v>
      </c>
      <c r="H381" s="85" t="n">
        <f aca="false">D381*E381*$H$375</f>
        <v>0</v>
      </c>
      <c r="I381" s="2784" t="n">
        <f aca="false">IF(G381&gt;H381,G381,H381)*$H$375</f>
        <v>0</v>
      </c>
      <c r="J381" s="2744"/>
      <c r="K381" s="226" t="n">
        <f aca="false">D381-J381</f>
        <v>0</v>
      </c>
      <c r="L381" s="2786" t="s">
        <v>3722</v>
      </c>
      <c r="M381" s="2787"/>
    </row>
    <row r="382" customFormat="false" ht="15.5" hidden="false" customHeight="false" outlineLevel="0" collapsed="false">
      <c r="A382" s="2719"/>
      <c r="B382" s="298" t="str">
        <f aca="false">дома!AZ1468</f>
        <v>Саморез 5,5 х 25</v>
      </c>
      <c r="C382" s="2765" t="str">
        <f aca="false">дома!BA1468</f>
        <v>шт.</v>
      </c>
      <c r="D382" s="122" t="n">
        <f aca="false">дома!BB1468</f>
        <v>1644</v>
      </c>
      <c r="E382" s="122" t="n">
        <f aca="false">дома!BC1468</f>
        <v>2.5</v>
      </c>
      <c r="F382" s="298"/>
      <c r="G382" s="122" t="n">
        <f aca="false">IF(F382&gt;0,D382*F382,E382*D382)</f>
        <v>4110</v>
      </c>
      <c r="H382" s="85" t="n">
        <f aca="false">D382*E382*$H$375</f>
        <v>0</v>
      </c>
      <c r="I382" s="2784" t="n">
        <f aca="false">IF(G382&gt;H382,G382,H382)*$H$375</f>
        <v>0</v>
      </c>
      <c r="J382" s="2744"/>
      <c r="K382" s="226" t="n">
        <f aca="false">D382-J382</f>
        <v>1644</v>
      </c>
      <c r="L382" s="2786" t="s">
        <v>3725</v>
      </c>
      <c r="M382" s="2787"/>
    </row>
    <row r="383" customFormat="false" ht="15.5" hidden="false" customHeight="false" outlineLevel="0" collapsed="false">
      <c r="A383" s="2719"/>
      <c r="B383" s="298" t="str">
        <f aca="false">дома!AZ1469</f>
        <v>ГПН 122х35-1,5</v>
      </c>
      <c r="C383" s="2765" t="str">
        <f aca="false">дома!BA1469</f>
        <v>мп.</v>
      </c>
      <c r="D383" s="122" t="n">
        <f aca="false">дома!BB1469</f>
        <v>0</v>
      </c>
      <c r="E383" s="122" t="n">
        <f aca="false">дома!BC1469</f>
        <v>163</v>
      </c>
      <c r="F383" s="298"/>
      <c r="G383" s="122" t="n">
        <f aca="false">IF(F383&gt;0,D383*F383,E383*D383)</f>
        <v>0</v>
      </c>
      <c r="H383" s="85" t="n">
        <f aca="false">D383*E383*$H$375</f>
        <v>0</v>
      </c>
      <c r="I383" s="2784" t="n">
        <f aca="false">IF(G383&gt;H383,G383,H383)*$H$375</f>
        <v>0</v>
      </c>
      <c r="J383" s="2744"/>
      <c r="K383" s="226" t="n">
        <f aca="false">D383-J383</f>
        <v>0</v>
      </c>
      <c r="L383" s="2786" t="s">
        <v>3727</v>
      </c>
      <c r="M383" s="2787"/>
    </row>
    <row r="384" customFormat="false" ht="15.5" hidden="false" customHeight="false" outlineLevel="0" collapsed="false">
      <c r="A384" s="2719"/>
      <c r="B384" s="298" t="str">
        <f aca="false">дома!AZ1470</f>
        <v>Болты анкерные с гайкой 12,0 x 100</v>
      </c>
      <c r="C384" s="2765" t="str">
        <f aca="false">дома!BA1470</f>
        <v>шт.</v>
      </c>
      <c r="D384" s="122" t="n">
        <f aca="false">дома!BB1470</f>
        <v>0</v>
      </c>
      <c r="E384" s="122" t="n">
        <f aca="false">дома!BC1470</f>
        <v>11.2</v>
      </c>
      <c r="F384" s="298"/>
      <c r="G384" s="122" t="n">
        <f aca="false">IF(F384&gt;0,D384*F384,E384*D384)</f>
        <v>0</v>
      </c>
      <c r="H384" s="85" t="n">
        <f aca="false">D384*E384*$H$375</f>
        <v>0</v>
      </c>
      <c r="I384" s="2784" t="n">
        <f aca="false">IF(G384&gt;H384,G384,H384)*$H$375</f>
        <v>0</v>
      </c>
      <c r="J384" s="2744"/>
      <c r="K384" s="226" t="n">
        <f aca="false">D384-J384</f>
        <v>0</v>
      </c>
      <c r="L384" s="2786" t="s">
        <v>3722</v>
      </c>
      <c r="M384" s="2787"/>
    </row>
    <row r="385" customFormat="false" ht="15.5" hidden="false" customHeight="false" outlineLevel="0" collapsed="false">
      <c r="A385" s="2719"/>
      <c r="B385" s="298" t="str">
        <f aca="false">дома!AZ1471</f>
        <v>Саморез 5,5 х 25</v>
      </c>
      <c r="C385" s="2765" t="str">
        <f aca="false">дома!BA1471</f>
        <v>шт.</v>
      </c>
      <c r="D385" s="122" t="n">
        <f aca="false">дома!BB1471</f>
        <v>12</v>
      </c>
      <c r="E385" s="122" t="n">
        <f aca="false">дома!BC1471</f>
        <v>2.5</v>
      </c>
      <c r="F385" s="298"/>
      <c r="G385" s="122" t="n">
        <f aca="false">IF(F385&gt;0,D385*F385,E385*D385)</f>
        <v>30</v>
      </c>
      <c r="H385" s="85" t="n">
        <f aca="false">D385*E385*$H$375</f>
        <v>0</v>
      </c>
      <c r="I385" s="2784" t="n">
        <f aca="false">IF(G385&gt;H385,G385,H385)*$H$375</f>
        <v>0</v>
      </c>
      <c r="J385" s="2744"/>
      <c r="K385" s="226" t="n">
        <f aca="false">D385-J385</f>
        <v>12</v>
      </c>
      <c r="L385" s="2786" t="s">
        <v>3725</v>
      </c>
      <c r="M385" s="2787"/>
    </row>
    <row r="386" customFormat="false" ht="15.5" hidden="false" customHeight="false" outlineLevel="0" collapsed="false">
      <c r="A386" s="2719"/>
      <c r="B386" s="298" t="str">
        <f aca="false">дома!AZ1472</f>
        <v>ГПН 172х35-2,0</v>
      </c>
      <c r="C386" s="2765" t="str">
        <f aca="false">дома!BA1472</f>
        <v>мп.</v>
      </c>
      <c r="D386" s="122" t="n">
        <f aca="false">дома!BB1472</f>
        <v>0</v>
      </c>
      <c r="E386" s="122" t="n">
        <f aca="false">дома!BC1472</f>
        <v>274</v>
      </c>
      <c r="F386" s="298"/>
      <c r="G386" s="122" t="n">
        <f aca="false">IF(F386&gt;0,D386*F386,E386*D386)</f>
        <v>0</v>
      </c>
      <c r="H386" s="85" t="n">
        <f aca="false">D386*E386*$H$375</f>
        <v>0</v>
      </c>
      <c r="I386" s="2784" t="n">
        <f aca="false">IF(G386&gt;H386,G386,H386)*$H$375</f>
        <v>0</v>
      </c>
      <c r="J386" s="2744"/>
      <c r="K386" s="226" t="n">
        <f aca="false">D386-J386</f>
        <v>0</v>
      </c>
      <c r="L386" s="2786" t="s">
        <v>3731</v>
      </c>
      <c r="M386" s="2787"/>
    </row>
    <row r="387" customFormat="false" ht="15.5" hidden="false" customHeight="false" outlineLevel="0" collapsed="false">
      <c r="A387" s="2719"/>
      <c r="B387" s="298" t="str">
        <f aca="false">дома!AZ1473</f>
        <v>Болты анкерные с гайкой 12,0 x 100</v>
      </c>
      <c r="C387" s="2765" t="str">
        <f aca="false">дома!BA1473</f>
        <v>шт.</v>
      </c>
      <c r="D387" s="122" t="n">
        <f aca="false">дома!BB1473</f>
        <v>0</v>
      </c>
      <c r="E387" s="122" t="n">
        <f aca="false">дома!BC1473</f>
        <v>11.2</v>
      </c>
      <c r="F387" s="298"/>
      <c r="G387" s="122" t="n">
        <f aca="false">IF(F387&gt;0,D387*F387,E387*D387)</f>
        <v>0</v>
      </c>
      <c r="H387" s="85" t="n">
        <f aca="false">D387*E387*$H$375</f>
        <v>0</v>
      </c>
      <c r="I387" s="2784" t="n">
        <f aca="false">IF(G387&gt;H387,G387,H387)*$H$375</f>
        <v>0</v>
      </c>
      <c r="J387" s="2744"/>
      <c r="K387" s="226" t="n">
        <f aca="false">D387-J387</f>
        <v>0</v>
      </c>
      <c r="L387" s="2786" t="s">
        <v>3722</v>
      </c>
      <c r="M387" s="2787"/>
    </row>
    <row r="388" customFormat="false" ht="15.5" hidden="false" customHeight="false" outlineLevel="0" collapsed="false">
      <c r="A388" s="2719"/>
      <c r="B388" s="298" t="str">
        <f aca="false">дома!AZ1474</f>
        <v>Саморез 5,5 х 25</v>
      </c>
      <c r="C388" s="2765" t="str">
        <f aca="false">дома!BA1474</f>
        <v>шт.</v>
      </c>
      <c r="D388" s="122" t="n">
        <f aca="false">дома!BB1474</f>
        <v>0</v>
      </c>
      <c r="E388" s="122" t="n">
        <f aca="false">дома!BC1474</f>
        <v>2.5</v>
      </c>
      <c r="F388" s="298"/>
      <c r="G388" s="122" t="n">
        <f aca="false">IF(F388&gt;0,D388*F388,E388*D388)</f>
        <v>0</v>
      </c>
      <c r="H388" s="85" t="n">
        <f aca="false">D388*E388*$H$375</f>
        <v>0</v>
      </c>
      <c r="I388" s="2784" t="n">
        <f aca="false">IF(G388&gt;H388,G388,H388)*$H$375</f>
        <v>0</v>
      </c>
      <c r="J388" s="2744"/>
      <c r="K388" s="226" t="n">
        <f aca="false">D388-J388</f>
        <v>0</v>
      </c>
      <c r="L388" s="2786" t="s">
        <v>3725</v>
      </c>
      <c r="M388" s="2787"/>
    </row>
    <row r="389" customFormat="false" ht="15.5" hidden="false" customHeight="false" outlineLevel="0" collapsed="false">
      <c r="A389" s="2719"/>
      <c r="B389" s="298" t="str">
        <f aca="false">дома!AZ1475</f>
        <v>ГПС 150х50-1,2</v>
      </c>
      <c r="C389" s="2765" t="str">
        <f aca="false">дома!BA1475</f>
        <v>мп.</v>
      </c>
      <c r="D389" s="122" t="n">
        <f aca="false">дома!BB1475</f>
        <v>14</v>
      </c>
      <c r="E389" s="122" t="n">
        <f aca="false">дома!BC1475</f>
        <v>63.0094043887147</v>
      </c>
      <c r="F389" s="298"/>
      <c r="G389" s="122" t="n">
        <f aca="false">IF(F389&gt;0,D389*F389,E389*D389)</f>
        <v>882.131661442006</v>
      </c>
      <c r="H389" s="85" t="n">
        <f aca="false">D389*E389*$H$375</f>
        <v>0</v>
      </c>
      <c r="I389" s="2784" t="n">
        <f aca="false">IF(G389&gt;H389,G389,H389)*$H$375</f>
        <v>0</v>
      </c>
      <c r="J389" s="2744"/>
      <c r="K389" s="226" t="n">
        <f aca="false">D389-J389</f>
        <v>14</v>
      </c>
      <c r="L389" s="2791" t="s">
        <v>3733</v>
      </c>
      <c r="M389" s="2787"/>
    </row>
    <row r="390" customFormat="false" ht="15.5" hidden="false" customHeight="false" outlineLevel="0" collapsed="false">
      <c r="A390" s="2719"/>
      <c r="B390" s="298" t="str">
        <f aca="false">дома!AZ1476</f>
        <v>Саморез 5,5 х 25</v>
      </c>
      <c r="C390" s="2765" t="str">
        <f aca="false">дома!BA1476</f>
        <v>шт.</v>
      </c>
      <c r="D390" s="122" t="n">
        <f aca="false">дома!BB1476</f>
        <v>81</v>
      </c>
      <c r="E390" s="122" t="n">
        <f aca="false">дома!BC1476</f>
        <v>2.5</v>
      </c>
      <c r="F390" s="298"/>
      <c r="G390" s="122" t="n">
        <f aca="false">IF(F390&gt;0,D390*F390,E390*D390)</f>
        <v>202.5</v>
      </c>
      <c r="H390" s="85" t="n">
        <f aca="false">D390*E390*$H$375</f>
        <v>0</v>
      </c>
      <c r="I390" s="2784" t="n">
        <f aca="false">IF(G390&gt;H390,G390,H390)*$H$375</f>
        <v>0</v>
      </c>
      <c r="J390" s="2744"/>
      <c r="K390" s="226" t="n">
        <f aca="false">D390-J390</f>
        <v>81</v>
      </c>
      <c r="L390" s="2786" t="s">
        <v>3734</v>
      </c>
      <c r="M390" s="2787"/>
    </row>
    <row r="391" customFormat="false" ht="15.5" hidden="false" customHeight="false" outlineLevel="0" collapsed="false">
      <c r="A391" s="2719"/>
      <c r="B391" s="298" t="str">
        <f aca="false">дома!BH1466</f>
        <v>L 50 x 50, 1,2мм</v>
      </c>
      <c r="C391" s="2765" t="str">
        <f aca="false">дома!BI1466</f>
        <v>м.п.</v>
      </c>
      <c r="D391" s="122" t="n">
        <f aca="false">дома!BJ1466</f>
        <v>8.1</v>
      </c>
      <c r="E391" s="122" t="n">
        <f aca="false">дома!BK1466</f>
        <v>77</v>
      </c>
      <c r="F391" s="298"/>
      <c r="G391" s="122" t="n">
        <f aca="false">IF(F391&gt;0,D391*F391,E391*D391)</f>
        <v>623.7</v>
      </c>
      <c r="H391" s="85" t="n">
        <f aca="false">D391*E391*$H$375</f>
        <v>0</v>
      </c>
      <c r="I391" s="2784" t="n">
        <f aca="false">IF(G391&gt;H391,G391,H391)*$H$375</f>
        <v>0</v>
      </c>
      <c r="J391" s="2744"/>
      <c r="K391" s="226" t="n">
        <f aca="false">D391-J391</f>
        <v>8.1</v>
      </c>
      <c r="L391" s="2788" t="s">
        <v>3701</v>
      </c>
      <c r="M391" s="2787"/>
    </row>
    <row r="392" customFormat="false" ht="15.5" hidden="false" customHeight="false" outlineLevel="0" collapsed="false">
      <c r="A392" s="2719"/>
      <c r="B392" s="298" t="str">
        <f aca="false">дома!BH1467</f>
        <v>ГПС 120х50-1,5</v>
      </c>
      <c r="C392" s="2765" t="str">
        <f aca="false">дома!BI1467</f>
        <v>м.п.</v>
      </c>
      <c r="D392" s="122" t="n">
        <f aca="false">дома!BJ1467</f>
        <v>7.8</v>
      </c>
      <c r="E392" s="122" t="n">
        <f aca="false">дома!BK1467</f>
        <v>65.8823529411765</v>
      </c>
      <c r="F392" s="298"/>
      <c r="G392" s="122" t="n">
        <f aca="false">IF(F392&gt;0,D392*F392,E392*D392)</f>
        <v>513.882352941176</v>
      </c>
      <c r="H392" s="85" t="n">
        <f aca="false">D392*E392*$H$375</f>
        <v>0</v>
      </c>
      <c r="I392" s="2784" t="n">
        <f aca="false">IF(G392&gt;H392,G392,H392)*$H$375</f>
        <v>0</v>
      </c>
      <c r="J392" s="2744"/>
      <c r="K392" s="226" t="n">
        <f aca="false">D392-J392</f>
        <v>7.8</v>
      </c>
      <c r="L392" s="2795" t="s">
        <v>3703</v>
      </c>
      <c r="M392" s="2787"/>
    </row>
    <row r="393" customFormat="false" ht="15.5" hidden="false" customHeight="false" outlineLevel="0" collapsed="false">
      <c r="A393" s="2719"/>
      <c r="B393" s="298" t="str">
        <f aca="false">дома!BH1468</f>
        <v>Саморез 5,5 х 25</v>
      </c>
      <c r="C393" s="2765" t="str">
        <f aca="false">дома!BI1468</f>
        <v>шт.</v>
      </c>
      <c r="D393" s="122" t="n">
        <f aca="false">дома!BJ1468</f>
        <v>48</v>
      </c>
      <c r="E393" s="122" t="n">
        <f aca="false">дома!BK1468</f>
        <v>2.5</v>
      </c>
      <c r="F393" s="298"/>
      <c r="G393" s="122" t="n">
        <f aca="false">IF(F393&gt;0,D393*F393,E393*D393)</f>
        <v>120</v>
      </c>
      <c r="H393" s="85" t="n">
        <f aca="false">D393*E393*$H$375</f>
        <v>0</v>
      </c>
      <c r="I393" s="2784" t="n">
        <f aca="false">IF(G393&gt;H393,G393,H393)*$H$375</f>
        <v>0</v>
      </c>
      <c r="J393" s="2744"/>
      <c r="K393" s="226" t="n">
        <f aca="false">D393-J393</f>
        <v>48</v>
      </c>
      <c r="L393" s="2795" t="s">
        <v>3705</v>
      </c>
      <c r="M393" s="2787"/>
    </row>
    <row r="394" customFormat="false" ht="15.5" hidden="false" customHeight="false" outlineLevel="0" collapsed="false">
      <c r="A394" s="2719"/>
      <c r="B394" s="298" t="str">
        <f aca="false">дома!BH1469</f>
        <v>нет</v>
      </c>
      <c r="C394" s="2765" t="str">
        <f aca="false">дома!BI1469</f>
        <v>м.п.</v>
      </c>
      <c r="D394" s="122" t="n">
        <f aca="false">дома!BJ1469</f>
        <v>0</v>
      </c>
      <c r="E394" s="122" t="n">
        <f aca="false">дома!BK1469</f>
        <v>0</v>
      </c>
      <c r="F394" s="298"/>
      <c r="G394" s="122" t="n">
        <f aca="false">IF(F394&gt;0,D394*F394,E394*D394)</f>
        <v>0</v>
      </c>
      <c r="H394" s="85" t="n">
        <f aca="false">D394*E394*$H$375</f>
        <v>0</v>
      </c>
      <c r="I394" s="2784" t="n">
        <f aca="false">IF(G394&gt;H394,G394,H394)*$H$375</f>
        <v>0</v>
      </c>
      <c r="J394" s="2744"/>
      <c r="K394" s="226" t="n">
        <f aca="false">D394-J394</f>
        <v>0</v>
      </c>
      <c r="L394" s="2796" t="s">
        <v>2378</v>
      </c>
      <c r="M394" s="2787"/>
    </row>
    <row r="395" customFormat="false" ht="15.5" hidden="false" customHeight="false" outlineLevel="0" collapsed="false">
      <c r="A395" s="2719"/>
      <c r="B395" s="298" t="str">
        <f aca="false">дома!BH1470</f>
        <v>нет</v>
      </c>
      <c r="C395" s="2765" t="str">
        <f aca="false">дома!BI1470</f>
        <v>м.п.</v>
      </c>
      <c r="D395" s="122" t="n">
        <f aca="false">дома!BJ1470</f>
        <v>0</v>
      </c>
      <c r="E395" s="122" t="n">
        <f aca="false">дома!BK1470</f>
        <v>0</v>
      </c>
      <c r="F395" s="298"/>
      <c r="G395" s="122" t="n">
        <f aca="false">IF(F395&gt;0,D395*F395,E395*D395)</f>
        <v>0</v>
      </c>
      <c r="H395" s="85" t="n">
        <f aca="false">D395*E395*$H$375</f>
        <v>0</v>
      </c>
      <c r="I395" s="2784" t="n">
        <f aca="false">IF(G395&gt;H395,G395,H395)*$H$375</f>
        <v>0</v>
      </c>
      <c r="J395" s="2744"/>
      <c r="K395" s="226" t="n">
        <f aca="false">D395-J395</f>
        <v>0</v>
      </c>
      <c r="L395" s="2797" t="s">
        <v>2381</v>
      </c>
      <c r="M395" s="2787"/>
    </row>
    <row r="396" customFormat="false" ht="15.5" hidden="false" customHeight="false" outlineLevel="0" collapsed="false">
      <c r="A396" s="2719"/>
      <c r="B396" s="298" t="n">
        <f aca="false">дома!BH1471</f>
        <v>0</v>
      </c>
      <c r="C396" s="2765" t="str">
        <f aca="false">дома!BI1471</f>
        <v>шт.</v>
      </c>
      <c r="D396" s="122" t="n">
        <f aca="false">дома!BJ1471</f>
        <v>0</v>
      </c>
      <c r="E396" s="122" t="n">
        <f aca="false">дома!BK1471</f>
        <v>0</v>
      </c>
      <c r="F396" s="298"/>
      <c r="G396" s="122" t="n">
        <f aca="false">IF(F396&gt;0,D396*F396,E396*D396)</f>
        <v>0</v>
      </c>
      <c r="H396" s="85" t="n">
        <f aca="false">D396*E396*$H$375</f>
        <v>0</v>
      </c>
      <c r="I396" s="2784" t="n">
        <f aca="false">IF(G396&gt;H396,G396,H396)*$H$375</f>
        <v>0</v>
      </c>
      <c r="J396" s="2744"/>
      <c r="K396" s="226" t="n">
        <f aca="false">D396-J396</f>
        <v>0</v>
      </c>
      <c r="L396" s="2788" t="s">
        <v>3708</v>
      </c>
      <c r="M396" s="2787"/>
    </row>
    <row r="397" customFormat="false" ht="15.5" hidden="false" customHeight="false" outlineLevel="0" collapsed="false">
      <c r="A397" s="2719"/>
      <c r="B397" s="298" t="n">
        <f aca="false">дома!BH1472</f>
        <v>0</v>
      </c>
      <c r="C397" s="2765" t="str">
        <f aca="false">дома!BI1472</f>
        <v>шт.</v>
      </c>
      <c r="D397" s="122" t="n">
        <f aca="false">дома!BJ1472</f>
        <v>0</v>
      </c>
      <c r="E397" s="122" t="n">
        <f aca="false">дома!BK1472</f>
        <v>0</v>
      </c>
      <c r="F397" s="298"/>
      <c r="G397" s="122" t="n">
        <f aca="false">IF(F397&gt;0,D397*F397,E397*D397)</f>
        <v>0</v>
      </c>
      <c r="H397" s="85" t="n">
        <f aca="false">D397*E397*$H$375</f>
        <v>0</v>
      </c>
      <c r="I397" s="2784" t="n">
        <f aca="false">IF(G397&gt;H397,G397,H397)*$H$375</f>
        <v>0</v>
      </c>
      <c r="J397" s="2744"/>
      <c r="K397" s="226" t="n">
        <f aca="false">D397-J397</f>
        <v>0</v>
      </c>
      <c r="L397" s="2788" t="s">
        <v>3709</v>
      </c>
      <c r="M397" s="2787"/>
    </row>
    <row r="398" customFormat="false" ht="15.5" hidden="false" customHeight="false" outlineLevel="0" collapsed="false">
      <c r="A398" s="2719"/>
      <c r="B398" s="298" t="str">
        <f aca="false">дома!BH1473</f>
        <v>нет</v>
      </c>
      <c r="C398" s="2765" t="str">
        <f aca="false">дома!BI1473</f>
        <v>м2</v>
      </c>
      <c r="D398" s="122" t="n">
        <f aca="false">дома!BJ1473</f>
        <v>0</v>
      </c>
      <c r="E398" s="122" t="n">
        <f aca="false">дома!BK1473</f>
        <v>0</v>
      </c>
      <c r="F398" s="298"/>
      <c r="G398" s="122" t="n">
        <f aca="false">IF(F398&gt;0,D398*F398,E398*D398)</f>
        <v>0</v>
      </c>
      <c r="H398" s="85" t="n">
        <f aca="false">D398*E398*$H$375</f>
        <v>0</v>
      </c>
      <c r="I398" s="2784" t="n">
        <f aca="false">IF(G398&gt;H398,G398,H398)*$H$375</f>
        <v>0</v>
      </c>
      <c r="J398" s="2744"/>
      <c r="K398" s="226" t="n">
        <f aca="false">D398-J398</f>
        <v>0</v>
      </c>
      <c r="L398" s="2796" t="s">
        <v>2382</v>
      </c>
      <c r="M398" s="2787"/>
    </row>
    <row r="399" customFormat="false" ht="15.5" hidden="false" customHeight="false" outlineLevel="0" collapsed="false">
      <c r="A399" s="2719"/>
      <c r="B399" s="298" t="str">
        <f aca="false">дома!BH1474</f>
        <v>Саморезы 3,5 x 25</v>
      </c>
      <c r="C399" s="2765" t="str">
        <f aca="false">дома!BI1474</f>
        <v>шт.</v>
      </c>
      <c r="D399" s="122" t="n">
        <f aca="false">дома!BJ1474</f>
        <v>0</v>
      </c>
      <c r="E399" s="122" t="n">
        <f aca="false">дома!BK1474</f>
        <v>0.2</v>
      </c>
      <c r="F399" s="298"/>
      <c r="G399" s="122" t="n">
        <f aca="false">IF(F399&gt;0,D399*F399,E399*D399)</f>
        <v>0</v>
      </c>
      <c r="H399" s="85" t="n">
        <f aca="false">D399*E399*$H$375</f>
        <v>0</v>
      </c>
      <c r="I399" s="2784" t="n">
        <f aca="false">IF(G399&gt;H399,G399,H399)*$H$375</f>
        <v>0</v>
      </c>
      <c r="J399" s="2744"/>
      <c r="K399" s="226" t="n">
        <f aca="false">D399-J399</f>
        <v>0</v>
      </c>
      <c r="L399" s="2795" t="s">
        <v>3710</v>
      </c>
      <c r="M399" s="2787"/>
    </row>
    <row r="400" customFormat="false" ht="15.5" hidden="false" customHeight="false" outlineLevel="0" collapsed="false">
      <c r="A400" s="2719"/>
      <c r="B400" s="298" t="str">
        <f aca="false">дома!BH1475</f>
        <v>нет</v>
      </c>
      <c r="C400" s="2765" t="str">
        <f aca="false">дома!BI1475</f>
        <v>м.п.</v>
      </c>
      <c r="D400" s="122" t="n">
        <f aca="false">дома!BJ1475</f>
        <v>0</v>
      </c>
      <c r="E400" s="122" t="n">
        <f aca="false">дома!BK1475</f>
        <v>0</v>
      </c>
      <c r="F400" s="298"/>
      <c r="G400" s="122" t="n">
        <f aca="false">IF(F400&gt;0,D400*F400,E400*D400)</f>
        <v>0</v>
      </c>
      <c r="H400" s="85" t="n">
        <f aca="false">D400*E400*$H$375</f>
        <v>0</v>
      </c>
      <c r="I400" s="2784" t="n">
        <f aca="false">IF(G400&gt;H400,G400,H400)*$H$375</f>
        <v>0</v>
      </c>
      <c r="J400" s="2744"/>
      <c r="K400" s="226" t="n">
        <f aca="false">D400-J400</f>
        <v>0</v>
      </c>
      <c r="L400" s="2797" t="s">
        <v>2383</v>
      </c>
      <c r="M400" s="2787"/>
    </row>
    <row r="401" customFormat="false" ht="15.5" hidden="false" customHeight="false" outlineLevel="0" collapsed="false">
      <c r="A401" s="2719"/>
      <c r="B401" s="298" t="n">
        <f aca="false">дома!BH1476</f>
        <v>0</v>
      </c>
      <c r="C401" s="2765" t="str">
        <f aca="false">дома!BI1476</f>
        <v>шт.</v>
      </c>
      <c r="D401" s="122" t="n">
        <f aca="false">дома!BJ1476</f>
        <v>0</v>
      </c>
      <c r="E401" s="122" t="n">
        <f aca="false">дома!BK1476</f>
        <v>0</v>
      </c>
      <c r="F401" s="298"/>
      <c r="G401" s="122" t="n">
        <f aca="false">IF(F401&gt;0,D401*F401,E401*D401)</f>
        <v>0</v>
      </c>
      <c r="H401" s="85" t="n">
        <f aca="false">D401*E401*$H$375</f>
        <v>0</v>
      </c>
      <c r="I401" s="2784" t="n">
        <f aca="false">IF(G401&gt;H401,G401,H401)*$H$375</f>
        <v>0</v>
      </c>
      <c r="J401" s="2744"/>
      <c r="K401" s="226" t="n">
        <f aca="false">D401-J401</f>
        <v>0</v>
      </c>
      <c r="L401" s="2795" t="s">
        <v>3709</v>
      </c>
      <c r="M401" s="2787"/>
    </row>
    <row r="402" customFormat="false" ht="15.5" hidden="false" customHeight="false" outlineLevel="0" collapsed="false">
      <c r="A402" s="2719"/>
      <c r="B402" s="298" t="str">
        <f aca="false">дома!BH1477</f>
        <v>нет</v>
      </c>
      <c r="C402" s="2765" t="str">
        <f aca="false">дома!BI1477</f>
        <v>м2</v>
      </c>
      <c r="D402" s="122" t="n">
        <f aca="false">дома!BJ1477</f>
        <v>0</v>
      </c>
      <c r="E402" s="122" t="n">
        <f aca="false">дома!BK1477</f>
        <v>0</v>
      </c>
      <c r="F402" s="298"/>
      <c r="G402" s="122" t="n">
        <f aca="false">IF(F402&gt;0,D402*F402,E402*D402)</f>
        <v>0</v>
      </c>
      <c r="H402" s="85" t="n">
        <f aca="false">D402*E402*$H$375</f>
        <v>0</v>
      </c>
      <c r="I402" s="2784" t="n">
        <f aca="false">IF(G402&gt;H402,G402,H402)*$H$375</f>
        <v>0</v>
      </c>
      <c r="J402" s="2744"/>
      <c r="K402" s="226" t="n">
        <f aca="false">D402-J402</f>
        <v>0</v>
      </c>
      <c r="L402" s="2796" t="s">
        <v>2385</v>
      </c>
      <c r="M402" s="2787"/>
    </row>
    <row r="403" customFormat="false" ht="15.5" hidden="false" customHeight="false" outlineLevel="0" collapsed="false">
      <c r="A403" s="2719"/>
      <c r="B403" s="298" t="str">
        <f aca="false">дома!BH1478</f>
        <v>Саморезы 3,5 x 45</v>
      </c>
      <c r="C403" s="2765" t="str">
        <f aca="false">дома!BI1478</f>
        <v>шт.</v>
      </c>
      <c r="D403" s="122" t="n">
        <f aca="false">дома!BJ1478</f>
        <v>0</v>
      </c>
      <c r="E403" s="122" t="n">
        <f aca="false">дома!BK1478</f>
        <v>0.25</v>
      </c>
      <c r="F403" s="298"/>
      <c r="G403" s="122" t="n">
        <f aca="false">IF(F403&gt;0,D403*F403,E403*D403)</f>
        <v>0</v>
      </c>
      <c r="H403" s="85" t="n">
        <f aca="false">D403*E403*$H$375</f>
        <v>0</v>
      </c>
      <c r="I403" s="2784" t="n">
        <f aca="false">IF(G403&gt;H403,G403,H403)*$H$375</f>
        <v>0</v>
      </c>
      <c r="J403" s="2744"/>
      <c r="K403" s="226" t="n">
        <f aca="false">D403-J403</f>
        <v>0</v>
      </c>
      <c r="L403" s="2788" t="s">
        <v>3714</v>
      </c>
      <c r="M403" s="2787"/>
    </row>
    <row r="404" customFormat="false" ht="15.5" hidden="false" customHeight="false" outlineLevel="0" collapsed="false">
      <c r="A404" s="2719"/>
      <c r="B404" s="298" t="str">
        <f aca="false">дома!BH1479</f>
        <v>нет</v>
      </c>
      <c r="C404" s="2765" t="str">
        <f aca="false">дома!BI1479</f>
        <v>м.п.</v>
      </c>
      <c r="D404" s="122" t="n">
        <f aca="false">дома!BJ1479</f>
        <v>192</v>
      </c>
      <c r="E404" s="122" t="n">
        <f aca="false">дома!BK1479</f>
        <v>0</v>
      </c>
      <c r="F404" s="298"/>
      <c r="G404" s="122" t="n">
        <f aca="false">IF(F404&gt;0,D404*F404,E404*D404)</f>
        <v>0</v>
      </c>
      <c r="H404" s="85" t="n">
        <f aca="false">D404*E404*$H$375</f>
        <v>0</v>
      </c>
      <c r="I404" s="2784" t="n">
        <f aca="false">IF(G404&gt;H404,G404,H404)*$H$375</f>
        <v>0</v>
      </c>
      <c r="J404" s="2744"/>
      <c r="K404" s="226" t="n">
        <f aca="false">D404-J404</f>
        <v>192</v>
      </c>
      <c r="L404" s="2788" t="s">
        <v>3715</v>
      </c>
      <c r="M404" s="2787"/>
    </row>
    <row r="405" customFormat="false" ht="15.5" hidden="false" customHeight="false" outlineLevel="0" collapsed="false">
      <c r="A405" s="2719"/>
      <c r="B405" s="298" t="str">
        <f aca="false">дома!BH1480</f>
        <v>нет</v>
      </c>
      <c r="C405" s="2765" t="str">
        <f aca="false">дома!BI1480</f>
        <v>м.п.</v>
      </c>
      <c r="D405" s="122" t="n">
        <f aca="false">дома!BJ1480</f>
        <v>192</v>
      </c>
      <c r="E405" s="122" t="n">
        <f aca="false">дома!BK1480</f>
        <v>0</v>
      </c>
      <c r="F405" s="298"/>
      <c r="G405" s="122" t="n">
        <f aca="false">IF(F405&gt;0,D405*F405,E405*D405)</f>
        <v>0</v>
      </c>
      <c r="H405" s="85" t="n">
        <f aca="false">D405*E405*$H$375</f>
        <v>0</v>
      </c>
      <c r="I405" s="2784" t="n">
        <f aca="false">IF(G405&gt;H405,G405,H405)*$H$375</f>
        <v>0</v>
      </c>
      <c r="J405" s="2744"/>
      <c r="K405" s="226" t="n">
        <f aca="false">D405-J405</f>
        <v>192</v>
      </c>
      <c r="L405" s="2788" t="s">
        <v>3716</v>
      </c>
      <c r="M405" s="2787"/>
    </row>
    <row r="406" customFormat="false" ht="15.5" hidden="false" customHeight="false" outlineLevel="0" collapsed="false">
      <c r="A406" s="2719"/>
      <c r="B406" s="298" t="n">
        <f aca="false">дома!BH1481</f>
        <v>0</v>
      </c>
      <c r="C406" s="2765" t="str">
        <f aca="false">дома!BI1481</f>
        <v>шт.</v>
      </c>
      <c r="D406" s="122" t="n">
        <f aca="false">дома!BJ1481</f>
        <v>384</v>
      </c>
      <c r="E406" s="122" t="n">
        <f aca="false">дома!BK1481</f>
        <v>0</v>
      </c>
      <c r="F406" s="298"/>
      <c r="G406" s="122" t="n">
        <f aca="false">IF(F406&gt;0,D406*F406,E406*D406)</f>
        <v>0</v>
      </c>
      <c r="H406" s="85" t="n">
        <f aca="false">D406*E406*$H$375</f>
        <v>0</v>
      </c>
      <c r="I406" s="2784" t="n">
        <f aca="false">IF(G406&gt;H406,G406,H406)*$H$375</f>
        <v>0</v>
      </c>
      <c r="J406" s="2744"/>
      <c r="K406" s="226" t="n">
        <f aca="false">D406-J406</f>
        <v>384</v>
      </c>
      <c r="L406" s="2788" t="s">
        <v>3720</v>
      </c>
      <c r="M406" s="2787"/>
    </row>
    <row r="407" customFormat="false" ht="15.5" hidden="false" customHeight="false" outlineLevel="0" collapsed="false">
      <c r="A407" s="2719"/>
      <c r="B407" s="298" t="str">
        <f aca="false">дома!BH1482</f>
        <v>Кровельный саморез</v>
      </c>
      <c r="C407" s="2765" t="str">
        <f aca="false">дома!BI1482</f>
        <v>шт.</v>
      </c>
      <c r="D407" s="122" t="n">
        <f aca="false">дома!BJ1482</f>
        <v>0</v>
      </c>
      <c r="E407" s="122" t="n">
        <f aca="false">дома!BK1482</f>
        <v>2</v>
      </c>
      <c r="F407" s="298"/>
      <c r="G407" s="122" t="n">
        <f aca="false">IF(F407&gt;0,D407*F407,E407*D407)</f>
        <v>0</v>
      </c>
      <c r="H407" s="85" t="n">
        <f aca="false">D407*E407*$H$375</f>
        <v>0</v>
      </c>
      <c r="I407" s="2784" t="n">
        <f aca="false">IF(G407&gt;H407,G407,H407)*$H$375</f>
        <v>0</v>
      </c>
      <c r="J407" s="2744"/>
      <c r="K407" s="226" t="n">
        <f aca="false">D407-J407</f>
        <v>0</v>
      </c>
      <c r="L407" s="2788" t="s">
        <v>3723</v>
      </c>
      <c r="M407" s="2787"/>
    </row>
    <row r="408" customFormat="false" ht="15.5" hidden="false" customHeight="false" outlineLevel="0" collapsed="false">
      <c r="A408" s="2719"/>
      <c r="B408" s="298" t="str">
        <f aca="false">дома!BH1483</f>
        <v>нет</v>
      </c>
      <c r="C408" s="2765" t="str">
        <f aca="false">дома!BI1483</f>
        <v>м.п.</v>
      </c>
      <c r="D408" s="122" t="n">
        <f aca="false">дома!BJ1483</f>
        <v>192</v>
      </c>
      <c r="E408" s="122" t="n">
        <f aca="false">дома!BK1483</f>
        <v>0</v>
      </c>
      <c r="F408" s="298"/>
      <c r="G408" s="122" t="n">
        <f aca="false">IF(F408&gt;0,D408*F408,E408*D408)</f>
        <v>0</v>
      </c>
      <c r="H408" s="85" t="n">
        <f aca="false">D408*E408*$H$375</f>
        <v>0</v>
      </c>
      <c r="I408" s="2784" t="n">
        <f aca="false">IF(G408&gt;H408,G408,H408)*$H$375</f>
        <v>0</v>
      </c>
      <c r="J408" s="2744"/>
      <c r="K408" s="226" t="n">
        <f aca="false">D408-J408</f>
        <v>192</v>
      </c>
      <c r="L408" s="2796" t="s">
        <v>3726</v>
      </c>
      <c r="M408" s="2787"/>
    </row>
    <row r="409" customFormat="false" ht="15.5" hidden="false" customHeight="false" outlineLevel="0" collapsed="false">
      <c r="A409" s="2719"/>
      <c r="B409" s="298" t="str">
        <f aca="false">дома!BH1484</f>
        <v>нет</v>
      </c>
      <c r="C409" s="2765" t="str">
        <f aca="false">дома!BI1484</f>
        <v>м.п.</v>
      </c>
      <c r="D409" s="122" t="n">
        <f aca="false">дома!BJ1484</f>
        <v>110</v>
      </c>
      <c r="E409" s="122" t="n">
        <f aca="false">дома!BK1484</f>
        <v>0</v>
      </c>
      <c r="F409" s="298"/>
      <c r="G409" s="122" t="n">
        <f aca="false">IF(F409&gt;0,D409*F409,E409*D409)</f>
        <v>0</v>
      </c>
      <c r="H409" s="85" t="n">
        <f aca="false">D409*E409*$H$375</f>
        <v>0</v>
      </c>
      <c r="I409" s="2784" t="n">
        <f aca="false">IF(G409&gt;H409,G409,H409)*$H$375</f>
        <v>0</v>
      </c>
      <c r="J409" s="2744"/>
      <c r="K409" s="226" t="n">
        <f aca="false">D409-J409</f>
        <v>110</v>
      </c>
      <c r="L409" s="2788" t="s">
        <v>3728</v>
      </c>
      <c r="M409" s="2787"/>
    </row>
    <row r="410" customFormat="false" ht="15.5" hidden="false" customHeight="false" outlineLevel="0" collapsed="false">
      <c r="A410" s="2719"/>
      <c r="B410" s="298" t="n">
        <f aca="false">дома!BH1485</f>
        <v>0</v>
      </c>
      <c r="C410" s="2765" t="str">
        <f aca="false">дома!BI1485</f>
        <v>шт.</v>
      </c>
      <c r="D410" s="122" t="n">
        <f aca="false">дома!BJ1485</f>
        <v>384</v>
      </c>
      <c r="E410" s="122" t="n">
        <f aca="false">дома!BK1485</f>
        <v>0</v>
      </c>
      <c r="F410" s="298"/>
      <c r="G410" s="122" t="n">
        <f aca="false">IF(F410&gt;0,D410*F410,E410*D410)</f>
        <v>0</v>
      </c>
      <c r="H410" s="85" t="n">
        <f aca="false">D410*E410*$H$375</f>
        <v>0</v>
      </c>
      <c r="I410" s="2784" t="n">
        <f aca="false">IF(G410&gt;H410,G410,H410)*$H$375</f>
        <v>0</v>
      </c>
      <c r="J410" s="2744"/>
      <c r="K410" s="226" t="n">
        <f aca="false">D410-J410</f>
        <v>384</v>
      </c>
      <c r="L410" s="2788" t="s">
        <v>3729</v>
      </c>
      <c r="M410" s="2787"/>
    </row>
    <row r="411" customFormat="false" ht="15.5" hidden="false" customHeight="false" outlineLevel="0" collapsed="false">
      <c r="A411" s="2719"/>
      <c r="B411" s="298" t="str">
        <f aca="false">дома!BH1486</f>
        <v>Кровельный саморез</v>
      </c>
      <c r="C411" s="2765" t="str">
        <f aca="false">дома!BI1486</f>
        <v>шт.</v>
      </c>
      <c r="D411" s="122" t="n">
        <f aca="false">дома!BJ1486</f>
        <v>0</v>
      </c>
      <c r="E411" s="122" t="n">
        <f aca="false">дома!BK1486</f>
        <v>2</v>
      </c>
      <c r="F411" s="298"/>
      <c r="G411" s="122" t="n">
        <f aca="false">IF(F411&gt;0,D411*F411,E411*D411)</f>
        <v>0</v>
      </c>
      <c r="H411" s="85" t="n">
        <f aca="false">D411*E411*$H$375</f>
        <v>0</v>
      </c>
      <c r="I411" s="2784" t="n">
        <f aca="false">IF(G411&gt;H411,G411,H411)*$H$375</f>
        <v>0</v>
      </c>
      <c r="J411" s="2744"/>
      <c r="K411" s="226" t="n">
        <f aca="false">D411-J411</f>
        <v>0</v>
      </c>
      <c r="L411" s="2788" t="s">
        <v>3730</v>
      </c>
      <c r="M411" s="2787"/>
    </row>
    <row r="412" customFormat="false" ht="15.5" hidden="false" customHeight="false" outlineLevel="0" collapsed="false">
      <c r="A412" s="2719"/>
      <c r="B412" s="298" t="str">
        <f aca="false">дома!BH1487</f>
        <v>Саморезы 3,5 x 25</v>
      </c>
      <c r="C412" s="2765" t="str">
        <f aca="false">дома!BI1487</f>
        <v>шт.</v>
      </c>
      <c r="D412" s="122" t="n">
        <f aca="false">дома!BJ1487</f>
        <v>0</v>
      </c>
      <c r="E412" s="122" t="n">
        <f aca="false">дома!BK1487</f>
        <v>0.2</v>
      </c>
      <c r="F412" s="298"/>
      <c r="G412" s="122" t="n">
        <f aca="false">IF(F412&gt;0,D412*F412,E412*D412)</f>
        <v>0</v>
      </c>
      <c r="H412" s="85" t="n">
        <f aca="false">D412*E412*$H$375</f>
        <v>0</v>
      </c>
      <c r="I412" s="2784" t="n">
        <f aca="false">IF(G412&gt;H412,G412,H412)*$H$375</f>
        <v>0</v>
      </c>
      <c r="J412" s="2744"/>
      <c r="K412" s="226" t="n">
        <f aca="false">D412-J412</f>
        <v>0</v>
      </c>
      <c r="L412" s="2788" t="s">
        <v>3713</v>
      </c>
      <c r="M412" s="2787"/>
    </row>
    <row r="413" customFormat="false" ht="15.5" hidden="false" customHeight="false" outlineLevel="0" collapsed="false">
      <c r="A413" s="2719"/>
      <c r="B413" s="298" t="str">
        <f aca="false">дома!BH1488</f>
        <v>Саморезы 3,5 x 25</v>
      </c>
      <c r="C413" s="2765" t="str">
        <f aca="false">дома!BI1488</f>
        <v>шт.</v>
      </c>
      <c r="D413" s="122" t="n">
        <f aca="false">дома!BJ1488</f>
        <v>1200</v>
      </c>
      <c r="E413" s="122" t="n">
        <f aca="false">дома!BK1488</f>
        <v>0.2</v>
      </c>
      <c r="F413" s="298"/>
      <c r="G413" s="122" t="n">
        <f aca="false">IF(F413&gt;0,D413*F413,E413*D413)</f>
        <v>240</v>
      </c>
      <c r="H413" s="85" t="n">
        <f aca="false">D413*E413*$H$375</f>
        <v>0</v>
      </c>
      <c r="I413" s="2784" t="n">
        <f aca="false">IF(G413&gt;H413,G413,H413)*$H$375</f>
        <v>0</v>
      </c>
      <c r="J413" s="2744"/>
      <c r="K413" s="226" t="n">
        <f aca="false">D413-J413</f>
        <v>1200</v>
      </c>
      <c r="L413" s="2788" t="s">
        <v>3732</v>
      </c>
      <c r="M413" s="2787"/>
    </row>
    <row r="414" customFormat="false" ht="15.5" hidden="false" customHeight="false" outlineLevel="0" collapsed="false">
      <c r="A414" s="2719"/>
      <c r="B414" s="298" t="str">
        <f aca="false">дома!AQ1469</f>
        <v>ГПС 120х50-1,5</v>
      </c>
      <c r="C414" s="2765" t="str">
        <f aca="false">дома!AR1469</f>
        <v>м3</v>
      </c>
      <c r="D414" s="122" t="n">
        <f aca="false">дома!AS1469</f>
        <v>0</v>
      </c>
      <c r="E414" s="122" t="n">
        <f aca="false">дома!AT1469</f>
        <v>224</v>
      </c>
      <c r="F414" s="298"/>
      <c r="G414" s="122" t="n">
        <f aca="false">IF(F414&gt;0,D414*F414,E414*D414)</f>
        <v>0</v>
      </c>
      <c r="H414" s="85" t="n">
        <f aca="false">D414*E414*$H$375</f>
        <v>0</v>
      </c>
      <c r="I414" s="2784" t="n">
        <f aca="false">IF(G414&gt;H414,G414,H414)*$H$375</f>
        <v>0</v>
      </c>
      <c r="J414" s="2744"/>
      <c r="K414" s="226" t="n">
        <f aca="false">D414-J414</f>
        <v>0</v>
      </c>
      <c r="L414" s="2786" t="s">
        <v>3706</v>
      </c>
      <c r="M414" s="2787"/>
    </row>
    <row r="415" customFormat="false" ht="15.5" hidden="false" customHeight="false" outlineLevel="0" collapsed="false">
      <c r="A415" s="2719"/>
      <c r="B415" s="298" t="str">
        <f aca="false">дома!AQ1470</f>
        <v>ГПС 170х50-2,0</v>
      </c>
      <c r="C415" s="2765" t="str">
        <f aca="false">дома!AR1470</f>
        <v>м3</v>
      </c>
      <c r="D415" s="122" t="n">
        <f aca="false">дома!AS1470</f>
        <v>0</v>
      </c>
      <c r="E415" s="122" t="n">
        <f aca="false">дома!AT1470</f>
        <v>358</v>
      </c>
      <c r="F415" s="298"/>
      <c r="G415" s="122" t="n">
        <f aca="false">IF(F415&gt;0,D415*F415,E415*D415)</f>
        <v>0</v>
      </c>
      <c r="H415" s="85" t="n">
        <f aca="false">D415*E415*$H$375</f>
        <v>0</v>
      </c>
      <c r="I415" s="2784" t="n">
        <f aca="false">IF(G415&gt;H415,G415,H415)*$H$375</f>
        <v>0</v>
      </c>
      <c r="J415" s="2744"/>
      <c r="K415" s="226" t="n">
        <f aca="false">D415-J415</f>
        <v>0</v>
      </c>
      <c r="L415" s="2786" t="s">
        <v>3707</v>
      </c>
      <c r="M415" s="2787"/>
    </row>
    <row r="416" customFormat="false" ht="15.5" hidden="false" customHeight="false" outlineLevel="0" collapsed="false">
      <c r="A416" s="2719"/>
      <c r="B416" s="298" t="str">
        <f aca="false">дома!AQ1471</f>
        <v>Лист ГВЛВ 2500х1200х10 мм</v>
      </c>
      <c r="C416" s="2765" t="str">
        <f aca="false">дома!AR1471</f>
        <v>м2</v>
      </c>
      <c r="D416" s="122" t="n">
        <f aca="false">дома!AS1471</f>
        <v>100</v>
      </c>
      <c r="E416" s="122" t="n">
        <f aca="false">дома!AT1471</f>
        <v>150</v>
      </c>
      <c r="F416" s="298"/>
      <c r="G416" s="122" t="n">
        <f aca="false">IF(F416&gt;0,D416*F416,E416*D416)</f>
        <v>15000</v>
      </c>
      <c r="H416" s="85" t="n">
        <f aca="false">D416*E416*$H$375</f>
        <v>0</v>
      </c>
      <c r="I416" s="2784" t="n">
        <f aca="false">IF(G416&gt;H416,G416,H416)*$H$375</f>
        <v>0</v>
      </c>
      <c r="J416" s="2744"/>
      <c r="K416" s="226" t="n">
        <f aca="false">D416-J416</f>
        <v>100</v>
      </c>
      <c r="L416" s="2791" t="s">
        <v>2387</v>
      </c>
      <c r="M416" s="2787"/>
    </row>
    <row r="417" customFormat="false" ht="15.5" hidden="false" customHeight="false" outlineLevel="0" collapsed="false">
      <c r="A417" s="2719"/>
      <c r="B417" s="298" t="str">
        <f aca="false">дома!AQ1472</f>
        <v>нет</v>
      </c>
      <c r="C417" s="2765" t="str">
        <f aca="false">дома!AR1472</f>
        <v>м.п.</v>
      </c>
      <c r="D417" s="122" t="n">
        <f aca="false">дома!AS1472</f>
        <v>0</v>
      </c>
      <c r="E417" s="122" t="n">
        <f aca="false">дома!AT1472</f>
        <v>0</v>
      </c>
      <c r="F417" s="298"/>
      <c r="G417" s="122" t="n">
        <f aca="false">IF(F417&gt;0,D417*F417,E417*D417)</f>
        <v>0</v>
      </c>
      <c r="H417" s="85" t="n">
        <f aca="false">D417*E417*$H$375</f>
        <v>0</v>
      </c>
      <c r="I417" s="2784" t="n">
        <f aca="false">IF(G417&gt;H417,G417,H417)*$H$375</f>
        <v>0</v>
      </c>
      <c r="J417" s="2744"/>
      <c r="K417" s="226" t="n">
        <f aca="false">D417-J417</f>
        <v>0</v>
      </c>
      <c r="L417" s="822" t="s">
        <v>2390</v>
      </c>
      <c r="M417" s="2787"/>
    </row>
    <row r="418" customFormat="false" ht="15.5" hidden="false" customHeight="false" outlineLevel="0" collapsed="false">
      <c r="A418" s="2719"/>
      <c r="B418" s="298" t="str">
        <f aca="false">дома!AQ1473</f>
        <v>Нет</v>
      </c>
      <c r="C418" s="2765" t="str">
        <f aca="false">дома!AR1473</f>
        <v>м3</v>
      </c>
      <c r="D418" s="122" t="n">
        <f aca="false">дома!AS1473</f>
        <v>0</v>
      </c>
      <c r="E418" s="122" t="n">
        <f aca="false">дома!AT1473</f>
        <v>0</v>
      </c>
      <c r="F418" s="298"/>
      <c r="G418" s="122" t="n">
        <f aca="false">IF(F418&gt;0,D418*F418,E418*D418)</f>
        <v>0</v>
      </c>
      <c r="H418" s="85" t="n">
        <f aca="false">D418*E418*$H$375</f>
        <v>0</v>
      </c>
      <c r="I418" s="2784" t="n">
        <f aca="false">IF(G418&gt;H418,G418,H418)*$H$375</f>
        <v>0</v>
      </c>
      <c r="J418" s="2744"/>
      <c r="K418" s="226" t="n">
        <f aca="false">D418-J418</f>
        <v>0</v>
      </c>
      <c r="L418" s="2791" t="s">
        <v>2234</v>
      </c>
      <c r="M418" s="2787"/>
    </row>
    <row r="419" customFormat="false" ht="15.5" hidden="false" customHeight="false" outlineLevel="0" collapsed="false">
      <c r="A419" s="2719"/>
      <c r="B419" s="298" t="str">
        <f aca="false">дома!AQ1474</f>
        <v>Нет</v>
      </c>
      <c r="C419" s="2765" t="str">
        <f aca="false">дома!AR1474</f>
        <v>м3</v>
      </c>
      <c r="D419" s="122" t="n">
        <f aca="false">дома!AS1474</f>
        <v>0</v>
      </c>
      <c r="E419" s="122" t="n">
        <f aca="false">дома!AT1474</f>
        <v>0</v>
      </c>
      <c r="F419" s="298"/>
      <c r="G419" s="122" t="n">
        <f aca="false">IF(F419&gt;0,D419*F419,E419*D419)</f>
        <v>0</v>
      </c>
      <c r="H419" s="85" t="n">
        <f aca="false">D419*E419*$H$375</f>
        <v>0</v>
      </c>
      <c r="I419" s="2784" t="n">
        <f aca="false">IF(G419&gt;H419,G419,H419)*$H$375</f>
        <v>0</v>
      </c>
      <c r="J419" s="2744"/>
      <c r="K419" s="226" t="n">
        <f aca="false">D419-J419</f>
        <v>0</v>
      </c>
      <c r="L419" s="2791" t="s">
        <v>2384</v>
      </c>
      <c r="M419" s="2787"/>
    </row>
    <row r="420" customFormat="false" ht="15.5" hidden="false" customHeight="false" outlineLevel="0" collapsed="false">
      <c r="A420" s="2719"/>
      <c r="B420" s="298" t="str">
        <f aca="false">дома!AQ1475</f>
        <v>нет</v>
      </c>
      <c r="C420" s="2765" t="str">
        <f aca="false">дома!AR1475</f>
        <v>м2</v>
      </c>
      <c r="D420" s="122" t="n">
        <f aca="false">дома!AS1475</f>
        <v>0</v>
      </c>
      <c r="E420" s="122" t="n">
        <f aca="false">дома!AT1475</f>
        <v>0</v>
      </c>
      <c r="F420" s="298"/>
      <c r="G420" s="122" t="n">
        <f aca="false">IF(F420&gt;0,D420*F420,E420*D420)</f>
        <v>0</v>
      </c>
      <c r="H420" s="85" t="n">
        <f aca="false">D420*E420*$H$375</f>
        <v>0</v>
      </c>
      <c r="I420" s="2784" t="n">
        <f aca="false">IF(G420&gt;H420,G420,H420)*$H$375</f>
        <v>0</v>
      </c>
      <c r="J420" s="2744"/>
      <c r="K420" s="226" t="n">
        <f aca="false">D420-J420</f>
        <v>0</v>
      </c>
      <c r="L420" s="822" t="s">
        <v>2062</v>
      </c>
      <c r="M420" s="2787"/>
    </row>
    <row r="421" customFormat="false" ht="15.5" hidden="false" customHeight="false" outlineLevel="0" collapsed="false">
      <c r="A421" s="2719"/>
      <c r="B421" s="298" t="str">
        <f aca="false">дома!AQ1476</f>
        <v>нет</v>
      </c>
      <c r="C421" s="2765" t="str">
        <f aca="false">дома!AR1476</f>
        <v>м2</v>
      </c>
      <c r="D421" s="122" t="n">
        <f aca="false">дома!AS1476</f>
        <v>0</v>
      </c>
      <c r="E421" s="122" t="n">
        <f aca="false">дома!AT1476</f>
        <v>0</v>
      </c>
      <c r="F421" s="298"/>
      <c r="G421" s="122" t="n">
        <f aca="false">IF(F421&gt;0,D421*F421,E421*D421)</f>
        <v>0</v>
      </c>
      <c r="H421" s="85" t="n">
        <f aca="false">D421*E421*$H$375</f>
        <v>0</v>
      </c>
      <c r="I421" s="2784" t="n">
        <f aca="false">IF(G421&gt;H421,G421,H421)*$H$375</f>
        <v>0</v>
      </c>
      <c r="J421" s="2744"/>
      <c r="K421" s="226" t="n">
        <f aca="false">D421-J421</f>
        <v>0</v>
      </c>
      <c r="L421" s="2791" t="s">
        <v>3711</v>
      </c>
      <c r="M421" s="2787"/>
    </row>
    <row r="422" customFormat="false" ht="15.5" hidden="false" customHeight="false" outlineLevel="0" collapsed="false">
      <c r="A422" s="2719"/>
      <c r="B422" s="298" t="str">
        <f aca="false">дома!AQ1477</f>
        <v>нет</v>
      </c>
      <c r="C422" s="2765" t="str">
        <f aca="false">дома!AR1477</f>
        <v>м2</v>
      </c>
      <c r="D422" s="122" t="n">
        <f aca="false">дома!AS1477</f>
        <v>0</v>
      </c>
      <c r="E422" s="122" t="n">
        <f aca="false">дома!AT1477</f>
        <v>0</v>
      </c>
      <c r="F422" s="298"/>
      <c r="G422" s="122" t="n">
        <f aca="false">IF(F422&gt;0,D422*F422,E422*D422)</f>
        <v>0</v>
      </c>
      <c r="H422" s="85" t="n">
        <f aca="false">D422*E422*$H$375</f>
        <v>0</v>
      </c>
      <c r="I422" s="2784" t="n">
        <f aca="false">IF(G422&gt;H422,G422,H422)*$H$375</f>
        <v>0</v>
      </c>
      <c r="J422" s="2744"/>
      <c r="K422" s="226" t="n">
        <f aca="false">D422-J422</f>
        <v>0</v>
      </c>
      <c r="L422" s="2791" t="s">
        <v>3712</v>
      </c>
      <c r="M422" s="2787"/>
    </row>
    <row r="423" customFormat="false" ht="15.5" hidden="false" customHeight="false" outlineLevel="0" collapsed="false">
      <c r="A423" s="2719"/>
      <c r="B423" s="298" t="str">
        <f aca="false">дома!AQ1478</f>
        <v>Саморезы 3,5 x 25</v>
      </c>
      <c r="C423" s="2765" t="str">
        <f aca="false">дома!AR1478</f>
        <v>шт</v>
      </c>
      <c r="D423" s="122" t="n">
        <f aca="false">дома!AS1478</f>
        <v>0</v>
      </c>
      <c r="E423" s="122" t="n">
        <f aca="false">дома!AT1478</f>
        <v>0.2</v>
      </c>
      <c r="F423" s="298"/>
      <c r="G423" s="122" t="n">
        <f aca="false">IF(F423&gt;0,D423*F423,E423*D423)</f>
        <v>0</v>
      </c>
      <c r="H423" s="85" t="n">
        <f aca="false">D423*E423*$H$375</f>
        <v>0</v>
      </c>
      <c r="I423" s="2784" t="n">
        <f aca="false">IF(G423&gt;H423,G423,H423)*$H$375</f>
        <v>0</v>
      </c>
      <c r="J423" s="2744"/>
      <c r="K423" s="226" t="n">
        <f aca="false">D423-J423</f>
        <v>0</v>
      </c>
      <c r="L423" s="2791" t="s">
        <v>3713</v>
      </c>
      <c r="M423" s="2787"/>
    </row>
    <row r="424" customFormat="false" ht="15.5" hidden="false" customHeight="false" outlineLevel="0" collapsed="false">
      <c r="A424" s="2719"/>
      <c r="B424" s="298" t="str">
        <f aca="false">дома!AQ1479</f>
        <v>Гвозди ершоные 2,8 х 90</v>
      </c>
      <c r="C424" s="2765" t="str">
        <f aca="false">дома!AR1479</f>
        <v>кг</v>
      </c>
      <c r="D424" s="122" t="n">
        <f aca="false">дома!AS1479</f>
        <v>0</v>
      </c>
      <c r="E424" s="122" t="n">
        <f aca="false">дома!AT1479</f>
        <v>76.49</v>
      </c>
      <c r="F424" s="298"/>
      <c r="G424" s="122" t="n">
        <f aca="false">IF(F424&gt;0,D424*F424,E424*D424)</f>
        <v>0</v>
      </c>
      <c r="H424" s="85" t="n">
        <f aca="false">D424*E424*$H$375</f>
        <v>0</v>
      </c>
      <c r="I424" s="2784" t="n">
        <f aca="false">IF(G424&gt;H424,G424,H424)*$H$375</f>
        <v>0</v>
      </c>
      <c r="J424" s="2744"/>
      <c r="K424" s="226" t="n">
        <f aca="false">D424-J424</f>
        <v>0</v>
      </c>
      <c r="L424" s="2792"/>
      <c r="M424" s="2787"/>
    </row>
    <row r="425" customFormat="false" ht="15.5" hidden="false" customHeight="false" outlineLevel="0" collapsed="false">
      <c r="A425" s="2719"/>
      <c r="B425" s="298" t="str">
        <f aca="false">дома!AQ1480</f>
        <v>Гвозди ершоные 3,4 x 60</v>
      </c>
      <c r="C425" s="2765" t="str">
        <f aca="false">дома!AR1480</f>
        <v>кг</v>
      </c>
      <c r="D425" s="122" t="n">
        <f aca="false">дома!AS1480</f>
        <v>0</v>
      </c>
      <c r="E425" s="122" t="n">
        <f aca="false">дома!AT1480</f>
        <v>75.51</v>
      </c>
      <c r="F425" s="298"/>
      <c r="G425" s="122" t="n">
        <f aca="false">IF(F425&gt;0,D425*F425,E425*D425)</f>
        <v>0</v>
      </c>
      <c r="H425" s="85" t="n">
        <f aca="false">D425*E425*$H$375</f>
        <v>0</v>
      </c>
      <c r="I425" s="2784" t="n">
        <f aca="false">IF(G425&gt;H425,G425,H425)*$H$375</f>
        <v>0</v>
      </c>
      <c r="J425" s="2744"/>
      <c r="K425" s="226" t="n">
        <f aca="false">D425-J425</f>
        <v>0</v>
      </c>
      <c r="L425" s="2792"/>
      <c r="M425" s="2787"/>
    </row>
    <row r="426" customFormat="false" ht="15.5" hidden="false" customHeight="false" outlineLevel="0" collapsed="false">
      <c r="A426" s="2719"/>
      <c r="B426" s="298" t="str">
        <f aca="false">дома!AQ1481</f>
        <v>нет ветроизоляции</v>
      </c>
      <c r="C426" s="2765" t="str">
        <f aca="false">дома!AR1481</f>
        <v>м2</v>
      </c>
      <c r="D426" s="122" t="n">
        <f aca="false">дома!AS1481</f>
        <v>0</v>
      </c>
      <c r="E426" s="122" t="n">
        <f aca="false">дома!AT1481</f>
        <v>0</v>
      </c>
      <c r="F426" s="298"/>
      <c r="G426" s="122" t="n">
        <f aca="false">IF(F426&gt;0,D426*F426,E426*D426)</f>
        <v>0</v>
      </c>
      <c r="H426" s="85" t="n">
        <f aca="false">D426*E426*$H$375</f>
        <v>0</v>
      </c>
      <c r="I426" s="2784" t="n">
        <f aca="false">IF(G426&gt;H426,G426,H426)*$H$375</f>
        <v>0</v>
      </c>
      <c r="J426" s="2744"/>
      <c r="K426" s="226" t="n">
        <f aca="false">D426-J426</f>
        <v>0</v>
      </c>
      <c r="L426" s="2791" t="s">
        <v>3717</v>
      </c>
      <c r="M426" s="2787"/>
    </row>
    <row r="427" customFormat="false" ht="15.5" hidden="false" customHeight="false" outlineLevel="0" collapsed="false">
      <c r="A427" s="2719"/>
      <c r="B427" s="298" t="str">
        <f aca="false">дома!AQ1482</f>
        <v>нет пароизоляции</v>
      </c>
      <c r="C427" s="2765" t="str">
        <f aca="false">дома!AR1482</f>
        <v>м2</v>
      </c>
      <c r="D427" s="122" t="n">
        <f aca="false">дома!AS1482</f>
        <v>0</v>
      </c>
      <c r="E427" s="122" t="n">
        <f aca="false">дома!AT1482</f>
        <v>0</v>
      </c>
      <c r="F427" s="298"/>
      <c r="G427" s="122" t="n">
        <f aca="false">IF(F427&gt;0,D427*F427,E427*D427)</f>
        <v>0</v>
      </c>
      <c r="H427" s="85" t="n">
        <f aca="false">D427*E427*$H$375</f>
        <v>0</v>
      </c>
      <c r="I427" s="2784" t="n">
        <f aca="false">IF(G427&gt;H427,G427,H427)*$H$375</f>
        <v>0</v>
      </c>
      <c r="J427" s="2744"/>
      <c r="K427" s="226" t="n">
        <f aca="false">D427-J427</f>
        <v>0</v>
      </c>
      <c r="L427" s="2791" t="s">
        <v>3721</v>
      </c>
      <c r="M427" s="2787"/>
    </row>
    <row r="428" customFormat="false" ht="15.5" hidden="false" customHeight="false" outlineLevel="0" collapsed="false">
      <c r="A428" s="2719"/>
      <c r="B428" s="298" t="str">
        <f aca="false">дома!AQ1483</f>
        <v>Скобы для степлера, 1000шт/уп</v>
      </c>
      <c r="C428" s="2765" t="str">
        <f aca="false">дома!AR1483</f>
        <v>уп</v>
      </c>
      <c r="D428" s="122" t="n">
        <f aca="false">дома!AS1483</f>
        <v>5</v>
      </c>
      <c r="E428" s="122" t="n">
        <f aca="false">дома!AT1483</f>
        <v>100</v>
      </c>
      <c r="F428" s="298"/>
      <c r="G428" s="122" t="n">
        <f aca="false">IF(F428&gt;0,D428*F428,E428*D428)</f>
        <v>500</v>
      </c>
      <c r="H428" s="85" t="n">
        <f aca="false">D428*E428*$H$375</f>
        <v>0</v>
      </c>
      <c r="I428" s="2784" t="n">
        <f aca="false">IF(G428&gt;H428,G428,H428)*$H$375</f>
        <v>0</v>
      </c>
      <c r="J428" s="2744"/>
      <c r="K428" s="226" t="n">
        <f aca="false">D428-J428</f>
        <v>5</v>
      </c>
      <c r="L428" s="2792"/>
      <c r="M428" s="2787"/>
    </row>
    <row r="429" customFormat="false" ht="15.5" hidden="false" customHeight="false" outlineLevel="0" collapsed="false">
      <c r="A429" s="2719"/>
      <c r="B429" s="2748" t="s">
        <v>4640</v>
      </c>
      <c r="C429" s="2748"/>
      <c r="D429" s="2748"/>
      <c r="E429" s="2748"/>
      <c r="F429" s="298"/>
      <c r="G429" s="122" t="n">
        <f aca="false">SUM(G377:G428)*H375</f>
        <v>0</v>
      </c>
      <c r="H429" s="85" t="n">
        <f aca="false">D429*E429*$H$375</f>
        <v>0</v>
      </c>
      <c r="I429" s="2784" t="n">
        <f aca="false">IF(G429&gt;H429,G429,H429)*$H$375</f>
        <v>0</v>
      </c>
      <c r="J429" s="2744"/>
      <c r="K429" s="226" t="n">
        <f aca="false">D429-J429</f>
        <v>0</v>
      </c>
      <c r="L429" s="2792"/>
      <c r="M429" s="2787"/>
    </row>
    <row r="430" customFormat="false" ht="15.5" hidden="false" customHeight="false" outlineLevel="0" collapsed="false">
      <c r="A430" s="2719"/>
      <c r="B430" s="2750" t="s">
        <v>1409</v>
      </c>
      <c r="C430" s="2750"/>
      <c r="D430" s="2750"/>
      <c r="E430" s="2750"/>
      <c r="F430" s="2798"/>
      <c r="G430" s="905"/>
      <c r="H430" s="2799" t="n">
        <f aca="false">H375</f>
        <v>0</v>
      </c>
      <c r="I430" s="2757" t="n">
        <f aca="false">H430</f>
        <v>0</v>
      </c>
      <c r="J430" s="2800"/>
      <c r="K430" s="2753"/>
      <c r="L430" s="296"/>
      <c r="M430" s="2736"/>
    </row>
    <row r="431" customFormat="false" ht="15.5" hidden="false" customHeight="false" outlineLevel="0" collapsed="false">
      <c r="A431" s="2719"/>
      <c r="B431" s="298" t="str">
        <f aca="false">дома!AQ1434</f>
        <v>монтаж обвязки</v>
      </c>
      <c r="C431" s="2765" t="s">
        <v>156</v>
      </c>
      <c r="D431" s="122" t="n">
        <f aca="false">дома!AR1434</f>
        <v>0</v>
      </c>
      <c r="E431" s="298" t="n">
        <f aca="false">дома!AS1434</f>
        <v>200</v>
      </c>
      <c r="F431" s="298"/>
      <c r="G431" s="122" t="n">
        <f aca="false">IF(F431&gt;0,D431*F431,E431*D431)</f>
        <v>0</v>
      </c>
      <c r="H431" s="85" t="n">
        <f aca="false">D431*E431*$H$430</f>
        <v>0</v>
      </c>
      <c r="I431" s="2718" t="n">
        <f aca="false">IF(G431&gt;H431,G431,H431)*$H$375</f>
        <v>0</v>
      </c>
      <c r="J431" s="2800"/>
      <c r="K431" s="2719"/>
      <c r="L431" s="296"/>
      <c r="M431" s="2736"/>
    </row>
    <row r="432" customFormat="false" ht="15.5" hidden="false" customHeight="false" outlineLevel="0" collapsed="false">
      <c r="A432" s="2719"/>
      <c r="B432" s="298" t="str">
        <f aca="false">дома!AQ1435</f>
        <v>монтаж стен каркаса</v>
      </c>
      <c r="C432" s="2765" t="s">
        <v>133</v>
      </c>
      <c r="D432" s="122" t="n">
        <f aca="false">дома!AR1435</f>
        <v>0</v>
      </c>
      <c r="E432" s="298" t="n">
        <f aca="false">дома!AS1435</f>
        <v>400</v>
      </c>
      <c r="F432" s="298"/>
      <c r="G432" s="122" t="n">
        <f aca="false">IF(F432&gt;0,D432*F432,E432*D432)</f>
        <v>0</v>
      </c>
      <c r="H432" s="85" t="n">
        <f aca="false">D432*E432*$H$430</f>
        <v>0</v>
      </c>
      <c r="I432" s="2718" t="n">
        <f aca="false">IF(G432&gt;H432,G432,H432)*$H$375</f>
        <v>0</v>
      </c>
      <c r="J432" s="2800"/>
      <c r="K432" s="2719"/>
      <c r="L432" s="296"/>
      <c r="M432" s="2736"/>
    </row>
    <row r="433" customFormat="false" ht="15.5" hidden="false" customHeight="false" outlineLevel="0" collapsed="false">
      <c r="A433" s="2719"/>
      <c r="B433" s="298" t="str">
        <f aca="false">дома!AQ1436</f>
        <v>Монтаж несущих перегородок</v>
      </c>
      <c r="C433" s="2765" t="s">
        <v>133</v>
      </c>
      <c r="D433" s="122" t="n">
        <f aca="false">дома!AR1436</f>
        <v>0</v>
      </c>
      <c r="E433" s="298" t="n">
        <f aca="false">дома!AS1436</f>
        <v>400</v>
      </c>
      <c r="F433" s="298"/>
      <c r="G433" s="122" t="n">
        <f aca="false">IF(F433&gt;0,D433*F433,E433*D433)</f>
        <v>0</v>
      </c>
      <c r="H433" s="85" t="n">
        <f aca="false">D433*E433*$H$430</f>
        <v>0</v>
      </c>
      <c r="I433" s="2718" t="n">
        <f aca="false">IF(G433&gt;H433,G433,H433)*$H$375</f>
        <v>0</v>
      </c>
      <c r="J433" s="2800"/>
      <c r="K433" s="2719"/>
      <c r="L433" s="296"/>
      <c r="M433" s="2736"/>
    </row>
    <row r="434" customFormat="false" ht="15.5" hidden="false" customHeight="false" outlineLevel="0" collapsed="false">
      <c r="A434" s="2719"/>
      <c r="B434" s="298" t="str">
        <f aca="false">дома!AQ1437</f>
        <v>Монтаж перегородок</v>
      </c>
      <c r="C434" s="2765" t="s">
        <v>133</v>
      </c>
      <c r="D434" s="122" t="n">
        <f aca="false">дома!AR1437</f>
        <v>0</v>
      </c>
      <c r="E434" s="298" t="n">
        <f aca="false">дома!AS1437</f>
        <v>400</v>
      </c>
      <c r="F434" s="298"/>
      <c r="G434" s="122" t="n">
        <f aca="false">IF(F434&gt;0,D434*F434,E434*D434)</f>
        <v>0</v>
      </c>
      <c r="H434" s="85" t="n">
        <f aca="false">D434*E434*$H$430</f>
        <v>0</v>
      </c>
      <c r="I434" s="2718" t="n">
        <f aca="false">IF(G434&gt;H434,G434,H434)*$H$375</f>
        <v>0</v>
      </c>
      <c r="J434" s="2800"/>
      <c r="K434" s="2719"/>
      <c r="L434" s="296"/>
      <c r="M434" s="2736"/>
    </row>
    <row r="435" customFormat="false" ht="15.5" hidden="false" customHeight="false" outlineLevel="0" collapsed="false">
      <c r="A435" s="2719"/>
      <c r="B435" s="298" t="str">
        <f aca="false">дома!AQ1438</f>
        <v>Монтаж вентиляционного зазора</v>
      </c>
      <c r="C435" s="2765" t="s">
        <v>133</v>
      </c>
      <c r="D435" s="122" t="n">
        <f aca="false">дома!AR1438</f>
        <v>0</v>
      </c>
      <c r="E435" s="298" t="n">
        <f aca="false">дома!AS1438</f>
        <v>80</v>
      </c>
      <c r="F435" s="298"/>
      <c r="G435" s="122" t="n">
        <f aca="false">IF(F435&gt;0,D435*F435,E435*D435)</f>
        <v>0</v>
      </c>
      <c r="H435" s="85" t="n">
        <f aca="false">D435*E435*$H$430</f>
        <v>0</v>
      </c>
      <c r="I435" s="2718" t="n">
        <f aca="false">IF(G435&gt;H435,G435,H435)*$H$375</f>
        <v>0</v>
      </c>
      <c r="J435" s="2800"/>
      <c r="K435" s="2719"/>
      <c r="L435" s="296"/>
      <c r="M435" s="2736"/>
    </row>
    <row r="436" customFormat="false" ht="15.5" hidden="false" customHeight="false" outlineLevel="0" collapsed="false">
      <c r="A436" s="2719"/>
      <c r="B436" s="298" t="str">
        <f aca="false">дома!AQ1439</f>
        <v>Монтаж технологического зазора</v>
      </c>
      <c r="C436" s="2765" t="s">
        <v>133</v>
      </c>
      <c r="D436" s="122" t="n">
        <f aca="false">дома!AR1439</f>
        <v>0</v>
      </c>
      <c r="E436" s="298" t="n">
        <f aca="false">дома!AS1439</f>
        <v>80</v>
      </c>
      <c r="F436" s="298"/>
      <c r="G436" s="122" t="n">
        <f aca="false">IF(F436&gt;0,D436*F436,E436*D436)</f>
        <v>0</v>
      </c>
      <c r="H436" s="85" t="n">
        <f aca="false">D436*E436*$H$430</f>
        <v>0</v>
      </c>
      <c r="I436" s="2718" t="n">
        <f aca="false">IF(G436&gt;H436,G436,H436)*$H$375</f>
        <v>0</v>
      </c>
      <c r="J436" s="2800"/>
      <c r="K436" s="2719"/>
      <c r="L436" s="296"/>
      <c r="M436" s="2736"/>
    </row>
    <row r="437" customFormat="false" ht="15.5" hidden="false" customHeight="false" outlineLevel="0" collapsed="false">
      <c r="A437" s="2719"/>
      <c r="B437" s="298" t="str">
        <f aca="false">дома!AQ1440</f>
        <v>монтаж ветроизоляции стен</v>
      </c>
      <c r="C437" s="2765" t="s">
        <v>133</v>
      </c>
      <c r="D437" s="122" t="n">
        <f aca="false">дома!AR1440</f>
        <v>0</v>
      </c>
      <c r="E437" s="298" t="n">
        <f aca="false">дома!AS1440</f>
        <v>100</v>
      </c>
      <c r="F437" s="298"/>
      <c r="G437" s="122" t="n">
        <f aca="false">IF(F437&gt;0,D437*F437,E437*D437)</f>
        <v>0</v>
      </c>
      <c r="H437" s="85" t="n">
        <f aca="false">D437*E437*$H$430</f>
        <v>0</v>
      </c>
      <c r="I437" s="2718" t="n">
        <f aca="false">IF(G437&gt;H437,G437,H437)*$H$375</f>
        <v>0</v>
      </c>
      <c r="J437" s="2800"/>
      <c r="K437" s="2719"/>
      <c r="L437" s="296"/>
      <c r="M437" s="2736"/>
    </row>
    <row r="438" customFormat="false" ht="15.5" hidden="false" customHeight="false" outlineLevel="0" collapsed="false">
      <c r="A438" s="2719"/>
      <c r="B438" s="298" t="str">
        <f aca="false">дома!AQ1441</f>
        <v>монтаж пароизоляции стен</v>
      </c>
      <c r="C438" s="2765" t="s">
        <v>133</v>
      </c>
      <c r="D438" s="122" t="n">
        <f aca="false">дома!AR1441</f>
        <v>0</v>
      </c>
      <c r="E438" s="298" t="n">
        <f aca="false">дома!AS1441</f>
        <v>100</v>
      </c>
      <c r="F438" s="298"/>
      <c r="G438" s="122" t="n">
        <f aca="false">IF(F438&gt;0,D438*F438,E438*D438)</f>
        <v>0</v>
      </c>
      <c r="H438" s="85" t="n">
        <f aca="false">D438*E438*$H$430</f>
        <v>0</v>
      </c>
      <c r="I438" s="2718" t="n">
        <f aca="false">IF(G438&gt;H438,G438,H438)*$H$375</f>
        <v>0</v>
      </c>
      <c r="J438" s="2800"/>
      <c r="K438" s="2719"/>
      <c r="L438" s="296"/>
      <c r="M438" s="2736"/>
    </row>
    <row r="439" customFormat="false" ht="15.5" hidden="false" customHeight="false" outlineLevel="0" collapsed="false">
      <c r="A439" s="2719"/>
      <c r="B439" s="298" t="str">
        <f aca="false">дома!AQ1442</f>
        <v>монтаж osb/фанера наруж стены</v>
      </c>
      <c r="C439" s="2765" t="s">
        <v>133</v>
      </c>
      <c r="D439" s="122" t="n">
        <f aca="false">дома!AR1442</f>
        <v>0</v>
      </c>
      <c r="E439" s="298" t="n">
        <f aca="false">дома!AS1442</f>
        <v>200</v>
      </c>
      <c r="F439" s="298"/>
      <c r="G439" s="122" t="n">
        <f aca="false">IF(F439&gt;0,D439*F439,E439*D439)</f>
        <v>0</v>
      </c>
      <c r="H439" s="85" t="n">
        <f aca="false">D439*E439*$H$430</f>
        <v>0</v>
      </c>
      <c r="I439" s="2718" t="n">
        <f aca="false">IF(G439&gt;H439,G439,H439)*$H$375</f>
        <v>0</v>
      </c>
      <c r="J439" s="2800"/>
      <c r="K439" s="2719"/>
      <c r="L439" s="296"/>
      <c r="M439" s="2736"/>
    </row>
    <row r="440" customFormat="false" ht="15.5" hidden="false" customHeight="false" outlineLevel="0" collapsed="false">
      <c r="A440" s="2719"/>
      <c r="B440" s="298" t="str">
        <f aca="false">дома!AQ1443</f>
        <v>монтаж osb/фанера потолок</v>
      </c>
      <c r="C440" s="2765" t="s">
        <v>133</v>
      </c>
      <c r="D440" s="122" t="n">
        <f aca="false">дома!AR1443</f>
        <v>0</v>
      </c>
      <c r="E440" s="298" t="n">
        <f aca="false">дома!AS1443</f>
        <v>200</v>
      </c>
      <c r="F440" s="298"/>
      <c r="G440" s="122" t="n">
        <f aca="false">IF(F440&gt;0,D440*F440,E440*D440)</f>
        <v>0</v>
      </c>
      <c r="H440" s="85" t="n">
        <f aca="false">D440*E440*$H$430</f>
        <v>0</v>
      </c>
      <c r="I440" s="2718" t="n">
        <f aca="false">IF(G440&gt;H440,G440,H440)*$H$375</f>
        <v>0</v>
      </c>
      <c r="J440" s="2800"/>
      <c r="K440" s="2719"/>
      <c r="L440" s="296"/>
      <c r="M440" s="2736"/>
    </row>
    <row r="441" customFormat="false" ht="15.5" hidden="false" customHeight="false" outlineLevel="0" collapsed="false">
      <c r="A441" s="2719"/>
      <c r="B441" s="298" t="str">
        <f aca="false">дома!AQ1444</f>
        <v>монтаж osb/фанера перегородки</v>
      </c>
      <c r="C441" s="2765" t="s">
        <v>133</v>
      </c>
      <c r="D441" s="122" t="n">
        <f aca="false">дома!AR1444</f>
        <v>0</v>
      </c>
      <c r="E441" s="298" t="n">
        <f aca="false">дома!AS1444</f>
        <v>200</v>
      </c>
      <c r="F441" s="298"/>
      <c r="G441" s="122" t="n">
        <f aca="false">IF(F441&gt;0,D441*F441,E441*D441)</f>
        <v>0</v>
      </c>
      <c r="H441" s="85" t="n">
        <f aca="false">D441*E441*$H$430</f>
        <v>0</v>
      </c>
      <c r="I441" s="2718" t="n">
        <f aca="false">IF(G441&gt;H441,G441,H441)*$H$375</f>
        <v>0</v>
      </c>
      <c r="J441" s="2800"/>
      <c r="K441" s="2719"/>
      <c r="L441" s="296"/>
      <c r="M441" s="2736"/>
    </row>
    <row r="442" customFormat="false" ht="15.5" hidden="false" customHeight="false" outlineLevel="0" collapsed="false">
      <c r="A442" s="2719"/>
      <c r="B442" s="298" t="str">
        <f aca="false">дома!AQ1445</f>
        <v>монтаж osb/фанера пол</v>
      </c>
      <c r="C442" s="2765" t="s">
        <v>133</v>
      </c>
      <c r="D442" s="122" t="n">
        <f aca="false">дома!AR1445</f>
        <v>100</v>
      </c>
      <c r="E442" s="298" t="n">
        <f aca="false">дома!AS1445</f>
        <v>200</v>
      </c>
      <c r="F442" s="298"/>
      <c r="G442" s="122" t="n">
        <f aca="false">IF(F442&gt;0,D442*F442,E442*D442)</f>
        <v>20000</v>
      </c>
      <c r="H442" s="85" t="n">
        <f aca="false">D442*E442*$H$430</f>
        <v>0</v>
      </c>
      <c r="I442" s="2718" t="n">
        <f aca="false">IF(G442&gt;H442,G442,H442)*$H$375</f>
        <v>0</v>
      </c>
      <c r="J442" s="2800"/>
      <c r="K442" s="2719"/>
      <c r="L442" s="296"/>
      <c r="M442" s="2736"/>
    </row>
    <row r="443" customFormat="false" ht="15.5" hidden="false" customHeight="false" outlineLevel="0" collapsed="false">
      <c r="A443" s="2719"/>
      <c r="B443" s="298" t="str">
        <f aca="false">дома!AQ1446</f>
        <v>утепление наружних стен</v>
      </c>
      <c r="C443" s="2765" t="s">
        <v>133</v>
      </c>
      <c r="D443" s="122" t="n">
        <f aca="false">дома!AR1446</f>
        <v>0</v>
      </c>
      <c r="E443" s="298" t="n">
        <f aca="false">дома!AS1446</f>
        <v>200</v>
      </c>
      <c r="F443" s="298"/>
      <c r="G443" s="122" t="n">
        <f aca="false">IF(F443&gt;0,D443*F443,E443*D443)</f>
        <v>0</v>
      </c>
      <c r="H443" s="85" t="n">
        <f aca="false">D443*E443*$H$430</f>
        <v>0</v>
      </c>
      <c r="I443" s="2718" t="n">
        <f aca="false">IF(G443&gt;H443,G443,H443)*$H$375</f>
        <v>0</v>
      </c>
      <c r="J443" s="2800"/>
      <c r="K443" s="2719"/>
      <c r="L443" s="296"/>
      <c r="M443" s="2736"/>
    </row>
    <row r="444" customFormat="false" ht="15.5" hidden="false" customHeight="false" outlineLevel="0" collapsed="false">
      <c r="A444" s="2719"/>
      <c r="B444" s="298" t="str">
        <f aca="false">дома!AQ1447</f>
        <v>Утепление перегородок</v>
      </c>
      <c r="C444" s="2765" t="s">
        <v>133</v>
      </c>
      <c r="D444" s="122" t="n">
        <f aca="false">дома!AR1447</f>
        <v>0</v>
      </c>
      <c r="E444" s="298" t="n">
        <f aca="false">дома!AS1447</f>
        <v>200</v>
      </c>
      <c r="F444" s="298"/>
      <c r="G444" s="122" t="n">
        <f aca="false">IF(F444&gt;0,D444*F444,E444*D444)</f>
        <v>0</v>
      </c>
      <c r="H444" s="85" t="n">
        <f aca="false">D444*E444*$H$430</f>
        <v>0</v>
      </c>
      <c r="I444" s="2718" t="n">
        <f aca="false">IF(G444&gt;H444,G444,H444)*$H$375</f>
        <v>0</v>
      </c>
      <c r="J444" s="2800"/>
      <c r="K444" s="2719"/>
      <c r="L444" s="296"/>
      <c r="M444" s="2736"/>
    </row>
    <row r="445" customFormat="false" ht="15.5" hidden="false" customHeight="false" outlineLevel="0" collapsed="false">
      <c r="A445" s="2719"/>
      <c r="B445" s="298" t="str">
        <f aca="false">дома!AQ1448</f>
        <v>Монтаж горизонтальной обрешетки</v>
      </c>
      <c r="C445" s="2765" t="s">
        <v>133</v>
      </c>
      <c r="D445" s="122" t="n">
        <f aca="false">дома!AR1448</f>
        <v>0</v>
      </c>
      <c r="E445" s="298" t="n">
        <f aca="false">дома!AS1448</f>
        <v>100</v>
      </c>
      <c r="F445" s="298"/>
      <c r="G445" s="122" t="n">
        <f aca="false">IF(F445&gt;0,D445*F445,E445*D445)</f>
        <v>0</v>
      </c>
      <c r="H445" s="85" t="n">
        <f aca="false">D445*E445*$H$430</f>
        <v>0</v>
      </c>
      <c r="I445" s="2718" t="n">
        <f aca="false">IF(G445&gt;H445,G445,H445)*$H$375</f>
        <v>0</v>
      </c>
      <c r="J445" s="2800"/>
      <c r="K445" s="2719"/>
      <c r="L445" s="296"/>
      <c r="M445" s="2736"/>
    </row>
    <row r="446" customFormat="false" ht="15.5" hidden="false" customHeight="false" outlineLevel="0" collapsed="false">
      <c r="A446" s="2719"/>
      <c r="B446" s="298" t="str">
        <f aca="false">дома!AQ1449</f>
        <v>Монтаж вертикальной обрешетки</v>
      </c>
      <c r="C446" s="2765" t="s">
        <v>133</v>
      </c>
      <c r="D446" s="122" t="n">
        <f aca="false">дома!AR1449</f>
        <v>0</v>
      </c>
      <c r="E446" s="298" t="n">
        <f aca="false">дома!AS1449</f>
        <v>100</v>
      </c>
      <c r="F446" s="298"/>
      <c r="G446" s="122" t="n">
        <f aca="false">IF(F446&gt;0,D446*F446,E446*D446)</f>
        <v>0</v>
      </c>
      <c r="H446" s="85" t="n">
        <f aca="false">D446*E446*$H$430</f>
        <v>0</v>
      </c>
      <c r="I446" s="2718" t="n">
        <f aca="false">IF(G446&gt;H446,G446,H446)*$H$375</f>
        <v>0</v>
      </c>
      <c r="J446" s="2800"/>
      <c r="K446" s="2719"/>
      <c r="L446" s="296"/>
      <c r="M446" s="2736"/>
    </row>
    <row r="447" customFormat="false" ht="15.5" hidden="false" customHeight="false" outlineLevel="0" collapsed="false">
      <c r="A447" s="2719"/>
      <c r="B447" s="298" t="str">
        <f aca="false">дома!AQ1450</f>
        <v>Монтаж обрешетки потолок</v>
      </c>
      <c r="C447" s="2765" t="s">
        <v>133</v>
      </c>
      <c r="D447" s="122" t="n">
        <f aca="false">дома!AR1450</f>
        <v>0</v>
      </c>
      <c r="E447" s="298" t="n">
        <f aca="false">дома!AS1450</f>
        <v>100</v>
      </c>
      <c r="F447" s="298"/>
      <c r="G447" s="122" t="n">
        <f aca="false">IF(F447&gt;0,D447*F447,E447*D447)</f>
        <v>0</v>
      </c>
      <c r="H447" s="85" t="n">
        <f aca="false">D447*E447*$H$430</f>
        <v>0</v>
      </c>
      <c r="I447" s="2718" t="n">
        <f aca="false">IF(G447&gt;H447,G447,H447)*$H$375</f>
        <v>0</v>
      </c>
      <c r="J447" s="2800"/>
      <c r="K447" s="2719"/>
      <c r="L447" s="296"/>
      <c r="M447" s="2736"/>
    </row>
    <row r="448" customFormat="false" ht="15.5" hidden="false" customHeight="false" outlineLevel="0" collapsed="false">
      <c r="A448" s="2719"/>
      <c r="B448" s="298" t="str">
        <f aca="false">дома!AQ1451</f>
        <v>Монтаж профлист потолок</v>
      </c>
      <c r="C448" s="2765" t="s">
        <v>133</v>
      </c>
      <c r="D448" s="122" t="n">
        <f aca="false">дома!AR1451</f>
        <v>0</v>
      </c>
      <c r="E448" s="298" t="n">
        <f aca="false">дома!AS1451</f>
        <v>100</v>
      </c>
      <c r="F448" s="298"/>
      <c r="G448" s="122" t="n">
        <f aca="false">IF(F448&gt;0,D448*F448,E448*D448)</f>
        <v>0</v>
      </c>
      <c r="H448" s="85" t="n">
        <f aca="false">D448*E448*$H$430</f>
        <v>0</v>
      </c>
      <c r="I448" s="2718" t="n">
        <f aca="false">IF(G448&gt;H448,G448,H448)*$H$375</f>
        <v>0</v>
      </c>
      <c r="J448" s="2800"/>
      <c r="K448" s="2719"/>
      <c r="L448" s="296"/>
      <c r="M448" s="2736"/>
    </row>
    <row r="449" customFormat="false" ht="15.5" hidden="false" customHeight="false" outlineLevel="0" collapsed="false">
      <c r="A449" s="2719"/>
      <c r="B449" s="298" t="str">
        <f aca="false">дома!AQ1452</f>
        <v>Монтаж обрешетки пол</v>
      </c>
      <c r="C449" s="2765" t="s">
        <v>133</v>
      </c>
      <c r="D449" s="122" t="n">
        <f aca="false">дома!AR1452</f>
        <v>0</v>
      </c>
      <c r="E449" s="298" t="n">
        <f aca="false">дома!AS1452</f>
        <v>100</v>
      </c>
      <c r="F449" s="298"/>
      <c r="G449" s="122" t="n">
        <f aca="false">IF(F449&gt;0,D449*F449,E449*D449)</f>
        <v>0</v>
      </c>
      <c r="H449" s="85" t="n">
        <f aca="false">D449*E449*$H$430</f>
        <v>0</v>
      </c>
      <c r="I449" s="2718" t="n">
        <f aca="false">IF(G449&gt;H449,G449,H449)*$H$375</f>
        <v>0</v>
      </c>
      <c r="J449" s="2800"/>
      <c r="K449" s="2719"/>
      <c r="L449" s="296"/>
      <c r="M449" s="2736"/>
    </row>
    <row r="450" customFormat="false" ht="15.5" hidden="false" customHeight="false" outlineLevel="0" collapsed="false">
      <c r="A450" s="2719"/>
      <c r="B450" s="298" t="str">
        <f aca="false">дома!AQ1453</f>
        <v>Монтаж профлист пол</v>
      </c>
      <c r="C450" s="2765" t="s">
        <v>133</v>
      </c>
      <c r="D450" s="122" t="n">
        <f aca="false">дома!AR1453</f>
        <v>0</v>
      </c>
      <c r="E450" s="298" t="n">
        <f aca="false">дома!AS1453</f>
        <v>100</v>
      </c>
      <c r="F450" s="298"/>
      <c r="G450" s="122" t="n">
        <f aca="false">IF(F450&gt;0,D450*F450,E450*D450)</f>
        <v>0</v>
      </c>
      <c r="H450" s="85" t="n">
        <f aca="false">D450*E450*$H$430</f>
        <v>0</v>
      </c>
      <c r="I450" s="2718" t="n">
        <f aca="false">IF(G450&gt;H450,G450,H450)*$H$375</f>
        <v>0</v>
      </c>
      <c r="J450" s="2800"/>
      <c r="K450" s="2719"/>
      <c r="L450" s="296"/>
      <c r="M450" s="2736"/>
    </row>
    <row r="451" customFormat="false" ht="15.5" hidden="false" customHeight="false" outlineLevel="0" collapsed="false">
      <c r="A451" s="2719"/>
      <c r="B451" s="298" t="str">
        <f aca="false">дома!AQ1454</f>
        <v>монтаж osb/фанера пол</v>
      </c>
      <c r="C451" s="2765" t="s">
        <v>133</v>
      </c>
      <c r="D451" s="122" t="n">
        <f aca="false">дома!AR1454</f>
        <v>100</v>
      </c>
      <c r="E451" s="298" t="n">
        <f aca="false">дома!AS1454</f>
        <v>200</v>
      </c>
      <c r="F451" s="298"/>
      <c r="G451" s="122" t="n">
        <f aca="false">IF(F451&gt;0,D451*F451,E451*D451)</f>
        <v>20000</v>
      </c>
      <c r="H451" s="85" t="n">
        <f aca="false">D451*E451*$H$430</f>
        <v>0</v>
      </c>
      <c r="I451" s="2718" t="n">
        <f aca="false">IF(G451&gt;H451,G451,H451)*$H$375</f>
        <v>0</v>
      </c>
      <c r="J451" s="2800"/>
      <c r="K451" s="2719"/>
      <c r="L451" s="296"/>
      <c r="M451" s="2736"/>
    </row>
    <row r="452" customFormat="false" ht="15.5" hidden="false" customHeight="false" outlineLevel="0" collapsed="false">
      <c r="A452" s="2719"/>
      <c r="B452" s="2748" t="s">
        <v>4641</v>
      </c>
      <c r="C452" s="2748"/>
      <c r="D452" s="2748"/>
      <c r="E452" s="2748"/>
      <c r="F452" s="2798"/>
      <c r="G452" s="122" t="n">
        <f aca="false">SUM(G431:G451)*H430</f>
        <v>0</v>
      </c>
      <c r="H452" s="85" t="n">
        <f aca="false">D452*E452*$H$430</f>
        <v>0</v>
      </c>
      <c r="I452" s="2718" t="n">
        <f aca="false">IF(G452&gt;H452,G452,H452)*$H$375</f>
        <v>0</v>
      </c>
      <c r="J452" s="2800"/>
      <c r="K452" s="2719"/>
      <c r="L452" s="296"/>
      <c r="M452" s="2736"/>
    </row>
    <row r="453" customFormat="false" ht="15.5" hidden="false" customHeight="false" outlineLevel="0" collapsed="false">
      <c r="A453" s="2719"/>
      <c r="B453" s="2801" t="s">
        <v>4651</v>
      </c>
      <c r="C453" s="2801"/>
      <c r="D453" s="2793"/>
      <c r="E453" s="2793"/>
      <c r="F453" s="2798"/>
      <c r="G453" s="905"/>
      <c r="H453" s="2802" t="n">
        <f aca="false">H375</f>
        <v>0</v>
      </c>
      <c r="I453" s="2757" t="n">
        <f aca="false">H453</f>
        <v>0</v>
      </c>
      <c r="J453" s="2800"/>
      <c r="K453" s="2733"/>
      <c r="L453" s="296"/>
      <c r="M453" s="2736"/>
    </row>
    <row r="454" customFormat="false" ht="15.5" hidden="false" customHeight="false" outlineLevel="0" collapsed="false">
      <c r="A454" s="2719"/>
      <c r="B454" s="298" t="str">
        <f aca="false">дома!AQ1484</f>
        <v>Командировочные расходы</v>
      </c>
      <c r="C454" s="10"/>
      <c r="D454" s="122" t="n">
        <f aca="false">дома!AS1484</f>
        <v>1</v>
      </c>
      <c r="E454" s="298" t="n">
        <f aca="false">дома!AT1484</f>
        <v>0</v>
      </c>
      <c r="F454" s="298"/>
      <c r="G454" s="289" t="n">
        <f aca="false">IF(F454&gt;0,D454*F454,E454*D454)</f>
        <v>0</v>
      </c>
      <c r="H454" s="85" t="n">
        <f aca="false">D454*E454*$H$375</f>
        <v>0</v>
      </c>
      <c r="I454" s="2803" t="n">
        <f aca="false">IF(G454&gt;H454,G454,H454)*$H$375</f>
        <v>0</v>
      </c>
      <c r="J454" s="1427"/>
      <c r="K454" s="226" t="n">
        <f aca="false">D454-J454</f>
        <v>1</v>
      </c>
      <c r="L454" s="296"/>
      <c r="M454" s="2736"/>
    </row>
    <row r="455" customFormat="false" ht="15.5" hidden="false" customHeight="false" outlineLevel="0" collapsed="false">
      <c r="A455" s="2719"/>
      <c r="B455" s="298" t="str">
        <f aca="false">дома!AQ1485</f>
        <v>расходные материалы каркасный дом</v>
      </c>
      <c r="C455" s="10"/>
      <c r="D455" s="122" t="n">
        <f aca="false">дома!AS1485</f>
        <v>1</v>
      </c>
      <c r="E455" s="298" t="n">
        <f aca="false">дома!AT1485</f>
        <v>12000</v>
      </c>
      <c r="F455" s="298"/>
      <c r="G455" s="289" t="n">
        <f aca="false">IF(F455&gt;0,D455*F455,E455*D455)</f>
        <v>12000</v>
      </c>
      <c r="H455" s="85" t="n">
        <f aca="false">D455*E455*$H$375</f>
        <v>0</v>
      </c>
      <c r="I455" s="2803" t="n">
        <f aca="false">IF(G455&gt;H455,G455,H455)*$H$375</f>
        <v>0</v>
      </c>
      <c r="J455" s="1427"/>
      <c r="K455" s="226" t="n">
        <f aca="false">D455-J455</f>
        <v>1</v>
      </c>
      <c r="L455" s="296"/>
      <c r="M455" s="2736"/>
    </row>
    <row r="456" customFormat="false" ht="15.5" hidden="false" customHeight="false" outlineLevel="0" collapsed="false">
      <c r="A456" s="2719"/>
      <c r="B456" s="298" t="str">
        <f aca="false">дома!AQ1486</f>
        <v>Нет техники</v>
      </c>
      <c r="C456" s="10"/>
      <c r="D456" s="122" t="n">
        <f aca="false">дома!AS1486</f>
        <v>2</v>
      </c>
      <c r="E456" s="298" t="n">
        <f aca="false">дома!AT1486</f>
        <v>0</v>
      </c>
      <c r="F456" s="298"/>
      <c r="G456" s="122" t="n">
        <f aca="false">IF(F456&gt;0,D456*F456,E456*D456)</f>
        <v>0</v>
      </c>
      <c r="H456" s="85" t="n">
        <f aca="false">D456*E456*$H$375</f>
        <v>0</v>
      </c>
      <c r="I456" s="2803" t="n">
        <f aca="false">IF(G456&gt;H456,G456,H456)*$H$375</f>
        <v>0</v>
      </c>
      <c r="J456" s="1427"/>
      <c r="K456" s="226" t="n">
        <f aca="false">D456-J456</f>
        <v>2</v>
      </c>
      <c r="L456" s="296"/>
      <c r="M456" s="2736"/>
    </row>
    <row r="457" customFormat="false" ht="15.5" hidden="false" customHeight="false" outlineLevel="0" collapsed="false">
      <c r="A457" s="2719"/>
      <c r="B457" s="2804" t="s">
        <v>4652</v>
      </c>
      <c r="C457" s="2804"/>
      <c r="D457" s="2804"/>
      <c r="E457" s="2804"/>
      <c r="F457" s="2798"/>
      <c r="G457" s="122" t="n">
        <f aca="false">SUM(G454:G456)</f>
        <v>12000</v>
      </c>
      <c r="H457" s="85" t="n">
        <f aca="false">SUM(H454:H456)*H453</f>
        <v>0</v>
      </c>
      <c r="I457" s="2803" t="n">
        <f aca="false">IF(G457&gt;H457,G457,H457)*$H$375</f>
        <v>0</v>
      </c>
      <c r="J457" s="1427"/>
      <c r="K457" s="226" t="n">
        <f aca="false">D457-J457</f>
        <v>0</v>
      </c>
      <c r="L457" s="296"/>
      <c r="M457" s="2736"/>
    </row>
    <row r="458" customFormat="false" ht="21" hidden="false" customHeight="false" outlineLevel="0" collapsed="false">
      <c r="A458" s="2719"/>
      <c r="B458" s="2768" t="s">
        <v>4653</v>
      </c>
      <c r="C458" s="2768"/>
      <c r="D458" s="2798"/>
      <c r="E458" s="2798"/>
      <c r="F458" s="2798"/>
      <c r="G458" s="905"/>
      <c r="H458" s="2799" t="n">
        <f aca="false">IF('Ввод данных'!$A$8=связи1!A151,1,0)+IF('Ввод данных'!$A$8=связи1!A169,1,0)+IF('Ввод данных'!$A$8=связи1!A177,1,0)+IF('Ввод данных'!$A$8=связи1!A184,1,0)+IF('Ввод данных'!$A$8=связи1!A185,1,0)</f>
        <v>0</v>
      </c>
      <c r="I458" s="2757" t="n">
        <f aca="false">H458</f>
        <v>0</v>
      </c>
      <c r="J458" s="2800"/>
      <c r="K458" s="2753"/>
      <c r="L458" s="296"/>
      <c r="M458" s="2736"/>
    </row>
    <row r="459" customFormat="false" ht="15.5" hidden="false" customHeight="false" outlineLevel="0" collapsed="false">
      <c r="A459" s="2719"/>
      <c r="B459" s="2794" t="s">
        <v>2720</v>
      </c>
      <c r="C459" s="2794"/>
      <c r="D459" s="2798"/>
      <c r="E459" s="2798"/>
      <c r="F459" s="2798"/>
      <c r="G459" s="905"/>
      <c r="H459" s="2799" t="n">
        <f aca="false">H458</f>
        <v>0</v>
      </c>
      <c r="I459" s="2751" t="n">
        <f aca="false">H459</f>
        <v>0</v>
      </c>
      <c r="J459" s="2800"/>
      <c r="K459" s="2733"/>
      <c r="L459" s="296"/>
      <c r="M459" s="2736"/>
    </row>
    <row r="460" customFormat="false" ht="15.5" hidden="false" customHeight="false" outlineLevel="0" collapsed="false">
      <c r="A460" s="2719"/>
      <c r="B460" s="298" t="str">
        <f aca="false">дома!AC1466</f>
        <v>Брус естественной влажности, 150*150мм</v>
      </c>
      <c r="C460" s="2765" t="str">
        <f aca="false">дома!AD1466</f>
        <v>м3</v>
      </c>
      <c r="D460" s="122" t="n">
        <f aca="false">дома!AE1466</f>
        <v>1.26</v>
      </c>
      <c r="E460" s="122" t="n">
        <f aca="false">дома!AF1466</f>
        <v>6500</v>
      </c>
      <c r="F460" s="298"/>
      <c r="G460" s="122" t="n">
        <f aca="false">IF(F460&gt;0,D460*F460,E460*D460)</f>
        <v>8190</v>
      </c>
      <c r="H460" s="85" t="n">
        <f aca="false">D460*E460*$H$458</f>
        <v>0</v>
      </c>
      <c r="I460" s="2803" t="n">
        <f aca="false">IF(G460&gt;H460,G460,H460)*$H$458</f>
        <v>0</v>
      </c>
      <c r="J460" s="2744"/>
      <c r="K460" s="226" t="n">
        <f aca="false">D460-J460</f>
        <v>1.26</v>
      </c>
      <c r="L460" s="2795" t="s">
        <v>3699</v>
      </c>
      <c r="M460" s="2805"/>
      <c r="N460" s="2806"/>
    </row>
    <row r="461" customFormat="false" ht="15.5" hidden="false" customHeight="false" outlineLevel="0" collapsed="false">
      <c r="A461" s="2719"/>
      <c r="B461" s="298" t="str">
        <f aca="false">дома!AC1467</f>
        <v>Болты анкерные с гайкой 12,0 х 280</v>
      </c>
      <c r="C461" s="2765" t="str">
        <f aca="false">дома!AD1467</f>
        <v>шт</v>
      </c>
      <c r="D461" s="122" t="n">
        <f aca="false">дома!AE1467</f>
        <v>56</v>
      </c>
      <c r="E461" s="122" t="n">
        <f aca="false">дома!AF1467</f>
        <v>27.1</v>
      </c>
      <c r="F461" s="298"/>
      <c r="G461" s="122" t="n">
        <f aca="false">IF(F461&gt;0,D461*F461,E461*D461)</f>
        <v>1517.6</v>
      </c>
      <c r="H461" s="85" t="n">
        <f aca="false">D461*E461*$H$458</f>
        <v>0</v>
      </c>
      <c r="I461" s="2803" t="n">
        <f aca="false">IF(G461&gt;H461,G461,H461)*$H$458</f>
        <v>0</v>
      </c>
      <c r="J461" s="2744"/>
      <c r="K461" s="226" t="n">
        <f aca="false">D461-J461</f>
        <v>56</v>
      </c>
      <c r="L461" s="2795" t="s">
        <v>3702</v>
      </c>
      <c r="M461" s="2805"/>
      <c r="N461" s="2806"/>
    </row>
    <row r="462" customFormat="false" ht="15.5" hidden="false" customHeight="false" outlineLevel="0" collapsed="false">
      <c r="A462" s="2719"/>
      <c r="B462" s="298" t="str">
        <f aca="false">дома!AC1468</f>
        <v>ГПС 150х50-1,2</v>
      </c>
      <c r="C462" s="2765" t="str">
        <f aca="false">дома!AD1468</f>
        <v>м3</v>
      </c>
      <c r="D462" s="122" t="n">
        <f aca="false">дома!AE1468</f>
        <v>0</v>
      </c>
      <c r="E462" s="122" t="n">
        <f aca="false">дома!AF1468</f>
        <v>201</v>
      </c>
      <c r="F462" s="298"/>
      <c r="G462" s="122" t="n">
        <f aca="false">IF(F462&gt;0,D462*F462,E462*D462)</f>
        <v>0</v>
      </c>
      <c r="H462" s="85" t="n">
        <f aca="false">D462*E462*$H$458</f>
        <v>0</v>
      </c>
      <c r="I462" s="2803" t="n">
        <f aca="false">IF(G462&gt;H462,G462,H462)*$H$458</f>
        <v>0</v>
      </c>
      <c r="J462" s="2744"/>
      <c r="K462" s="226" t="n">
        <f aca="false">D462-J462</f>
        <v>0</v>
      </c>
      <c r="L462" s="2795" t="s">
        <v>3704</v>
      </c>
      <c r="M462" s="2805"/>
      <c r="N462" s="2806"/>
    </row>
    <row r="463" customFormat="false" ht="15.5" hidden="false" customHeight="false" outlineLevel="0" collapsed="false">
      <c r="A463" s="2719"/>
      <c r="B463" s="298" t="str">
        <f aca="false">дома!H1481</f>
        <v>ГПН 152х35-1,2</v>
      </c>
      <c r="C463" s="2765" t="str">
        <f aca="false">дома!I1481</f>
        <v>мп.</v>
      </c>
      <c r="D463" s="122" t="n">
        <f aca="false">дома!J1481</f>
        <v>0</v>
      </c>
      <c r="E463" s="122" t="n">
        <f aca="false">дома!K1481</f>
        <v>163</v>
      </c>
      <c r="F463" s="298"/>
      <c r="G463" s="122" t="n">
        <f aca="false">IF(F463&gt;0,D463*F463,E463*D463)</f>
        <v>0</v>
      </c>
      <c r="H463" s="85" t="n">
        <f aca="false">D463*E463*$H$458</f>
        <v>0</v>
      </c>
      <c r="I463" s="2803" t="n">
        <f aca="false">IF(G463&gt;H463,G463,H463)*$H$458</f>
        <v>0</v>
      </c>
      <c r="J463" s="2744"/>
      <c r="K463" s="226" t="n">
        <f aca="false">D463-J463</f>
        <v>0</v>
      </c>
      <c r="L463" s="2795" t="s">
        <v>3718</v>
      </c>
      <c r="M463" s="2805"/>
      <c r="N463" s="2806"/>
    </row>
    <row r="464" customFormat="false" ht="15.5" hidden="false" customHeight="false" outlineLevel="0" collapsed="false">
      <c r="A464" s="2719"/>
      <c r="B464" s="298" t="str">
        <f aca="false">дома!H1482</f>
        <v>Болты анкерные с гайкой 12,0 x 100</v>
      </c>
      <c r="C464" s="2765" t="str">
        <f aca="false">дома!I1482</f>
        <v>шт.</v>
      </c>
      <c r="D464" s="122" t="n">
        <f aca="false">дома!J1482</f>
        <v>0</v>
      </c>
      <c r="E464" s="122" t="n">
        <f aca="false">дома!K1482</f>
        <v>11.2</v>
      </c>
      <c r="F464" s="298"/>
      <c r="G464" s="122" t="n">
        <f aca="false">IF(F464&gt;0,D464*F464,E464*D464)</f>
        <v>0</v>
      </c>
      <c r="H464" s="85" t="n">
        <f aca="false">D464*E464*$H$458</f>
        <v>0</v>
      </c>
      <c r="I464" s="2803" t="n">
        <f aca="false">IF(G464&gt;H464,G464,H464)*$H$458</f>
        <v>0</v>
      </c>
      <c r="J464" s="2744"/>
      <c r="K464" s="226" t="n">
        <f aca="false">D464-J464</f>
        <v>0</v>
      </c>
      <c r="L464" s="2795" t="s">
        <v>3722</v>
      </c>
      <c r="M464" s="2805"/>
      <c r="N464" s="2806"/>
    </row>
    <row r="465" customFormat="false" ht="15.5" hidden="false" customHeight="false" outlineLevel="0" collapsed="false">
      <c r="A465" s="2719"/>
      <c r="B465" s="298" t="str">
        <f aca="false">дома!H1483</f>
        <v>Саморез 5,5 х 25</v>
      </c>
      <c r="C465" s="2765" t="str">
        <f aca="false">дома!I1483</f>
        <v>шт.</v>
      </c>
      <c r="D465" s="122" t="n">
        <f aca="false">дома!J1483</f>
        <v>1644</v>
      </c>
      <c r="E465" s="122" t="n">
        <f aca="false">дома!K1483</f>
        <v>2.5</v>
      </c>
      <c r="F465" s="298"/>
      <c r="G465" s="122" t="n">
        <f aca="false">IF(F465&gt;0,D465*F465,E465*D465)</f>
        <v>4110</v>
      </c>
      <c r="H465" s="85" t="n">
        <f aca="false">D465*E465*$H$458</f>
        <v>0</v>
      </c>
      <c r="I465" s="2803" t="n">
        <f aca="false">IF(G465&gt;H465,G465,H465)*$H$458</f>
        <v>0</v>
      </c>
      <c r="J465" s="2744"/>
      <c r="K465" s="226" t="n">
        <f aca="false">D465-J465</f>
        <v>1644</v>
      </c>
      <c r="L465" s="2795" t="s">
        <v>3725</v>
      </c>
      <c r="M465" s="2805"/>
      <c r="N465" s="2806"/>
    </row>
    <row r="466" customFormat="false" ht="15.5" hidden="false" customHeight="false" outlineLevel="0" collapsed="false">
      <c r="A466" s="2719"/>
      <c r="B466" s="298" t="str">
        <f aca="false">дома!H1484</f>
        <v>ГПН 122х35-1,5</v>
      </c>
      <c r="C466" s="2765" t="str">
        <f aca="false">дома!I1484</f>
        <v>мп.</v>
      </c>
      <c r="D466" s="122" t="n">
        <f aca="false">дома!J1484</f>
        <v>0</v>
      </c>
      <c r="E466" s="122" t="n">
        <f aca="false">дома!K1484</f>
        <v>163</v>
      </c>
      <c r="F466" s="298"/>
      <c r="G466" s="122" t="n">
        <f aca="false">IF(F466&gt;0,D466*F466,E466*D466)</f>
        <v>0</v>
      </c>
      <c r="H466" s="85" t="n">
        <f aca="false">D466*E466*$H$458</f>
        <v>0</v>
      </c>
      <c r="I466" s="2803" t="n">
        <f aca="false">IF(G466&gt;H466,G466,H466)*$H$458</f>
        <v>0</v>
      </c>
      <c r="J466" s="2744"/>
      <c r="K466" s="226" t="n">
        <f aca="false">D466-J466</f>
        <v>0</v>
      </c>
      <c r="L466" s="2795" t="s">
        <v>3727</v>
      </c>
      <c r="M466" s="2805"/>
      <c r="N466" s="2806"/>
    </row>
    <row r="467" customFormat="false" ht="15.5" hidden="false" customHeight="false" outlineLevel="0" collapsed="false">
      <c r="A467" s="2719"/>
      <c r="B467" s="298" t="str">
        <f aca="false">дома!H1485</f>
        <v>Болты анкерные с гайкой 12,0 x 100</v>
      </c>
      <c r="C467" s="2765" t="str">
        <f aca="false">дома!I1485</f>
        <v>шт.</v>
      </c>
      <c r="D467" s="122" t="n">
        <f aca="false">дома!J1485</f>
        <v>0</v>
      </c>
      <c r="E467" s="122" t="n">
        <f aca="false">дома!K1485</f>
        <v>11.2</v>
      </c>
      <c r="F467" s="298"/>
      <c r="G467" s="122" t="n">
        <f aca="false">IF(F467&gt;0,D467*F467,E467*D467)</f>
        <v>0</v>
      </c>
      <c r="H467" s="85" t="n">
        <f aca="false">D467*E467*$H$458</f>
        <v>0</v>
      </c>
      <c r="I467" s="2803" t="n">
        <f aca="false">IF(G467&gt;H467,G467,H467)*$H$458</f>
        <v>0</v>
      </c>
      <c r="J467" s="2744"/>
      <c r="K467" s="226" t="n">
        <f aca="false">D467-J467</f>
        <v>0</v>
      </c>
      <c r="L467" s="2795" t="s">
        <v>3722</v>
      </c>
      <c r="M467" s="2805"/>
      <c r="N467" s="2806"/>
    </row>
    <row r="468" customFormat="false" ht="15.5" hidden="false" customHeight="false" outlineLevel="0" collapsed="false">
      <c r="A468" s="2719"/>
      <c r="B468" s="298" t="str">
        <f aca="false">дома!H1486</f>
        <v>Саморез 5,5 х 25</v>
      </c>
      <c r="C468" s="2765" t="str">
        <f aca="false">дома!I1486</f>
        <v>шт.</v>
      </c>
      <c r="D468" s="122" t="n">
        <f aca="false">дома!J1486</f>
        <v>12</v>
      </c>
      <c r="E468" s="122" t="n">
        <f aca="false">дома!K1486</f>
        <v>2.5</v>
      </c>
      <c r="F468" s="298"/>
      <c r="G468" s="122" t="n">
        <f aca="false">IF(F468&gt;0,D468*F468,E468*D468)</f>
        <v>30</v>
      </c>
      <c r="H468" s="85" t="n">
        <f aca="false">D468*E468*$H$458</f>
        <v>0</v>
      </c>
      <c r="I468" s="2803" t="n">
        <f aca="false">IF(G468&gt;H468,G468,H468)*$H$458</f>
        <v>0</v>
      </c>
      <c r="J468" s="2744"/>
      <c r="K468" s="226" t="n">
        <f aca="false">D468-J468</f>
        <v>12</v>
      </c>
      <c r="L468" s="2795" t="s">
        <v>3725</v>
      </c>
      <c r="M468" s="2805"/>
      <c r="N468" s="2806"/>
    </row>
    <row r="469" customFormat="false" ht="15.5" hidden="false" customHeight="false" outlineLevel="0" collapsed="false">
      <c r="A469" s="2719"/>
      <c r="B469" s="298" t="str">
        <f aca="false">дома!H1487</f>
        <v>ГПН 172х35-2,0</v>
      </c>
      <c r="C469" s="2765" t="str">
        <f aca="false">дома!I1487</f>
        <v>мп.</v>
      </c>
      <c r="D469" s="122" t="n">
        <f aca="false">дома!J1487</f>
        <v>0</v>
      </c>
      <c r="E469" s="122" t="n">
        <f aca="false">дома!K1487</f>
        <v>274</v>
      </c>
      <c r="F469" s="298"/>
      <c r="G469" s="122" t="n">
        <f aca="false">IF(F469&gt;0,D469*F469,E469*D469)</f>
        <v>0</v>
      </c>
      <c r="H469" s="85" t="n">
        <f aca="false">D469*E469*$H$458</f>
        <v>0</v>
      </c>
      <c r="I469" s="2803" t="n">
        <f aca="false">IF(G469&gt;H469,G469,H469)*$H$458</f>
        <v>0</v>
      </c>
      <c r="J469" s="2744"/>
      <c r="K469" s="226" t="n">
        <f aca="false">D469-J469</f>
        <v>0</v>
      </c>
      <c r="L469" s="2795" t="s">
        <v>3731</v>
      </c>
      <c r="M469" s="2805"/>
      <c r="N469" s="2806"/>
    </row>
    <row r="470" customFormat="false" ht="15.5" hidden="false" customHeight="false" outlineLevel="0" collapsed="false">
      <c r="A470" s="2719"/>
      <c r="B470" s="298" t="str">
        <f aca="false">дома!H1488</f>
        <v>Болты анкерные с гайкой 12,0 x 100</v>
      </c>
      <c r="C470" s="2765" t="str">
        <f aca="false">дома!I1488</f>
        <v>шт.</v>
      </c>
      <c r="D470" s="122" t="n">
        <f aca="false">дома!J1488</f>
        <v>0</v>
      </c>
      <c r="E470" s="122" t="n">
        <f aca="false">дома!K1488</f>
        <v>11.2</v>
      </c>
      <c r="F470" s="298"/>
      <c r="G470" s="122" t="n">
        <f aca="false">IF(F470&gt;0,D470*F470,E470*D470)</f>
        <v>0</v>
      </c>
      <c r="H470" s="85" t="n">
        <f aca="false">D470*E470*$H$458</f>
        <v>0</v>
      </c>
      <c r="I470" s="2803" t="n">
        <f aca="false">IF(G470&gt;H470,G470,H470)*$H$458</f>
        <v>0</v>
      </c>
      <c r="J470" s="2744"/>
      <c r="K470" s="226" t="n">
        <f aca="false">D470-J470</f>
        <v>0</v>
      </c>
      <c r="L470" s="2795" t="s">
        <v>3722</v>
      </c>
      <c r="M470" s="2805"/>
      <c r="N470" s="2806"/>
    </row>
    <row r="471" customFormat="false" ht="15.5" hidden="false" customHeight="false" outlineLevel="0" collapsed="false">
      <c r="A471" s="2719"/>
      <c r="B471" s="298" t="str">
        <f aca="false">дома!H1489</f>
        <v>Саморез 5,5 х 25</v>
      </c>
      <c r="C471" s="2765" t="str">
        <f aca="false">дома!I1489</f>
        <v>шт.</v>
      </c>
      <c r="D471" s="122" t="n">
        <f aca="false">дома!J1489</f>
        <v>0</v>
      </c>
      <c r="E471" s="122" t="n">
        <f aca="false">дома!K1489</f>
        <v>2.5</v>
      </c>
      <c r="F471" s="298"/>
      <c r="G471" s="122" t="n">
        <f aca="false">IF(F471&gt;0,D471*F471,E471*D471)</f>
        <v>0</v>
      </c>
      <c r="H471" s="85" t="n">
        <f aca="false">D471*E471*$H$458</f>
        <v>0</v>
      </c>
      <c r="I471" s="2803" t="n">
        <f aca="false">IF(G471&gt;H471,G471,H471)*$H$458</f>
        <v>0</v>
      </c>
      <c r="J471" s="2744"/>
      <c r="K471" s="226" t="n">
        <f aca="false">D471-J471</f>
        <v>0</v>
      </c>
      <c r="L471" s="2795" t="s">
        <v>3725</v>
      </c>
      <c r="M471" s="2805"/>
      <c r="N471" s="2806"/>
    </row>
    <row r="472" customFormat="false" ht="15.5" hidden="false" customHeight="false" outlineLevel="0" collapsed="false">
      <c r="A472" s="2719"/>
      <c r="B472" s="298" t="str">
        <f aca="false">дома!H1490</f>
        <v>ГПС 150х50-1,2</v>
      </c>
      <c r="C472" s="2765" t="str">
        <f aca="false">дома!I1490</f>
        <v>мп.</v>
      </c>
      <c r="D472" s="122" t="n">
        <f aca="false">дома!J1490</f>
        <v>14</v>
      </c>
      <c r="E472" s="122" t="n">
        <f aca="false">дома!K1490</f>
        <v>63.0094043887147</v>
      </c>
      <c r="F472" s="298"/>
      <c r="G472" s="122" t="n">
        <f aca="false">IF(F472&gt;0,D472*F472,E472*D472)</f>
        <v>882.131661442006</v>
      </c>
      <c r="H472" s="85" t="n">
        <f aca="false">D472*E472*$H$458</f>
        <v>0</v>
      </c>
      <c r="I472" s="2803" t="n">
        <f aca="false">IF(G472&gt;H472,G472,H472)*$H$458</f>
        <v>0</v>
      </c>
      <c r="J472" s="2744"/>
      <c r="K472" s="226" t="n">
        <f aca="false">D472-J472</f>
        <v>14</v>
      </c>
      <c r="L472" s="2788" t="s">
        <v>3733</v>
      </c>
      <c r="M472" s="2805"/>
      <c r="N472" s="2806"/>
    </row>
    <row r="473" customFormat="false" ht="15.5" hidden="false" customHeight="false" outlineLevel="0" collapsed="false">
      <c r="A473" s="2719"/>
      <c r="B473" s="298" t="str">
        <f aca="false">дома!H1491</f>
        <v>Саморез 5,5 х 25</v>
      </c>
      <c r="C473" s="2765" t="str">
        <f aca="false">дома!I1491</f>
        <v>шт.</v>
      </c>
      <c r="D473" s="122" t="n">
        <f aca="false">дома!J1491</f>
        <v>81</v>
      </c>
      <c r="E473" s="122" t="n">
        <f aca="false">дома!K1491</f>
        <v>2.5</v>
      </c>
      <c r="F473" s="298"/>
      <c r="G473" s="122" t="n">
        <f aca="false">IF(F473&gt;0,D473*F473,E473*D473)</f>
        <v>202.5</v>
      </c>
      <c r="H473" s="85" t="n">
        <f aca="false">D473*E473*$H$458</f>
        <v>0</v>
      </c>
      <c r="I473" s="2803" t="n">
        <f aca="false">IF(G473&gt;H473,G473,H473)*$H$458</f>
        <v>0</v>
      </c>
      <c r="J473" s="2744"/>
      <c r="K473" s="226" t="n">
        <f aca="false">D473-J473</f>
        <v>81</v>
      </c>
      <c r="L473" s="2795" t="s">
        <v>3734</v>
      </c>
      <c r="M473" s="2805"/>
      <c r="N473" s="2806"/>
    </row>
    <row r="474" customFormat="false" ht="15.5" hidden="false" customHeight="false" outlineLevel="0" collapsed="false">
      <c r="A474" s="2719"/>
      <c r="B474" s="298" t="str">
        <f aca="false">дома!R1466</f>
        <v>L 50 x 50, 1,2мм</v>
      </c>
      <c r="C474" s="2765" t="str">
        <f aca="false">дома!S1466</f>
        <v>м.п.</v>
      </c>
      <c r="D474" s="122" t="n">
        <f aca="false">дома!T1466</f>
        <v>8.1</v>
      </c>
      <c r="E474" s="122" t="n">
        <f aca="false">дома!U1466</f>
        <v>77</v>
      </c>
      <c r="F474" s="298"/>
      <c r="G474" s="122" t="n">
        <f aca="false">IF(F474&gt;0,D474*F474,E474*D474)</f>
        <v>623.7</v>
      </c>
      <c r="H474" s="85" t="n">
        <f aca="false">D474*E474*$H$458</f>
        <v>0</v>
      </c>
      <c r="I474" s="2803" t="n">
        <f aca="false">IF(G474&gt;H474,G474,H474)*$H$458</f>
        <v>0</v>
      </c>
      <c r="J474" s="2744"/>
      <c r="K474" s="226" t="n">
        <f aca="false">D474-J474</f>
        <v>8.1</v>
      </c>
      <c r="L474" s="2788" t="s">
        <v>3701</v>
      </c>
      <c r="M474" s="2805"/>
      <c r="N474" s="2806"/>
    </row>
    <row r="475" customFormat="false" ht="15.5" hidden="false" customHeight="false" outlineLevel="0" collapsed="false">
      <c r="A475" s="2719"/>
      <c r="B475" s="298" t="str">
        <f aca="false">дома!R1467</f>
        <v>ГПС 120х50-1,5</v>
      </c>
      <c r="C475" s="2765" t="str">
        <f aca="false">дома!S1467</f>
        <v>м.п.</v>
      </c>
      <c r="D475" s="122" t="n">
        <f aca="false">дома!T1467</f>
        <v>7.8</v>
      </c>
      <c r="E475" s="122" t="n">
        <f aca="false">дома!U1467</f>
        <v>65.8823529411765</v>
      </c>
      <c r="F475" s="298"/>
      <c r="G475" s="122" t="n">
        <f aca="false">IF(F475&gt;0,D475*F475,E475*D475)</f>
        <v>513.882352941176</v>
      </c>
      <c r="H475" s="85" t="n">
        <f aca="false">D475*E475*$H$458</f>
        <v>0</v>
      </c>
      <c r="I475" s="2803" t="n">
        <f aca="false">IF(G475&gt;H475,G475,H475)*$H$458</f>
        <v>0</v>
      </c>
      <c r="J475" s="2744"/>
      <c r="K475" s="226" t="n">
        <f aca="false">D475-J475</f>
        <v>7.8</v>
      </c>
      <c r="L475" s="2795" t="s">
        <v>3703</v>
      </c>
      <c r="M475" s="2805"/>
      <c r="N475" s="2806"/>
    </row>
    <row r="476" customFormat="false" ht="15.5" hidden="false" customHeight="false" outlineLevel="0" collapsed="false">
      <c r="A476" s="2719"/>
      <c r="B476" s="298" t="str">
        <f aca="false">дома!R1468</f>
        <v>Саморез 5,5 х 25</v>
      </c>
      <c r="C476" s="2765" t="str">
        <f aca="false">дома!S1468</f>
        <v>шт.</v>
      </c>
      <c r="D476" s="122" t="n">
        <f aca="false">дома!T1468</f>
        <v>48</v>
      </c>
      <c r="E476" s="122" t="n">
        <f aca="false">дома!U1468</f>
        <v>2.5</v>
      </c>
      <c r="F476" s="298" t="n">
        <v>100</v>
      </c>
      <c r="G476" s="122" t="n">
        <f aca="false">IF(F476&gt;0,D476*F476,E476*D476)</f>
        <v>4800</v>
      </c>
      <c r="H476" s="85" t="n">
        <f aca="false">D476*E476*$H$458</f>
        <v>0</v>
      </c>
      <c r="I476" s="2803" t="n">
        <f aca="false">IF(G476&gt;H476,G476,H476)*$H$458</f>
        <v>0</v>
      </c>
      <c r="J476" s="2744"/>
      <c r="K476" s="226" t="n">
        <f aca="false">D476-J476</f>
        <v>48</v>
      </c>
      <c r="L476" s="2795" t="s">
        <v>3705</v>
      </c>
      <c r="M476" s="2805"/>
      <c r="N476" s="2806"/>
    </row>
    <row r="477" customFormat="false" ht="15.5" hidden="false" customHeight="false" outlineLevel="0" collapsed="false">
      <c r="A477" s="2719"/>
      <c r="B477" s="298" t="str">
        <f aca="false">дома!R1469</f>
        <v>нет</v>
      </c>
      <c r="C477" s="2765" t="str">
        <f aca="false">дома!S1469</f>
        <v>м.п.</v>
      </c>
      <c r="D477" s="122" t="n">
        <f aca="false">дома!T1469</f>
        <v>0</v>
      </c>
      <c r="E477" s="122" t="n">
        <f aca="false">дома!U1469</f>
        <v>0</v>
      </c>
      <c r="F477" s="298"/>
      <c r="G477" s="122" t="n">
        <f aca="false">IF(F477&gt;0,D477*F477,E477*D477)</f>
        <v>0</v>
      </c>
      <c r="H477" s="85" t="n">
        <f aca="false">D477*E477*$H$458</f>
        <v>0</v>
      </c>
      <c r="I477" s="2803" t="n">
        <f aca="false">IF(G477&gt;H477,G477,H477)*$H$458</f>
        <v>0</v>
      </c>
      <c r="J477" s="2744"/>
      <c r="K477" s="226" t="n">
        <f aca="false">D477-J477</f>
        <v>0</v>
      </c>
      <c r="L477" s="2796" t="s">
        <v>2378</v>
      </c>
      <c r="M477" s="2805"/>
      <c r="N477" s="2806"/>
    </row>
    <row r="478" customFormat="false" ht="15.5" hidden="false" customHeight="false" outlineLevel="0" collapsed="false">
      <c r="A478" s="2719"/>
      <c r="B478" s="298" t="str">
        <f aca="false">дома!R1470</f>
        <v>нет</v>
      </c>
      <c r="C478" s="2765" t="str">
        <f aca="false">дома!S1470</f>
        <v>м.п.</v>
      </c>
      <c r="D478" s="122" t="n">
        <f aca="false">дома!T1470</f>
        <v>0</v>
      </c>
      <c r="E478" s="122" t="n">
        <f aca="false">дома!U1470</f>
        <v>0</v>
      </c>
      <c r="F478" s="298"/>
      <c r="G478" s="122" t="n">
        <f aca="false">IF(F478&gt;0,D478*F478,E478*D478)</f>
        <v>0</v>
      </c>
      <c r="H478" s="85" t="n">
        <f aca="false">D478*E478*$H$458</f>
        <v>0</v>
      </c>
      <c r="I478" s="2803" t="n">
        <f aca="false">IF(G478&gt;H478,G478,H478)*$H$458</f>
        <v>0</v>
      </c>
      <c r="J478" s="2744"/>
      <c r="K478" s="226" t="n">
        <f aca="false">D478-J478</f>
        <v>0</v>
      </c>
      <c r="L478" s="2797" t="s">
        <v>2381</v>
      </c>
      <c r="M478" s="2805"/>
      <c r="N478" s="2806"/>
    </row>
    <row r="479" customFormat="false" ht="15.5" hidden="false" customHeight="false" outlineLevel="0" collapsed="false">
      <c r="A479" s="2719"/>
      <c r="B479" s="298" t="n">
        <f aca="false">дома!R1471</f>
        <v>0</v>
      </c>
      <c r="C479" s="2765" t="str">
        <f aca="false">дома!S1471</f>
        <v>шт.</v>
      </c>
      <c r="D479" s="122" t="n">
        <f aca="false">дома!T1471</f>
        <v>0</v>
      </c>
      <c r="E479" s="122" t="n">
        <f aca="false">дома!U1471</f>
        <v>0</v>
      </c>
      <c r="F479" s="298"/>
      <c r="G479" s="122" t="n">
        <f aca="false">IF(F479&gt;0,D479*F479,E479*D479)</f>
        <v>0</v>
      </c>
      <c r="H479" s="85" t="n">
        <f aca="false">D479*E479*$H$458</f>
        <v>0</v>
      </c>
      <c r="I479" s="2803" t="n">
        <f aca="false">IF(G479&gt;H479,G479,H479)*$H$458</f>
        <v>0</v>
      </c>
      <c r="J479" s="2744"/>
      <c r="K479" s="226" t="n">
        <f aca="false">D479-J479</f>
        <v>0</v>
      </c>
      <c r="L479" s="2788" t="s">
        <v>3708</v>
      </c>
      <c r="M479" s="2805"/>
      <c r="N479" s="2806"/>
    </row>
    <row r="480" customFormat="false" ht="15.5" hidden="false" customHeight="false" outlineLevel="0" collapsed="false">
      <c r="A480" s="2719"/>
      <c r="B480" s="298" t="n">
        <f aca="false">дома!R1472</f>
        <v>0</v>
      </c>
      <c r="C480" s="2765" t="str">
        <f aca="false">дома!S1472</f>
        <v>шт.</v>
      </c>
      <c r="D480" s="122" t="n">
        <f aca="false">дома!T1472</f>
        <v>0</v>
      </c>
      <c r="E480" s="122" t="n">
        <f aca="false">дома!U1472</f>
        <v>0</v>
      </c>
      <c r="F480" s="298"/>
      <c r="G480" s="122" t="n">
        <f aca="false">IF(F480&gt;0,D480*F480,E480*D480)</f>
        <v>0</v>
      </c>
      <c r="H480" s="85" t="n">
        <f aca="false">D480*E480*$H$458</f>
        <v>0</v>
      </c>
      <c r="I480" s="2803" t="n">
        <f aca="false">IF(G480&gt;H480,G480,H480)*$H$458</f>
        <v>0</v>
      </c>
      <c r="J480" s="2744"/>
      <c r="K480" s="226" t="n">
        <f aca="false">D480-J480</f>
        <v>0</v>
      </c>
      <c r="L480" s="2788" t="s">
        <v>3709</v>
      </c>
      <c r="M480" s="2805"/>
      <c r="N480" s="2806"/>
    </row>
    <row r="481" customFormat="false" ht="15.5" hidden="false" customHeight="false" outlineLevel="0" collapsed="false">
      <c r="A481" s="2719"/>
      <c r="B481" s="298" t="str">
        <f aca="false">дома!R1473</f>
        <v>нет</v>
      </c>
      <c r="C481" s="2765" t="str">
        <f aca="false">дома!S1473</f>
        <v>м2</v>
      </c>
      <c r="D481" s="122" t="n">
        <f aca="false">дома!T1473</f>
        <v>0</v>
      </c>
      <c r="E481" s="122" t="n">
        <f aca="false">дома!U1473</f>
        <v>0</v>
      </c>
      <c r="F481" s="298"/>
      <c r="G481" s="122" t="n">
        <f aca="false">IF(F481&gt;0,D481*F481,E481*D481)</f>
        <v>0</v>
      </c>
      <c r="H481" s="85" t="n">
        <f aca="false">D481*E481*$H$458</f>
        <v>0</v>
      </c>
      <c r="I481" s="2803" t="n">
        <f aca="false">IF(G481&gt;H481,G481,H481)*$H$458</f>
        <v>0</v>
      </c>
      <c r="J481" s="2744"/>
      <c r="K481" s="226" t="n">
        <f aca="false">D481-J481</f>
        <v>0</v>
      </c>
      <c r="L481" s="2796" t="s">
        <v>2382</v>
      </c>
      <c r="M481" s="2805"/>
      <c r="N481" s="2806"/>
    </row>
    <row r="482" customFormat="false" ht="15.5" hidden="false" customHeight="false" outlineLevel="0" collapsed="false">
      <c r="A482" s="2719"/>
      <c r="B482" s="298" t="str">
        <f aca="false">дома!R1474</f>
        <v>Саморезы 3,5 x 25</v>
      </c>
      <c r="C482" s="2765" t="str">
        <f aca="false">дома!S1474</f>
        <v>шт.</v>
      </c>
      <c r="D482" s="122" t="n">
        <f aca="false">дома!T1474</f>
        <v>0</v>
      </c>
      <c r="E482" s="122" t="n">
        <f aca="false">дома!U1474</f>
        <v>0.2</v>
      </c>
      <c r="F482" s="298"/>
      <c r="G482" s="122" t="n">
        <f aca="false">IF(F482&gt;0,D482*F482,E482*D482)</f>
        <v>0</v>
      </c>
      <c r="H482" s="85" t="n">
        <f aca="false">D482*E482*$H$458</f>
        <v>0</v>
      </c>
      <c r="I482" s="2803" t="n">
        <f aca="false">IF(G482&gt;H482,G482,H482)*$H$458</f>
        <v>0</v>
      </c>
      <c r="J482" s="2744"/>
      <c r="K482" s="226" t="n">
        <f aca="false">D482-J482</f>
        <v>0</v>
      </c>
      <c r="L482" s="2795" t="s">
        <v>3710</v>
      </c>
      <c r="M482" s="2805"/>
      <c r="N482" s="2806"/>
    </row>
    <row r="483" customFormat="false" ht="15.5" hidden="false" customHeight="false" outlineLevel="0" collapsed="false">
      <c r="A483" s="2719"/>
      <c r="B483" s="298" t="str">
        <f aca="false">дома!R1475</f>
        <v>нет</v>
      </c>
      <c r="C483" s="2765" t="str">
        <f aca="false">дома!S1475</f>
        <v>м.п.</v>
      </c>
      <c r="D483" s="122" t="n">
        <f aca="false">дома!T1475</f>
        <v>0</v>
      </c>
      <c r="E483" s="122" t="n">
        <f aca="false">дома!U1475</f>
        <v>0</v>
      </c>
      <c r="F483" s="298"/>
      <c r="G483" s="122" t="n">
        <f aca="false">IF(F483&gt;0,D483*F483,E483*D483)</f>
        <v>0</v>
      </c>
      <c r="H483" s="85" t="n">
        <f aca="false">D483*E483*$H$458</f>
        <v>0</v>
      </c>
      <c r="I483" s="2803" t="n">
        <f aca="false">IF(G483&gt;H483,G483,H483)*$H$458</f>
        <v>0</v>
      </c>
      <c r="J483" s="2744"/>
      <c r="K483" s="226" t="n">
        <f aca="false">D483-J483</f>
        <v>0</v>
      </c>
      <c r="L483" s="2797" t="s">
        <v>2383</v>
      </c>
      <c r="M483" s="2805"/>
      <c r="N483" s="2806"/>
    </row>
    <row r="484" customFormat="false" ht="15.5" hidden="false" customHeight="false" outlineLevel="0" collapsed="false">
      <c r="A484" s="2719"/>
      <c r="B484" s="298" t="n">
        <f aca="false">дома!R1476</f>
        <v>0</v>
      </c>
      <c r="C484" s="2765" t="str">
        <f aca="false">дома!S1476</f>
        <v>шт.</v>
      </c>
      <c r="D484" s="122" t="n">
        <f aca="false">дома!T1476</f>
        <v>0</v>
      </c>
      <c r="E484" s="122" t="n">
        <f aca="false">дома!U1476</f>
        <v>0</v>
      </c>
      <c r="F484" s="298"/>
      <c r="G484" s="122" t="n">
        <f aca="false">IF(F484&gt;0,D484*F484,E484*D484)</f>
        <v>0</v>
      </c>
      <c r="H484" s="85" t="n">
        <f aca="false">D484*E484*$H$458</f>
        <v>0</v>
      </c>
      <c r="I484" s="2803" t="n">
        <f aca="false">IF(G484&gt;H484,G484,H484)*$H$458</f>
        <v>0</v>
      </c>
      <c r="J484" s="2744"/>
      <c r="K484" s="226" t="n">
        <f aca="false">D484-J484</f>
        <v>0</v>
      </c>
      <c r="L484" s="2795" t="s">
        <v>3709</v>
      </c>
      <c r="M484" s="2805"/>
      <c r="N484" s="2806"/>
    </row>
    <row r="485" customFormat="false" ht="15.5" hidden="false" customHeight="false" outlineLevel="0" collapsed="false">
      <c r="A485" s="2719"/>
      <c r="B485" s="298" t="str">
        <f aca="false">дома!R1477</f>
        <v>нет</v>
      </c>
      <c r="C485" s="2765" t="str">
        <f aca="false">дома!S1477</f>
        <v>м2</v>
      </c>
      <c r="D485" s="122" t="n">
        <f aca="false">дома!T1477</f>
        <v>0</v>
      </c>
      <c r="E485" s="122" t="n">
        <f aca="false">дома!U1477</f>
        <v>0</v>
      </c>
      <c r="F485" s="298"/>
      <c r="G485" s="122" t="n">
        <f aca="false">IF(F485&gt;0,D485*F485,E485*D485)</f>
        <v>0</v>
      </c>
      <c r="H485" s="85" t="n">
        <f aca="false">D485*E485*$H$458</f>
        <v>0</v>
      </c>
      <c r="I485" s="2803" t="n">
        <f aca="false">IF(G485&gt;H485,G485,H485)*$H$458</f>
        <v>0</v>
      </c>
      <c r="J485" s="2744"/>
      <c r="K485" s="226" t="n">
        <f aca="false">D485-J485</f>
        <v>0</v>
      </c>
      <c r="L485" s="2796" t="s">
        <v>2385</v>
      </c>
      <c r="M485" s="2805"/>
      <c r="N485" s="2806"/>
    </row>
    <row r="486" customFormat="false" ht="15.5" hidden="false" customHeight="false" outlineLevel="0" collapsed="false">
      <c r="A486" s="2719"/>
      <c r="B486" s="298" t="str">
        <f aca="false">дома!R1478</f>
        <v>Саморезы 3,5 x 45</v>
      </c>
      <c r="C486" s="2765" t="str">
        <f aca="false">дома!S1478</f>
        <v>шт.</v>
      </c>
      <c r="D486" s="122" t="n">
        <f aca="false">дома!T1478</f>
        <v>0</v>
      </c>
      <c r="E486" s="122" t="n">
        <f aca="false">дома!U1478</f>
        <v>0.25</v>
      </c>
      <c r="F486" s="298"/>
      <c r="G486" s="122" t="n">
        <f aca="false">IF(F486&gt;0,D486*F486,E486*D486)</f>
        <v>0</v>
      </c>
      <c r="H486" s="85" t="n">
        <f aca="false">D486*E486*$H$458</f>
        <v>0</v>
      </c>
      <c r="I486" s="2803" t="n">
        <f aca="false">IF(G486&gt;H486,G486,H486)*$H$458</f>
        <v>0</v>
      </c>
      <c r="J486" s="2744"/>
      <c r="K486" s="226" t="n">
        <f aca="false">D486-J486</f>
        <v>0</v>
      </c>
      <c r="L486" s="2788" t="s">
        <v>3714</v>
      </c>
      <c r="M486" s="2805"/>
      <c r="N486" s="2806"/>
    </row>
    <row r="487" customFormat="false" ht="15.5" hidden="false" customHeight="false" outlineLevel="0" collapsed="false">
      <c r="A487" s="2719"/>
      <c r="B487" s="298" t="str">
        <f aca="false">дома!R1479</f>
        <v>нет</v>
      </c>
      <c r="C487" s="2765" t="str">
        <f aca="false">дома!S1479</f>
        <v>м.п.</v>
      </c>
      <c r="D487" s="122" t="n">
        <f aca="false">дома!T1479</f>
        <v>192</v>
      </c>
      <c r="E487" s="122" t="n">
        <f aca="false">дома!U1479</f>
        <v>0</v>
      </c>
      <c r="F487" s="298"/>
      <c r="G487" s="122" t="n">
        <f aca="false">IF(F487&gt;0,D487*F487,E487*D487)</f>
        <v>0</v>
      </c>
      <c r="H487" s="85" t="n">
        <f aca="false">D487*E487*$H$458</f>
        <v>0</v>
      </c>
      <c r="I487" s="2803" t="n">
        <f aca="false">IF(G487&gt;H487,G487,H487)*$H$458</f>
        <v>0</v>
      </c>
      <c r="J487" s="2744"/>
      <c r="K487" s="226" t="n">
        <f aca="false">D487-J487</f>
        <v>192</v>
      </c>
      <c r="L487" s="2788" t="s">
        <v>3715</v>
      </c>
      <c r="M487" s="2805"/>
      <c r="N487" s="2806"/>
    </row>
    <row r="488" customFormat="false" ht="15.5" hidden="false" customHeight="false" outlineLevel="0" collapsed="false">
      <c r="A488" s="2719"/>
      <c r="B488" s="298" t="str">
        <f aca="false">дома!R1480</f>
        <v>нет</v>
      </c>
      <c r="C488" s="2765" t="str">
        <f aca="false">дома!S1480</f>
        <v>м.п.</v>
      </c>
      <c r="D488" s="122" t="n">
        <f aca="false">дома!T1480</f>
        <v>192</v>
      </c>
      <c r="E488" s="122" t="n">
        <f aca="false">дома!U1480</f>
        <v>0</v>
      </c>
      <c r="F488" s="298"/>
      <c r="G488" s="122" t="n">
        <f aca="false">IF(F488&gt;0,D488*F488,E488*D488)</f>
        <v>0</v>
      </c>
      <c r="H488" s="85" t="n">
        <f aca="false">D488*E488*$H$458</f>
        <v>0</v>
      </c>
      <c r="I488" s="2803" t="n">
        <f aca="false">IF(G488&gt;H488,G488,H488)*$H$458</f>
        <v>0</v>
      </c>
      <c r="J488" s="2744"/>
      <c r="K488" s="226" t="n">
        <f aca="false">D488-J488</f>
        <v>192</v>
      </c>
      <c r="L488" s="2788" t="s">
        <v>3716</v>
      </c>
      <c r="M488" s="2805"/>
      <c r="N488" s="2806"/>
    </row>
    <row r="489" customFormat="false" ht="15.5" hidden="false" customHeight="false" outlineLevel="0" collapsed="false">
      <c r="A489" s="2719"/>
      <c r="B489" s="298" t="n">
        <f aca="false">дома!R1481</f>
        <v>0</v>
      </c>
      <c r="C489" s="2765" t="str">
        <f aca="false">дома!S1481</f>
        <v>шт.</v>
      </c>
      <c r="D489" s="122" t="n">
        <f aca="false">дома!T1481</f>
        <v>384</v>
      </c>
      <c r="E489" s="122" t="n">
        <f aca="false">дома!U1481</f>
        <v>0</v>
      </c>
      <c r="F489" s="298"/>
      <c r="G489" s="122" t="n">
        <f aca="false">IF(F489&gt;0,D489*F489,E489*D489)</f>
        <v>0</v>
      </c>
      <c r="H489" s="85" t="n">
        <f aca="false">D489*E489*$H$458</f>
        <v>0</v>
      </c>
      <c r="I489" s="2803" t="n">
        <f aca="false">IF(G489&gt;H489,G489,H489)*$H$458</f>
        <v>0</v>
      </c>
      <c r="J489" s="2744"/>
      <c r="K489" s="226" t="n">
        <f aca="false">D489-J489</f>
        <v>384</v>
      </c>
      <c r="L489" s="2788" t="s">
        <v>3720</v>
      </c>
      <c r="M489" s="2805"/>
      <c r="N489" s="2806"/>
    </row>
    <row r="490" customFormat="false" ht="15.5" hidden="false" customHeight="false" outlineLevel="0" collapsed="false">
      <c r="A490" s="2719"/>
      <c r="B490" s="298" t="str">
        <f aca="false">дома!R1482</f>
        <v>Кровельный саморез</v>
      </c>
      <c r="C490" s="2765" t="str">
        <f aca="false">дома!S1482</f>
        <v>шт.</v>
      </c>
      <c r="D490" s="122" t="n">
        <f aca="false">дома!T1482</f>
        <v>0</v>
      </c>
      <c r="E490" s="122" t="n">
        <f aca="false">дома!U1482</f>
        <v>2</v>
      </c>
      <c r="F490" s="298"/>
      <c r="G490" s="122" t="n">
        <f aca="false">IF(F490&gt;0,D490*F490,E490*D490)</f>
        <v>0</v>
      </c>
      <c r="H490" s="85" t="n">
        <f aca="false">D490*E490*$H$458</f>
        <v>0</v>
      </c>
      <c r="I490" s="2803" t="n">
        <f aca="false">IF(G490&gt;H490,G490,H490)*$H$458</f>
        <v>0</v>
      </c>
      <c r="J490" s="2744"/>
      <c r="K490" s="226" t="n">
        <f aca="false">D490-J490</f>
        <v>0</v>
      </c>
      <c r="L490" s="2788" t="s">
        <v>3723</v>
      </c>
      <c r="M490" s="2805"/>
      <c r="N490" s="2806"/>
    </row>
    <row r="491" customFormat="false" ht="15.5" hidden="false" customHeight="false" outlineLevel="0" collapsed="false">
      <c r="A491" s="2719"/>
      <c r="B491" s="298" t="str">
        <f aca="false">дома!R1483</f>
        <v>нет</v>
      </c>
      <c r="C491" s="2765" t="str">
        <f aca="false">дома!S1483</f>
        <v>м.п.</v>
      </c>
      <c r="D491" s="122" t="n">
        <f aca="false">дома!T1483</f>
        <v>192</v>
      </c>
      <c r="E491" s="122" t="n">
        <f aca="false">дома!U1483</f>
        <v>0</v>
      </c>
      <c r="F491" s="298"/>
      <c r="G491" s="122" t="n">
        <f aca="false">IF(F491&gt;0,D491*F491,E491*D491)</f>
        <v>0</v>
      </c>
      <c r="H491" s="85" t="n">
        <f aca="false">D491*E491*$H$458</f>
        <v>0</v>
      </c>
      <c r="I491" s="2803" t="n">
        <f aca="false">IF(G491&gt;H491,G491,H491)*$H$458</f>
        <v>0</v>
      </c>
      <c r="J491" s="2744"/>
      <c r="K491" s="226" t="n">
        <f aca="false">D491-J491</f>
        <v>192</v>
      </c>
      <c r="L491" s="2796" t="s">
        <v>3726</v>
      </c>
      <c r="M491" s="2805"/>
      <c r="N491" s="2806"/>
    </row>
    <row r="492" customFormat="false" ht="15.5" hidden="false" customHeight="false" outlineLevel="0" collapsed="false">
      <c r="A492" s="2719"/>
      <c r="B492" s="298" t="str">
        <f aca="false">дома!R1484</f>
        <v>нет</v>
      </c>
      <c r="C492" s="2765" t="str">
        <f aca="false">дома!S1484</f>
        <v>м.п.</v>
      </c>
      <c r="D492" s="122" t="n">
        <f aca="false">дома!T1484</f>
        <v>110</v>
      </c>
      <c r="E492" s="122" t="n">
        <f aca="false">дома!U1484</f>
        <v>0</v>
      </c>
      <c r="F492" s="298"/>
      <c r="G492" s="122" t="n">
        <f aca="false">IF(F492&gt;0,D492*F492,E492*D492)</f>
        <v>0</v>
      </c>
      <c r="H492" s="85" t="n">
        <f aca="false">D492*E492*$H$458</f>
        <v>0</v>
      </c>
      <c r="I492" s="2803" t="n">
        <f aca="false">IF(G492&gt;H492,G492,H492)*$H$458</f>
        <v>0</v>
      </c>
      <c r="J492" s="2744"/>
      <c r="K492" s="226" t="n">
        <f aca="false">D492-J492</f>
        <v>110</v>
      </c>
      <c r="L492" s="2788" t="s">
        <v>3728</v>
      </c>
      <c r="M492" s="2805"/>
      <c r="N492" s="2806"/>
    </row>
    <row r="493" customFormat="false" ht="15.5" hidden="false" customHeight="false" outlineLevel="0" collapsed="false">
      <c r="A493" s="2719"/>
      <c r="B493" s="298" t="n">
        <f aca="false">дома!R1485</f>
        <v>0</v>
      </c>
      <c r="C493" s="2765" t="str">
        <f aca="false">дома!S1485</f>
        <v>шт.</v>
      </c>
      <c r="D493" s="122" t="n">
        <f aca="false">дома!T1485</f>
        <v>384</v>
      </c>
      <c r="E493" s="122" t="n">
        <f aca="false">дома!U1485</f>
        <v>0</v>
      </c>
      <c r="F493" s="298"/>
      <c r="G493" s="122" t="n">
        <f aca="false">IF(F493&gt;0,D493*F493,E493*D493)</f>
        <v>0</v>
      </c>
      <c r="H493" s="85" t="n">
        <f aca="false">D493*E493*$H$458</f>
        <v>0</v>
      </c>
      <c r="I493" s="2803" t="n">
        <f aca="false">IF(G493&gt;H493,G493,H493)*$H$458</f>
        <v>0</v>
      </c>
      <c r="J493" s="2744"/>
      <c r="K493" s="226" t="n">
        <f aca="false">D493-J493</f>
        <v>384</v>
      </c>
      <c r="L493" s="2788" t="s">
        <v>3729</v>
      </c>
      <c r="M493" s="2805"/>
      <c r="N493" s="2806"/>
    </row>
    <row r="494" customFormat="false" ht="15.5" hidden="false" customHeight="false" outlineLevel="0" collapsed="false">
      <c r="A494" s="2719"/>
      <c r="B494" s="298" t="str">
        <f aca="false">дома!R1486</f>
        <v>Кровельный саморез</v>
      </c>
      <c r="C494" s="2765" t="str">
        <f aca="false">дома!S1486</f>
        <v>шт.</v>
      </c>
      <c r="D494" s="122" t="n">
        <f aca="false">дома!T1486</f>
        <v>0</v>
      </c>
      <c r="E494" s="122" t="n">
        <f aca="false">дома!U1486</f>
        <v>2</v>
      </c>
      <c r="F494" s="298"/>
      <c r="G494" s="122" t="n">
        <f aca="false">IF(F494&gt;0,D494*F494,E494*D494)</f>
        <v>0</v>
      </c>
      <c r="H494" s="85" t="n">
        <f aca="false">D494*E494*$H$458</f>
        <v>0</v>
      </c>
      <c r="I494" s="2803" t="n">
        <f aca="false">IF(G494&gt;H494,G494,H494)*$H$458</f>
        <v>0</v>
      </c>
      <c r="J494" s="2744"/>
      <c r="K494" s="226" t="n">
        <f aca="false">D494-J494</f>
        <v>0</v>
      </c>
      <c r="L494" s="2788" t="s">
        <v>3730</v>
      </c>
      <c r="M494" s="2805"/>
      <c r="N494" s="2806"/>
    </row>
    <row r="495" customFormat="false" ht="15.5" hidden="false" customHeight="false" outlineLevel="0" collapsed="false">
      <c r="A495" s="2719"/>
      <c r="B495" s="298" t="str">
        <f aca="false">дома!R1487</f>
        <v>Саморезы 3,5 x 25</v>
      </c>
      <c r="C495" s="2765" t="str">
        <f aca="false">дома!S1487</f>
        <v>шт.</v>
      </c>
      <c r="D495" s="122" t="n">
        <f aca="false">дома!T1487</f>
        <v>0</v>
      </c>
      <c r="E495" s="122" t="n">
        <f aca="false">дома!U1487</f>
        <v>0.2</v>
      </c>
      <c r="F495" s="298"/>
      <c r="G495" s="122" t="n">
        <f aca="false">IF(F495&gt;0,D495*F495,E495*D495)</f>
        <v>0</v>
      </c>
      <c r="H495" s="85" t="n">
        <f aca="false">D495*E495*$H$458</f>
        <v>0</v>
      </c>
      <c r="I495" s="2803" t="n">
        <f aca="false">IF(G495&gt;H495,G495,H495)*$H$458</f>
        <v>0</v>
      </c>
      <c r="J495" s="2744"/>
      <c r="K495" s="226" t="n">
        <f aca="false">D495-J495</f>
        <v>0</v>
      </c>
      <c r="L495" s="2788" t="s">
        <v>3713</v>
      </c>
      <c r="M495" s="2805"/>
      <c r="N495" s="2806"/>
    </row>
    <row r="496" customFormat="false" ht="15.5" hidden="false" customHeight="false" outlineLevel="0" collapsed="false">
      <c r="A496" s="2719"/>
      <c r="B496" s="298" t="str">
        <f aca="false">дома!R1488</f>
        <v>Саморезы 3,5 x 25</v>
      </c>
      <c r="C496" s="2765" t="str">
        <f aca="false">дома!S1488</f>
        <v>шт.</v>
      </c>
      <c r="D496" s="122" t="n">
        <f aca="false">дома!T1488</f>
        <v>1200</v>
      </c>
      <c r="E496" s="122" t="n">
        <f aca="false">дома!U1488</f>
        <v>0.2</v>
      </c>
      <c r="F496" s="298"/>
      <c r="G496" s="122" t="n">
        <f aca="false">IF(F496&gt;0,D496*F496,E496*D496)</f>
        <v>240</v>
      </c>
      <c r="H496" s="85" t="n">
        <f aca="false">D496*E496*$H$458</f>
        <v>0</v>
      </c>
      <c r="I496" s="2803" t="n">
        <f aca="false">IF(G496&gt;H496,G496,H496)*$H$458</f>
        <v>0</v>
      </c>
      <c r="J496" s="2744"/>
      <c r="K496" s="226" t="n">
        <f aca="false">D496-J496</f>
        <v>1200</v>
      </c>
      <c r="L496" s="2788" t="s">
        <v>3732</v>
      </c>
      <c r="M496" s="2805"/>
      <c r="N496" s="2806"/>
    </row>
    <row r="497" customFormat="false" ht="15.5" hidden="false" customHeight="false" outlineLevel="0" collapsed="false">
      <c r="A497" s="2719"/>
      <c r="B497" s="298" t="str">
        <f aca="false">дома!AC1469</f>
        <v>ГПС 120х50-1,5</v>
      </c>
      <c r="C497" s="2765" t="str">
        <f aca="false">дома!AD1469</f>
        <v>м3</v>
      </c>
      <c r="D497" s="122" t="n">
        <f aca="false">дома!AE1469</f>
        <v>0</v>
      </c>
      <c r="E497" s="122" t="n">
        <f aca="false">дома!AF1469</f>
        <v>224</v>
      </c>
      <c r="F497" s="298"/>
      <c r="G497" s="122" t="n">
        <f aca="false">IF(F497&gt;0,D497*F497,E497*D497)</f>
        <v>0</v>
      </c>
      <c r="H497" s="85" t="n">
        <f aca="false">D497*E497*$H$458</f>
        <v>0</v>
      </c>
      <c r="I497" s="2803" t="n">
        <f aca="false">IF(G497&gt;H497,G497,H497)*$H$458</f>
        <v>0</v>
      </c>
      <c r="J497" s="2744"/>
      <c r="K497" s="226" t="n">
        <f aca="false">D497-J497</f>
        <v>0</v>
      </c>
      <c r="L497" s="2795" t="s">
        <v>3706</v>
      </c>
      <c r="M497" s="2805"/>
      <c r="N497" s="2806"/>
    </row>
    <row r="498" customFormat="false" ht="15.5" hidden="false" customHeight="false" outlineLevel="0" collapsed="false">
      <c r="A498" s="2719"/>
      <c r="B498" s="298" t="str">
        <f aca="false">дома!AC1470</f>
        <v>ГПС 170х50-2,0</v>
      </c>
      <c r="C498" s="2765" t="str">
        <f aca="false">дома!AD1470</f>
        <v>м3</v>
      </c>
      <c r="D498" s="122" t="n">
        <f aca="false">дома!AE1470</f>
        <v>0</v>
      </c>
      <c r="E498" s="122" t="n">
        <f aca="false">дома!AF1470</f>
        <v>358</v>
      </c>
      <c r="F498" s="298"/>
      <c r="G498" s="122" t="n">
        <f aca="false">IF(F498&gt;0,D498*F498,E498*D498)</f>
        <v>0</v>
      </c>
      <c r="H498" s="85" t="n">
        <f aca="false">D498*E498*$H$458</f>
        <v>0</v>
      </c>
      <c r="I498" s="2803" t="n">
        <f aca="false">IF(G498&gt;H498,G498,H498)*$H$458</f>
        <v>0</v>
      </c>
      <c r="J498" s="2744"/>
      <c r="K498" s="226" t="n">
        <f aca="false">D498-J498</f>
        <v>0</v>
      </c>
      <c r="L498" s="2795" t="s">
        <v>3707</v>
      </c>
      <c r="M498" s="2805"/>
      <c r="N498" s="2806"/>
    </row>
    <row r="499" customFormat="false" ht="15.5" hidden="false" customHeight="false" outlineLevel="0" collapsed="false">
      <c r="A499" s="2719"/>
      <c r="B499" s="298" t="str">
        <f aca="false">дома!AC1471</f>
        <v>Лист ГВЛВ 2500х1200х10 мм</v>
      </c>
      <c r="C499" s="2765" t="str">
        <f aca="false">дома!AD1471</f>
        <v>м2</v>
      </c>
      <c r="D499" s="122" t="n">
        <f aca="false">дома!AE1471</f>
        <v>100</v>
      </c>
      <c r="E499" s="122" t="n">
        <f aca="false">дома!AF1471</f>
        <v>150</v>
      </c>
      <c r="F499" s="298"/>
      <c r="G499" s="122" t="n">
        <f aca="false">IF(F499&gt;0,D499*F499,E499*D499)</f>
        <v>15000</v>
      </c>
      <c r="H499" s="85" t="n">
        <f aca="false">D499*E499*$H$458</f>
        <v>0</v>
      </c>
      <c r="I499" s="2803" t="n">
        <f aca="false">IF(G499&gt;H499,G499,H499)*$H$458</f>
        <v>0</v>
      </c>
      <c r="J499" s="2744"/>
      <c r="K499" s="226" t="n">
        <f aca="false">D499-J499</f>
        <v>100</v>
      </c>
      <c r="L499" s="2788" t="s">
        <v>2387</v>
      </c>
      <c r="M499" s="2805"/>
      <c r="N499" s="2806"/>
    </row>
    <row r="500" customFormat="false" ht="15.5" hidden="false" customHeight="false" outlineLevel="0" collapsed="false">
      <c r="A500" s="2719"/>
      <c r="B500" s="298" t="str">
        <f aca="false">дома!AC1472</f>
        <v>нет</v>
      </c>
      <c r="C500" s="2765" t="str">
        <f aca="false">дома!AD1472</f>
        <v>м.п.</v>
      </c>
      <c r="D500" s="122" t="n">
        <f aca="false">дома!AE1472</f>
        <v>0</v>
      </c>
      <c r="E500" s="122" t="n">
        <f aca="false">дома!AF1472</f>
        <v>0</v>
      </c>
      <c r="F500" s="298"/>
      <c r="G500" s="122" t="n">
        <f aca="false">IF(F500&gt;0,D500*F500,E500*D500)</f>
        <v>0</v>
      </c>
      <c r="H500" s="85" t="n">
        <f aca="false">D500*E500*$H$458</f>
        <v>0</v>
      </c>
      <c r="I500" s="2803" t="n">
        <f aca="false">IF(G500&gt;H500,G500,H500)*$H$458</f>
        <v>0</v>
      </c>
      <c r="J500" s="2744"/>
      <c r="K500" s="226" t="n">
        <f aca="false">D500-J500</f>
        <v>0</v>
      </c>
      <c r="L500" s="2796" t="s">
        <v>2390</v>
      </c>
      <c r="M500" s="2805"/>
      <c r="N500" s="2806"/>
    </row>
    <row r="501" customFormat="false" ht="15.5" hidden="false" customHeight="false" outlineLevel="0" collapsed="false">
      <c r="A501" s="2719"/>
      <c r="B501" s="298" t="str">
        <f aca="false">дома!AC1473</f>
        <v>Нет</v>
      </c>
      <c r="C501" s="2765" t="str">
        <f aca="false">дома!AD1473</f>
        <v>м3</v>
      </c>
      <c r="D501" s="122" t="n">
        <f aca="false">дома!AE1473</f>
        <v>0</v>
      </c>
      <c r="E501" s="122" t="n">
        <f aca="false">дома!AF1473</f>
        <v>0</v>
      </c>
      <c r="F501" s="298"/>
      <c r="G501" s="122" t="n">
        <f aca="false">IF(F501&gt;0,D501*F501,E501*D501)</f>
        <v>0</v>
      </c>
      <c r="H501" s="85" t="n">
        <f aca="false">D501*E501*$H$458</f>
        <v>0</v>
      </c>
      <c r="I501" s="2803" t="n">
        <f aca="false">IF(G501&gt;H501,G501,H501)*$H$458</f>
        <v>0</v>
      </c>
      <c r="J501" s="2744"/>
      <c r="K501" s="226" t="n">
        <f aca="false">D501-J501</f>
        <v>0</v>
      </c>
      <c r="L501" s="2788" t="s">
        <v>2234</v>
      </c>
      <c r="M501" s="2805"/>
      <c r="N501" s="2806"/>
    </row>
    <row r="502" customFormat="false" ht="15.5" hidden="false" customHeight="false" outlineLevel="0" collapsed="false">
      <c r="A502" s="2719"/>
      <c r="B502" s="298" t="str">
        <f aca="false">дома!AC1474</f>
        <v>Нет</v>
      </c>
      <c r="C502" s="2765" t="str">
        <f aca="false">дома!AD1474</f>
        <v>м3</v>
      </c>
      <c r="D502" s="122" t="n">
        <f aca="false">дома!AE1474</f>
        <v>0</v>
      </c>
      <c r="E502" s="122" t="n">
        <f aca="false">дома!AF1474</f>
        <v>0</v>
      </c>
      <c r="F502" s="298"/>
      <c r="G502" s="122" t="n">
        <f aca="false">IF(F502&gt;0,D502*F502,E502*D502)</f>
        <v>0</v>
      </c>
      <c r="H502" s="85" t="n">
        <f aca="false">D502*E502*$H$458</f>
        <v>0</v>
      </c>
      <c r="I502" s="2803" t="n">
        <f aca="false">IF(G502&gt;H502,G502,H502)*$H$458</f>
        <v>0</v>
      </c>
      <c r="J502" s="2744"/>
      <c r="K502" s="226" t="n">
        <f aca="false">D502-J502</f>
        <v>0</v>
      </c>
      <c r="L502" s="2788" t="s">
        <v>2384</v>
      </c>
      <c r="M502" s="2805"/>
      <c r="N502" s="2806"/>
    </row>
    <row r="503" customFormat="false" ht="15.5" hidden="false" customHeight="false" outlineLevel="0" collapsed="false">
      <c r="A503" s="2719"/>
      <c r="B503" s="298" t="str">
        <f aca="false">дома!AC1475</f>
        <v>нет</v>
      </c>
      <c r="C503" s="2765" t="str">
        <f aca="false">дома!AD1475</f>
        <v>м2</v>
      </c>
      <c r="D503" s="122" t="n">
        <f aca="false">дома!AE1475</f>
        <v>0</v>
      </c>
      <c r="E503" s="122" t="n">
        <f aca="false">дома!AF1475</f>
        <v>0</v>
      </c>
      <c r="F503" s="298"/>
      <c r="G503" s="122" t="n">
        <f aca="false">IF(F503&gt;0,D503*F503,E503*D503)</f>
        <v>0</v>
      </c>
      <c r="H503" s="85" t="n">
        <f aca="false">D503*E503*$H$458</f>
        <v>0</v>
      </c>
      <c r="I503" s="2803" t="n">
        <f aca="false">IF(G503&gt;H503,G503,H503)*$H$458</f>
        <v>0</v>
      </c>
      <c r="J503" s="2744"/>
      <c r="K503" s="226" t="n">
        <f aca="false">D503-J503</f>
        <v>0</v>
      </c>
      <c r="L503" s="2796" t="s">
        <v>2062</v>
      </c>
      <c r="M503" s="2805"/>
      <c r="N503" s="2806"/>
    </row>
    <row r="504" customFormat="false" ht="15.5" hidden="false" customHeight="false" outlineLevel="0" collapsed="false">
      <c r="A504" s="2719"/>
      <c r="B504" s="298" t="str">
        <f aca="false">дома!AC1476</f>
        <v>нет</v>
      </c>
      <c r="C504" s="2765" t="str">
        <f aca="false">дома!AD1476</f>
        <v>м2</v>
      </c>
      <c r="D504" s="122" t="n">
        <f aca="false">дома!AE1476</f>
        <v>0</v>
      </c>
      <c r="E504" s="122" t="n">
        <f aca="false">дома!AF1476</f>
        <v>0</v>
      </c>
      <c r="F504" s="298"/>
      <c r="G504" s="122" t="n">
        <f aca="false">IF(F504&gt;0,D504*F504,E504*D504)</f>
        <v>0</v>
      </c>
      <c r="H504" s="85" t="n">
        <f aca="false">D504*E504*$H$458</f>
        <v>0</v>
      </c>
      <c r="I504" s="2803" t="n">
        <f aca="false">IF(G504&gt;H504,G504,H504)*$H$458</f>
        <v>0</v>
      </c>
      <c r="J504" s="2744"/>
      <c r="K504" s="226" t="n">
        <f aca="false">D504-J504</f>
        <v>0</v>
      </c>
      <c r="L504" s="2788" t="s">
        <v>3711</v>
      </c>
      <c r="M504" s="2805"/>
      <c r="N504" s="2806"/>
    </row>
    <row r="505" customFormat="false" ht="15.5" hidden="false" customHeight="false" outlineLevel="0" collapsed="false">
      <c r="A505" s="2719"/>
      <c r="B505" s="298" t="str">
        <f aca="false">дома!AC1477</f>
        <v>нет</v>
      </c>
      <c r="C505" s="2765" t="str">
        <f aca="false">дома!AD1477</f>
        <v>м2</v>
      </c>
      <c r="D505" s="122" t="n">
        <f aca="false">дома!AE1477</f>
        <v>0</v>
      </c>
      <c r="E505" s="122" t="n">
        <f aca="false">дома!AF1477</f>
        <v>0</v>
      </c>
      <c r="F505" s="298"/>
      <c r="G505" s="122" t="n">
        <f aca="false">IF(F505&gt;0,D505*F505,E505*D505)</f>
        <v>0</v>
      </c>
      <c r="H505" s="85" t="n">
        <f aca="false">D505*E505*$H$458</f>
        <v>0</v>
      </c>
      <c r="I505" s="2803" t="n">
        <f aca="false">IF(G505&gt;H505,G505,H505)*$H$458</f>
        <v>0</v>
      </c>
      <c r="J505" s="2744"/>
      <c r="K505" s="226" t="n">
        <f aca="false">D505-J505</f>
        <v>0</v>
      </c>
      <c r="L505" s="2788" t="s">
        <v>3712</v>
      </c>
      <c r="M505" s="2805"/>
      <c r="N505" s="2806"/>
    </row>
    <row r="506" customFormat="false" ht="15.5" hidden="false" customHeight="false" outlineLevel="0" collapsed="false">
      <c r="A506" s="2719"/>
      <c r="B506" s="298" t="str">
        <f aca="false">дома!AC1478</f>
        <v>Саморезы 3,5 x 25</v>
      </c>
      <c r="C506" s="2765" t="str">
        <f aca="false">дома!AD1478</f>
        <v>шт</v>
      </c>
      <c r="D506" s="122" t="n">
        <f aca="false">дома!AE1478</f>
        <v>0</v>
      </c>
      <c r="E506" s="122" t="n">
        <f aca="false">дома!AF1478</f>
        <v>0.2</v>
      </c>
      <c r="F506" s="298"/>
      <c r="G506" s="122" t="n">
        <f aca="false">IF(F506&gt;0,D506*F506,E506*D506)</f>
        <v>0</v>
      </c>
      <c r="H506" s="85" t="n">
        <f aca="false">D506*E506*$H$458</f>
        <v>0</v>
      </c>
      <c r="I506" s="2803" t="n">
        <f aca="false">IF(G506&gt;H506,G506,H506)*$H$458</f>
        <v>0</v>
      </c>
      <c r="J506" s="2744"/>
      <c r="K506" s="226" t="n">
        <f aca="false">D506-J506</f>
        <v>0</v>
      </c>
      <c r="L506" s="2788" t="s">
        <v>3713</v>
      </c>
      <c r="M506" s="2805"/>
      <c r="N506" s="2806"/>
    </row>
    <row r="507" customFormat="false" ht="15.5" hidden="false" customHeight="false" outlineLevel="0" collapsed="false">
      <c r="A507" s="2719"/>
      <c r="B507" s="298" t="str">
        <f aca="false">дома!AC1479</f>
        <v>Гвозди ершоные 2,8 х 90</v>
      </c>
      <c r="C507" s="2765" t="str">
        <f aca="false">дома!AD1479</f>
        <v>кг</v>
      </c>
      <c r="D507" s="122" t="n">
        <f aca="false">дома!AE1479</f>
        <v>0</v>
      </c>
      <c r="E507" s="122" t="n">
        <f aca="false">дома!AF1479</f>
        <v>76.49</v>
      </c>
      <c r="F507" s="298"/>
      <c r="G507" s="122" t="n">
        <f aca="false">IF(F507&gt;0,D507*F507,E507*D507)</f>
        <v>0</v>
      </c>
      <c r="H507" s="85" t="n">
        <f aca="false">D507*E507*$H$458</f>
        <v>0</v>
      </c>
      <c r="I507" s="2803" t="n">
        <f aca="false">IF(G507&gt;H507,G507,H507)*$H$458</f>
        <v>0</v>
      </c>
      <c r="J507" s="2744"/>
      <c r="K507" s="226" t="n">
        <f aca="false">D507-J507</f>
        <v>0</v>
      </c>
      <c r="L507" s="2807"/>
      <c r="M507" s="2805"/>
      <c r="N507" s="2806"/>
    </row>
    <row r="508" customFormat="false" ht="15.5" hidden="false" customHeight="false" outlineLevel="0" collapsed="false">
      <c r="A508" s="2719"/>
      <c r="B508" s="298" t="str">
        <f aca="false">дома!AC1480</f>
        <v>Гвозди ершоные 3,4 x 60</v>
      </c>
      <c r="C508" s="2765" t="str">
        <f aca="false">дома!AD1480</f>
        <v>кг</v>
      </c>
      <c r="D508" s="122" t="n">
        <f aca="false">дома!AE1480</f>
        <v>0</v>
      </c>
      <c r="E508" s="122" t="n">
        <f aca="false">дома!AF1480</f>
        <v>75.51</v>
      </c>
      <c r="F508" s="298"/>
      <c r="G508" s="122" t="n">
        <f aca="false">IF(F508&gt;0,D508*F508,E508*D508)</f>
        <v>0</v>
      </c>
      <c r="H508" s="85" t="n">
        <f aca="false">D508*E508*$H$458</f>
        <v>0</v>
      </c>
      <c r="I508" s="2803" t="n">
        <f aca="false">IF(G508&gt;H508,G508,H508)*$H$458</f>
        <v>0</v>
      </c>
      <c r="J508" s="2744"/>
      <c r="K508" s="226" t="n">
        <f aca="false">D508-J508</f>
        <v>0</v>
      </c>
      <c r="L508" s="2807"/>
      <c r="M508" s="2805"/>
      <c r="N508" s="2806"/>
    </row>
    <row r="509" customFormat="false" ht="15.5" hidden="false" customHeight="false" outlineLevel="0" collapsed="false">
      <c r="A509" s="2719"/>
      <c r="B509" s="298" t="str">
        <f aca="false">дома!AC1481</f>
        <v>нет ветроизоляции</v>
      </c>
      <c r="C509" s="2765" t="str">
        <f aca="false">дома!AD1481</f>
        <v>м2</v>
      </c>
      <c r="D509" s="122" t="n">
        <f aca="false">дома!AE1481</f>
        <v>0</v>
      </c>
      <c r="E509" s="122" t="n">
        <f aca="false">дома!AF1481</f>
        <v>0</v>
      </c>
      <c r="F509" s="298"/>
      <c r="G509" s="122" t="n">
        <f aca="false">IF(F509&gt;0,D509*F509,E509*D509)</f>
        <v>0</v>
      </c>
      <c r="H509" s="85" t="n">
        <f aca="false">D509*E509*$H$458</f>
        <v>0</v>
      </c>
      <c r="I509" s="2803" t="n">
        <f aca="false">IF(G509&gt;H509,G509,H509)*$H$458</f>
        <v>0</v>
      </c>
      <c r="J509" s="2744"/>
      <c r="K509" s="226" t="n">
        <f aca="false">D509-J509</f>
        <v>0</v>
      </c>
      <c r="L509" s="2788" t="s">
        <v>3717</v>
      </c>
      <c r="M509" s="2805"/>
      <c r="N509" s="2806"/>
    </row>
    <row r="510" customFormat="false" ht="15.5" hidden="false" customHeight="false" outlineLevel="0" collapsed="false">
      <c r="A510" s="2719"/>
      <c r="B510" s="298" t="str">
        <f aca="false">дома!AC1482</f>
        <v>нет пароизоляции</v>
      </c>
      <c r="C510" s="2765" t="str">
        <f aca="false">дома!AD1482</f>
        <v>м2</v>
      </c>
      <c r="D510" s="122" t="n">
        <f aca="false">дома!AE1482</f>
        <v>0</v>
      </c>
      <c r="E510" s="122" t="n">
        <f aca="false">дома!AF1482</f>
        <v>0</v>
      </c>
      <c r="F510" s="298"/>
      <c r="G510" s="122" t="n">
        <f aca="false">IF(F510&gt;0,D510*F510,E510*D510)</f>
        <v>0</v>
      </c>
      <c r="H510" s="85" t="n">
        <f aca="false">D510*E510*$H$458</f>
        <v>0</v>
      </c>
      <c r="I510" s="2803" t="n">
        <f aca="false">IF(G510&gt;H510,G510,H510)*$H$458</f>
        <v>0</v>
      </c>
      <c r="J510" s="2744"/>
      <c r="K510" s="226" t="n">
        <f aca="false">D510-J510</f>
        <v>0</v>
      </c>
      <c r="L510" s="2788" t="s">
        <v>3721</v>
      </c>
      <c r="M510" s="2805"/>
      <c r="N510" s="2806"/>
    </row>
    <row r="511" customFormat="false" ht="15.5" hidden="false" customHeight="false" outlineLevel="0" collapsed="false">
      <c r="A511" s="2719"/>
      <c r="B511" s="298" t="str">
        <f aca="false">дома!AC1483</f>
        <v>Скобы для степлера, 1000шт/уп</v>
      </c>
      <c r="C511" s="2765" t="str">
        <f aca="false">дома!AD1483</f>
        <v>уп</v>
      </c>
      <c r="D511" s="122" t="n">
        <f aca="false">дома!AE1483</f>
        <v>5</v>
      </c>
      <c r="E511" s="122" t="n">
        <f aca="false">дома!AF1483</f>
        <v>100</v>
      </c>
      <c r="F511" s="298"/>
      <c r="G511" s="122" t="n">
        <f aca="false">IF(F511&gt;0,D511*F511,E511*D511)</f>
        <v>500</v>
      </c>
      <c r="H511" s="85" t="n">
        <f aca="false">D511*E511*$H$458</f>
        <v>0</v>
      </c>
      <c r="I511" s="2803" t="n">
        <f aca="false">IF(G511&gt;H511,G511,H511)*$H$458</f>
        <v>0</v>
      </c>
      <c r="J511" s="2744"/>
      <c r="K511" s="226" t="n">
        <f aca="false">D511-J511</f>
        <v>5</v>
      </c>
      <c r="L511" s="2807"/>
      <c r="M511" s="2805"/>
      <c r="N511" s="2806"/>
    </row>
    <row r="512" customFormat="false" ht="15.5" hidden="false" customHeight="false" outlineLevel="0" collapsed="false">
      <c r="A512" s="2719"/>
      <c r="B512" s="2748" t="s">
        <v>4640</v>
      </c>
      <c r="C512" s="2748"/>
      <c r="D512" s="2748"/>
      <c r="E512" s="2748"/>
      <c r="F512" s="298"/>
      <c r="G512" s="122" t="n">
        <f aca="false">SUM(G460:G511)</f>
        <v>36609.8140143832</v>
      </c>
      <c r="H512" s="85" t="n">
        <f aca="false">SUM(H460:H511)</f>
        <v>0</v>
      </c>
      <c r="I512" s="2803" t="n">
        <f aca="false">IF(G512&gt;H512,G512,H512)*$H$458</f>
        <v>0</v>
      </c>
      <c r="J512" s="2744"/>
      <c r="K512" s="226" t="n">
        <f aca="false">D512-J512</f>
        <v>0</v>
      </c>
      <c r="L512" s="2807"/>
      <c r="M512" s="2805"/>
      <c r="N512" s="2806"/>
    </row>
    <row r="513" customFormat="false" ht="15.5" hidden="false" customHeight="false" outlineLevel="0" collapsed="false">
      <c r="A513" s="2719"/>
      <c r="B513" s="2750" t="s">
        <v>1409</v>
      </c>
      <c r="C513" s="2750"/>
      <c r="D513" s="2750"/>
      <c r="E513" s="2750"/>
      <c r="F513" s="2798"/>
      <c r="G513" s="905"/>
      <c r="H513" s="2799" t="n">
        <f aca="false">H458</f>
        <v>0</v>
      </c>
      <c r="I513" s="2751" t="n">
        <f aca="false">H513</f>
        <v>0</v>
      </c>
      <c r="J513" s="2800"/>
      <c r="K513" s="2753"/>
      <c r="L513" s="2752"/>
    </row>
    <row r="514" customFormat="false" ht="15.5" hidden="false" customHeight="false" outlineLevel="0" collapsed="false">
      <c r="A514" s="2719"/>
      <c r="B514" s="298" t="str">
        <f aca="false">дома!AL1466</f>
        <v>монтаж обвязки</v>
      </c>
      <c r="C514" s="2765" t="s">
        <v>156</v>
      </c>
      <c r="D514" s="122" t="n">
        <f aca="false">дома!AM1466</f>
        <v>0</v>
      </c>
      <c r="E514" s="298" t="n">
        <f aca="false">дома!AN1466</f>
        <v>200</v>
      </c>
      <c r="F514" s="298"/>
      <c r="G514" s="122" t="n">
        <f aca="false">IF(F514&gt;0,D514*F514,E514*D514)</f>
        <v>0</v>
      </c>
      <c r="H514" s="85" t="n">
        <f aca="false">D514*E514*$H$513</f>
        <v>0</v>
      </c>
      <c r="I514" s="2803" t="n">
        <f aca="false">IF(G514&gt;H514,G514,H514)*$H$458</f>
        <v>0</v>
      </c>
      <c r="J514" s="2800"/>
      <c r="K514" s="2719"/>
    </row>
    <row r="515" customFormat="false" ht="15.5" hidden="false" customHeight="false" outlineLevel="0" collapsed="false">
      <c r="A515" s="2719"/>
      <c r="B515" s="298" t="str">
        <f aca="false">дома!AL1467</f>
        <v>монтаж стен каркаса</v>
      </c>
      <c r="C515" s="2765" t="s">
        <v>133</v>
      </c>
      <c r="D515" s="122" t="n">
        <f aca="false">дома!AM1467</f>
        <v>0</v>
      </c>
      <c r="E515" s="298" t="n">
        <f aca="false">дома!AN1467</f>
        <v>400</v>
      </c>
      <c r="F515" s="298"/>
      <c r="G515" s="122" t="n">
        <f aca="false">IF(F515&gt;0,D515*F515,E515*D515)</f>
        <v>0</v>
      </c>
      <c r="H515" s="85" t="n">
        <f aca="false">D515*E515*$H$513</f>
        <v>0</v>
      </c>
      <c r="I515" s="2803" t="n">
        <f aca="false">IF(G515&gt;H515,G515,H515)*$H$458</f>
        <v>0</v>
      </c>
      <c r="J515" s="2800"/>
      <c r="K515" s="2719"/>
    </row>
    <row r="516" customFormat="false" ht="15.5" hidden="false" customHeight="false" outlineLevel="0" collapsed="false">
      <c r="A516" s="2719"/>
      <c r="B516" s="298" t="str">
        <f aca="false">дома!AL1468</f>
        <v>Монтаж несущих перегородок</v>
      </c>
      <c r="C516" s="2765" t="s">
        <v>133</v>
      </c>
      <c r="D516" s="122" t="n">
        <f aca="false">дома!AM1468</f>
        <v>0</v>
      </c>
      <c r="E516" s="298" t="n">
        <f aca="false">дома!AN1468</f>
        <v>400</v>
      </c>
      <c r="F516" s="298"/>
      <c r="G516" s="122" t="n">
        <f aca="false">IF(F516&gt;0,D516*F516,E516*D516)</f>
        <v>0</v>
      </c>
      <c r="H516" s="85" t="n">
        <f aca="false">D516*E516*$H$513</f>
        <v>0</v>
      </c>
      <c r="I516" s="2803" t="n">
        <f aca="false">IF(G516&gt;H516,G516,H516)*$H$458</f>
        <v>0</v>
      </c>
      <c r="J516" s="2800"/>
      <c r="K516" s="2719"/>
    </row>
    <row r="517" customFormat="false" ht="15.5" hidden="false" customHeight="false" outlineLevel="0" collapsed="false">
      <c r="A517" s="2719"/>
      <c r="B517" s="298" t="str">
        <f aca="false">дома!AL1469</f>
        <v>Монтаж перегородок</v>
      </c>
      <c r="C517" s="2765" t="s">
        <v>133</v>
      </c>
      <c r="D517" s="122" t="n">
        <f aca="false">дома!AM1469</f>
        <v>0</v>
      </c>
      <c r="E517" s="298" t="n">
        <f aca="false">дома!AN1469</f>
        <v>400</v>
      </c>
      <c r="F517" s="298"/>
      <c r="G517" s="122" t="n">
        <f aca="false">IF(F517&gt;0,D517*F517,E517*D517)</f>
        <v>0</v>
      </c>
      <c r="H517" s="85" t="n">
        <f aca="false">D517*E517*$H$513</f>
        <v>0</v>
      </c>
      <c r="I517" s="2803" t="n">
        <f aca="false">IF(G517&gt;H517,G517,H517)*$H$458</f>
        <v>0</v>
      </c>
      <c r="J517" s="2800"/>
      <c r="K517" s="2719"/>
    </row>
    <row r="518" customFormat="false" ht="15.5" hidden="false" customHeight="false" outlineLevel="0" collapsed="false">
      <c r="A518" s="2719"/>
      <c r="B518" s="298" t="str">
        <f aca="false">дома!AL1470</f>
        <v>Монтаж вентиляционного зазора</v>
      </c>
      <c r="C518" s="2765" t="s">
        <v>133</v>
      </c>
      <c r="D518" s="122" t="n">
        <f aca="false">дома!AM1470</f>
        <v>0</v>
      </c>
      <c r="E518" s="298" t="n">
        <f aca="false">дома!AN1470</f>
        <v>80</v>
      </c>
      <c r="F518" s="298"/>
      <c r="G518" s="122" t="n">
        <f aca="false">IF(F518&gt;0,D518*F518,E518*D518)</f>
        <v>0</v>
      </c>
      <c r="H518" s="85" t="n">
        <f aca="false">D518*E518*$H$513</f>
        <v>0</v>
      </c>
      <c r="I518" s="2803" t="n">
        <f aca="false">IF(G518&gt;H518,G518,H518)*$H$458</f>
        <v>0</v>
      </c>
      <c r="J518" s="2800"/>
      <c r="K518" s="2719"/>
    </row>
    <row r="519" customFormat="false" ht="15.5" hidden="false" customHeight="false" outlineLevel="0" collapsed="false">
      <c r="A519" s="2719"/>
      <c r="B519" s="298" t="str">
        <f aca="false">дома!AL1471</f>
        <v>Монтаж технологического зазора</v>
      </c>
      <c r="C519" s="2765" t="s">
        <v>133</v>
      </c>
      <c r="D519" s="122" t="n">
        <f aca="false">дома!AM1471</f>
        <v>0</v>
      </c>
      <c r="E519" s="298" t="n">
        <f aca="false">дома!AN1471</f>
        <v>80</v>
      </c>
      <c r="F519" s="298"/>
      <c r="G519" s="122" t="n">
        <f aca="false">IF(F519&gt;0,D519*F519,E519*D519)</f>
        <v>0</v>
      </c>
      <c r="H519" s="85" t="n">
        <f aca="false">D519*E519*$H$513</f>
        <v>0</v>
      </c>
      <c r="I519" s="2803" t="n">
        <f aca="false">IF(G519&gt;H519,G519,H519)*$H$458</f>
        <v>0</v>
      </c>
      <c r="J519" s="2800"/>
      <c r="K519" s="2719"/>
    </row>
    <row r="520" customFormat="false" ht="15.5" hidden="false" customHeight="false" outlineLevel="0" collapsed="false">
      <c r="A520" s="2719"/>
      <c r="B520" s="298" t="str">
        <f aca="false">дома!AL1472</f>
        <v>монтаж ветроизоляции стен</v>
      </c>
      <c r="C520" s="2765" t="s">
        <v>133</v>
      </c>
      <c r="D520" s="122" t="n">
        <f aca="false">дома!AM1472</f>
        <v>0</v>
      </c>
      <c r="E520" s="298" t="n">
        <f aca="false">дома!AN1472</f>
        <v>100</v>
      </c>
      <c r="F520" s="298"/>
      <c r="G520" s="122" t="n">
        <f aca="false">IF(F520&gt;0,D520*F520,E520*D520)</f>
        <v>0</v>
      </c>
      <c r="H520" s="85" t="n">
        <f aca="false">D520*E520*$H$513</f>
        <v>0</v>
      </c>
      <c r="I520" s="2803" t="n">
        <f aca="false">IF(G520&gt;H520,G520,H520)*$H$458</f>
        <v>0</v>
      </c>
      <c r="J520" s="2800"/>
      <c r="K520" s="2719"/>
    </row>
    <row r="521" customFormat="false" ht="15.5" hidden="false" customHeight="false" outlineLevel="0" collapsed="false">
      <c r="A521" s="2719"/>
      <c r="B521" s="298" t="str">
        <f aca="false">дома!AL1473</f>
        <v>монтаж пароизоляции стен</v>
      </c>
      <c r="C521" s="2765" t="s">
        <v>133</v>
      </c>
      <c r="D521" s="122" t="n">
        <f aca="false">дома!AM1473</f>
        <v>0</v>
      </c>
      <c r="E521" s="298" t="n">
        <f aca="false">дома!AN1473</f>
        <v>100</v>
      </c>
      <c r="F521" s="298"/>
      <c r="G521" s="122" t="n">
        <f aca="false">IF(F521&gt;0,D521*F521,E521*D521)</f>
        <v>0</v>
      </c>
      <c r="H521" s="85" t="n">
        <f aca="false">D521*E521*$H$513</f>
        <v>0</v>
      </c>
      <c r="I521" s="2803" t="n">
        <f aca="false">IF(G521&gt;H521,G521,H521)*$H$458</f>
        <v>0</v>
      </c>
      <c r="J521" s="2800"/>
      <c r="K521" s="2719"/>
    </row>
    <row r="522" customFormat="false" ht="15.5" hidden="false" customHeight="false" outlineLevel="0" collapsed="false">
      <c r="A522" s="2719"/>
      <c r="B522" s="298" t="str">
        <f aca="false">дома!AL1474</f>
        <v>монтаж osb/фанера наруж стены</v>
      </c>
      <c r="C522" s="2765" t="s">
        <v>133</v>
      </c>
      <c r="D522" s="122" t="n">
        <f aca="false">дома!AM1474</f>
        <v>0</v>
      </c>
      <c r="E522" s="298" t="n">
        <f aca="false">дома!AN1474</f>
        <v>200</v>
      </c>
      <c r="F522" s="298"/>
      <c r="G522" s="122" t="n">
        <f aca="false">IF(F522&gt;0,D522*F522,E522*D522)</f>
        <v>0</v>
      </c>
      <c r="H522" s="85" t="n">
        <f aca="false">D522*E522*$H$513</f>
        <v>0</v>
      </c>
      <c r="I522" s="2803" t="n">
        <f aca="false">IF(G522&gt;H522,G522,H522)*$H$458</f>
        <v>0</v>
      </c>
      <c r="J522" s="2800"/>
      <c r="K522" s="2719"/>
    </row>
    <row r="523" customFormat="false" ht="15.5" hidden="false" customHeight="false" outlineLevel="0" collapsed="false">
      <c r="A523" s="2719"/>
      <c r="B523" s="298" t="str">
        <f aca="false">дома!AL1475</f>
        <v>монтаж osb/фанера потолок</v>
      </c>
      <c r="C523" s="2765" t="s">
        <v>133</v>
      </c>
      <c r="D523" s="122" t="n">
        <f aca="false">дома!AM1475</f>
        <v>0</v>
      </c>
      <c r="E523" s="298" t="n">
        <f aca="false">дома!AN1475</f>
        <v>200</v>
      </c>
      <c r="F523" s="298"/>
      <c r="G523" s="122" t="n">
        <f aca="false">IF(F523&gt;0,D523*F523,E523*D523)</f>
        <v>0</v>
      </c>
      <c r="H523" s="85" t="n">
        <f aca="false">D523*E523*$H$513</f>
        <v>0</v>
      </c>
      <c r="I523" s="2803" t="n">
        <f aca="false">IF(G523&gt;H523,G523,H523)*$H$458</f>
        <v>0</v>
      </c>
      <c r="J523" s="2800"/>
      <c r="K523" s="2719"/>
    </row>
    <row r="524" customFormat="false" ht="15.5" hidden="false" customHeight="false" outlineLevel="0" collapsed="false">
      <c r="A524" s="2719"/>
      <c r="B524" s="298" t="str">
        <f aca="false">дома!AL1476</f>
        <v>монтаж osb/фанера перегородки</v>
      </c>
      <c r="C524" s="2765" t="s">
        <v>133</v>
      </c>
      <c r="D524" s="122" t="n">
        <f aca="false">дома!AM1476</f>
        <v>0</v>
      </c>
      <c r="E524" s="298" t="n">
        <f aca="false">дома!AN1476</f>
        <v>200</v>
      </c>
      <c r="F524" s="298"/>
      <c r="G524" s="122" t="n">
        <f aca="false">IF(F524&gt;0,D524*F524,E524*D524)</f>
        <v>0</v>
      </c>
      <c r="H524" s="85" t="n">
        <f aca="false">D524*E524*$H$513</f>
        <v>0</v>
      </c>
      <c r="I524" s="2803" t="n">
        <f aca="false">IF(G524&gt;H524,G524,H524)*$H$458</f>
        <v>0</v>
      </c>
      <c r="J524" s="2800"/>
      <c r="K524" s="2719"/>
    </row>
    <row r="525" customFormat="false" ht="15.5" hidden="false" customHeight="false" outlineLevel="0" collapsed="false">
      <c r="A525" s="2719"/>
      <c r="B525" s="298" t="str">
        <f aca="false">дома!AL1477</f>
        <v>монтаж osb/фанера пол</v>
      </c>
      <c r="C525" s="2765" t="s">
        <v>133</v>
      </c>
      <c r="D525" s="122" t="n">
        <f aca="false">дома!AM1477</f>
        <v>100</v>
      </c>
      <c r="E525" s="298" t="n">
        <f aca="false">дома!AN1477</f>
        <v>200</v>
      </c>
      <c r="F525" s="298"/>
      <c r="G525" s="122" t="n">
        <f aca="false">IF(F525&gt;0,D525*F525,E525*D525)</f>
        <v>20000</v>
      </c>
      <c r="H525" s="85" t="n">
        <f aca="false">D525*E525*$H$513</f>
        <v>0</v>
      </c>
      <c r="I525" s="2803" t="n">
        <f aca="false">IF(G525&gt;H525,G525,H525)*$H$458</f>
        <v>0</v>
      </c>
      <c r="J525" s="2800"/>
      <c r="K525" s="2719"/>
    </row>
    <row r="526" customFormat="false" ht="15.5" hidden="false" customHeight="false" outlineLevel="0" collapsed="false">
      <c r="A526" s="2719"/>
      <c r="B526" s="298" t="str">
        <f aca="false">дома!AL1478</f>
        <v>утепление наружних стен</v>
      </c>
      <c r="C526" s="2765" t="s">
        <v>133</v>
      </c>
      <c r="D526" s="122" t="n">
        <f aca="false">дома!AM1478</f>
        <v>0</v>
      </c>
      <c r="E526" s="298" t="n">
        <f aca="false">дома!AN1478</f>
        <v>200</v>
      </c>
      <c r="F526" s="298"/>
      <c r="G526" s="122" t="n">
        <f aca="false">IF(F526&gt;0,D526*F526,E526*D526)</f>
        <v>0</v>
      </c>
      <c r="H526" s="85" t="n">
        <f aca="false">D526*E526*$H$513</f>
        <v>0</v>
      </c>
      <c r="I526" s="2803" t="n">
        <f aca="false">IF(G526&gt;H526,G526,H526)*$H$458</f>
        <v>0</v>
      </c>
      <c r="J526" s="2800"/>
      <c r="K526" s="2719"/>
    </row>
    <row r="527" customFormat="false" ht="15.5" hidden="false" customHeight="false" outlineLevel="0" collapsed="false">
      <c r="A527" s="2719"/>
      <c r="B527" s="298" t="str">
        <f aca="false">дома!AL1479</f>
        <v>Утепление перегородок</v>
      </c>
      <c r="C527" s="2765" t="s">
        <v>133</v>
      </c>
      <c r="D527" s="122" t="n">
        <f aca="false">дома!AM1479</f>
        <v>0</v>
      </c>
      <c r="E527" s="298" t="n">
        <f aca="false">дома!AN1479</f>
        <v>200</v>
      </c>
      <c r="F527" s="298"/>
      <c r="G527" s="122" t="n">
        <f aca="false">IF(F527&gt;0,D527*F527,E527*D527)</f>
        <v>0</v>
      </c>
      <c r="H527" s="85" t="n">
        <f aca="false">D527*E527*$H$513</f>
        <v>0</v>
      </c>
      <c r="I527" s="2803" t="n">
        <f aca="false">IF(G527&gt;H527,G527,H527)*$H$458</f>
        <v>0</v>
      </c>
      <c r="J527" s="2800"/>
      <c r="K527" s="2719"/>
    </row>
    <row r="528" customFormat="false" ht="15.5" hidden="false" customHeight="false" outlineLevel="0" collapsed="false">
      <c r="A528" s="2719"/>
      <c r="B528" s="298" t="str">
        <f aca="false">дома!X1466</f>
        <v>Монтаж горизонтальной обрешетки</v>
      </c>
      <c r="C528" s="2765" t="s">
        <v>133</v>
      </c>
      <c r="D528" s="122" t="n">
        <f aca="false">дома!Y1466</f>
        <v>0</v>
      </c>
      <c r="E528" s="298" t="n">
        <f aca="false">дома!Z1466</f>
        <v>100</v>
      </c>
      <c r="F528" s="298"/>
      <c r="G528" s="122" t="n">
        <f aca="false">IF(F528&gt;0,D528*F528,E528*D528)</f>
        <v>0</v>
      </c>
      <c r="H528" s="85" t="n">
        <f aca="false">D528*E528*$H$513</f>
        <v>0</v>
      </c>
      <c r="I528" s="2803" t="n">
        <f aca="false">IF(G528&gt;H528,G528,H528)*$H$458</f>
        <v>0</v>
      </c>
      <c r="J528" s="2800"/>
      <c r="K528" s="2719"/>
    </row>
    <row r="529" customFormat="false" ht="15.5" hidden="false" customHeight="false" outlineLevel="0" collapsed="false">
      <c r="A529" s="2719"/>
      <c r="B529" s="298" t="str">
        <f aca="false">дома!X1467</f>
        <v>Монтаж вертикальной обрешетки</v>
      </c>
      <c r="C529" s="2765" t="s">
        <v>133</v>
      </c>
      <c r="D529" s="122" t="n">
        <f aca="false">дома!Y1467</f>
        <v>0</v>
      </c>
      <c r="E529" s="298" t="n">
        <f aca="false">дома!Z1467</f>
        <v>100</v>
      </c>
      <c r="F529" s="298"/>
      <c r="G529" s="122" t="n">
        <f aca="false">IF(F529&gt;0,D529*F529,E529*D529)</f>
        <v>0</v>
      </c>
      <c r="H529" s="85" t="n">
        <f aca="false">D529*E529*$H$513</f>
        <v>0</v>
      </c>
      <c r="I529" s="2803" t="n">
        <f aca="false">IF(G529&gt;H529,G529,H529)*$H$458</f>
        <v>0</v>
      </c>
      <c r="J529" s="2800"/>
      <c r="K529" s="2719"/>
    </row>
    <row r="530" customFormat="false" ht="15.5" hidden="false" customHeight="false" outlineLevel="0" collapsed="false">
      <c r="A530" s="2719"/>
      <c r="B530" s="298" t="str">
        <f aca="false">дома!X1468</f>
        <v>Монтаж обрешетки потолок</v>
      </c>
      <c r="C530" s="2765" t="s">
        <v>133</v>
      </c>
      <c r="D530" s="122" t="n">
        <f aca="false">дома!Y1468</f>
        <v>0</v>
      </c>
      <c r="E530" s="298" t="n">
        <f aca="false">дома!Z1468</f>
        <v>100</v>
      </c>
      <c r="F530" s="298"/>
      <c r="G530" s="122" t="n">
        <f aca="false">IF(F530&gt;0,D530*F530,E530*D530)</f>
        <v>0</v>
      </c>
      <c r="H530" s="85" t="n">
        <f aca="false">D530*E530*$H$513</f>
        <v>0</v>
      </c>
      <c r="I530" s="2803" t="n">
        <f aca="false">IF(G530&gt;H530,G530,H530)*$H$458</f>
        <v>0</v>
      </c>
      <c r="J530" s="2800"/>
      <c r="K530" s="2719"/>
    </row>
    <row r="531" customFormat="false" ht="15.5" hidden="false" customHeight="false" outlineLevel="0" collapsed="false">
      <c r="A531" s="2719"/>
      <c r="B531" s="298" t="str">
        <f aca="false">дома!X1469</f>
        <v>Монтаж профлист потолок</v>
      </c>
      <c r="C531" s="2765" t="s">
        <v>133</v>
      </c>
      <c r="D531" s="122" t="n">
        <f aca="false">дома!Y1469</f>
        <v>0</v>
      </c>
      <c r="E531" s="298" t="n">
        <f aca="false">дома!Z1469</f>
        <v>100</v>
      </c>
      <c r="F531" s="298"/>
      <c r="G531" s="122" t="n">
        <f aca="false">IF(F531&gt;0,D531*F531,E531*D531)</f>
        <v>0</v>
      </c>
      <c r="H531" s="85" t="n">
        <f aca="false">D531*E531*$H$513</f>
        <v>0</v>
      </c>
      <c r="I531" s="2803" t="n">
        <f aca="false">IF(G531&gt;H531,G531,H531)*$H$458</f>
        <v>0</v>
      </c>
      <c r="J531" s="2800"/>
      <c r="K531" s="2719"/>
    </row>
    <row r="532" customFormat="false" ht="15.5" hidden="false" customHeight="false" outlineLevel="0" collapsed="false">
      <c r="A532" s="2719"/>
      <c r="B532" s="298" t="str">
        <f aca="false">дома!X1470</f>
        <v>Монтаж обрешетки пол</v>
      </c>
      <c r="C532" s="2765" t="s">
        <v>133</v>
      </c>
      <c r="D532" s="122" t="n">
        <f aca="false">дома!Y1470</f>
        <v>0</v>
      </c>
      <c r="E532" s="298" t="n">
        <f aca="false">дома!Z1470</f>
        <v>100</v>
      </c>
      <c r="F532" s="298"/>
      <c r="G532" s="122" t="n">
        <f aca="false">IF(F532&gt;0,D532*F532,E532*D532)</f>
        <v>0</v>
      </c>
      <c r="H532" s="85" t="n">
        <f aca="false">D532*E532*$H$513</f>
        <v>0</v>
      </c>
      <c r="I532" s="2803" t="n">
        <f aca="false">IF(G532&gt;H532,G532,H532)*$H$458</f>
        <v>0</v>
      </c>
      <c r="J532" s="2800"/>
      <c r="K532" s="2719"/>
    </row>
    <row r="533" customFormat="false" ht="15.5" hidden="false" customHeight="false" outlineLevel="0" collapsed="false">
      <c r="A533" s="2719"/>
      <c r="B533" s="298" t="str">
        <f aca="false">дома!X1471</f>
        <v>Монтаж профлист пол</v>
      </c>
      <c r="C533" s="2765" t="s">
        <v>133</v>
      </c>
      <c r="D533" s="122" t="n">
        <f aca="false">дома!Y1471</f>
        <v>0</v>
      </c>
      <c r="E533" s="298" t="n">
        <f aca="false">дома!Z1471</f>
        <v>100</v>
      </c>
      <c r="F533" s="298"/>
      <c r="G533" s="122" t="n">
        <f aca="false">IF(F533&gt;0,D533*F533,E533*D533)</f>
        <v>0</v>
      </c>
      <c r="H533" s="85" t="n">
        <f aca="false">D533*E533*$H$513</f>
        <v>0</v>
      </c>
      <c r="I533" s="2803" t="n">
        <f aca="false">IF(G533&gt;H533,G533,H533)*$H$458</f>
        <v>0</v>
      </c>
      <c r="J533" s="2800"/>
      <c r="K533" s="2719"/>
    </row>
    <row r="534" customFormat="false" ht="15.5" hidden="false" customHeight="false" outlineLevel="0" collapsed="false">
      <c r="A534" s="2719"/>
      <c r="B534" s="298" t="str">
        <f aca="false">дома!X1472</f>
        <v>монтаж osb/фанера пол</v>
      </c>
      <c r="C534" s="2765" t="s">
        <v>133</v>
      </c>
      <c r="D534" s="122" t="n">
        <f aca="false">дома!Y1472</f>
        <v>100</v>
      </c>
      <c r="E534" s="298" t="n">
        <f aca="false">дома!Z1472</f>
        <v>200</v>
      </c>
      <c r="F534" s="298"/>
      <c r="G534" s="289" t="n">
        <f aca="false">IF(F534&gt;0,D534*F534,E534*D534)</f>
        <v>20000</v>
      </c>
      <c r="H534" s="85" t="n">
        <f aca="false">D534*E534*$H$513</f>
        <v>0</v>
      </c>
      <c r="I534" s="2803" t="n">
        <f aca="false">IF(G534&gt;H534,G534,H534)*$H$458</f>
        <v>0</v>
      </c>
      <c r="J534" s="2800"/>
      <c r="K534" s="2719"/>
    </row>
    <row r="535" customFormat="false" ht="15.5" hidden="false" customHeight="false" outlineLevel="0" collapsed="false">
      <c r="A535" s="2719"/>
      <c r="B535" s="2748" t="s">
        <v>4641</v>
      </c>
      <c r="C535" s="2748"/>
      <c r="D535" s="2748"/>
      <c r="E535" s="2748"/>
      <c r="F535" s="298"/>
      <c r="G535" s="122" t="n">
        <f aca="false">SUM(G514:G534)*H513</f>
        <v>0</v>
      </c>
      <c r="H535" s="85" t="n">
        <f aca="false">SUM(H514:H534)</f>
        <v>0</v>
      </c>
      <c r="I535" s="2803" t="n">
        <f aca="false">IF(G535&gt;H535,G535,H535)*$H$458</f>
        <v>0</v>
      </c>
      <c r="J535" s="2800"/>
      <c r="K535" s="2719"/>
    </row>
    <row r="536" customFormat="false" ht="15.5" hidden="false" customHeight="false" outlineLevel="0" collapsed="false">
      <c r="A536" s="2719"/>
      <c r="B536" s="2801" t="s">
        <v>4651</v>
      </c>
      <c r="C536" s="2801"/>
      <c r="D536" s="2793"/>
      <c r="E536" s="2793"/>
      <c r="F536" s="298"/>
      <c r="G536" s="905"/>
      <c r="H536" s="2799" t="n">
        <f aca="false">H458</f>
        <v>0</v>
      </c>
      <c r="I536" s="2808" t="n">
        <f aca="false">H536</f>
        <v>0</v>
      </c>
      <c r="J536" s="2800"/>
      <c r="K536" s="2733"/>
    </row>
    <row r="537" customFormat="false" ht="15.5" hidden="false" customHeight="false" outlineLevel="0" collapsed="false">
      <c r="A537" s="2719"/>
      <c r="B537" s="298" t="str">
        <f aca="false">дома!AL1480</f>
        <v>Командировочные расходы</v>
      </c>
      <c r="C537" s="10"/>
      <c r="D537" s="122" t="n">
        <f aca="false">дома!AM1480</f>
        <v>1</v>
      </c>
      <c r="E537" s="298" t="n">
        <f aca="false">дома!AN1480</f>
        <v>0</v>
      </c>
      <c r="F537" s="298"/>
      <c r="G537" s="289" t="n">
        <f aca="false">IF(F537&gt;0,D537*F537,E537*D537)</f>
        <v>0</v>
      </c>
      <c r="H537" s="85" t="n">
        <f aca="false">D537*E537*$H$513</f>
        <v>0</v>
      </c>
      <c r="I537" s="2803" t="n">
        <f aca="false">IF(G537&gt;H537,G537,H537)*$H$458</f>
        <v>0</v>
      </c>
      <c r="J537" s="1427"/>
      <c r="K537" s="226" t="n">
        <f aca="false">D537-J537</f>
        <v>1</v>
      </c>
      <c r="L537" s="2736"/>
    </row>
    <row r="538" customFormat="false" ht="15.5" hidden="false" customHeight="false" outlineLevel="0" collapsed="false">
      <c r="A538" s="2719"/>
      <c r="B538" s="298" t="str">
        <f aca="false">дома!AL1481</f>
        <v>расходные материалы каркасный дом</v>
      </c>
      <c r="C538" s="10"/>
      <c r="D538" s="122" t="n">
        <f aca="false">дома!AM1481</f>
        <v>1</v>
      </c>
      <c r="E538" s="298" t="n">
        <f aca="false">дома!AN1481</f>
        <v>12000</v>
      </c>
      <c r="F538" s="298"/>
      <c r="G538" s="289" t="n">
        <f aca="false">IF(F538&gt;0,D538*F538,E538*D538)</f>
        <v>12000</v>
      </c>
      <c r="H538" s="85" t="n">
        <f aca="false">D538*E538*$H$513</f>
        <v>0</v>
      </c>
      <c r="I538" s="2803" t="n">
        <f aca="false">IF(G538&gt;H538,G538,H538)*$H$458</f>
        <v>0</v>
      </c>
      <c r="J538" s="1427"/>
      <c r="K538" s="226" t="n">
        <f aca="false">D538-J538</f>
        <v>1</v>
      </c>
      <c r="L538" s="2736"/>
    </row>
    <row r="539" customFormat="false" ht="15.5" hidden="false" customHeight="false" outlineLevel="0" collapsed="false">
      <c r="A539" s="2719"/>
      <c r="B539" s="298" t="str">
        <f aca="false">дома!AL1482</f>
        <v>Нет техники</v>
      </c>
      <c r="C539" s="10"/>
      <c r="D539" s="122" t="n">
        <f aca="false">дома!AM1482</f>
        <v>2</v>
      </c>
      <c r="E539" s="298" t="n">
        <f aca="false">дома!AN1482</f>
        <v>0</v>
      </c>
      <c r="F539" s="298"/>
      <c r="G539" s="122" t="n">
        <f aca="false">IF(F539&gt;0,D539*F539,E539*D539)</f>
        <v>0</v>
      </c>
      <c r="H539" s="85" t="n">
        <f aca="false">D539*E539*$H$513</f>
        <v>0</v>
      </c>
      <c r="I539" s="2803" t="n">
        <f aca="false">IF(G539&gt;H539,G539,H539)*$H$458</f>
        <v>0</v>
      </c>
      <c r="J539" s="1427"/>
      <c r="K539" s="226" t="n">
        <f aca="false">D539-J539</f>
        <v>2</v>
      </c>
      <c r="L539" s="2736"/>
    </row>
    <row r="540" customFormat="false" ht="15.5" hidden="false" customHeight="false" outlineLevel="0" collapsed="false">
      <c r="A540" s="2719"/>
      <c r="B540" s="2804" t="s">
        <v>4652</v>
      </c>
      <c r="C540" s="2804"/>
      <c r="D540" s="2804"/>
      <c r="E540" s="2804"/>
      <c r="F540" s="298"/>
      <c r="G540" s="122" t="n">
        <f aca="false">SUM(G537:G539)</f>
        <v>12000</v>
      </c>
      <c r="H540" s="85" t="n">
        <f aca="false">SUM(H537:H539)</f>
        <v>0</v>
      </c>
      <c r="I540" s="2803" t="n">
        <f aca="false">IF(G540&gt;H540,G540,H540)*$H$458</f>
        <v>0</v>
      </c>
      <c r="J540" s="1427"/>
      <c r="K540" s="226" t="n">
        <f aca="false">D540-J540</f>
        <v>0</v>
      </c>
      <c r="L540" s="2736"/>
    </row>
    <row r="541" customFormat="false" ht="21" hidden="false" customHeight="false" outlineLevel="0" collapsed="false">
      <c r="A541" s="2719"/>
      <c r="B541" s="2762" t="s">
        <v>4654</v>
      </c>
      <c r="C541" s="2762"/>
      <c r="D541" s="2762"/>
      <c r="E541" s="2762"/>
      <c r="F541" s="2762"/>
      <c r="G541" s="905"/>
      <c r="H541" s="2774" t="n">
        <f aca="false">IF('Ввод данных'!A8=связи1!A153,1,0)+IF('Ввод данных'!A8=связи1!A171,1,0)+IF('Ввод данных'!A8=связи1!A172,1,0)+IF('Ввод данных'!A8=связи1!A173,1,0)+IF('Ввод данных'!A8=связи1!A174,1,0)+IF('Ввод данных'!A8=связи1!A175,1,0)+IF('Ввод данных'!A8=связи1!A176,1,0)+IF('Ввод данных'!A8=связи1!A177,1,0)+IF('Ввод данных'!A8=связи1!A178,1,0)+IF('Ввод данных'!A8=связи1!A179,1,0)+IF('Ввод данных'!A8=связи1!A170,1,0)</f>
        <v>0</v>
      </c>
      <c r="I541" s="2757" t="n">
        <f aca="false">H541</f>
        <v>0</v>
      </c>
      <c r="J541" s="2752"/>
      <c r="K541" s="2753"/>
    </row>
    <row r="542" customFormat="false" ht="15.5" hidden="false" customHeight="false" outlineLevel="0" collapsed="false">
      <c r="A542" s="2712"/>
      <c r="B542" s="2775" t="s">
        <v>2720</v>
      </c>
      <c r="C542" s="2775"/>
      <c r="D542" s="2775"/>
      <c r="E542" s="2775"/>
      <c r="F542" s="2775"/>
      <c r="G542" s="905"/>
      <c r="H542" s="2776" t="n">
        <f aca="false">H541</f>
        <v>0</v>
      </c>
      <c r="I542" s="2757" t="n">
        <f aca="false">H542</f>
        <v>0</v>
      </c>
      <c r="J542" s="2732"/>
      <c r="K542" s="2733"/>
    </row>
    <row r="543" customFormat="false" ht="15.5" hidden="false" customHeight="false" outlineLevel="0" collapsed="false">
      <c r="A543" s="2712"/>
      <c r="B543" s="298" t="str">
        <f aca="false">дома!A1531</f>
        <v>Газоблок D400 200х100х390</v>
      </c>
      <c r="C543" s="2765" t="str">
        <f aca="false">дома!B1531</f>
        <v>м3</v>
      </c>
      <c r="D543" s="122" t="n">
        <f aca="false">дома!C1531</f>
        <v>-3.12</v>
      </c>
      <c r="E543" s="89" t="n">
        <f aca="false">дома!I1531</f>
        <v>4200</v>
      </c>
      <c r="F543" s="89"/>
      <c r="G543" s="122" t="n">
        <f aca="false">IF(F543&gt;0,D543*F543,E543*D543)</f>
        <v>-13104</v>
      </c>
      <c r="H543" s="85" t="n">
        <f aca="false">D543*E543*$H$541</f>
        <v>0</v>
      </c>
      <c r="I543" s="2784" t="n">
        <f aca="false">IF(G543&gt;H543,G543,H543)*$H$541</f>
        <v>0</v>
      </c>
      <c r="J543" s="2744"/>
      <c r="K543" s="226" t="n">
        <f aca="false">D543-J543</f>
        <v>-3.12</v>
      </c>
      <c r="L543" s="2736"/>
    </row>
    <row r="544" customFormat="false" ht="15.5" hidden="false" customHeight="false" outlineLevel="0" collapsed="false">
      <c r="A544" s="2719"/>
      <c r="B544" s="298" t="str">
        <f aca="false">дома!A1532</f>
        <v>Газоблок D500 200х100х390</v>
      </c>
      <c r="C544" s="2765" t="str">
        <f aca="false">дома!B1532</f>
        <v>м3</v>
      </c>
      <c r="D544" s="122" t="n">
        <f aca="false">дома!C1532</f>
        <v>0</v>
      </c>
      <c r="E544" s="89" t="n">
        <f aca="false">дома!I1532</f>
        <v>4200</v>
      </c>
      <c r="F544" s="89"/>
      <c r="G544" s="122" t="n">
        <f aca="false">IF(F544&gt;0,D544*F544,E544*D544)</f>
        <v>0</v>
      </c>
      <c r="H544" s="85" t="n">
        <f aca="false">D544*E544*$H$541</f>
        <v>0</v>
      </c>
      <c r="I544" s="2784" t="n">
        <f aca="false">IF(G544&gt;H544,G544,H544)*$H$541</f>
        <v>0</v>
      </c>
      <c r="J544" s="2744"/>
      <c r="K544" s="226" t="n">
        <f aca="false">D544-J544</f>
        <v>0</v>
      </c>
      <c r="L544" s="2736"/>
    </row>
    <row r="545" customFormat="false" ht="15.5" hidden="false" customHeight="false" outlineLevel="0" collapsed="false">
      <c r="A545" s="2719"/>
      <c r="B545" s="298" t="str">
        <f aca="false">дома!A1533</f>
        <v>Газоблок D400 200х400х390</v>
      </c>
      <c r="C545" s="2765" t="str">
        <f aca="false">дома!B1533</f>
        <v>м3</v>
      </c>
      <c r="D545" s="122" t="n">
        <f aca="false">дома!C1533</f>
        <v>0</v>
      </c>
      <c r="E545" s="89" t="n">
        <f aca="false">дома!I1533</f>
        <v>4200</v>
      </c>
      <c r="F545" s="89"/>
      <c r="G545" s="122" t="n">
        <f aca="false">IF(F545&gt;0,D545*F545,E545*D545)</f>
        <v>0</v>
      </c>
      <c r="H545" s="85" t="n">
        <f aca="false">D545*E545*$H$541</f>
        <v>0</v>
      </c>
      <c r="I545" s="2784" t="n">
        <f aca="false">IF(G545&gt;H545,G545,H545)*$H$541</f>
        <v>0</v>
      </c>
      <c r="J545" s="2744"/>
      <c r="K545" s="226" t="n">
        <f aca="false">D545-J545</f>
        <v>0</v>
      </c>
      <c r="L545" s="2736"/>
    </row>
    <row r="546" customFormat="false" ht="15.5" hidden="false" customHeight="false" outlineLevel="0" collapsed="false">
      <c r="A546" s="2719"/>
      <c r="B546" s="298" t="str">
        <f aca="false">дома!A1534</f>
        <v>Газоблокпоясной  D400 200х100х390</v>
      </c>
      <c r="C546" s="2765" t="str">
        <f aca="false">дома!B1534</f>
        <v>м3</v>
      </c>
      <c r="D546" s="122" t="n">
        <f aca="false">дома!C1534</f>
        <v>3.0888</v>
      </c>
      <c r="E546" s="89" t="n">
        <f aca="false">дома!I1534</f>
        <v>4200</v>
      </c>
      <c r="F546" s="89"/>
      <c r="G546" s="122" t="n">
        <f aca="false">IF(F546&gt;0,D546*F546,E546*D546)</f>
        <v>12972.96</v>
      </c>
      <c r="H546" s="85" t="n">
        <f aca="false">D546*E546*$H$541</f>
        <v>0</v>
      </c>
      <c r="I546" s="2784" t="n">
        <f aca="false">IF(G546&gt;H546,G546,H546)*$H$541</f>
        <v>0</v>
      </c>
      <c r="J546" s="2744"/>
      <c r="K546" s="226" t="n">
        <f aca="false">D546-J546</f>
        <v>3.0888</v>
      </c>
      <c r="L546" s="2736"/>
    </row>
    <row r="547" customFormat="false" ht="15.5" hidden="false" customHeight="false" outlineLevel="0" collapsed="false">
      <c r="A547" s="2719"/>
      <c r="B547" s="298" t="str">
        <f aca="false">дома!A1535</f>
        <v>Поясной 200х100х600 угловой внешний</v>
      </c>
      <c r="C547" s="2765" t="str">
        <f aca="false">дома!B1535</f>
        <v>м3</v>
      </c>
      <c r="D547" s="122" t="n">
        <f aca="false">дома!C1535</f>
        <v>0.0312</v>
      </c>
      <c r="E547" s="89" t="n">
        <f aca="false">дома!I1535</f>
        <v>4200</v>
      </c>
      <c r="F547" s="89"/>
      <c r="G547" s="122" t="n">
        <f aca="false">IF(F547&gt;0,D547*F547,E547*D547)</f>
        <v>131.04</v>
      </c>
      <c r="H547" s="85" t="n">
        <f aca="false">D547*E547*$H$541</f>
        <v>0</v>
      </c>
      <c r="I547" s="2784" t="n">
        <f aca="false">IF(G547&gt;H547,G547,H547)*$H$541</f>
        <v>0</v>
      </c>
      <c r="J547" s="2744"/>
      <c r="K547" s="226" t="n">
        <f aca="false">D547-J547</f>
        <v>0.0312</v>
      </c>
      <c r="L547" s="2736"/>
    </row>
    <row r="548" customFormat="false" ht="15.5" hidden="false" customHeight="false" outlineLevel="0" collapsed="false">
      <c r="A548" s="2719"/>
      <c r="B548" s="298" t="str">
        <f aca="false">дома!A1536</f>
        <v>Поясной 200х100х600 угловой внутренний</v>
      </c>
      <c r="C548" s="2765" t="str">
        <f aca="false">дома!B1536</f>
        <v>м3</v>
      </c>
      <c r="D548" s="122" t="n">
        <f aca="false">дома!C1536</f>
        <v>0</v>
      </c>
      <c r="E548" s="89" t="n">
        <f aca="false">дома!I1536</f>
        <v>4200</v>
      </c>
      <c r="F548" s="89"/>
      <c r="G548" s="122" t="n">
        <f aca="false">IF(F548&gt;0,D548*F548,E548*D548)</f>
        <v>0</v>
      </c>
      <c r="H548" s="85" t="n">
        <f aca="false">D548*E548*$H$541</f>
        <v>0</v>
      </c>
      <c r="I548" s="2784" t="n">
        <f aca="false">IF(G548&gt;H548,G548,H548)*$H$541</f>
        <v>0</v>
      </c>
      <c r="J548" s="2744"/>
      <c r="K548" s="226" t="n">
        <f aca="false">D548-J548</f>
        <v>0</v>
      </c>
      <c r="L548" s="2736"/>
    </row>
    <row r="549" customFormat="false" ht="15.5" hidden="false" customHeight="false" outlineLevel="0" collapsed="false">
      <c r="A549" s="2719"/>
      <c r="B549" s="298" t="str">
        <f aca="false">дома!A1537</f>
        <v>200х100х600 угловой внешний</v>
      </c>
      <c r="C549" s="2765" t="str">
        <f aca="false">дома!B1537</f>
        <v>м3</v>
      </c>
      <c r="D549" s="122" t="n">
        <f aca="false">дома!C1537</f>
        <v>0.72</v>
      </c>
      <c r="E549" s="89" t="n">
        <f aca="false">дома!I1537</f>
        <v>4200</v>
      </c>
      <c r="F549" s="89"/>
      <c r="G549" s="122" t="n">
        <f aca="false">IF(F549&gt;0,D549*F549,E549*D549)</f>
        <v>3024</v>
      </c>
      <c r="H549" s="85" t="n">
        <f aca="false">D549*E549*$H$541</f>
        <v>0</v>
      </c>
      <c r="I549" s="2784" t="n">
        <f aca="false">IF(G549&gt;H549,G549,H549)*$H$541</f>
        <v>0</v>
      </c>
      <c r="J549" s="2744"/>
      <c r="K549" s="226" t="n">
        <f aca="false">D549-J549</f>
        <v>0.72</v>
      </c>
      <c r="L549" s="2736"/>
    </row>
    <row r="550" customFormat="false" ht="15.5" hidden="false" customHeight="false" outlineLevel="0" collapsed="false">
      <c r="A550" s="2719"/>
      <c r="B550" s="298" t="str">
        <f aca="false">дома!A1538</f>
        <v>200х100х600 угловой внутренний</v>
      </c>
      <c r="C550" s="2765" t="str">
        <f aca="false">дома!B1538</f>
        <v>м4</v>
      </c>
      <c r="D550" s="122" t="n">
        <f aca="false">дома!C1538</f>
        <v>0</v>
      </c>
      <c r="E550" s="89" t="n">
        <f aca="false">дома!I1538</f>
        <v>4200</v>
      </c>
      <c r="F550" s="89"/>
      <c r="G550" s="122" t="n">
        <f aca="false">IF(F550&gt;0,D550*F550,E550*D550)</f>
        <v>0</v>
      </c>
      <c r="H550" s="85" t="n">
        <f aca="false">D550*E550*$H$541</f>
        <v>0</v>
      </c>
      <c r="I550" s="2784" t="n">
        <f aca="false">IF(G550&gt;H550,G550,H550)*$H$541</f>
        <v>0</v>
      </c>
      <c r="J550" s="2744"/>
      <c r="K550" s="226" t="n">
        <f aca="false">D550-J550</f>
        <v>0</v>
      </c>
      <c r="L550" s="2736"/>
    </row>
    <row r="551" customFormat="false" ht="15.5" hidden="false" customHeight="false" outlineLevel="0" collapsed="false">
      <c r="A551" s="2719"/>
      <c r="B551" s="298" t="str">
        <f aca="false">дома!A1539</f>
        <v>Клей монтажный ВК-100</v>
      </c>
      <c r="C551" s="2765" t="str">
        <f aca="false">дома!B1539</f>
        <v>меш</v>
      </c>
      <c r="D551" s="122" t="n">
        <f aca="false">дома!C1539</f>
        <v>0</v>
      </c>
      <c r="E551" s="89" t="n">
        <f aca="false">дома!I1539</f>
        <v>185</v>
      </c>
      <c r="F551" s="89"/>
      <c r="G551" s="122" t="n">
        <f aca="false">IF(F551&gt;0,D551*F551,E551*D551)</f>
        <v>0</v>
      </c>
      <c r="H551" s="85" t="n">
        <f aca="false">D551*E551*$H$541</f>
        <v>0</v>
      </c>
      <c r="I551" s="2784" t="n">
        <f aca="false">IF(G551&gt;H551,G551,H551)*$H$541</f>
        <v>0</v>
      </c>
      <c r="J551" s="2744"/>
      <c r="K551" s="226" t="n">
        <f aca="false">D551-J551</f>
        <v>0</v>
      </c>
      <c r="L551" s="2736"/>
    </row>
    <row r="552" customFormat="false" ht="15.5" hidden="false" customHeight="false" outlineLevel="0" collapsed="false">
      <c r="A552" s="2719"/>
      <c r="B552" s="298" t="e">
        <f aca="false">дома!A1540</f>
        <v>#N/A</v>
      </c>
      <c r="C552" s="2765" t="str">
        <f aca="false">дома!B1540</f>
        <v>меш</v>
      </c>
      <c r="D552" s="122" t="n">
        <f aca="false">дома!C1540</f>
        <v>-2.274072192</v>
      </c>
      <c r="E552" s="89" t="n">
        <f aca="false">дома!I1540</f>
        <v>0</v>
      </c>
      <c r="F552" s="89"/>
      <c r="G552" s="122" t="n">
        <f aca="false">IF(F552&gt;0,D552*F552,E552*D552)</f>
        <v>-0</v>
      </c>
      <c r="H552" s="85" t="n">
        <f aca="false">D552*E552*$H$541</f>
        <v>-0</v>
      </c>
      <c r="I552" s="2784" t="n">
        <f aca="false">IF(G552&gt;H552,G552,H552)*$H$541</f>
        <v>-0</v>
      </c>
      <c r="J552" s="2744"/>
      <c r="K552" s="226" t="n">
        <f aca="false">D552-J552</f>
        <v>-2.274072192</v>
      </c>
      <c r="L552" s="2736"/>
    </row>
    <row r="553" customFormat="false" ht="15.5" hidden="false" customHeight="false" outlineLevel="0" collapsed="false">
      <c r="A553" s="2719"/>
      <c r="B553" s="298" t="e">
        <f aca="false">дома!A1541</f>
        <v>#N/A</v>
      </c>
      <c r="C553" s="2765" t="str">
        <f aca="false">дома!B1541</f>
        <v>м3</v>
      </c>
      <c r="D553" s="122" t="n">
        <f aca="false">дома!C1541</f>
        <v>-0.541445759999999</v>
      </c>
      <c r="E553" s="89" t="n">
        <f aca="false">дома!I1541</f>
        <v>0</v>
      </c>
      <c r="F553" s="89"/>
      <c r="G553" s="122" t="n">
        <f aca="false">IF(F553&gt;0,D553*F553,E553*D553)</f>
        <v>-0</v>
      </c>
      <c r="H553" s="85" t="n">
        <f aca="false">D553*E553*$H$541</f>
        <v>-0</v>
      </c>
      <c r="I553" s="2784" t="n">
        <f aca="false">IF(G553&gt;H553,G553,H553)*$H$541</f>
        <v>-0</v>
      </c>
      <c r="J553" s="2744"/>
      <c r="K553" s="226" t="n">
        <f aca="false">D553-J553</f>
        <v>-0.541445759999999</v>
      </c>
      <c r="L553" s="2736"/>
    </row>
    <row r="554" customFormat="false" ht="15.5" hidden="false" customHeight="false" outlineLevel="0" collapsed="false">
      <c r="A554" s="2719"/>
      <c r="B554" s="298" t="str">
        <f aca="false">дома!A1542</f>
        <v>Доставка песка</v>
      </c>
      <c r="C554" s="2765" t="str">
        <f aca="false">дома!B1542</f>
        <v>маш</v>
      </c>
      <c r="D554" s="122" t="n">
        <f aca="false">дома!C1542</f>
        <v>0</v>
      </c>
      <c r="E554" s="89" t="n">
        <f aca="false">дома!I1542</f>
        <v>0</v>
      </c>
      <c r="F554" s="89"/>
      <c r="G554" s="122" t="n">
        <f aca="false">IF(F554&gt;0,D554*F554,E554*D554)</f>
        <v>0</v>
      </c>
      <c r="H554" s="85" t="n">
        <f aca="false">D554*E554*$H$541</f>
        <v>0</v>
      </c>
      <c r="I554" s="2784" t="n">
        <f aca="false">IF(G554&gt;H554,G554,H554)*$H$541</f>
        <v>0</v>
      </c>
      <c r="J554" s="2744"/>
      <c r="K554" s="226" t="n">
        <f aca="false">D554-J554</f>
        <v>0</v>
      </c>
      <c r="L554" s="2736"/>
    </row>
    <row r="555" customFormat="false" ht="15.5" hidden="false" customHeight="false" outlineLevel="0" collapsed="false">
      <c r="A555" s="2719"/>
      <c r="B555" s="298" t="e">
        <f aca="false">дома!A1543</f>
        <v>#N/A</v>
      </c>
      <c r="C555" s="2765" t="str">
        <f aca="false">дома!B1543</f>
        <v>м3</v>
      </c>
      <c r="D555" s="122" t="n">
        <f aca="false">дома!C1543</f>
        <v>-0.541445759999999</v>
      </c>
      <c r="E555" s="89" t="n">
        <f aca="false">дома!I1543</f>
        <v>0</v>
      </c>
      <c r="F555" s="89"/>
      <c r="G555" s="122" t="n">
        <f aca="false">IF(F555&gt;0,D555*F555,E555*D555)</f>
        <v>-0</v>
      </c>
      <c r="H555" s="85" t="n">
        <f aca="false">D555*E555*$H$541</f>
        <v>-0</v>
      </c>
      <c r="I555" s="2784" t="n">
        <f aca="false">IF(G555&gt;H555,G555,H555)*$H$541</f>
        <v>-0</v>
      </c>
      <c r="J555" s="2744"/>
      <c r="K555" s="226" t="n">
        <f aca="false">D555-J555</f>
        <v>-0.541445759999999</v>
      </c>
      <c r="L555" s="2736"/>
    </row>
    <row r="556" customFormat="false" ht="15.5" hidden="false" customHeight="false" outlineLevel="0" collapsed="false">
      <c r="A556" s="2719"/>
      <c r="B556" s="298" t="str">
        <f aca="false">дома!A1544</f>
        <v>Арматура М6 каждый 3-й ряд, 2 нити</v>
      </c>
      <c r="C556" s="2765" t="str">
        <f aca="false">дома!B1544</f>
        <v>м.п.</v>
      </c>
      <c r="D556" s="122" t="n">
        <f aca="false">дома!C1544</f>
        <v>480</v>
      </c>
      <c r="E556" s="89" t="n">
        <f aca="false">дома!I1544</f>
        <v>0</v>
      </c>
      <c r="F556" s="89"/>
      <c r="G556" s="122" t="n">
        <f aca="false">IF(F556&gt;0,D556*F556,E556*D556)</f>
        <v>0</v>
      </c>
      <c r="H556" s="85" t="n">
        <f aca="false">D556*E556*$H$541</f>
        <v>0</v>
      </c>
      <c r="I556" s="2784" t="n">
        <f aca="false">IF(G556&gt;H556,G556,H556)*$H$541</f>
        <v>0</v>
      </c>
      <c r="J556" s="2744"/>
      <c r="K556" s="226" t="n">
        <f aca="false">D556-J556</f>
        <v>480</v>
      </c>
      <c r="L556" s="2736"/>
    </row>
    <row r="557" customFormat="false" ht="15.5" hidden="false" customHeight="false" outlineLevel="0" collapsed="false">
      <c r="A557" s="2719"/>
      <c r="B557" s="298" t="str">
        <f aca="false">дома!A1545</f>
        <v>Арматура М6 каждый 3-й ряд, 2 нити</v>
      </c>
      <c r="C557" s="2765" t="str">
        <f aca="false">дома!B1545</f>
        <v>м.п.</v>
      </c>
      <c r="D557" s="122" t="n">
        <f aca="false">дома!C1545</f>
        <v>0</v>
      </c>
      <c r="E557" s="89" t="n">
        <f aca="false">дома!I1545</f>
        <v>0</v>
      </c>
      <c r="F557" s="89"/>
      <c r="G557" s="122" t="n">
        <f aca="false">IF(F557&gt;0,D557*F557,E557*D557)</f>
        <v>0</v>
      </c>
      <c r="H557" s="85" t="n">
        <f aca="false">D557*E557*$H$541</f>
        <v>0</v>
      </c>
      <c r="I557" s="2784" t="n">
        <f aca="false">IF(G557&gt;H557,G557,H557)*$H$541</f>
        <v>0</v>
      </c>
      <c r="J557" s="2744"/>
      <c r="K557" s="226" t="n">
        <f aca="false">D557-J557</f>
        <v>0</v>
      </c>
      <c r="L557" s="2736"/>
    </row>
    <row r="558" customFormat="false" ht="15.5" hidden="false" customHeight="false" outlineLevel="0" collapsed="false">
      <c r="A558" s="2719"/>
      <c r="B558" s="298" t="str">
        <f aca="false">дома!A1546</f>
        <v>Перемычка оконная, 1-ый эт. Вариант 1</v>
      </c>
      <c r="C558" s="2765" t="str">
        <f aca="false">дома!B1546</f>
        <v>м.п.</v>
      </c>
      <c r="D558" s="122" t="n">
        <f aca="false">дома!C1546</f>
        <v>1</v>
      </c>
      <c r="E558" s="89" t="n">
        <f aca="false">дома!I1546</f>
        <v>1000</v>
      </c>
      <c r="F558" s="89"/>
      <c r="G558" s="122" t="n">
        <f aca="false">IF(F558&gt;0,D558*F558,E558*D558)</f>
        <v>1000</v>
      </c>
      <c r="H558" s="85" t="n">
        <f aca="false">D558*E558*$H$541</f>
        <v>0</v>
      </c>
      <c r="I558" s="2784" t="n">
        <f aca="false">IF(G558&gt;H558,G558,H558)*$H$541</f>
        <v>0</v>
      </c>
      <c r="J558" s="2744"/>
      <c r="K558" s="226" t="n">
        <f aca="false">D558-J558</f>
        <v>1</v>
      </c>
      <c r="L558" s="2736"/>
    </row>
    <row r="559" customFormat="false" ht="15.5" hidden="false" customHeight="false" outlineLevel="0" collapsed="false">
      <c r="A559" s="2719"/>
      <c r="B559" s="298" t="str">
        <f aca="false">дома!A1547</f>
        <v>Перемычка оконная, 1-ый эт. Вариант 2</v>
      </c>
      <c r="C559" s="2765" t="str">
        <f aca="false">дома!B1547</f>
        <v>м.п.</v>
      </c>
      <c r="D559" s="122" t="n">
        <f aca="false">дома!C1547</f>
        <v>0</v>
      </c>
      <c r="E559" s="89" t="n">
        <f aca="false">дома!I1547</f>
        <v>1000</v>
      </c>
      <c r="F559" s="89"/>
      <c r="G559" s="122" t="n">
        <f aca="false">IF(F559&gt;0,D559*F559,E559*D559)</f>
        <v>0</v>
      </c>
      <c r="H559" s="85" t="n">
        <f aca="false">D559*E559*$H$541</f>
        <v>0</v>
      </c>
      <c r="I559" s="2784" t="n">
        <f aca="false">IF(G559&gt;H559,G559,H559)*$H$541</f>
        <v>0</v>
      </c>
      <c r="J559" s="2744"/>
      <c r="K559" s="226" t="n">
        <f aca="false">D559-J559</f>
        <v>0</v>
      </c>
      <c r="L559" s="2736"/>
    </row>
    <row r="560" customFormat="false" ht="15.5" hidden="false" customHeight="false" outlineLevel="0" collapsed="false">
      <c r="A560" s="2719"/>
      <c r="B560" s="298" t="str">
        <f aca="false">дома!A1548</f>
        <v>Перемычка оконная, 1-ый эт. Вариант 3</v>
      </c>
      <c r="C560" s="2765" t="str">
        <f aca="false">дома!B1548</f>
        <v>м.п.</v>
      </c>
      <c r="D560" s="122" t="n">
        <f aca="false">дома!C1548</f>
        <v>0</v>
      </c>
      <c r="E560" s="89" t="n">
        <f aca="false">дома!I1548</f>
        <v>1000</v>
      </c>
      <c r="F560" s="89"/>
      <c r="G560" s="122" t="n">
        <f aca="false">IF(F560&gt;0,D560*F560,E560*D560)</f>
        <v>0</v>
      </c>
      <c r="H560" s="85" t="n">
        <f aca="false">D560*E560*$H$541</f>
        <v>0</v>
      </c>
      <c r="I560" s="2784" t="n">
        <f aca="false">IF(G560&gt;H560,G560,H560)*$H$541</f>
        <v>0</v>
      </c>
      <c r="J560" s="2744"/>
      <c r="K560" s="226" t="n">
        <f aca="false">D560-J560</f>
        <v>0</v>
      </c>
      <c r="L560" s="2736"/>
    </row>
    <row r="561" customFormat="false" ht="15.5" hidden="false" customHeight="false" outlineLevel="0" collapsed="false">
      <c r="A561" s="2719"/>
      <c r="B561" s="298" t="str">
        <f aca="false">дома!A1549</f>
        <v>Перемычка оконная, 1-ый эт. Вариант 4</v>
      </c>
      <c r="C561" s="2765" t="str">
        <f aca="false">дома!B1549</f>
        <v>м.п.</v>
      </c>
      <c r="D561" s="122" t="n">
        <f aca="false">дома!C1549</f>
        <v>0</v>
      </c>
      <c r="E561" s="89" t="n">
        <f aca="false">дома!I1549</f>
        <v>1000</v>
      </c>
      <c r="F561" s="89"/>
      <c r="G561" s="122" t="n">
        <f aca="false">IF(F561&gt;0,D561*F561,E561*D561)</f>
        <v>0</v>
      </c>
      <c r="H561" s="85" t="n">
        <f aca="false">D561*E561*$H$541</f>
        <v>0</v>
      </c>
      <c r="I561" s="2784" t="n">
        <f aca="false">IF(G561&gt;H561,G561,H561)*$H$541</f>
        <v>0</v>
      </c>
      <c r="J561" s="2744"/>
      <c r="K561" s="226" t="n">
        <f aca="false">D561-J561</f>
        <v>0</v>
      </c>
      <c r="L561" s="2736"/>
    </row>
    <row r="562" customFormat="false" ht="15.5" hidden="false" customHeight="false" outlineLevel="0" collapsed="false">
      <c r="A562" s="2719"/>
      <c r="B562" s="298" t="str">
        <f aca="false">дома!A1550</f>
        <v>Перемычка оконная, 1-ый эт. Вариант 5</v>
      </c>
      <c r="C562" s="2765" t="str">
        <f aca="false">дома!B1550</f>
        <v>м.п.</v>
      </c>
      <c r="D562" s="122" t="n">
        <f aca="false">дома!C1550</f>
        <v>0</v>
      </c>
      <c r="E562" s="89" t="n">
        <f aca="false">дома!I1550</f>
        <v>1000</v>
      </c>
      <c r="F562" s="89"/>
      <c r="G562" s="122" t="n">
        <f aca="false">IF(F562&gt;0,D562*F562,E562*D562)</f>
        <v>0</v>
      </c>
      <c r="H562" s="85" t="n">
        <f aca="false">D562*E562*$H$541</f>
        <v>0</v>
      </c>
      <c r="I562" s="2784" t="n">
        <f aca="false">IF(G562&gt;H562,G562,H562)*$H$541</f>
        <v>0</v>
      </c>
      <c r="J562" s="2744"/>
      <c r="K562" s="226" t="n">
        <f aca="false">D562-J562</f>
        <v>0</v>
      </c>
      <c r="L562" s="2736"/>
    </row>
    <row r="563" customFormat="false" ht="15.5" hidden="false" customHeight="false" outlineLevel="0" collapsed="false">
      <c r="A563" s="2719"/>
      <c r="B563" s="298" t="str">
        <f aca="false">дома!A1551</f>
        <v>Перемычка оконная, 2-ый эт. Вариант 6</v>
      </c>
      <c r="C563" s="2765" t="str">
        <f aca="false">дома!B1551</f>
        <v>м.п.</v>
      </c>
      <c r="D563" s="122" t="n">
        <f aca="false">дома!C1551</f>
        <v>0</v>
      </c>
      <c r="E563" s="89" t="n">
        <f aca="false">дома!I1551</f>
        <v>1000</v>
      </c>
      <c r="F563" s="89"/>
      <c r="G563" s="122" t="n">
        <f aca="false">IF(F563&gt;0,D563*F563,E563*D563)</f>
        <v>0</v>
      </c>
      <c r="H563" s="85" t="n">
        <f aca="false">D563*E563*$H$541</f>
        <v>0</v>
      </c>
      <c r="I563" s="2784" t="n">
        <f aca="false">IF(G563&gt;H563,G563,H563)*$H$541</f>
        <v>0</v>
      </c>
      <c r="J563" s="2744"/>
      <c r="K563" s="226" t="n">
        <f aca="false">D563-J563</f>
        <v>0</v>
      </c>
      <c r="L563" s="2736"/>
    </row>
    <row r="564" customFormat="false" ht="15.5" hidden="false" customHeight="false" outlineLevel="0" collapsed="false">
      <c r="A564" s="2719"/>
      <c r="B564" s="298" t="str">
        <f aca="false">дома!A1552</f>
        <v>Перемычка оконная, 2-ый эт. Вариант 7</v>
      </c>
      <c r="C564" s="2765" t="str">
        <f aca="false">дома!B1552</f>
        <v>м.п.</v>
      </c>
      <c r="D564" s="122" t="n">
        <f aca="false">дома!C1552</f>
        <v>0</v>
      </c>
      <c r="E564" s="89" t="n">
        <f aca="false">дома!I1552</f>
        <v>1000</v>
      </c>
      <c r="F564" s="89"/>
      <c r="G564" s="122" t="n">
        <f aca="false">IF(F564&gt;0,D564*F564,E564*D564)</f>
        <v>0</v>
      </c>
      <c r="H564" s="85" t="n">
        <f aca="false">D564*E564*$H$541</f>
        <v>0</v>
      </c>
      <c r="I564" s="2784" t="n">
        <f aca="false">IF(G564&gt;H564,G564,H564)*$H$541</f>
        <v>0</v>
      </c>
      <c r="J564" s="2744"/>
      <c r="K564" s="226" t="n">
        <f aca="false">D564-J564</f>
        <v>0</v>
      </c>
      <c r="L564" s="2736"/>
    </row>
    <row r="565" customFormat="false" ht="15.5" hidden="false" customHeight="false" outlineLevel="0" collapsed="false">
      <c r="A565" s="2719"/>
      <c r="B565" s="298" t="str">
        <f aca="false">дома!A1553</f>
        <v>Перемычка оконная, 2-ый эт. Вариант 8</v>
      </c>
      <c r="C565" s="2765" t="str">
        <f aca="false">дома!B1553</f>
        <v>м.п.</v>
      </c>
      <c r="D565" s="122" t="n">
        <f aca="false">дома!C1553</f>
        <v>0</v>
      </c>
      <c r="E565" s="89" t="n">
        <f aca="false">дома!I1553</f>
        <v>1000</v>
      </c>
      <c r="F565" s="89"/>
      <c r="G565" s="122" t="n">
        <f aca="false">IF(F565&gt;0,D565*F565,E565*D565)</f>
        <v>0</v>
      </c>
      <c r="H565" s="85" t="n">
        <f aca="false">D565*E565*$H$541</f>
        <v>0</v>
      </c>
      <c r="I565" s="2784" t="n">
        <f aca="false">IF(G565&gt;H565,G565,H565)*$H$541</f>
        <v>0</v>
      </c>
      <c r="J565" s="2744"/>
      <c r="K565" s="226" t="n">
        <f aca="false">D565-J565</f>
        <v>0</v>
      </c>
      <c r="L565" s="2736"/>
    </row>
    <row r="566" customFormat="false" ht="15.5" hidden="false" customHeight="false" outlineLevel="0" collapsed="false">
      <c r="A566" s="2719"/>
      <c r="B566" s="298" t="str">
        <f aca="false">дома!A1554</f>
        <v>Перемычка оконная, 2-ый эт. Вариант 9</v>
      </c>
      <c r="C566" s="2765" t="str">
        <f aca="false">дома!B1554</f>
        <v>м.п.</v>
      </c>
      <c r="D566" s="122" t="n">
        <f aca="false">дома!C1554</f>
        <v>0</v>
      </c>
      <c r="E566" s="89" t="n">
        <f aca="false">дома!I1554</f>
        <v>1000</v>
      </c>
      <c r="F566" s="89"/>
      <c r="G566" s="122" t="n">
        <f aca="false">IF(F566&gt;0,D566*F566,E566*D566)</f>
        <v>0</v>
      </c>
      <c r="H566" s="85" t="n">
        <f aca="false">D566*E566*$H$541</f>
        <v>0</v>
      </c>
      <c r="I566" s="2784" t="n">
        <f aca="false">IF(G566&gt;H566,G566,H566)*$H$541</f>
        <v>0</v>
      </c>
      <c r="J566" s="2744"/>
      <c r="K566" s="226" t="n">
        <f aca="false">D566-J566</f>
        <v>0</v>
      </c>
      <c r="L566" s="2736"/>
    </row>
    <row r="567" customFormat="false" ht="15.5" hidden="false" customHeight="false" outlineLevel="0" collapsed="false">
      <c r="A567" s="2719"/>
      <c r="B567" s="298" t="str">
        <f aca="false">дома!A1555</f>
        <v>Перемычка оконная, 2-ый эт. Вариант 10</v>
      </c>
      <c r="C567" s="2765" t="str">
        <f aca="false">дома!B1555</f>
        <v>м.п.</v>
      </c>
      <c r="D567" s="122" t="n">
        <f aca="false">дома!C1555</f>
        <v>0</v>
      </c>
      <c r="E567" s="89" t="n">
        <f aca="false">дома!I1555</f>
        <v>1000</v>
      </c>
      <c r="F567" s="89"/>
      <c r="G567" s="122" t="n">
        <f aca="false">IF(F567&gt;0,D567*F567,E567*D567)</f>
        <v>0</v>
      </c>
      <c r="H567" s="85" t="n">
        <f aca="false">D567*E567*$H$541</f>
        <v>0</v>
      </c>
      <c r="I567" s="2784" t="n">
        <f aca="false">IF(G567&gt;H567,G567,H567)*$H$541</f>
        <v>0</v>
      </c>
      <c r="J567" s="2744"/>
      <c r="K567" s="226" t="n">
        <f aca="false">D567-J567</f>
        <v>0</v>
      </c>
      <c r="L567" s="2736"/>
    </row>
    <row r="568" customFormat="false" ht="15.5" hidden="false" customHeight="false" outlineLevel="0" collapsed="false">
      <c r="A568" s="2719"/>
      <c r="B568" s="298" t="str">
        <f aca="false">дома!A1556</f>
        <v>Перемычка дверная, 1-ый эт. Вариант 1</v>
      </c>
      <c r="C568" s="2765" t="str">
        <f aca="false">дома!B1556</f>
        <v>м.п.</v>
      </c>
      <c r="D568" s="122" t="n">
        <f aca="false">дома!C1556</f>
        <v>0</v>
      </c>
      <c r="E568" s="89" t="n">
        <f aca="false">дома!I1556</f>
        <v>1000</v>
      </c>
      <c r="F568" s="89"/>
      <c r="G568" s="122" t="n">
        <f aca="false">IF(F568&gt;0,D568*F568,E568*D568)</f>
        <v>0</v>
      </c>
      <c r="H568" s="85" t="n">
        <f aca="false">D568*E568*$H$541</f>
        <v>0</v>
      </c>
      <c r="I568" s="2784" t="n">
        <f aca="false">IF(G568&gt;H568,G568,H568)*$H$541</f>
        <v>0</v>
      </c>
      <c r="J568" s="2744"/>
      <c r="K568" s="226" t="n">
        <f aca="false">D568-J568</f>
        <v>0</v>
      </c>
      <c r="L568" s="2736"/>
    </row>
    <row r="569" customFormat="false" ht="15.5" hidden="false" customHeight="false" outlineLevel="0" collapsed="false">
      <c r="A569" s="2719"/>
      <c r="B569" s="298" t="str">
        <f aca="false">дома!A1557</f>
        <v>Перемычка дверная, 2-ый эт. Вариант 2</v>
      </c>
      <c r="C569" s="2765" t="str">
        <f aca="false">дома!B1557</f>
        <v>м.п.</v>
      </c>
      <c r="D569" s="122" t="n">
        <f aca="false">дома!C1557</f>
        <v>0</v>
      </c>
      <c r="E569" s="89" t="n">
        <f aca="false">дома!I1557</f>
        <v>1000</v>
      </c>
      <c r="F569" s="89"/>
      <c r="G569" s="122" t="n">
        <f aca="false">IF(F569&gt;0,D569*F569,E569*D569)</f>
        <v>0</v>
      </c>
      <c r="H569" s="85" t="n">
        <f aca="false">D569*E569*$H$541</f>
        <v>0</v>
      </c>
      <c r="I569" s="2784" t="n">
        <f aca="false">IF(G569&gt;H569,G569,H569)*$H$541</f>
        <v>0</v>
      </c>
      <c r="J569" s="2744"/>
      <c r="K569" s="226" t="n">
        <f aca="false">D569-J569</f>
        <v>0</v>
      </c>
      <c r="L569" s="2736"/>
    </row>
    <row r="570" customFormat="false" ht="15.5" hidden="false" customHeight="false" outlineLevel="0" collapsed="false">
      <c r="A570" s="2719"/>
      <c r="B570" s="298" t="str">
        <f aca="false">дома!A1558</f>
        <v>Перемычка оконная 1-ый эт, Вариант 11</v>
      </c>
      <c r="C570" s="2765" t="str">
        <f aca="false">дома!B1558</f>
        <v>м.п.</v>
      </c>
      <c r="D570" s="122" t="n">
        <f aca="false">дома!C1558</f>
        <v>0</v>
      </c>
      <c r="E570" s="89" t="n">
        <f aca="false">дома!I1558</f>
        <v>1000</v>
      </c>
      <c r="F570" s="89"/>
      <c r="G570" s="122" t="n">
        <f aca="false">IF(F570&gt;0,D570*F570,E570*D570)</f>
        <v>0</v>
      </c>
      <c r="H570" s="85" t="n">
        <f aca="false">D570*E570*$H$541</f>
        <v>0</v>
      </c>
      <c r="I570" s="2784" t="n">
        <f aca="false">IF(G570&gt;H570,G570,H570)*$H$541</f>
        <v>0</v>
      </c>
      <c r="J570" s="2744"/>
      <c r="K570" s="226" t="n">
        <f aca="false">D570-J570</f>
        <v>0</v>
      </c>
      <c r="L570" s="2736"/>
    </row>
    <row r="571" customFormat="false" ht="15.5" hidden="false" customHeight="false" outlineLevel="0" collapsed="false">
      <c r="A571" s="2719"/>
      <c r="B571" s="298" t="str">
        <f aca="false">дома!A1559</f>
        <v>Перемычка оконная 1-ый эт, Вариант 12</v>
      </c>
      <c r="C571" s="2765" t="str">
        <f aca="false">дома!B1559</f>
        <v>м.п.</v>
      </c>
      <c r="D571" s="122" t="n">
        <f aca="false">дома!C1559</f>
        <v>0</v>
      </c>
      <c r="E571" s="89" t="n">
        <f aca="false">дома!I1559</f>
        <v>1000</v>
      </c>
      <c r="F571" s="89"/>
      <c r="G571" s="122" t="n">
        <f aca="false">IF(F571&gt;0,D571*F571,E571*D571)</f>
        <v>0</v>
      </c>
      <c r="H571" s="85" t="n">
        <f aca="false">D571*E571*$H$541</f>
        <v>0</v>
      </c>
      <c r="I571" s="2784" t="n">
        <f aca="false">IF(G571&gt;H571,G571,H571)*$H$541</f>
        <v>0</v>
      </c>
      <c r="J571" s="2744"/>
      <c r="K571" s="226" t="n">
        <f aca="false">D571-J571</f>
        <v>0</v>
      </c>
      <c r="L571" s="2736"/>
    </row>
    <row r="572" customFormat="false" ht="15.5" hidden="false" customHeight="false" outlineLevel="0" collapsed="false">
      <c r="A572" s="2719"/>
      <c r="B572" s="298" t="str">
        <f aca="false">дома!A1560</f>
        <v>Перемычка дверная, 1-ый эт. Вариант 4</v>
      </c>
      <c r="C572" s="2765" t="str">
        <f aca="false">дома!B1560</f>
        <v>м.п.</v>
      </c>
      <c r="D572" s="122" t="n">
        <f aca="false">дома!C1560</f>
        <v>0</v>
      </c>
      <c r="E572" s="89" t="n">
        <f aca="false">дома!I1560</f>
        <v>1000</v>
      </c>
      <c r="F572" s="89"/>
      <c r="G572" s="122" t="n">
        <f aca="false">IF(F572&gt;0,D572*F572,E572*D572)</f>
        <v>0</v>
      </c>
      <c r="H572" s="85" t="n">
        <f aca="false">D572*E572*$H$541</f>
        <v>0</v>
      </c>
      <c r="I572" s="2784" t="n">
        <f aca="false">IF(G572&gt;H572,G572,H572)*$H$541</f>
        <v>0</v>
      </c>
      <c r="J572" s="2744"/>
      <c r="K572" s="226" t="n">
        <f aca="false">D572-J572</f>
        <v>0</v>
      </c>
      <c r="L572" s="2736"/>
    </row>
    <row r="573" customFormat="false" ht="15.5" hidden="false" customHeight="false" outlineLevel="0" collapsed="false">
      <c r="A573" s="2719"/>
      <c r="B573" s="298" t="str">
        <f aca="false">дома!A1561</f>
        <v>Перемычка дверная, 1-ый эт. Вариант 5</v>
      </c>
      <c r="C573" s="2765" t="str">
        <f aca="false">дома!B1561</f>
        <v>м.п.</v>
      </c>
      <c r="D573" s="122" t="n">
        <f aca="false">дома!C1561</f>
        <v>0</v>
      </c>
      <c r="E573" s="89" t="n">
        <f aca="false">дома!I1561</f>
        <v>1000</v>
      </c>
      <c r="F573" s="89"/>
      <c r="G573" s="122" t="n">
        <f aca="false">IF(F573&gt;0,D573*F573,E573*D573)</f>
        <v>0</v>
      </c>
      <c r="H573" s="85" t="n">
        <f aca="false">D573*E573*$H$541</f>
        <v>0</v>
      </c>
      <c r="I573" s="2784" t="n">
        <f aca="false">IF(G573&gt;H573,G573,H573)*$H$541</f>
        <v>0</v>
      </c>
      <c r="J573" s="2744"/>
      <c r="K573" s="226" t="n">
        <f aca="false">D573-J573</f>
        <v>0</v>
      </c>
      <c r="L573" s="2736"/>
    </row>
    <row r="574" customFormat="false" ht="15.5" hidden="false" customHeight="false" outlineLevel="0" collapsed="false">
      <c r="A574" s="2719"/>
      <c r="B574" s="298" t="str">
        <f aca="false">дома!A1562</f>
        <v>Перемычка дверная, 1-ый эт. Вариант 6</v>
      </c>
      <c r="C574" s="2765" t="str">
        <f aca="false">дома!B1562</f>
        <v>м.п.</v>
      </c>
      <c r="D574" s="122" t="n">
        <f aca="false">дома!C1562</f>
        <v>0</v>
      </c>
      <c r="E574" s="89" t="n">
        <f aca="false">дома!I1562</f>
        <v>1000</v>
      </c>
      <c r="F574" s="89"/>
      <c r="G574" s="122" t="n">
        <f aca="false">IF(F574&gt;0,D574*F574,E574*D574)</f>
        <v>0</v>
      </c>
      <c r="H574" s="85" t="n">
        <f aca="false">D574*E574*$H$541</f>
        <v>0</v>
      </c>
      <c r="I574" s="2784" t="n">
        <f aca="false">IF(G574&gt;H574,G574,H574)*$H$541</f>
        <v>0</v>
      </c>
      <c r="J574" s="2744"/>
      <c r="K574" s="226" t="n">
        <f aca="false">D574-J574</f>
        <v>0</v>
      </c>
      <c r="L574" s="2736"/>
    </row>
    <row r="575" customFormat="false" ht="15.5" hidden="false" customHeight="false" outlineLevel="0" collapsed="false">
      <c r="A575" s="2719"/>
      <c r="B575" s="298" t="str">
        <f aca="false">дома!A1563</f>
        <v>Перемычка дверная, 2-ый эт. Вариант 7</v>
      </c>
      <c r="C575" s="2765" t="str">
        <f aca="false">дома!B1563</f>
        <v>м.п.</v>
      </c>
      <c r="D575" s="122" t="n">
        <f aca="false">дома!C1563</f>
        <v>0</v>
      </c>
      <c r="E575" s="89" t="n">
        <f aca="false">дома!I1563</f>
        <v>1000</v>
      </c>
      <c r="F575" s="89"/>
      <c r="G575" s="122" t="n">
        <f aca="false">IF(F575&gt;0,D575*F575,E575*D575)</f>
        <v>0</v>
      </c>
      <c r="H575" s="85" t="n">
        <f aca="false">D575*E575*$H$541</f>
        <v>0</v>
      </c>
      <c r="I575" s="2784" t="n">
        <f aca="false">IF(G575&gt;H575,G575,H575)*$H$541</f>
        <v>0</v>
      </c>
      <c r="J575" s="2744"/>
      <c r="K575" s="226" t="n">
        <f aca="false">D575-J575</f>
        <v>0</v>
      </c>
      <c r="L575" s="2736"/>
    </row>
    <row r="576" customFormat="false" ht="15.5" hidden="false" customHeight="false" outlineLevel="0" collapsed="false">
      <c r="A576" s="2719"/>
      <c r="B576" s="298" t="str">
        <f aca="false">дома!A1564</f>
        <v>Перемычка дверная, 2-ый эт. Вариант 8</v>
      </c>
      <c r="C576" s="2765" t="str">
        <f aca="false">дома!B1564</f>
        <v>м.п.</v>
      </c>
      <c r="D576" s="122" t="n">
        <f aca="false">дома!C1564</f>
        <v>0</v>
      </c>
      <c r="E576" s="89" t="n">
        <f aca="false">дома!I1564</f>
        <v>1000</v>
      </c>
      <c r="F576" s="89"/>
      <c r="G576" s="122" t="n">
        <f aca="false">IF(F576&gt;0,D576*F576,E576*D576)</f>
        <v>0</v>
      </c>
      <c r="H576" s="85" t="n">
        <f aca="false">D576*E576*$H$541</f>
        <v>0</v>
      </c>
      <c r="I576" s="2784" t="n">
        <f aca="false">IF(G576&gt;H576,G576,H576)*$H$541</f>
        <v>0</v>
      </c>
      <c r="J576" s="2744"/>
      <c r="K576" s="226" t="n">
        <f aca="false">D576-J576</f>
        <v>0</v>
      </c>
      <c r="L576" s="2736"/>
    </row>
    <row r="577" customFormat="false" ht="15.5" hidden="false" customHeight="false" outlineLevel="0" collapsed="false">
      <c r="A577" s="2719"/>
      <c r="B577" s="298" t="str">
        <f aca="false">дома!A1565</f>
        <v>Перемычка дверная, 2-ый эт. Вариант 9</v>
      </c>
      <c r="C577" s="2765" t="str">
        <f aca="false">дома!B1565</f>
        <v>м.п.</v>
      </c>
      <c r="D577" s="122" t="n">
        <f aca="false">дома!C1565</f>
        <v>0</v>
      </c>
      <c r="E577" s="89" t="n">
        <f aca="false">дома!I1565</f>
        <v>1000</v>
      </c>
      <c r="F577" s="89"/>
      <c r="G577" s="122" t="n">
        <f aca="false">IF(F577&gt;0,D577*F577,E577*D577)</f>
        <v>0</v>
      </c>
      <c r="H577" s="85" t="n">
        <f aca="false">D577*E577*$H$541</f>
        <v>0</v>
      </c>
      <c r="I577" s="2784" t="n">
        <f aca="false">IF(G577&gt;H577,G577,H577)*$H$541</f>
        <v>0</v>
      </c>
      <c r="J577" s="2744"/>
      <c r="K577" s="226" t="n">
        <f aca="false">D577-J577</f>
        <v>0</v>
      </c>
      <c r="L577" s="2736"/>
    </row>
    <row r="578" customFormat="false" ht="15.5" hidden="false" customHeight="false" outlineLevel="0" collapsed="false">
      <c r="A578" s="2719"/>
      <c r="B578" s="298" t="str">
        <f aca="false">дома!A1566</f>
        <v>Перемычка проема, 1-ый эт. Вариант 10</v>
      </c>
      <c r="C578" s="2765" t="str">
        <f aca="false">дома!B1566</f>
        <v>м.п.</v>
      </c>
      <c r="D578" s="122" t="n">
        <f aca="false">дома!C1566</f>
        <v>0</v>
      </c>
      <c r="E578" s="89" t="n">
        <f aca="false">дома!I1566</f>
        <v>1000</v>
      </c>
      <c r="F578" s="89"/>
      <c r="G578" s="122" t="n">
        <f aca="false">IF(F578&gt;0,D578*F578,E578*D578)</f>
        <v>0</v>
      </c>
      <c r="H578" s="85" t="n">
        <f aca="false">D578*E578*$H$541</f>
        <v>0</v>
      </c>
      <c r="I578" s="2784" t="n">
        <f aca="false">IF(G578&gt;H578,G578,H578)*$H$541</f>
        <v>0</v>
      </c>
      <c r="J578" s="2744"/>
      <c r="K578" s="226" t="n">
        <f aca="false">D578-J578</f>
        <v>0</v>
      </c>
      <c r="L578" s="2736"/>
    </row>
    <row r="579" customFormat="false" ht="15.5" hidden="false" customHeight="false" outlineLevel="0" collapsed="false">
      <c r="A579" s="2719"/>
      <c r="B579" s="298" t="str">
        <f aca="false">дома!A1567</f>
        <v>Перемычка проема, 1-ый эт. Вариант 11</v>
      </c>
      <c r="C579" s="2765" t="str">
        <f aca="false">дома!B1567</f>
        <v>м.п.</v>
      </c>
      <c r="D579" s="122" t="n">
        <f aca="false">дома!C1567</f>
        <v>0</v>
      </c>
      <c r="E579" s="89" t="n">
        <f aca="false">дома!I1567</f>
        <v>1000</v>
      </c>
      <c r="F579" s="89"/>
      <c r="G579" s="122" t="n">
        <f aca="false">IF(F579&gt;0,D579*F579,E579*D579)</f>
        <v>0</v>
      </c>
      <c r="H579" s="85" t="n">
        <f aca="false">D579*E579*$H$541</f>
        <v>0</v>
      </c>
      <c r="I579" s="2784" t="n">
        <f aca="false">IF(G579&gt;H579,G579,H579)*$H$541</f>
        <v>0</v>
      </c>
      <c r="J579" s="2744"/>
      <c r="K579" s="226" t="n">
        <f aca="false">D579-J579</f>
        <v>0</v>
      </c>
      <c r="L579" s="2736"/>
    </row>
    <row r="580" customFormat="false" ht="15.5" hidden="false" customHeight="false" outlineLevel="0" collapsed="false">
      <c r="A580" s="2719"/>
      <c r="B580" s="298" t="str">
        <f aca="false">дома!A1568</f>
        <v>Перемычка проема, 2-ый эт. Вариант 12</v>
      </c>
      <c r="C580" s="2765" t="str">
        <f aca="false">дома!B1568</f>
        <v>м.п.</v>
      </c>
      <c r="D580" s="122" t="n">
        <f aca="false">дома!C1568</f>
        <v>0</v>
      </c>
      <c r="E580" s="89" t="n">
        <f aca="false">дома!I1568</f>
        <v>1000</v>
      </c>
      <c r="F580" s="89"/>
      <c r="G580" s="122" t="n">
        <f aca="false">IF(F580&gt;0,D580*F580,E580*D580)</f>
        <v>0</v>
      </c>
      <c r="H580" s="85" t="n">
        <f aca="false">D580*E580*$H$541</f>
        <v>0</v>
      </c>
      <c r="I580" s="2784" t="n">
        <f aca="false">IF(G580&gt;H580,G580,H580)*$H$541</f>
        <v>0</v>
      </c>
      <c r="J580" s="2744"/>
      <c r="K580" s="226" t="n">
        <f aca="false">D580-J580</f>
        <v>0</v>
      </c>
      <c r="L580" s="2736"/>
    </row>
    <row r="581" customFormat="false" ht="15.5" hidden="false" customHeight="false" outlineLevel="0" collapsed="false">
      <c r="A581" s="2719"/>
      <c r="B581" s="298" t="str">
        <f aca="false">дома!A1569</f>
        <v>Перемычка проема, 2-ый эт. Вариант 13</v>
      </c>
      <c r="C581" s="2765" t="str">
        <f aca="false">дома!B1569</f>
        <v>м.п.</v>
      </c>
      <c r="D581" s="122" t="n">
        <f aca="false">дома!C1569</f>
        <v>0</v>
      </c>
      <c r="E581" s="89" t="n">
        <f aca="false">дома!I1569</f>
        <v>1000</v>
      </c>
      <c r="F581" s="89"/>
      <c r="G581" s="122" t="n">
        <f aca="false">IF(F581&gt;0,D581*F581,E581*D581)</f>
        <v>0</v>
      </c>
      <c r="H581" s="85" t="n">
        <f aca="false">D581*E581*$H$541</f>
        <v>0</v>
      </c>
      <c r="I581" s="2784" t="n">
        <f aca="false">IF(G581&gt;H581,G581,H581)*$H$541</f>
        <v>0</v>
      </c>
      <c r="J581" s="2744"/>
      <c r="K581" s="226" t="n">
        <f aca="false">D581-J581</f>
        <v>0</v>
      </c>
      <c r="L581" s="2736"/>
    </row>
    <row r="582" customFormat="false" ht="15.5" hidden="false" customHeight="false" outlineLevel="0" collapsed="false">
      <c r="A582" s="2719"/>
      <c r="B582" s="298" t="str">
        <f aca="false">дома!A1570</f>
        <v>Перемычка дверная, 1-ый эт. Вариант 1</v>
      </c>
      <c r="C582" s="2765" t="str">
        <f aca="false">дома!B1570</f>
        <v>м.п.</v>
      </c>
      <c r="D582" s="122" t="n">
        <f aca="false">дома!C1570</f>
        <v>0</v>
      </c>
      <c r="E582" s="89" t="n">
        <f aca="false">дома!I1570</f>
        <v>1000</v>
      </c>
      <c r="F582" s="89"/>
      <c r="G582" s="122" t="n">
        <f aca="false">IF(F582&gt;0,D582*F582,E582*D582)</f>
        <v>0</v>
      </c>
      <c r="H582" s="85" t="n">
        <f aca="false">D582*E582*$H$541</f>
        <v>0</v>
      </c>
      <c r="I582" s="2784" t="n">
        <f aca="false">IF(G582&gt;H582,G582,H582)*$H$541</f>
        <v>0</v>
      </c>
      <c r="J582" s="2744"/>
      <c r="K582" s="226" t="n">
        <f aca="false">D582-J582</f>
        <v>0</v>
      </c>
      <c r="L582" s="2736"/>
    </row>
    <row r="583" customFormat="false" ht="15.5" hidden="false" customHeight="false" outlineLevel="0" collapsed="false">
      <c r="A583" s="2719"/>
      <c r="B583" s="298" t="str">
        <f aca="false">дома!A1571</f>
        <v>Перемычка дверная, 1-ый эт. Вариант 2</v>
      </c>
      <c r="C583" s="2765" t="str">
        <f aca="false">дома!B1571</f>
        <v>м.п.</v>
      </c>
      <c r="D583" s="122" t="n">
        <f aca="false">дома!C1571</f>
        <v>0</v>
      </c>
      <c r="E583" s="89" t="n">
        <f aca="false">дома!I1571</f>
        <v>1000</v>
      </c>
      <c r="F583" s="89"/>
      <c r="G583" s="122" t="n">
        <f aca="false">IF(F583&gt;0,D583*F583,E583*D583)</f>
        <v>0</v>
      </c>
      <c r="H583" s="85" t="n">
        <f aca="false">D583*E583*$H$541</f>
        <v>0</v>
      </c>
      <c r="I583" s="2784" t="n">
        <f aca="false">IF(G583&gt;H583,G583,H583)*$H$541</f>
        <v>0</v>
      </c>
      <c r="J583" s="2744"/>
      <c r="K583" s="226" t="n">
        <f aca="false">D583-J583</f>
        <v>0</v>
      </c>
      <c r="L583" s="2736"/>
    </row>
    <row r="584" customFormat="false" ht="15.5" hidden="false" customHeight="false" outlineLevel="0" collapsed="false">
      <c r="A584" s="2719"/>
      <c r="B584" s="298" t="str">
        <f aca="false">дома!A1572</f>
        <v>Перемычка дверная, 1-ый эт. Вариант 3</v>
      </c>
      <c r="C584" s="2765" t="str">
        <f aca="false">дома!B1572</f>
        <v>м.п.</v>
      </c>
      <c r="D584" s="122" t="n">
        <f aca="false">дома!C1572</f>
        <v>0</v>
      </c>
      <c r="E584" s="89" t="n">
        <f aca="false">дома!I1572</f>
        <v>1000</v>
      </c>
      <c r="F584" s="89"/>
      <c r="G584" s="122" t="n">
        <f aca="false">IF(F584&gt;0,D584*F584,E584*D584)</f>
        <v>0</v>
      </c>
      <c r="H584" s="85" t="n">
        <f aca="false">D584*E584*$H$541</f>
        <v>0</v>
      </c>
      <c r="I584" s="2784" t="n">
        <f aca="false">IF(G584&gt;H584,G584,H584)*$H$541</f>
        <v>0</v>
      </c>
      <c r="J584" s="2744"/>
      <c r="K584" s="226" t="n">
        <f aca="false">D584-J584</f>
        <v>0</v>
      </c>
      <c r="L584" s="2736"/>
    </row>
    <row r="585" customFormat="false" ht="15.5" hidden="false" customHeight="false" outlineLevel="0" collapsed="false">
      <c r="A585" s="2719"/>
      <c r="B585" s="298" t="str">
        <f aca="false">дома!A1573</f>
        <v>Сосна влаж,200*40мм</v>
      </c>
      <c r="C585" s="2765" t="str">
        <f aca="false">дома!B1573</f>
        <v>м3</v>
      </c>
      <c r="D585" s="298" t="n">
        <f aca="false">дома!C1573</f>
        <v>0.832</v>
      </c>
      <c r="E585" s="298" t="n">
        <f aca="false">дома!I1573</f>
        <v>6500</v>
      </c>
      <c r="F585" s="298"/>
      <c r="G585" s="122" t="n">
        <f aca="false">IF(F585&gt;0,D585*F585,E585*D585)</f>
        <v>5408</v>
      </c>
      <c r="H585" s="85" t="n">
        <f aca="false">D585*E585*$H$541</f>
        <v>0</v>
      </c>
      <c r="I585" s="2784" t="n">
        <f aca="false">IF(G585&gt;H585,G585,H585)*$H$541</f>
        <v>0</v>
      </c>
      <c r="J585" s="2744"/>
      <c r="K585" s="226" t="n">
        <f aca="false">D585-J585</f>
        <v>0.832</v>
      </c>
      <c r="L585" s="2736"/>
    </row>
    <row r="586" customFormat="false" ht="15.5" hidden="false" customHeight="false" outlineLevel="0" collapsed="false">
      <c r="A586" s="2719"/>
      <c r="B586" s="298" t="str">
        <f aca="false">дома!A1574</f>
        <v>Сейсмопояс Арматура М10 4 нити</v>
      </c>
      <c r="C586" s="2765" t="str">
        <f aca="false">дома!B1574</f>
        <v>м.п.</v>
      </c>
      <c r="D586" s="298" t="n">
        <f aca="false">дома!C1574</f>
        <v>176</v>
      </c>
      <c r="E586" s="298" t="n">
        <f aca="false">дома!I1574</f>
        <v>21.0397</v>
      </c>
      <c r="F586" s="298"/>
      <c r="G586" s="122" t="n">
        <f aca="false">IF(F586&gt;0,D586*F586,E586*D586)</f>
        <v>3702.9872</v>
      </c>
      <c r="H586" s="85" t="n">
        <f aca="false">D586*E586*$H$541</f>
        <v>0</v>
      </c>
      <c r="I586" s="2784" t="n">
        <f aca="false">IF(G586&gt;H586,G586,H586)*$H$541</f>
        <v>0</v>
      </c>
      <c r="J586" s="2744"/>
      <c r="K586" s="226" t="n">
        <f aca="false">D586-J586</f>
        <v>176</v>
      </c>
      <c r="L586" s="2736"/>
    </row>
    <row r="587" customFormat="false" ht="15.5" hidden="false" customHeight="false" outlineLevel="0" collapsed="false">
      <c r="A587" s="2719"/>
      <c r="B587" s="298" t="str">
        <f aca="false">дома!A1575</f>
        <v>Хомут для сейсмопояса Арматура М6, шаг 400мм</v>
      </c>
      <c r="C587" s="2765" t="str">
        <f aca="false">дома!B1575</f>
        <v>м.п.</v>
      </c>
      <c r="D587" s="298" t="n">
        <f aca="false">дома!C1575</f>
        <v>90</v>
      </c>
      <c r="E587" s="298" t="n">
        <f aca="false">дома!I1575</f>
        <v>0</v>
      </c>
      <c r="F587" s="298"/>
      <c r="G587" s="122" t="n">
        <f aca="false">IF(F587&gt;0,D587*F587,E587*D587)</f>
        <v>0</v>
      </c>
      <c r="H587" s="85" t="n">
        <f aca="false">D587*E587*$H$541</f>
        <v>0</v>
      </c>
      <c r="I587" s="2784" t="n">
        <f aca="false">IF(G587&gt;H587,G587,H587)*$H$541</f>
        <v>0</v>
      </c>
      <c r="J587" s="2744"/>
      <c r="K587" s="226" t="n">
        <f aca="false">D587-J587</f>
        <v>90</v>
      </c>
      <c r="L587" s="2736"/>
    </row>
    <row r="588" customFormat="false" ht="15.5" hidden="false" customHeight="false" outlineLevel="0" collapsed="false">
      <c r="A588" s="2719"/>
      <c r="B588" s="298" t="str">
        <f aca="false">дома!A1576</f>
        <v>Бетон, м300</v>
      </c>
      <c r="C588" s="2765" t="str">
        <f aca="false">дома!B1576</f>
        <v>м3</v>
      </c>
      <c r="D588" s="298" t="n">
        <f aca="false">дома!C1576</f>
        <v>1.638</v>
      </c>
      <c r="E588" s="298" t="n">
        <f aca="false">дома!I1576</f>
        <v>3000</v>
      </c>
      <c r="F588" s="298"/>
      <c r="G588" s="122" t="n">
        <f aca="false">IF(F588&gt;0,D588*F588,E588*D588)</f>
        <v>4914</v>
      </c>
      <c r="H588" s="85" t="n">
        <f aca="false">D588*E588*$H$541</f>
        <v>0</v>
      </c>
      <c r="I588" s="2784" t="n">
        <f aca="false">IF(G588&gt;H588,G588,H588)*$H$541</f>
        <v>0</v>
      </c>
      <c r="J588" s="2744"/>
      <c r="K588" s="226" t="n">
        <f aca="false">D588-J588</f>
        <v>1.638</v>
      </c>
      <c r="L588" s="2736"/>
    </row>
    <row r="589" customFormat="false" ht="15.5" hidden="false" customHeight="false" outlineLevel="0" collapsed="false">
      <c r="A589" s="2719"/>
      <c r="B589" s="298" t="str">
        <f aca="false">дома!A1579</f>
        <v>Нет</v>
      </c>
      <c r="C589" s="2765" t="str">
        <f aca="false">дома!B1579</f>
        <v>м3</v>
      </c>
      <c r="D589" s="298" t="n">
        <f aca="false">дома!C1579</f>
        <v>0</v>
      </c>
      <c r="E589" s="298" t="n">
        <f aca="false">дома!I1579</f>
        <v>0</v>
      </c>
      <c r="F589" s="298"/>
      <c r="G589" s="122" t="n">
        <f aca="false">IF(F589&gt;0,D589*F589,E589*D589)</f>
        <v>0</v>
      </c>
      <c r="H589" s="85" t="n">
        <f aca="false">D589*E589*$H$541</f>
        <v>0</v>
      </c>
      <c r="I589" s="2784" t="n">
        <f aca="false">IF(G589&gt;H589,G589,H589)*$H$541</f>
        <v>0</v>
      </c>
      <c r="J589" s="2744"/>
      <c r="K589" s="226" t="n">
        <f aca="false">D589-J589</f>
        <v>0</v>
      </c>
      <c r="L589" s="2736"/>
    </row>
    <row r="590" customFormat="false" ht="15.5" hidden="false" customHeight="false" outlineLevel="0" collapsed="false">
      <c r="A590" s="2719"/>
      <c r="B590" s="298" t="str">
        <f aca="false">дома!A1580</f>
        <v>Грибок для крепления утеплителя</v>
      </c>
      <c r="C590" s="2765" t="str">
        <f aca="false">дома!B1580</f>
        <v>шт</v>
      </c>
      <c r="D590" s="298" t="n">
        <f aca="false">дома!C1580</f>
        <v>0</v>
      </c>
      <c r="E590" s="298" t="n">
        <f aca="false">дома!I1580</f>
        <v>15</v>
      </c>
      <c r="F590" s="298"/>
      <c r="G590" s="122" t="n">
        <f aca="false">IF(F590&gt;0,D590*F590,E590*D590)</f>
        <v>0</v>
      </c>
      <c r="H590" s="85" t="n">
        <f aca="false">D590*E590*$H$541</f>
        <v>0</v>
      </c>
      <c r="I590" s="2784" t="n">
        <f aca="false">IF(G590&gt;H590,G590,H590)*$H$541</f>
        <v>0</v>
      </c>
      <c r="J590" s="2744"/>
      <c r="K590" s="226" t="n">
        <f aca="false">D590-J590</f>
        <v>0</v>
      </c>
      <c r="L590" s="2736"/>
    </row>
    <row r="591" customFormat="false" ht="15.5" hidden="false" customHeight="false" outlineLevel="0" collapsed="false">
      <c r="A591" s="2719"/>
      <c r="B591" s="298" t="str">
        <f aca="false">дома!A1581</f>
        <v>нет ветроизоляции</v>
      </c>
      <c r="C591" s="2765" t="str">
        <f aca="false">дома!B1581</f>
        <v>м2</v>
      </c>
      <c r="D591" s="298" t="n">
        <f aca="false">дома!C1581</f>
        <v>0</v>
      </c>
      <c r="E591" s="298" t="n">
        <f aca="false">дома!I1581</f>
        <v>0</v>
      </c>
      <c r="F591" s="298"/>
      <c r="G591" s="122" t="n">
        <f aca="false">IF(F591&gt;0,D591*F591,E591*D591)</f>
        <v>0</v>
      </c>
      <c r="H591" s="85" t="n">
        <f aca="false">D591*E591*$H$541</f>
        <v>0</v>
      </c>
      <c r="I591" s="2784" t="n">
        <f aca="false">IF(G591&gt;H591,G591,H591)*$H$541</f>
        <v>0</v>
      </c>
      <c r="J591" s="2744"/>
      <c r="K591" s="226" t="n">
        <f aca="false">D591-J591</f>
        <v>0</v>
      </c>
      <c r="L591" s="2736"/>
    </row>
    <row r="592" customFormat="false" ht="15.5" hidden="false" customHeight="false" outlineLevel="0" collapsed="false">
      <c r="A592" s="2719"/>
      <c r="B592" s="2748" t="s">
        <v>4640</v>
      </c>
      <c r="C592" s="2748"/>
      <c r="D592" s="2748"/>
      <c r="E592" s="2748"/>
      <c r="F592" s="2748"/>
      <c r="G592" s="85" t="n">
        <f aca="false">SUM(G543:G591)*H541</f>
        <v>0</v>
      </c>
      <c r="H592" s="85" t="n">
        <f aca="false">SUM(H543:H591)</f>
        <v>0</v>
      </c>
      <c r="I592" s="2784" t="n">
        <f aca="false">IF(G592&gt;H592,G592,H592)*$H$541</f>
        <v>0</v>
      </c>
      <c r="J592" s="2744"/>
      <c r="K592" s="226" t="n">
        <f aca="false">D592-J592</f>
        <v>0</v>
      </c>
      <c r="L592" s="2736"/>
    </row>
    <row r="593" customFormat="false" ht="15.5" hidden="false" customHeight="false" outlineLevel="0" collapsed="false">
      <c r="A593" s="2719"/>
      <c r="B593" s="2750" t="s">
        <v>1409</v>
      </c>
      <c r="C593" s="2750"/>
      <c r="D593" s="2750"/>
      <c r="E593" s="2750"/>
      <c r="F593" s="2750"/>
      <c r="G593" s="905"/>
      <c r="H593" s="2766" t="n">
        <f aca="false">H541</f>
        <v>0</v>
      </c>
      <c r="I593" s="2757" t="n">
        <f aca="false">H593</f>
        <v>0</v>
      </c>
      <c r="J593" s="2752"/>
      <c r="K593" s="2753"/>
    </row>
    <row r="594" customFormat="false" ht="15.5" hidden="false" customHeight="false" outlineLevel="0" collapsed="false">
      <c r="A594" s="2712"/>
      <c r="B594" s="2648" t="str">
        <f aca="false">дома!O1541</f>
        <v>кладка газобетона несущие стены</v>
      </c>
      <c r="C594" s="2765" t="str">
        <f aca="false">дома!R1541</f>
        <v>м3</v>
      </c>
      <c r="D594" s="122" t="n">
        <f aca="false">дома!S1541</f>
        <v>-3.12</v>
      </c>
      <c r="E594" s="89" t="n">
        <f aca="false">дома!T1541</f>
        <v>3500</v>
      </c>
      <c r="F594" s="89"/>
      <c r="G594" s="122" t="n">
        <f aca="false">IF(F594&gt;0,D594*F594,E594*D594)</f>
        <v>-10920</v>
      </c>
      <c r="H594" s="2210" t="n">
        <f aca="false">D594*E594*$H$593</f>
        <v>0</v>
      </c>
      <c r="I594" s="2718" t="n">
        <f aca="false">IF(G594&gt;H594,G594,H594)*$H$541</f>
        <v>0</v>
      </c>
      <c r="L594" s="878"/>
      <c r="M594" s="878"/>
    </row>
    <row r="595" customFormat="false" ht="15.5" hidden="false" customHeight="false" outlineLevel="0" collapsed="false">
      <c r="A595" s="2719"/>
      <c r="B595" s="2648" t="str">
        <f aca="false">дома!O1542</f>
        <v>кладка газобетона несущие перегородки</v>
      </c>
      <c r="C595" s="2765" t="str">
        <f aca="false">дома!R1542</f>
        <v>м3</v>
      </c>
      <c r="D595" s="122" t="n">
        <f aca="false">дома!S1542</f>
        <v>0</v>
      </c>
      <c r="E595" s="89" t="n">
        <f aca="false">дома!T1542</f>
        <v>3500</v>
      </c>
      <c r="F595" s="89"/>
      <c r="G595" s="122" t="n">
        <f aca="false">IF(F595&gt;0,D595*F595,E595*D595)</f>
        <v>0</v>
      </c>
      <c r="H595" s="2210" t="n">
        <f aca="false">D595*E595*$H$593</f>
        <v>0</v>
      </c>
      <c r="I595" s="2718" t="n">
        <f aca="false">IF(G595&gt;H595,G595,H595)*$H$541</f>
        <v>0</v>
      </c>
      <c r="L595" s="878"/>
      <c r="M595" s="878"/>
    </row>
    <row r="596" customFormat="false" ht="15.5" hidden="false" customHeight="false" outlineLevel="0" collapsed="false">
      <c r="A596" s="2719"/>
      <c r="B596" s="2648" t="str">
        <f aca="false">дома!O1543</f>
        <v>кладка газобетона перегородки</v>
      </c>
      <c r="C596" s="2765" t="str">
        <f aca="false">дома!R1543</f>
        <v>м2</v>
      </c>
      <c r="D596" s="122" t="n">
        <f aca="false">дома!S1543</f>
        <v>0</v>
      </c>
      <c r="E596" s="89" t="n">
        <f aca="false">дома!T1543</f>
        <v>500</v>
      </c>
      <c r="F596" s="89"/>
      <c r="G596" s="122" t="n">
        <f aca="false">IF(F596&gt;0,D596*F596,E596*D596)</f>
        <v>0</v>
      </c>
      <c r="H596" s="2210" t="n">
        <f aca="false">D596*E596*$H$593</f>
        <v>0</v>
      </c>
      <c r="I596" s="2718" t="n">
        <f aca="false">IF(G596&gt;H596,G596,H596)*$H$541</f>
        <v>0</v>
      </c>
      <c r="L596" s="878"/>
      <c r="M596" s="878"/>
    </row>
    <row r="597" customFormat="false" ht="15.5" hidden="false" customHeight="false" outlineLevel="0" collapsed="false">
      <c r="A597" s="2719"/>
      <c r="B597" s="2648" t="str">
        <f aca="false">дома!O1544</f>
        <v>изготовление и монтаж перемычек для окон и дверей</v>
      </c>
      <c r="C597" s="2765" t="str">
        <f aca="false">дома!R1544</f>
        <v>м.п.</v>
      </c>
      <c r="D597" s="122" t="n">
        <f aca="false">дома!S1544</f>
        <v>2.52</v>
      </c>
      <c r="E597" s="89" t="n">
        <f aca="false">дома!T1544</f>
        <v>500</v>
      </c>
      <c r="F597" s="89"/>
      <c r="G597" s="122" t="n">
        <f aca="false">IF(F597&gt;0,D597*F597,E597*D597)</f>
        <v>1260</v>
      </c>
      <c r="H597" s="2210" t="n">
        <f aca="false">D597*E597*$H$593</f>
        <v>0</v>
      </c>
      <c r="I597" s="2718" t="n">
        <f aca="false">IF(G597&gt;H597,G597,H597)*$H$541</f>
        <v>0</v>
      </c>
      <c r="L597" s="878"/>
      <c r="M597" s="878"/>
    </row>
    <row r="598" customFormat="false" ht="15.5" hidden="false" customHeight="false" outlineLevel="0" collapsed="false">
      <c r="A598" s="2719"/>
      <c r="B598" s="2648" t="str">
        <f aca="false">дома!O1545</f>
        <v>Замешивание раствора</v>
      </c>
      <c r="C598" s="2765" t="str">
        <f aca="false">дома!R1545</f>
        <v>м3</v>
      </c>
      <c r="D598" s="122" t="n">
        <f aca="false">дома!S1545</f>
        <v>-0.541445759999999</v>
      </c>
      <c r="E598" s="89" t="n">
        <f aca="false">дома!T1545</f>
        <v>1500</v>
      </c>
      <c r="F598" s="89"/>
      <c r="G598" s="122" t="n">
        <f aca="false">IF(F598&gt;0,D598*F598,E598*D598)</f>
        <v>-812.168639999999</v>
      </c>
      <c r="H598" s="2210" t="n">
        <f aca="false">D598*E598*$H$593</f>
        <v>-0</v>
      </c>
      <c r="I598" s="2718" t="n">
        <f aca="false">IF(G598&gt;H598,G598,H598)*$H$541</f>
        <v>-0</v>
      </c>
      <c r="L598" s="878"/>
      <c r="M598" s="878"/>
    </row>
    <row r="599" customFormat="false" ht="15.5" hidden="false" customHeight="false" outlineLevel="0" collapsed="false">
      <c r="A599" s="2719"/>
      <c r="B599" s="2648" t="str">
        <f aca="false">дома!O1546</f>
        <v>Армирование стен наружних и перегородок</v>
      </c>
      <c r="C599" s="2765" t="str">
        <f aca="false">дома!R1546</f>
        <v>м.п.</v>
      </c>
      <c r="D599" s="122" t="n">
        <f aca="false">дома!S1546</f>
        <v>240</v>
      </c>
      <c r="E599" s="89" t="n">
        <f aca="false">дома!T1546</f>
        <v>70</v>
      </c>
      <c r="F599" s="89"/>
      <c r="G599" s="122" t="n">
        <f aca="false">IF(F599&gt;0,D599*F599,E599*D599)</f>
        <v>16800</v>
      </c>
      <c r="H599" s="2210" t="n">
        <f aca="false">D599*E599*$H$593</f>
        <v>0</v>
      </c>
      <c r="I599" s="2718" t="n">
        <f aca="false">IF(G599&gt;H599,G599,H599)*$H$541</f>
        <v>0</v>
      </c>
      <c r="L599" s="878"/>
      <c r="M599" s="878"/>
    </row>
    <row r="600" customFormat="false" ht="15.5" hidden="false" customHeight="false" outlineLevel="0" collapsed="false">
      <c r="A600" s="2719"/>
      <c r="B600" s="2648" t="str">
        <f aca="false">дома!O1547</f>
        <v>Установка опалубки для сейсмопояса</v>
      </c>
      <c r="C600" s="2765" t="str">
        <f aca="false">дома!R1547</f>
        <v>м.п.</v>
      </c>
      <c r="D600" s="122" t="n">
        <f aca="false">дома!S1547</f>
        <v>40</v>
      </c>
      <c r="E600" s="89" t="n">
        <f aca="false">дома!T1547</f>
        <v>300</v>
      </c>
      <c r="F600" s="89"/>
      <c r="G600" s="122" t="n">
        <f aca="false">IF(F600&gt;0,D600*F600,E600*D600)</f>
        <v>12000</v>
      </c>
      <c r="H600" s="2210" t="n">
        <f aca="false">D600*E600*$H$593</f>
        <v>0</v>
      </c>
      <c r="I600" s="2718" t="n">
        <f aca="false">IF(G600&gt;H600,G600,H600)*$H$541</f>
        <v>0</v>
      </c>
      <c r="J600" s="2712"/>
      <c r="K600" s="2719"/>
    </row>
    <row r="601" customFormat="false" ht="15.5" hidden="false" customHeight="false" outlineLevel="0" collapsed="false">
      <c r="A601" s="2719"/>
      <c r="B601" s="2648" t="str">
        <f aca="false">дома!O1548</f>
        <v>Армирование сейсмопояса</v>
      </c>
      <c r="C601" s="2765" t="str">
        <f aca="false">дома!R1548</f>
        <v>м.п.</v>
      </c>
      <c r="D601" s="122" t="n">
        <f aca="false">дома!S1548</f>
        <v>40</v>
      </c>
      <c r="E601" s="89" t="n">
        <f aca="false">дома!T1548</f>
        <v>500</v>
      </c>
      <c r="F601" s="89"/>
      <c r="G601" s="122" t="n">
        <f aca="false">IF(F601&gt;0,D601*F601,E601*D601)</f>
        <v>20000</v>
      </c>
      <c r="H601" s="2210" t="n">
        <f aca="false">D601*E601*$H$593</f>
        <v>0</v>
      </c>
      <c r="I601" s="2718" t="n">
        <f aca="false">IF(G601&gt;H601,G601,H601)*$H$541</f>
        <v>0</v>
      </c>
      <c r="J601" s="2712"/>
      <c r="K601" s="2719"/>
    </row>
    <row r="602" customFormat="false" ht="15.5" hidden="false" customHeight="false" outlineLevel="0" collapsed="false">
      <c r="A602" s="2719"/>
      <c r="B602" s="2648" t="str">
        <f aca="false">дома!O1549</f>
        <v>Заливка бетоном сейсмопояса</v>
      </c>
      <c r="C602" s="2765" t="str">
        <f aca="false">дома!R1549</f>
        <v>м.п.</v>
      </c>
      <c r="D602" s="122" t="n">
        <f aca="false">дома!S1549</f>
        <v>40</v>
      </c>
      <c r="E602" s="89" t="n">
        <f aca="false">дома!T1549</f>
        <v>700</v>
      </c>
      <c r="F602" s="89"/>
      <c r="G602" s="122" t="n">
        <f aca="false">IF(F602&gt;0,D602*F602,E602*D602)</f>
        <v>28000</v>
      </c>
      <c r="H602" s="2210" t="n">
        <f aca="false">D602*E602*$H$593</f>
        <v>0</v>
      </c>
      <c r="I602" s="2718" t="n">
        <f aca="false">IF(G602&gt;H602,G602,H602)*$H$541</f>
        <v>0</v>
      </c>
      <c r="J602" s="2712"/>
      <c r="K602" s="2719"/>
    </row>
    <row r="603" customFormat="false" ht="15.5" hidden="false" customHeight="false" outlineLevel="0" collapsed="false">
      <c r="A603" s="2719"/>
      <c r="B603" s="2648" t="str">
        <f aca="false">дома!O1550</f>
        <v>утепление стен снаружи дома</v>
      </c>
      <c r="C603" s="2765" t="str">
        <f aca="false">дома!R1550</f>
        <v>м2</v>
      </c>
      <c r="D603" s="122" t="n">
        <f aca="false">дома!S1550</f>
        <v>0</v>
      </c>
      <c r="E603" s="89" t="n">
        <f aca="false">дома!T1550</f>
        <v>350</v>
      </c>
      <c r="F603" s="89"/>
      <c r="G603" s="122" t="n">
        <f aca="false">IF(F603&gt;0,D603*F603,E603*D603)</f>
        <v>0</v>
      </c>
      <c r="H603" s="2210" t="n">
        <f aca="false">D603*E603*$H$593</f>
        <v>0</v>
      </c>
      <c r="I603" s="2718" t="n">
        <f aca="false">IF(G603&gt;H603,G603,H603)*$H$541</f>
        <v>0</v>
      </c>
      <c r="J603" s="2712"/>
      <c r="K603" s="2719"/>
    </row>
    <row r="604" customFormat="false" ht="15.5" hidden="false" customHeight="false" outlineLevel="0" collapsed="false">
      <c r="A604" s="2719"/>
      <c r="B604" s="2648" t="str">
        <f aca="false">дома!O1551</f>
        <v>монтаж ветроизоляции стен</v>
      </c>
      <c r="C604" s="2765" t="str">
        <f aca="false">дома!R1551</f>
        <v>м2</v>
      </c>
      <c r="D604" s="122" t="n">
        <f aca="false">дома!S1551</f>
        <v>0</v>
      </c>
      <c r="E604" s="89" t="n">
        <f aca="false">дома!T1551</f>
        <v>100</v>
      </c>
      <c r="F604" s="89"/>
      <c r="G604" s="122" t="n">
        <f aca="false">IF(F604&gt;0,D604*F604,E604*D604)</f>
        <v>0</v>
      </c>
      <c r="H604" s="2210" t="n">
        <f aca="false">D604*E604*$H$593</f>
        <v>0</v>
      </c>
      <c r="I604" s="2718" t="n">
        <f aca="false">IF(G604&gt;H604,G604,H604)*$H$541</f>
        <v>0</v>
      </c>
      <c r="J604" s="2712"/>
      <c r="K604" s="2719"/>
    </row>
    <row r="605" customFormat="false" ht="15.5" hidden="false" customHeight="false" outlineLevel="0" collapsed="false">
      <c r="A605" s="2719"/>
      <c r="B605" s="2748" t="s">
        <v>4641</v>
      </c>
      <c r="C605" s="2748"/>
      <c r="D605" s="2748"/>
      <c r="E605" s="2748"/>
      <c r="F605" s="2748"/>
      <c r="G605" s="2210" t="n">
        <f aca="false">SUM(G594:G604)*H593</f>
        <v>0</v>
      </c>
      <c r="H605" s="2210" t="n">
        <f aca="false">SUM(H594:H604)</f>
        <v>0</v>
      </c>
      <c r="I605" s="2718" t="n">
        <f aca="false">IF(G605&gt;H605,G605,H605)*$H$541</f>
        <v>0</v>
      </c>
      <c r="J605" s="2712"/>
      <c r="K605" s="2719"/>
    </row>
    <row r="606" customFormat="false" ht="21" hidden="false" customHeight="false" outlineLevel="0" collapsed="false">
      <c r="A606" s="2719"/>
      <c r="B606" s="2762" t="s">
        <v>4655</v>
      </c>
      <c r="C606" s="2762"/>
      <c r="D606" s="2762"/>
      <c r="E606" s="2762"/>
      <c r="F606" s="2762"/>
      <c r="G606" s="905"/>
      <c r="H606" s="2774" t="n">
        <f aca="false">IF('Ввод данных'!A8=связи1!A154,1,0)+IF('Ввод данных'!A8=связи1!A162,1,0)+IF('Ввод данных'!A8=связи1!A178,1,0)+IF('Ввод данных'!A8=связи1!A179,1,0)+IF('Ввод данных'!A8=связи1!A180,1,0)+IF('Ввод данных'!A8=связи1!A181,1,0)+IF('Ввод данных'!A8=связи1!A182,1,0)+IF('Ввод данных'!A8=связи1!A183,1,0)+IF('Ввод данных'!A8=связи1!A184,1,0)</f>
        <v>0</v>
      </c>
      <c r="I606" s="2757" t="n">
        <f aca="false">H606</f>
        <v>0</v>
      </c>
      <c r="J606" s="2712"/>
      <c r="K606" s="2719"/>
    </row>
    <row r="607" customFormat="false" ht="15.5" hidden="false" customHeight="false" outlineLevel="0" collapsed="false">
      <c r="A607" s="2712"/>
      <c r="B607" s="2775" t="s">
        <v>2720</v>
      </c>
      <c r="C607" s="2775"/>
      <c r="D607" s="2775"/>
      <c r="E607" s="2775"/>
      <c r="F607" s="2775"/>
      <c r="G607" s="905"/>
      <c r="H607" s="2776" t="n">
        <f aca="false">H606</f>
        <v>0</v>
      </c>
      <c r="I607" s="2757" t="n">
        <f aca="false">H607</f>
        <v>0</v>
      </c>
      <c r="J607" s="2732"/>
      <c r="K607" s="2733"/>
    </row>
    <row r="608" customFormat="false" ht="15.5" hidden="false" customHeight="false" outlineLevel="0" collapsed="false">
      <c r="A608" s="2712"/>
      <c r="B608" s="298" t="str">
        <f aca="false">дома!A1612</f>
        <v>Керамзитобетонный блок - 390х190х188</v>
      </c>
      <c r="C608" s="2765" t="str">
        <f aca="false">дома!B1612</f>
        <v>м3</v>
      </c>
      <c r="D608" s="298" t="n">
        <f aca="false">дома!C1612</f>
        <v>0</v>
      </c>
      <c r="E608" s="298" t="n">
        <f aca="false">дома!I1612</f>
        <v>3200</v>
      </c>
      <c r="F608" s="298"/>
      <c r="G608" s="122" t="n">
        <f aca="false">IF(F608&gt;0,D608*F608,E608*D608)</f>
        <v>0</v>
      </c>
      <c r="H608" s="85" t="n">
        <f aca="false">D608*E608*$H$607</f>
        <v>0</v>
      </c>
      <c r="I608" s="2784" t="n">
        <f aca="false">IF(G608&gt;H608,G608,H608)*$H$606</f>
        <v>0</v>
      </c>
      <c r="J608" s="2744"/>
      <c r="K608" s="226" t="n">
        <f aca="false">D608-J608</f>
        <v>0</v>
      </c>
      <c r="L608" s="2736"/>
    </row>
    <row r="609" customFormat="false" ht="15.5" hidden="false" customHeight="false" outlineLevel="0" collapsed="false">
      <c r="A609" s="2719"/>
      <c r="B609" s="298" t="str">
        <f aca="false">дома!A1613</f>
        <v>Керамзитобетонный блок - 390х190х188</v>
      </c>
      <c r="C609" s="2765" t="str">
        <f aca="false">дома!B1613</f>
        <v>м3</v>
      </c>
      <c r="D609" s="298" t="n">
        <f aca="false">дома!C1613</f>
        <v>0</v>
      </c>
      <c r="E609" s="298" t="n">
        <f aca="false">дома!I1613</f>
        <v>3200</v>
      </c>
      <c r="F609" s="298"/>
      <c r="G609" s="122" t="n">
        <f aca="false">IF(F609&gt;0,D609*F609,E609*D609)</f>
        <v>0</v>
      </c>
      <c r="H609" s="85" t="n">
        <f aca="false">D609*E609*$H$607</f>
        <v>0</v>
      </c>
      <c r="I609" s="2784" t="n">
        <f aca="false">IF(G609&gt;H609,G609,H609)*$H$606</f>
        <v>0</v>
      </c>
      <c r="J609" s="2744"/>
      <c r="K609" s="226" t="n">
        <f aca="false">D609-J609</f>
        <v>0</v>
      </c>
      <c r="L609" s="2736"/>
    </row>
    <row r="610" customFormat="false" ht="15.5" hidden="false" customHeight="false" outlineLevel="0" collapsed="false">
      <c r="A610" s="2719"/>
      <c r="B610" s="298" t="str">
        <f aca="false">дома!A1614</f>
        <v>Керамзитобетонный блок - 390х90х188</v>
      </c>
      <c r="C610" s="2765" t="str">
        <f aca="false">дома!B1614</f>
        <v>м3</v>
      </c>
      <c r="D610" s="298" t="n">
        <f aca="false">дома!C1614</f>
        <v>0</v>
      </c>
      <c r="E610" s="298" t="n">
        <f aca="false">дома!I1614</f>
        <v>3200</v>
      </c>
      <c r="F610" s="298"/>
      <c r="G610" s="122" t="n">
        <f aca="false">IF(F610&gt;0,D610*F610,E610*D610)</f>
        <v>0</v>
      </c>
      <c r="H610" s="85" t="n">
        <f aca="false">D610*E610*$H$607</f>
        <v>0</v>
      </c>
      <c r="I610" s="2784" t="n">
        <f aca="false">IF(G610&gt;H610,G610,H610)*$H$606</f>
        <v>0</v>
      </c>
      <c r="J610" s="2744"/>
      <c r="K610" s="226" t="n">
        <f aca="false">D610-J610</f>
        <v>0</v>
      </c>
      <c r="L610" s="2736"/>
    </row>
    <row r="611" customFormat="false" ht="15.5" hidden="false" customHeight="false" outlineLevel="0" collapsed="false">
      <c r="A611" s="2719"/>
      <c r="B611" s="298" t="str">
        <f aca="false">дома!A1615</f>
        <v>Клей монтажный ВК-100</v>
      </c>
      <c r="C611" s="2765" t="str">
        <f aca="false">дома!B1615</f>
        <v>меш</v>
      </c>
      <c r="D611" s="298" t="n">
        <f aca="false">дома!C1615</f>
        <v>0</v>
      </c>
      <c r="E611" s="298" t="n">
        <f aca="false">дома!I1615</f>
        <v>185</v>
      </c>
      <c r="F611" s="298"/>
      <c r="G611" s="122" t="n">
        <f aca="false">IF(F611&gt;0,D611*F611,E611*D611)</f>
        <v>0</v>
      </c>
      <c r="H611" s="85" t="n">
        <f aca="false">D611*E611*$H$607</f>
        <v>0</v>
      </c>
      <c r="I611" s="2784" t="n">
        <f aca="false">IF(G611&gt;H611,G611,H611)*$H$606</f>
        <v>0</v>
      </c>
      <c r="J611" s="2744"/>
      <c r="K611" s="226" t="n">
        <f aca="false">D611-J611</f>
        <v>0</v>
      </c>
      <c r="L611" s="2736"/>
    </row>
    <row r="612" customFormat="false" ht="15.5" hidden="false" customHeight="false" outlineLevel="0" collapsed="false">
      <c r="A612" s="2719"/>
      <c r="B612" s="298" t="e">
        <f aca="false">дома!A1616</f>
        <v>#N/A</v>
      </c>
      <c r="C612" s="2765" t="str">
        <f aca="false">дома!B1616</f>
        <v>меш</v>
      </c>
      <c r="D612" s="298" t="n">
        <f aca="false">дома!C1616</f>
        <v>0</v>
      </c>
      <c r="E612" s="298" t="n">
        <f aca="false">дома!I1616</f>
        <v>0</v>
      </c>
      <c r="F612" s="298"/>
      <c r="G612" s="122" t="n">
        <f aca="false">IF(F612&gt;0,D612*F612,E612*D612)</f>
        <v>0</v>
      </c>
      <c r="H612" s="85" t="n">
        <f aca="false">D612*E612*$H$607</f>
        <v>0</v>
      </c>
      <c r="I612" s="2784" t="n">
        <f aca="false">IF(G612&gt;H612,G612,H612)*$H$606</f>
        <v>0</v>
      </c>
      <c r="J612" s="2744"/>
      <c r="K612" s="226" t="n">
        <f aca="false">D612-J612</f>
        <v>0</v>
      </c>
      <c r="L612" s="2736"/>
    </row>
    <row r="613" customFormat="false" ht="15.5" hidden="false" customHeight="false" outlineLevel="0" collapsed="false">
      <c r="A613" s="2719"/>
      <c r="B613" s="298" t="e">
        <f aca="false">дома!A1617</f>
        <v>#N/A</v>
      </c>
      <c r="C613" s="2765" t="str">
        <f aca="false">дома!B1617</f>
        <v>м3</v>
      </c>
      <c r="D613" s="298" t="n">
        <f aca="false">дома!C1617</f>
        <v>0</v>
      </c>
      <c r="E613" s="298" t="n">
        <f aca="false">дома!I1617</f>
        <v>0</v>
      </c>
      <c r="F613" s="298"/>
      <c r="G613" s="122" t="n">
        <f aca="false">IF(F613&gt;0,D613*F613,E613*D613)</f>
        <v>0</v>
      </c>
      <c r="H613" s="85" t="n">
        <f aca="false">D613*E613*$H$607</f>
        <v>0</v>
      </c>
      <c r="I613" s="2784" t="n">
        <f aca="false">IF(G613&gt;H613,G613,H613)*$H$606</f>
        <v>0</v>
      </c>
      <c r="J613" s="2744"/>
      <c r="K613" s="226" t="n">
        <f aca="false">D613-J613</f>
        <v>0</v>
      </c>
      <c r="L613" s="2736"/>
    </row>
    <row r="614" customFormat="false" ht="15.5" hidden="false" customHeight="false" outlineLevel="0" collapsed="false">
      <c r="A614" s="2719"/>
      <c r="B614" s="298" t="str">
        <f aca="false">дома!A1618</f>
        <v>Доставка песка</v>
      </c>
      <c r="C614" s="2765" t="str">
        <f aca="false">дома!B1618</f>
        <v>маш</v>
      </c>
      <c r="D614" s="298" t="n">
        <f aca="false">дома!C1618</f>
        <v>0</v>
      </c>
      <c r="E614" s="298" t="n">
        <f aca="false">дома!I1618</f>
        <v>0</v>
      </c>
      <c r="F614" s="298"/>
      <c r="G614" s="122" t="n">
        <f aca="false">IF(F614&gt;0,D614*F614,E614*D614)</f>
        <v>0</v>
      </c>
      <c r="H614" s="85" t="n">
        <f aca="false">D614*E614*$H$607</f>
        <v>0</v>
      </c>
      <c r="I614" s="2784" t="n">
        <f aca="false">IF(G614&gt;H614,G614,H614)*$H$606</f>
        <v>0</v>
      </c>
      <c r="J614" s="2744"/>
      <c r="K614" s="226" t="n">
        <f aca="false">D614-J614</f>
        <v>0</v>
      </c>
      <c r="L614" s="2736"/>
    </row>
    <row r="615" customFormat="false" ht="15.5" hidden="false" customHeight="false" outlineLevel="0" collapsed="false">
      <c r="A615" s="2719"/>
      <c r="B615" s="298" t="e">
        <f aca="false">дома!A1619</f>
        <v>#N/A</v>
      </c>
      <c r="C615" s="2765" t="str">
        <f aca="false">дома!B1619</f>
        <v>м3</v>
      </c>
      <c r="D615" s="298" t="n">
        <f aca="false">дома!C1619</f>
        <v>0</v>
      </c>
      <c r="E615" s="298" t="n">
        <f aca="false">дома!I1619</f>
        <v>0</v>
      </c>
      <c r="F615" s="298"/>
      <c r="G615" s="122" t="n">
        <f aca="false">IF(F615&gt;0,D615*F615,E615*D615)</f>
        <v>0</v>
      </c>
      <c r="H615" s="85" t="n">
        <f aca="false">D615*E615*$H$607</f>
        <v>0</v>
      </c>
      <c r="I615" s="2784" t="n">
        <f aca="false">IF(G615&gt;H615,G615,H615)*$H$606</f>
        <v>0</v>
      </c>
      <c r="J615" s="2744"/>
      <c r="K615" s="226" t="n">
        <f aca="false">D615-J615</f>
        <v>0</v>
      </c>
      <c r="L615" s="2736"/>
    </row>
    <row r="616" customFormat="false" ht="15.5" hidden="false" customHeight="false" outlineLevel="0" collapsed="false">
      <c r="A616" s="2719"/>
      <c r="B616" s="298" t="str">
        <f aca="false">дома!A1620</f>
        <v>Арматура М6 каждый 3-й ряд, 2 нити</v>
      </c>
      <c r="C616" s="2765" t="str">
        <f aca="false">дома!B1620</f>
        <v>м.п.</v>
      </c>
      <c r="D616" s="298" t="n">
        <f aca="false">дома!C1620</f>
        <v>480</v>
      </c>
      <c r="E616" s="298" t="n">
        <f aca="false">дома!I1620</f>
        <v>0</v>
      </c>
      <c r="F616" s="298"/>
      <c r="G616" s="122" t="n">
        <f aca="false">IF(F616&gt;0,D616*F616,E616*D616)</f>
        <v>0</v>
      </c>
      <c r="H616" s="85" t="n">
        <f aca="false">D616*E616*$H$607</f>
        <v>0</v>
      </c>
      <c r="I616" s="2784" t="n">
        <f aca="false">IF(G616&gt;H616,G616,H616)*$H$606</f>
        <v>0</v>
      </c>
      <c r="J616" s="2744"/>
      <c r="K616" s="226" t="n">
        <f aca="false">D616-J616</f>
        <v>480</v>
      </c>
      <c r="L616" s="2736"/>
    </row>
    <row r="617" customFormat="false" ht="15.5" hidden="false" customHeight="false" outlineLevel="0" collapsed="false">
      <c r="A617" s="2719"/>
      <c r="B617" s="298" t="str">
        <f aca="false">дома!A1621</f>
        <v>Арматура М6 каждый 3-й ряд, 2 нити</v>
      </c>
      <c r="C617" s="2765" t="str">
        <f aca="false">дома!B1621</f>
        <v>м.п.</v>
      </c>
      <c r="D617" s="298" t="n">
        <f aca="false">дома!C1621</f>
        <v>0</v>
      </c>
      <c r="E617" s="298" t="n">
        <f aca="false">дома!I1621</f>
        <v>0</v>
      </c>
      <c r="F617" s="298"/>
      <c r="G617" s="122" t="n">
        <f aca="false">IF(F617&gt;0,D617*F617,E617*D617)</f>
        <v>0</v>
      </c>
      <c r="H617" s="85" t="n">
        <f aca="false">D617*E617*$H$607</f>
        <v>0</v>
      </c>
      <c r="I617" s="2784" t="n">
        <f aca="false">IF(G617&gt;H617,G617,H617)*$H$606</f>
        <v>0</v>
      </c>
      <c r="J617" s="2744"/>
      <c r="K617" s="226" t="n">
        <f aca="false">D617-J617</f>
        <v>0</v>
      </c>
      <c r="L617" s="2736"/>
    </row>
    <row r="618" customFormat="false" ht="15.5" hidden="false" customHeight="false" outlineLevel="0" collapsed="false">
      <c r="A618" s="2719"/>
      <c r="B618" s="298" t="str">
        <f aca="false">дома!A1622</f>
        <v>Перемычка оконная, 1-ый эт. Вариант 1</v>
      </c>
      <c r="C618" s="2765" t="str">
        <f aca="false">дома!B1622</f>
        <v>м.п.</v>
      </c>
      <c r="D618" s="298" t="n">
        <f aca="false">дома!C1622</f>
        <v>1</v>
      </c>
      <c r="E618" s="298" t="n">
        <f aca="false">дома!I1622</f>
        <v>1000</v>
      </c>
      <c r="F618" s="298"/>
      <c r="G618" s="122" t="n">
        <f aca="false">IF(F618&gt;0,D618*F618,E618*D618)</f>
        <v>1000</v>
      </c>
      <c r="H618" s="85" t="n">
        <f aca="false">D618*E618*$H$607</f>
        <v>0</v>
      </c>
      <c r="I618" s="2784" t="n">
        <f aca="false">IF(G618&gt;H618,G618,H618)*$H$606</f>
        <v>0</v>
      </c>
      <c r="J618" s="2744"/>
      <c r="K618" s="226" t="n">
        <f aca="false">D618-J618</f>
        <v>1</v>
      </c>
      <c r="L618" s="2736"/>
    </row>
    <row r="619" customFormat="false" ht="15.5" hidden="false" customHeight="false" outlineLevel="0" collapsed="false">
      <c r="A619" s="2719"/>
      <c r="B619" s="298" t="str">
        <f aca="false">дома!A1623</f>
        <v>Перемычка оконная, 1-ый эт. Вариант 2</v>
      </c>
      <c r="C619" s="2765" t="str">
        <f aca="false">дома!B1623</f>
        <v>м.п.</v>
      </c>
      <c r="D619" s="298" t="n">
        <f aca="false">дома!C1623</f>
        <v>0</v>
      </c>
      <c r="E619" s="298" t="n">
        <f aca="false">дома!I1623</f>
        <v>1000</v>
      </c>
      <c r="F619" s="298"/>
      <c r="G619" s="122" t="n">
        <f aca="false">IF(F619&gt;0,D619*F619,E619*D619)</f>
        <v>0</v>
      </c>
      <c r="H619" s="85" t="n">
        <f aca="false">D619*E619*$H$607</f>
        <v>0</v>
      </c>
      <c r="I619" s="2784" t="n">
        <f aca="false">IF(G619&gt;H619,G619,H619)*$H$606</f>
        <v>0</v>
      </c>
      <c r="J619" s="2744"/>
      <c r="K619" s="226" t="n">
        <f aca="false">D619-J619</f>
        <v>0</v>
      </c>
      <c r="L619" s="2736"/>
    </row>
    <row r="620" customFormat="false" ht="15.5" hidden="false" customHeight="false" outlineLevel="0" collapsed="false">
      <c r="A620" s="2719"/>
      <c r="B620" s="298" t="str">
        <f aca="false">дома!A1624</f>
        <v>Перемычка оконная, 1-ый эт. Вариант 3</v>
      </c>
      <c r="C620" s="2765" t="str">
        <f aca="false">дома!B1624</f>
        <v>м.п.</v>
      </c>
      <c r="D620" s="298" t="n">
        <f aca="false">дома!C1624</f>
        <v>0</v>
      </c>
      <c r="E620" s="298" t="n">
        <f aca="false">дома!I1624</f>
        <v>1000</v>
      </c>
      <c r="F620" s="298"/>
      <c r="G620" s="122" t="n">
        <f aca="false">IF(F620&gt;0,D620*F620,E620*D620)</f>
        <v>0</v>
      </c>
      <c r="H620" s="85" t="n">
        <f aca="false">D620*E620*$H$607</f>
        <v>0</v>
      </c>
      <c r="I620" s="2784" t="n">
        <f aca="false">IF(G620&gt;H620,G620,H620)*$H$606</f>
        <v>0</v>
      </c>
      <c r="J620" s="2744"/>
      <c r="K620" s="226" t="n">
        <f aca="false">D620-J620</f>
        <v>0</v>
      </c>
      <c r="L620" s="2736"/>
    </row>
    <row r="621" customFormat="false" ht="15.5" hidden="false" customHeight="false" outlineLevel="0" collapsed="false">
      <c r="A621" s="2719"/>
      <c r="B621" s="298" t="str">
        <f aca="false">дома!A1625</f>
        <v>Перемычка оконная, 1-ый эт. Вариант 4</v>
      </c>
      <c r="C621" s="2765" t="str">
        <f aca="false">дома!B1625</f>
        <v>м.п.</v>
      </c>
      <c r="D621" s="298" t="n">
        <f aca="false">дома!C1625</f>
        <v>0</v>
      </c>
      <c r="E621" s="298" t="n">
        <f aca="false">дома!I1625</f>
        <v>1000</v>
      </c>
      <c r="F621" s="298"/>
      <c r="G621" s="122" t="n">
        <f aca="false">IF(F621&gt;0,D621*F621,E621*D621)</f>
        <v>0</v>
      </c>
      <c r="H621" s="85" t="n">
        <f aca="false">D621*E621*$H$607</f>
        <v>0</v>
      </c>
      <c r="I621" s="2784" t="n">
        <f aca="false">IF(G621&gt;H621,G621,H621)*$H$606</f>
        <v>0</v>
      </c>
      <c r="J621" s="2744"/>
      <c r="K621" s="226" t="n">
        <f aca="false">D621-J621</f>
        <v>0</v>
      </c>
      <c r="L621" s="2736"/>
    </row>
    <row r="622" customFormat="false" ht="15.5" hidden="false" customHeight="false" outlineLevel="0" collapsed="false">
      <c r="A622" s="2719"/>
      <c r="B622" s="298" t="str">
        <f aca="false">дома!A1626</f>
        <v>Перемычка оконная, 1-ый эт. Вариант 5</v>
      </c>
      <c r="C622" s="2765" t="str">
        <f aca="false">дома!B1626</f>
        <v>м.п.</v>
      </c>
      <c r="D622" s="298" t="n">
        <f aca="false">дома!C1626</f>
        <v>0</v>
      </c>
      <c r="E622" s="298" t="n">
        <f aca="false">дома!I1626</f>
        <v>1000</v>
      </c>
      <c r="F622" s="298"/>
      <c r="G622" s="122" t="n">
        <f aca="false">IF(F622&gt;0,D622*F622,E622*D622)</f>
        <v>0</v>
      </c>
      <c r="H622" s="85" t="n">
        <f aca="false">D622*E622*$H$607</f>
        <v>0</v>
      </c>
      <c r="I622" s="2784" t="n">
        <f aca="false">IF(G622&gt;H622,G622,H622)*$H$606</f>
        <v>0</v>
      </c>
      <c r="J622" s="2744"/>
      <c r="K622" s="226" t="n">
        <f aca="false">D622-J622</f>
        <v>0</v>
      </c>
      <c r="L622" s="2736"/>
    </row>
    <row r="623" customFormat="false" ht="15.5" hidden="false" customHeight="false" outlineLevel="0" collapsed="false">
      <c r="A623" s="2719"/>
      <c r="B623" s="298" t="str">
        <f aca="false">дома!A1627</f>
        <v>Перемычка оконная, 2-ый эт. Вариант 6</v>
      </c>
      <c r="C623" s="2765" t="str">
        <f aca="false">дома!B1627</f>
        <v>м.п.</v>
      </c>
      <c r="D623" s="298" t="n">
        <f aca="false">дома!C1627</f>
        <v>0</v>
      </c>
      <c r="E623" s="298" t="n">
        <f aca="false">дома!I1627</f>
        <v>1000</v>
      </c>
      <c r="F623" s="298"/>
      <c r="G623" s="122" t="n">
        <f aca="false">IF(F623&gt;0,D623*F623,E623*D623)</f>
        <v>0</v>
      </c>
      <c r="H623" s="85" t="n">
        <f aca="false">D623*E623*$H$607</f>
        <v>0</v>
      </c>
      <c r="I623" s="2784" t="n">
        <f aca="false">IF(G623&gt;H623,G623,H623)*$H$606</f>
        <v>0</v>
      </c>
      <c r="J623" s="2744"/>
      <c r="K623" s="226" t="n">
        <f aca="false">D623-J623</f>
        <v>0</v>
      </c>
      <c r="L623" s="2736"/>
    </row>
    <row r="624" customFormat="false" ht="15.5" hidden="false" customHeight="false" outlineLevel="0" collapsed="false">
      <c r="A624" s="2719"/>
      <c r="B624" s="298" t="str">
        <f aca="false">дома!A1628</f>
        <v>Перемычка оконная, 2-ый эт. Вариант 7</v>
      </c>
      <c r="C624" s="2765" t="str">
        <f aca="false">дома!B1628</f>
        <v>м.п.</v>
      </c>
      <c r="D624" s="298" t="n">
        <f aca="false">дома!C1628</f>
        <v>0</v>
      </c>
      <c r="E624" s="298" t="n">
        <f aca="false">дома!I1628</f>
        <v>1000</v>
      </c>
      <c r="F624" s="298"/>
      <c r="G624" s="122" t="n">
        <f aca="false">IF(F624&gt;0,D624*F624,E624*D624)</f>
        <v>0</v>
      </c>
      <c r="H624" s="85" t="n">
        <f aca="false">D624*E624*$H$607</f>
        <v>0</v>
      </c>
      <c r="I624" s="2784" t="n">
        <f aca="false">IF(G624&gt;H624,G624,H624)*$H$606</f>
        <v>0</v>
      </c>
      <c r="J624" s="2744"/>
      <c r="K624" s="226" t="n">
        <f aca="false">D624-J624</f>
        <v>0</v>
      </c>
      <c r="L624" s="2736"/>
    </row>
    <row r="625" customFormat="false" ht="15.5" hidden="false" customHeight="false" outlineLevel="0" collapsed="false">
      <c r="A625" s="2719"/>
      <c r="B625" s="298" t="str">
        <f aca="false">дома!A1629</f>
        <v>Перемычка оконная, 2-ый эт. Вариант 8</v>
      </c>
      <c r="C625" s="2765" t="str">
        <f aca="false">дома!B1629</f>
        <v>м.п.</v>
      </c>
      <c r="D625" s="298" t="n">
        <f aca="false">дома!C1629</f>
        <v>0</v>
      </c>
      <c r="E625" s="298" t="n">
        <f aca="false">дома!I1629</f>
        <v>1000</v>
      </c>
      <c r="F625" s="298"/>
      <c r="G625" s="122" t="n">
        <f aca="false">IF(F625&gt;0,D625*F625,E625*D625)</f>
        <v>0</v>
      </c>
      <c r="H625" s="85" t="n">
        <f aca="false">D625*E625*$H$607</f>
        <v>0</v>
      </c>
      <c r="I625" s="2784" t="n">
        <f aca="false">IF(G625&gt;H625,G625,H625)*$H$606</f>
        <v>0</v>
      </c>
      <c r="J625" s="2744"/>
      <c r="K625" s="226" t="n">
        <f aca="false">D625-J625</f>
        <v>0</v>
      </c>
      <c r="L625" s="2736"/>
    </row>
    <row r="626" customFormat="false" ht="15.5" hidden="false" customHeight="false" outlineLevel="0" collapsed="false">
      <c r="A626" s="2719"/>
      <c r="B626" s="298" t="str">
        <f aca="false">дома!A1630</f>
        <v>Перемычка оконная, 2-ый эт. Вариант 9</v>
      </c>
      <c r="C626" s="2765" t="str">
        <f aca="false">дома!B1630</f>
        <v>м.п.</v>
      </c>
      <c r="D626" s="298" t="n">
        <f aca="false">дома!C1630</f>
        <v>0</v>
      </c>
      <c r="E626" s="298" t="n">
        <f aca="false">дома!I1630</f>
        <v>1000</v>
      </c>
      <c r="F626" s="298"/>
      <c r="G626" s="122" t="n">
        <f aca="false">IF(F626&gt;0,D626*F626,E626*D626)</f>
        <v>0</v>
      </c>
      <c r="H626" s="85" t="n">
        <f aca="false">D626*E626*$H$607</f>
        <v>0</v>
      </c>
      <c r="I626" s="2784" t="n">
        <f aca="false">IF(G626&gt;H626,G626,H626)*$H$606</f>
        <v>0</v>
      </c>
      <c r="J626" s="2744"/>
      <c r="K626" s="226" t="n">
        <f aca="false">D626-J626</f>
        <v>0</v>
      </c>
      <c r="L626" s="2736"/>
    </row>
    <row r="627" customFormat="false" ht="15.5" hidden="false" customHeight="false" outlineLevel="0" collapsed="false">
      <c r="A627" s="2719"/>
      <c r="B627" s="298" t="str">
        <f aca="false">дома!A1631</f>
        <v>Перемычка оконная, 2-ый эт. Вариант 10</v>
      </c>
      <c r="C627" s="2765" t="str">
        <f aca="false">дома!B1631</f>
        <v>м.п.</v>
      </c>
      <c r="D627" s="298" t="n">
        <f aca="false">дома!C1631</f>
        <v>0</v>
      </c>
      <c r="E627" s="298" t="n">
        <f aca="false">дома!I1631</f>
        <v>1000</v>
      </c>
      <c r="F627" s="298"/>
      <c r="G627" s="122" t="n">
        <f aca="false">IF(F627&gt;0,D627*F627,E627*D627)</f>
        <v>0</v>
      </c>
      <c r="H627" s="85" t="n">
        <f aca="false">D627*E627*$H$607</f>
        <v>0</v>
      </c>
      <c r="I627" s="2784" t="n">
        <f aca="false">IF(G627&gt;H627,G627,H627)*$H$606</f>
        <v>0</v>
      </c>
      <c r="J627" s="2744"/>
      <c r="K627" s="226" t="n">
        <f aca="false">D627-J627</f>
        <v>0</v>
      </c>
      <c r="L627" s="2736"/>
    </row>
    <row r="628" customFormat="false" ht="15.5" hidden="false" customHeight="false" outlineLevel="0" collapsed="false">
      <c r="A628" s="2719"/>
      <c r="B628" s="298" t="str">
        <f aca="false">дома!A1632</f>
        <v>Перемычка дверная, 1-ый эт. Вариант 1</v>
      </c>
      <c r="C628" s="2765" t="str">
        <f aca="false">дома!B1632</f>
        <v>м.п.</v>
      </c>
      <c r="D628" s="298" t="n">
        <f aca="false">дома!C1632</f>
        <v>0</v>
      </c>
      <c r="E628" s="298" t="n">
        <f aca="false">дома!I1632</f>
        <v>1000</v>
      </c>
      <c r="F628" s="298"/>
      <c r="G628" s="122" t="n">
        <f aca="false">IF(F628&gt;0,D628*F628,E628*D628)</f>
        <v>0</v>
      </c>
      <c r="H628" s="85" t="n">
        <f aca="false">D628*E628*$H$607</f>
        <v>0</v>
      </c>
      <c r="I628" s="2784" t="n">
        <f aca="false">IF(G628&gt;H628,G628,H628)*$H$606</f>
        <v>0</v>
      </c>
      <c r="J628" s="2744"/>
      <c r="K628" s="226" t="n">
        <f aca="false">D628-J628</f>
        <v>0</v>
      </c>
      <c r="L628" s="2736"/>
    </row>
    <row r="629" customFormat="false" ht="15.5" hidden="false" customHeight="false" outlineLevel="0" collapsed="false">
      <c r="A629" s="2719"/>
      <c r="B629" s="298" t="str">
        <f aca="false">дома!A1633</f>
        <v>Перемычка дверная, 2-ый эт. Вариант 2</v>
      </c>
      <c r="C629" s="2765" t="str">
        <f aca="false">дома!B1633</f>
        <v>м.п.</v>
      </c>
      <c r="D629" s="298" t="n">
        <f aca="false">дома!C1633</f>
        <v>0</v>
      </c>
      <c r="E629" s="298" t="n">
        <f aca="false">дома!I1633</f>
        <v>1000</v>
      </c>
      <c r="F629" s="298"/>
      <c r="G629" s="122" t="n">
        <f aca="false">IF(F629&gt;0,D629*F629,E629*D629)</f>
        <v>0</v>
      </c>
      <c r="H629" s="85" t="n">
        <f aca="false">D629*E629*$H$607</f>
        <v>0</v>
      </c>
      <c r="I629" s="2784" t="n">
        <f aca="false">IF(G629&gt;H629,G629,H629)*$H$606</f>
        <v>0</v>
      </c>
      <c r="J629" s="2744"/>
      <c r="K629" s="226" t="n">
        <f aca="false">D629-J629</f>
        <v>0</v>
      </c>
      <c r="L629" s="2736"/>
    </row>
    <row r="630" customFormat="false" ht="15.5" hidden="false" customHeight="false" outlineLevel="0" collapsed="false">
      <c r="A630" s="2719"/>
      <c r="B630" s="298" t="str">
        <f aca="false">дома!A1634</f>
        <v>Перемычка оконная 1-ый эт, Вариант 11</v>
      </c>
      <c r="C630" s="2765" t="str">
        <f aca="false">дома!B1634</f>
        <v>м.п.</v>
      </c>
      <c r="D630" s="298" t="n">
        <f aca="false">дома!C1634</f>
        <v>0</v>
      </c>
      <c r="E630" s="298" t="n">
        <f aca="false">дома!I1634</f>
        <v>1000</v>
      </c>
      <c r="F630" s="298"/>
      <c r="G630" s="122" t="n">
        <f aca="false">IF(F630&gt;0,D630*F630,E630*D630)</f>
        <v>0</v>
      </c>
      <c r="H630" s="85" t="n">
        <f aca="false">D630*E630*$H$607</f>
        <v>0</v>
      </c>
      <c r="I630" s="2784" t="n">
        <f aca="false">IF(G630&gt;H630,G630,H630)*$H$606</f>
        <v>0</v>
      </c>
      <c r="J630" s="2744"/>
      <c r="K630" s="226" t="n">
        <f aca="false">D630-J630</f>
        <v>0</v>
      </c>
      <c r="L630" s="2736"/>
    </row>
    <row r="631" customFormat="false" ht="15.5" hidden="false" customHeight="false" outlineLevel="0" collapsed="false">
      <c r="A631" s="2719"/>
      <c r="B631" s="298" t="str">
        <f aca="false">дома!A1635</f>
        <v>Перемычка оконная 1-ый эт, Вариант 12</v>
      </c>
      <c r="C631" s="2765" t="str">
        <f aca="false">дома!B1635</f>
        <v>м.п.</v>
      </c>
      <c r="D631" s="298" t="n">
        <f aca="false">дома!C1635</f>
        <v>0</v>
      </c>
      <c r="E631" s="298" t="n">
        <f aca="false">дома!I1635</f>
        <v>1000</v>
      </c>
      <c r="F631" s="298"/>
      <c r="G631" s="122" t="n">
        <f aca="false">IF(F631&gt;0,D631*F631,E631*D631)</f>
        <v>0</v>
      </c>
      <c r="H631" s="85" t="n">
        <f aca="false">D631*E631*$H$607</f>
        <v>0</v>
      </c>
      <c r="I631" s="2784" t="n">
        <f aca="false">IF(G631&gt;H631,G631,H631)*$H$606</f>
        <v>0</v>
      </c>
      <c r="J631" s="2744"/>
      <c r="K631" s="226" t="n">
        <f aca="false">D631-J631</f>
        <v>0</v>
      </c>
      <c r="L631" s="2736"/>
    </row>
    <row r="632" customFormat="false" ht="15.5" hidden="false" customHeight="false" outlineLevel="0" collapsed="false">
      <c r="A632" s="2719"/>
      <c r="B632" s="298" t="str">
        <f aca="false">дома!A1636</f>
        <v>Перемычка дверная, 1-ый эт. Вариант 4</v>
      </c>
      <c r="C632" s="2765" t="str">
        <f aca="false">дома!B1636</f>
        <v>м.п.</v>
      </c>
      <c r="D632" s="298" t="n">
        <f aca="false">дома!C1636</f>
        <v>0</v>
      </c>
      <c r="E632" s="298" t="n">
        <f aca="false">дома!I1636</f>
        <v>1000</v>
      </c>
      <c r="F632" s="298"/>
      <c r="G632" s="122" t="n">
        <f aca="false">IF(F632&gt;0,D632*F632,E632*D632)</f>
        <v>0</v>
      </c>
      <c r="H632" s="85" t="n">
        <f aca="false">D632*E632*$H$607</f>
        <v>0</v>
      </c>
      <c r="I632" s="2784" t="n">
        <f aca="false">IF(G632&gt;H632,G632,H632)*$H$606</f>
        <v>0</v>
      </c>
      <c r="J632" s="2744"/>
      <c r="K632" s="226" t="n">
        <f aca="false">D632-J632</f>
        <v>0</v>
      </c>
      <c r="L632" s="2736"/>
    </row>
    <row r="633" customFormat="false" ht="15.5" hidden="false" customHeight="false" outlineLevel="0" collapsed="false">
      <c r="A633" s="2719"/>
      <c r="B633" s="298" t="str">
        <f aca="false">дома!A1637</f>
        <v>Перемычка дверная, 1-ый эт. Вариант 5</v>
      </c>
      <c r="C633" s="2765" t="str">
        <f aca="false">дома!B1637</f>
        <v>м.п.</v>
      </c>
      <c r="D633" s="298" t="n">
        <f aca="false">дома!C1637</f>
        <v>0</v>
      </c>
      <c r="E633" s="298" t="n">
        <f aca="false">дома!I1637</f>
        <v>1000</v>
      </c>
      <c r="F633" s="298"/>
      <c r="G633" s="122" t="n">
        <f aca="false">IF(F633&gt;0,D633*F633,E633*D633)</f>
        <v>0</v>
      </c>
      <c r="H633" s="85" t="n">
        <f aca="false">D633*E633*$H$607</f>
        <v>0</v>
      </c>
      <c r="I633" s="2784" t="n">
        <f aca="false">IF(G633&gt;H633,G633,H633)*$H$606</f>
        <v>0</v>
      </c>
      <c r="J633" s="2744"/>
      <c r="K633" s="226" t="n">
        <f aca="false">D633-J633</f>
        <v>0</v>
      </c>
      <c r="L633" s="2736"/>
    </row>
    <row r="634" customFormat="false" ht="15.5" hidden="false" customHeight="false" outlineLevel="0" collapsed="false">
      <c r="A634" s="2719"/>
      <c r="B634" s="298" t="str">
        <f aca="false">дома!A1638</f>
        <v>Перемычка дверная, 1-ый эт. Вариант 6</v>
      </c>
      <c r="C634" s="2765" t="str">
        <f aca="false">дома!B1638</f>
        <v>м.п.</v>
      </c>
      <c r="D634" s="298" t="n">
        <f aca="false">дома!C1638</f>
        <v>0</v>
      </c>
      <c r="E634" s="298" t="n">
        <f aca="false">дома!I1638</f>
        <v>1000</v>
      </c>
      <c r="F634" s="298"/>
      <c r="G634" s="122" t="n">
        <f aca="false">IF(F634&gt;0,D634*F634,E634*D634)</f>
        <v>0</v>
      </c>
      <c r="H634" s="85" t="n">
        <f aca="false">D634*E634*$H$607</f>
        <v>0</v>
      </c>
      <c r="I634" s="2784" t="n">
        <f aca="false">IF(G634&gt;H634,G634,H634)*$H$606</f>
        <v>0</v>
      </c>
      <c r="J634" s="2744"/>
      <c r="K634" s="226" t="n">
        <f aca="false">D634-J634</f>
        <v>0</v>
      </c>
      <c r="L634" s="2736"/>
    </row>
    <row r="635" customFormat="false" ht="15.5" hidden="false" customHeight="false" outlineLevel="0" collapsed="false">
      <c r="A635" s="2719"/>
      <c r="B635" s="298" t="str">
        <f aca="false">дома!A1639</f>
        <v>Перемычка дверная, 2-ый эт. Вариант 7</v>
      </c>
      <c r="C635" s="2765" t="str">
        <f aca="false">дома!B1639</f>
        <v>м.п.</v>
      </c>
      <c r="D635" s="298" t="n">
        <f aca="false">дома!C1639</f>
        <v>0</v>
      </c>
      <c r="E635" s="298" t="n">
        <f aca="false">дома!I1639</f>
        <v>1000</v>
      </c>
      <c r="F635" s="298"/>
      <c r="G635" s="122" t="n">
        <f aca="false">IF(F635&gt;0,D635*F635,E635*D635)</f>
        <v>0</v>
      </c>
      <c r="H635" s="85" t="n">
        <f aca="false">D635*E635*$H$607</f>
        <v>0</v>
      </c>
      <c r="I635" s="2784" t="n">
        <f aca="false">IF(G635&gt;H635,G635,H635)*$H$606</f>
        <v>0</v>
      </c>
      <c r="J635" s="2744"/>
      <c r="K635" s="226" t="n">
        <f aca="false">D635-J635</f>
        <v>0</v>
      </c>
      <c r="L635" s="2736"/>
    </row>
    <row r="636" customFormat="false" ht="15.5" hidden="false" customHeight="false" outlineLevel="0" collapsed="false">
      <c r="A636" s="2719"/>
      <c r="B636" s="298" t="str">
        <f aca="false">дома!A1640</f>
        <v>Перемычка дверная, 2-ый эт. Вариант 8</v>
      </c>
      <c r="C636" s="2765" t="str">
        <f aca="false">дома!B1640</f>
        <v>м.п.</v>
      </c>
      <c r="D636" s="298" t="n">
        <f aca="false">дома!C1640</f>
        <v>0</v>
      </c>
      <c r="E636" s="298" t="n">
        <f aca="false">дома!I1640</f>
        <v>1000</v>
      </c>
      <c r="F636" s="298"/>
      <c r="G636" s="122" t="n">
        <f aca="false">IF(F636&gt;0,D636*F636,E636*D636)</f>
        <v>0</v>
      </c>
      <c r="H636" s="85" t="n">
        <f aca="false">D636*E636*$H$607</f>
        <v>0</v>
      </c>
      <c r="I636" s="2784" t="n">
        <f aca="false">IF(G636&gt;H636,G636,H636)*$H$606</f>
        <v>0</v>
      </c>
      <c r="J636" s="2744"/>
      <c r="K636" s="226" t="n">
        <f aca="false">D636-J636</f>
        <v>0</v>
      </c>
      <c r="L636" s="2736"/>
    </row>
    <row r="637" customFormat="false" ht="15.5" hidden="false" customHeight="false" outlineLevel="0" collapsed="false">
      <c r="A637" s="2719"/>
      <c r="B637" s="298" t="str">
        <f aca="false">дома!A1641</f>
        <v>Перемычка дверная, 2-ый эт. Вариант 9</v>
      </c>
      <c r="C637" s="2765" t="str">
        <f aca="false">дома!B1641</f>
        <v>м.п.</v>
      </c>
      <c r="D637" s="298" t="n">
        <f aca="false">дома!C1641</f>
        <v>0</v>
      </c>
      <c r="E637" s="298" t="n">
        <f aca="false">дома!I1641</f>
        <v>1000</v>
      </c>
      <c r="F637" s="298"/>
      <c r="G637" s="122" t="n">
        <f aca="false">IF(F637&gt;0,D637*F637,E637*D637)</f>
        <v>0</v>
      </c>
      <c r="H637" s="85" t="n">
        <f aca="false">D637*E637*$H$607</f>
        <v>0</v>
      </c>
      <c r="I637" s="2784" t="n">
        <f aca="false">IF(G637&gt;H637,G637,H637)*$H$606</f>
        <v>0</v>
      </c>
      <c r="J637" s="2744"/>
      <c r="K637" s="226" t="n">
        <f aca="false">D637-J637</f>
        <v>0</v>
      </c>
      <c r="L637" s="2736"/>
    </row>
    <row r="638" customFormat="false" ht="15.5" hidden="false" customHeight="false" outlineLevel="0" collapsed="false">
      <c r="A638" s="2719"/>
      <c r="B638" s="298" t="str">
        <f aca="false">дома!A1642</f>
        <v>Перемычка проема, 1-ый эт. Вариант 10</v>
      </c>
      <c r="C638" s="2765" t="str">
        <f aca="false">дома!B1642</f>
        <v>м.п.</v>
      </c>
      <c r="D638" s="298" t="n">
        <f aca="false">дома!C1642</f>
        <v>0</v>
      </c>
      <c r="E638" s="298" t="n">
        <f aca="false">дома!I1642</f>
        <v>1000</v>
      </c>
      <c r="F638" s="298"/>
      <c r="G638" s="122" t="n">
        <f aca="false">IF(F638&gt;0,D638*F638,E638*D638)</f>
        <v>0</v>
      </c>
      <c r="H638" s="85" t="n">
        <f aca="false">D638*E638*$H$607</f>
        <v>0</v>
      </c>
      <c r="I638" s="2784" t="n">
        <f aca="false">IF(G638&gt;H638,G638,H638)*$H$606</f>
        <v>0</v>
      </c>
      <c r="J638" s="2744"/>
      <c r="K638" s="226" t="n">
        <f aca="false">D638-J638</f>
        <v>0</v>
      </c>
      <c r="L638" s="2736"/>
    </row>
    <row r="639" customFormat="false" ht="15.5" hidden="false" customHeight="false" outlineLevel="0" collapsed="false">
      <c r="A639" s="2719"/>
      <c r="B639" s="298" t="str">
        <f aca="false">дома!A1643</f>
        <v>Перемычка проема, 1-ый эт. Вариант 11</v>
      </c>
      <c r="C639" s="2765" t="str">
        <f aca="false">дома!B1643</f>
        <v>м.п.</v>
      </c>
      <c r="D639" s="298" t="n">
        <f aca="false">дома!C1643</f>
        <v>0</v>
      </c>
      <c r="E639" s="298" t="n">
        <f aca="false">дома!I1643</f>
        <v>1000</v>
      </c>
      <c r="F639" s="298"/>
      <c r="G639" s="122" t="n">
        <f aca="false">IF(F639&gt;0,D639*F639,E639*D639)</f>
        <v>0</v>
      </c>
      <c r="H639" s="85" t="n">
        <f aca="false">D639*E639*$H$607</f>
        <v>0</v>
      </c>
      <c r="I639" s="2784" t="n">
        <f aca="false">IF(G639&gt;H639,G639,H639)*$H$606</f>
        <v>0</v>
      </c>
      <c r="J639" s="2744"/>
      <c r="K639" s="226" t="n">
        <f aca="false">D639-J639</f>
        <v>0</v>
      </c>
      <c r="L639" s="2736"/>
    </row>
    <row r="640" customFormat="false" ht="15.5" hidden="false" customHeight="false" outlineLevel="0" collapsed="false">
      <c r="A640" s="2719"/>
      <c r="B640" s="298" t="str">
        <f aca="false">дома!A1644</f>
        <v>Перемычка проема, 2-ый эт. Вариант 12</v>
      </c>
      <c r="C640" s="2765" t="str">
        <f aca="false">дома!B1644</f>
        <v>м.п.</v>
      </c>
      <c r="D640" s="298" t="n">
        <f aca="false">дома!C1644</f>
        <v>0</v>
      </c>
      <c r="E640" s="298" t="n">
        <f aca="false">дома!I1644</f>
        <v>1000</v>
      </c>
      <c r="F640" s="298"/>
      <c r="G640" s="122" t="n">
        <f aca="false">IF(F640&gt;0,D640*F640,E640*D640)</f>
        <v>0</v>
      </c>
      <c r="H640" s="85" t="n">
        <f aca="false">D640*E640*$H$607</f>
        <v>0</v>
      </c>
      <c r="I640" s="2784" t="n">
        <f aca="false">IF(G640&gt;H640,G640,H640)*$H$606</f>
        <v>0</v>
      </c>
      <c r="J640" s="2744"/>
      <c r="K640" s="226" t="n">
        <f aca="false">D640-J640</f>
        <v>0</v>
      </c>
      <c r="L640" s="2736"/>
    </row>
    <row r="641" customFormat="false" ht="15.5" hidden="false" customHeight="false" outlineLevel="0" collapsed="false">
      <c r="A641" s="2719"/>
      <c r="B641" s="298" t="str">
        <f aca="false">дома!A1645</f>
        <v>Перемычка проема, 2-ый эт. Вариант 13</v>
      </c>
      <c r="C641" s="2765" t="str">
        <f aca="false">дома!B1645</f>
        <v>м.п.</v>
      </c>
      <c r="D641" s="298" t="n">
        <f aca="false">дома!C1645</f>
        <v>0</v>
      </c>
      <c r="E641" s="298" t="n">
        <f aca="false">дома!I1645</f>
        <v>1000</v>
      </c>
      <c r="F641" s="298"/>
      <c r="G641" s="122" t="n">
        <f aca="false">IF(F641&gt;0,D641*F641,E641*D641)</f>
        <v>0</v>
      </c>
      <c r="H641" s="85" t="n">
        <f aca="false">D641*E641*$H$607</f>
        <v>0</v>
      </c>
      <c r="I641" s="2784" t="n">
        <f aca="false">IF(G641&gt;H641,G641,H641)*$H$606</f>
        <v>0</v>
      </c>
      <c r="J641" s="2744"/>
      <c r="K641" s="226" t="n">
        <f aca="false">D641-J641</f>
        <v>0</v>
      </c>
      <c r="L641" s="2736"/>
    </row>
    <row r="642" customFormat="false" ht="15.5" hidden="false" customHeight="false" outlineLevel="0" collapsed="false">
      <c r="A642" s="2719"/>
      <c r="B642" s="298" t="str">
        <f aca="false">дома!A1646</f>
        <v>Перемычка дверная, 1-ый эт. Вариант 1</v>
      </c>
      <c r="C642" s="2765" t="str">
        <f aca="false">дома!B1646</f>
        <v>м.п.</v>
      </c>
      <c r="D642" s="298" t="n">
        <f aca="false">дома!C1646</f>
        <v>0</v>
      </c>
      <c r="E642" s="298" t="n">
        <f aca="false">дома!I1646</f>
        <v>1000</v>
      </c>
      <c r="F642" s="298"/>
      <c r="G642" s="122" t="n">
        <f aca="false">IF(F642&gt;0,D642*F642,E642*D642)</f>
        <v>0</v>
      </c>
      <c r="H642" s="85" t="n">
        <f aca="false">D642*E642*$H$607</f>
        <v>0</v>
      </c>
      <c r="I642" s="2784" t="n">
        <f aca="false">IF(G642&gt;H642,G642,H642)*$H$606</f>
        <v>0</v>
      </c>
      <c r="J642" s="2744"/>
      <c r="K642" s="226" t="n">
        <f aca="false">D642-J642</f>
        <v>0</v>
      </c>
      <c r="L642" s="2736"/>
    </row>
    <row r="643" customFormat="false" ht="15.5" hidden="false" customHeight="false" outlineLevel="0" collapsed="false">
      <c r="A643" s="2719"/>
      <c r="B643" s="298" t="str">
        <f aca="false">дома!A1647</f>
        <v>Перемычка дверная, 1-ый эт. Вариант 2</v>
      </c>
      <c r="C643" s="2765" t="str">
        <f aca="false">дома!B1647</f>
        <v>м.п.</v>
      </c>
      <c r="D643" s="298" t="n">
        <f aca="false">дома!C1647</f>
        <v>0</v>
      </c>
      <c r="E643" s="298" t="n">
        <f aca="false">дома!I1647</f>
        <v>1000</v>
      </c>
      <c r="F643" s="298"/>
      <c r="G643" s="122" t="n">
        <f aca="false">IF(F643&gt;0,D643*F643,E643*D643)</f>
        <v>0</v>
      </c>
      <c r="H643" s="85" t="n">
        <f aca="false">D643*E643*$H$607</f>
        <v>0</v>
      </c>
      <c r="I643" s="2784" t="n">
        <f aca="false">IF(G643&gt;H643,G643,H643)*$H$606</f>
        <v>0</v>
      </c>
      <c r="J643" s="2744"/>
      <c r="K643" s="226" t="n">
        <f aca="false">D643-J643</f>
        <v>0</v>
      </c>
      <c r="L643" s="2736"/>
    </row>
    <row r="644" customFormat="false" ht="15.5" hidden="false" customHeight="false" outlineLevel="0" collapsed="false">
      <c r="A644" s="2719"/>
      <c r="B644" s="298" t="str">
        <f aca="false">дома!A1648</f>
        <v>Перемычка дверная, 1-ый эт. Вариант 3</v>
      </c>
      <c r="C644" s="2765" t="str">
        <f aca="false">дома!B1648</f>
        <v>м.п.</v>
      </c>
      <c r="D644" s="298" t="n">
        <f aca="false">дома!C1648</f>
        <v>0</v>
      </c>
      <c r="E644" s="298" t="n">
        <f aca="false">дома!I1648</f>
        <v>1000</v>
      </c>
      <c r="F644" s="298"/>
      <c r="G644" s="122" t="n">
        <f aca="false">IF(F644&gt;0,D644*F644,E644*D644)</f>
        <v>0</v>
      </c>
      <c r="H644" s="85" t="n">
        <f aca="false">D644*E644*$H$607</f>
        <v>0</v>
      </c>
      <c r="I644" s="2784" t="n">
        <f aca="false">IF(G644&gt;H644,G644,H644)*$H$606</f>
        <v>0</v>
      </c>
      <c r="J644" s="2744"/>
      <c r="K644" s="226" t="n">
        <f aca="false">D644-J644</f>
        <v>0</v>
      </c>
      <c r="L644" s="2736"/>
    </row>
    <row r="645" customFormat="false" ht="15.5" hidden="false" customHeight="false" outlineLevel="0" collapsed="false">
      <c r="A645" s="2719"/>
      <c r="B645" s="298" t="str">
        <f aca="false">дома!A1649</f>
        <v>Сосна влаж,200*40мм</v>
      </c>
      <c r="C645" s="2765" t="str">
        <f aca="false">дома!B1649</f>
        <v>м3</v>
      </c>
      <c r="D645" s="298" t="n">
        <f aca="false">дома!C1649</f>
        <v>0.832</v>
      </c>
      <c r="E645" s="298" t="n">
        <f aca="false">дома!I1649</f>
        <v>6500</v>
      </c>
      <c r="F645" s="298"/>
      <c r="G645" s="122" t="n">
        <f aca="false">IF(F645&gt;0,D645*F645,E645*D645)</f>
        <v>5408</v>
      </c>
      <c r="H645" s="85" t="n">
        <f aca="false">D645*E645*$H$607</f>
        <v>0</v>
      </c>
      <c r="I645" s="2784" t="n">
        <f aca="false">IF(G645&gt;H645,G645,H645)*$H$606</f>
        <v>0</v>
      </c>
      <c r="J645" s="2744"/>
      <c r="K645" s="226" t="n">
        <f aca="false">D645-J645</f>
        <v>0.832</v>
      </c>
      <c r="L645" s="2736"/>
    </row>
    <row r="646" customFormat="false" ht="15.5" hidden="false" customHeight="false" outlineLevel="0" collapsed="false">
      <c r="A646" s="2719"/>
      <c r="B646" s="298" t="str">
        <f aca="false">дома!A1650</f>
        <v>Сейсмопояс Арматура М10 4 нити</v>
      </c>
      <c r="C646" s="2765" t="str">
        <f aca="false">дома!B1650</f>
        <v>м.п.</v>
      </c>
      <c r="D646" s="298" t="n">
        <f aca="false">дома!C1650</f>
        <v>176</v>
      </c>
      <c r="E646" s="298" t="n">
        <f aca="false">дома!I1650</f>
        <v>21.0397</v>
      </c>
      <c r="F646" s="298"/>
      <c r="G646" s="122" t="n">
        <f aca="false">IF(F646&gt;0,D646*F646,E646*D646)</f>
        <v>3702.9872</v>
      </c>
      <c r="H646" s="85" t="n">
        <f aca="false">D646*E646*$H$607</f>
        <v>0</v>
      </c>
      <c r="I646" s="2784" t="n">
        <f aca="false">IF(G646&gt;H646,G646,H646)*$H$606</f>
        <v>0</v>
      </c>
      <c r="J646" s="2744"/>
      <c r="K646" s="226" t="n">
        <f aca="false">D646-J646</f>
        <v>176</v>
      </c>
      <c r="L646" s="2736"/>
    </row>
    <row r="647" customFormat="false" ht="15.5" hidden="false" customHeight="false" outlineLevel="0" collapsed="false">
      <c r="A647" s="2719"/>
      <c r="B647" s="298" t="str">
        <f aca="false">дома!A1651</f>
        <v>Хомут для сейсмопояса Арматура М6, шаг 400мм</v>
      </c>
      <c r="C647" s="2765" t="str">
        <f aca="false">дома!B1651</f>
        <v>м.п.</v>
      </c>
      <c r="D647" s="298" t="n">
        <f aca="false">дома!C1651</f>
        <v>90</v>
      </c>
      <c r="E647" s="298" t="n">
        <f aca="false">дома!I1651</f>
        <v>0</v>
      </c>
      <c r="F647" s="298"/>
      <c r="G647" s="122" t="n">
        <f aca="false">IF(F647&gt;0,D647*F647,E647*D647)</f>
        <v>0</v>
      </c>
      <c r="H647" s="85" t="n">
        <f aca="false">D647*E647*$H$607</f>
        <v>0</v>
      </c>
      <c r="I647" s="2784" t="n">
        <f aca="false">IF(G647&gt;H647,G647,H647)*$H$606</f>
        <v>0</v>
      </c>
      <c r="J647" s="2744"/>
      <c r="K647" s="226" t="n">
        <f aca="false">D647-J647</f>
        <v>90</v>
      </c>
      <c r="L647" s="2736"/>
    </row>
    <row r="648" customFormat="false" ht="15.5" hidden="false" customHeight="false" outlineLevel="0" collapsed="false">
      <c r="A648" s="2719"/>
      <c r="B648" s="298" t="str">
        <f aca="false">дома!A1652</f>
        <v>Бетон, м300</v>
      </c>
      <c r="C648" s="2765" t="str">
        <f aca="false">дома!B1652</f>
        <v>м3</v>
      </c>
      <c r="D648" s="298" t="n">
        <f aca="false">дома!C1652</f>
        <v>1.638</v>
      </c>
      <c r="E648" s="298" t="n">
        <f aca="false">дома!I1652</f>
        <v>3000</v>
      </c>
      <c r="F648" s="298"/>
      <c r="G648" s="122" t="n">
        <f aca="false">IF(F648&gt;0,D648*F648,E648*D648)</f>
        <v>4914</v>
      </c>
      <c r="H648" s="85" t="n">
        <f aca="false">D648*E648*$H$607</f>
        <v>0</v>
      </c>
      <c r="I648" s="2784" t="n">
        <f aca="false">IF(G648&gt;H648,G648,H648)*$H$606</f>
        <v>0</v>
      </c>
      <c r="J648" s="2744"/>
      <c r="K648" s="226" t="n">
        <f aca="false">D648-J648</f>
        <v>1.638</v>
      </c>
      <c r="L648" s="2736"/>
    </row>
    <row r="649" customFormat="false" ht="15.5" hidden="false" customHeight="false" outlineLevel="0" collapsed="false">
      <c r="A649" s="2719"/>
      <c r="B649" s="298" t="str">
        <f aca="false">дома!A1655</f>
        <v>Нет</v>
      </c>
      <c r="C649" s="2765" t="str">
        <f aca="false">дома!B1655</f>
        <v>м3</v>
      </c>
      <c r="D649" s="298" t="n">
        <f aca="false">дома!C1655</f>
        <v>0</v>
      </c>
      <c r="E649" s="298" t="n">
        <f aca="false">дома!I1655</f>
        <v>0</v>
      </c>
      <c r="F649" s="298"/>
      <c r="G649" s="122" t="n">
        <f aca="false">IF(F649&gt;0,D649*F649,E649*D649)</f>
        <v>0</v>
      </c>
      <c r="H649" s="85" t="n">
        <f aca="false">D649*E649*$H$607</f>
        <v>0</v>
      </c>
      <c r="I649" s="2784" t="n">
        <f aca="false">IF(G649&gt;H649,G649,H649)*$H$606</f>
        <v>0</v>
      </c>
      <c r="J649" s="2744"/>
      <c r="K649" s="226" t="n">
        <f aca="false">D649-J649</f>
        <v>0</v>
      </c>
      <c r="L649" s="2736"/>
    </row>
    <row r="650" customFormat="false" ht="15.5" hidden="false" customHeight="false" outlineLevel="0" collapsed="false">
      <c r="A650" s="2719"/>
      <c r="B650" s="298" t="str">
        <f aca="false">дома!A1656</f>
        <v>Грибок для крепления утеплителя</v>
      </c>
      <c r="C650" s="2765" t="str">
        <f aca="false">дома!B1656</f>
        <v>шт</v>
      </c>
      <c r="D650" s="298" t="n">
        <f aca="false">дома!C1656</f>
        <v>0</v>
      </c>
      <c r="E650" s="298" t="n">
        <f aca="false">дома!I1656</f>
        <v>15</v>
      </c>
      <c r="F650" s="298"/>
      <c r="G650" s="122" t="n">
        <f aca="false">IF(F650&gt;0,D650*F650,E650*D650)</f>
        <v>0</v>
      </c>
      <c r="H650" s="85" t="n">
        <f aca="false">D650*E650*$H$607</f>
        <v>0</v>
      </c>
      <c r="I650" s="2784" t="n">
        <f aca="false">IF(G650&gt;H650,G650,H650)*$H$606</f>
        <v>0</v>
      </c>
      <c r="J650" s="2744"/>
      <c r="K650" s="226" t="n">
        <f aca="false">D650-J650</f>
        <v>0</v>
      </c>
      <c r="L650" s="2736"/>
    </row>
    <row r="651" customFormat="false" ht="15.5" hidden="false" customHeight="false" outlineLevel="0" collapsed="false">
      <c r="A651" s="2719"/>
      <c r="B651" s="298" t="str">
        <f aca="false">дома!A1657</f>
        <v>нет ветроизоляции</v>
      </c>
      <c r="C651" s="2765" t="str">
        <f aca="false">дома!B1657</f>
        <v>м2</v>
      </c>
      <c r="D651" s="298" t="n">
        <f aca="false">дома!C1657</f>
        <v>0</v>
      </c>
      <c r="E651" s="298" t="n">
        <f aca="false">дома!I1657</f>
        <v>0</v>
      </c>
      <c r="F651" s="298"/>
      <c r="G651" s="122" t="n">
        <f aca="false">IF(F651&gt;0,D651*F651,E651*D651)</f>
        <v>0</v>
      </c>
      <c r="H651" s="85" t="n">
        <f aca="false">D651*E651*$H$607</f>
        <v>0</v>
      </c>
      <c r="I651" s="2784" t="n">
        <f aca="false">IF(G651&gt;H651,G651,H651)*$H$606</f>
        <v>0</v>
      </c>
      <c r="J651" s="2744"/>
      <c r="K651" s="226" t="n">
        <f aca="false">D651-J651</f>
        <v>0</v>
      </c>
      <c r="L651" s="2736"/>
    </row>
    <row r="652" customFormat="false" ht="15.5" hidden="false" customHeight="false" outlineLevel="0" collapsed="false">
      <c r="A652" s="2719"/>
      <c r="B652" s="2748" t="s">
        <v>4640</v>
      </c>
      <c r="C652" s="2748"/>
      <c r="D652" s="2748"/>
      <c r="E652" s="2748"/>
      <c r="F652" s="2748"/>
      <c r="G652" s="85" t="n">
        <f aca="false">SUM(G608:G651)*H606</f>
        <v>0</v>
      </c>
      <c r="H652" s="85" t="n">
        <f aca="false">SUM(H608:H651)</f>
        <v>0</v>
      </c>
      <c r="I652" s="2784" t="n">
        <f aca="false">IF(G652&gt;H652,G652,H652)*$H$606</f>
        <v>0</v>
      </c>
      <c r="J652" s="2744"/>
      <c r="K652" s="226" t="n">
        <f aca="false">D652-J652</f>
        <v>0</v>
      </c>
      <c r="L652" s="2736"/>
    </row>
    <row r="653" customFormat="false" ht="15.5" hidden="false" customHeight="false" outlineLevel="0" collapsed="false">
      <c r="A653" s="2719"/>
      <c r="B653" s="2750" t="s">
        <v>1409</v>
      </c>
      <c r="C653" s="2750"/>
      <c r="D653" s="2750"/>
      <c r="E653" s="2750"/>
      <c r="F653" s="2750"/>
      <c r="G653" s="905"/>
      <c r="H653" s="2766" t="n">
        <f aca="false">H606</f>
        <v>0</v>
      </c>
      <c r="I653" s="2757" t="n">
        <f aca="false">H653</f>
        <v>0</v>
      </c>
      <c r="L653" s="878"/>
      <c r="M653" s="878"/>
    </row>
    <row r="654" customFormat="false" ht="15.5" hidden="false" customHeight="false" outlineLevel="0" collapsed="false">
      <c r="A654" s="2712"/>
      <c r="B654" s="2648" t="str">
        <f aca="false">дома!L1612</f>
        <v>кладка пенобетона несущие стены</v>
      </c>
      <c r="C654" s="2765" t="s">
        <v>135</v>
      </c>
      <c r="D654" s="298" t="n">
        <f aca="false">дома!O1612</f>
        <v>0</v>
      </c>
      <c r="E654" s="89" t="n">
        <f aca="false">дома!P1612</f>
        <v>3500</v>
      </c>
      <c r="F654" s="89"/>
      <c r="G654" s="122" t="n">
        <f aca="false">IF(F654&gt;0,D654*F654,E654*D654)</f>
        <v>0</v>
      </c>
      <c r="H654" s="2210" t="n">
        <f aca="false">D654*E654*$H$653</f>
        <v>0</v>
      </c>
      <c r="I654" s="2718" t="n">
        <f aca="false">IF(G654&gt;H654,G654,H654)*$H$606</f>
        <v>0</v>
      </c>
      <c r="L654" s="878"/>
      <c r="M654" s="878"/>
    </row>
    <row r="655" customFormat="false" ht="15.5" hidden="false" customHeight="false" outlineLevel="0" collapsed="false">
      <c r="A655" s="2719"/>
      <c r="B655" s="2648" t="str">
        <f aca="false">дома!L1613</f>
        <v>кладка пенобетона несущие перегородки</v>
      </c>
      <c r="C655" s="6" t="s">
        <v>135</v>
      </c>
      <c r="D655" s="298" t="n">
        <f aca="false">дома!O1613</f>
        <v>0</v>
      </c>
      <c r="E655" s="89" t="n">
        <f aca="false">дома!P1613</f>
        <v>3500</v>
      </c>
      <c r="F655" s="89"/>
      <c r="G655" s="122" t="n">
        <f aca="false">IF(F655&gt;0,D655*F655,E655*D655)</f>
        <v>0</v>
      </c>
      <c r="H655" s="2210" t="n">
        <f aca="false">D655*E655*$H$653</f>
        <v>0</v>
      </c>
      <c r="I655" s="2718" t="n">
        <f aca="false">IF(G655&gt;H655,G655,H655)*$H$606</f>
        <v>0</v>
      </c>
      <c r="L655" s="878"/>
      <c r="M655" s="878"/>
    </row>
    <row r="656" customFormat="false" ht="15.5" hidden="false" customHeight="false" outlineLevel="0" collapsed="false">
      <c r="A656" s="2719"/>
      <c r="B656" s="2648" t="str">
        <f aca="false">дома!L1614</f>
        <v>кладка пенобетона перегородки</v>
      </c>
      <c r="C656" s="2765" t="s">
        <v>133</v>
      </c>
      <c r="D656" s="298" t="n">
        <f aca="false">дома!O1614</f>
        <v>0</v>
      </c>
      <c r="E656" s="89" t="n">
        <f aca="false">дома!P1614</f>
        <v>450</v>
      </c>
      <c r="F656" s="89"/>
      <c r="G656" s="122" t="n">
        <f aca="false">IF(F656&gt;0,D656*F656,E656*D656)</f>
        <v>0</v>
      </c>
      <c r="H656" s="2210" t="n">
        <f aca="false">D656*E656*$H$653</f>
        <v>0</v>
      </c>
      <c r="I656" s="2718" t="n">
        <f aca="false">IF(G656&gt;H656,G656,H656)*$H$606</f>
        <v>0</v>
      </c>
      <c r="L656" s="878"/>
      <c r="M656" s="878"/>
    </row>
    <row r="657" customFormat="false" ht="15.5" hidden="false" customHeight="false" outlineLevel="0" collapsed="false">
      <c r="A657" s="2719"/>
      <c r="B657" s="2648" t="str">
        <f aca="false">дома!L1615</f>
        <v>изготовление и монтаж перемычек для окон и дверей</v>
      </c>
      <c r="C657" s="2765" t="s">
        <v>156</v>
      </c>
      <c r="D657" s="298" t="n">
        <f aca="false">дома!O1615</f>
        <v>2.52</v>
      </c>
      <c r="E657" s="89" t="n">
        <f aca="false">дома!P1615</f>
        <v>500</v>
      </c>
      <c r="F657" s="89"/>
      <c r="G657" s="122" t="n">
        <f aca="false">IF(F657&gt;0,D657*F657,E657*D657)</f>
        <v>1260</v>
      </c>
      <c r="H657" s="2210" t="n">
        <f aca="false">D657*E657*$H$653</f>
        <v>0</v>
      </c>
      <c r="I657" s="2718" t="n">
        <f aca="false">IF(G657&gt;H657,G657,H657)*$H$606</f>
        <v>0</v>
      </c>
      <c r="L657" s="878"/>
      <c r="M657" s="878"/>
    </row>
    <row r="658" customFormat="false" ht="15.5" hidden="false" customHeight="false" outlineLevel="0" collapsed="false">
      <c r="A658" s="2719"/>
      <c r="B658" s="2648" t="str">
        <f aca="false">дома!L1616</f>
        <v>Замешивание раствора</v>
      </c>
      <c r="C658" s="2765" t="s">
        <v>135</v>
      </c>
      <c r="D658" s="298" t="n">
        <f aca="false">дома!O1616</f>
        <v>0</v>
      </c>
      <c r="E658" s="89" t="n">
        <f aca="false">дома!P1616</f>
        <v>1500</v>
      </c>
      <c r="F658" s="89"/>
      <c r="G658" s="122" t="n">
        <f aca="false">IF(F658&gt;0,D658*F658,E658*D658)</f>
        <v>0</v>
      </c>
      <c r="H658" s="2210" t="n">
        <f aca="false">D658*E658*$H$653</f>
        <v>0</v>
      </c>
      <c r="I658" s="2718" t="n">
        <f aca="false">IF(G658&gt;H658,G658,H658)*$H$606</f>
        <v>0</v>
      </c>
      <c r="L658" s="878"/>
      <c r="M658" s="878"/>
    </row>
    <row r="659" customFormat="false" ht="15.5" hidden="false" customHeight="false" outlineLevel="0" collapsed="false">
      <c r="A659" s="2719"/>
      <c r="B659" s="2648" t="str">
        <f aca="false">дома!L1617</f>
        <v>Армирование стен наружних и перегородок</v>
      </c>
      <c r="C659" s="2765" t="s">
        <v>156</v>
      </c>
      <c r="D659" s="298" t="n">
        <f aca="false">дома!O1617</f>
        <v>240</v>
      </c>
      <c r="E659" s="89" t="n">
        <f aca="false">дома!P1617</f>
        <v>70</v>
      </c>
      <c r="F659" s="89"/>
      <c r="G659" s="122" t="n">
        <f aca="false">IF(F659&gt;0,D659*F659,E659*D659)</f>
        <v>16800</v>
      </c>
      <c r="H659" s="2210" t="n">
        <f aca="false">D659*E659*$H$653</f>
        <v>0</v>
      </c>
      <c r="I659" s="2718" t="n">
        <f aca="false">IF(G659&gt;H659,G659,H659)*$H$606</f>
        <v>0</v>
      </c>
      <c r="L659" s="878"/>
      <c r="M659" s="878"/>
    </row>
    <row r="660" customFormat="false" ht="15.5" hidden="false" customHeight="false" outlineLevel="0" collapsed="false">
      <c r="A660" s="2719"/>
      <c r="B660" s="2648" t="str">
        <f aca="false">дома!L1618</f>
        <v>Установка опалубки для сейсмопояса</v>
      </c>
      <c r="C660" s="2765" t="s">
        <v>156</v>
      </c>
      <c r="D660" s="298" t="n">
        <f aca="false">дома!O1618</f>
        <v>40</v>
      </c>
      <c r="E660" s="89" t="n">
        <f aca="false">дома!P1618</f>
        <v>300</v>
      </c>
      <c r="F660" s="89"/>
      <c r="G660" s="122" t="n">
        <f aca="false">IF(F660&gt;0,D660*F660,E660*D660)</f>
        <v>12000</v>
      </c>
      <c r="H660" s="2210" t="n">
        <f aca="false">D660*E660*$H$653</f>
        <v>0</v>
      </c>
      <c r="I660" s="2718" t="n">
        <f aca="false">IF(G660&gt;H660,G660,H660)*$H$606</f>
        <v>0</v>
      </c>
      <c r="L660" s="878"/>
      <c r="M660" s="878"/>
    </row>
    <row r="661" customFormat="false" ht="15.5" hidden="false" customHeight="false" outlineLevel="0" collapsed="false">
      <c r="A661" s="2719"/>
      <c r="B661" s="2648" t="str">
        <f aca="false">дома!L1619</f>
        <v>Армирование сейсмопояса</v>
      </c>
      <c r="C661" s="2765" t="s">
        <v>156</v>
      </c>
      <c r="D661" s="298" t="n">
        <f aca="false">дома!O1619</f>
        <v>40</v>
      </c>
      <c r="E661" s="89" t="n">
        <f aca="false">дома!P1619</f>
        <v>500</v>
      </c>
      <c r="F661" s="89"/>
      <c r="G661" s="122" t="n">
        <f aca="false">IF(F661&gt;0,D661*F661,E661*D661)</f>
        <v>20000</v>
      </c>
      <c r="H661" s="2210" t="n">
        <f aca="false">D661*E661*$H$653</f>
        <v>0</v>
      </c>
      <c r="I661" s="2718" t="n">
        <f aca="false">IF(G661&gt;H661,G661,H661)*$H$606</f>
        <v>0</v>
      </c>
      <c r="J661" s="2712"/>
      <c r="K661" s="2719"/>
    </row>
    <row r="662" customFormat="false" ht="15.5" hidden="false" customHeight="false" outlineLevel="0" collapsed="false">
      <c r="A662" s="2719"/>
      <c r="B662" s="2648" t="str">
        <f aca="false">дома!L1620</f>
        <v>Заливка бетоном сейсмопояса</v>
      </c>
      <c r="C662" s="2765" t="s">
        <v>156</v>
      </c>
      <c r="D662" s="298" t="n">
        <f aca="false">дома!O1620</f>
        <v>40</v>
      </c>
      <c r="E662" s="89" t="n">
        <f aca="false">дома!P1620</f>
        <v>700</v>
      </c>
      <c r="F662" s="89"/>
      <c r="G662" s="122" t="n">
        <f aca="false">IF(F662&gt;0,D662*F662,E662*D662)</f>
        <v>28000</v>
      </c>
      <c r="H662" s="2210" t="n">
        <f aca="false">D662*E662*$H$653</f>
        <v>0</v>
      </c>
      <c r="I662" s="2718" t="n">
        <f aca="false">IF(G662&gt;H662,G662,H662)*$H$606</f>
        <v>0</v>
      </c>
      <c r="J662" s="2712"/>
      <c r="K662" s="2719"/>
    </row>
    <row r="663" customFormat="false" ht="15.5" hidden="false" customHeight="false" outlineLevel="0" collapsed="false">
      <c r="A663" s="2719"/>
      <c r="B663" s="2648" t="str">
        <f aca="false">дома!L1621</f>
        <v>утепление стен снаружи дома</v>
      </c>
      <c r="C663" s="2765" t="s">
        <v>133</v>
      </c>
      <c r="D663" s="298" t="n">
        <f aca="false">дома!O1621</f>
        <v>0</v>
      </c>
      <c r="E663" s="89" t="n">
        <f aca="false">дома!P1621</f>
        <v>350</v>
      </c>
      <c r="F663" s="89"/>
      <c r="G663" s="122" t="n">
        <f aca="false">IF(F663&gt;0,D663*F663,E663*D663)</f>
        <v>0</v>
      </c>
      <c r="H663" s="2210" t="n">
        <f aca="false">D663*E663*$H$653</f>
        <v>0</v>
      </c>
      <c r="I663" s="2718" t="n">
        <f aca="false">IF(G663&gt;H663,G663,H663)*$H$606</f>
        <v>0</v>
      </c>
      <c r="J663" s="2712"/>
      <c r="K663" s="2719"/>
    </row>
    <row r="664" customFormat="false" ht="15.5" hidden="false" customHeight="false" outlineLevel="0" collapsed="false">
      <c r="A664" s="2719"/>
      <c r="B664" s="2648" t="str">
        <f aca="false">дома!L1622</f>
        <v>монтаж ветроизоляции стен</v>
      </c>
      <c r="C664" s="2765" t="s">
        <v>133</v>
      </c>
      <c r="D664" s="298" t="n">
        <f aca="false">дома!O1622</f>
        <v>0</v>
      </c>
      <c r="E664" s="89" t="n">
        <f aca="false">дома!P1622</f>
        <v>100</v>
      </c>
      <c r="F664" s="89"/>
      <c r="G664" s="122" t="n">
        <f aca="false">IF(F664&gt;0,D664*F664,E664*D664)</f>
        <v>0</v>
      </c>
      <c r="H664" s="2210" t="n">
        <f aca="false">D664*E664*$H$653</f>
        <v>0</v>
      </c>
      <c r="I664" s="2718" t="n">
        <f aca="false">IF(G664&gt;H664,G664,H664)*$H$606</f>
        <v>0</v>
      </c>
      <c r="J664" s="2712"/>
      <c r="K664" s="2719"/>
    </row>
    <row r="665" customFormat="false" ht="15.5" hidden="false" customHeight="false" outlineLevel="0" collapsed="false">
      <c r="A665" s="2733"/>
      <c r="B665" s="2748" t="s">
        <v>4641</v>
      </c>
      <c r="C665" s="2748"/>
      <c r="D665" s="2748"/>
      <c r="E665" s="2748"/>
      <c r="F665" s="2748"/>
      <c r="G665" s="2210" t="n">
        <f aca="false">SUM(G654:G664)*H653</f>
        <v>0</v>
      </c>
      <c r="H665" s="2210" t="n">
        <f aca="false">SUM(H654:H664)</f>
        <v>0</v>
      </c>
      <c r="I665" s="2718" t="n">
        <f aca="false">IF(G665&gt;H665,G665,H665)*$H$606</f>
        <v>0</v>
      </c>
      <c r="J665" s="2732"/>
      <c r="K665" s="2733"/>
      <c r="L665" s="2732"/>
      <c r="M665" s="2732"/>
      <c r="N665" s="2732"/>
      <c r="O665" s="2732"/>
      <c r="P665" s="2732"/>
      <c r="Q665" s="2732"/>
      <c r="R665" s="2732"/>
      <c r="S665" s="2732"/>
      <c r="T665" s="2732"/>
      <c r="U665" s="2732"/>
      <c r="V665" s="2732"/>
      <c r="W665" s="2732"/>
      <c r="X665" s="2732"/>
      <c r="Y665" s="2732"/>
      <c r="Z665" s="2732"/>
      <c r="AA665" s="2732"/>
      <c r="AB665" s="2732"/>
      <c r="AC665" s="2732"/>
      <c r="AD665" s="2732"/>
      <c r="AE665" s="2732"/>
      <c r="AF665" s="2732"/>
      <c r="AG665" s="2732"/>
    </row>
    <row r="666" s="2712" customFormat="true" ht="21" hidden="false" customHeight="false" outlineLevel="0" collapsed="false">
      <c r="B666" s="2809" t="s">
        <v>1751</v>
      </c>
      <c r="C666" s="2809"/>
      <c r="D666" s="2809"/>
      <c r="E666" s="2809"/>
      <c r="F666" s="2810"/>
      <c r="G666" s="905"/>
      <c r="H666" s="2811" t="n">
        <f aca="false">IF('Ввод данных'!$A$8=связи1!A155,1,0)+IF('Ввод данных'!$A$8=связи1!A162,1,0)+IF('Ввод данных'!$A$8=связи1!A163,1,0)+IF('Ввод данных'!$A$8=связи1!A164,1,0)+IF('Ввод данных'!$A$8=связи1!A165,1,0)+IF('Ввод данных'!$A$8=связи1!A166,1,0)+IF('Ввод данных'!$A$8=связи1!A167,1,0)+IF('Ввод данных'!$A$8=связи1!A168,1,0)+IF('Ввод данных'!$A$8=связи1!A169,1,0)+IF('Ввод данных'!$A$8=связи1!A170,1,0)</f>
        <v>1</v>
      </c>
      <c r="I666" s="2757" t="n">
        <f aca="false">H666</f>
        <v>1</v>
      </c>
    </row>
    <row r="667" s="2712" customFormat="true" ht="15.5" hidden="false" customHeight="false" outlineLevel="0" collapsed="false">
      <c r="B667" s="2775" t="s">
        <v>2720</v>
      </c>
      <c r="C667" s="2775"/>
      <c r="D667" s="2775"/>
      <c r="E667" s="2775"/>
      <c r="F667" s="2775"/>
      <c r="G667" s="905"/>
      <c r="H667" s="2776" t="n">
        <f aca="false">H666</f>
        <v>1</v>
      </c>
      <c r="I667" s="2757" t="n">
        <f aca="false">H667</f>
        <v>1</v>
      </c>
      <c r="J667" s="2732"/>
      <c r="K667" s="2732"/>
    </row>
    <row r="668" s="2712" customFormat="true" ht="15.5" hidden="false" customHeight="false" outlineLevel="0" collapsed="false">
      <c r="A668" s="2719"/>
      <c r="B668" s="639" t="str">
        <f aca="false">дома!A1697</f>
        <v>Керамоблок 510х250х219 мм -    14,3 НФ</v>
      </c>
      <c r="C668" s="238" t="str">
        <f aca="false">дома!B1697</f>
        <v>м3</v>
      </c>
      <c r="D668" s="245" t="n">
        <f aca="false">дома!C1697</f>
        <v>41.7516</v>
      </c>
      <c r="E668" s="23" t="n">
        <f aca="false">дома!I1697</f>
        <v>10000</v>
      </c>
      <c r="F668" s="23"/>
      <c r="G668" s="122" t="n">
        <f aca="false">IF(F668&gt;0,D668*F668,E668*D668)</f>
        <v>417516</v>
      </c>
      <c r="H668" s="23" t="n">
        <f aca="false">D668*E668*$H$666</f>
        <v>417516</v>
      </c>
      <c r="I668" s="2784" t="n">
        <f aca="false">IF(G668&gt;H668,G668,H668)*$H$666</f>
        <v>417516</v>
      </c>
      <c r="J668" s="2744"/>
      <c r="K668" s="226" t="n">
        <f aca="false">D668-J668</f>
        <v>41.7516</v>
      </c>
      <c r="L668" s="2736"/>
    </row>
    <row r="669" s="2712" customFormat="true" ht="15.5" hidden="false" customHeight="false" outlineLevel="0" collapsed="false">
      <c r="A669" s="2719"/>
      <c r="B669" s="639" t="str">
        <f aca="false">дома!A1698</f>
        <v>Керамоблок 510х250х219 мм -    14,3 НФ</v>
      </c>
      <c r="C669" s="238" t="str">
        <f aca="false">дома!B1698</f>
        <v>м3</v>
      </c>
      <c r="D669" s="245" t="n">
        <f aca="false">дома!C1698</f>
        <v>12.672</v>
      </c>
      <c r="E669" s="23" t="n">
        <f aca="false">дома!I1698</f>
        <v>10000</v>
      </c>
      <c r="F669" s="23"/>
      <c r="G669" s="122" t="n">
        <f aca="false">IF(F669&gt;0,D669*F669,E669*D669)</f>
        <v>126720</v>
      </c>
      <c r="H669" s="23" t="n">
        <f aca="false">D669*E669*$H$666</f>
        <v>126720</v>
      </c>
      <c r="I669" s="2784" t="n">
        <f aca="false">IF(G669&gt;H669,G669,H669)*$H$666</f>
        <v>126720</v>
      </c>
      <c r="J669" s="2744"/>
      <c r="K669" s="226" t="n">
        <f aca="false">D669-J669</f>
        <v>12.672</v>
      </c>
      <c r="L669" s="2736"/>
    </row>
    <row r="670" s="2712" customFormat="true" ht="15.5" hidden="false" customHeight="false" outlineLevel="0" collapsed="false">
      <c r="A670" s="2719"/>
      <c r="B670" s="639" t="str">
        <f aca="false">дома!A1699</f>
        <v>Керамоблок 510х250х219 мм -    14,3 НФ</v>
      </c>
      <c r="C670" s="238" t="str">
        <f aca="false">дома!B1699</f>
        <v>м3</v>
      </c>
      <c r="D670" s="245" t="n">
        <f aca="false">дома!C1699</f>
        <v>4.1184</v>
      </c>
      <c r="E670" s="23" t="n">
        <f aca="false">дома!I1699</f>
        <v>10000</v>
      </c>
      <c r="F670" s="23"/>
      <c r="G670" s="122" t="n">
        <f aca="false">IF(F670&gt;0,D670*F670,E670*D670)</f>
        <v>41184</v>
      </c>
      <c r="H670" s="23" t="n">
        <f aca="false">D670*E670*$H$666</f>
        <v>41184</v>
      </c>
      <c r="I670" s="2784" t="n">
        <f aca="false">IF(G670&gt;H670,G670,H670)*$H$666</f>
        <v>41184</v>
      </c>
      <c r="J670" s="2744"/>
      <c r="K670" s="226" t="n">
        <f aca="false">D670-J670</f>
        <v>4.1184</v>
      </c>
      <c r="L670" s="2736"/>
    </row>
    <row r="671" s="2712" customFormat="true" ht="15.5" hidden="false" customHeight="false" outlineLevel="0" collapsed="false">
      <c r="A671" s="2719"/>
      <c r="B671" s="639" t="str">
        <f aca="false">дома!A1700</f>
        <v>Перемычка оконная, 1-ый эт. Вариант 1</v>
      </c>
      <c r="C671" s="238" t="str">
        <f aca="false">дома!B1700</f>
        <v>м.п.</v>
      </c>
      <c r="D671" s="245" t="n">
        <f aca="false">дома!C1700</f>
        <v>1</v>
      </c>
      <c r="E671" s="23" t="n">
        <f aca="false">дома!I1700</f>
        <v>1000</v>
      </c>
      <c r="F671" s="23"/>
      <c r="G671" s="122" t="n">
        <f aca="false">IF(F671&gt;0,D671*F671,E671*D671)</f>
        <v>1000</v>
      </c>
      <c r="H671" s="23" t="n">
        <f aca="false">D671*E671*$H$666</f>
        <v>1000</v>
      </c>
      <c r="I671" s="2784" t="n">
        <f aca="false">IF(G671&gt;H671,G671,H671)*$H$666</f>
        <v>1000</v>
      </c>
      <c r="J671" s="2744"/>
      <c r="K671" s="226" t="n">
        <f aca="false">D671-J671</f>
        <v>1</v>
      </c>
      <c r="L671" s="2736"/>
    </row>
    <row r="672" s="2712" customFormat="true" ht="15.5" hidden="false" customHeight="false" outlineLevel="0" collapsed="false">
      <c r="A672" s="2719"/>
      <c r="B672" s="639" t="str">
        <f aca="false">дома!A1701</f>
        <v>Перемычка оконная, 1-ый эт. Вариант 2</v>
      </c>
      <c r="C672" s="238" t="str">
        <f aca="false">дома!B1701</f>
        <v>м.п.</v>
      </c>
      <c r="D672" s="245" t="n">
        <f aca="false">дома!C1701</f>
        <v>0</v>
      </c>
      <c r="E672" s="23" t="n">
        <f aca="false">дома!I1701</f>
        <v>1000</v>
      </c>
      <c r="F672" s="23"/>
      <c r="G672" s="122" t="n">
        <f aca="false">IF(F672&gt;0,D672*F672,E672*D672)</f>
        <v>0</v>
      </c>
      <c r="H672" s="23" t="n">
        <f aca="false">D672*E672*$H$666</f>
        <v>0</v>
      </c>
      <c r="I672" s="2784" t="n">
        <f aca="false">IF(G672&gt;H672,G672,H672)*$H$666</f>
        <v>0</v>
      </c>
      <c r="J672" s="2744"/>
      <c r="K672" s="226" t="n">
        <f aca="false">D672-J672</f>
        <v>0</v>
      </c>
      <c r="L672" s="2736"/>
    </row>
    <row r="673" s="2712" customFormat="true" ht="15.5" hidden="false" customHeight="false" outlineLevel="0" collapsed="false">
      <c r="A673" s="2719"/>
      <c r="B673" s="639" t="str">
        <f aca="false">дома!A1702</f>
        <v>Перемычка оконная, 1-ый эт. Вариант 3</v>
      </c>
      <c r="C673" s="238" t="str">
        <f aca="false">дома!B1702</f>
        <v>м.п.</v>
      </c>
      <c r="D673" s="245" t="n">
        <f aca="false">дома!C1702</f>
        <v>0</v>
      </c>
      <c r="E673" s="23" t="n">
        <f aca="false">дома!I1702</f>
        <v>1000</v>
      </c>
      <c r="F673" s="23"/>
      <c r="G673" s="122" t="n">
        <f aca="false">IF(F673&gt;0,D673*F673,E673*D673)</f>
        <v>0</v>
      </c>
      <c r="H673" s="23" t="n">
        <f aca="false">D673*E673*$H$666</f>
        <v>0</v>
      </c>
      <c r="I673" s="2784" t="n">
        <f aca="false">IF(G673&gt;H673,G673,H673)*$H$666</f>
        <v>0</v>
      </c>
      <c r="J673" s="2744"/>
      <c r="K673" s="226" t="n">
        <f aca="false">D673-J673</f>
        <v>0</v>
      </c>
      <c r="L673" s="2736"/>
    </row>
    <row r="674" s="2712" customFormat="true" ht="15.5" hidden="false" customHeight="false" outlineLevel="0" collapsed="false">
      <c r="A674" s="2719"/>
      <c r="B674" s="639" t="str">
        <f aca="false">дома!A1703</f>
        <v>Перемычка оконная, 1-ый эт. Вариант 4</v>
      </c>
      <c r="C674" s="238" t="str">
        <f aca="false">дома!B1703</f>
        <v>м.п.</v>
      </c>
      <c r="D674" s="245" t="n">
        <f aca="false">дома!C1703</f>
        <v>0</v>
      </c>
      <c r="E674" s="23" t="n">
        <f aca="false">дома!I1703</f>
        <v>1000</v>
      </c>
      <c r="F674" s="23"/>
      <c r="G674" s="122" t="n">
        <f aca="false">IF(F674&gt;0,D674*F674,E674*D674)</f>
        <v>0</v>
      </c>
      <c r="H674" s="23" t="n">
        <f aca="false">D674*E674*$H$666</f>
        <v>0</v>
      </c>
      <c r="I674" s="2784" t="n">
        <f aca="false">IF(G674&gt;H674,G674,H674)*$H$666</f>
        <v>0</v>
      </c>
      <c r="J674" s="2744"/>
      <c r="K674" s="226" t="n">
        <f aca="false">D674-J674</f>
        <v>0</v>
      </c>
      <c r="L674" s="2736"/>
    </row>
    <row r="675" s="2712" customFormat="true" ht="15.5" hidden="false" customHeight="false" outlineLevel="0" collapsed="false">
      <c r="A675" s="2719"/>
      <c r="B675" s="639" t="str">
        <f aca="false">дома!A1704</f>
        <v>Перемычка оконная, 1-ый эт. Вариант 5</v>
      </c>
      <c r="C675" s="238" t="str">
        <f aca="false">дома!B1704</f>
        <v>м.п.</v>
      </c>
      <c r="D675" s="245" t="n">
        <f aca="false">дома!C1704</f>
        <v>0</v>
      </c>
      <c r="E675" s="23" t="n">
        <f aca="false">дома!I1704</f>
        <v>1000</v>
      </c>
      <c r="F675" s="23"/>
      <c r="G675" s="122" t="n">
        <f aca="false">IF(F675&gt;0,D675*F675,E675*D675)</f>
        <v>0</v>
      </c>
      <c r="H675" s="23" t="n">
        <f aca="false">D675*E675*$H$666</f>
        <v>0</v>
      </c>
      <c r="I675" s="2784" t="n">
        <f aca="false">IF(G675&gt;H675,G675,H675)*$H$666</f>
        <v>0</v>
      </c>
      <c r="J675" s="2744"/>
      <c r="K675" s="226" t="n">
        <f aca="false">D675-J675</f>
        <v>0</v>
      </c>
      <c r="L675" s="2736"/>
    </row>
    <row r="676" s="2712" customFormat="true" ht="15.5" hidden="false" customHeight="false" outlineLevel="0" collapsed="false">
      <c r="A676" s="2719"/>
      <c r="B676" s="639" t="str">
        <f aca="false">дома!A1705</f>
        <v>Перемычка оконная, 2-ый эт. Вариант 6</v>
      </c>
      <c r="C676" s="238" t="str">
        <f aca="false">дома!B1705</f>
        <v>м.п.</v>
      </c>
      <c r="D676" s="245" t="n">
        <f aca="false">дома!C1705</f>
        <v>0</v>
      </c>
      <c r="E676" s="23" t="n">
        <f aca="false">дома!I1705</f>
        <v>1000</v>
      </c>
      <c r="F676" s="23"/>
      <c r="G676" s="122" t="n">
        <f aca="false">IF(F676&gt;0,D676*F676,E676*D676)</f>
        <v>0</v>
      </c>
      <c r="H676" s="23" t="n">
        <f aca="false">D676*E676*$H$666</f>
        <v>0</v>
      </c>
      <c r="I676" s="2784" t="n">
        <f aca="false">IF(G676&gt;H676,G676,H676)*$H$666</f>
        <v>0</v>
      </c>
      <c r="J676" s="2744"/>
      <c r="K676" s="226" t="n">
        <f aca="false">D676-J676</f>
        <v>0</v>
      </c>
      <c r="L676" s="2736"/>
    </row>
    <row r="677" s="2712" customFormat="true" ht="15.5" hidden="false" customHeight="false" outlineLevel="0" collapsed="false">
      <c r="A677" s="2719"/>
      <c r="B677" s="639" t="str">
        <f aca="false">дома!A1706</f>
        <v>Перемычка оконная, 2-ый эт. Вариант 7</v>
      </c>
      <c r="C677" s="238" t="str">
        <f aca="false">дома!B1706</f>
        <v>м.п.</v>
      </c>
      <c r="D677" s="245" t="n">
        <f aca="false">дома!C1706</f>
        <v>0</v>
      </c>
      <c r="E677" s="23" t="n">
        <f aca="false">дома!I1706</f>
        <v>1000</v>
      </c>
      <c r="F677" s="23"/>
      <c r="G677" s="122" t="n">
        <f aca="false">IF(F677&gt;0,D677*F677,E677*D677)</f>
        <v>0</v>
      </c>
      <c r="H677" s="23" t="n">
        <f aca="false">D677*E677*$H$666</f>
        <v>0</v>
      </c>
      <c r="I677" s="2784" t="n">
        <f aca="false">IF(G677&gt;H677,G677,H677)*$H$666</f>
        <v>0</v>
      </c>
      <c r="J677" s="2744"/>
      <c r="K677" s="226" t="n">
        <f aca="false">D677-J677</f>
        <v>0</v>
      </c>
      <c r="L677" s="2736"/>
    </row>
    <row r="678" s="2712" customFormat="true" ht="15.5" hidden="false" customHeight="false" outlineLevel="0" collapsed="false">
      <c r="A678" s="2719"/>
      <c r="B678" s="639" t="str">
        <f aca="false">дома!A1707</f>
        <v>Перемычка оконная, 2-ый эт. Вариант 8</v>
      </c>
      <c r="C678" s="238" t="str">
        <f aca="false">дома!B1707</f>
        <v>м.п.</v>
      </c>
      <c r="D678" s="245" t="n">
        <f aca="false">дома!C1707</f>
        <v>0</v>
      </c>
      <c r="E678" s="23" t="n">
        <f aca="false">дома!I1707</f>
        <v>1000</v>
      </c>
      <c r="F678" s="23"/>
      <c r="G678" s="122" t="n">
        <f aca="false">IF(F678&gt;0,D678*F678,E678*D678)</f>
        <v>0</v>
      </c>
      <c r="H678" s="23" t="n">
        <f aca="false">D678*E678*$H$666</f>
        <v>0</v>
      </c>
      <c r="I678" s="2784" t="n">
        <f aca="false">IF(G678&gt;H678,G678,H678)*$H$666</f>
        <v>0</v>
      </c>
      <c r="J678" s="2744"/>
      <c r="K678" s="226" t="n">
        <f aca="false">D678-J678</f>
        <v>0</v>
      </c>
      <c r="L678" s="2736"/>
    </row>
    <row r="679" s="2712" customFormat="true" ht="15.5" hidden="false" customHeight="false" outlineLevel="0" collapsed="false">
      <c r="A679" s="2719"/>
      <c r="B679" s="639" t="str">
        <f aca="false">дома!A1708</f>
        <v>Перемычка оконная, 2-ый эт. Вариант 9</v>
      </c>
      <c r="C679" s="238" t="str">
        <f aca="false">дома!B1708</f>
        <v>м.п.</v>
      </c>
      <c r="D679" s="245" t="n">
        <f aca="false">дома!C1708</f>
        <v>0</v>
      </c>
      <c r="E679" s="23" t="n">
        <f aca="false">дома!I1708</f>
        <v>1000</v>
      </c>
      <c r="F679" s="23"/>
      <c r="G679" s="122" t="n">
        <f aca="false">IF(F679&gt;0,D679*F679,E679*D679)</f>
        <v>0</v>
      </c>
      <c r="H679" s="23" t="n">
        <f aca="false">D679*E679*$H$666</f>
        <v>0</v>
      </c>
      <c r="I679" s="2784" t="n">
        <f aca="false">IF(G679&gt;H679,G679,H679)*$H$666</f>
        <v>0</v>
      </c>
      <c r="J679" s="2744"/>
      <c r="K679" s="226" t="n">
        <f aca="false">D679-J679</f>
        <v>0</v>
      </c>
      <c r="L679" s="2736"/>
    </row>
    <row r="680" s="2712" customFormat="true" ht="15.5" hidden="false" customHeight="false" outlineLevel="0" collapsed="false">
      <c r="A680" s="2719"/>
      <c r="B680" s="639" t="str">
        <f aca="false">дома!A1709</f>
        <v>Перемычка оконная, 2-ый эт. Вариант 10</v>
      </c>
      <c r="C680" s="238" t="str">
        <f aca="false">дома!B1709</f>
        <v>м.п.</v>
      </c>
      <c r="D680" s="245" t="n">
        <f aca="false">дома!C1709</f>
        <v>0</v>
      </c>
      <c r="E680" s="23" t="n">
        <f aca="false">дома!I1709</f>
        <v>1000</v>
      </c>
      <c r="F680" s="23"/>
      <c r="G680" s="122" t="n">
        <f aca="false">IF(F680&gt;0,D680*F680,E680*D680)</f>
        <v>0</v>
      </c>
      <c r="H680" s="23" t="n">
        <f aca="false">D680*E680*$H$666</f>
        <v>0</v>
      </c>
      <c r="I680" s="2784" t="n">
        <f aca="false">IF(G680&gt;H680,G680,H680)*$H$666</f>
        <v>0</v>
      </c>
      <c r="J680" s="2744"/>
      <c r="K680" s="226" t="n">
        <f aca="false">D680-J680</f>
        <v>0</v>
      </c>
      <c r="L680" s="2736"/>
    </row>
    <row r="681" s="2712" customFormat="true" ht="15.5" hidden="false" customHeight="false" outlineLevel="0" collapsed="false">
      <c r="A681" s="2719"/>
      <c r="B681" s="639" t="str">
        <f aca="false">дома!A1710</f>
        <v>Перемычка дверная, 1-ый эт. Вариант 1</v>
      </c>
      <c r="C681" s="238" t="str">
        <f aca="false">дома!B1710</f>
        <v>м.п.</v>
      </c>
      <c r="D681" s="245" t="n">
        <f aca="false">дома!C1710</f>
        <v>0</v>
      </c>
      <c r="E681" s="23" t="n">
        <f aca="false">дома!I1710</f>
        <v>1000</v>
      </c>
      <c r="F681" s="23"/>
      <c r="G681" s="122" t="n">
        <f aca="false">IF(F681&gt;0,D681*F681,E681*D681)</f>
        <v>0</v>
      </c>
      <c r="H681" s="23" t="n">
        <f aca="false">D681*E681*$H$666</f>
        <v>0</v>
      </c>
      <c r="I681" s="2784" t="n">
        <f aca="false">IF(G681&gt;H681,G681,H681)*$H$666</f>
        <v>0</v>
      </c>
      <c r="J681" s="2744"/>
      <c r="K681" s="226" t="n">
        <f aca="false">D681-J681</f>
        <v>0</v>
      </c>
      <c r="L681" s="2736"/>
    </row>
    <row r="682" s="2712" customFormat="true" ht="15.5" hidden="false" customHeight="false" outlineLevel="0" collapsed="false">
      <c r="A682" s="2719"/>
      <c r="B682" s="639" t="str">
        <f aca="false">дома!A1711</f>
        <v>Перемычка дверная, 2-ый эт. Вариант 2</v>
      </c>
      <c r="C682" s="238" t="str">
        <f aca="false">дома!B1711</f>
        <v>м.п.</v>
      </c>
      <c r="D682" s="245" t="n">
        <f aca="false">дома!C1711</f>
        <v>0</v>
      </c>
      <c r="E682" s="23" t="n">
        <f aca="false">дома!I1711</f>
        <v>1000</v>
      </c>
      <c r="F682" s="23"/>
      <c r="G682" s="122" t="n">
        <f aca="false">IF(F682&gt;0,D682*F682,E682*D682)</f>
        <v>0</v>
      </c>
      <c r="H682" s="23" t="n">
        <f aca="false">D682*E682*$H$666</f>
        <v>0</v>
      </c>
      <c r="I682" s="2784" t="n">
        <f aca="false">IF(G682&gt;H682,G682,H682)*$H$666</f>
        <v>0</v>
      </c>
      <c r="J682" s="2744"/>
      <c r="K682" s="226" t="n">
        <f aca="false">D682-J682</f>
        <v>0</v>
      </c>
      <c r="L682" s="2736"/>
    </row>
    <row r="683" s="2712" customFormat="true" ht="15.5" hidden="false" customHeight="false" outlineLevel="0" collapsed="false">
      <c r="A683" s="2719"/>
      <c r="B683" s="639" t="str">
        <f aca="false">дома!A1712</f>
        <v>Перемычка оконная 1-ый эт, Вариант 11</v>
      </c>
      <c r="C683" s="238" t="str">
        <f aca="false">дома!B1712</f>
        <v>м.п.</v>
      </c>
      <c r="D683" s="245" t="n">
        <f aca="false">дома!C1712</f>
        <v>0</v>
      </c>
      <c r="E683" s="23" t="n">
        <f aca="false">дома!I1712</f>
        <v>1000</v>
      </c>
      <c r="F683" s="23"/>
      <c r="G683" s="122" t="n">
        <f aca="false">IF(F683&gt;0,D683*F683,E683*D683)</f>
        <v>0</v>
      </c>
      <c r="H683" s="23" t="n">
        <f aca="false">D683*E683*$H$666</f>
        <v>0</v>
      </c>
      <c r="I683" s="2784" t="n">
        <f aca="false">IF(G683&gt;H683,G683,H683)*$H$666</f>
        <v>0</v>
      </c>
      <c r="J683" s="2744"/>
      <c r="K683" s="226" t="n">
        <f aca="false">D683-J683</f>
        <v>0</v>
      </c>
      <c r="L683" s="2736"/>
    </row>
    <row r="684" s="2712" customFormat="true" ht="15.5" hidden="false" customHeight="false" outlineLevel="0" collapsed="false">
      <c r="A684" s="2719"/>
      <c r="B684" s="639" t="str">
        <f aca="false">дома!A1713</f>
        <v>Перемычка оконная 1-ый эт, Вариант 12</v>
      </c>
      <c r="C684" s="238" t="str">
        <f aca="false">дома!B1713</f>
        <v>м.п.</v>
      </c>
      <c r="D684" s="245" t="n">
        <f aca="false">дома!C1713</f>
        <v>0</v>
      </c>
      <c r="E684" s="23" t="n">
        <f aca="false">дома!I1713</f>
        <v>1000</v>
      </c>
      <c r="F684" s="23"/>
      <c r="G684" s="122" t="n">
        <f aca="false">IF(F684&gt;0,D684*F684,E684*D684)</f>
        <v>0</v>
      </c>
      <c r="H684" s="23" t="n">
        <f aca="false">D684*E684*$H$666</f>
        <v>0</v>
      </c>
      <c r="I684" s="2784" t="n">
        <f aca="false">IF(G684&gt;H684,G684,H684)*$H$666</f>
        <v>0</v>
      </c>
      <c r="J684" s="2744"/>
      <c r="K684" s="226" t="n">
        <f aca="false">D684-J684</f>
        <v>0</v>
      </c>
      <c r="L684" s="2736"/>
    </row>
    <row r="685" s="2712" customFormat="true" ht="15.5" hidden="false" customHeight="false" outlineLevel="0" collapsed="false">
      <c r="A685" s="2719"/>
      <c r="B685" s="639" t="str">
        <f aca="false">дома!A1714</f>
        <v>Перемычка дверная, 1-ый эт. Вариант 4</v>
      </c>
      <c r="C685" s="238" t="str">
        <f aca="false">дома!B1714</f>
        <v>м.п.</v>
      </c>
      <c r="D685" s="245" t="n">
        <f aca="false">дома!C1714</f>
        <v>0</v>
      </c>
      <c r="E685" s="23" t="n">
        <f aca="false">дома!I1714</f>
        <v>1000</v>
      </c>
      <c r="F685" s="23"/>
      <c r="G685" s="122" t="n">
        <f aca="false">IF(F685&gt;0,D685*F685,E685*D685)</f>
        <v>0</v>
      </c>
      <c r="H685" s="23" t="n">
        <f aca="false">D685*E685*$H$666</f>
        <v>0</v>
      </c>
      <c r="I685" s="2784" t="n">
        <f aca="false">IF(G685&gt;H685,G685,H685)*$H$666</f>
        <v>0</v>
      </c>
      <c r="J685" s="2744"/>
      <c r="K685" s="226" t="n">
        <f aca="false">D685-J685</f>
        <v>0</v>
      </c>
      <c r="L685" s="2736"/>
    </row>
    <row r="686" s="2712" customFormat="true" ht="15.5" hidden="false" customHeight="false" outlineLevel="0" collapsed="false">
      <c r="A686" s="2719"/>
      <c r="B686" s="639" t="str">
        <f aca="false">дома!A1715</f>
        <v>Перемычка дверная, 1-ый эт. Вариант 5</v>
      </c>
      <c r="C686" s="238" t="str">
        <f aca="false">дома!B1715</f>
        <v>м.п.</v>
      </c>
      <c r="D686" s="245" t="n">
        <f aca="false">дома!C1715</f>
        <v>0</v>
      </c>
      <c r="E686" s="23" t="n">
        <f aca="false">дома!I1715</f>
        <v>1000</v>
      </c>
      <c r="F686" s="23"/>
      <c r="G686" s="122" t="n">
        <f aca="false">IF(F686&gt;0,D686*F686,E686*D686)</f>
        <v>0</v>
      </c>
      <c r="H686" s="23" t="n">
        <f aca="false">D686*E686*$H$666</f>
        <v>0</v>
      </c>
      <c r="I686" s="2784" t="n">
        <f aca="false">IF(G686&gt;H686,G686,H686)*$H$666</f>
        <v>0</v>
      </c>
      <c r="J686" s="2744"/>
      <c r="K686" s="226" t="n">
        <f aca="false">D686-J686</f>
        <v>0</v>
      </c>
      <c r="L686" s="2736"/>
    </row>
    <row r="687" s="2712" customFormat="true" ht="15.5" hidden="false" customHeight="false" outlineLevel="0" collapsed="false">
      <c r="A687" s="2719"/>
      <c r="B687" s="639" t="str">
        <f aca="false">дома!A1716</f>
        <v>Перемычка дверная, 1-ый эт. Вариант 6</v>
      </c>
      <c r="C687" s="238" t="str">
        <f aca="false">дома!B1716</f>
        <v>м.п.</v>
      </c>
      <c r="D687" s="245" t="n">
        <f aca="false">дома!C1716</f>
        <v>0</v>
      </c>
      <c r="E687" s="23" t="n">
        <f aca="false">дома!I1716</f>
        <v>1000</v>
      </c>
      <c r="F687" s="23"/>
      <c r="G687" s="122" t="n">
        <f aca="false">IF(F687&gt;0,D687*F687,E687*D687)</f>
        <v>0</v>
      </c>
      <c r="H687" s="23" t="n">
        <f aca="false">D687*E687*$H$666</f>
        <v>0</v>
      </c>
      <c r="I687" s="2784" t="n">
        <f aca="false">IF(G687&gt;H687,G687,H687)*$H$666</f>
        <v>0</v>
      </c>
      <c r="J687" s="2744"/>
      <c r="K687" s="226" t="n">
        <f aca="false">D687-J687</f>
        <v>0</v>
      </c>
      <c r="L687" s="2736"/>
    </row>
    <row r="688" s="2712" customFormat="true" ht="15.5" hidden="false" customHeight="false" outlineLevel="0" collapsed="false">
      <c r="A688" s="2719"/>
      <c r="B688" s="639" t="str">
        <f aca="false">дома!A1717</f>
        <v>Перемычка дверная, 2-ый эт. Вариант 7</v>
      </c>
      <c r="C688" s="238" t="str">
        <f aca="false">дома!B1717</f>
        <v>м.п.</v>
      </c>
      <c r="D688" s="245" t="n">
        <f aca="false">дома!C1717</f>
        <v>0</v>
      </c>
      <c r="E688" s="23" t="n">
        <f aca="false">дома!I1717</f>
        <v>1000</v>
      </c>
      <c r="F688" s="23"/>
      <c r="G688" s="122" t="n">
        <f aca="false">IF(F688&gt;0,D688*F688,E688*D688)</f>
        <v>0</v>
      </c>
      <c r="H688" s="23" t="n">
        <f aca="false">D688*E688*$H$666</f>
        <v>0</v>
      </c>
      <c r="I688" s="2784" t="n">
        <f aca="false">IF(G688&gt;H688,G688,H688)*$H$666</f>
        <v>0</v>
      </c>
      <c r="J688" s="2744"/>
      <c r="K688" s="226" t="n">
        <f aca="false">D688-J688</f>
        <v>0</v>
      </c>
      <c r="L688" s="2736"/>
    </row>
    <row r="689" s="2712" customFormat="true" ht="15.5" hidden="false" customHeight="false" outlineLevel="0" collapsed="false">
      <c r="A689" s="2719"/>
      <c r="B689" s="639" t="str">
        <f aca="false">дома!A1718</f>
        <v>Перемычка дверная, 2-ый эт. Вариант 8</v>
      </c>
      <c r="C689" s="238" t="str">
        <f aca="false">дома!B1718</f>
        <v>м.п.</v>
      </c>
      <c r="D689" s="245" t="n">
        <f aca="false">дома!C1718</f>
        <v>0</v>
      </c>
      <c r="E689" s="23" t="n">
        <f aca="false">дома!I1718</f>
        <v>1000</v>
      </c>
      <c r="F689" s="23"/>
      <c r="G689" s="122" t="n">
        <f aca="false">IF(F689&gt;0,D689*F689,E689*D689)</f>
        <v>0</v>
      </c>
      <c r="H689" s="23" t="n">
        <f aca="false">D689*E689*$H$666</f>
        <v>0</v>
      </c>
      <c r="I689" s="2784" t="n">
        <f aca="false">IF(G689&gt;H689,G689,H689)*$H$666</f>
        <v>0</v>
      </c>
      <c r="J689" s="2744"/>
      <c r="K689" s="226" t="n">
        <f aca="false">D689-J689</f>
        <v>0</v>
      </c>
      <c r="L689" s="2736"/>
    </row>
    <row r="690" s="2712" customFormat="true" ht="15.5" hidden="false" customHeight="false" outlineLevel="0" collapsed="false">
      <c r="A690" s="2719"/>
      <c r="B690" s="639" t="str">
        <f aca="false">дома!A1719</f>
        <v>Перемычка дверная, 2-ый эт. Вариант 9</v>
      </c>
      <c r="C690" s="238" t="str">
        <f aca="false">дома!B1719</f>
        <v>м.п.</v>
      </c>
      <c r="D690" s="245" t="n">
        <f aca="false">дома!C1719</f>
        <v>0</v>
      </c>
      <c r="E690" s="23" t="n">
        <f aca="false">дома!I1719</f>
        <v>1000</v>
      </c>
      <c r="F690" s="23"/>
      <c r="G690" s="122" t="n">
        <f aca="false">IF(F690&gt;0,D690*F690,E690*D690)</f>
        <v>0</v>
      </c>
      <c r="H690" s="23" t="n">
        <f aca="false">D690*E690*$H$666</f>
        <v>0</v>
      </c>
      <c r="I690" s="2784" t="n">
        <f aca="false">IF(G690&gt;H690,G690,H690)*$H$666</f>
        <v>0</v>
      </c>
      <c r="J690" s="2744"/>
      <c r="K690" s="226" t="n">
        <f aca="false">D690-J690</f>
        <v>0</v>
      </c>
      <c r="L690" s="2736"/>
    </row>
    <row r="691" s="2712" customFormat="true" ht="15.5" hidden="false" customHeight="false" outlineLevel="0" collapsed="false">
      <c r="A691" s="2719"/>
      <c r="B691" s="639" t="str">
        <f aca="false">дома!A1720</f>
        <v>Перемычка проема, 1-ый эт. Вариант 10</v>
      </c>
      <c r="C691" s="238" t="str">
        <f aca="false">дома!B1720</f>
        <v>м.п.</v>
      </c>
      <c r="D691" s="245" t="n">
        <f aca="false">дома!C1720</f>
        <v>0</v>
      </c>
      <c r="E691" s="23" t="n">
        <f aca="false">дома!I1720</f>
        <v>1000</v>
      </c>
      <c r="F691" s="23"/>
      <c r="G691" s="122" t="n">
        <f aca="false">IF(F691&gt;0,D691*F691,E691*D691)</f>
        <v>0</v>
      </c>
      <c r="H691" s="23" t="n">
        <f aca="false">D691*E691*$H$666</f>
        <v>0</v>
      </c>
      <c r="I691" s="2784" t="n">
        <f aca="false">IF(G691&gt;H691,G691,H691)*$H$666</f>
        <v>0</v>
      </c>
      <c r="J691" s="2744"/>
      <c r="K691" s="226" t="n">
        <f aca="false">D691-J691</f>
        <v>0</v>
      </c>
      <c r="L691" s="2736"/>
    </row>
    <row r="692" s="2712" customFormat="true" ht="15.5" hidden="false" customHeight="false" outlineLevel="0" collapsed="false">
      <c r="A692" s="2719"/>
      <c r="B692" s="639" t="str">
        <f aca="false">дома!A1721</f>
        <v>Перемычка проема, 1-ый эт. Вариант 11</v>
      </c>
      <c r="C692" s="238" t="str">
        <f aca="false">дома!B1721</f>
        <v>м.п.</v>
      </c>
      <c r="D692" s="245" t="n">
        <f aca="false">дома!C1721</f>
        <v>0</v>
      </c>
      <c r="E692" s="23" t="n">
        <f aca="false">дома!I1721</f>
        <v>1000</v>
      </c>
      <c r="F692" s="23"/>
      <c r="G692" s="122" t="n">
        <f aca="false">IF(F692&gt;0,D692*F692,E692*D692)</f>
        <v>0</v>
      </c>
      <c r="H692" s="23" t="n">
        <f aca="false">D692*E692*$H$666</f>
        <v>0</v>
      </c>
      <c r="I692" s="2784" t="n">
        <f aca="false">IF(G692&gt;H692,G692,H692)*$H$666</f>
        <v>0</v>
      </c>
      <c r="J692" s="2744"/>
      <c r="K692" s="226" t="n">
        <f aca="false">D692-J692</f>
        <v>0</v>
      </c>
      <c r="L692" s="2736"/>
    </row>
    <row r="693" s="2712" customFormat="true" ht="15.5" hidden="false" customHeight="false" outlineLevel="0" collapsed="false">
      <c r="A693" s="2719"/>
      <c r="B693" s="639" t="str">
        <f aca="false">дома!A1722</f>
        <v>Перемычка проема, 2-ый эт. Вариант 12</v>
      </c>
      <c r="C693" s="238" t="str">
        <f aca="false">дома!B1722</f>
        <v>м.п.</v>
      </c>
      <c r="D693" s="245" t="n">
        <f aca="false">дома!C1722</f>
        <v>0</v>
      </c>
      <c r="E693" s="23" t="n">
        <f aca="false">дома!I1722</f>
        <v>1000</v>
      </c>
      <c r="F693" s="23"/>
      <c r="G693" s="122" t="n">
        <f aca="false">IF(F693&gt;0,D693*F693,E693*D693)</f>
        <v>0</v>
      </c>
      <c r="H693" s="23" t="n">
        <f aca="false">D693*E693*$H$666</f>
        <v>0</v>
      </c>
      <c r="I693" s="2784" t="n">
        <f aca="false">IF(G693&gt;H693,G693,H693)*$H$666</f>
        <v>0</v>
      </c>
      <c r="J693" s="2744"/>
      <c r="K693" s="226" t="n">
        <f aca="false">D693-J693</f>
        <v>0</v>
      </c>
      <c r="L693" s="2736"/>
    </row>
    <row r="694" s="2712" customFormat="true" ht="15.5" hidden="false" customHeight="false" outlineLevel="0" collapsed="false">
      <c r="A694" s="2719"/>
      <c r="B694" s="639" t="str">
        <f aca="false">дома!A1723</f>
        <v>Перемычка проема, 2-ый эт. Вариант 13</v>
      </c>
      <c r="C694" s="238" t="str">
        <f aca="false">дома!B1723</f>
        <v>м.п.</v>
      </c>
      <c r="D694" s="245" t="n">
        <f aca="false">дома!C1723</f>
        <v>0</v>
      </c>
      <c r="E694" s="23" t="n">
        <f aca="false">дома!I1723</f>
        <v>1000</v>
      </c>
      <c r="F694" s="23"/>
      <c r="G694" s="122" t="n">
        <f aca="false">IF(F694&gt;0,D694*F694,E694*D694)</f>
        <v>0</v>
      </c>
      <c r="H694" s="23" t="n">
        <f aca="false">D694*E694*$H$666</f>
        <v>0</v>
      </c>
      <c r="I694" s="2784" t="n">
        <f aca="false">IF(G694&gt;H694,G694,H694)*$H$666</f>
        <v>0</v>
      </c>
      <c r="J694" s="2744"/>
      <c r="K694" s="226" t="n">
        <f aca="false">D694-J694</f>
        <v>0</v>
      </c>
      <c r="L694" s="2736"/>
    </row>
    <row r="695" s="2712" customFormat="true" ht="15.5" hidden="false" customHeight="false" outlineLevel="0" collapsed="false">
      <c r="A695" s="2719"/>
      <c r="B695" s="639" t="str">
        <f aca="false">дома!A1724</f>
        <v>Перемычка дверная, 1-ый эт. Вариант 1</v>
      </c>
      <c r="C695" s="238" t="str">
        <f aca="false">дома!B1724</f>
        <v>м.п.</v>
      </c>
      <c r="D695" s="245" t="n">
        <f aca="false">дома!C1724</f>
        <v>0</v>
      </c>
      <c r="E695" s="23" t="n">
        <f aca="false">дома!I1724</f>
        <v>1000</v>
      </c>
      <c r="F695" s="23"/>
      <c r="G695" s="122" t="n">
        <f aca="false">IF(F695&gt;0,D695*F695,E695*D695)</f>
        <v>0</v>
      </c>
      <c r="H695" s="23" t="n">
        <f aca="false">D695*E695*$H$666</f>
        <v>0</v>
      </c>
      <c r="I695" s="2784" t="n">
        <f aca="false">IF(G695&gt;H695,G695,H695)*$H$666</f>
        <v>0</v>
      </c>
      <c r="J695" s="2744"/>
      <c r="K695" s="226" t="n">
        <f aca="false">D695-J695</f>
        <v>0</v>
      </c>
      <c r="L695" s="2736"/>
    </row>
    <row r="696" s="2712" customFormat="true" ht="15.5" hidden="false" customHeight="false" outlineLevel="0" collapsed="false">
      <c r="A696" s="2719"/>
      <c r="B696" s="639" t="str">
        <f aca="false">дома!A1725</f>
        <v>Перемычка дверная, 1-ый эт. Вариант 2</v>
      </c>
      <c r="C696" s="238" t="str">
        <f aca="false">дома!B1725</f>
        <v>м.п.</v>
      </c>
      <c r="D696" s="245" t="n">
        <f aca="false">дома!C1725</f>
        <v>0</v>
      </c>
      <c r="E696" s="23" t="n">
        <f aca="false">дома!I1725</f>
        <v>1000</v>
      </c>
      <c r="F696" s="23"/>
      <c r="G696" s="122" t="n">
        <f aca="false">IF(F696&gt;0,D696*F696,E696*D696)</f>
        <v>0</v>
      </c>
      <c r="H696" s="23" t="n">
        <f aca="false">D696*E696*$H$666</f>
        <v>0</v>
      </c>
      <c r="I696" s="2784" t="n">
        <f aca="false">IF(G696&gt;H696,G696,H696)*$H$666</f>
        <v>0</v>
      </c>
      <c r="J696" s="2744"/>
      <c r="K696" s="226" t="n">
        <f aca="false">D696-J696</f>
        <v>0</v>
      </c>
      <c r="L696" s="2736"/>
    </row>
    <row r="697" s="2712" customFormat="true" ht="15.5" hidden="false" customHeight="false" outlineLevel="0" collapsed="false">
      <c r="A697" s="2719"/>
      <c r="B697" s="639" t="str">
        <f aca="false">дома!A1726</f>
        <v>Перемычка дверная, 1-ый эт. Вариант 3</v>
      </c>
      <c r="C697" s="238" t="str">
        <f aca="false">дома!B1726</f>
        <v>м.п.</v>
      </c>
      <c r="D697" s="245" t="n">
        <f aca="false">дома!C1726</f>
        <v>0</v>
      </c>
      <c r="E697" s="23" t="n">
        <f aca="false">дома!I1726</f>
        <v>1000</v>
      </c>
      <c r="F697" s="23"/>
      <c r="G697" s="122" t="n">
        <f aca="false">IF(F697&gt;0,D697*F697,E697*D697)</f>
        <v>0</v>
      </c>
      <c r="H697" s="23" t="n">
        <f aca="false">D697*E697*$H$666</f>
        <v>0</v>
      </c>
      <c r="I697" s="2784" t="n">
        <f aca="false">IF(G697&gt;H697,G697,H697)*$H$666</f>
        <v>0</v>
      </c>
      <c r="J697" s="2744"/>
      <c r="K697" s="226" t="n">
        <f aca="false">D697-J697</f>
        <v>0</v>
      </c>
      <c r="L697" s="2736"/>
    </row>
    <row r="698" s="2712" customFormat="true" ht="15.5" hidden="false" customHeight="false" outlineLevel="0" collapsed="false">
      <c r="A698" s="2719"/>
      <c r="B698" s="639" t="str">
        <f aca="false">дома!A1727</f>
        <v>Сосна влаж,200*40мм</v>
      </c>
      <c r="C698" s="238" t="str">
        <f aca="false">дома!B1727</f>
        <v>м3</v>
      </c>
      <c r="D698" s="245" t="n">
        <f aca="false">дома!C1727</f>
        <v>0.832</v>
      </c>
      <c r="E698" s="23" t="n">
        <f aca="false">дома!I1727</f>
        <v>6500</v>
      </c>
      <c r="F698" s="23"/>
      <c r="G698" s="122" t="n">
        <f aca="false">IF(F698&gt;0,D698*F698,E698*D698)</f>
        <v>5408</v>
      </c>
      <c r="H698" s="23" t="n">
        <f aca="false">D698*E698*$H$666</f>
        <v>5408</v>
      </c>
      <c r="I698" s="2784" t="n">
        <f aca="false">IF(G698&gt;H698,G698,H698)*$H$666</f>
        <v>5408</v>
      </c>
      <c r="J698" s="2744"/>
      <c r="K698" s="226" t="n">
        <f aca="false">D698-J698</f>
        <v>0.832</v>
      </c>
      <c r="L698" s="2736"/>
    </row>
    <row r="699" s="2712" customFormat="true" ht="15.5" hidden="false" customHeight="false" outlineLevel="0" collapsed="false">
      <c r="A699" s="2719"/>
      <c r="B699" s="639" t="str">
        <f aca="false">дома!A1728</f>
        <v>Сейсмопояс Арматура М10 4 нити</v>
      </c>
      <c r="C699" s="238" t="str">
        <f aca="false">дома!B1728</f>
        <v>м.п.</v>
      </c>
      <c r="D699" s="245" t="n">
        <f aca="false">дома!C1728</f>
        <v>176</v>
      </c>
      <c r="E699" s="23" t="n">
        <f aca="false">дома!I1728</f>
        <v>21.0397</v>
      </c>
      <c r="F699" s="23"/>
      <c r="G699" s="122" t="n">
        <f aca="false">IF(F699&gt;0,D699*F699,E699*D699)</f>
        <v>3702.9872</v>
      </c>
      <c r="H699" s="23" t="n">
        <f aca="false">D699*E699*$H$666</f>
        <v>3702.9872</v>
      </c>
      <c r="I699" s="2784" t="n">
        <f aca="false">IF(G699&gt;H699,G699,H699)*$H$666</f>
        <v>3702.9872</v>
      </c>
      <c r="J699" s="2744"/>
      <c r="K699" s="226" t="n">
        <f aca="false">D699-J699</f>
        <v>176</v>
      </c>
      <c r="L699" s="2736"/>
    </row>
    <row r="700" s="2712" customFormat="true" ht="15.5" hidden="false" customHeight="false" outlineLevel="0" collapsed="false">
      <c r="A700" s="2719"/>
      <c r="B700" s="639" t="str">
        <f aca="false">дома!A1729</f>
        <v>Хомут для сейсмопояса Арматура М6, шаг 400мм</v>
      </c>
      <c r="C700" s="238" t="str">
        <f aca="false">дома!B1729</f>
        <v>м.п.</v>
      </c>
      <c r="D700" s="245" t="n">
        <f aca="false">дома!C1729</f>
        <v>90</v>
      </c>
      <c r="E700" s="23" t="n">
        <f aca="false">дома!I1729</f>
        <v>0</v>
      </c>
      <c r="F700" s="23"/>
      <c r="G700" s="122" t="n">
        <f aca="false">IF(F700&gt;0,D700*F700,E700*D700)</f>
        <v>0</v>
      </c>
      <c r="H700" s="23" t="n">
        <f aca="false">D700*E700*$H$666</f>
        <v>0</v>
      </c>
      <c r="I700" s="2784" t="n">
        <f aca="false">IF(G700&gt;H700,G700,H700)*$H$666</f>
        <v>0</v>
      </c>
      <c r="J700" s="2744"/>
      <c r="K700" s="226" t="n">
        <f aca="false">D700-J700</f>
        <v>90</v>
      </c>
      <c r="L700" s="2736"/>
    </row>
    <row r="701" s="2712" customFormat="true" ht="15.5" hidden="false" customHeight="false" outlineLevel="0" collapsed="false">
      <c r="A701" s="2719"/>
      <c r="B701" s="639" t="str">
        <f aca="false">дома!A1730</f>
        <v>Бетон, м300</v>
      </c>
      <c r="C701" s="238" t="str">
        <f aca="false">дома!B1730</f>
        <v>м3</v>
      </c>
      <c r="D701" s="245" t="n">
        <f aca="false">дома!C1730</f>
        <v>1.638</v>
      </c>
      <c r="E701" s="23" t="n">
        <f aca="false">дома!I1730</f>
        <v>3000</v>
      </c>
      <c r="F701" s="23"/>
      <c r="G701" s="122" t="n">
        <f aca="false">IF(F701&gt;0,D701*F701,E701*D701)</f>
        <v>4914</v>
      </c>
      <c r="H701" s="23" t="n">
        <f aca="false">D701*E701*$H$666</f>
        <v>4914</v>
      </c>
      <c r="I701" s="2784" t="n">
        <f aca="false">IF(G701&gt;H701,G701,H701)*$H$666</f>
        <v>4914</v>
      </c>
      <c r="J701" s="2744"/>
      <c r="K701" s="226" t="n">
        <f aca="false">D701-J701</f>
        <v>1.638</v>
      </c>
      <c r="L701" s="2736"/>
    </row>
    <row r="702" s="2712" customFormat="true" ht="15.5" hidden="false" customHeight="false" outlineLevel="0" collapsed="false">
      <c r="A702" s="2719"/>
      <c r="B702" s="639" t="str">
        <f aca="false">дома!A1733</f>
        <v>Нет</v>
      </c>
      <c r="C702" s="238" t="str">
        <f aca="false">дома!B1733</f>
        <v>м3</v>
      </c>
      <c r="D702" s="245" t="n">
        <f aca="false">дома!C1733</f>
        <v>0</v>
      </c>
      <c r="E702" s="23" t="n">
        <f aca="false">дома!I1733</f>
        <v>0</v>
      </c>
      <c r="F702" s="23"/>
      <c r="G702" s="122" t="n">
        <f aca="false">IF(F702&gt;0,D702*F702,E702*D702)</f>
        <v>0</v>
      </c>
      <c r="H702" s="23" t="n">
        <f aca="false">D702*E702*$H$666</f>
        <v>0</v>
      </c>
      <c r="I702" s="2784" t="n">
        <f aca="false">IF(G702&gt;H702,G702,H702)*$H$666</f>
        <v>0</v>
      </c>
      <c r="J702" s="2744"/>
      <c r="K702" s="226" t="n">
        <f aca="false">D702-J702</f>
        <v>0</v>
      </c>
      <c r="L702" s="2736"/>
    </row>
    <row r="703" s="2712" customFormat="true" ht="15.5" hidden="false" customHeight="false" outlineLevel="0" collapsed="false">
      <c r="A703" s="2719"/>
      <c r="B703" s="639" t="str">
        <f aca="false">дома!A1734</f>
        <v>Грибок для крепления утеплителя</v>
      </c>
      <c r="C703" s="238" t="str">
        <f aca="false">дома!B1734</f>
        <v>шт</v>
      </c>
      <c r="D703" s="245" t="n">
        <f aca="false">дома!C1734</f>
        <v>0</v>
      </c>
      <c r="E703" s="23" t="n">
        <f aca="false">дома!I1734</f>
        <v>15</v>
      </c>
      <c r="F703" s="23"/>
      <c r="G703" s="122" t="n">
        <f aca="false">IF(F703&gt;0,D703*F703,E703*D703)</f>
        <v>0</v>
      </c>
      <c r="H703" s="23" t="n">
        <f aca="false">D703*E703*$H$666</f>
        <v>0</v>
      </c>
      <c r="I703" s="2784" t="n">
        <f aca="false">IF(G703&gt;H703,G703,H703)*$H$666</f>
        <v>0</v>
      </c>
      <c r="J703" s="2744"/>
      <c r="K703" s="226" t="n">
        <f aca="false">D703-J703</f>
        <v>0</v>
      </c>
      <c r="L703" s="2736"/>
    </row>
    <row r="704" s="2712" customFormat="true" ht="15.5" hidden="false" customHeight="false" outlineLevel="0" collapsed="false">
      <c r="A704" s="2719"/>
      <c r="B704" s="639" t="str">
        <f aca="false">дома!A1735</f>
        <v>нет ветроизоляции</v>
      </c>
      <c r="C704" s="238" t="str">
        <f aca="false">дома!B1735</f>
        <v>м2</v>
      </c>
      <c r="D704" s="245" t="n">
        <f aca="false">дома!C1735</f>
        <v>0</v>
      </c>
      <c r="E704" s="23" t="n">
        <f aca="false">дома!I1735</f>
        <v>0</v>
      </c>
      <c r="F704" s="23"/>
      <c r="G704" s="122" t="n">
        <f aca="false">IF(F704&gt;0,D704*F704,E704*D704)</f>
        <v>0</v>
      </c>
      <c r="H704" s="23" t="n">
        <f aca="false">D704*E704*$H$666</f>
        <v>0</v>
      </c>
      <c r="I704" s="2784" t="n">
        <f aca="false">IF(G704&gt;H704,G704,H704)*$H$666</f>
        <v>0</v>
      </c>
      <c r="J704" s="2744"/>
      <c r="K704" s="226" t="n">
        <f aca="false">D704-J704</f>
        <v>0</v>
      </c>
      <c r="L704" s="2736"/>
    </row>
    <row r="705" s="2712" customFormat="true" ht="15.5" hidden="false" customHeight="false" outlineLevel="0" collapsed="false">
      <c r="A705" s="2719"/>
      <c r="B705" s="639" t="str">
        <f aca="false">дома!A1736</f>
        <v>Кладочная сетка, 100*100/150*150/200*200мм</v>
      </c>
      <c r="C705" s="238" t="str">
        <f aca="false">дома!B1736</f>
        <v>м2</v>
      </c>
      <c r="D705" s="245" t="n">
        <f aca="false">дома!C1736</f>
        <v>110.88</v>
      </c>
      <c r="E705" s="23" t="n">
        <f aca="false">дома!I1736</f>
        <v>70</v>
      </c>
      <c r="F705" s="23"/>
      <c r="G705" s="122" t="n">
        <f aca="false">IF(F705&gt;0,D705*F705,E705*D705)</f>
        <v>7761.6</v>
      </c>
      <c r="H705" s="23" t="n">
        <f aca="false">D705*E705*$H$666</f>
        <v>7761.6</v>
      </c>
      <c r="I705" s="2784" t="n">
        <f aca="false">IF(G705&gt;H705,G705,H705)*$H$666</f>
        <v>7761.6</v>
      </c>
      <c r="J705" s="2744"/>
      <c r="K705" s="226" t="n">
        <f aca="false">D705-J705</f>
        <v>110.88</v>
      </c>
      <c r="L705" s="2736"/>
    </row>
    <row r="706" s="2712" customFormat="true" ht="15.5" hidden="false" customHeight="false" outlineLevel="0" collapsed="false">
      <c r="A706" s="2719"/>
      <c r="B706" s="639" t="str">
        <f aca="false">дома!A1737</f>
        <v>Песок, машина 13м3</v>
      </c>
      <c r="C706" s="238" t="str">
        <f aca="false">дома!B1737</f>
        <v>шт</v>
      </c>
      <c r="D706" s="245" t="n">
        <f aca="false">дома!C1737</f>
        <v>1.1269335</v>
      </c>
      <c r="E706" s="23" t="n">
        <f aca="false">дома!I1737</f>
        <v>12000</v>
      </c>
      <c r="F706" s="23"/>
      <c r="G706" s="122" t="n">
        <f aca="false">IF(F706&gt;0,D706*F706,E706*D706)</f>
        <v>13523.202</v>
      </c>
      <c r="H706" s="23" t="n">
        <f aca="false">D706*E706*$H$666</f>
        <v>13523.202</v>
      </c>
      <c r="I706" s="2784" t="n">
        <f aca="false">IF(G706&gt;H706,G706,H706)*$H$666</f>
        <v>13523.202</v>
      </c>
      <c r="J706" s="2744"/>
      <c r="K706" s="226" t="n">
        <f aca="false">D706-J706</f>
        <v>1.1269335</v>
      </c>
      <c r="L706" s="2736"/>
    </row>
    <row r="707" s="2712" customFormat="true" ht="15.5" hidden="false" customHeight="false" outlineLevel="0" collapsed="false">
      <c r="A707" s="2719"/>
      <c r="B707" s="639" t="str">
        <f aca="false">дома!A1738</f>
        <v>Цемент, мешок, 50кг</v>
      </c>
      <c r="C707" s="238" t="str">
        <f aca="false">дома!B1738</f>
        <v>меш</v>
      </c>
      <c r="D707" s="245" t="n">
        <f aca="false">дома!C1738</f>
        <v>34.773948</v>
      </c>
      <c r="E707" s="23" t="n">
        <f aca="false">дома!I1738</f>
        <v>250</v>
      </c>
      <c r="F707" s="23"/>
      <c r="G707" s="122" t="n">
        <f aca="false">IF(F707&gt;0,D707*F707,E707*D707)</f>
        <v>8693.487</v>
      </c>
      <c r="H707" s="23" t="n">
        <f aca="false">D707*E707*$H$666</f>
        <v>8693.487</v>
      </c>
      <c r="I707" s="2784" t="n">
        <f aca="false">IF(G707&gt;H707,G707,H707)*$H$666</f>
        <v>8693.487</v>
      </c>
      <c r="J707" s="2744"/>
      <c r="K707" s="226" t="n">
        <f aca="false">D707-J707</f>
        <v>34.773948</v>
      </c>
      <c r="L707" s="2736"/>
    </row>
    <row r="708" s="2712" customFormat="true" ht="15.5" hidden="false" customHeight="false" outlineLevel="0" collapsed="false">
      <c r="A708" s="2719"/>
      <c r="B708" s="2812" t="s">
        <v>4656</v>
      </c>
      <c r="C708" s="2812"/>
      <c r="D708" s="2812"/>
      <c r="E708" s="2812"/>
      <c r="F708" s="2813"/>
      <c r="G708" s="23" t="n">
        <f aca="false">SUM(G668:G707)*H666</f>
        <v>630423.2762</v>
      </c>
      <c r="H708" s="23" t="n">
        <f aca="false">SUM(H668:H707)</f>
        <v>630423.2762</v>
      </c>
      <c r="I708" s="2784" t="n">
        <f aca="false">IF(G708&gt;H708,G708,H708)*$H$666</f>
        <v>630423.2762</v>
      </c>
      <c r="J708" s="2744"/>
      <c r="K708" s="226" t="n">
        <f aca="false">D708-J708</f>
        <v>0</v>
      </c>
      <c r="L708" s="2736"/>
    </row>
    <row r="709" s="2712" customFormat="true" ht="15.5" hidden="false" customHeight="false" outlineLevel="0" collapsed="false">
      <c r="B709" s="2750" t="s">
        <v>1409</v>
      </c>
      <c r="C709" s="2750"/>
      <c r="D709" s="2750"/>
      <c r="E709" s="2750"/>
      <c r="F709" s="2814"/>
      <c r="G709" s="905"/>
      <c r="H709" s="2766" t="n">
        <f aca="false">H666</f>
        <v>1</v>
      </c>
      <c r="I709" s="2757" t="n">
        <f aca="false">H709</f>
        <v>1</v>
      </c>
      <c r="J709" s="2752"/>
      <c r="K709" s="2752"/>
    </row>
    <row r="710" s="2712" customFormat="true" ht="15.5" hidden="false" customHeight="false" outlineLevel="0" collapsed="false">
      <c r="A710" s="2719"/>
      <c r="B710" s="639" t="str">
        <f aca="false">дома!L1697</f>
        <v>кладка кирпича</v>
      </c>
      <c r="C710" s="238" t="s">
        <v>135</v>
      </c>
      <c r="D710" s="245" t="n">
        <f aca="false">дома!N1697</f>
        <v>58.542</v>
      </c>
      <c r="E710" s="23" t="n">
        <f aca="false">дома!O1697</f>
        <v>3500</v>
      </c>
      <c r="F710" s="23"/>
      <c r="G710" s="122" t="n">
        <f aca="false">IF(F710&gt;0,D710*F710,E710*D710)</f>
        <v>204897</v>
      </c>
      <c r="H710" s="23" t="n">
        <f aca="false">D710*E710*$H$666</f>
        <v>204897</v>
      </c>
      <c r="I710" s="2718" t="n">
        <f aca="false">IF(G710&gt;H710,G710,H710)*$H$666</f>
        <v>204897</v>
      </c>
    </row>
    <row r="711" s="2712" customFormat="true" ht="15.5" hidden="false" customHeight="false" outlineLevel="0" collapsed="false">
      <c r="A711" s="2719"/>
      <c r="B711" s="639" t="str">
        <f aca="false">дома!L1698</f>
        <v>кладка перегородок из кирпича</v>
      </c>
      <c r="C711" s="238" t="s">
        <v>133</v>
      </c>
      <c r="D711" s="245" t="n">
        <f aca="false">дома!N1698</f>
        <v>23.4</v>
      </c>
      <c r="E711" s="23" t="n">
        <f aca="false">дома!O1698</f>
        <v>550</v>
      </c>
      <c r="F711" s="23"/>
      <c r="G711" s="122" t="n">
        <f aca="false">IF(F711&gt;0,D711*F711,E711*D711)</f>
        <v>12870</v>
      </c>
      <c r="H711" s="23" t="n">
        <f aca="false">D711*E711*$H$666</f>
        <v>12870</v>
      </c>
      <c r="I711" s="2718" t="n">
        <f aca="false">IF(G711&gt;H711,G711,H711)*$H$666</f>
        <v>12870</v>
      </c>
    </row>
    <row r="712" s="2712" customFormat="true" ht="15.5" hidden="false" customHeight="false" outlineLevel="0" collapsed="false">
      <c r="A712" s="2719"/>
      <c r="B712" s="639" t="str">
        <f aca="false">дома!L1699</f>
        <v>Армирование сейсмопояса</v>
      </c>
      <c r="C712" s="238" t="s">
        <v>133</v>
      </c>
      <c r="D712" s="245" t="n">
        <f aca="false">дома!N1699</f>
        <v>55.44</v>
      </c>
      <c r="E712" s="23" t="n">
        <f aca="false">дома!O1699</f>
        <v>500</v>
      </c>
      <c r="F712" s="23"/>
      <c r="G712" s="122" t="n">
        <f aca="false">IF(F712&gt;0,D712*F712,E712*D712)</f>
        <v>27720</v>
      </c>
      <c r="H712" s="23" t="n">
        <f aca="false">D712*E712*$H$666</f>
        <v>27720</v>
      </c>
      <c r="I712" s="2718" t="n">
        <f aca="false">IF(G712&gt;H712,G712,H712)*$H$666</f>
        <v>27720</v>
      </c>
    </row>
    <row r="713" s="2712" customFormat="true" ht="15.5" hidden="false" customHeight="false" outlineLevel="0" collapsed="false">
      <c r="A713" s="2719"/>
      <c r="B713" s="639" t="str">
        <f aca="false">дома!L1700</f>
        <v>Заливка бетоном сейсмопояса</v>
      </c>
      <c r="C713" s="238" t="s">
        <v>135</v>
      </c>
      <c r="D713" s="245" t="n">
        <f aca="false">дома!N1700</f>
        <v>1.638</v>
      </c>
      <c r="E713" s="23" t="n">
        <f aca="false">дома!O1700</f>
        <v>700</v>
      </c>
      <c r="F713" s="23"/>
      <c r="G713" s="122" t="n">
        <f aca="false">IF(F713&gt;0,D713*F713,E713*D713)</f>
        <v>1146.6</v>
      </c>
      <c r="H713" s="23" t="n">
        <f aca="false">D713*E713*$H$666</f>
        <v>1146.6</v>
      </c>
      <c r="I713" s="2718" t="n">
        <f aca="false">IF(G713&gt;H713,G713,H713)*$H$666</f>
        <v>1146.6</v>
      </c>
    </row>
    <row r="714" s="2712" customFormat="true" ht="15.5" hidden="false" customHeight="false" outlineLevel="0" collapsed="false">
      <c r="A714" s="2719"/>
      <c r="B714" s="639" t="str">
        <f aca="false">дома!L1701</f>
        <v>утепление стен снаружи дома</v>
      </c>
      <c r="C714" s="238" t="s">
        <v>133</v>
      </c>
      <c r="D714" s="245" t="n">
        <f aca="false">дома!N1701</f>
        <v>0</v>
      </c>
      <c r="E714" s="23" t="n">
        <f aca="false">дома!O1701</f>
        <v>350</v>
      </c>
      <c r="F714" s="23"/>
      <c r="G714" s="122" t="n">
        <f aca="false">IF(F714&gt;0,D714*F714,E714*D714)</f>
        <v>0</v>
      </c>
      <c r="H714" s="23" t="n">
        <f aca="false">D714*E714*$H$666</f>
        <v>0</v>
      </c>
      <c r="I714" s="2718" t="n">
        <f aca="false">IF(G714&gt;H714,G714,H714)*$H$666</f>
        <v>0</v>
      </c>
    </row>
    <row r="715" s="2712" customFormat="true" ht="15.5" hidden="false" customHeight="false" outlineLevel="0" collapsed="false">
      <c r="A715" s="2719"/>
      <c r="B715" s="639" t="str">
        <f aca="false">дома!L1702</f>
        <v>монтаж ветроизоляции стен</v>
      </c>
      <c r="C715" s="238" t="s">
        <v>133</v>
      </c>
      <c r="D715" s="245" t="n">
        <f aca="false">дома!N1702</f>
        <v>0</v>
      </c>
      <c r="E715" s="23" t="n">
        <f aca="false">дома!O1702</f>
        <v>100</v>
      </c>
      <c r="F715" s="23"/>
      <c r="G715" s="122" t="n">
        <f aca="false">IF(F715&gt;0,D715*F715,E715*D715)</f>
        <v>0</v>
      </c>
      <c r="H715" s="23" t="n">
        <f aca="false">D715*E715*$H$666</f>
        <v>0</v>
      </c>
      <c r="I715" s="2718" t="n">
        <f aca="false">IF(G715&gt;H715,G715,H715)*$H$666</f>
        <v>0</v>
      </c>
    </row>
    <row r="716" s="2712" customFormat="true" ht="15.5" hidden="false" customHeight="false" outlineLevel="0" collapsed="false">
      <c r="A716" s="2719"/>
      <c r="B716" s="639" t="str">
        <f aca="false">дома!L1703</f>
        <v>изготовление и монтаж перемычек для окон и дверей</v>
      </c>
      <c r="C716" s="238" t="s">
        <v>156</v>
      </c>
      <c r="D716" s="245" t="n">
        <f aca="false">дома!N1703</f>
        <v>1</v>
      </c>
      <c r="E716" s="23" t="n">
        <f aca="false">дома!O1703</f>
        <v>500</v>
      </c>
      <c r="F716" s="23"/>
      <c r="G716" s="122" t="n">
        <f aca="false">IF(F716&gt;0,D716*F716,E716*D716)</f>
        <v>500</v>
      </c>
      <c r="H716" s="23" t="n">
        <f aca="false">D716*E716*$H$666</f>
        <v>500</v>
      </c>
      <c r="I716" s="2718" t="n">
        <f aca="false">IF(G716&gt;H716,G716,H716)*$H$666</f>
        <v>500</v>
      </c>
    </row>
    <row r="717" s="2712" customFormat="true" ht="15.5" hidden="false" customHeight="false" outlineLevel="0" collapsed="false">
      <c r="B717" s="2812" t="s">
        <v>4657</v>
      </c>
      <c r="C717" s="2812"/>
      <c r="D717" s="2812"/>
      <c r="E717" s="2812"/>
      <c r="F717" s="2813"/>
      <c r="G717" s="23" t="n">
        <f aca="false">SUM(G710:G716)*H709</f>
        <v>247133.6</v>
      </c>
      <c r="H717" s="23" t="n">
        <f aca="false">SUM(H710:H716)</f>
        <v>247133.6</v>
      </c>
      <c r="I717" s="2718" t="n">
        <f aca="false">IF(G717&gt;H717,G717,H717)*$H$666</f>
        <v>247133.6</v>
      </c>
    </row>
    <row r="718" s="878" customFormat="true" ht="21" hidden="false" customHeight="false" outlineLevel="0" collapsed="false">
      <c r="A718" s="2753"/>
      <c r="B718" s="2769" t="s">
        <v>4308</v>
      </c>
      <c r="C718" s="2769"/>
      <c r="D718" s="2769"/>
      <c r="E718" s="2769"/>
      <c r="F718" s="2769"/>
      <c r="G718" s="905"/>
      <c r="H718" s="2770" t="n">
        <f aca="false">IF('Ввод данных'!$A$8=связи1!A156,1,0)+IF('Ввод данных'!$A$8=связи1!A163,1,0)+IF('Ввод данных'!$A$8=связи1!A171,1,0)+IF('Ввод данных'!$A$8=связи1!A180,1,0)+IF('Ввод данных'!$A$8=связи1!A185,1,0)</f>
        <v>0</v>
      </c>
      <c r="I718" s="2757" t="n">
        <f aca="false">H718</f>
        <v>0</v>
      </c>
      <c r="N718" s="2752"/>
      <c r="O718" s="2752"/>
      <c r="P718" s="2752"/>
      <c r="Q718" s="2752"/>
      <c r="R718" s="2752"/>
      <c r="S718" s="2752"/>
      <c r="T718" s="2752"/>
      <c r="U718" s="2752"/>
      <c r="V718" s="2752"/>
      <c r="W718" s="2752"/>
      <c r="X718" s="2752"/>
      <c r="Y718" s="2752"/>
      <c r="Z718" s="2752"/>
      <c r="AA718" s="2752"/>
      <c r="AB718" s="2752"/>
      <c r="AC718" s="2752"/>
      <c r="AD718" s="2752"/>
      <c r="AE718" s="2752"/>
      <c r="AF718" s="2752"/>
      <c r="AG718" s="2752"/>
    </row>
    <row r="719" customFormat="false" ht="15.5" hidden="false" customHeight="false" outlineLevel="0" collapsed="false">
      <c r="A719" s="2719"/>
      <c r="B719" s="2775" t="s">
        <v>2720</v>
      </c>
      <c r="C719" s="2775"/>
      <c r="D719" s="2775"/>
      <c r="E719" s="2775"/>
      <c r="F719" s="2775"/>
      <c r="G719" s="905"/>
      <c r="H719" s="2776" t="n">
        <f aca="false">H718</f>
        <v>0</v>
      </c>
      <c r="I719" s="2757" t="n">
        <f aca="false">H719</f>
        <v>0</v>
      </c>
      <c r="J719" s="2732"/>
      <c r="K719" s="2733"/>
    </row>
    <row r="720" customFormat="false" ht="15.5" hidden="false" customHeight="false" outlineLevel="0" collapsed="false">
      <c r="A720" s="2719"/>
      <c r="B720" s="639" t="str">
        <f aca="false">дома!A1786</f>
        <v>Листв. влаж, 200*200мм</v>
      </c>
      <c r="C720" s="238" t="str">
        <f aca="false">дома!B1786</f>
        <v>м3</v>
      </c>
      <c r="D720" s="245" t="n">
        <f aca="false">дома!C1786</f>
        <v>2.552</v>
      </c>
      <c r="E720" s="23" t="n">
        <f aca="false">дома!D1786</f>
        <v>9000</v>
      </c>
      <c r="F720" s="23"/>
      <c r="G720" s="122" t="n">
        <f aca="false">IF(F720&gt;0,D720*F720,E720*D720)</f>
        <v>22968</v>
      </c>
      <c r="H720" s="23" t="n">
        <f aca="false">D720*E720*$H$718</f>
        <v>0</v>
      </c>
      <c r="I720" s="2784" t="n">
        <f aca="false">IF(G720&gt;H720,G720,H720)*$H$718</f>
        <v>0</v>
      </c>
      <c r="J720" s="2744"/>
      <c r="K720" s="226" t="n">
        <f aca="false">D720-J720</f>
        <v>2.552</v>
      </c>
      <c r="L720" s="2736"/>
    </row>
    <row r="721" customFormat="false" ht="15.5" hidden="false" customHeight="false" outlineLevel="0" collapsed="false">
      <c r="A721" s="2719"/>
      <c r="B721" s="639" t="str">
        <f aca="false">дома!A1787</f>
        <v>Сосна влаж, 200*200мм</v>
      </c>
      <c r="C721" s="238" t="str">
        <f aca="false">дома!B1787</f>
        <v>м3</v>
      </c>
      <c r="D721" s="245" t="n">
        <f aca="false">дома!C1787</f>
        <v>22.9504</v>
      </c>
      <c r="E721" s="23" t="n">
        <f aca="false">дома!D1787</f>
        <v>6500</v>
      </c>
      <c r="F721" s="23"/>
      <c r="G721" s="122" t="n">
        <f aca="false">IF(F721&gt;0,D721*F721,E721*D721)</f>
        <v>149177.6</v>
      </c>
      <c r="H721" s="23" t="n">
        <f aca="false">D721*E721*$H$718</f>
        <v>0</v>
      </c>
      <c r="I721" s="2784" t="n">
        <f aca="false">IF(G721&gt;H721,G721,H721)*$H$718</f>
        <v>0</v>
      </c>
      <c r="J721" s="2744"/>
      <c r="K721" s="226" t="n">
        <f aca="false">D721-J721</f>
        <v>22.9504</v>
      </c>
      <c r="L721" s="2736"/>
    </row>
    <row r="722" customFormat="false" ht="15.5" hidden="false" customHeight="false" outlineLevel="0" collapsed="false">
      <c r="A722" s="2719"/>
      <c r="B722" s="639" t="str">
        <f aca="false">дома!A1788</f>
        <v>Сосна влаж, 200*150мм</v>
      </c>
      <c r="C722" s="238" t="str">
        <f aca="false">дома!B1788</f>
        <v>м3</v>
      </c>
      <c r="D722" s="245" t="n">
        <f aca="false">дома!C1788</f>
        <v>0</v>
      </c>
      <c r="E722" s="23" t="n">
        <f aca="false">дома!D1788</f>
        <v>6500</v>
      </c>
      <c r="F722" s="23"/>
      <c r="G722" s="122" t="n">
        <f aca="false">IF(F722&gt;0,D722*F722,E722*D722)</f>
        <v>0</v>
      </c>
      <c r="H722" s="23" t="n">
        <f aca="false">D722*E722*$H$718</f>
        <v>0</v>
      </c>
      <c r="I722" s="2784" t="n">
        <f aca="false">IF(G722&gt;H722,G722,H722)*$H$718</f>
        <v>0</v>
      </c>
      <c r="J722" s="2744"/>
      <c r="K722" s="226" t="n">
        <f aca="false">D722-J722</f>
        <v>0</v>
      </c>
      <c r="L722" s="2736"/>
    </row>
    <row r="723" customFormat="false" ht="15.5" hidden="false" customHeight="false" outlineLevel="0" collapsed="false">
      <c r="A723" s="2719"/>
      <c r="B723" s="639" t="str">
        <f aca="false">дома!A1789</f>
        <v>Сосна влаж, 200*100мм</v>
      </c>
      <c r="C723" s="238" t="str">
        <f aca="false">дома!B1789</f>
        <v>м2</v>
      </c>
      <c r="D723" s="245" t="n">
        <f aca="false">дома!C1789</f>
        <v>0</v>
      </c>
      <c r="E723" s="23" t="n">
        <f aca="false">дома!D1789</f>
        <v>6500</v>
      </c>
      <c r="F723" s="23"/>
      <c r="G723" s="122" t="n">
        <f aca="false">IF(F723&gt;0,D723*F723,E723*D723)</f>
        <v>0</v>
      </c>
      <c r="H723" s="23" t="n">
        <f aca="false">D723*E723*$H$718</f>
        <v>0</v>
      </c>
      <c r="I723" s="2784" t="n">
        <f aca="false">IF(G723&gt;H723,G723,H723)*$H$718</f>
        <v>0</v>
      </c>
      <c r="J723" s="2744"/>
      <c r="K723" s="226" t="n">
        <f aca="false">D723-J723</f>
        <v>0</v>
      </c>
      <c r="L723" s="2736"/>
    </row>
    <row r="724" customFormat="false" ht="15.5" hidden="false" customHeight="false" outlineLevel="0" collapsed="false">
      <c r="A724" s="2719"/>
      <c r="B724" s="639" t="str">
        <f aca="false">дома!A1790</f>
        <v>Шкант</v>
      </c>
      <c r="C724" s="238" t="str">
        <f aca="false">дома!B1790</f>
        <v>шт</v>
      </c>
      <c r="D724" s="245" t="n">
        <f aca="false">дома!C1790</f>
        <v>562</v>
      </c>
      <c r="E724" s="23" t="n">
        <f aca="false">дома!D1790</f>
        <v>6</v>
      </c>
      <c r="F724" s="23"/>
      <c r="G724" s="122" t="n">
        <f aca="false">IF(F724&gt;0,D724*F724,E724*D724)</f>
        <v>3372</v>
      </c>
      <c r="H724" s="23" t="n">
        <f aca="false">D724*E724*$H$718</f>
        <v>0</v>
      </c>
      <c r="I724" s="2784" t="n">
        <f aca="false">IF(G724&gt;H724,G724,H724)*$H$718</f>
        <v>0</v>
      </c>
      <c r="J724" s="2744"/>
      <c r="K724" s="226" t="n">
        <f aca="false">D724-J724</f>
        <v>562</v>
      </c>
      <c r="L724" s="2736"/>
    </row>
    <row r="725" customFormat="false" ht="15.5" hidden="false" customHeight="false" outlineLevel="0" collapsed="false">
      <c r="A725" s="2719"/>
      <c r="B725" s="639" t="str">
        <f aca="false">дома!A1791</f>
        <v>Лен-джут 200х5х20000 мм</v>
      </c>
      <c r="C725" s="238" t="str">
        <f aca="false">дома!B1791</f>
        <v>шт</v>
      </c>
      <c r="D725" s="245" t="n">
        <f aca="false">дома!C1791</f>
        <v>0</v>
      </c>
      <c r="E725" s="23" t="n">
        <f aca="false">дома!D1791</f>
        <v>175</v>
      </c>
      <c r="F725" s="23"/>
      <c r="G725" s="122" t="n">
        <f aca="false">IF(F725&gt;0,D725*F725,E725*D725)</f>
        <v>0</v>
      </c>
      <c r="H725" s="23" t="n">
        <f aca="false">D725*E725*$H$718</f>
        <v>0</v>
      </c>
      <c r="I725" s="2784" t="n">
        <f aca="false">IF(G725&gt;H725,G725,H725)*$H$718</f>
        <v>0</v>
      </c>
      <c r="J725" s="2744"/>
      <c r="K725" s="226" t="n">
        <f aca="false">D725-J725</f>
        <v>0</v>
      </c>
      <c r="L725" s="2736"/>
    </row>
    <row r="726" customFormat="false" ht="15.5" hidden="false" customHeight="false" outlineLevel="0" collapsed="false">
      <c r="A726" s="2719"/>
      <c r="B726" s="639" t="str">
        <f aca="false">дома!A1792</f>
        <v>Гвозди строительные 3,5 x 90</v>
      </c>
      <c r="C726" s="238" t="str">
        <f aca="false">дома!B1792</f>
        <v>шт</v>
      </c>
      <c r="D726" s="245" t="n">
        <f aca="false">дома!C1792</f>
        <v>4.4</v>
      </c>
      <c r="E726" s="23" t="n">
        <f aca="false">дома!D1792</f>
        <v>70</v>
      </c>
      <c r="F726" s="23"/>
      <c r="G726" s="122" t="n">
        <f aca="false">IF(F726&gt;0,D726*F726,E726*D726)</f>
        <v>308</v>
      </c>
      <c r="H726" s="23" t="n">
        <f aca="false">D726*E726*$H$718</f>
        <v>0</v>
      </c>
      <c r="I726" s="2784" t="n">
        <f aca="false">IF(G726&gt;H726,G726,H726)*$H$718</f>
        <v>0</v>
      </c>
      <c r="J726" s="2744"/>
      <c r="K726" s="226" t="n">
        <f aca="false">D726-J726</f>
        <v>4.4</v>
      </c>
      <c r="L726" s="2736"/>
    </row>
    <row r="727" customFormat="false" ht="15.5" hidden="false" customHeight="false" outlineLevel="0" collapsed="false">
      <c r="A727" s="2719"/>
      <c r="B727" s="639" t="str">
        <f aca="false">дома!A1793</f>
        <v>нет</v>
      </c>
      <c r="C727" s="238" t="str">
        <f aca="false">дома!B1793</f>
        <v>м3</v>
      </c>
      <c r="D727" s="245" t="n">
        <f aca="false">дома!C1793</f>
        <v>0</v>
      </c>
      <c r="E727" s="23" t="n">
        <f aca="false">дома!D1793</f>
        <v>0</v>
      </c>
      <c r="F727" s="23"/>
      <c r="G727" s="122" t="n">
        <f aca="false">IF(F727&gt;0,D727*F727,E727*D727)</f>
        <v>0</v>
      </c>
      <c r="H727" s="23" t="n">
        <f aca="false">D727*E727*$H$718</f>
        <v>0</v>
      </c>
      <c r="I727" s="2784" t="n">
        <f aca="false">IF(G727&gt;H727,G727,H727)*$H$718</f>
        <v>0</v>
      </c>
      <c r="J727" s="2744"/>
      <c r="K727" s="226" t="n">
        <f aca="false">D727-J727</f>
        <v>0</v>
      </c>
      <c r="L727" s="2736"/>
    </row>
    <row r="728" customFormat="false" ht="15.5" hidden="false" customHeight="false" outlineLevel="0" collapsed="false">
      <c r="A728" s="2719"/>
      <c r="B728" s="639" t="str">
        <f aca="false">дома!A1794</f>
        <v>Доска сухая, 100*50мм</v>
      </c>
      <c r="C728" s="238" t="str">
        <f aca="false">дома!B1794</f>
        <v>м3</v>
      </c>
      <c r="D728" s="245" t="n">
        <f aca="false">дома!C1794</f>
        <v>0</v>
      </c>
      <c r="E728" s="23" t="n">
        <f aca="false">дома!D1794</f>
        <v>9000</v>
      </c>
      <c r="F728" s="23"/>
      <c r="G728" s="122" t="n">
        <f aca="false">IF(F728&gt;0,D728*F728,E728*D728)</f>
        <v>0</v>
      </c>
      <c r="H728" s="23" t="n">
        <f aca="false">D728*E728*$H$718</f>
        <v>0</v>
      </c>
      <c r="I728" s="2784" t="n">
        <f aca="false">IF(G728&gt;H728,G728,H728)*$H$718</f>
        <v>0</v>
      </c>
      <c r="J728" s="2744"/>
      <c r="K728" s="226" t="n">
        <f aca="false">D728-J728</f>
        <v>0</v>
      </c>
      <c r="L728" s="2736"/>
    </row>
    <row r="729" customFormat="false" ht="15.5" hidden="false" customHeight="false" outlineLevel="0" collapsed="false">
      <c r="A729" s="2719"/>
      <c r="B729" s="639" t="str">
        <f aca="false">дома!A1795</f>
        <v>Доска сухая калиброванная, 100*45мм</v>
      </c>
      <c r="C729" s="238" t="str">
        <f aca="false">дома!B1795</f>
        <v>м3</v>
      </c>
      <c r="D729" s="245" t="n">
        <f aca="false">дома!C1795</f>
        <v>0</v>
      </c>
      <c r="E729" s="23" t="n">
        <f aca="false">дома!D1795</f>
        <v>12500</v>
      </c>
      <c r="F729" s="23"/>
      <c r="G729" s="122" t="n">
        <f aca="false">IF(F729&gt;0,D729*F729,E729*D729)</f>
        <v>0</v>
      </c>
      <c r="H729" s="23" t="n">
        <f aca="false">D729*E729*$H$718</f>
        <v>0</v>
      </c>
      <c r="I729" s="2784" t="n">
        <f aca="false">IF(G729&gt;H729,G729,H729)*$H$718</f>
        <v>0</v>
      </c>
      <c r="J729" s="2744"/>
      <c r="K729" s="226" t="n">
        <f aca="false">D729-J729</f>
        <v>0</v>
      </c>
      <c r="L729" s="878"/>
      <c r="M729" s="878"/>
    </row>
    <row r="730" customFormat="false" ht="15.5" hidden="false" customHeight="false" outlineLevel="0" collapsed="false">
      <c r="A730" s="2719"/>
      <c r="B730" s="639" t="str">
        <f aca="false">дома!A1796</f>
        <v>Сосна влаж, 50*50мм</v>
      </c>
      <c r="C730" s="238" t="str">
        <f aca="false">дома!B1796</f>
        <v>м.п.</v>
      </c>
      <c r="D730" s="245" t="n">
        <f aca="false">дома!C1796</f>
        <v>0</v>
      </c>
      <c r="E730" s="23" t="n">
        <f aca="false">дома!D1796</f>
        <v>16.25</v>
      </c>
      <c r="F730" s="23"/>
      <c r="G730" s="122" t="n">
        <f aca="false">IF(F730&gt;0,D730*F730,E730*D730)</f>
        <v>0</v>
      </c>
      <c r="H730" s="23" t="n">
        <f aca="false">D730*E730*$H$718</f>
        <v>0</v>
      </c>
      <c r="I730" s="2784" t="n">
        <f aca="false">IF(G730&gt;H730,G730,H730)*$H$718</f>
        <v>0</v>
      </c>
      <c r="J730" s="2744"/>
      <c r="K730" s="226" t="n">
        <f aca="false">D730-J730</f>
        <v>0</v>
      </c>
      <c r="L730" s="878"/>
      <c r="M730" s="878"/>
    </row>
    <row r="731" customFormat="false" ht="15.5" hidden="false" customHeight="false" outlineLevel="0" collapsed="false">
      <c r="A731" s="2719"/>
      <c r="B731" s="639" t="str">
        <f aca="false">дома!A1797</f>
        <v>Бензин для пилы</v>
      </c>
      <c r="C731" s="238" t="str">
        <f aca="false">дома!B1797</f>
        <v>л</v>
      </c>
      <c r="D731" s="245" t="n">
        <f aca="false">дома!C1797</f>
        <v>4.67544</v>
      </c>
      <c r="E731" s="23" t="n">
        <f aca="false">дома!D1797</f>
        <v>40</v>
      </c>
      <c r="F731" s="23"/>
      <c r="G731" s="122" t="n">
        <f aca="false">IF(F731&gt;0,D731*F731,E731*D731)</f>
        <v>187.0176</v>
      </c>
      <c r="H731" s="23" t="n">
        <f aca="false">D731*E731*$H$718</f>
        <v>0</v>
      </c>
      <c r="I731" s="2784" t="n">
        <f aca="false">IF(G731&gt;H731,G731,H731)*$H$718</f>
        <v>0</v>
      </c>
      <c r="J731" s="2744"/>
      <c r="K731" s="226" t="n">
        <f aca="false">D731-J731</f>
        <v>4.67544</v>
      </c>
      <c r="L731" s="878"/>
      <c r="M731" s="878"/>
    </row>
    <row r="732" customFormat="false" ht="15.5" hidden="false" customHeight="false" outlineLevel="0" collapsed="false">
      <c r="A732" s="2719"/>
      <c r="B732" s="639" t="str">
        <f aca="false">дома!A1798</f>
        <v>Масло для пилы</v>
      </c>
      <c r="C732" s="238" t="str">
        <f aca="false">дома!B1798</f>
        <v>л</v>
      </c>
      <c r="D732" s="245" t="n">
        <f aca="false">дома!C1798</f>
        <v>0.5142984</v>
      </c>
      <c r="E732" s="23" t="n">
        <f aca="false">дома!D1798</f>
        <v>250</v>
      </c>
      <c r="F732" s="23"/>
      <c r="G732" s="122" t="n">
        <f aca="false">IF(F732&gt;0,D732*F732,E732*D732)</f>
        <v>128.5746</v>
      </c>
      <c r="H732" s="23" t="n">
        <f aca="false">D732*E732*$H$718</f>
        <v>0</v>
      </c>
      <c r="I732" s="2784" t="n">
        <f aca="false">IF(G732&gt;H732,G732,H732)*$H$718</f>
        <v>0</v>
      </c>
      <c r="J732" s="2744"/>
      <c r="K732" s="226" t="n">
        <f aca="false">D732-J732</f>
        <v>0.5142984</v>
      </c>
      <c r="L732" s="878"/>
      <c r="M732" s="878"/>
    </row>
    <row r="733" customFormat="false" ht="15.5" hidden="false" customHeight="false" outlineLevel="0" collapsed="false">
      <c r="A733" s="2719"/>
      <c r="B733" s="639" t="str">
        <f aca="false">дома!A1799</f>
        <v>Цепь для пилы</v>
      </c>
      <c r="C733" s="238" t="s">
        <v>159</v>
      </c>
      <c r="D733" s="245" t="n">
        <f aca="false">дома!C1799</f>
        <v>2.2</v>
      </c>
      <c r="E733" s="23" t="n">
        <f aca="false">дома!D1799</f>
        <v>800</v>
      </c>
      <c r="F733" s="23"/>
      <c r="G733" s="122" t="n">
        <f aca="false">IF(F733&gt;0,D733*F733,E733*D733)</f>
        <v>1760</v>
      </c>
      <c r="H733" s="23" t="n">
        <f aca="false">D733*E733*$H$718</f>
        <v>0</v>
      </c>
      <c r="I733" s="2784" t="n">
        <f aca="false">IF(G733&gt;H733,G733,H733)*$H$718</f>
        <v>0</v>
      </c>
      <c r="J733" s="2744"/>
      <c r="K733" s="226" t="n">
        <f aca="false">D733-J733</f>
        <v>2.2</v>
      </c>
      <c r="L733" s="878"/>
      <c r="M733" s="878"/>
    </row>
    <row r="734" customFormat="false" ht="15.5" hidden="false" customHeight="false" outlineLevel="0" collapsed="false">
      <c r="A734" s="2719"/>
      <c r="B734" s="639" t="str">
        <f aca="false">дома!A1800</f>
        <v>"Профилюкс" Антисептик АНТИПЛЕСЕНЬ</v>
      </c>
      <c r="C734" s="238" t="str">
        <f aca="false">дома!B1800</f>
        <v>л</v>
      </c>
      <c r="D734" s="245" t="n">
        <f aca="false">дома!C1800</f>
        <v>0</v>
      </c>
      <c r="E734" s="23" t="n">
        <f aca="false">дома!D1800</f>
        <v>108</v>
      </c>
      <c r="F734" s="23"/>
      <c r="G734" s="122" t="n">
        <f aca="false">IF(F734&gt;0,D734*F734,E734*D734)</f>
        <v>0</v>
      </c>
      <c r="H734" s="23" t="n">
        <f aca="false">D734*E734*$H$718</f>
        <v>0</v>
      </c>
      <c r="I734" s="2784" t="n">
        <f aca="false">IF(G734&gt;H734,G734,H734)*$H$718</f>
        <v>0</v>
      </c>
      <c r="J734" s="2744"/>
      <c r="K734" s="226" t="n">
        <f aca="false">D734-J734</f>
        <v>0</v>
      </c>
      <c r="L734" s="878"/>
      <c r="M734" s="878"/>
    </row>
    <row r="735" customFormat="false" ht="15.5" hidden="false" customHeight="false" outlineLevel="0" collapsed="false">
      <c r="A735" s="2719"/>
      <c r="B735" s="639" t="str">
        <f aca="false">дома!A1801</f>
        <v>"Тонерол" Антисептик  бесцветный  1л</v>
      </c>
      <c r="C735" s="238" t="str">
        <f aca="false">дома!B1801</f>
        <v>л</v>
      </c>
      <c r="D735" s="245" t="n">
        <f aca="false">дома!C1801</f>
        <v>0</v>
      </c>
      <c r="E735" s="23" t="n">
        <f aca="false">дома!D1801</f>
        <v>305</v>
      </c>
      <c r="F735" s="23"/>
      <c r="G735" s="122" t="n">
        <f aca="false">IF(F735&gt;0,D735*F735,E735*D735)</f>
        <v>0</v>
      </c>
      <c r="H735" s="23" t="n">
        <f aca="false">D735*E735*$H$718</f>
        <v>0</v>
      </c>
      <c r="I735" s="2784" t="n">
        <f aca="false">IF(G735&gt;H735,G735,H735)*$H$718</f>
        <v>0</v>
      </c>
      <c r="J735" s="2744"/>
      <c r="K735" s="226" t="n">
        <f aca="false">D735-J735</f>
        <v>0</v>
      </c>
      <c r="L735" s="878"/>
      <c r="M735" s="878"/>
    </row>
    <row r="736" customFormat="false" ht="15.5" hidden="false" customHeight="false" outlineLevel="0" collapsed="false">
      <c r="A736" s="2719"/>
      <c r="B736" s="639" t="str">
        <f aca="false">дома!A1802</f>
        <v>"Тонерол" Антисептик  махагон  1л</v>
      </c>
      <c r="C736" s="238" t="str">
        <f aca="false">дома!B1802</f>
        <v>л</v>
      </c>
      <c r="D736" s="245" t="n">
        <f aca="false">дома!C1802</f>
        <v>0</v>
      </c>
      <c r="E736" s="23" t="n">
        <f aca="false">дома!D1802</f>
        <v>305</v>
      </c>
      <c r="F736" s="23"/>
      <c r="G736" s="122" t="n">
        <f aca="false">IF(F736&gt;0,D736*F736,E736*D736)</f>
        <v>0</v>
      </c>
      <c r="H736" s="23" t="n">
        <f aca="false">D736*E736*$H$718</f>
        <v>0</v>
      </c>
      <c r="I736" s="2784" t="n">
        <f aca="false">IF(G736&gt;H736,G736,H736)*$H$718</f>
        <v>0</v>
      </c>
      <c r="J736" s="2744"/>
      <c r="K736" s="226" t="n">
        <f aca="false">D736-J736</f>
        <v>0</v>
      </c>
      <c r="L736" s="878"/>
      <c r="M736" s="878"/>
    </row>
    <row r="737" customFormat="false" ht="15.5" hidden="false" customHeight="false" outlineLevel="0" collapsed="false">
      <c r="A737" s="2719"/>
      <c r="B737" s="639" t="str">
        <f aca="false">дома!A1803</f>
        <v>Нет наличника</v>
      </c>
      <c r="C737" s="238" t="str">
        <f aca="false">дома!B1803</f>
        <v>м.п.</v>
      </c>
      <c r="D737" s="245" t="n">
        <f aca="false">дома!C1803</f>
        <v>3.57</v>
      </c>
      <c r="E737" s="23" t="n">
        <f aca="false">дома!D1803</f>
        <v>0</v>
      </c>
      <c r="F737" s="23"/>
      <c r="G737" s="122" t="n">
        <f aca="false">IF(F737&gt;0,D737*F737,E737*D737)</f>
        <v>0</v>
      </c>
      <c r="H737" s="23" t="n">
        <f aca="false">D737*E737*$H$718</f>
        <v>0</v>
      </c>
      <c r="I737" s="2784" t="n">
        <f aca="false">IF(G737&gt;H737,G737,H737)*$H$718</f>
        <v>0</v>
      </c>
      <c r="J737" s="2744"/>
      <c r="K737" s="226" t="n">
        <f aca="false">D737-J737</f>
        <v>3.57</v>
      </c>
      <c r="L737" s="878"/>
      <c r="M737" s="878"/>
    </row>
    <row r="738" customFormat="false" ht="15.5" hidden="false" customHeight="false" outlineLevel="0" collapsed="false">
      <c r="A738" s="2719"/>
      <c r="B738" s="639" t="str">
        <f aca="false">дома!A1804</f>
        <v>Нет наличника</v>
      </c>
      <c r="C738" s="238" t="str">
        <f aca="false">дома!B1804</f>
        <v>м.п.</v>
      </c>
      <c r="D738" s="245" t="n">
        <f aca="false">дома!C1804</f>
        <v>3.57</v>
      </c>
      <c r="E738" s="23" t="n">
        <f aca="false">дома!D1804</f>
        <v>0</v>
      </c>
      <c r="F738" s="23"/>
      <c r="G738" s="122" t="n">
        <f aca="false">IF(F738&gt;0,D738*F738,E738*D738)</f>
        <v>0</v>
      </c>
      <c r="H738" s="23" t="n">
        <f aca="false">D738*E738*$H$718</f>
        <v>0</v>
      </c>
      <c r="I738" s="2784" t="n">
        <f aca="false">IF(G738&gt;H738,G738,H738)*$H$718</f>
        <v>0</v>
      </c>
      <c r="J738" s="2744"/>
      <c r="K738" s="226" t="n">
        <f aca="false">D738-J738</f>
        <v>3.57</v>
      </c>
      <c r="L738" s="878"/>
      <c r="M738" s="878"/>
    </row>
    <row r="739" customFormat="false" ht="15.5" hidden="false" customHeight="false" outlineLevel="0" collapsed="false">
      <c r="A739" s="2719"/>
      <c r="B739" s="639" t="str">
        <f aca="false">дома!A1805</f>
        <v>Бумага наждачная № 63 F(30)</v>
      </c>
      <c r="C739" s="238" t="str">
        <f aca="false">дома!B1805</f>
        <v>м</v>
      </c>
      <c r="D739" s="245" t="n">
        <f aca="false">дома!C1805</f>
        <v>5</v>
      </c>
      <c r="E739" s="23" t="n">
        <f aca="false">дома!D1805</f>
        <v>291</v>
      </c>
      <c r="F739" s="23"/>
      <c r="G739" s="122" t="n">
        <f aca="false">IF(F739&gt;0,D739*F739,E739*D739)</f>
        <v>1455</v>
      </c>
      <c r="H739" s="23" t="n">
        <f aca="false">D739*E739*$H$718</f>
        <v>0</v>
      </c>
      <c r="I739" s="2784" t="n">
        <f aca="false">IF(G739&gt;H739,G739,H739)*$H$718</f>
        <v>0</v>
      </c>
      <c r="J739" s="2744"/>
      <c r="K739" s="226" t="n">
        <f aca="false">D739-J739</f>
        <v>5</v>
      </c>
      <c r="L739" s="878"/>
      <c r="M739" s="878"/>
    </row>
    <row r="740" customFormat="false" ht="15.5" hidden="false" customHeight="false" outlineLevel="0" collapsed="false">
      <c r="A740" s="2719"/>
      <c r="B740" s="639" t="str">
        <f aca="false">дома!A1806</f>
        <v>Нет наждачной бумаги</v>
      </c>
      <c r="C740" s="238" t="str">
        <f aca="false">дома!B1806</f>
        <v>м</v>
      </c>
      <c r="D740" s="245" t="n">
        <f aca="false">дома!C1806</f>
        <v>0</v>
      </c>
      <c r="E740" s="23" t="n">
        <f aca="false">дома!D1806</f>
        <v>0</v>
      </c>
      <c r="F740" s="23"/>
      <c r="G740" s="122" t="n">
        <f aca="false">IF(F740&gt;0,D740*F740,E740*D740)</f>
        <v>0</v>
      </c>
      <c r="H740" s="23" t="n">
        <f aca="false">D740*E740*$H$718</f>
        <v>0</v>
      </c>
      <c r="I740" s="2784" t="n">
        <f aca="false">IF(G740&gt;H740,G740,H740)*$H$718</f>
        <v>0</v>
      </c>
      <c r="J740" s="2744"/>
      <c r="K740" s="226" t="n">
        <f aca="false">D740-J740</f>
        <v>0</v>
      </c>
      <c r="L740" s="878"/>
      <c r="M740" s="878"/>
    </row>
    <row r="741" customFormat="false" ht="15.5" hidden="false" customHeight="false" outlineLevel="0" collapsed="false">
      <c r="A741" s="2719"/>
      <c r="B741" s="639" t="str">
        <f aca="false">дома!A1807</f>
        <v>Бумага наждачная № 63 F(30)</v>
      </c>
      <c r="C741" s="238" t="str">
        <f aca="false">дома!B1807</f>
        <v>м</v>
      </c>
      <c r="D741" s="245" t="n">
        <f aca="false">дома!C1807</f>
        <v>0</v>
      </c>
      <c r="E741" s="23" t="n">
        <f aca="false">дома!D1807</f>
        <v>291</v>
      </c>
      <c r="F741" s="23"/>
      <c r="G741" s="122" t="n">
        <f aca="false">IF(F741&gt;0,D741*F741,E741*D741)</f>
        <v>0</v>
      </c>
      <c r="H741" s="23" t="n">
        <f aca="false">D741*E741*$H$718</f>
        <v>0</v>
      </c>
      <c r="I741" s="2784" t="n">
        <f aca="false">IF(G741&gt;H741,G741,H741)*$H$718</f>
        <v>0</v>
      </c>
      <c r="J741" s="2744"/>
      <c r="K741" s="226" t="n">
        <f aca="false">D741-J741</f>
        <v>0</v>
      </c>
      <c r="L741" s="878"/>
      <c r="M741" s="878"/>
    </row>
    <row r="742" customFormat="false" ht="15.5" hidden="false" customHeight="false" outlineLevel="0" collapsed="false">
      <c r="A742" s="2719"/>
      <c r="B742" s="639" t="str">
        <f aca="false">дома!A1808</f>
        <v>Бумага наждачная № 40</v>
      </c>
      <c r="C742" s="238" t="str">
        <f aca="false">дома!B1808</f>
        <v>м</v>
      </c>
      <c r="D742" s="245" t="n">
        <f aca="false">дома!C1808</f>
        <v>0</v>
      </c>
      <c r="E742" s="23" t="n">
        <f aca="false">дома!D1808</f>
        <v>240</v>
      </c>
      <c r="F742" s="23"/>
      <c r="G742" s="122" t="n">
        <f aca="false">IF(F742&gt;0,D742*F742,E742*D742)</f>
        <v>0</v>
      </c>
      <c r="H742" s="23" t="n">
        <f aca="false">D742*E742*$H$718</f>
        <v>0</v>
      </c>
      <c r="I742" s="2784" t="n">
        <f aca="false">IF(G742&gt;H742,G742,H742)*$H$718</f>
        <v>0</v>
      </c>
      <c r="J742" s="2744"/>
      <c r="K742" s="226" t="n">
        <f aca="false">D742-J742</f>
        <v>0</v>
      </c>
      <c r="L742" s="878"/>
      <c r="M742" s="878"/>
    </row>
    <row r="743" customFormat="false" ht="15.5" hidden="false" customHeight="false" outlineLevel="0" collapsed="false">
      <c r="A743" s="2719"/>
      <c r="B743" s="23" t="s">
        <v>4656</v>
      </c>
      <c r="C743" s="23"/>
      <c r="D743" s="23"/>
      <c r="E743" s="23"/>
      <c r="F743" s="2815"/>
      <c r="G743" s="23" t="n">
        <f aca="false">SUM(G720:G742)*H718</f>
        <v>0</v>
      </c>
      <c r="H743" s="23" t="n">
        <f aca="false">SUM(H720:H742)</f>
        <v>0</v>
      </c>
      <c r="I743" s="2784" t="n">
        <f aca="false">IF(G743&gt;H743,G743,H743)*$H$718</f>
        <v>0</v>
      </c>
      <c r="J743" s="2744"/>
      <c r="K743" s="226" t="n">
        <f aca="false">D743-J743</f>
        <v>0</v>
      </c>
      <c r="L743" s="2736"/>
    </row>
    <row r="744" customFormat="false" ht="15.5" hidden="false" customHeight="false" outlineLevel="0" collapsed="false">
      <c r="A744" s="2719"/>
      <c r="B744" s="2750" t="s">
        <v>1409</v>
      </c>
      <c r="C744" s="2750"/>
      <c r="D744" s="2750"/>
      <c r="E744" s="2750"/>
      <c r="F744" s="2814"/>
      <c r="G744" s="905"/>
      <c r="H744" s="2766" t="n">
        <f aca="false">H718</f>
        <v>0</v>
      </c>
      <c r="I744" s="2757" t="n">
        <f aca="false">H744</f>
        <v>0</v>
      </c>
      <c r="J744" s="2752"/>
      <c r="K744" s="2753"/>
    </row>
    <row r="745" customFormat="false" ht="15.5" hidden="false" customHeight="false" outlineLevel="0" collapsed="false">
      <c r="A745" s="2719"/>
      <c r="B745" s="639" t="str">
        <f aca="false">дома!G1786</f>
        <v>кладка бруса</v>
      </c>
      <c r="C745" s="238" t="s">
        <v>135</v>
      </c>
      <c r="D745" s="245" t="n">
        <f aca="false">дома!J1786</f>
        <v>25.5024</v>
      </c>
      <c r="E745" s="23" t="n">
        <f aca="false">дома!K1786</f>
        <v>4000</v>
      </c>
      <c r="F745" s="23"/>
      <c r="G745" s="122" t="n">
        <f aca="false">IF(F745&gt;0,D745*F745,E745*D745)</f>
        <v>102009.6</v>
      </c>
      <c r="H745" s="23" t="n">
        <f aca="false">D745*E745*$H$718</f>
        <v>0</v>
      </c>
      <c r="I745" s="2718" t="n">
        <f aca="false">IF(G745&gt;H745,G745,H745)*$H$718</f>
        <v>0</v>
      </c>
      <c r="J745" s="2712"/>
      <c r="K745" s="2719"/>
    </row>
    <row r="746" customFormat="false" ht="15.5" hidden="false" customHeight="false" outlineLevel="0" collapsed="false">
      <c r="A746" s="2719"/>
      <c r="B746" s="639" t="str">
        <f aca="false">дома!G1787</f>
        <v>окосячка проемов, м.п.</v>
      </c>
      <c r="C746" s="238" t="s">
        <v>156</v>
      </c>
      <c r="D746" s="245" t="n">
        <f aca="false">дома!J1787</f>
        <v>0</v>
      </c>
      <c r="E746" s="23" t="n">
        <f aca="false">дома!K1787</f>
        <v>150</v>
      </c>
      <c r="F746" s="23"/>
      <c r="G746" s="122" t="n">
        <f aca="false">IF(F746&gt;0,D746*F746,E746*D746)</f>
        <v>0</v>
      </c>
      <c r="H746" s="23" t="n">
        <f aca="false">D746*E746*$H$718</f>
        <v>0</v>
      </c>
      <c r="I746" s="2718" t="n">
        <f aca="false">IF(G746&gt;H746,G746,H746)*$H$718</f>
        <v>0</v>
      </c>
      <c r="J746" s="2712"/>
      <c r="K746" s="2719"/>
    </row>
    <row r="747" customFormat="false" ht="15.5" hidden="false" customHeight="false" outlineLevel="0" collapsed="false">
      <c r="A747" s="2719"/>
      <c r="B747" s="639" t="str">
        <f aca="false">дома!G1788</f>
        <v>обработка торцов на брусе</v>
      </c>
      <c r="C747" s="238" t="s">
        <v>156</v>
      </c>
      <c r="D747" s="245" t="n">
        <f aca="false">дома!J1788</f>
        <v>14.4</v>
      </c>
      <c r="E747" s="23" t="n">
        <f aca="false">дома!K1788</f>
        <v>250</v>
      </c>
      <c r="F747" s="23"/>
      <c r="G747" s="122" t="n">
        <f aca="false">IF(F747&gt;0,D747*F747,E747*D747)</f>
        <v>3600</v>
      </c>
      <c r="H747" s="23" t="n">
        <f aca="false">D747*E747*$H$718</f>
        <v>0</v>
      </c>
      <c r="I747" s="2718" t="n">
        <f aca="false">IF(G747&gt;H747,G747,H747)*$H$718</f>
        <v>0</v>
      </c>
      <c r="J747" s="2712"/>
      <c r="K747" s="2719"/>
    </row>
    <row r="748" customFormat="false" ht="15.5" hidden="false" customHeight="false" outlineLevel="0" collapsed="false">
      <c r="A748" s="2719"/>
      <c r="B748" s="639" t="str">
        <f aca="false">дома!G1789</f>
        <v>Обаботка огнебиозащитой</v>
      </c>
      <c r="C748" s="238" t="s">
        <v>156</v>
      </c>
      <c r="D748" s="245" t="n">
        <f aca="false">дома!J1789</f>
        <v>25.5024</v>
      </c>
      <c r="E748" s="23" t="n">
        <f aca="false">дома!K1789</f>
        <v>300</v>
      </c>
      <c r="F748" s="23"/>
      <c r="G748" s="122" t="n">
        <f aca="false">IF(F748&gt;0,D748*F748,E748*D748)</f>
        <v>7650.72000000001</v>
      </c>
      <c r="H748" s="23" t="n">
        <f aca="false">D748*E748*$H$718</f>
        <v>0</v>
      </c>
      <c r="I748" s="2718" t="n">
        <f aca="false">IF(G748&gt;H748,G748,H748)*$H$718</f>
        <v>0</v>
      </c>
      <c r="J748" s="2712"/>
      <c r="K748" s="2719"/>
    </row>
    <row r="749" customFormat="false" ht="15.5" hidden="false" customHeight="false" outlineLevel="0" collapsed="false">
      <c r="A749" s="2719"/>
      <c r="B749" s="639" t="str">
        <f aca="false">дома!G1790</f>
        <v>Пропитка стен внешних</v>
      </c>
      <c r="C749" s="238" t="s">
        <v>156</v>
      </c>
      <c r="D749" s="245" t="n">
        <f aca="false">дома!J1790</f>
        <v>0</v>
      </c>
      <c r="E749" s="23" t="n">
        <f aca="false">дома!K1790</f>
        <v>100</v>
      </c>
      <c r="F749" s="23"/>
      <c r="G749" s="122" t="n">
        <f aca="false">IF(F749&gt;0,D749*F749,E749*D749)</f>
        <v>0</v>
      </c>
      <c r="H749" s="23" t="n">
        <f aca="false">D749*E749*$H$718</f>
        <v>0</v>
      </c>
      <c r="I749" s="2718" t="n">
        <f aca="false">IF(G749&gt;H749,G749,H749)*$H$718</f>
        <v>0</v>
      </c>
      <c r="J749" s="2712"/>
      <c r="K749" s="2719"/>
    </row>
    <row r="750" customFormat="false" ht="15.5" hidden="false" customHeight="false" outlineLevel="0" collapsed="false">
      <c r="A750" s="2719"/>
      <c r="B750" s="639" t="str">
        <f aca="false">дома!G1791</f>
        <v>Пропитка внутенних стен</v>
      </c>
      <c r="C750" s="238" t="s">
        <v>156</v>
      </c>
      <c r="D750" s="245" t="n">
        <f aca="false">дома!J1791</f>
        <v>0</v>
      </c>
      <c r="E750" s="23" t="n">
        <f aca="false">дома!K1791</f>
        <v>100</v>
      </c>
      <c r="F750" s="23"/>
      <c r="G750" s="122" t="n">
        <f aca="false">IF(F750&gt;0,D750*F750,E750*D750)</f>
        <v>0</v>
      </c>
      <c r="H750" s="23" t="n">
        <f aca="false">D750*E750*$H$718</f>
        <v>0</v>
      </c>
      <c r="I750" s="2718" t="n">
        <f aca="false">IF(G750&gt;H750,G750,H750)*$H$718</f>
        <v>0</v>
      </c>
      <c r="J750" s="2712"/>
      <c r="K750" s="2719"/>
    </row>
    <row r="751" customFormat="false" ht="15.5" hidden="false" customHeight="false" outlineLevel="0" collapsed="false">
      <c r="A751" s="2719"/>
      <c r="B751" s="639" t="str">
        <f aca="false">дома!G1792</f>
        <v>Сверление стен для скрытой проводки</v>
      </c>
      <c r="C751" s="238" t="s">
        <v>156</v>
      </c>
      <c r="D751" s="245" t="n">
        <f aca="false">дома!J1792</f>
        <v>180</v>
      </c>
      <c r="E751" s="23" t="n">
        <f aca="false">дома!K1792</f>
        <v>300</v>
      </c>
      <c r="F751" s="23"/>
      <c r="G751" s="122" t="n">
        <f aca="false">IF(F751&gt;0,D751*F751,E751*D751)</f>
        <v>54000</v>
      </c>
      <c r="H751" s="23" t="n">
        <f aca="false">D751*E751*$H$718</f>
        <v>0</v>
      </c>
      <c r="I751" s="2718" t="n">
        <f aca="false">IF(G751&gt;H751,G751,H751)*$H$718</f>
        <v>0</v>
      </c>
      <c r="J751" s="2712"/>
      <c r="K751" s="2719"/>
    </row>
    <row r="752" customFormat="false" ht="15.5" hidden="false" customHeight="false" outlineLevel="0" collapsed="false">
      <c r="A752" s="2719"/>
      <c r="B752" s="639" t="str">
        <f aca="false">дома!G1793</f>
        <v>Монтаж наличника</v>
      </c>
      <c r="C752" s="238" t="s">
        <v>156</v>
      </c>
      <c r="D752" s="245" t="n">
        <f aca="false">дома!J1793</f>
        <v>0</v>
      </c>
      <c r="E752" s="23" t="n">
        <f aca="false">дома!K1793</f>
        <v>80</v>
      </c>
      <c r="F752" s="23"/>
      <c r="G752" s="122" t="n">
        <f aca="false">IF(F752&gt;0,D752*F752,E752*D752)</f>
        <v>0</v>
      </c>
      <c r="H752" s="23" t="n">
        <f aca="false">D752*E752*$H$718</f>
        <v>0</v>
      </c>
      <c r="I752" s="2718" t="n">
        <f aca="false">IF(G752&gt;H752,G752,H752)*$H$718</f>
        <v>0</v>
      </c>
      <c r="J752" s="2712"/>
      <c r="K752" s="2719"/>
    </row>
    <row r="753" customFormat="false" ht="15.5" hidden="false" customHeight="false" outlineLevel="0" collapsed="false">
      <c r="A753" s="2719"/>
      <c r="B753" s="639" t="str">
        <f aca="false">дома!G1794</f>
        <v>Шлифовка стен дома</v>
      </c>
      <c r="C753" s="238" t="s">
        <v>156</v>
      </c>
      <c r="D753" s="245" t="n">
        <f aca="false">дома!J1794</f>
        <v>0</v>
      </c>
      <c r="E753" s="23" t="n">
        <f aca="false">дома!K1794</f>
        <v>250</v>
      </c>
      <c r="F753" s="23"/>
      <c r="G753" s="122" t="n">
        <f aca="false">IF(F753&gt;0,D753*F753,E753*D753)</f>
        <v>0</v>
      </c>
      <c r="H753" s="23" t="n">
        <f aca="false">D753*E753*$H$718</f>
        <v>0</v>
      </c>
      <c r="I753" s="2718" t="n">
        <f aca="false">IF(G753&gt;H753,G753,H753)*$H$718</f>
        <v>0</v>
      </c>
      <c r="J753" s="2712"/>
      <c r="K753" s="2719"/>
    </row>
    <row r="754" customFormat="false" ht="15.5" hidden="false" customHeight="false" outlineLevel="0" collapsed="false">
      <c r="A754" s="2719"/>
      <c r="B754" s="2748" t="s">
        <v>4641</v>
      </c>
      <c r="C754" s="2748"/>
      <c r="D754" s="2748"/>
      <c r="E754" s="2748"/>
      <c r="F754" s="2748"/>
      <c r="G754" s="2210" t="n">
        <f aca="false">SUM(G745:G753)*H744</f>
        <v>0</v>
      </c>
      <c r="H754" s="2210" t="n">
        <f aca="false">SUM(H745:H753)</f>
        <v>0</v>
      </c>
      <c r="I754" s="2718" t="n">
        <f aca="false">IF(G754&gt;H754,G754,H754)*$H$718</f>
        <v>0</v>
      </c>
      <c r="J754" s="2712"/>
      <c r="K754" s="2719"/>
    </row>
    <row r="755" customFormat="false" ht="21" hidden="false" customHeight="false" outlineLevel="0" collapsed="false">
      <c r="A755" s="2719"/>
      <c r="B755" s="2762" t="s">
        <v>4264</v>
      </c>
      <c r="C755" s="2762"/>
      <c r="D755" s="2762"/>
      <c r="E755" s="2762"/>
      <c r="F755" s="2782"/>
      <c r="G755" s="905"/>
      <c r="H755" s="2774" t="n">
        <f aca="false">IF('Ввод данных'!$A$8=связи1!A160,1,0)+IF('Ввод данных'!$A$8=связи1!A166,1,0)+IF('Ввод данных'!$A$8=связи1!A174,1,0)</f>
        <v>0</v>
      </c>
      <c r="I755" s="2757" t="n">
        <f aca="false">H755</f>
        <v>0</v>
      </c>
      <c r="J755" s="2712"/>
      <c r="K755" s="2719"/>
    </row>
    <row r="756" customFormat="false" ht="15.5" hidden="false" customHeight="false" outlineLevel="0" collapsed="false">
      <c r="A756" s="2712"/>
      <c r="B756" s="2775" t="s">
        <v>2720</v>
      </c>
      <c r="C756" s="2775"/>
      <c r="D756" s="2775"/>
      <c r="E756" s="2775"/>
      <c r="F756" s="2783"/>
      <c r="G756" s="905"/>
      <c r="H756" s="2776" t="n">
        <f aca="false">H755</f>
        <v>0</v>
      </c>
      <c r="I756" s="2757" t="n">
        <f aca="false">H756</f>
        <v>0</v>
      </c>
      <c r="J756" s="2732"/>
      <c r="K756" s="2733"/>
    </row>
    <row r="757" customFormat="false" ht="15.5" hidden="false" customHeight="false" outlineLevel="0" collapsed="false">
      <c r="A757" s="2719"/>
      <c r="B757" s="122" t="str">
        <f aca="false">дома!A1985</f>
        <v>Оцилиндрованное бревно сосна 260мм</v>
      </c>
      <c r="C757" s="88" t="str">
        <f aca="false">дома!B1985</f>
        <v>м3</v>
      </c>
      <c r="D757" s="122" t="n">
        <f aca="false">дома!C1985</f>
        <v>3.72417188</v>
      </c>
      <c r="E757" s="89" t="n">
        <f aca="false">дома!D1985</f>
        <v>10000</v>
      </c>
      <c r="F757" s="89"/>
      <c r="G757" s="122" t="n">
        <f aca="false">IF(F757&gt;0,D757*F757,E757*D757)</f>
        <v>37241.7188</v>
      </c>
      <c r="H757" s="122" t="n">
        <f aca="false">D757*E757*$H$755</f>
        <v>0</v>
      </c>
      <c r="I757" s="2784" t="n">
        <f aca="false">IF(G757&gt;H757,G757,H757)*$H$755</f>
        <v>0</v>
      </c>
      <c r="J757" s="2744"/>
      <c r="K757" s="226" t="n">
        <f aca="false">D757-J757</f>
        <v>3.72417188</v>
      </c>
      <c r="L757" s="878"/>
      <c r="M757" s="878"/>
    </row>
    <row r="758" customFormat="false" ht="15.5" hidden="false" customHeight="false" outlineLevel="0" collapsed="false">
      <c r="A758" s="2719"/>
      <c r="B758" s="122" t="str">
        <f aca="false">дома!A1986</f>
        <v>Оцилиндрованное бревно сосна 260мм</v>
      </c>
      <c r="C758" s="88" t="str">
        <f aca="false">дома!B1986</f>
        <v>м3</v>
      </c>
      <c r="D758" s="122" t="n">
        <f aca="false">дома!C1986</f>
        <v>24.29467612</v>
      </c>
      <c r="E758" s="89" t="n">
        <f aca="false">дома!D1986</f>
        <v>8500</v>
      </c>
      <c r="F758" s="89"/>
      <c r="G758" s="122" t="n">
        <f aca="false">IF(F758&gt;0,D758*F758,E758*D758)</f>
        <v>206504.74702</v>
      </c>
      <c r="H758" s="122" t="n">
        <f aca="false">D758*E758*$H$755</f>
        <v>0</v>
      </c>
      <c r="I758" s="2784" t="n">
        <f aca="false">IF(G758&gt;H758,G758,H758)*$H$755</f>
        <v>0</v>
      </c>
      <c r="J758" s="2744"/>
      <c r="K758" s="226" t="n">
        <f aca="false">D758-J758</f>
        <v>24.29467612</v>
      </c>
      <c r="L758" s="878"/>
      <c r="M758" s="878"/>
    </row>
    <row r="759" customFormat="false" ht="15.5" hidden="false" customHeight="false" outlineLevel="0" collapsed="false">
      <c r="A759" s="2719"/>
      <c r="B759" s="122" t="str">
        <f aca="false">дома!A1987</f>
        <v>Оцилиндрованное бревно сосна 200мм</v>
      </c>
      <c r="C759" s="88" t="str">
        <f aca="false">дома!B1987</f>
        <v>м3</v>
      </c>
      <c r="D759" s="122" t="n">
        <f aca="false">дома!C1987</f>
        <v>0</v>
      </c>
      <c r="E759" s="89" t="n">
        <f aca="false">дома!D1987</f>
        <v>8000</v>
      </c>
      <c r="F759" s="89"/>
      <c r="G759" s="122" t="n">
        <f aca="false">IF(F759&gt;0,D759*F759,E759*D759)</f>
        <v>0</v>
      </c>
      <c r="H759" s="122" t="n">
        <f aca="false">D759*E759*$H$755</f>
        <v>0</v>
      </c>
      <c r="I759" s="2784" t="n">
        <f aca="false">IF(G759&gt;H759,G759,H759)*$H$755</f>
        <v>0</v>
      </c>
      <c r="J759" s="2744"/>
      <c r="K759" s="226" t="n">
        <f aca="false">D759-J759</f>
        <v>0</v>
      </c>
      <c r="L759" s="878"/>
      <c r="M759" s="878"/>
    </row>
    <row r="760" customFormat="false" ht="15.5" hidden="false" customHeight="false" outlineLevel="0" collapsed="false">
      <c r="A760" s="2719"/>
      <c r="B760" s="122" t="str">
        <f aca="false">дома!A1988</f>
        <v>Оцилиндрованное бревно сосна 200мм</v>
      </c>
      <c r="C760" s="88" t="str">
        <f aca="false">дома!B1988</f>
        <v>м2</v>
      </c>
      <c r="D760" s="122" t="n">
        <f aca="false">дома!C1988</f>
        <v>0</v>
      </c>
      <c r="E760" s="89" t="n">
        <f aca="false">дома!D1988</f>
        <v>8000</v>
      </c>
      <c r="F760" s="89"/>
      <c r="G760" s="122" t="n">
        <f aca="false">IF(F760&gt;0,D760*F760,E760*D760)</f>
        <v>0</v>
      </c>
      <c r="H760" s="122" t="n">
        <f aca="false">D760*E760*$H$755</f>
        <v>0</v>
      </c>
      <c r="I760" s="2784" t="n">
        <f aca="false">IF(G760&gt;H760,G760,H760)*$H$755</f>
        <v>0</v>
      </c>
      <c r="J760" s="2744"/>
      <c r="K760" s="226" t="n">
        <f aca="false">D760-J760</f>
        <v>0</v>
      </c>
      <c r="L760" s="878"/>
      <c r="M760" s="878"/>
    </row>
    <row r="761" customFormat="false" ht="15.5" hidden="false" customHeight="false" outlineLevel="0" collapsed="false">
      <c r="A761" s="2719"/>
      <c r="B761" s="122" t="str">
        <f aca="false">дома!A1989</f>
        <v>Шкант</v>
      </c>
      <c r="C761" s="88" t="str">
        <f aca="false">дома!B1989</f>
        <v>шт</v>
      </c>
      <c r="D761" s="122" t="n">
        <f aca="false">дома!C1989</f>
        <v>7.543536</v>
      </c>
      <c r="E761" s="89" t="n">
        <f aca="false">дома!D1989</f>
        <v>6</v>
      </c>
      <c r="F761" s="89"/>
      <c r="G761" s="122" t="n">
        <f aca="false">IF(F761&gt;0,D761*F761,E761*D761)</f>
        <v>45.261216</v>
      </c>
      <c r="H761" s="122" t="n">
        <f aca="false">D761*E761*$H$755</f>
        <v>0</v>
      </c>
      <c r="I761" s="2784" t="n">
        <f aca="false">IF(G761&gt;H761,G761,H761)*$H$755</f>
        <v>0</v>
      </c>
      <c r="J761" s="2744"/>
      <c r="K761" s="226" t="n">
        <f aca="false">D761-J761</f>
        <v>7.543536</v>
      </c>
      <c r="L761" s="878"/>
      <c r="M761" s="878"/>
    </row>
    <row r="762" customFormat="false" ht="15.5" hidden="false" customHeight="false" outlineLevel="0" collapsed="false">
      <c r="A762" s="2719"/>
      <c r="B762" s="122" t="str">
        <f aca="false">дома!A1990</f>
        <v>Лен-джут 200х5х20000 мм</v>
      </c>
      <c r="C762" s="88" t="str">
        <f aca="false">дома!B1990</f>
        <v>шт</v>
      </c>
      <c r="D762" s="122" t="n">
        <f aca="false">дома!C1990</f>
        <v>33</v>
      </c>
      <c r="E762" s="89" t="n">
        <f aca="false">дома!D1990</f>
        <v>175</v>
      </c>
      <c r="F762" s="89"/>
      <c r="G762" s="122" t="n">
        <f aca="false">IF(F762&gt;0,D762*F762,E762*D762)</f>
        <v>5775</v>
      </c>
      <c r="H762" s="122" t="n">
        <f aca="false">D762*E762*$H$755</f>
        <v>0</v>
      </c>
      <c r="I762" s="2784" t="n">
        <f aca="false">IF(G762&gt;H762,G762,H762)*$H$755</f>
        <v>0</v>
      </c>
      <c r="J762" s="2744"/>
      <c r="K762" s="226" t="n">
        <f aca="false">D762-J762</f>
        <v>33</v>
      </c>
      <c r="L762" s="878"/>
      <c r="M762" s="878"/>
    </row>
    <row r="763" customFormat="false" ht="15.5" hidden="false" customHeight="false" outlineLevel="0" collapsed="false">
      <c r="A763" s="2719"/>
      <c r="B763" s="122" t="str">
        <f aca="false">дома!A1991</f>
        <v>Гвозди ершоные 2,8 х 90</v>
      </c>
      <c r="C763" s="88" t="str">
        <f aca="false">дома!B1991</f>
        <v>шт</v>
      </c>
      <c r="D763" s="122" t="n">
        <f aca="false">дома!C1991</f>
        <v>4.84</v>
      </c>
      <c r="E763" s="89" t="n">
        <f aca="false">дома!D1991</f>
        <v>76.49</v>
      </c>
      <c r="F763" s="89"/>
      <c r="G763" s="122" t="n">
        <f aca="false">IF(F763&gt;0,D763*F763,E763*D763)</f>
        <v>370.2116</v>
      </c>
      <c r="H763" s="122" t="n">
        <f aca="false">D763*E763*$H$755</f>
        <v>0</v>
      </c>
      <c r="I763" s="2784" t="n">
        <f aca="false">IF(G763&gt;H763,G763,H763)*$H$755</f>
        <v>0</v>
      </c>
      <c r="J763" s="2744"/>
      <c r="K763" s="226" t="n">
        <f aca="false">D763-J763</f>
        <v>4.84</v>
      </c>
      <c r="L763" s="878"/>
      <c r="M763" s="878"/>
    </row>
    <row r="764" customFormat="false" ht="15.5" hidden="false" customHeight="false" outlineLevel="0" collapsed="false">
      <c r="A764" s="2719"/>
      <c r="B764" s="122" t="str">
        <f aca="false">дома!A1992</f>
        <v>нет</v>
      </c>
      <c r="C764" s="88" t="str">
        <f aca="false">дома!B1992</f>
        <v>м3</v>
      </c>
      <c r="D764" s="122" t="n">
        <f aca="false">дома!C1992</f>
        <v>0</v>
      </c>
      <c r="E764" s="89" t="n">
        <f aca="false">дома!D1992</f>
        <v>0</v>
      </c>
      <c r="F764" s="89"/>
      <c r="G764" s="122" t="n">
        <f aca="false">IF(F764&gt;0,D764*F764,E764*D764)</f>
        <v>0</v>
      </c>
      <c r="H764" s="122" t="n">
        <f aca="false">D764*E764*$H$755</f>
        <v>0</v>
      </c>
      <c r="I764" s="2784" t="n">
        <f aca="false">IF(G764&gt;H764,G764,H764)*$H$755</f>
        <v>0</v>
      </c>
      <c r="J764" s="2744"/>
      <c r="K764" s="226" t="n">
        <f aca="false">D764-J764</f>
        <v>0</v>
      </c>
      <c r="L764" s="878"/>
      <c r="M764" s="878"/>
    </row>
    <row r="765" customFormat="false" ht="15.5" hidden="false" customHeight="false" outlineLevel="0" collapsed="false">
      <c r="A765" s="2719"/>
      <c r="B765" s="122" t="str">
        <f aca="false">дома!A1993</f>
        <v>Доска сухая, 100*50мм</v>
      </c>
      <c r="C765" s="88" t="str">
        <f aca="false">дома!B1993</f>
        <v>м3</v>
      </c>
      <c r="D765" s="122" t="n">
        <f aca="false">дома!C1993</f>
        <v>0</v>
      </c>
      <c r="E765" s="89" t="n">
        <f aca="false">дома!D1993</f>
        <v>9000</v>
      </c>
      <c r="F765" s="89"/>
      <c r="G765" s="122" t="n">
        <f aca="false">IF(F765&gt;0,D765*F765,E765*D765)</f>
        <v>0</v>
      </c>
      <c r="H765" s="122" t="n">
        <f aca="false">D765*E765*$H$755</f>
        <v>0</v>
      </c>
      <c r="I765" s="2784" t="n">
        <f aca="false">IF(G765&gt;H765,G765,H765)*$H$755</f>
        <v>0</v>
      </c>
      <c r="J765" s="2744"/>
      <c r="K765" s="226" t="n">
        <f aca="false">D765-J765</f>
        <v>0</v>
      </c>
      <c r="L765" s="878"/>
      <c r="M765" s="878"/>
    </row>
    <row r="766" customFormat="false" ht="15.5" hidden="false" customHeight="false" outlineLevel="0" collapsed="false">
      <c r="A766" s="2719"/>
      <c r="B766" s="122" t="str">
        <f aca="false">дома!A1994</f>
        <v>Доска сухая калиброванная, 100*45мм</v>
      </c>
      <c r="C766" s="88" t="str">
        <f aca="false">дома!B1994</f>
        <v>м3</v>
      </c>
      <c r="D766" s="122" t="n">
        <f aca="false">дома!C1994</f>
        <v>0</v>
      </c>
      <c r="E766" s="89" t="n">
        <f aca="false">дома!D1994</f>
        <v>12500</v>
      </c>
      <c r="F766" s="89"/>
      <c r="G766" s="122" t="n">
        <f aca="false">IF(F766&gt;0,D766*F766,E766*D766)</f>
        <v>0</v>
      </c>
      <c r="H766" s="122" t="n">
        <f aca="false">D766*E766*$H$755</f>
        <v>0</v>
      </c>
      <c r="I766" s="2784" t="n">
        <f aca="false">IF(G766&gt;H766,G766,H766)*$H$755</f>
        <v>0</v>
      </c>
      <c r="J766" s="2744"/>
      <c r="K766" s="226" t="n">
        <f aca="false">D766-J766</f>
        <v>0</v>
      </c>
      <c r="L766" s="878"/>
      <c r="M766" s="878"/>
    </row>
    <row r="767" customFormat="false" ht="15.5" hidden="false" customHeight="false" outlineLevel="0" collapsed="false">
      <c r="A767" s="2719"/>
      <c r="B767" s="122" t="str">
        <f aca="false">дома!A1995</f>
        <v>Сосна влаж, 50*50мм</v>
      </c>
      <c r="C767" s="88" t="str">
        <f aca="false">дома!B1995</f>
        <v>м.п.</v>
      </c>
      <c r="D767" s="122" t="n">
        <f aca="false">дома!C1995</f>
        <v>0</v>
      </c>
      <c r="E767" s="89" t="n">
        <f aca="false">дома!D1995</f>
        <v>16.25</v>
      </c>
      <c r="F767" s="89"/>
      <c r="G767" s="122" t="n">
        <f aca="false">IF(F767&gt;0,D767*F767,E767*D767)</f>
        <v>0</v>
      </c>
      <c r="H767" s="122" t="n">
        <f aca="false">D767*E767*$H$755</f>
        <v>0</v>
      </c>
      <c r="I767" s="2784" t="n">
        <f aca="false">IF(G767&gt;H767,G767,H767)*$H$755</f>
        <v>0</v>
      </c>
      <c r="J767" s="2744"/>
      <c r="K767" s="226" t="n">
        <f aca="false">D767-J767</f>
        <v>0</v>
      </c>
      <c r="L767" s="878"/>
      <c r="M767" s="878"/>
    </row>
    <row r="768" customFormat="false" ht="15.5" hidden="false" customHeight="false" outlineLevel="0" collapsed="false">
      <c r="A768" s="2719"/>
      <c r="B768" s="122" t="str">
        <f aca="false">дома!A1996</f>
        <v>Бензин для пилы</v>
      </c>
      <c r="C768" s="88" t="str">
        <f aca="false">дома!B1996</f>
        <v>л</v>
      </c>
      <c r="D768" s="122" t="n">
        <f aca="false">дома!C1996</f>
        <v>5.6037696</v>
      </c>
      <c r="E768" s="89" t="n">
        <f aca="false">дома!D1996</f>
        <v>40</v>
      </c>
      <c r="F768" s="89"/>
      <c r="G768" s="122" t="n">
        <f aca="false">IF(F768&gt;0,D768*F768,E768*D768)</f>
        <v>224.150784</v>
      </c>
      <c r="H768" s="122" t="n">
        <f aca="false">D768*E768*$H$755</f>
        <v>0</v>
      </c>
      <c r="I768" s="2784" t="n">
        <f aca="false">IF(G768&gt;H768,G768,H768)*$H$755</f>
        <v>0</v>
      </c>
      <c r="J768" s="2744"/>
      <c r="K768" s="226" t="n">
        <f aca="false">D768-J768</f>
        <v>5.6037696</v>
      </c>
      <c r="L768" s="878"/>
      <c r="M768" s="878"/>
    </row>
    <row r="769" customFormat="false" ht="15.5" hidden="false" customHeight="false" outlineLevel="0" collapsed="false">
      <c r="A769" s="2719"/>
      <c r="B769" s="122" t="str">
        <f aca="false">дома!A1997</f>
        <v>Масло для пилы</v>
      </c>
      <c r="C769" s="88" t="str">
        <f aca="false">дома!B1997</f>
        <v>л</v>
      </c>
      <c r="D769" s="122" t="n">
        <f aca="false">дома!C1997</f>
        <v>0.28018848</v>
      </c>
      <c r="E769" s="89" t="n">
        <f aca="false">дома!D1997</f>
        <v>250</v>
      </c>
      <c r="F769" s="89"/>
      <c r="G769" s="122" t="n">
        <f aca="false">IF(F769&gt;0,D769*F769,E769*D769)</f>
        <v>70.04712</v>
      </c>
      <c r="H769" s="122" t="n">
        <f aca="false">D769*E769*$H$755</f>
        <v>0</v>
      </c>
      <c r="I769" s="2784" t="n">
        <f aca="false">IF(G769&gt;H769,G769,H769)*$H$755</f>
        <v>0</v>
      </c>
      <c r="J769" s="2744"/>
      <c r="K769" s="226" t="n">
        <f aca="false">D769-J769</f>
        <v>0.28018848</v>
      </c>
      <c r="L769" s="878"/>
      <c r="M769" s="878"/>
    </row>
    <row r="770" customFormat="false" ht="15.5" hidden="false" customHeight="false" outlineLevel="0" collapsed="false">
      <c r="A770" s="2719"/>
      <c r="B770" s="122" t="str">
        <f aca="false">дома!A1998</f>
        <v>Цепь для пилы</v>
      </c>
      <c r="C770" s="88" t="s">
        <v>159</v>
      </c>
      <c r="D770" s="122" t="n">
        <f aca="false">дома!C1998</f>
        <v>3</v>
      </c>
      <c r="E770" s="89" t="n">
        <f aca="false">дома!D1998</f>
        <v>800</v>
      </c>
      <c r="F770" s="89"/>
      <c r="G770" s="122" t="n">
        <f aca="false">IF(F770&gt;0,D770*F770,E770*D770)</f>
        <v>2400</v>
      </c>
      <c r="H770" s="122" t="n">
        <f aca="false">D770*E770*$H$755</f>
        <v>0</v>
      </c>
      <c r="I770" s="2784" t="n">
        <f aca="false">IF(G770&gt;H770,G770,H770)*$H$755</f>
        <v>0</v>
      </c>
      <c r="J770" s="2744"/>
      <c r="K770" s="226" t="n">
        <f aca="false">D770-J770</f>
        <v>3</v>
      </c>
      <c r="L770" s="878"/>
      <c r="M770" s="878"/>
    </row>
    <row r="771" customFormat="false" ht="15.5" hidden="false" customHeight="false" outlineLevel="0" collapsed="false">
      <c r="A771" s="2719"/>
      <c r="B771" s="122" t="str">
        <f aca="false">дома!A1999</f>
        <v>"Профилюкс" Антисептик АНТИПЛЕСЕНЬ</v>
      </c>
      <c r="C771" s="88" t="str">
        <f aca="false">дома!B1999</f>
        <v>л</v>
      </c>
      <c r="D771" s="122" t="n">
        <f aca="false">дома!C1999</f>
        <v>39.1872</v>
      </c>
      <c r="E771" s="89" t="n">
        <f aca="false">дома!D1999</f>
        <v>108</v>
      </c>
      <c r="F771" s="89"/>
      <c r="G771" s="122" t="n">
        <f aca="false">IF(F771&gt;0,D771*F771,E771*D771)</f>
        <v>4232.2176</v>
      </c>
      <c r="H771" s="122" t="n">
        <f aca="false">D771*E771*$H$755</f>
        <v>0</v>
      </c>
      <c r="I771" s="2784" t="n">
        <f aca="false">IF(G771&gt;H771,G771,H771)*$H$755</f>
        <v>0</v>
      </c>
      <c r="J771" s="2744"/>
      <c r="K771" s="226" t="n">
        <f aca="false">D771-J771</f>
        <v>39.1872</v>
      </c>
      <c r="L771" s="878"/>
      <c r="M771" s="878"/>
    </row>
    <row r="772" customFormat="false" ht="15.5" hidden="false" customHeight="false" outlineLevel="0" collapsed="false">
      <c r="A772" s="2719"/>
      <c r="B772" s="122" t="str">
        <f aca="false">дома!A2000</f>
        <v>"Тонерол" Антисептик  бесцветный  1л</v>
      </c>
      <c r="C772" s="88" t="str">
        <f aca="false">дома!B2000</f>
        <v>л</v>
      </c>
      <c r="D772" s="122" t="n">
        <f aca="false">дома!C2000</f>
        <v>23.51232</v>
      </c>
      <c r="E772" s="89" t="n">
        <f aca="false">дома!D2000</f>
        <v>305</v>
      </c>
      <c r="F772" s="89"/>
      <c r="G772" s="122" t="n">
        <f aca="false">IF(F772&gt;0,D772*F772,E772*D772)</f>
        <v>7171.2576</v>
      </c>
      <c r="H772" s="122" t="n">
        <f aca="false">D772*E772*$H$755</f>
        <v>0</v>
      </c>
      <c r="I772" s="2784" t="n">
        <f aca="false">IF(G772&gt;H772,G772,H772)*$H$755</f>
        <v>0</v>
      </c>
      <c r="J772" s="2744"/>
      <c r="K772" s="226" t="n">
        <f aca="false">D772-J772</f>
        <v>23.51232</v>
      </c>
      <c r="L772" s="878"/>
      <c r="M772" s="878"/>
    </row>
    <row r="773" customFormat="false" ht="15.5" hidden="false" customHeight="false" outlineLevel="0" collapsed="false">
      <c r="A773" s="2719"/>
      <c r="B773" s="122" t="str">
        <f aca="false">дома!A2001</f>
        <v>"Тонерол" Антисептик  махагон  1л</v>
      </c>
      <c r="C773" s="88" t="str">
        <f aca="false">дома!B2001</f>
        <v>л</v>
      </c>
      <c r="D773" s="122" t="n">
        <f aca="false">дома!C2001</f>
        <v>23.51232</v>
      </c>
      <c r="E773" s="89" t="n">
        <f aca="false">дома!D2001</f>
        <v>305</v>
      </c>
      <c r="F773" s="89"/>
      <c r="G773" s="122" t="n">
        <f aca="false">IF(F773&gt;0,D773*F773,E773*D773)</f>
        <v>7171.2576</v>
      </c>
      <c r="H773" s="122" t="n">
        <f aca="false">D773*E773*$H$755</f>
        <v>0</v>
      </c>
      <c r="I773" s="2784" t="n">
        <f aca="false">IF(G773&gt;H773,G773,H773)*$H$755</f>
        <v>0</v>
      </c>
      <c r="J773" s="2744"/>
      <c r="K773" s="226" t="n">
        <f aca="false">D773-J773</f>
        <v>23.51232</v>
      </c>
      <c r="L773" s="878"/>
      <c r="M773" s="878"/>
    </row>
    <row r="774" customFormat="false" ht="15.5" hidden="false" customHeight="false" outlineLevel="0" collapsed="false">
      <c r="A774" s="2719"/>
      <c r="B774" s="122" t="str">
        <f aca="false">дома!A2002</f>
        <v>Нет наличника</v>
      </c>
      <c r="C774" s="88" t="str">
        <f aca="false">дома!B2002</f>
        <v>м.п.</v>
      </c>
      <c r="D774" s="122" t="n">
        <f aca="false">дома!C2002</f>
        <v>3.57</v>
      </c>
      <c r="E774" s="89" t="n">
        <f aca="false">дома!D2002</f>
        <v>0</v>
      </c>
      <c r="F774" s="89"/>
      <c r="G774" s="122" t="n">
        <f aca="false">IF(F774&gt;0,D774*F774,E774*D774)</f>
        <v>0</v>
      </c>
      <c r="H774" s="122" t="n">
        <f aca="false">D774*E774*$H$755</f>
        <v>0</v>
      </c>
      <c r="I774" s="2784" t="n">
        <f aca="false">IF(G774&gt;H774,G774,H774)*$H$755</f>
        <v>0</v>
      </c>
      <c r="J774" s="2744"/>
      <c r="K774" s="226" t="n">
        <f aca="false">D774-J774</f>
        <v>3.57</v>
      </c>
      <c r="L774" s="878"/>
      <c r="M774" s="878"/>
    </row>
    <row r="775" customFormat="false" ht="15.5" hidden="false" customHeight="false" outlineLevel="0" collapsed="false">
      <c r="A775" s="2719"/>
      <c r="B775" s="122" t="str">
        <f aca="false">дома!A2003</f>
        <v>Нет наличника</v>
      </c>
      <c r="C775" s="88" t="str">
        <f aca="false">дома!B2003</f>
        <v>м.п.</v>
      </c>
      <c r="D775" s="122" t="n">
        <f aca="false">дома!C2003</f>
        <v>3.57</v>
      </c>
      <c r="E775" s="89" t="n">
        <f aca="false">дома!D2003</f>
        <v>0</v>
      </c>
      <c r="F775" s="89"/>
      <c r="G775" s="122" t="n">
        <f aca="false">IF(F775&gt;0,D775*F775,E775*D775)</f>
        <v>0</v>
      </c>
      <c r="H775" s="122" t="n">
        <f aca="false">D775*E775*$H$755</f>
        <v>0</v>
      </c>
      <c r="I775" s="2784" t="n">
        <f aca="false">IF(G775&gt;H775,G775,H775)*$H$755</f>
        <v>0</v>
      </c>
      <c r="J775" s="2744"/>
      <c r="K775" s="226" t="n">
        <f aca="false">D775-J775</f>
        <v>3.57</v>
      </c>
      <c r="L775" s="878"/>
      <c r="M775" s="878"/>
    </row>
    <row r="776" customFormat="false" ht="15.5" hidden="false" customHeight="false" outlineLevel="0" collapsed="false">
      <c r="A776" s="2719"/>
      <c r="B776" s="122" t="str">
        <f aca="false">дома!A2004</f>
        <v>Бумага наждачная № 63 F(30)</v>
      </c>
      <c r="C776" s="88" t="str">
        <f aca="false">дома!B2004</f>
        <v>м</v>
      </c>
      <c r="D776" s="122" t="n">
        <f aca="false">дома!C2004</f>
        <v>5</v>
      </c>
      <c r="E776" s="89" t="n">
        <f aca="false">дома!D2004</f>
        <v>291</v>
      </c>
      <c r="F776" s="89"/>
      <c r="G776" s="122" t="n">
        <f aca="false">IF(F776&gt;0,D776*F776,E776*D776)</f>
        <v>1455</v>
      </c>
      <c r="H776" s="122" t="n">
        <f aca="false">D776*E776*$H$755</f>
        <v>0</v>
      </c>
      <c r="I776" s="2784" t="n">
        <f aca="false">IF(G776&gt;H776,G776,H776)*$H$755</f>
        <v>0</v>
      </c>
      <c r="J776" s="2744"/>
      <c r="K776" s="226" t="n">
        <f aca="false">D776-J776</f>
        <v>5</v>
      </c>
      <c r="L776" s="878"/>
      <c r="M776" s="878"/>
    </row>
    <row r="777" customFormat="false" ht="15.5" hidden="false" customHeight="false" outlineLevel="0" collapsed="false">
      <c r="A777" s="2719"/>
      <c r="B777" s="122" t="str">
        <f aca="false">дома!A2005</f>
        <v>Нет наждачной бумаги</v>
      </c>
      <c r="C777" s="88" t="str">
        <f aca="false">дома!B2005</f>
        <v>м</v>
      </c>
      <c r="D777" s="122" t="n">
        <f aca="false">дома!C2005</f>
        <v>0</v>
      </c>
      <c r="E777" s="89" t="n">
        <f aca="false">дома!D2005</f>
        <v>0</v>
      </c>
      <c r="F777" s="89"/>
      <c r="G777" s="122" t="n">
        <f aca="false">IF(F777&gt;0,D777*F777,E777*D777)</f>
        <v>0</v>
      </c>
      <c r="H777" s="122" t="n">
        <f aca="false">D777*E777*$H$755</f>
        <v>0</v>
      </c>
      <c r="I777" s="2784" t="n">
        <f aca="false">IF(G777&gt;H777,G777,H777)*$H$755</f>
        <v>0</v>
      </c>
      <c r="J777" s="2744"/>
      <c r="K777" s="226" t="n">
        <f aca="false">D777-J777</f>
        <v>0</v>
      </c>
      <c r="L777" s="878"/>
      <c r="M777" s="878"/>
    </row>
    <row r="778" customFormat="false" ht="15.5" hidden="false" customHeight="false" outlineLevel="0" collapsed="false">
      <c r="A778" s="2719"/>
      <c r="B778" s="122" t="str">
        <f aca="false">дома!A2006</f>
        <v>Бумага наждачная № 63 F(30)</v>
      </c>
      <c r="C778" s="88" t="str">
        <f aca="false">дома!B2006</f>
        <v>м</v>
      </c>
      <c r="D778" s="122" t="n">
        <f aca="false">дома!C2006</f>
        <v>0</v>
      </c>
      <c r="E778" s="89" t="n">
        <f aca="false">дома!D2006</f>
        <v>291</v>
      </c>
      <c r="F778" s="89"/>
      <c r="G778" s="122" t="n">
        <f aca="false">IF(F778&gt;0,D778*F778,E778*D778)</f>
        <v>0</v>
      </c>
      <c r="H778" s="122" t="n">
        <f aca="false">D778*E778*$H$755</f>
        <v>0</v>
      </c>
      <c r="I778" s="2784" t="n">
        <f aca="false">IF(G778&gt;H778,G778,H778)*$H$755</f>
        <v>0</v>
      </c>
      <c r="J778" s="2744"/>
      <c r="K778" s="226" t="n">
        <f aca="false">D778-J778</f>
        <v>0</v>
      </c>
      <c r="L778" s="878"/>
      <c r="M778" s="878"/>
    </row>
    <row r="779" customFormat="false" ht="15.5" hidden="false" customHeight="false" outlineLevel="0" collapsed="false">
      <c r="A779" s="2719"/>
      <c r="B779" s="122" t="str">
        <f aca="false">дома!A2007</f>
        <v>Бумага наждачная № 40</v>
      </c>
      <c r="C779" s="88" t="str">
        <f aca="false">дома!B2007</f>
        <v>м</v>
      </c>
      <c r="D779" s="122" t="n">
        <f aca="false">дома!C2007</f>
        <v>0</v>
      </c>
      <c r="E779" s="89" t="n">
        <f aca="false">дома!D2007</f>
        <v>240</v>
      </c>
      <c r="F779" s="89"/>
      <c r="G779" s="122" t="n">
        <f aca="false">IF(F779&gt;0,D779*F779,E779*D779)</f>
        <v>0</v>
      </c>
      <c r="H779" s="122" t="n">
        <f aca="false">D779*E779*$H$755</f>
        <v>0</v>
      </c>
      <c r="I779" s="2784" t="n">
        <f aca="false">IF(G779&gt;H779,G779,H779)*$H$755</f>
        <v>0</v>
      </c>
      <c r="J779" s="2744"/>
      <c r="K779" s="226" t="n">
        <f aca="false">D779-J779</f>
        <v>0</v>
      </c>
      <c r="L779" s="878"/>
      <c r="M779" s="878"/>
    </row>
    <row r="780" customFormat="false" ht="15.5" hidden="false" customHeight="false" outlineLevel="0" collapsed="false">
      <c r="A780" s="2719"/>
      <c r="B780" s="2748" t="s">
        <v>4640</v>
      </c>
      <c r="C780" s="2748"/>
      <c r="D780" s="2748"/>
      <c r="E780" s="2748"/>
      <c r="F780" s="2748"/>
      <c r="G780" s="2210" t="n">
        <f aca="false">SUM(G757:G779)*H755</f>
        <v>0</v>
      </c>
      <c r="H780" s="2210" t="n">
        <f aca="false">SUM(H757:H779)</f>
        <v>0</v>
      </c>
      <c r="I780" s="2784" t="n">
        <f aca="false">IF(G780&gt;H780,G780,H780)*$H$755</f>
        <v>0</v>
      </c>
      <c r="J780" s="2744"/>
      <c r="K780" s="226" t="n">
        <f aca="false">D780-J780</f>
        <v>0</v>
      </c>
      <c r="L780" s="878"/>
      <c r="M780" s="878"/>
    </row>
    <row r="781" customFormat="false" ht="15.5" hidden="false" customHeight="false" outlineLevel="0" collapsed="false">
      <c r="A781" s="2719"/>
      <c r="B781" s="2750" t="s">
        <v>1409</v>
      </c>
      <c r="C781" s="2750"/>
      <c r="D781" s="2750"/>
      <c r="E781" s="2750"/>
      <c r="F781" s="2785"/>
      <c r="G781" s="905"/>
      <c r="H781" s="2766" t="n">
        <f aca="false">H755</f>
        <v>0</v>
      </c>
      <c r="I781" s="2757" t="n">
        <f aca="false">H781</f>
        <v>0</v>
      </c>
      <c r="L781" s="878"/>
      <c r="M781" s="878"/>
    </row>
    <row r="782" customFormat="false" ht="15.5" hidden="false" customHeight="false" outlineLevel="0" collapsed="false">
      <c r="A782" s="2712"/>
      <c r="B782" s="2648" t="str">
        <f aca="false">дома!G1985</f>
        <v>кладка Дикого леса</v>
      </c>
      <c r="C782" s="2765" t="s">
        <v>135</v>
      </c>
      <c r="D782" s="298" t="n">
        <f aca="false">дома!J1985</f>
        <v>28.018848</v>
      </c>
      <c r="E782" s="177" t="n">
        <f aca="false">дома!K1985</f>
        <v>6000</v>
      </c>
      <c r="F782" s="177"/>
      <c r="G782" s="122" t="n">
        <f aca="false">IF(F782&gt;0,D782*F782,E782*D782)</f>
        <v>168113.088</v>
      </c>
      <c r="H782" s="2210" t="n">
        <f aca="false">D782*E782*$H$781</f>
        <v>0</v>
      </c>
      <c r="I782" s="2718" t="n">
        <f aca="false">IF(G782&gt;H782,G782,H782)*$H$755</f>
        <v>0</v>
      </c>
      <c r="J782" s="2712"/>
      <c r="K782" s="2719"/>
    </row>
    <row r="783" customFormat="false" ht="15.5" hidden="false" customHeight="false" outlineLevel="0" collapsed="false">
      <c r="A783" s="2719"/>
      <c r="B783" s="2648" t="str">
        <f aca="false">дома!G1986</f>
        <v>окосячка проемов, м.п.</v>
      </c>
      <c r="C783" s="2765" t="s">
        <v>156</v>
      </c>
      <c r="D783" s="298" t="n">
        <f aca="false">дома!J1986</f>
        <v>0</v>
      </c>
      <c r="E783" s="177" t="n">
        <f aca="false">дома!K1986</f>
        <v>150</v>
      </c>
      <c r="F783" s="177"/>
      <c r="G783" s="122" t="n">
        <f aca="false">IF(F783&gt;0,D783*F783,E783*D783)</f>
        <v>0</v>
      </c>
      <c r="H783" s="2210" t="n">
        <f aca="false">D783*E783*$H$781</f>
        <v>0</v>
      </c>
      <c r="I783" s="2718" t="n">
        <f aca="false">IF(G783&gt;H783,G783,H783)*$H$755</f>
        <v>0</v>
      </c>
      <c r="J783" s="2712"/>
      <c r="K783" s="2719"/>
    </row>
    <row r="784" customFormat="false" ht="15.5" hidden="false" customHeight="false" outlineLevel="0" collapsed="false">
      <c r="A784" s="2719"/>
      <c r="B784" s="2648" t="str">
        <f aca="false">дома!G1987</f>
        <v>обработка торцов на брусе</v>
      </c>
      <c r="C784" s="2765" t="s">
        <v>156</v>
      </c>
      <c r="D784" s="298" t="n">
        <f aca="false">дома!J1987</f>
        <v>14.4</v>
      </c>
      <c r="E784" s="177" t="n">
        <f aca="false">дома!K1987</f>
        <v>250</v>
      </c>
      <c r="F784" s="177"/>
      <c r="G784" s="122" t="n">
        <f aca="false">IF(F784&gt;0,D784*F784,E784*D784)</f>
        <v>3600</v>
      </c>
      <c r="H784" s="2210" t="n">
        <f aca="false">D784*E784*$H$781</f>
        <v>0</v>
      </c>
      <c r="I784" s="2718" t="n">
        <f aca="false">IF(G784&gt;H784,G784,H784)*$H$755</f>
        <v>0</v>
      </c>
      <c r="J784" s="2712"/>
      <c r="K784" s="2719"/>
    </row>
    <row r="785" customFormat="false" ht="15.5" hidden="false" customHeight="false" outlineLevel="0" collapsed="false">
      <c r="A785" s="2719"/>
      <c r="B785" s="2648" t="str">
        <f aca="false">дома!G1988</f>
        <v>Обаботка огнебиозащитой</v>
      </c>
      <c r="C785" s="2765" t="s">
        <v>156</v>
      </c>
      <c r="D785" s="298" t="n">
        <f aca="false">дома!J1988</f>
        <v>28.018848</v>
      </c>
      <c r="E785" s="177" t="n">
        <f aca="false">дома!K1988</f>
        <v>300</v>
      </c>
      <c r="F785" s="177"/>
      <c r="G785" s="122" t="n">
        <f aca="false">IF(F785&gt;0,D785*F785,E785*D785)</f>
        <v>8405.6544</v>
      </c>
      <c r="H785" s="2210" t="n">
        <f aca="false">D785*E785*$H$781</f>
        <v>0</v>
      </c>
      <c r="I785" s="2718" t="n">
        <f aca="false">IF(G785&gt;H785,G785,H785)*$H$755</f>
        <v>0</v>
      </c>
      <c r="J785" s="2712"/>
      <c r="K785" s="2719"/>
    </row>
    <row r="786" customFormat="false" ht="15.5" hidden="false" customHeight="false" outlineLevel="0" collapsed="false">
      <c r="A786" s="2719"/>
      <c r="B786" s="2648" t="str">
        <f aca="false">дома!G1989</f>
        <v>Пропитка стен внешних</v>
      </c>
      <c r="C786" s="2765" t="s">
        <v>156</v>
      </c>
      <c r="D786" s="298" t="n">
        <f aca="false">дома!J1989</f>
        <v>117.5616</v>
      </c>
      <c r="E786" s="177" t="n">
        <f aca="false">дома!K1989</f>
        <v>100</v>
      </c>
      <c r="F786" s="177"/>
      <c r="G786" s="122" t="n">
        <f aca="false">IF(F786&gt;0,D786*F786,E786*D786)</f>
        <v>11756.16</v>
      </c>
      <c r="H786" s="2210" t="n">
        <f aca="false">D786*E786*$H$781</f>
        <v>0</v>
      </c>
      <c r="I786" s="2718" t="n">
        <f aca="false">IF(G786&gt;H786,G786,H786)*$H$755</f>
        <v>0</v>
      </c>
      <c r="J786" s="2712"/>
      <c r="K786" s="2719"/>
    </row>
    <row r="787" customFormat="false" ht="15.5" hidden="false" customHeight="false" outlineLevel="0" collapsed="false">
      <c r="A787" s="2719"/>
      <c r="B787" s="2648" t="str">
        <f aca="false">дома!G1990</f>
        <v>Пропитка внутенних стен</v>
      </c>
      <c r="C787" s="2765" t="s">
        <v>156</v>
      </c>
      <c r="D787" s="298" t="n">
        <f aca="false">дома!J1990</f>
        <v>117.5616</v>
      </c>
      <c r="E787" s="177" t="n">
        <f aca="false">дома!K1990</f>
        <v>100</v>
      </c>
      <c r="F787" s="177"/>
      <c r="G787" s="122" t="n">
        <f aca="false">IF(F787&gt;0,D787*F787,E787*D787)</f>
        <v>11756.16</v>
      </c>
      <c r="H787" s="2210" t="n">
        <f aca="false">D787*E787*$H$781</f>
        <v>0</v>
      </c>
      <c r="I787" s="2718" t="n">
        <f aca="false">IF(G787&gt;H787,G787,H787)*$H$755</f>
        <v>0</v>
      </c>
      <c r="J787" s="2712"/>
      <c r="K787" s="2719"/>
    </row>
    <row r="788" customFormat="false" ht="15.5" hidden="false" customHeight="false" outlineLevel="0" collapsed="false">
      <c r="A788" s="2719"/>
      <c r="B788" s="2648" t="str">
        <f aca="false">дома!G1991</f>
        <v>Сверление стен для скрытой проводки</v>
      </c>
      <c r="C788" s="2765" t="s">
        <v>156</v>
      </c>
      <c r="D788" s="298" t="n">
        <f aca="false">дома!J1991</f>
        <v>180</v>
      </c>
      <c r="E788" s="177" t="n">
        <f aca="false">дома!K1991</f>
        <v>300</v>
      </c>
      <c r="F788" s="177"/>
      <c r="G788" s="122" t="n">
        <f aca="false">IF(F788&gt;0,D788*F788,E788*D788)</f>
        <v>54000</v>
      </c>
      <c r="H788" s="2210" t="n">
        <f aca="false">D788*E788*$H$781</f>
        <v>0</v>
      </c>
      <c r="I788" s="2718" t="n">
        <f aca="false">IF(G788&gt;H788,G788,H788)*$H$755</f>
        <v>0</v>
      </c>
      <c r="J788" s="2712"/>
      <c r="K788" s="2719"/>
    </row>
    <row r="789" customFormat="false" ht="15.5" hidden="false" customHeight="false" outlineLevel="0" collapsed="false">
      <c r="A789" s="2719"/>
      <c r="B789" s="2648" t="str">
        <f aca="false">дома!G1992</f>
        <v>Монтаж наличника</v>
      </c>
      <c r="C789" s="2765" t="s">
        <v>156</v>
      </c>
      <c r="D789" s="298" t="n">
        <f aca="false">дома!J1992</f>
        <v>0</v>
      </c>
      <c r="E789" s="177" t="n">
        <f aca="false">дома!K1992</f>
        <v>80</v>
      </c>
      <c r="F789" s="177"/>
      <c r="G789" s="122" t="n">
        <f aca="false">IF(F789&gt;0,D789*F789,E789*D789)</f>
        <v>0</v>
      </c>
      <c r="H789" s="2210" t="n">
        <f aca="false">D789*E789*$H$781</f>
        <v>0</v>
      </c>
      <c r="I789" s="2718" t="n">
        <f aca="false">IF(G789&gt;H789,G789,H789)*$H$755</f>
        <v>0</v>
      </c>
      <c r="J789" s="2712"/>
      <c r="K789" s="2719"/>
    </row>
    <row r="790" customFormat="false" ht="15.5" hidden="false" customHeight="false" outlineLevel="0" collapsed="false">
      <c r="A790" s="2719"/>
      <c r="B790" s="2648" t="str">
        <f aca="false">дома!G1993</f>
        <v>Шлифовка стен дома</v>
      </c>
      <c r="C790" s="2765" t="s">
        <v>156</v>
      </c>
      <c r="D790" s="298" t="n">
        <f aca="false">дома!J1993</f>
        <v>121.44</v>
      </c>
      <c r="E790" s="177" t="n">
        <f aca="false">дома!K1993</f>
        <v>250</v>
      </c>
      <c r="F790" s="177"/>
      <c r="G790" s="122" t="n">
        <f aca="false">IF(F790&gt;0,D790*F790,E790*D790)</f>
        <v>30360</v>
      </c>
      <c r="H790" s="2210" t="n">
        <f aca="false">D790*E790*$H$781</f>
        <v>0</v>
      </c>
      <c r="I790" s="2718" t="n">
        <f aca="false">IF(G790&gt;H790,G790,H790)*$H$755</f>
        <v>0</v>
      </c>
      <c r="J790" s="2712"/>
      <c r="K790" s="2719"/>
    </row>
    <row r="791" customFormat="false" ht="15.5" hidden="false" customHeight="false" outlineLevel="0" collapsed="false">
      <c r="A791" s="2719"/>
      <c r="B791" s="2748" t="s">
        <v>4641</v>
      </c>
      <c r="C791" s="2748"/>
      <c r="D791" s="2748"/>
      <c r="E791" s="2748"/>
      <c r="F791" s="2748"/>
      <c r="G791" s="2210" t="n">
        <f aca="false">SUM(G782:G790)*H781</f>
        <v>0</v>
      </c>
      <c r="H791" s="2210" t="n">
        <f aca="false">SUM(H782:H790)</f>
        <v>0</v>
      </c>
      <c r="I791" s="2718" t="n">
        <f aca="false">IF(G791&gt;H791,G791,H791)*$H$755</f>
        <v>0</v>
      </c>
      <c r="J791" s="2712"/>
      <c r="K791" s="2719"/>
    </row>
    <row r="792" customFormat="false" ht="21" hidden="false" customHeight="false" outlineLevel="0" collapsed="false">
      <c r="A792" s="2719"/>
      <c r="B792" s="2762" t="s">
        <v>4262</v>
      </c>
      <c r="C792" s="2762"/>
      <c r="D792" s="2762"/>
      <c r="E792" s="2762"/>
      <c r="F792" s="2762"/>
      <c r="G792" s="905"/>
      <c r="H792" s="2774" t="n">
        <f aca="false">IF('Ввод данных'!$A$8=связи1!A161,1,0)+IF('Ввод данных'!$A$8=связи1!A175,1,0)+IF('Ввод данных'!$A$8=связи1!A182,1,0)+IF('Ввод данных'!$A$8=связи1!A167,1,0)</f>
        <v>0</v>
      </c>
      <c r="I792" s="2757" t="n">
        <f aca="false">H792</f>
        <v>0</v>
      </c>
      <c r="J792" s="2712"/>
      <c r="K792" s="2719"/>
    </row>
    <row r="793" customFormat="false" ht="15.5" hidden="false" customHeight="false" outlineLevel="0" collapsed="false">
      <c r="A793" s="2712"/>
      <c r="B793" s="2775" t="s">
        <v>2720</v>
      </c>
      <c r="C793" s="2775"/>
      <c r="D793" s="2775"/>
      <c r="E793" s="2775"/>
      <c r="F793" s="2775"/>
      <c r="G793" s="905"/>
      <c r="H793" s="2776" t="n">
        <f aca="false">H792</f>
        <v>0</v>
      </c>
      <c r="I793" s="2757" t="n">
        <f aca="false">H793</f>
        <v>0</v>
      </c>
      <c r="J793" s="2732"/>
      <c r="K793" s="2733"/>
    </row>
    <row r="794" customFormat="false" ht="15.5" hidden="false" customHeight="false" outlineLevel="0" collapsed="false">
      <c r="A794" s="2712"/>
      <c r="B794" s="122" t="str">
        <f aca="false">дома!A1939</f>
        <v>Оцилиндрованное бревно сосна 260мм</v>
      </c>
      <c r="C794" s="88" t="str">
        <f aca="false">дома!B1939</f>
        <v>м3</v>
      </c>
      <c r="D794" s="122" t="n">
        <f aca="false">дома!C1939</f>
        <v>3.72417188</v>
      </c>
      <c r="E794" s="89" t="n">
        <f aca="false">дома!D1939</f>
        <v>10000</v>
      </c>
      <c r="F794" s="89"/>
      <c r="G794" s="122" t="n">
        <f aca="false">IF(F794&gt;0,D794*F794,E794*D794)</f>
        <v>37241.7188</v>
      </c>
      <c r="H794" s="2210" t="n">
        <f aca="false">D794*E794*$H$793</f>
        <v>0</v>
      </c>
      <c r="I794" s="2784" t="n">
        <f aca="false">IF(G794&gt;H794,G794,H794)*$H$792</f>
        <v>0</v>
      </c>
      <c r="J794" s="2744"/>
      <c r="K794" s="226" t="n">
        <f aca="false">D794-J794</f>
        <v>3.72417188</v>
      </c>
      <c r="L794" s="2736"/>
    </row>
    <row r="795" customFormat="false" ht="15.5" hidden="false" customHeight="false" outlineLevel="0" collapsed="false">
      <c r="A795" s="2719"/>
      <c r="B795" s="122" t="str">
        <f aca="false">дома!A1940</f>
        <v>Оцилиндрованное бревно сосна 260мм</v>
      </c>
      <c r="C795" s="88" t="str">
        <f aca="false">дома!B1940</f>
        <v>м3</v>
      </c>
      <c r="D795" s="122" t="n">
        <f aca="false">дома!C1940</f>
        <v>24.29467612</v>
      </c>
      <c r="E795" s="89" t="n">
        <f aca="false">дома!D1940</f>
        <v>8500</v>
      </c>
      <c r="F795" s="89"/>
      <c r="G795" s="122" t="n">
        <f aca="false">IF(F795&gt;0,D795*F795,E795*D795)</f>
        <v>206504.74702</v>
      </c>
      <c r="H795" s="2210" t="n">
        <f aca="false">D795*E795*$H$793</f>
        <v>0</v>
      </c>
      <c r="I795" s="2784" t="n">
        <f aca="false">IF(G795&gt;H795,G795,H795)*$H$792</f>
        <v>0</v>
      </c>
      <c r="J795" s="2744"/>
      <c r="K795" s="226" t="n">
        <f aca="false">D795-J795</f>
        <v>24.29467612</v>
      </c>
      <c r="L795" s="2736"/>
    </row>
    <row r="796" customFormat="false" ht="15.5" hidden="false" customHeight="false" outlineLevel="0" collapsed="false">
      <c r="A796" s="2719"/>
      <c r="B796" s="122" t="str">
        <f aca="false">дома!A1941</f>
        <v>Оцилиндрованное бревно сосна 200мм</v>
      </c>
      <c r="C796" s="88" t="str">
        <f aca="false">дома!B1941</f>
        <v>м3</v>
      </c>
      <c r="D796" s="122" t="n">
        <f aca="false">дома!C1941</f>
        <v>0</v>
      </c>
      <c r="E796" s="89" t="n">
        <f aca="false">дома!D1941</f>
        <v>8000</v>
      </c>
      <c r="F796" s="89"/>
      <c r="G796" s="122" t="n">
        <f aca="false">IF(F796&gt;0,D796*F796,E796*D796)</f>
        <v>0</v>
      </c>
      <c r="H796" s="2210" t="n">
        <f aca="false">D796*E796*$H$793</f>
        <v>0</v>
      </c>
      <c r="I796" s="2784" t="n">
        <f aca="false">IF(G796&gt;H796,G796,H796)*$H$792</f>
        <v>0</v>
      </c>
      <c r="J796" s="2744"/>
      <c r="K796" s="226" t="n">
        <f aca="false">D796-J796</f>
        <v>0</v>
      </c>
      <c r="L796" s="2736"/>
    </row>
    <row r="797" customFormat="false" ht="15.5" hidden="false" customHeight="false" outlineLevel="0" collapsed="false">
      <c r="A797" s="2719"/>
      <c r="B797" s="122" t="str">
        <f aca="false">дома!A1942</f>
        <v>Оцилиндрованное бревно сосна 200мм</v>
      </c>
      <c r="C797" s="88" t="str">
        <f aca="false">дома!B1942</f>
        <v>м2</v>
      </c>
      <c r="D797" s="122" t="n">
        <f aca="false">дома!C1942</f>
        <v>0</v>
      </c>
      <c r="E797" s="89" t="n">
        <f aca="false">дома!D1942</f>
        <v>8000</v>
      </c>
      <c r="F797" s="89"/>
      <c r="G797" s="122" t="n">
        <f aca="false">IF(F797&gt;0,D797*F797,E797*D797)</f>
        <v>0</v>
      </c>
      <c r="H797" s="2210" t="n">
        <f aca="false">D797*E797*$H$793</f>
        <v>0</v>
      </c>
      <c r="I797" s="2784" t="n">
        <f aca="false">IF(G797&gt;H797,G797,H797)*$H$792</f>
        <v>0</v>
      </c>
      <c r="J797" s="2744"/>
      <c r="K797" s="226" t="n">
        <f aca="false">D797-J797</f>
        <v>0</v>
      </c>
      <c r="L797" s="2736"/>
    </row>
    <row r="798" customFormat="false" ht="15.5" hidden="false" customHeight="false" outlineLevel="0" collapsed="false">
      <c r="A798" s="2719"/>
      <c r="B798" s="122" t="str">
        <f aca="false">дома!A1943</f>
        <v>Шкант</v>
      </c>
      <c r="C798" s="88" t="str">
        <f aca="false">дома!B1943</f>
        <v>шт</v>
      </c>
      <c r="D798" s="122" t="n">
        <f aca="false">дома!C1943</f>
        <v>617</v>
      </c>
      <c r="E798" s="89" t="n">
        <f aca="false">дома!D1943</f>
        <v>6</v>
      </c>
      <c r="F798" s="89"/>
      <c r="G798" s="122" t="n">
        <f aca="false">IF(F798&gt;0,D798*F798,E798*D798)</f>
        <v>3702</v>
      </c>
      <c r="H798" s="2210" t="n">
        <f aca="false">D798*E798*$H$793</f>
        <v>0</v>
      </c>
      <c r="I798" s="2784" t="n">
        <f aca="false">IF(G798&gt;H798,G798,H798)*$H$792</f>
        <v>0</v>
      </c>
      <c r="J798" s="2744"/>
      <c r="K798" s="226" t="n">
        <f aca="false">D798-J798</f>
        <v>617</v>
      </c>
      <c r="L798" s="2736"/>
    </row>
    <row r="799" customFormat="false" ht="15.5" hidden="false" customHeight="false" outlineLevel="0" collapsed="false">
      <c r="A799" s="2719"/>
      <c r="B799" s="122" t="str">
        <f aca="false">дома!A1944</f>
        <v>Лен-джут 200х5х20000 мм</v>
      </c>
      <c r="C799" s="88" t="str">
        <f aca="false">дома!B1944</f>
        <v>шт</v>
      </c>
      <c r="D799" s="122" t="n">
        <f aca="false">дома!C1944</f>
        <v>33</v>
      </c>
      <c r="E799" s="89" t="n">
        <f aca="false">дома!D1944</f>
        <v>175</v>
      </c>
      <c r="F799" s="89"/>
      <c r="G799" s="122" t="n">
        <f aca="false">IF(F799&gt;0,D799*F799,E799*D799)</f>
        <v>5775</v>
      </c>
      <c r="H799" s="2210" t="n">
        <f aca="false">D799*E799*$H$793</f>
        <v>0</v>
      </c>
      <c r="I799" s="2784" t="n">
        <f aca="false">IF(G799&gt;H799,G799,H799)*$H$792</f>
        <v>0</v>
      </c>
      <c r="J799" s="2744"/>
      <c r="K799" s="226" t="n">
        <f aca="false">D799-J799</f>
        <v>33</v>
      </c>
      <c r="L799" s="2736"/>
    </row>
    <row r="800" customFormat="false" ht="15.5" hidden="false" customHeight="false" outlineLevel="0" collapsed="false">
      <c r="A800" s="2719"/>
      <c r="B800" s="122" t="str">
        <f aca="false">дома!A1945</f>
        <v>Гвозди ершоные 2,8 х 90</v>
      </c>
      <c r="C800" s="88" t="str">
        <f aca="false">дома!B1945</f>
        <v>шт</v>
      </c>
      <c r="D800" s="122" t="n">
        <f aca="false">дома!C1945</f>
        <v>4.84</v>
      </c>
      <c r="E800" s="89" t="n">
        <f aca="false">дома!D1945</f>
        <v>76.49</v>
      </c>
      <c r="F800" s="89"/>
      <c r="G800" s="122" t="n">
        <f aca="false">IF(F800&gt;0,D800*F800,E800*D800)</f>
        <v>370.2116</v>
      </c>
      <c r="H800" s="2210" t="n">
        <f aca="false">D800*E800*$H$793</f>
        <v>0</v>
      </c>
      <c r="I800" s="2784" t="n">
        <f aca="false">IF(G800&gt;H800,G800,H800)*$H$792</f>
        <v>0</v>
      </c>
      <c r="J800" s="2744"/>
      <c r="K800" s="226" t="n">
        <f aca="false">D800-J800</f>
        <v>4.84</v>
      </c>
      <c r="L800" s="2736"/>
    </row>
    <row r="801" customFormat="false" ht="15.5" hidden="false" customHeight="false" outlineLevel="0" collapsed="false">
      <c r="A801" s="2719"/>
      <c r="B801" s="122" t="str">
        <f aca="false">дома!A1946</f>
        <v>нет</v>
      </c>
      <c r="C801" s="88" t="str">
        <f aca="false">дома!B1946</f>
        <v>м3</v>
      </c>
      <c r="D801" s="122" t="n">
        <f aca="false">дома!C1946</f>
        <v>0</v>
      </c>
      <c r="E801" s="89" t="n">
        <f aca="false">дома!D1946</f>
        <v>0</v>
      </c>
      <c r="F801" s="89"/>
      <c r="G801" s="122" t="n">
        <f aca="false">IF(F801&gt;0,D801*F801,E801*D801)</f>
        <v>0</v>
      </c>
      <c r="H801" s="2210" t="n">
        <f aca="false">D801*E801*$H$793</f>
        <v>0</v>
      </c>
      <c r="I801" s="2784" t="n">
        <f aca="false">IF(G801&gt;H801,G801,H801)*$H$792</f>
        <v>0</v>
      </c>
      <c r="J801" s="2744"/>
      <c r="K801" s="226" t="n">
        <f aca="false">D801-J801</f>
        <v>0</v>
      </c>
      <c r="L801" s="2736"/>
    </row>
    <row r="802" customFormat="false" ht="15.5" hidden="false" customHeight="false" outlineLevel="0" collapsed="false">
      <c r="A802" s="2719"/>
      <c r="B802" s="122" t="str">
        <f aca="false">дома!A1947</f>
        <v>Доска сухая, 100*50мм</v>
      </c>
      <c r="C802" s="88" t="str">
        <f aca="false">дома!B1947</f>
        <v>м3</v>
      </c>
      <c r="D802" s="122" t="n">
        <f aca="false">дома!C1947</f>
        <v>0</v>
      </c>
      <c r="E802" s="89" t="n">
        <f aca="false">дома!D1947</f>
        <v>9000</v>
      </c>
      <c r="F802" s="89"/>
      <c r="G802" s="122" t="n">
        <f aca="false">IF(F802&gt;0,D802*F802,E802*D802)</f>
        <v>0</v>
      </c>
      <c r="H802" s="2210" t="n">
        <f aca="false">D802*E802*$H$793</f>
        <v>0</v>
      </c>
      <c r="I802" s="2784" t="n">
        <f aca="false">IF(G802&gt;H802,G802,H802)*$H$792</f>
        <v>0</v>
      </c>
      <c r="J802" s="2744"/>
      <c r="K802" s="226" t="n">
        <f aca="false">D802-J802</f>
        <v>0</v>
      </c>
      <c r="L802" s="2736"/>
    </row>
    <row r="803" customFormat="false" ht="15.5" hidden="false" customHeight="false" outlineLevel="0" collapsed="false">
      <c r="A803" s="2719"/>
      <c r="B803" s="122" t="str">
        <f aca="false">дома!A1948</f>
        <v>Доска сухая калиброванная, 100*45мм</v>
      </c>
      <c r="C803" s="88" t="str">
        <f aca="false">дома!B1948</f>
        <v>м3</v>
      </c>
      <c r="D803" s="122" t="n">
        <f aca="false">дома!C1948</f>
        <v>0</v>
      </c>
      <c r="E803" s="89" t="n">
        <f aca="false">дома!D1948</f>
        <v>12500</v>
      </c>
      <c r="F803" s="89"/>
      <c r="G803" s="122" t="n">
        <f aca="false">IF(F803&gt;0,D803*F803,E803*D803)</f>
        <v>0</v>
      </c>
      <c r="H803" s="2210" t="n">
        <f aca="false">D803*E803*$H$793</f>
        <v>0</v>
      </c>
      <c r="I803" s="2784" t="n">
        <f aca="false">IF(G803&gt;H803,G803,H803)*$H$792</f>
        <v>0</v>
      </c>
      <c r="J803" s="2744"/>
      <c r="K803" s="226" t="n">
        <f aca="false">D803-J803</f>
        <v>0</v>
      </c>
      <c r="L803" s="2736"/>
    </row>
    <row r="804" customFormat="false" ht="15.5" hidden="false" customHeight="false" outlineLevel="0" collapsed="false">
      <c r="A804" s="2719"/>
      <c r="B804" s="122" t="str">
        <f aca="false">дома!A1949</f>
        <v>Сосна влаж, 50*50мм</v>
      </c>
      <c r="C804" s="88" t="str">
        <f aca="false">дома!B1949</f>
        <v>м.п.</v>
      </c>
      <c r="D804" s="122" t="n">
        <f aca="false">дома!C1949</f>
        <v>0</v>
      </c>
      <c r="E804" s="89" t="n">
        <f aca="false">дома!D1949</f>
        <v>16.25</v>
      </c>
      <c r="F804" s="89"/>
      <c r="G804" s="122" t="n">
        <f aca="false">IF(F804&gt;0,D804*F804,E804*D804)</f>
        <v>0</v>
      </c>
      <c r="H804" s="2210" t="n">
        <f aca="false">D804*E804*$H$793</f>
        <v>0</v>
      </c>
      <c r="I804" s="2784" t="n">
        <f aca="false">IF(G804&gt;H804,G804,H804)*$H$792</f>
        <v>0</v>
      </c>
      <c r="J804" s="2744"/>
      <c r="K804" s="226" t="n">
        <f aca="false">D804-J804</f>
        <v>0</v>
      </c>
      <c r="L804" s="2736"/>
    </row>
    <row r="805" customFormat="false" ht="15.5" hidden="false" customHeight="false" outlineLevel="0" collapsed="false">
      <c r="A805" s="2719"/>
      <c r="B805" s="122" t="str">
        <f aca="false">дома!A1950</f>
        <v>Бензин для пилы</v>
      </c>
      <c r="C805" s="88" t="str">
        <f aca="false">дома!B1950</f>
        <v>л</v>
      </c>
      <c r="D805" s="122" t="n">
        <f aca="false">дома!C1950</f>
        <v>7.004712</v>
      </c>
      <c r="E805" s="89" t="n">
        <f aca="false">дома!D1950</f>
        <v>40</v>
      </c>
      <c r="F805" s="89"/>
      <c r="G805" s="122" t="n">
        <f aca="false">IF(F805&gt;0,D805*F805,E805*D805)</f>
        <v>280.18848</v>
      </c>
      <c r="H805" s="2210" t="n">
        <f aca="false">D805*E805*$H$793</f>
        <v>0</v>
      </c>
      <c r="I805" s="2784" t="n">
        <f aca="false">IF(G805&gt;H805,G805,H805)*$H$792</f>
        <v>0</v>
      </c>
      <c r="J805" s="2744"/>
      <c r="K805" s="226" t="n">
        <f aca="false">D805-J805</f>
        <v>7.004712</v>
      </c>
      <c r="L805" s="2736"/>
    </row>
    <row r="806" customFormat="false" ht="15.5" hidden="false" customHeight="false" outlineLevel="0" collapsed="false">
      <c r="A806" s="2719"/>
      <c r="B806" s="122" t="str">
        <f aca="false">дома!A1951</f>
        <v>Масло для пилы</v>
      </c>
      <c r="C806" s="88" t="str">
        <f aca="false">дома!B1951</f>
        <v>л</v>
      </c>
      <c r="D806" s="122" t="n">
        <f aca="false">дома!C1951</f>
        <v>0.3502356</v>
      </c>
      <c r="E806" s="89" t="n">
        <f aca="false">дома!D1951</f>
        <v>250</v>
      </c>
      <c r="F806" s="89"/>
      <c r="G806" s="122" t="n">
        <f aca="false">IF(F806&gt;0,D806*F806,E806*D806)</f>
        <v>87.5589</v>
      </c>
      <c r="H806" s="2210" t="n">
        <f aca="false">D806*E806*$H$793</f>
        <v>0</v>
      </c>
      <c r="I806" s="2784" t="n">
        <f aca="false">IF(G806&gt;H806,G806,H806)*$H$792</f>
        <v>0</v>
      </c>
      <c r="J806" s="2744"/>
      <c r="K806" s="226" t="n">
        <f aca="false">D806-J806</f>
        <v>0.3502356</v>
      </c>
      <c r="L806" s="2736"/>
    </row>
    <row r="807" customFormat="false" ht="15.5" hidden="false" customHeight="false" outlineLevel="0" collapsed="false">
      <c r="A807" s="2719"/>
      <c r="B807" s="122" t="str">
        <f aca="false">дома!A1952</f>
        <v>Цепь для пилы</v>
      </c>
      <c r="C807" s="88" t="s">
        <v>159</v>
      </c>
      <c r="D807" s="122" t="n">
        <f aca="false">дома!C1952</f>
        <v>3</v>
      </c>
      <c r="E807" s="89" t="n">
        <f aca="false">дома!D1952</f>
        <v>800</v>
      </c>
      <c r="F807" s="89"/>
      <c r="G807" s="122" t="n">
        <f aca="false">IF(F807&gt;0,D807*F807,E807*D807)</f>
        <v>2400</v>
      </c>
      <c r="H807" s="2210" t="n">
        <f aca="false">D807*E807*$H$793</f>
        <v>0</v>
      </c>
      <c r="I807" s="2784" t="n">
        <f aca="false">IF(G807&gt;H807,G807,H807)*$H$792</f>
        <v>0</v>
      </c>
      <c r="J807" s="2744"/>
      <c r="K807" s="226" t="n">
        <f aca="false">D807-J807</f>
        <v>3</v>
      </c>
      <c r="L807" s="2736"/>
    </row>
    <row r="808" customFormat="false" ht="15.5" hidden="false" customHeight="false" outlineLevel="0" collapsed="false">
      <c r="A808" s="2719"/>
      <c r="B808" s="122" t="str">
        <f aca="false">дома!A1953</f>
        <v>"Профилюкс" Антисептик АНТИПЛЕСЕНЬ</v>
      </c>
      <c r="C808" s="88" t="str">
        <f aca="false">дома!B1953</f>
        <v>л</v>
      </c>
      <c r="D808" s="122" t="n">
        <f aca="false">дома!C1953</f>
        <v>39.1872</v>
      </c>
      <c r="E808" s="89" t="n">
        <f aca="false">дома!D1953</f>
        <v>108</v>
      </c>
      <c r="F808" s="89"/>
      <c r="G808" s="122" t="n">
        <f aca="false">IF(F808&gt;0,D808*F808,E808*D808)</f>
        <v>4232.2176</v>
      </c>
      <c r="H808" s="2210" t="n">
        <f aca="false">D808*E808*$H$793</f>
        <v>0</v>
      </c>
      <c r="I808" s="2784" t="n">
        <f aca="false">IF(G808&gt;H808,G808,H808)*$H$792</f>
        <v>0</v>
      </c>
      <c r="J808" s="2744"/>
      <c r="K808" s="226" t="n">
        <f aca="false">D808-J808</f>
        <v>39.1872</v>
      </c>
      <c r="L808" s="2736"/>
    </row>
    <row r="809" customFormat="false" ht="15.5" hidden="false" customHeight="false" outlineLevel="0" collapsed="false">
      <c r="A809" s="2719"/>
      <c r="B809" s="122" t="str">
        <f aca="false">дома!A1954</f>
        <v>"Тонерол" Антисептик  бесцветный  1л</v>
      </c>
      <c r="C809" s="88" t="str">
        <f aca="false">дома!B1954</f>
        <v>л</v>
      </c>
      <c r="D809" s="122" t="n">
        <f aca="false">дома!C1954</f>
        <v>23.51232</v>
      </c>
      <c r="E809" s="89" t="n">
        <f aca="false">дома!D1954</f>
        <v>305</v>
      </c>
      <c r="F809" s="89"/>
      <c r="G809" s="122" t="n">
        <f aca="false">IF(F809&gt;0,D809*F809,E809*D809)</f>
        <v>7171.2576</v>
      </c>
      <c r="H809" s="2210" t="n">
        <f aca="false">D809*E809*$H$793</f>
        <v>0</v>
      </c>
      <c r="I809" s="2784" t="n">
        <f aca="false">IF(G809&gt;H809,G809,H809)*$H$792</f>
        <v>0</v>
      </c>
      <c r="J809" s="2744"/>
      <c r="K809" s="226" t="n">
        <f aca="false">D809-J809</f>
        <v>23.51232</v>
      </c>
      <c r="L809" s="2736"/>
    </row>
    <row r="810" customFormat="false" ht="15.5" hidden="false" customHeight="false" outlineLevel="0" collapsed="false">
      <c r="A810" s="2719"/>
      <c r="B810" s="122" t="str">
        <f aca="false">дома!A1955</f>
        <v>"Тонерол" Антисептик  махагон  1л</v>
      </c>
      <c r="C810" s="88" t="str">
        <f aca="false">дома!B1955</f>
        <v>л</v>
      </c>
      <c r="D810" s="122" t="n">
        <f aca="false">дома!C1955</f>
        <v>23.51232</v>
      </c>
      <c r="E810" s="89" t="n">
        <f aca="false">дома!D1955</f>
        <v>305</v>
      </c>
      <c r="F810" s="89"/>
      <c r="G810" s="122" t="n">
        <f aca="false">IF(F810&gt;0,D810*F810,E810*D810)</f>
        <v>7171.2576</v>
      </c>
      <c r="H810" s="2210" t="n">
        <f aca="false">D810*E810*$H$793</f>
        <v>0</v>
      </c>
      <c r="I810" s="2784" t="n">
        <f aca="false">IF(G810&gt;H810,G810,H810)*$H$792</f>
        <v>0</v>
      </c>
      <c r="J810" s="2744"/>
      <c r="K810" s="226" t="n">
        <f aca="false">D810-J810</f>
        <v>23.51232</v>
      </c>
      <c r="L810" s="2736"/>
    </row>
    <row r="811" customFormat="false" ht="15.5" hidden="false" customHeight="false" outlineLevel="0" collapsed="false">
      <c r="A811" s="2719"/>
      <c r="B811" s="122" t="str">
        <f aca="false">дома!A1956</f>
        <v>Нет наличника</v>
      </c>
      <c r="C811" s="88" t="str">
        <f aca="false">дома!B1956</f>
        <v>м.п.</v>
      </c>
      <c r="D811" s="122" t="n">
        <f aca="false">дома!C1956</f>
        <v>3.57</v>
      </c>
      <c r="E811" s="89" t="n">
        <f aca="false">дома!D1956</f>
        <v>0</v>
      </c>
      <c r="F811" s="89"/>
      <c r="G811" s="122" t="n">
        <f aca="false">IF(F811&gt;0,D811*F811,E811*D811)</f>
        <v>0</v>
      </c>
      <c r="H811" s="2210" t="n">
        <f aca="false">D811*E811*$H$793</f>
        <v>0</v>
      </c>
      <c r="I811" s="2784" t="n">
        <f aca="false">IF(G811&gt;H811,G811,H811)*$H$792</f>
        <v>0</v>
      </c>
      <c r="J811" s="2744"/>
      <c r="K811" s="226" t="n">
        <f aca="false">D811-J811</f>
        <v>3.57</v>
      </c>
      <c r="L811" s="2736"/>
    </row>
    <row r="812" customFormat="false" ht="15.5" hidden="false" customHeight="false" outlineLevel="0" collapsed="false">
      <c r="A812" s="2719"/>
      <c r="B812" s="122" t="str">
        <f aca="false">дома!A1957</f>
        <v>Нет наличника</v>
      </c>
      <c r="C812" s="88" t="str">
        <f aca="false">дома!B1957</f>
        <v>м.п.</v>
      </c>
      <c r="D812" s="122" t="n">
        <f aca="false">дома!C1957</f>
        <v>3.57</v>
      </c>
      <c r="E812" s="89" t="n">
        <f aca="false">дома!D1957</f>
        <v>0</v>
      </c>
      <c r="F812" s="89"/>
      <c r="G812" s="122" t="n">
        <f aca="false">IF(F812&gt;0,D812*F812,E812*D812)</f>
        <v>0</v>
      </c>
      <c r="H812" s="2210" t="n">
        <f aca="false">D812*E812*$H$793</f>
        <v>0</v>
      </c>
      <c r="I812" s="2784" t="n">
        <f aca="false">IF(G812&gt;H812,G812,H812)*$H$792</f>
        <v>0</v>
      </c>
      <c r="J812" s="2744"/>
      <c r="K812" s="226" t="n">
        <f aca="false">D812-J812</f>
        <v>3.57</v>
      </c>
      <c r="L812" s="2736"/>
    </row>
    <row r="813" customFormat="false" ht="15.5" hidden="false" customHeight="false" outlineLevel="0" collapsed="false">
      <c r="A813" s="2719"/>
      <c r="B813" s="122" t="str">
        <f aca="false">дома!A1958</f>
        <v>Бумага наждачная № 63 F(30)</v>
      </c>
      <c r="C813" s="88" t="str">
        <f aca="false">дома!B1958</f>
        <v>м</v>
      </c>
      <c r="D813" s="122" t="n">
        <f aca="false">дома!C1958</f>
        <v>5</v>
      </c>
      <c r="E813" s="89" t="n">
        <f aca="false">дома!D1958</f>
        <v>291</v>
      </c>
      <c r="F813" s="89"/>
      <c r="G813" s="122" t="n">
        <f aca="false">IF(F813&gt;0,D813*F813,E813*D813)</f>
        <v>1455</v>
      </c>
      <c r="H813" s="2210" t="n">
        <f aca="false">D813*E813*$H$793</f>
        <v>0</v>
      </c>
      <c r="I813" s="2784" t="n">
        <f aca="false">IF(G813&gt;H813,G813,H813)*$H$792</f>
        <v>0</v>
      </c>
      <c r="J813" s="2744"/>
      <c r="K813" s="226" t="n">
        <f aca="false">D813-J813</f>
        <v>5</v>
      </c>
      <c r="L813" s="2736"/>
    </row>
    <row r="814" customFormat="false" ht="15.5" hidden="false" customHeight="false" outlineLevel="0" collapsed="false">
      <c r="A814" s="2719"/>
      <c r="B814" s="122" t="str">
        <f aca="false">дома!A1959</f>
        <v>Нет наждачной бумаги</v>
      </c>
      <c r="C814" s="88" t="str">
        <f aca="false">дома!B1959</f>
        <v>м</v>
      </c>
      <c r="D814" s="122" t="n">
        <f aca="false">дома!C1959</f>
        <v>0</v>
      </c>
      <c r="E814" s="89" t="n">
        <f aca="false">дома!D1959</f>
        <v>0</v>
      </c>
      <c r="F814" s="89"/>
      <c r="G814" s="122" t="n">
        <f aca="false">IF(F814&gt;0,D814*F814,E814*D814)</f>
        <v>0</v>
      </c>
      <c r="H814" s="2210" t="n">
        <f aca="false">D814*E814*$H$793</f>
        <v>0</v>
      </c>
      <c r="I814" s="2784" t="n">
        <f aca="false">IF(G814&gt;H814,G814,H814)*$H$792</f>
        <v>0</v>
      </c>
      <c r="J814" s="2744"/>
      <c r="K814" s="226" t="n">
        <f aca="false">D814-J814</f>
        <v>0</v>
      </c>
      <c r="L814" s="2736"/>
    </row>
    <row r="815" customFormat="false" ht="15.5" hidden="false" customHeight="false" outlineLevel="0" collapsed="false">
      <c r="A815" s="2719"/>
      <c r="B815" s="122" t="str">
        <f aca="false">дома!A1960</f>
        <v>Бумага наждачная № 63 F(30)</v>
      </c>
      <c r="C815" s="88" t="str">
        <f aca="false">дома!B1960</f>
        <v>м</v>
      </c>
      <c r="D815" s="122" t="n">
        <f aca="false">дома!C1960</f>
        <v>0</v>
      </c>
      <c r="E815" s="89" t="n">
        <f aca="false">дома!D1960</f>
        <v>291</v>
      </c>
      <c r="F815" s="89"/>
      <c r="G815" s="122" t="n">
        <f aca="false">IF(F815&gt;0,D815*F815,E815*D815)</f>
        <v>0</v>
      </c>
      <c r="H815" s="2210" t="n">
        <f aca="false">D815*E815*$H$793</f>
        <v>0</v>
      </c>
      <c r="I815" s="2784" t="n">
        <f aca="false">IF(G815&gt;H815,G815,H815)*$H$792</f>
        <v>0</v>
      </c>
      <c r="J815" s="2744"/>
      <c r="K815" s="226" t="n">
        <f aca="false">D815-J815</f>
        <v>0</v>
      </c>
      <c r="L815" s="2736"/>
    </row>
    <row r="816" customFormat="false" ht="15.5" hidden="false" customHeight="false" outlineLevel="0" collapsed="false">
      <c r="A816" s="2719"/>
      <c r="B816" s="122" t="str">
        <f aca="false">дома!A1961</f>
        <v>Бумага наждачная № 40</v>
      </c>
      <c r="C816" s="88" t="str">
        <f aca="false">дома!B1961</f>
        <v>м</v>
      </c>
      <c r="D816" s="122" t="n">
        <f aca="false">дома!C1961</f>
        <v>0</v>
      </c>
      <c r="E816" s="89" t="n">
        <f aca="false">дома!D1961</f>
        <v>240</v>
      </c>
      <c r="F816" s="89"/>
      <c r="G816" s="122" t="n">
        <f aca="false">IF(F816&gt;0,D816*F816,E816*D816)</f>
        <v>0</v>
      </c>
      <c r="H816" s="2210" t="n">
        <f aca="false">D816*E816*$H$793</f>
        <v>0</v>
      </c>
      <c r="I816" s="2784" t="n">
        <f aca="false">IF(G816&gt;H816,G816,H816)*$H$792</f>
        <v>0</v>
      </c>
      <c r="J816" s="2744"/>
      <c r="K816" s="226" t="n">
        <f aca="false">D816-J816</f>
        <v>0</v>
      </c>
      <c r="L816" s="2736"/>
    </row>
    <row r="817" customFormat="false" ht="15.5" hidden="false" customHeight="false" outlineLevel="0" collapsed="false">
      <c r="A817" s="2719"/>
      <c r="B817" s="2748" t="s">
        <v>4640</v>
      </c>
      <c r="C817" s="2748"/>
      <c r="D817" s="2748"/>
      <c r="E817" s="2748"/>
      <c r="F817" s="2748"/>
      <c r="G817" s="85" t="n">
        <f aca="false">SUM(G794:G816)*H792</f>
        <v>0</v>
      </c>
      <c r="H817" s="85" t="n">
        <f aca="false">SUM(H794:H816)</f>
        <v>0</v>
      </c>
      <c r="I817" s="2784" t="n">
        <f aca="false">IF(G817&gt;H817,G817,H817)*$H$792</f>
        <v>0</v>
      </c>
      <c r="J817" s="2744"/>
      <c r="K817" s="226" t="n">
        <f aca="false">D817-J817</f>
        <v>0</v>
      </c>
      <c r="L817" s="2736"/>
    </row>
    <row r="818" customFormat="false" ht="15.5" hidden="false" customHeight="false" outlineLevel="0" collapsed="false">
      <c r="A818" s="2719"/>
      <c r="B818" s="2750" t="s">
        <v>1409</v>
      </c>
      <c r="C818" s="2750"/>
      <c r="D818" s="2750"/>
      <c r="E818" s="2750"/>
      <c r="F818" s="2750"/>
      <c r="G818" s="905"/>
      <c r="H818" s="2766" t="n">
        <f aca="false">H792</f>
        <v>0</v>
      </c>
      <c r="I818" s="2757" t="n">
        <f aca="false">H818</f>
        <v>0</v>
      </c>
      <c r="J818" s="2752"/>
      <c r="K818" s="2753"/>
    </row>
    <row r="819" customFormat="false" ht="15.5" hidden="false" customHeight="false" outlineLevel="0" collapsed="false">
      <c r="A819" s="2712"/>
      <c r="B819" s="2648" t="str">
        <f aca="false">дома!G1939</f>
        <v>кладка Оцилиндрованного вревна</v>
      </c>
      <c r="C819" s="2765" t="s">
        <v>135</v>
      </c>
      <c r="D819" s="298" t="n">
        <f aca="false">дома!J1939</f>
        <v>28.018848</v>
      </c>
      <c r="E819" s="177" t="n">
        <f aca="false">дома!K1939</f>
        <v>6000</v>
      </c>
      <c r="F819" s="177"/>
      <c r="G819" s="122" t="n">
        <f aca="false">IF(F819&gt;0,D819*F819,E819*D819)</f>
        <v>168113.088</v>
      </c>
      <c r="H819" s="2210" t="n">
        <f aca="false">D819*E819*$H$818</f>
        <v>0</v>
      </c>
      <c r="I819" s="2718" t="n">
        <f aca="false">IF(G819&gt;H819,G819,H819)*$H$792</f>
        <v>0</v>
      </c>
      <c r="J819" s="2712"/>
      <c r="K819" s="2719"/>
    </row>
    <row r="820" customFormat="false" ht="15.5" hidden="false" customHeight="false" outlineLevel="0" collapsed="false">
      <c r="A820" s="2719"/>
      <c r="B820" s="2648" t="str">
        <f aca="false">дома!G1940</f>
        <v>окосячка проемов, м.п.</v>
      </c>
      <c r="C820" s="2765" t="s">
        <v>156</v>
      </c>
      <c r="D820" s="298" t="n">
        <f aca="false">дома!J1940</f>
        <v>0</v>
      </c>
      <c r="E820" s="177" t="n">
        <f aca="false">дома!K1940</f>
        <v>150</v>
      </c>
      <c r="F820" s="177"/>
      <c r="G820" s="122" t="n">
        <f aca="false">IF(F820&gt;0,D820*F820,E820*D820)</f>
        <v>0</v>
      </c>
      <c r="H820" s="2210" t="n">
        <f aca="false">D820*E820*$H$818</f>
        <v>0</v>
      </c>
      <c r="I820" s="2718" t="n">
        <f aca="false">IF(G820&gt;H820,G820,H820)*$H$792</f>
        <v>0</v>
      </c>
      <c r="J820" s="2712"/>
      <c r="K820" s="2719"/>
    </row>
    <row r="821" customFormat="false" ht="15.5" hidden="false" customHeight="false" outlineLevel="0" collapsed="false">
      <c r="A821" s="2719"/>
      <c r="B821" s="2648" t="str">
        <f aca="false">дома!G1941</f>
        <v>обработка торцов на брусе</v>
      </c>
      <c r="C821" s="2765" t="s">
        <v>156</v>
      </c>
      <c r="D821" s="298" t="n">
        <f aca="false">дома!J1941</f>
        <v>14.4</v>
      </c>
      <c r="E821" s="177" t="n">
        <f aca="false">дома!K1941</f>
        <v>250</v>
      </c>
      <c r="F821" s="177"/>
      <c r="G821" s="122" t="n">
        <f aca="false">IF(F821&gt;0,D821*F821,E821*D821)</f>
        <v>3600</v>
      </c>
      <c r="H821" s="2210" t="n">
        <f aca="false">D821*E821*$H$818</f>
        <v>0</v>
      </c>
      <c r="I821" s="2718" t="n">
        <f aca="false">IF(G821&gt;H821,G821,H821)*$H$792</f>
        <v>0</v>
      </c>
      <c r="J821" s="2712"/>
      <c r="K821" s="2719"/>
    </row>
    <row r="822" customFormat="false" ht="15.5" hidden="false" customHeight="false" outlineLevel="0" collapsed="false">
      <c r="A822" s="2719"/>
      <c r="B822" s="2648" t="str">
        <f aca="false">дома!G1942</f>
        <v>Обаботка огнебиозащитой</v>
      </c>
      <c r="C822" s="2765" t="s">
        <v>156</v>
      </c>
      <c r="D822" s="298" t="n">
        <f aca="false">дома!J1942</f>
        <v>28.018848</v>
      </c>
      <c r="E822" s="177" t="n">
        <f aca="false">дома!K1942</f>
        <v>300</v>
      </c>
      <c r="F822" s="177"/>
      <c r="G822" s="122" t="n">
        <f aca="false">IF(F822&gt;0,D822*F822,E822*D822)</f>
        <v>8405.6544</v>
      </c>
      <c r="H822" s="2210" t="n">
        <f aca="false">D822*E822*$H$818</f>
        <v>0</v>
      </c>
      <c r="I822" s="2718" t="n">
        <f aca="false">IF(G822&gt;H822,G822,H822)*$H$792</f>
        <v>0</v>
      </c>
      <c r="J822" s="2712"/>
      <c r="K822" s="2719"/>
    </row>
    <row r="823" customFormat="false" ht="15.5" hidden="false" customHeight="false" outlineLevel="0" collapsed="false">
      <c r="A823" s="2719"/>
      <c r="B823" s="2648" t="str">
        <f aca="false">дома!G1943</f>
        <v>Пропитка стен внешних</v>
      </c>
      <c r="C823" s="2765" t="s">
        <v>156</v>
      </c>
      <c r="D823" s="298" t="n">
        <f aca="false">дома!J1943</f>
        <v>117.5616</v>
      </c>
      <c r="E823" s="177" t="n">
        <f aca="false">дома!K1943</f>
        <v>100</v>
      </c>
      <c r="F823" s="177"/>
      <c r="G823" s="122" t="n">
        <f aca="false">IF(F823&gt;0,D823*F823,E823*D823)</f>
        <v>11756.16</v>
      </c>
      <c r="H823" s="2210" t="n">
        <f aca="false">D823*E823*$H$818</f>
        <v>0</v>
      </c>
      <c r="I823" s="2718" t="n">
        <f aca="false">IF(G823&gt;H823,G823,H823)*$H$792</f>
        <v>0</v>
      </c>
      <c r="J823" s="2712"/>
      <c r="K823" s="2719"/>
    </row>
    <row r="824" customFormat="false" ht="15.5" hidden="false" customHeight="false" outlineLevel="0" collapsed="false">
      <c r="A824" s="2719"/>
      <c r="B824" s="2648" t="str">
        <f aca="false">дома!G1944</f>
        <v>Пропитка внутенних стен</v>
      </c>
      <c r="C824" s="2765" t="s">
        <v>156</v>
      </c>
      <c r="D824" s="298" t="n">
        <f aca="false">дома!J1944</f>
        <v>117.5616</v>
      </c>
      <c r="E824" s="177" t="n">
        <f aca="false">дома!K1944</f>
        <v>100</v>
      </c>
      <c r="F824" s="177"/>
      <c r="G824" s="122" t="n">
        <f aca="false">IF(F824&gt;0,D824*F824,E824*D824)</f>
        <v>11756.16</v>
      </c>
      <c r="H824" s="2210" t="n">
        <f aca="false">D824*E824*$H$818</f>
        <v>0</v>
      </c>
      <c r="I824" s="2718" t="n">
        <f aca="false">IF(G824&gt;H824,G824,H824)*$H$792</f>
        <v>0</v>
      </c>
      <c r="J824" s="2712"/>
      <c r="K824" s="2719"/>
    </row>
    <row r="825" customFormat="false" ht="15.5" hidden="false" customHeight="false" outlineLevel="0" collapsed="false">
      <c r="A825" s="2719"/>
      <c r="B825" s="2648" t="str">
        <f aca="false">дома!G1945</f>
        <v>Сверление стен для скрытой проводки</v>
      </c>
      <c r="C825" s="2765" t="s">
        <v>156</v>
      </c>
      <c r="D825" s="298" t="n">
        <f aca="false">дома!J1945</f>
        <v>180</v>
      </c>
      <c r="E825" s="177" t="n">
        <f aca="false">дома!K1945</f>
        <v>300</v>
      </c>
      <c r="F825" s="177"/>
      <c r="G825" s="122" t="n">
        <f aca="false">IF(F825&gt;0,D825*F825,E825*D825)</f>
        <v>54000</v>
      </c>
      <c r="H825" s="2210" t="n">
        <f aca="false">D825*E825*$H$818</f>
        <v>0</v>
      </c>
      <c r="I825" s="2718" t="n">
        <f aca="false">IF(G825&gt;H825,G825,H825)*$H$792</f>
        <v>0</v>
      </c>
      <c r="J825" s="2712"/>
      <c r="K825" s="2719"/>
    </row>
    <row r="826" customFormat="false" ht="15.5" hidden="false" customHeight="false" outlineLevel="0" collapsed="false">
      <c r="A826" s="2719"/>
      <c r="B826" s="2648" t="str">
        <f aca="false">дома!G1946</f>
        <v>Монтаж наличника</v>
      </c>
      <c r="C826" s="2765" t="s">
        <v>156</v>
      </c>
      <c r="D826" s="298" t="n">
        <f aca="false">дома!J1946</f>
        <v>0</v>
      </c>
      <c r="E826" s="177" t="n">
        <f aca="false">дома!K1946</f>
        <v>80</v>
      </c>
      <c r="F826" s="177"/>
      <c r="G826" s="122" t="n">
        <f aca="false">IF(F826&gt;0,D826*F826,E826*D826)</f>
        <v>0</v>
      </c>
      <c r="H826" s="2210" t="n">
        <f aca="false">D826*E826*$H$818</f>
        <v>0</v>
      </c>
      <c r="I826" s="2718" t="n">
        <f aca="false">IF(G826&gt;H826,G826,H826)*$H$792</f>
        <v>0</v>
      </c>
      <c r="J826" s="2712"/>
      <c r="K826" s="2719"/>
    </row>
    <row r="827" customFormat="false" ht="15.5" hidden="false" customHeight="false" outlineLevel="0" collapsed="false">
      <c r="A827" s="2719"/>
      <c r="B827" s="2648" t="str">
        <f aca="false">дома!G1947</f>
        <v>Шлифовка стен дома</v>
      </c>
      <c r="C827" s="2765" t="s">
        <v>156</v>
      </c>
      <c r="D827" s="298" t="n">
        <f aca="false">дома!J1947</f>
        <v>121.44</v>
      </c>
      <c r="E827" s="177" t="n">
        <f aca="false">дома!K1947</f>
        <v>250</v>
      </c>
      <c r="F827" s="177"/>
      <c r="G827" s="122" t="n">
        <f aca="false">IF(F827&gt;0,D827*F827,E827*D827)</f>
        <v>30360</v>
      </c>
      <c r="H827" s="2210" t="n">
        <f aca="false">D827*E827*$H$818</f>
        <v>0</v>
      </c>
      <c r="I827" s="2718" t="n">
        <f aca="false">IF(G827&gt;H827,G827,H827)*$H$792</f>
        <v>0</v>
      </c>
      <c r="J827" s="2712"/>
      <c r="K827" s="2719"/>
    </row>
    <row r="828" customFormat="false" ht="15.5" hidden="false" customHeight="false" outlineLevel="0" collapsed="false">
      <c r="A828" s="2719"/>
      <c r="B828" s="2748" t="s">
        <v>4641</v>
      </c>
      <c r="C828" s="2748"/>
      <c r="D828" s="2748"/>
      <c r="E828" s="2748"/>
      <c r="F828" s="2748"/>
      <c r="G828" s="2210" t="n">
        <f aca="false">SUM(G819:G827)*H818</f>
        <v>0</v>
      </c>
      <c r="H828" s="2210" t="n">
        <f aca="false">SUM(H819:H827)</f>
        <v>0</v>
      </c>
      <c r="I828" s="2718" t="n">
        <f aca="false">IF(G828&gt;H828,G828,H828)*$H$792</f>
        <v>0</v>
      </c>
      <c r="J828" s="2712"/>
      <c r="K828" s="2719"/>
    </row>
    <row r="829" customFormat="false" ht="21" hidden="false" customHeight="false" outlineLevel="0" collapsed="false">
      <c r="A829" s="2719"/>
      <c r="B829" s="2762" t="s">
        <v>4254</v>
      </c>
      <c r="C829" s="2762"/>
      <c r="D829" s="2762"/>
      <c r="E829" s="2762"/>
      <c r="F829" s="2762"/>
      <c r="G829" s="905"/>
      <c r="H829" s="2774" t="n">
        <f aca="false">IF('Ввод данных'!$A$8=связи1!A159,1,0)+IF('Ввод данных'!$A$8=связи1!A165,1,0)+IF('Ввод данных'!$A$8=связи1!A173,1,0)+IF('Ввод данных'!$A$8=связи1!A181,1,0)</f>
        <v>0</v>
      </c>
      <c r="I829" s="2757" t="n">
        <f aca="false">H829</f>
        <v>0</v>
      </c>
      <c r="J829" s="2712"/>
      <c r="K829" s="2719"/>
    </row>
    <row r="830" customFormat="false" ht="15.5" hidden="false" customHeight="false" outlineLevel="0" collapsed="false">
      <c r="A830" s="2712"/>
      <c r="B830" s="2775" t="s">
        <v>2720</v>
      </c>
      <c r="C830" s="2775"/>
      <c r="D830" s="2775"/>
      <c r="E830" s="2775"/>
      <c r="F830" s="2775"/>
      <c r="G830" s="905"/>
      <c r="H830" s="2776" t="n">
        <f aca="false">H829</f>
        <v>0</v>
      </c>
      <c r="I830" s="2757" t="n">
        <f aca="false">H830</f>
        <v>0</v>
      </c>
      <c r="J830" s="2732"/>
      <c r="K830" s="2733"/>
    </row>
    <row r="831" customFormat="false" ht="15.5" hidden="false" customHeight="false" outlineLevel="0" collapsed="false">
      <c r="A831" s="2712"/>
      <c r="B831" s="122" t="str">
        <f aca="false">дома!A1830</f>
        <v>Листв. влаж, 200*200мм</v>
      </c>
      <c r="C831" s="88" t="str">
        <f aca="false">дома!B1830</f>
        <v>м3</v>
      </c>
      <c r="D831" s="122" t="n">
        <f aca="false">дома!C1830</f>
        <v>2.552</v>
      </c>
      <c r="E831" s="89" t="n">
        <f aca="false">дома!D1830</f>
        <v>9000</v>
      </c>
      <c r="F831" s="89"/>
      <c r="G831" s="122" t="n">
        <f aca="false">IF(F831&gt;0,D831*F831,E831*D831)</f>
        <v>22968</v>
      </c>
      <c r="H831" s="85" t="n">
        <f aca="false">D831*E831*$H$830</f>
        <v>0</v>
      </c>
      <c r="I831" s="2784" t="n">
        <f aca="false">IF(G831&gt;H831,G831,H831)*$H$829</f>
        <v>0</v>
      </c>
      <c r="J831" s="2744"/>
      <c r="K831" s="226" t="n">
        <f aca="false">D831-J831</f>
        <v>2.552</v>
      </c>
      <c r="L831" s="2736"/>
    </row>
    <row r="832" customFormat="false" ht="15.5" hidden="false" customHeight="false" outlineLevel="0" collapsed="false">
      <c r="A832" s="2719"/>
      <c r="B832" s="122" t="str">
        <f aca="false">дома!A1831</f>
        <v>Сосна влаж, 200*200мм</v>
      </c>
      <c r="C832" s="88" t="str">
        <f aca="false">дома!B1831</f>
        <v>м3</v>
      </c>
      <c r="D832" s="122" t="n">
        <f aca="false">дома!C1831</f>
        <v>21.736</v>
      </c>
      <c r="E832" s="89" t="n">
        <f aca="false">дома!D1831</f>
        <v>6500</v>
      </c>
      <c r="F832" s="89"/>
      <c r="G832" s="122" t="n">
        <f aca="false">IF(F832&gt;0,D832*F832,E832*D832)</f>
        <v>141284</v>
      </c>
      <c r="H832" s="85" t="n">
        <f aca="false">D832*E832*$H$830</f>
        <v>0</v>
      </c>
      <c r="I832" s="2784" t="n">
        <f aca="false">IF(G832&gt;H832,G832,H832)*$H$829</f>
        <v>0</v>
      </c>
      <c r="J832" s="2744"/>
      <c r="K832" s="226" t="n">
        <f aca="false">D832-J832</f>
        <v>21.736</v>
      </c>
      <c r="L832" s="2736"/>
    </row>
    <row r="833" customFormat="false" ht="15.5" hidden="false" customHeight="false" outlineLevel="0" collapsed="false">
      <c r="A833" s="2719"/>
      <c r="B833" s="122" t="str">
        <f aca="false">дома!A1832</f>
        <v>Сосна влаж, 200*150мм</v>
      </c>
      <c r="C833" s="88" t="str">
        <f aca="false">дома!B1832</f>
        <v>м3</v>
      </c>
      <c r="D833" s="122" t="n">
        <f aca="false">дома!C1832</f>
        <v>0</v>
      </c>
      <c r="E833" s="89" t="n">
        <f aca="false">дома!D1832</f>
        <v>6500</v>
      </c>
      <c r="F833" s="89"/>
      <c r="G833" s="122" t="n">
        <f aca="false">IF(F833&gt;0,D833*F833,E833*D833)</f>
        <v>0</v>
      </c>
      <c r="H833" s="85" t="n">
        <f aca="false">D833*E833*$H$830</f>
        <v>0</v>
      </c>
      <c r="I833" s="2784" t="n">
        <f aca="false">IF(G833&gt;H833,G833,H833)*$H$829</f>
        <v>0</v>
      </c>
      <c r="J833" s="2744"/>
      <c r="K833" s="226" t="n">
        <f aca="false">D833-J833</f>
        <v>0</v>
      </c>
      <c r="L833" s="2736"/>
    </row>
    <row r="834" customFormat="false" ht="15.5" hidden="false" customHeight="false" outlineLevel="0" collapsed="false">
      <c r="A834" s="2719"/>
      <c r="B834" s="122" t="str">
        <f aca="false">дома!A1833</f>
        <v>Сосна влаж, 200*100мм</v>
      </c>
      <c r="C834" s="88" t="str">
        <f aca="false">дома!B1833</f>
        <v>м2</v>
      </c>
      <c r="D834" s="122" t="n">
        <f aca="false">дома!C1833</f>
        <v>0</v>
      </c>
      <c r="E834" s="89" t="n">
        <f aca="false">дома!D1833</f>
        <v>6500</v>
      </c>
      <c r="F834" s="89"/>
      <c r="G834" s="122" t="n">
        <f aca="false">IF(F834&gt;0,D834*F834,E834*D834)</f>
        <v>0</v>
      </c>
      <c r="H834" s="85" t="n">
        <f aca="false">D834*E834*$H$830</f>
        <v>0</v>
      </c>
      <c r="I834" s="2784" t="n">
        <f aca="false">IF(G834&gt;H834,G834,H834)*$H$829</f>
        <v>0</v>
      </c>
      <c r="J834" s="2744"/>
      <c r="K834" s="226" t="n">
        <f aca="false">D834-J834</f>
        <v>0</v>
      </c>
      <c r="L834" s="2736"/>
    </row>
    <row r="835" customFormat="false" ht="15.5" hidden="false" customHeight="false" outlineLevel="0" collapsed="false">
      <c r="A835" s="2719"/>
      <c r="B835" s="122" t="str">
        <f aca="false">дома!A1834</f>
        <v>Шкант</v>
      </c>
      <c r="C835" s="88" t="str">
        <f aca="false">дома!B1834</f>
        <v>шт</v>
      </c>
      <c r="D835" s="122" t="n">
        <f aca="false">дома!C1834</f>
        <v>535</v>
      </c>
      <c r="E835" s="89" t="n">
        <f aca="false">дома!D1834</f>
        <v>6</v>
      </c>
      <c r="F835" s="89"/>
      <c r="G835" s="122" t="n">
        <f aca="false">IF(F835&gt;0,D835*F835,E835*D835)</f>
        <v>3210</v>
      </c>
      <c r="H835" s="85" t="n">
        <f aca="false">D835*E835*$H$830</f>
        <v>0</v>
      </c>
      <c r="I835" s="2784" t="n">
        <f aca="false">IF(G835&gt;H835,G835,H835)*$H$829</f>
        <v>0</v>
      </c>
      <c r="J835" s="2744"/>
      <c r="K835" s="226" t="n">
        <f aca="false">D835-J835</f>
        <v>535</v>
      </c>
      <c r="L835" s="2736"/>
    </row>
    <row r="836" customFormat="false" ht="15.5" hidden="false" customHeight="false" outlineLevel="0" collapsed="false">
      <c r="A836" s="2719"/>
      <c r="B836" s="122" t="str">
        <f aca="false">дома!A1835</f>
        <v>Лента уплотнения</v>
      </c>
      <c r="C836" s="88" t="str">
        <f aca="false">дома!B1835</f>
        <v>шт</v>
      </c>
      <c r="D836" s="122" t="n">
        <f aca="false">дома!C1835</f>
        <v>0</v>
      </c>
      <c r="E836" s="89" t="n">
        <f aca="false">дома!D1835</f>
        <v>130</v>
      </c>
      <c r="F836" s="89"/>
      <c r="G836" s="122" t="n">
        <f aca="false">IF(F836&gt;0,D836*F836,E836*D836)</f>
        <v>0</v>
      </c>
      <c r="H836" s="85" t="n">
        <f aca="false">D836*E836*$H$830</f>
        <v>0</v>
      </c>
      <c r="I836" s="2784" t="n">
        <f aca="false">IF(G836&gt;H836,G836,H836)*$H$829</f>
        <v>0</v>
      </c>
      <c r="J836" s="2744"/>
      <c r="K836" s="226" t="n">
        <f aca="false">D836-J836</f>
        <v>0</v>
      </c>
      <c r="L836" s="2736"/>
    </row>
    <row r="837" customFormat="false" ht="15.5" hidden="false" customHeight="false" outlineLevel="0" collapsed="false">
      <c r="A837" s="2719"/>
      <c r="B837" s="122" t="str">
        <f aca="false">дома!A1836</f>
        <v>Гвозди строительные 3,5 x 90</v>
      </c>
      <c r="C837" s="88" t="str">
        <f aca="false">дома!B1836</f>
        <v>шт</v>
      </c>
      <c r="D837" s="122" t="n">
        <f aca="false">дома!C1836</f>
        <v>4.4</v>
      </c>
      <c r="E837" s="89" t="n">
        <f aca="false">дома!D1836</f>
        <v>70</v>
      </c>
      <c r="F837" s="89"/>
      <c r="G837" s="122" t="n">
        <f aca="false">IF(F837&gt;0,D837*F837,E837*D837)</f>
        <v>308</v>
      </c>
      <c r="H837" s="85" t="n">
        <f aca="false">D837*E837*$H$830</f>
        <v>0</v>
      </c>
      <c r="I837" s="2784" t="n">
        <f aca="false">IF(G837&gt;H837,G837,H837)*$H$829</f>
        <v>0</v>
      </c>
      <c r="J837" s="2744"/>
      <c r="K837" s="226" t="n">
        <f aca="false">D837-J837</f>
        <v>4.4</v>
      </c>
      <c r="L837" s="2736"/>
    </row>
    <row r="838" customFormat="false" ht="15.5" hidden="false" customHeight="false" outlineLevel="0" collapsed="false">
      <c r="A838" s="2719"/>
      <c r="B838" s="122" t="str">
        <f aca="false">дома!A1837</f>
        <v>нет</v>
      </c>
      <c r="C838" s="88" t="str">
        <f aca="false">дома!B1837</f>
        <v>м3</v>
      </c>
      <c r="D838" s="122" t="n">
        <f aca="false">дома!C1837</f>
        <v>0</v>
      </c>
      <c r="E838" s="89" t="n">
        <f aca="false">дома!D1837</f>
        <v>0</v>
      </c>
      <c r="F838" s="89"/>
      <c r="G838" s="122" t="n">
        <f aca="false">IF(F838&gt;0,D838*F838,E838*D838)</f>
        <v>0</v>
      </c>
      <c r="H838" s="85" t="n">
        <f aca="false">D838*E838*$H$830</f>
        <v>0</v>
      </c>
      <c r="I838" s="2784" t="n">
        <f aca="false">IF(G838&gt;H838,G838,H838)*$H$829</f>
        <v>0</v>
      </c>
      <c r="J838" s="2744"/>
      <c r="K838" s="226" t="n">
        <f aca="false">D838-J838</f>
        <v>0</v>
      </c>
      <c r="L838" s="2736"/>
    </row>
    <row r="839" customFormat="false" ht="15.5" hidden="false" customHeight="false" outlineLevel="0" collapsed="false">
      <c r="A839" s="2719"/>
      <c r="B839" s="122" t="str">
        <f aca="false">дома!A1838</f>
        <v>Доска сухая, 100*50мм</v>
      </c>
      <c r="C839" s="88" t="str">
        <f aca="false">дома!B1838</f>
        <v>м3</v>
      </c>
      <c r="D839" s="122" t="n">
        <f aca="false">дома!C1838</f>
        <v>0</v>
      </c>
      <c r="E839" s="89" t="n">
        <f aca="false">дома!D1838</f>
        <v>9000</v>
      </c>
      <c r="F839" s="89"/>
      <c r="G839" s="122" t="n">
        <f aca="false">IF(F839&gt;0,D839*F839,E839*D839)</f>
        <v>0</v>
      </c>
      <c r="H839" s="85" t="n">
        <f aca="false">D839*E839*$H$830</f>
        <v>0</v>
      </c>
      <c r="I839" s="2784" t="n">
        <f aca="false">IF(G839&gt;H839,G839,H839)*$H$829</f>
        <v>0</v>
      </c>
      <c r="J839" s="2744"/>
      <c r="K839" s="226" t="n">
        <f aca="false">D839-J839</f>
        <v>0</v>
      </c>
      <c r="L839" s="2736"/>
    </row>
    <row r="840" customFormat="false" ht="15.5" hidden="false" customHeight="false" outlineLevel="0" collapsed="false">
      <c r="A840" s="2719"/>
      <c r="B840" s="122" t="str">
        <f aca="false">дома!A1839</f>
        <v>Доска сухая калиброванная, 100*45мм</v>
      </c>
      <c r="C840" s="88" t="str">
        <f aca="false">дома!B1839</f>
        <v>м3</v>
      </c>
      <c r="D840" s="122" t="n">
        <f aca="false">дома!C1839</f>
        <v>0</v>
      </c>
      <c r="E840" s="89" t="n">
        <f aca="false">дома!D1839</f>
        <v>12500</v>
      </c>
      <c r="F840" s="89"/>
      <c r="G840" s="122" t="n">
        <f aca="false">IF(F840&gt;0,D840*F840,E840*D840)</f>
        <v>0</v>
      </c>
      <c r="H840" s="85" t="n">
        <f aca="false">D840*E840*$H$830</f>
        <v>0</v>
      </c>
      <c r="I840" s="2784" t="n">
        <f aca="false">IF(G840&gt;H840,G840,H840)*$H$829</f>
        <v>0</v>
      </c>
      <c r="J840" s="2744"/>
      <c r="K840" s="226" t="n">
        <f aca="false">D840-J840</f>
        <v>0</v>
      </c>
      <c r="L840" s="2736"/>
    </row>
    <row r="841" customFormat="false" ht="15.5" hidden="false" customHeight="false" outlineLevel="0" collapsed="false">
      <c r="A841" s="2719"/>
      <c r="B841" s="122" t="str">
        <f aca="false">дома!A1840</f>
        <v>Сосна влаж, 50*50мм</v>
      </c>
      <c r="C841" s="88" t="str">
        <f aca="false">дома!B1840</f>
        <v>м.п.</v>
      </c>
      <c r="D841" s="122" t="n">
        <f aca="false">дома!C1840</f>
        <v>0</v>
      </c>
      <c r="E841" s="89" t="n">
        <f aca="false">дома!D1840</f>
        <v>16.25</v>
      </c>
      <c r="F841" s="89"/>
      <c r="G841" s="122" t="n">
        <f aca="false">IF(F841&gt;0,D841*F841,E841*D841)</f>
        <v>0</v>
      </c>
      <c r="H841" s="85" t="n">
        <f aca="false">D841*E841*$H$830</f>
        <v>0</v>
      </c>
      <c r="I841" s="2784" t="n">
        <f aca="false">IF(G841&gt;H841,G841,H841)*$H$829</f>
        <v>0</v>
      </c>
      <c r="J841" s="2744"/>
      <c r="K841" s="226" t="n">
        <f aca="false">D841-J841</f>
        <v>0</v>
      </c>
      <c r="L841" s="2736"/>
    </row>
    <row r="842" customFormat="false" ht="15.5" hidden="false" customHeight="false" outlineLevel="0" collapsed="false">
      <c r="A842" s="2719"/>
      <c r="B842" s="122" t="str">
        <f aca="false">дома!A1841</f>
        <v>Бензин для пилы</v>
      </c>
      <c r="C842" s="88" t="str">
        <f aca="false">дома!B1841</f>
        <v>л</v>
      </c>
      <c r="D842" s="122" t="n">
        <f aca="false">дома!C1841</f>
        <v>4.8576</v>
      </c>
      <c r="E842" s="89" t="n">
        <f aca="false">дома!D1841</f>
        <v>40</v>
      </c>
      <c r="F842" s="89"/>
      <c r="G842" s="122" t="n">
        <f aca="false">IF(F842&gt;0,D842*F842,E842*D842)</f>
        <v>194.304</v>
      </c>
      <c r="H842" s="85" t="n">
        <f aca="false">D842*E842*$H$830</f>
        <v>0</v>
      </c>
      <c r="I842" s="2784" t="n">
        <f aca="false">IF(G842&gt;H842,G842,H842)*$H$829</f>
        <v>0</v>
      </c>
      <c r="J842" s="2744"/>
      <c r="K842" s="226" t="n">
        <f aca="false">D842-J842</f>
        <v>4.8576</v>
      </c>
      <c r="L842" s="2736"/>
    </row>
    <row r="843" customFormat="false" ht="15.5" hidden="false" customHeight="false" outlineLevel="0" collapsed="false">
      <c r="A843" s="2719"/>
      <c r="B843" s="122" t="str">
        <f aca="false">дома!A1842</f>
        <v>Масло для пилы</v>
      </c>
      <c r="C843" s="88" t="str">
        <f aca="false">дома!B1842</f>
        <v>л</v>
      </c>
      <c r="D843" s="122" t="n">
        <f aca="false">дома!C1842</f>
        <v>0.24288</v>
      </c>
      <c r="E843" s="89" t="n">
        <f aca="false">дома!D1842</f>
        <v>250</v>
      </c>
      <c r="F843" s="89"/>
      <c r="G843" s="122" t="n">
        <f aca="false">IF(F843&gt;0,D843*F843,E843*D843)</f>
        <v>60.72</v>
      </c>
      <c r="H843" s="85" t="n">
        <f aca="false">D843*E843*$H$830</f>
        <v>0</v>
      </c>
      <c r="I843" s="2784" t="n">
        <f aca="false">IF(G843&gt;H843,G843,H843)*$H$829</f>
        <v>0</v>
      </c>
      <c r="J843" s="2744"/>
      <c r="K843" s="226" t="n">
        <f aca="false">D843-J843</f>
        <v>0.24288</v>
      </c>
      <c r="L843" s="2736"/>
    </row>
    <row r="844" customFormat="false" ht="15.5" hidden="false" customHeight="false" outlineLevel="0" collapsed="false">
      <c r="A844" s="2719"/>
      <c r="B844" s="122" t="str">
        <f aca="false">дома!A1843</f>
        <v>Цепь для пилы</v>
      </c>
      <c r="C844" s="88" t="s">
        <v>159</v>
      </c>
      <c r="D844" s="122" t="n">
        <f aca="false">дома!C1843</f>
        <v>3</v>
      </c>
      <c r="E844" s="89" t="n">
        <f aca="false">дома!D1843</f>
        <v>800</v>
      </c>
      <c r="F844" s="89"/>
      <c r="G844" s="122" t="n">
        <f aca="false">IF(F844&gt;0,D844*F844,E844*D844)</f>
        <v>2400</v>
      </c>
      <c r="H844" s="85" t="n">
        <f aca="false">D844*E844*$H$830</f>
        <v>0</v>
      </c>
      <c r="I844" s="2784" t="n">
        <f aca="false">IF(G844&gt;H844,G844,H844)*$H$829</f>
        <v>0</v>
      </c>
      <c r="J844" s="2744"/>
      <c r="K844" s="226" t="n">
        <f aca="false">D844-J844</f>
        <v>3</v>
      </c>
      <c r="L844" s="2736"/>
    </row>
    <row r="845" customFormat="false" ht="15.5" hidden="false" customHeight="false" outlineLevel="0" collapsed="false">
      <c r="A845" s="2719"/>
      <c r="B845" s="122" t="str">
        <f aca="false">дома!A1844</f>
        <v>"Профилюкс" Антисептик АНТИПЛЕСЕНЬ</v>
      </c>
      <c r="C845" s="88" t="str">
        <f aca="false">дома!B1844</f>
        <v>л</v>
      </c>
      <c r="D845" s="122" t="n">
        <f aca="false">дома!C1844</f>
        <v>0</v>
      </c>
      <c r="E845" s="89" t="n">
        <f aca="false">дома!D1844</f>
        <v>108</v>
      </c>
      <c r="F845" s="89"/>
      <c r="G845" s="122" t="n">
        <f aca="false">IF(F845&gt;0,D845*F845,E845*D845)</f>
        <v>0</v>
      </c>
      <c r="H845" s="85" t="n">
        <f aca="false">D845*E845*$H$830</f>
        <v>0</v>
      </c>
      <c r="I845" s="2784" t="n">
        <f aca="false">IF(G845&gt;H845,G845,H845)*$H$829</f>
        <v>0</v>
      </c>
      <c r="J845" s="2744"/>
      <c r="K845" s="226" t="n">
        <f aca="false">D845-J845</f>
        <v>0</v>
      </c>
      <c r="L845" s="2736"/>
    </row>
    <row r="846" customFormat="false" ht="15.5" hidden="false" customHeight="false" outlineLevel="0" collapsed="false">
      <c r="A846" s="2719"/>
      <c r="B846" s="122" t="str">
        <f aca="false">дома!A1845</f>
        <v>"Тонерол" Антисептик  бесцветный  1л</v>
      </c>
      <c r="C846" s="88" t="str">
        <f aca="false">дома!B1845</f>
        <v>л</v>
      </c>
      <c r="D846" s="122" t="n">
        <f aca="false">дома!C1845</f>
        <v>0</v>
      </c>
      <c r="E846" s="89" t="n">
        <f aca="false">дома!D1845</f>
        <v>305</v>
      </c>
      <c r="F846" s="89"/>
      <c r="G846" s="122" t="n">
        <f aca="false">IF(F846&gt;0,D846*F846,E846*D846)</f>
        <v>0</v>
      </c>
      <c r="H846" s="85" t="n">
        <f aca="false">D846*E846*$H$830</f>
        <v>0</v>
      </c>
      <c r="I846" s="2784" t="n">
        <f aca="false">IF(G846&gt;H846,G846,H846)*$H$829</f>
        <v>0</v>
      </c>
      <c r="J846" s="2744"/>
      <c r="K846" s="226" t="n">
        <f aca="false">D846-J846</f>
        <v>0</v>
      </c>
      <c r="L846" s="2736"/>
    </row>
    <row r="847" customFormat="false" ht="15.5" hidden="false" customHeight="false" outlineLevel="0" collapsed="false">
      <c r="A847" s="2719"/>
      <c r="B847" s="122" t="str">
        <f aca="false">дома!A1846</f>
        <v>"Тонерол" Антисептик  махагон  1л</v>
      </c>
      <c r="C847" s="88" t="str">
        <f aca="false">дома!B1846</f>
        <v>л</v>
      </c>
      <c r="D847" s="122" t="n">
        <f aca="false">дома!C1846</f>
        <v>0</v>
      </c>
      <c r="E847" s="89" t="n">
        <f aca="false">дома!D1846</f>
        <v>305</v>
      </c>
      <c r="F847" s="89"/>
      <c r="G847" s="122" t="n">
        <f aca="false">IF(F847&gt;0,D847*F847,E847*D847)</f>
        <v>0</v>
      </c>
      <c r="H847" s="85" t="n">
        <f aca="false">D847*E847*$H$830</f>
        <v>0</v>
      </c>
      <c r="I847" s="2784" t="n">
        <f aca="false">IF(G847&gt;H847,G847,H847)*$H$829</f>
        <v>0</v>
      </c>
      <c r="J847" s="2744"/>
      <c r="K847" s="226" t="n">
        <f aca="false">D847-J847</f>
        <v>0</v>
      </c>
      <c r="L847" s="2736"/>
    </row>
    <row r="848" customFormat="false" ht="15.5" hidden="false" customHeight="false" outlineLevel="0" collapsed="false">
      <c r="A848" s="2719"/>
      <c r="B848" s="122" t="str">
        <f aca="false">дома!A1847</f>
        <v>Нет наличника</v>
      </c>
      <c r="C848" s="88" t="str">
        <f aca="false">дома!B1847</f>
        <v>м.п.</v>
      </c>
      <c r="D848" s="122" t="n">
        <f aca="false">дома!C1847</f>
        <v>3.57</v>
      </c>
      <c r="E848" s="89" t="n">
        <f aca="false">дома!D1847</f>
        <v>0</v>
      </c>
      <c r="F848" s="89"/>
      <c r="G848" s="122" t="n">
        <f aca="false">IF(F848&gt;0,D848*F848,E848*D848)</f>
        <v>0</v>
      </c>
      <c r="H848" s="85" t="n">
        <f aca="false">D848*E848*$H$830</f>
        <v>0</v>
      </c>
      <c r="I848" s="2784" t="n">
        <f aca="false">IF(G848&gt;H848,G848,H848)*$H$829</f>
        <v>0</v>
      </c>
      <c r="J848" s="2744"/>
      <c r="K848" s="226" t="n">
        <f aca="false">D848-J848</f>
        <v>3.57</v>
      </c>
      <c r="L848" s="2736"/>
    </row>
    <row r="849" customFormat="false" ht="15.5" hidden="false" customHeight="false" outlineLevel="0" collapsed="false">
      <c r="A849" s="2719"/>
      <c r="B849" s="122" t="str">
        <f aca="false">дома!A1848</f>
        <v>Нет наличника</v>
      </c>
      <c r="C849" s="88" t="str">
        <f aca="false">дома!B1848</f>
        <v>м.п.</v>
      </c>
      <c r="D849" s="122" t="n">
        <f aca="false">дома!C1848</f>
        <v>3.57</v>
      </c>
      <c r="E849" s="89" t="n">
        <f aca="false">дома!D1848</f>
        <v>0</v>
      </c>
      <c r="F849" s="89"/>
      <c r="G849" s="122" t="n">
        <f aca="false">IF(F849&gt;0,D849*F849,E849*D849)</f>
        <v>0</v>
      </c>
      <c r="H849" s="85" t="n">
        <f aca="false">D849*E849*$H$830</f>
        <v>0</v>
      </c>
      <c r="I849" s="2784" t="n">
        <f aca="false">IF(G849&gt;H849,G849,H849)*$H$829</f>
        <v>0</v>
      </c>
      <c r="J849" s="2744"/>
      <c r="K849" s="226" t="n">
        <f aca="false">D849-J849</f>
        <v>3.57</v>
      </c>
      <c r="L849" s="2736"/>
    </row>
    <row r="850" customFormat="false" ht="15.5" hidden="false" customHeight="false" outlineLevel="0" collapsed="false">
      <c r="A850" s="2719"/>
      <c r="B850" s="122" t="str">
        <f aca="false">дома!A1849</f>
        <v>Бумага наждачная № 63 F(30)</v>
      </c>
      <c r="C850" s="88" t="str">
        <f aca="false">дома!B1849</f>
        <v>м</v>
      </c>
      <c r="D850" s="122" t="n">
        <f aca="false">дома!C1849</f>
        <v>5</v>
      </c>
      <c r="E850" s="89" t="n">
        <f aca="false">дома!D1849</f>
        <v>291</v>
      </c>
      <c r="F850" s="89"/>
      <c r="G850" s="122" t="n">
        <f aca="false">IF(F850&gt;0,D850*F850,E850*D850)</f>
        <v>1455</v>
      </c>
      <c r="H850" s="85" t="n">
        <f aca="false">D850*E850*$H$830</f>
        <v>0</v>
      </c>
      <c r="I850" s="2784" t="n">
        <f aca="false">IF(G850&gt;H850,G850,H850)*$H$829</f>
        <v>0</v>
      </c>
      <c r="J850" s="2744"/>
      <c r="K850" s="226" t="n">
        <f aca="false">D850-J850</f>
        <v>5</v>
      </c>
      <c r="L850" s="2736"/>
    </row>
    <row r="851" customFormat="false" ht="15.5" hidden="false" customHeight="false" outlineLevel="0" collapsed="false">
      <c r="A851" s="2719"/>
      <c r="B851" s="122" t="str">
        <f aca="false">дома!A1850</f>
        <v>Нет наждачной бумаги</v>
      </c>
      <c r="C851" s="88" t="str">
        <f aca="false">дома!B1850</f>
        <v>м</v>
      </c>
      <c r="D851" s="122" t="n">
        <f aca="false">дома!C1850</f>
        <v>0</v>
      </c>
      <c r="E851" s="89" t="n">
        <f aca="false">дома!D1850</f>
        <v>0</v>
      </c>
      <c r="F851" s="89"/>
      <c r="G851" s="122" t="n">
        <f aca="false">IF(F851&gt;0,D851*F851,E851*D851)</f>
        <v>0</v>
      </c>
      <c r="H851" s="85" t="n">
        <f aca="false">D851*E851*$H$830</f>
        <v>0</v>
      </c>
      <c r="I851" s="2784" t="n">
        <f aca="false">IF(G851&gt;H851,G851,H851)*$H$829</f>
        <v>0</v>
      </c>
      <c r="J851" s="2744"/>
      <c r="K851" s="226" t="n">
        <f aca="false">D851-J851</f>
        <v>0</v>
      </c>
      <c r="L851" s="2736"/>
    </row>
    <row r="852" customFormat="false" ht="15.5" hidden="false" customHeight="false" outlineLevel="0" collapsed="false">
      <c r="A852" s="2719"/>
      <c r="B852" s="122" t="str">
        <f aca="false">дома!A1851</f>
        <v>Бумага наждачная № 63 F(30)</v>
      </c>
      <c r="C852" s="88" t="str">
        <f aca="false">дома!B1851</f>
        <v>м</v>
      </c>
      <c r="D852" s="122" t="n">
        <f aca="false">дома!C1851</f>
        <v>0</v>
      </c>
      <c r="E852" s="89" t="n">
        <f aca="false">дома!D1851</f>
        <v>291</v>
      </c>
      <c r="F852" s="89"/>
      <c r="G852" s="122" t="n">
        <f aca="false">IF(F852&gt;0,D852*F852,E852*D852)</f>
        <v>0</v>
      </c>
      <c r="H852" s="85" t="n">
        <f aca="false">D852*E852*$H$830</f>
        <v>0</v>
      </c>
      <c r="I852" s="2784" t="n">
        <f aca="false">IF(G852&gt;H852,G852,H852)*$H$829</f>
        <v>0</v>
      </c>
      <c r="J852" s="2744"/>
      <c r="K852" s="226" t="n">
        <f aca="false">D852-J852</f>
        <v>0</v>
      </c>
      <c r="L852" s="2736"/>
    </row>
    <row r="853" customFormat="false" ht="15.5" hidden="false" customHeight="false" outlineLevel="0" collapsed="false">
      <c r="A853" s="2719"/>
      <c r="B853" s="122" t="str">
        <f aca="false">дома!A1852</f>
        <v>Бумага наждачная № 40</v>
      </c>
      <c r="C853" s="88" t="str">
        <f aca="false">дома!B1852</f>
        <v>м</v>
      </c>
      <c r="D853" s="122" t="n">
        <f aca="false">дома!C1852</f>
        <v>0</v>
      </c>
      <c r="E853" s="89" t="n">
        <f aca="false">дома!D1852</f>
        <v>240</v>
      </c>
      <c r="F853" s="89"/>
      <c r="G853" s="122" t="n">
        <f aca="false">IF(F853&gt;0,D853*F853,E853*D853)</f>
        <v>0</v>
      </c>
      <c r="H853" s="85" t="n">
        <f aca="false">D853*E853*$H$830</f>
        <v>0</v>
      </c>
      <c r="I853" s="2784" t="n">
        <f aca="false">IF(G853&gt;H853,G853,H853)*$H$829</f>
        <v>0</v>
      </c>
      <c r="J853" s="2744"/>
      <c r="K853" s="226" t="n">
        <f aca="false">D853-J853</f>
        <v>0</v>
      </c>
      <c r="L853" s="2736"/>
    </row>
    <row r="854" customFormat="false" ht="15.5" hidden="false" customHeight="false" outlineLevel="0" collapsed="false">
      <c r="A854" s="2719"/>
      <c r="B854" s="2748" t="s">
        <v>4640</v>
      </c>
      <c r="C854" s="2748"/>
      <c r="D854" s="2748"/>
      <c r="E854" s="2748"/>
      <c r="F854" s="2748"/>
      <c r="G854" s="85" t="n">
        <f aca="false">SUM(G831:G853)*H829</f>
        <v>0</v>
      </c>
      <c r="H854" s="85" t="n">
        <f aca="false">SUM(H831:H853)</f>
        <v>0</v>
      </c>
      <c r="I854" s="2784" t="n">
        <f aca="false">IF(G854&gt;H854,G854,H854)*$H$829</f>
        <v>0</v>
      </c>
      <c r="J854" s="2744"/>
      <c r="K854" s="226" t="n">
        <f aca="false">D854-J854</f>
        <v>0</v>
      </c>
      <c r="L854" s="2736"/>
    </row>
    <row r="855" customFormat="false" ht="15.5" hidden="false" customHeight="false" outlineLevel="0" collapsed="false">
      <c r="A855" s="2719"/>
      <c r="B855" s="2750" t="s">
        <v>1409</v>
      </c>
      <c r="C855" s="2750"/>
      <c r="D855" s="2750"/>
      <c r="E855" s="2750"/>
      <c r="F855" s="2750"/>
      <c r="G855" s="905"/>
      <c r="H855" s="2766" t="n">
        <f aca="false">H829</f>
        <v>0</v>
      </c>
      <c r="I855" s="2757" t="n">
        <f aca="false">H855</f>
        <v>0</v>
      </c>
      <c r="J855" s="2752"/>
      <c r="K855" s="2753"/>
    </row>
    <row r="856" customFormat="false" ht="15.5" hidden="false" customHeight="false" outlineLevel="0" collapsed="false">
      <c r="A856" s="2712"/>
      <c r="B856" s="2648" t="str">
        <f aca="false">дома!G1830</f>
        <v>кладка Профилированного бруса</v>
      </c>
      <c r="C856" s="2765" t="s">
        <v>135</v>
      </c>
      <c r="D856" s="298" t="n">
        <f aca="false">дома!J1830</f>
        <v>24.288</v>
      </c>
      <c r="E856" s="177" t="n">
        <f aca="false">дома!K1830</f>
        <v>6000</v>
      </c>
      <c r="F856" s="177"/>
      <c r="G856" s="122" t="n">
        <f aca="false">IF(F856&gt;0,D856*F856,E856*D856)</f>
        <v>145728</v>
      </c>
      <c r="H856" s="2210" t="n">
        <f aca="false">D856*E856*$H$855</f>
        <v>0</v>
      </c>
      <c r="I856" s="2718" t="n">
        <f aca="false">IF(G856&gt;H856,G856,H856)*$H$829</f>
        <v>0</v>
      </c>
      <c r="J856" s="2712"/>
      <c r="K856" s="2719"/>
    </row>
    <row r="857" customFormat="false" ht="15.5" hidden="false" customHeight="false" outlineLevel="0" collapsed="false">
      <c r="A857" s="2719"/>
      <c r="B857" s="2648" t="str">
        <f aca="false">дома!G1831</f>
        <v>окосячка проемов, м.п.</v>
      </c>
      <c r="C857" s="2765" t="s">
        <v>156</v>
      </c>
      <c r="D857" s="298" t="n">
        <f aca="false">дома!J1831</f>
        <v>0</v>
      </c>
      <c r="E857" s="177" t="n">
        <f aca="false">дома!K1831</f>
        <v>150</v>
      </c>
      <c r="F857" s="177"/>
      <c r="G857" s="122" t="n">
        <f aca="false">IF(F857&gt;0,D857*F857,E857*D857)</f>
        <v>0</v>
      </c>
      <c r="H857" s="2210" t="n">
        <f aca="false">D857*E857*$H$855</f>
        <v>0</v>
      </c>
      <c r="I857" s="2718" t="n">
        <f aca="false">IF(G857&gt;H857,G857,H857)*$H$829</f>
        <v>0</v>
      </c>
      <c r="J857" s="2712"/>
      <c r="K857" s="2719"/>
    </row>
    <row r="858" customFormat="false" ht="15.5" hidden="false" customHeight="false" outlineLevel="0" collapsed="false">
      <c r="A858" s="2719"/>
      <c r="B858" s="2648" t="str">
        <f aca="false">дома!G1832</f>
        <v>обработка торцов на брусе</v>
      </c>
      <c r="C858" s="2765" t="s">
        <v>156</v>
      </c>
      <c r="D858" s="298" t="n">
        <f aca="false">дома!J1832</f>
        <v>14.4</v>
      </c>
      <c r="E858" s="177" t="n">
        <f aca="false">дома!K1832</f>
        <v>250</v>
      </c>
      <c r="F858" s="177"/>
      <c r="G858" s="122" t="n">
        <f aca="false">IF(F858&gt;0,D858*F858,E858*D858)</f>
        <v>3600</v>
      </c>
      <c r="H858" s="2210" t="n">
        <f aca="false">D858*E858*$H$855</f>
        <v>0</v>
      </c>
      <c r="I858" s="2718" t="n">
        <f aca="false">IF(G858&gt;H858,G858,H858)*$H$829</f>
        <v>0</v>
      </c>
      <c r="J858" s="2712"/>
      <c r="K858" s="2719"/>
    </row>
    <row r="859" customFormat="false" ht="15.5" hidden="false" customHeight="false" outlineLevel="0" collapsed="false">
      <c r="A859" s="2719"/>
      <c r="B859" s="2648" t="str">
        <f aca="false">дома!G1833</f>
        <v>Обаботка огнебиозащитой</v>
      </c>
      <c r="C859" s="2765" t="s">
        <v>156</v>
      </c>
      <c r="D859" s="298" t="n">
        <f aca="false">дома!J1833</f>
        <v>24.288</v>
      </c>
      <c r="E859" s="177" t="n">
        <f aca="false">дома!K1833</f>
        <v>300</v>
      </c>
      <c r="F859" s="177"/>
      <c r="G859" s="122" t="n">
        <f aca="false">IF(F859&gt;0,D859*F859,E859*D859)</f>
        <v>7286.4</v>
      </c>
      <c r="H859" s="2210" t="n">
        <f aca="false">D859*E859*$H$855</f>
        <v>0</v>
      </c>
      <c r="I859" s="2718" t="n">
        <f aca="false">IF(G859&gt;H859,G859,H859)*$H$829</f>
        <v>0</v>
      </c>
      <c r="J859" s="2712"/>
      <c r="K859" s="2719"/>
    </row>
    <row r="860" customFormat="false" ht="15.5" hidden="false" customHeight="false" outlineLevel="0" collapsed="false">
      <c r="A860" s="2719"/>
      <c r="B860" s="2648" t="str">
        <f aca="false">дома!G1834</f>
        <v>Пропитка стен внешних</v>
      </c>
      <c r="C860" s="2765" t="s">
        <v>156</v>
      </c>
      <c r="D860" s="298" t="n">
        <f aca="false">дома!J1834</f>
        <v>0</v>
      </c>
      <c r="E860" s="177" t="n">
        <f aca="false">дома!K1834</f>
        <v>100</v>
      </c>
      <c r="F860" s="177"/>
      <c r="G860" s="122" t="n">
        <f aca="false">IF(F860&gt;0,D860*F860,E860*D860)</f>
        <v>0</v>
      </c>
      <c r="H860" s="2210" t="n">
        <f aca="false">D860*E860*$H$855</f>
        <v>0</v>
      </c>
      <c r="I860" s="2718" t="n">
        <f aca="false">IF(G860&gt;H860,G860,H860)*$H$829</f>
        <v>0</v>
      </c>
      <c r="J860" s="2712"/>
      <c r="K860" s="2719"/>
    </row>
    <row r="861" customFormat="false" ht="15.5" hidden="false" customHeight="false" outlineLevel="0" collapsed="false">
      <c r="A861" s="2719"/>
      <c r="B861" s="2648" t="str">
        <f aca="false">дома!G1835</f>
        <v>Пропитка внутенних стен</v>
      </c>
      <c r="C861" s="2765" t="s">
        <v>156</v>
      </c>
      <c r="D861" s="298" t="n">
        <f aca="false">дома!J1835</f>
        <v>0</v>
      </c>
      <c r="E861" s="177" t="n">
        <f aca="false">дома!K1835</f>
        <v>100</v>
      </c>
      <c r="F861" s="177"/>
      <c r="G861" s="122" t="n">
        <f aca="false">IF(F861&gt;0,D861*F861,E861*D861)</f>
        <v>0</v>
      </c>
      <c r="H861" s="2210" t="n">
        <f aca="false">D861*E861*$H$855</f>
        <v>0</v>
      </c>
      <c r="I861" s="2718" t="n">
        <f aca="false">IF(G861&gt;H861,G861,H861)*$H$829</f>
        <v>0</v>
      </c>
      <c r="J861" s="2712"/>
      <c r="K861" s="2719"/>
    </row>
    <row r="862" customFormat="false" ht="15.5" hidden="false" customHeight="false" outlineLevel="0" collapsed="false">
      <c r="A862" s="2719"/>
      <c r="B862" s="2648" t="str">
        <f aca="false">дома!G1836</f>
        <v>Сверление стен для скрытой проводки</v>
      </c>
      <c r="C862" s="2765" t="s">
        <v>156</v>
      </c>
      <c r="D862" s="298" t="n">
        <f aca="false">дома!J1836</f>
        <v>180</v>
      </c>
      <c r="E862" s="177" t="n">
        <f aca="false">дома!K1836</f>
        <v>300</v>
      </c>
      <c r="F862" s="177"/>
      <c r="G862" s="122" t="n">
        <f aca="false">IF(F862&gt;0,D862*F862,E862*D862)</f>
        <v>54000</v>
      </c>
      <c r="H862" s="2210" t="n">
        <f aca="false">D862*E862*$H$855</f>
        <v>0</v>
      </c>
      <c r="I862" s="2718" t="n">
        <f aca="false">IF(G862&gt;H862,G862,H862)*$H$829</f>
        <v>0</v>
      </c>
      <c r="J862" s="2712"/>
      <c r="K862" s="2719"/>
    </row>
    <row r="863" customFormat="false" ht="15.5" hidden="false" customHeight="false" outlineLevel="0" collapsed="false">
      <c r="A863" s="2719"/>
      <c r="B863" s="2648" t="str">
        <f aca="false">дома!G1837</f>
        <v>Монтаж наличника</v>
      </c>
      <c r="C863" s="2765" t="s">
        <v>156</v>
      </c>
      <c r="D863" s="298" t="n">
        <f aca="false">дома!J1837</f>
        <v>0</v>
      </c>
      <c r="E863" s="177" t="n">
        <f aca="false">дома!K1837</f>
        <v>80</v>
      </c>
      <c r="F863" s="177"/>
      <c r="G863" s="122" t="n">
        <f aca="false">IF(F863&gt;0,D863*F863,E863*D863)</f>
        <v>0</v>
      </c>
      <c r="H863" s="2210" t="n">
        <f aca="false">D863*E863*$H$855</f>
        <v>0</v>
      </c>
      <c r="I863" s="2718" t="n">
        <f aca="false">IF(G863&gt;H863,G863,H863)*$H$829</f>
        <v>0</v>
      </c>
      <c r="J863" s="2712"/>
      <c r="K863" s="2719"/>
    </row>
    <row r="864" customFormat="false" ht="15.5" hidden="false" customHeight="false" outlineLevel="0" collapsed="false">
      <c r="A864" s="2719"/>
      <c r="B864" s="2648" t="str">
        <f aca="false">дома!G1838</f>
        <v>Шлифовка стен дома</v>
      </c>
      <c r="C864" s="2765" t="s">
        <v>156</v>
      </c>
      <c r="D864" s="298" t="n">
        <f aca="false">дома!J1838</f>
        <v>0</v>
      </c>
      <c r="E864" s="177" t="n">
        <f aca="false">дома!K1838</f>
        <v>250</v>
      </c>
      <c r="F864" s="177"/>
      <c r="G864" s="122" t="n">
        <f aca="false">IF(F864&gt;0,D864*F864,E864*D864)</f>
        <v>0</v>
      </c>
      <c r="H864" s="2210" t="n">
        <f aca="false">D864*E864*$H$855</f>
        <v>0</v>
      </c>
      <c r="I864" s="2718" t="n">
        <f aca="false">IF(G864&gt;H864,G864,H864)*$H$829</f>
        <v>0</v>
      </c>
      <c r="J864" s="2712"/>
      <c r="K864" s="2719"/>
    </row>
    <row r="865" customFormat="false" ht="15.5" hidden="false" customHeight="false" outlineLevel="0" collapsed="false">
      <c r="A865" s="2719"/>
      <c r="B865" s="2748" t="s">
        <v>4641</v>
      </c>
      <c r="C865" s="2748"/>
      <c r="D865" s="2748"/>
      <c r="E865" s="2748"/>
      <c r="F865" s="2748"/>
      <c r="G865" s="2210" t="n">
        <f aca="false">SUM(G856:G864)*H855</f>
        <v>0</v>
      </c>
      <c r="H865" s="2210" t="n">
        <f aca="false">SUM(H856:H864)</f>
        <v>0</v>
      </c>
      <c r="I865" s="2718" t="n">
        <f aca="false">IF(G865&gt;H865,G865,H865)*$H$829</f>
        <v>0</v>
      </c>
      <c r="J865" s="2712"/>
      <c r="K865" s="2719"/>
    </row>
    <row r="866" customFormat="false" ht="21" hidden="false" customHeight="false" outlineLevel="0" collapsed="false">
      <c r="A866" s="2719"/>
      <c r="B866" s="2762" t="s">
        <v>4258</v>
      </c>
      <c r="C866" s="2762"/>
      <c r="D866" s="2762"/>
      <c r="E866" s="2762"/>
      <c r="F866" s="2762"/>
      <c r="G866" s="905"/>
      <c r="H866" s="2774" t="n">
        <f aca="false">IF('Ввод данных'!$A$8=связи1!A158,1,0)+IF('Ввод данных'!$A$8=связи1!A164,1,0)+IF('Ввод данных'!$A$8=связи1!A172,1,0)</f>
        <v>0</v>
      </c>
      <c r="I866" s="2757" t="n">
        <f aca="false">H866</f>
        <v>0</v>
      </c>
      <c r="J866" s="2712"/>
      <c r="K866" s="2719"/>
    </row>
    <row r="867" customFormat="false" ht="15.5" hidden="false" customHeight="false" outlineLevel="0" collapsed="false">
      <c r="A867" s="2712"/>
      <c r="B867" s="2775" t="s">
        <v>2720</v>
      </c>
      <c r="C867" s="2775"/>
      <c r="D867" s="2775"/>
      <c r="E867" s="2775"/>
      <c r="F867" s="2775"/>
      <c r="G867" s="905"/>
      <c r="H867" s="2776" t="n">
        <f aca="false">H866</f>
        <v>0</v>
      </c>
      <c r="I867" s="2757" t="n">
        <f aca="false">H867</f>
        <v>0</v>
      </c>
      <c r="J867" s="2732"/>
      <c r="K867" s="2733"/>
    </row>
    <row r="868" customFormat="false" ht="15.5" hidden="false" customHeight="false" outlineLevel="0" collapsed="false">
      <c r="A868" s="2712"/>
      <c r="B868" s="122" t="str">
        <f aca="false">дома!A1878</f>
        <v>Листв. влаж, 200*200мм</v>
      </c>
      <c r="C868" s="88" t="str">
        <f aca="false">дома!B1878</f>
        <v>м3</v>
      </c>
      <c r="D868" s="122" t="n">
        <f aca="false">дома!C1878</f>
        <v>2.552</v>
      </c>
      <c r="E868" s="89" t="n">
        <f aca="false">дома!D1878</f>
        <v>9000</v>
      </c>
      <c r="F868" s="89"/>
      <c r="G868" s="122" t="n">
        <f aca="false">IF(F868&gt;0,D868*F868,E868*D868)</f>
        <v>22968</v>
      </c>
      <c r="H868" s="85" t="n">
        <f aca="false">D868*E868*$H$867</f>
        <v>0</v>
      </c>
      <c r="I868" s="2784" t="n">
        <f aca="false">IF(G868&gt;H868,G868,H868)*$H$866</f>
        <v>0</v>
      </c>
      <c r="J868" s="2744"/>
      <c r="K868" s="226" t="n">
        <f aca="false">D868-J868</f>
        <v>2.552</v>
      </c>
      <c r="L868" s="2736"/>
    </row>
    <row r="869" customFormat="false" ht="15.5" hidden="false" customHeight="false" outlineLevel="0" collapsed="false">
      <c r="A869" s="2719"/>
      <c r="B869" s="122" t="str">
        <f aca="false">дома!A1879</f>
        <v>Сосна влаж, 200*200мм</v>
      </c>
      <c r="C869" s="88" t="str">
        <f aca="false">дома!B1879</f>
        <v>м3</v>
      </c>
      <c r="D869" s="122" t="n">
        <f aca="false">дома!C1879</f>
        <v>21.736</v>
      </c>
      <c r="E869" s="89" t="n">
        <f aca="false">дома!D1879</f>
        <v>6500</v>
      </c>
      <c r="F869" s="89"/>
      <c r="G869" s="122" t="n">
        <f aca="false">IF(F869&gt;0,D869*F869,E869*D869)</f>
        <v>141284</v>
      </c>
      <c r="H869" s="85" t="n">
        <f aca="false">D869*E869*$H$867</f>
        <v>0</v>
      </c>
      <c r="I869" s="2784" t="n">
        <f aca="false">IF(G869&gt;H869,G869,H869)*$H$866</f>
        <v>0</v>
      </c>
      <c r="J869" s="2744"/>
      <c r="K869" s="226" t="n">
        <f aca="false">D869-J869</f>
        <v>21.736</v>
      </c>
      <c r="L869" s="2736"/>
    </row>
    <row r="870" customFormat="false" ht="15.5" hidden="false" customHeight="false" outlineLevel="0" collapsed="false">
      <c r="A870" s="2719"/>
      <c r="B870" s="122" t="str">
        <f aca="false">дома!A1880</f>
        <v>Сосна влаж, 200*150мм</v>
      </c>
      <c r="C870" s="88" t="str">
        <f aca="false">дома!B1880</f>
        <v>м3</v>
      </c>
      <c r="D870" s="122" t="n">
        <f aca="false">дома!C1880</f>
        <v>0</v>
      </c>
      <c r="E870" s="89" t="n">
        <f aca="false">дома!D1880</f>
        <v>6500</v>
      </c>
      <c r="F870" s="89"/>
      <c r="G870" s="122" t="n">
        <f aca="false">IF(F870&gt;0,D870*F870,E870*D870)</f>
        <v>0</v>
      </c>
      <c r="H870" s="85" t="n">
        <f aca="false">D870*E870*$H$867</f>
        <v>0</v>
      </c>
      <c r="I870" s="2784" t="n">
        <f aca="false">IF(G870&gt;H870,G870,H870)*$H$866</f>
        <v>0</v>
      </c>
      <c r="J870" s="2744"/>
      <c r="K870" s="226" t="n">
        <f aca="false">D870-J870</f>
        <v>0</v>
      </c>
      <c r="L870" s="2736"/>
    </row>
    <row r="871" customFormat="false" ht="15.5" hidden="false" customHeight="false" outlineLevel="0" collapsed="false">
      <c r="A871" s="2719"/>
      <c r="B871" s="122" t="str">
        <f aca="false">дома!A1881</f>
        <v>Сосна влаж, 200*100мм</v>
      </c>
      <c r="C871" s="88" t="str">
        <f aca="false">дома!B1881</f>
        <v>м2</v>
      </c>
      <c r="D871" s="122" t="n">
        <f aca="false">дома!C1881</f>
        <v>0</v>
      </c>
      <c r="E871" s="89" t="n">
        <f aca="false">дома!D1881</f>
        <v>6500</v>
      </c>
      <c r="F871" s="89"/>
      <c r="G871" s="122" t="n">
        <f aca="false">IF(F871&gt;0,D871*F871,E871*D871)</f>
        <v>0</v>
      </c>
      <c r="H871" s="85" t="n">
        <f aca="false">D871*E871*$H$867</f>
        <v>0</v>
      </c>
      <c r="I871" s="2784" t="n">
        <f aca="false">IF(G871&gt;H871,G871,H871)*$H$866</f>
        <v>0</v>
      </c>
      <c r="J871" s="2744"/>
      <c r="K871" s="226" t="n">
        <f aca="false">D871-J871</f>
        <v>0</v>
      </c>
      <c r="L871" s="2736"/>
    </row>
    <row r="872" customFormat="false" ht="15.5" hidden="false" customHeight="false" outlineLevel="0" collapsed="false">
      <c r="A872" s="2719"/>
      <c r="B872" s="122" t="str">
        <f aca="false">дома!A1882</f>
        <v>Шкант</v>
      </c>
      <c r="C872" s="88" t="str">
        <f aca="false">дома!B1882</f>
        <v>шт</v>
      </c>
      <c r="D872" s="122" t="n">
        <f aca="false">дома!C1882</f>
        <v>535</v>
      </c>
      <c r="E872" s="89" t="n">
        <f aca="false">дома!D1882</f>
        <v>6</v>
      </c>
      <c r="F872" s="89"/>
      <c r="G872" s="122" t="n">
        <f aca="false">IF(F872&gt;0,D872*F872,E872*D872)</f>
        <v>3210</v>
      </c>
      <c r="H872" s="85" t="n">
        <f aca="false">D872*E872*$H$867</f>
        <v>0</v>
      </c>
      <c r="I872" s="2784" t="n">
        <f aca="false">IF(G872&gt;H872,G872,H872)*$H$866</f>
        <v>0</v>
      </c>
      <c r="J872" s="2744"/>
      <c r="K872" s="226" t="n">
        <f aca="false">D872-J872</f>
        <v>535</v>
      </c>
      <c r="L872" s="2736"/>
    </row>
    <row r="873" customFormat="false" ht="15.5" hidden="false" customHeight="false" outlineLevel="0" collapsed="false">
      <c r="A873" s="2719"/>
      <c r="B873" s="122" t="str">
        <f aca="false">дома!A1883</f>
        <v>Лента уплотнения</v>
      </c>
      <c r="C873" s="88" t="str">
        <f aca="false">дома!B1883</f>
        <v>шт</v>
      </c>
      <c r="D873" s="122" t="n">
        <f aca="false">дома!C1883</f>
        <v>0</v>
      </c>
      <c r="E873" s="89" t="n">
        <f aca="false">дома!D1883</f>
        <v>130</v>
      </c>
      <c r="F873" s="89"/>
      <c r="G873" s="122" t="n">
        <f aca="false">IF(F873&gt;0,D873*F873,E873*D873)</f>
        <v>0</v>
      </c>
      <c r="H873" s="85" t="n">
        <f aca="false">D873*E873*$H$867</f>
        <v>0</v>
      </c>
      <c r="I873" s="2784" t="n">
        <f aca="false">IF(G873&gt;H873,G873,H873)*$H$866</f>
        <v>0</v>
      </c>
      <c r="J873" s="2744"/>
      <c r="K873" s="226" t="n">
        <f aca="false">D873-J873</f>
        <v>0</v>
      </c>
      <c r="L873" s="2736"/>
    </row>
    <row r="874" customFormat="false" ht="15.5" hidden="false" customHeight="false" outlineLevel="0" collapsed="false">
      <c r="A874" s="2719"/>
      <c r="B874" s="122" t="str">
        <f aca="false">дома!A1884</f>
        <v>Гвозди строительные 3,5 x 90</v>
      </c>
      <c r="C874" s="88" t="str">
        <f aca="false">дома!B1884</f>
        <v>шт</v>
      </c>
      <c r="D874" s="122" t="n">
        <f aca="false">дома!C1884</f>
        <v>4.4</v>
      </c>
      <c r="E874" s="89" t="n">
        <f aca="false">дома!D1884</f>
        <v>70</v>
      </c>
      <c r="F874" s="89"/>
      <c r="G874" s="122" t="n">
        <f aca="false">IF(F874&gt;0,D874*F874,E874*D874)</f>
        <v>308</v>
      </c>
      <c r="H874" s="85" t="n">
        <f aca="false">D874*E874*$H$867</f>
        <v>0</v>
      </c>
      <c r="I874" s="2784" t="n">
        <f aca="false">IF(G874&gt;H874,G874,H874)*$H$866</f>
        <v>0</v>
      </c>
      <c r="J874" s="2744"/>
      <c r="K874" s="226" t="n">
        <f aca="false">D874-J874</f>
        <v>4.4</v>
      </c>
      <c r="L874" s="2736"/>
    </row>
    <row r="875" customFormat="false" ht="15.5" hidden="false" customHeight="false" outlineLevel="0" collapsed="false">
      <c r="A875" s="2719"/>
      <c r="B875" s="122" t="str">
        <f aca="false">дома!A1885</f>
        <v>нет</v>
      </c>
      <c r="C875" s="88" t="str">
        <f aca="false">дома!B1885</f>
        <v>м3</v>
      </c>
      <c r="D875" s="122" t="n">
        <f aca="false">дома!C1885</f>
        <v>0</v>
      </c>
      <c r="E875" s="89" t="n">
        <f aca="false">дома!D1885</f>
        <v>0</v>
      </c>
      <c r="F875" s="89"/>
      <c r="G875" s="122" t="n">
        <f aca="false">IF(F875&gt;0,D875*F875,E875*D875)</f>
        <v>0</v>
      </c>
      <c r="H875" s="85" t="n">
        <f aca="false">D875*E875*$H$867</f>
        <v>0</v>
      </c>
      <c r="I875" s="2784" t="n">
        <f aca="false">IF(G875&gt;H875,G875,H875)*$H$866</f>
        <v>0</v>
      </c>
      <c r="J875" s="2744"/>
      <c r="K875" s="226" t="n">
        <f aca="false">D875-J875</f>
        <v>0</v>
      </c>
      <c r="L875" s="2736"/>
    </row>
    <row r="876" customFormat="false" ht="15.5" hidden="false" customHeight="false" outlineLevel="0" collapsed="false">
      <c r="A876" s="2719"/>
      <c r="B876" s="122" t="str">
        <f aca="false">дома!A1886</f>
        <v>Доска сухая, 100*50мм</v>
      </c>
      <c r="C876" s="88" t="str">
        <f aca="false">дома!B1886</f>
        <v>м3</v>
      </c>
      <c r="D876" s="122" t="n">
        <f aca="false">дома!C1886</f>
        <v>0</v>
      </c>
      <c r="E876" s="89" t="n">
        <f aca="false">дома!D1886</f>
        <v>9000</v>
      </c>
      <c r="F876" s="89"/>
      <c r="G876" s="122" t="n">
        <f aca="false">IF(F876&gt;0,D876*F876,E876*D876)</f>
        <v>0</v>
      </c>
      <c r="H876" s="85" t="n">
        <f aca="false">D876*E876*$H$867</f>
        <v>0</v>
      </c>
      <c r="I876" s="2784" t="n">
        <f aca="false">IF(G876&gt;H876,G876,H876)*$H$866</f>
        <v>0</v>
      </c>
      <c r="J876" s="2744"/>
      <c r="K876" s="226" t="n">
        <f aca="false">D876-J876</f>
        <v>0</v>
      </c>
      <c r="L876" s="2736"/>
    </row>
    <row r="877" customFormat="false" ht="15.5" hidden="false" customHeight="false" outlineLevel="0" collapsed="false">
      <c r="A877" s="2719"/>
      <c r="B877" s="122" t="str">
        <f aca="false">дома!A1887</f>
        <v>Доска сухая калиброванная, 100*45мм</v>
      </c>
      <c r="C877" s="88" t="str">
        <f aca="false">дома!B1887</f>
        <v>м3</v>
      </c>
      <c r="D877" s="122" t="n">
        <f aca="false">дома!C1887</f>
        <v>0</v>
      </c>
      <c r="E877" s="89" t="n">
        <f aca="false">дома!D1887</f>
        <v>12500</v>
      </c>
      <c r="F877" s="89"/>
      <c r="G877" s="122" t="n">
        <f aca="false">IF(F877&gt;0,D877*F877,E877*D877)</f>
        <v>0</v>
      </c>
      <c r="H877" s="85" t="n">
        <f aca="false">D877*E877*$H$867</f>
        <v>0</v>
      </c>
      <c r="I877" s="2784" t="n">
        <f aca="false">IF(G877&gt;H877,G877,H877)*$H$866</f>
        <v>0</v>
      </c>
      <c r="J877" s="2744"/>
      <c r="K877" s="226" t="n">
        <f aca="false">D877-J877</f>
        <v>0</v>
      </c>
      <c r="L877" s="2736"/>
    </row>
    <row r="878" customFormat="false" ht="15.5" hidden="false" customHeight="false" outlineLevel="0" collapsed="false">
      <c r="A878" s="2719"/>
      <c r="B878" s="122" t="str">
        <f aca="false">дома!A1888</f>
        <v>Сосна влаж, 50*50мм</v>
      </c>
      <c r="C878" s="88" t="str">
        <f aca="false">дома!B1888</f>
        <v>м.п.</v>
      </c>
      <c r="D878" s="122" t="n">
        <f aca="false">дома!C1888</f>
        <v>0</v>
      </c>
      <c r="E878" s="89" t="n">
        <f aca="false">дома!D1888</f>
        <v>16.25</v>
      </c>
      <c r="F878" s="89"/>
      <c r="G878" s="122" t="n">
        <f aca="false">IF(F878&gt;0,D878*F878,E878*D878)</f>
        <v>0</v>
      </c>
      <c r="H878" s="85" t="n">
        <f aca="false">D878*E878*$H$867</f>
        <v>0</v>
      </c>
      <c r="I878" s="2784" t="n">
        <f aca="false">IF(G878&gt;H878,G878,H878)*$H$866</f>
        <v>0</v>
      </c>
      <c r="J878" s="2744"/>
      <c r="K878" s="226" t="n">
        <f aca="false">D878-J878</f>
        <v>0</v>
      </c>
      <c r="L878" s="2736"/>
    </row>
    <row r="879" customFormat="false" ht="15.5" hidden="false" customHeight="false" outlineLevel="0" collapsed="false">
      <c r="A879" s="2719"/>
      <c r="B879" s="122" t="str">
        <f aca="false">дома!A1889</f>
        <v>Бензин для пилы</v>
      </c>
      <c r="C879" s="88" t="str">
        <f aca="false">дома!B1889</f>
        <v>л</v>
      </c>
      <c r="D879" s="122" t="n">
        <f aca="false">дома!C1889</f>
        <v>4.8576</v>
      </c>
      <c r="E879" s="89" t="n">
        <f aca="false">дома!D1889</f>
        <v>40</v>
      </c>
      <c r="F879" s="89"/>
      <c r="G879" s="122" t="n">
        <f aca="false">IF(F879&gt;0,D879*F879,E879*D879)</f>
        <v>194.304</v>
      </c>
      <c r="H879" s="85" t="n">
        <f aca="false">D879*E879*$H$867</f>
        <v>0</v>
      </c>
      <c r="I879" s="2784" t="n">
        <f aca="false">IF(G879&gt;H879,G879,H879)*$H$866</f>
        <v>0</v>
      </c>
      <c r="J879" s="2744"/>
      <c r="K879" s="226" t="n">
        <f aca="false">D879-J879</f>
        <v>4.8576</v>
      </c>
      <c r="L879" s="2736"/>
    </row>
    <row r="880" customFormat="false" ht="15.5" hidden="false" customHeight="false" outlineLevel="0" collapsed="false">
      <c r="A880" s="2719"/>
      <c r="B880" s="122" t="str">
        <f aca="false">дома!A1890</f>
        <v>Масло для пилы</v>
      </c>
      <c r="C880" s="88" t="str">
        <f aca="false">дома!B1890</f>
        <v>л</v>
      </c>
      <c r="D880" s="122" t="n">
        <f aca="false">дома!C1890</f>
        <v>0.24288</v>
      </c>
      <c r="E880" s="89" t="n">
        <f aca="false">дома!D1890</f>
        <v>250</v>
      </c>
      <c r="F880" s="89"/>
      <c r="G880" s="122" t="n">
        <f aca="false">IF(F880&gt;0,D880*F880,E880*D880)</f>
        <v>60.72</v>
      </c>
      <c r="H880" s="85" t="n">
        <f aca="false">D880*E880*$H$867</f>
        <v>0</v>
      </c>
      <c r="I880" s="2784" t="n">
        <f aca="false">IF(G880&gt;H880,G880,H880)*$H$866</f>
        <v>0</v>
      </c>
      <c r="J880" s="2744"/>
      <c r="K880" s="226" t="n">
        <f aca="false">D880-J880</f>
        <v>0.24288</v>
      </c>
      <c r="L880" s="2736"/>
    </row>
    <row r="881" customFormat="false" ht="15.5" hidden="false" customHeight="false" outlineLevel="0" collapsed="false">
      <c r="A881" s="2719"/>
      <c r="B881" s="122" t="str">
        <f aca="false">дома!A1891</f>
        <v>Цепь для пилы</v>
      </c>
      <c r="C881" s="88" t="s">
        <v>159</v>
      </c>
      <c r="D881" s="122" t="n">
        <f aca="false">дома!C1891</f>
        <v>3</v>
      </c>
      <c r="E881" s="89" t="n">
        <f aca="false">дома!D1891</f>
        <v>800</v>
      </c>
      <c r="F881" s="89"/>
      <c r="G881" s="122" t="n">
        <f aca="false">IF(F881&gt;0,D881*F881,E881*D881)</f>
        <v>2400</v>
      </c>
      <c r="H881" s="85" t="n">
        <f aca="false">D881*E881*$H$867</f>
        <v>0</v>
      </c>
      <c r="I881" s="2784" t="n">
        <f aca="false">IF(G881&gt;H881,G881,H881)*$H$866</f>
        <v>0</v>
      </c>
      <c r="J881" s="2744"/>
      <c r="K881" s="226" t="n">
        <f aca="false">D881-J881</f>
        <v>3</v>
      </c>
      <c r="L881" s="2736"/>
    </row>
    <row r="882" customFormat="false" ht="15.5" hidden="false" customHeight="false" outlineLevel="0" collapsed="false">
      <c r="A882" s="2719"/>
      <c r="B882" s="122" t="str">
        <f aca="false">дома!A1892</f>
        <v>"Профилюкс" Антисептик АНТИПЛЕСЕНЬ</v>
      </c>
      <c r="C882" s="88" t="str">
        <f aca="false">дома!B1892</f>
        <v>л</v>
      </c>
      <c r="D882" s="122" t="n">
        <f aca="false">дома!C1892</f>
        <v>0</v>
      </c>
      <c r="E882" s="89" t="n">
        <f aca="false">дома!D1892</f>
        <v>108</v>
      </c>
      <c r="F882" s="89"/>
      <c r="G882" s="122" t="n">
        <f aca="false">IF(F882&gt;0,D882*F882,E882*D882)</f>
        <v>0</v>
      </c>
      <c r="H882" s="85" t="n">
        <f aca="false">D882*E882*$H$867</f>
        <v>0</v>
      </c>
      <c r="I882" s="2784" t="n">
        <f aca="false">IF(G882&gt;H882,G882,H882)*$H$866</f>
        <v>0</v>
      </c>
      <c r="J882" s="2744"/>
      <c r="K882" s="226" t="n">
        <f aca="false">D882-J882</f>
        <v>0</v>
      </c>
      <c r="L882" s="2736"/>
    </row>
    <row r="883" customFormat="false" ht="15.5" hidden="false" customHeight="false" outlineLevel="0" collapsed="false">
      <c r="A883" s="2719"/>
      <c r="B883" s="122" t="str">
        <f aca="false">дома!A1893</f>
        <v>"Тонерол" Антисептик  бесцветный  1л</v>
      </c>
      <c r="C883" s="88" t="str">
        <f aca="false">дома!B1893</f>
        <v>л</v>
      </c>
      <c r="D883" s="122" t="n">
        <f aca="false">дома!C1893</f>
        <v>0</v>
      </c>
      <c r="E883" s="89" t="n">
        <f aca="false">дома!D1893</f>
        <v>305</v>
      </c>
      <c r="F883" s="89"/>
      <c r="G883" s="122" t="n">
        <f aca="false">IF(F883&gt;0,D883*F883,E883*D883)</f>
        <v>0</v>
      </c>
      <c r="H883" s="85" t="n">
        <f aca="false">D883*E883*$H$867</f>
        <v>0</v>
      </c>
      <c r="I883" s="2784" t="n">
        <f aca="false">IF(G883&gt;H883,G883,H883)*$H$866</f>
        <v>0</v>
      </c>
      <c r="J883" s="2744"/>
      <c r="K883" s="226" t="n">
        <f aca="false">D883-J883</f>
        <v>0</v>
      </c>
      <c r="L883" s="2736"/>
    </row>
    <row r="884" customFormat="false" ht="15.5" hidden="false" customHeight="false" outlineLevel="0" collapsed="false">
      <c r="A884" s="2719"/>
      <c r="B884" s="122" t="str">
        <f aca="false">дома!A1894</f>
        <v>"Тонерол" Антисептик  махагон  1л</v>
      </c>
      <c r="C884" s="88" t="str">
        <f aca="false">дома!B1894</f>
        <v>л</v>
      </c>
      <c r="D884" s="122" t="n">
        <f aca="false">дома!C1894</f>
        <v>0</v>
      </c>
      <c r="E884" s="89" t="n">
        <f aca="false">дома!D1894</f>
        <v>305</v>
      </c>
      <c r="F884" s="89"/>
      <c r="G884" s="122" t="n">
        <f aca="false">IF(F884&gt;0,D884*F884,E884*D884)</f>
        <v>0</v>
      </c>
      <c r="H884" s="85" t="n">
        <f aca="false">D884*E884*$H$867</f>
        <v>0</v>
      </c>
      <c r="I884" s="2784" t="n">
        <f aca="false">IF(G884&gt;H884,G884,H884)*$H$866</f>
        <v>0</v>
      </c>
      <c r="J884" s="2744"/>
      <c r="K884" s="226" t="n">
        <f aca="false">D884-J884</f>
        <v>0</v>
      </c>
      <c r="L884" s="2736"/>
    </row>
    <row r="885" customFormat="false" ht="15.5" hidden="false" customHeight="false" outlineLevel="0" collapsed="false">
      <c r="A885" s="2719"/>
      <c r="B885" s="122" t="str">
        <f aca="false">дома!A1895</f>
        <v>Нет наличника</v>
      </c>
      <c r="C885" s="88" t="str">
        <f aca="false">дома!B1895</f>
        <v>м.п.</v>
      </c>
      <c r="D885" s="122" t="n">
        <f aca="false">дома!C1895</f>
        <v>3.57</v>
      </c>
      <c r="E885" s="89" t="n">
        <f aca="false">дома!D1895</f>
        <v>0</v>
      </c>
      <c r="F885" s="89"/>
      <c r="G885" s="122" t="n">
        <f aca="false">IF(F885&gt;0,D885*F885,E885*D885)</f>
        <v>0</v>
      </c>
      <c r="H885" s="85" t="n">
        <f aca="false">D885*E885*$H$867</f>
        <v>0</v>
      </c>
      <c r="I885" s="2784" t="n">
        <f aca="false">IF(G885&gt;H885,G885,H885)*$H$866</f>
        <v>0</v>
      </c>
      <c r="J885" s="2744"/>
      <c r="K885" s="226" t="n">
        <f aca="false">D885-J885</f>
        <v>3.57</v>
      </c>
      <c r="L885" s="2736"/>
    </row>
    <row r="886" customFormat="false" ht="15.5" hidden="false" customHeight="false" outlineLevel="0" collapsed="false">
      <c r="A886" s="2719"/>
      <c r="B886" s="122" t="str">
        <f aca="false">дома!A1896</f>
        <v>Нет наличника</v>
      </c>
      <c r="C886" s="88" t="str">
        <f aca="false">дома!B1896</f>
        <v>м.п.</v>
      </c>
      <c r="D886" s="122" t="n">
        <f aca="false">дома!C1896</f>
        <v>3.57</v>
      </c>
      <c r="E886" s="89" t="n">
        <f aca="false">дома!D1896</f>
        <v>0</v>
      </c>
      <c r="F886" s="89"/>
      <c r="G886" s="122" t="n">
        <f aca="false">IF(F886&gt;0,D886*F886,E886*D886)</f>
        <v>0</v>
      </c>
      <c r="H886" s="85" t="n">
        <f aca="false">D886*E886*$H$867</f>
        <v>0</v>
      </c>
      <c r="I886" s="2784" t="n">
        <f aca="false">IF(G886&gt;H886,G886,H886)*$H$866</f>
        <v>0</v>
      </c>
      <c r="J886" s="2744"/>
      <c r="K886" s="226" t="n">
        <f aca="false">D886-J886</f>
        <v>3.57</v>
      </c>
      <c r="L886" s="2736"/>
    </row>
    <row r="887" customFormat="false" ht="15.5" hidden="false" customHeight="false" outlineLevel="0" collapsed="false">
      <c r="A887" s="2719"/>
      <c r="B887" s="122" t="str">
        <f aca="false">дома!A1897</f>
        <v>Бумага наждачная № 63 F(30)</v>
      </c>
      <c r="C887" s="88" t="str">
        <f aca="false">дома!B1897</f>
        <v>м</v>
      </c>
      <c r="D887" s="122" t="n">
        <f aca="false">дома!C1897</f>
        <v>5</v>
      </c>
      <c r="E887" s="89" t="n">
        <f aca="false">дома!D1897</f>
        <v>291</v>
      </c>
      <c r="F887" s="89"/>
      <c r="G887" s="122" t="n">
        <f aca="false">IF(F887&gt;0,D887*F887,E887*D887)</f>
        <v>1455</v>
      </c>
      <c r="H887" s="85" t="n">
        <f aca="false">D887*E887*$H$867</f>
        <v>0</v>
      </c>
      <c r="I887" s="2784" t="n">
        <f aca="false">IF(G887&gt;H887,G887,H887)*$H$866</f>
        <v>0</v>
      </c>
      <c r="J887" s="2744"/>
      <c r="K887" s="226" t="n">
        <f aca="false">D887-J887</f>
        <v>5</v>
      </c>
      <c r="L887" s="2736"/>
    </row>
    <row r="888" customFormat="false" ht="15.5" hidden="false" customHeight="false" outlineLevel="0" collapsed="false">
      <c r="A888" s="2719"/>
      <c r="B888" s="122" t="str">
        <f aca="false">дома!A1898</f>
        <v>Нет наждачной бумаги</v>
      </c>
      <c r="C888" s="88" t="str">
        <f aca="false">дома!B1898</f>
        <v>м</v>
      </c>
      <c r="D888" s="122" t="n">
        <f aca="false">дома!C1898</f>
        <v>0</v>
      </c>
      <c r="E888" s="89" t="n">
        <f aca="false">дома!D1898</f>
        <v>0</v>
      </c>
      <c r="F888" s="89"/>
      <c r="G888" s="122" t="n">
        <f aca="false">IF(F888&gt;0,D888*F888,E888*D888)</f>
        <v>0</v>
      </c>
      <c r="H888" s="85" t="n">
        <f aca="false">D888*E888*$H$867</f>
        <v>0</v>
      </c>
      <c r="I888" s="2784" t="n">
        <f aca="false">IF(G888&gt;H888,G888,H888)*$H$866</f>
        <v>0</v>
      </c>
      <c r="J888" s="2744"/>
      <c r="K888" s="226" t="n">
        <f aca="false">D888-J888</f>
        <v>0</v>
      </c>
      <c r="L888" s="2736"/>
    </row>
    <row r="889" customFormat="false" ht="15.5" hidden="false" customHeight="false" outlineLevel="0" collapsed="false">
      <c r="A889" s="2719"/>
      <c r="B889" s="122" t="str">
        <f aca="false">дома!A1899</f>
        <v>Бумага наждачная № 63 F(30)</v>
      </c>
      <c r="C889" s="88" t="str">
        <f aca="false">дома!B1899</f>
        <v>м</v>
      </c>
      <c r="D889" s="122" t="n">
        <f aca="false">дома!C1899</f>
        <v>0</v>
      </c>
      <c r="E889" s="89" t="n">
        <f aca="false">дома!D1899</f>
        <v>291</v>
      </c>
      <c r="F889" s="89"/>
      <c r="G889" s="122" t="n">
        <f aca="false">IF(F889&gt;0,D889*F889,E889*D889)</f>
        <v>0</v>
      </c>
      <c r="H889" s="85" t="n">
        <f aca="false">D889*E889*$H$867</f>
        <v>0</v>
      </c>
      <c r="I889" s="2784" t="n">
        <f aca="false">IF(G889&gt;H889,G889,H889)*$H$866</f>
        <v>0</v>
      </c>
      <c r="J889" s="2744"/>
      <c r="K889" s="226" t="n">
        <f aca="false">D889-J889</f>
        <v>0</v>
      </c>
      <c r="L889" s="2736"/>
    </row>
    <row r="890" customFormat="false" ht="15.5" hidden="false" customHeight="false" outlineLevel="0" collapsed="false">
      <c r="A890" s="2719"/>
      <c r="B890" s="122" t="str">
        <f aca="false">дома!A1900</f>
        <v>Бумага наждачная № 40</v>
      </c>
      <c r="C890" s="88" t="str">
        <f aca="false">дома!B1900</f>
        <v>м</v>
      </c>
      <c r="D890" s="122" t="n">
        <f aca="false">дома!C1900</f>
        <v>0</v>
      </c>
      <c r="E890" s="89" t="n">
        <f aca="false">дома!D1900</f>
        <v>240</v>
      </c>
      <c r="F890" s="89"/>
      <c r="G890" s="122" t="n">
        <f aca="false">IF(F890&gt;0,D890*F890,E890*D890)</f>
        <v>0</v>
      </c>
      <c r="H890" s="85" t="n">
        <f aca="false">D890*E890*$H$867</f>
        <v>0</v>
      </c>
      <c r="I890" s="2784" t="n">
        <f aca="false">IF(G890&gt;H890,G890,H890)*$H$866</f>
        <v>0</v>
      </c>
      <c r="J890" s="2744"/>
      <c r="K890" s="226" t="n">
        <f aca="false">D890-J890</f>
        <v>0</v>
      </c>
      <c r="L890" s="2736"/>
    </row>
    <row r="891" customFormat="false" ht="15.5" hidden="false" customHeight="false" outlineLevel="0" collapsed="false">
      <c r="A891" s="2719"/>
      <c r="B891" s="2748" t="s">
        <v>4640</v>
      </c>
      <c r="C891" s="2748"/>
      <c r="D891" s="2748"/>
      <c r="E891" s="2748"/>
      <c r="F891" s="2748"/>
      <c r="G891" s="85" t="n">
        <f aca="false">SUM(G868:G890)*H866</f>
        <v>0</v>
      </c>
      <c r="H891" s="85" t="n">
        <f aca="false">SUM(H868:H890)</f>
        <v>0</v>
      </c>
      <c r="I891" s="2784" t="n">
        <f aca="false">IF(G891&gt;H891,G891,H891)*$H$866</f>
        <v>0</v>
      </c>
      <c r="J891" s="2744"/>
      <c r="K891" s="226" t="n">
        <f aca="false">D891-J891</f>
        <v>0</v>
      </c>
      <c r="L891" s="2736"/>
    </row>
    <row r="892" customFormat="false" ht="15.5" hidden="false" customHeight="false" outlineLevel="0" collapsed="false">
      <c r="A892" s="2719"/>
      <c r="B892" s="2750" t="s">
        <v>1409</v>
      </c>
      <c r="C892" s="2750"/>
      <c r="D892" s="2750"/>
      <c r="E892" s="2750"/>
      <c r="F892" s="2750"/>
      <c r="G892" s="905"/>
      <c r="H892" s="2766" t="n">
        <f aca="false">H866</f>
        <v>0</v>
      </c>
      <c r="I892" s="2757" t="n">
        <f aca="false">H892</f>
        <v>0</v>
      </c>
      <c r="J892" s="2752"/>
      <c r="K892" s="2753"/>
    </row>
    <row r="893" customFormat="false" ht="15.5" hidden="false" customHeight="false" outlineLevel="0" collapsed="false">
      <c r="A893" s="2712"/>
      <c r="B893" s="2648" t="str">
        <f aca="false">дома!G1878</f>
        <v>кладка бруса</v>
      </c>
      <c r="C893" s="2765" t="s">
        <v>135</v>
      </c>
      <c r="D893" s="298" t="n">
        <f aca="false">дома!J1878</f>
        <v>24.288</v>
      </c>
      <c r="E893" s="89" t="n">
        <f aca="false">дома!K1878</f>
        <v>6000</v>
      </c>
      <c r="F893" s="89"/>
      <c r="G893" s="122" t="n">
        <f aca="false">IF(F893&gt;0,D893*F893,E893*D893)</f>
        <v>145728</v>
      </c>
      <c r="H893" s="2210" t="n">
        <f aca="false">D893*E893*$H$892</f>
        <v>0</v>
      </c>
      <c r="I893" s="2718" t="n">
        <f aca="false">IF(G893&gt;H893,G893,H893)*$H$866</f>
        <v>0</v>
      </c>
      <c r="J893" s="2712"/>
      <c r="K893" s="2719"/>
    </row>
    <row r="894" customFormat="false" ht="15.5" hidden="false" customHeight="false" outlineLevel="0" collapsed="false">
      <c r="A894" s="2719"/>
      <c r="B894" s="2648" t="str">
        <f aca="false">дома!G1880</f>
        <v>окосячка проемов, м.п.</v>
      </c>
      <c r="C894" s="2765" t="s">
        <v>156</v>
      </c>
      <c r="D894" s="298" t="n">
        <f aca="false">дома!J1880</f>
        <v>0</v>
      </c>
      <c r="E894" s="89" t="n">
        <f aca="false">дома!K1880</f>
        <v>150</v>
      </c>
      <c r="F894" s="89"/>
      <c r="G894" s="122" t="n">
        <f aca="false">IF(F894&gt;0,D894*F894,E894*D894)</f>
        <v>0</v>
      </c>
      <c r="H894" s="2210" t="n">
        <f aca="false">D894*E894*$H$892</f>
        <v>0</v>
      </c>
      <c r="I894" s="2718" t="n">
        <f aca="false">IF(G894&gt;H894,G894,H894)*$H$866</f>
        <v>0</v>
      </c>
      <c r="J894" s="2712"/>
      <c r="K894" s="2719"/>
    </row>
    <row r="895" customFormat="false" ht="15.5" hidden="false" customHeight="false" outlineLevel="0" collapsed="false">
      <c r="A895" s="2719"/>
      <c r="B895" s="2648" t="str">
        <f aca="false">дома!G1881</f>
        <v>обработка торцов на брусе</v>
      </c>
      <c r="C895" s="2765" t="s">
        <v>156</v>
      </c>
      <c r="D895" s="298" t="n">
        <f aca="false">дома!J1881</f>
        <v>14.4</v>
      </c>
      <c r="E895" s="89" t="n">
        <f aca="false">дома!K1881</f>
        <v>250</v>
      </c>
      <c r="F895" s="89"/>
      <c r="G895" s="122" t="n">
        <f aca="false">IF(F895&gt;0,D895*F895,E895*D895)</f>
        <v>3600</v>
      </c>
      <c r="H895" s="2210" t="n">
        <f aca="false">D895*E895*$H$892</f>
        <v>0</v>
      </c>
      <c r="I895" s="2718" t="n">
        <f aca="false">IF(G895&gt;H895,G895,H895)*$H$866</f>
        <v>0</v>
      </c>
      <c r="J895" s="2712"/>
      <c r="K895" s="2719"/>
    </row>
    <row r="896" customFormat="false" ht="15.5" hidden="false" customHeight="false" outlineLevel="0" collapsed="false">
      <c r="A896" s="2719"/>
      <c r="B896" s="2648" t="str">
        <f aca="false">дома!G1882</f>
        <v>Обаботка огнебиозащитой</v>
      </c>
      <c r="C896" s="2765" t="s">
        <v>156</v>
      </c>
      <c r="D896" s="298" t="n">
        <f aca="false">дома!J1882</f>
        <v>24.288</v>
      </c>
      <c r="E896" s="89" t="n">
        <f aca="false">дома!K1882</f>
        <v>300</v>
      </c>
      <c r="F896" s="89"/>
      <c r="G896" s="122" t="n">
        <f aca="false">IF(F896&gt;0,D896*F896,E896*D896)</f>
        <v>7286.4</v>
      </c>
      <c r="H896" s="2210" t="n">
        <f aca="false">D896*E896*$H$892</f>
        <v>0</v>
      </c>
      <c r="I896" s="2718" t="n">
        <f aca="false">IF(G896&gt;H896,G896,H896)*$H$866</f>
        <v>0</v>
      </c>
      <c r="J896" s="2712"/>
      <c r="K896" s="2719"/>
    </row>
    <row r="897" customFormat="false" ht="15.5" hidden="false" customHeight="false" outlineLevel="0" collapsed="false">
      <c r="A897" s="2719"/>
      <c r="B897" s="2648" t="str">
        <f aca="false">дома!G1883</f>
        <v>Пропитка стен внешних</v>
      </c>
      <c r="C897" s="2765" t="s">
        <v>156</v>
      </c>
      <c r="D897" s="298" t="n">
        <f aca="false">дома!J1883</f>
        <v>0</v>
      </c>
      <c r="E897" s="89" t="n">
        <f aca="false">дома!K1883</f>
        <v>100</v>
      </c>
      <c r="F897" s="89"/>
      <c r="G897" s="122" t="n">
        <f aca="false">IF(F897&gt;0,D897*F897,E897*D897)</f>
        <v>0</v>
      </c>
      <c r="H897" s="2210" t="n">
        <f aca="false">D897*E897*$H$892</f>
        <v>0</v>
      </c>
      <c r="I897" s="2718" t="n">
        <f aca="false">IF(G897&gt;H897,G897,H897)*$H$866</f>
        <v>0</v>
      </c>
      <c r="J897" s="2712"/>
      <c r="K897" s="2719"/>
    </row>
    <row r="898" customFormat="false" ht="15.5" hidden="false" customHeight="false" outlineLevel="0" collapsed="false">
      <c r="A898" s="2719"/>
      <c r="B898" s="2648" t="str">
        <f aca="false">дома!G1884</f>
        <v>Пропитка внутенних стен</v>
      </c>
      <c r="C898" s="2765" t="s">
        <v>156</v>
      </c>
      <c r="D898" s="298" t="n">
        <f aca="false">дома!J1884</f>
        <v>0</v>
      </c>
      <c r="E898" s="89" t="n">
        <f aca="false">дома!K1884</f>
        <v>100</v>
      </c>
      <c r="F898" s="89"/>
      <c r="G898" s="122" t="n">
        <f aca="false">IF(F898&gt;0,D898*F898,E898*D898)</f>
        <v>0</v>
      </c>
      <c r="H898" s="2210" t="n">
        <f aca="false">D898*E898*$H$892</f>
        <v>0</v>
      </c>
      <c r="I898" s="2718" t="n">
        <f aca="false">IF(G898&gt;H898,G898,H898)*$H$866</f>
        <v>0</v>
      </c>
      <c r="J898" s="2712"/>
      <c r="K898" s="2719"/>
    </row>
    <row r="899" customFormat="false" ht="15.5" hidden="false" customHeight="false" outlineLevel="0" collapsed="false">
      <c r="A899" s="2719"/>
      <c r="B899" s="2648" t="str">
        <f aca="false">дома!G1885</f>
        <v>Сверление стен для скрытой проводки</v>
      </c>
      <c r="C899" s="2765" t="s">
        <v>156</v>
      </c>
      <c r="D899" s="298" t="n">
        <f aca="false">дома!J1885</f>
        <v>180</v>
      </c>
      <c r="E899" s="89" t="n">
        <f aca="false">дома!K1885</f>
        <v>300</v>
      </c>
      <c r="F899" s="89"/>
      <c r="G899" s="122" t="n">
        <f aca="false">IF(F899&gt;0,D899*F899,E899*D899)</f>
        <v>54000</v>
      </c>
      <c r="H899" s="2210" t="n">
        <f aca="false">D899*E899*$H$892</f>
        <v>0</v>
      </c>
      <c r="I899" s="2718" t="n">
        <f aca="false">IF(G899&gt;H899,G899,H899)*$H$866</f>
        <v>0</v>
      </c>
      <c r="J899" s="2712"/>
      <c r="K899" s="2719"/>
    </row>
    <row r="900" customFormat="false" ht="15.5" hidden="false" customHeight="false" outlineLevel="0" collapsed="false">
      <c r="A900" s="2719"/>
      <c r="B900" s="2648" t="str">
        <f aca="false">дома!G1886</f>
        <v>Монтаж наличника</v>
      </c>
      <c r="C900" s="2765" t="s">
        <v>156</v>
      </c>
      <c r="D900" s="298" t="n">
        <f aca="false">дома!J1886</f>
        <v>0</v>
      </c>
      <c r="E900" s="89" t="n">
        <f aca="false">дома!K1886</f>
        <v>80</v>
      </c>
      <c r="F900" s="89"/>
      <c r="G900" s="122" t="n">
        <f aca="false">IF(F900&gt;0,D900*F900,E900*D900)</f>
        <v>0</v>
      </c>
      <c r="H900" s="2210" t="n">
        <f aca="false">D900*E900*$H$892</f>
        <v>0</v>
      </c>
      <c r="I900" s="2718" t="n">
        <f aca="false">IF(G900&gt;H900,G900,H900)*$H$866</f>
        <v>0</v>
      </c>
      <c r="J900" s="2712"/>
      <c r="K900" s="2719"/>
    </row>
    <row r="901" customFormat="false" ht="15.5" hidden="false" customHeight="false" outlineLevel="0" collapsed="false">
      <c r="A901" s="2719"/>
      <c r="B901" s="2648" t="str">
        <f aca="false">дома!G1888</f>
        <v>Шлифовка стен дома</v>
      </c>
      <c r="C901" s="2765" t="s">
        <v>156</v>
      </c>
      <c r="D901" s="298" t="n">
        <f aca="false">дома!J1888</f>
        <v>0</v>
      </c>
      <c r="E901" s="89" t="n">
        <f aca="false">дома!K1888</f>
        <v>250</v>
      </c>
      <c r="F901" s="89"/>
      <c r="G901" s="122" t="n">
        <f aca="false">IF(F901&gt;0,D901*F901,E901*D901)</f>
        <v>0</v>
      </c>
      <c r="H901" s="2210" t="n">
        <f aca="false">D901*E901*$H$892</f>
        <v>0</v>
      </c>
      <c r="I901" s="2718" t="n">
        <f aca="false">IF(G901&gt;H901,G901,H901)*$H$866</f>
        <v>0</v>
      </c>
      <c r="J901" s="2712"/>
      <c r="K901" s="2719"/>
    </row>
    <row r="902" customFormat="false" ht="15.5" hidden="false" customHeight="false" outlineLevel="0" collapsed="false">
      <c r="A902" s="2719"/>
      <c r="B902" s="2748" t="s">
        <v>4641</v>
      </c>
      <c r="C902" s="2748"/>
      <c r="D902" s="2748"/>
      <c r="E902" s="2748"/>
      <c r="F902" s="2748"/>
      <c r="G902" s="2210" t="n">
        <f aca="false">SUM(G893:G901)*H892</f>
        <v>0</v>
      </c>
      <c r="H902" s="2210" t="n">
        <f aca="false">SUM(H893:H901)</f>
        <v>0</v>
      </c>
      <c r="I902" s="2718" t="n">
        <f aca="false">IF(G902&gt;H902,G902,H902)*$H$866</f>
        <v>0</v>
      </c>
      <c r="J902" s="2712"/>
      <c r="K902" s="2719"/>
    </row>
    <row r="903" customFormat="false" ht="21" hidden="false" customHeight="false" outlineLevel="0" collapsed="false">
      <c r="A903" s="2719"/>
      <c r="B903" s="2768" t="s">
        <v>4658</v>
      </c>
      <c r="C903" s="2768"/>
      <c r="D903" s="2768"/>
      <c r="E903" s="2768"/>
      <c r="F903" s="2816"/>
      <c r="G903" s="905"/>
      <c r="H903" s="2770" t="n">
        <f aca="false">VLOOKUP('Ввод данных'!F64,связи1!A2:B3,2,0)</f>
        <v>0</v>
      </c>
      <c r="I903" s="2757"/>
      <c r="J903" s="2712"/>
      <c r="K903" s="2719"/>
    </row>
    <row r="904" customFormat="false" ht="15.5" hidden="false" customHeight="false" outlineLevel="0" collapsed="false">
      <c r="A904" s="2719"/>
      <c r="B904" s="2775" t="s">
        <v>2720</v>
      </c>
      <c r="C904" s="2775"/>
      <c r="D904" s="2775"/>
      <c r="E904" s="2775"/>
      <c r="F904" s="2783"/>
      <c r="G904" s="905"/>
      <c r="H904" s="2776" t="n">
        <f aca="false">H903</f>
        <v>0</v>
      </c>
      <c r="I904" s="2757"/>
      <c r="J904" s="2732"/>
      <c r="K904" s="2733"/>
    </row>
    <row r="905" customFormat="false" ht="15.5" hidden="false" customHeight="false" outlineLevel="0" collapsed="false">
      <c r="A905" s="2719"/>
      <c r="B905" s="87" t="str">
        <f aca="false">перекрытие!A42</f>
        <v>Плиты перекрытия ЖБИ</v>
      </c>
      <c r="C905" s="88" t="str">
        <f aca="false">перекрытие!B42</f>
        <v>м2</v>
      </c>
      <c r="D905" s="122" t="n">
        <f aca="false">перекрытие!D42</f>
        <v>0</v>
      </c>
      <c r="E905" s="89" t="n">
        <f aca="false">перекрытие!E42</f>
        <v>1400</v>
      </c>
      <c r="F905" s="89"/>
      <c r="G905" s="122" t="n">
        <f aca="false">IF(F905&gt;0,D905*F905,E905*D905)</f>
        <v>0</v>
      </c>
      <c r="H905" s="89" t="n">
        <f aca="false">E905*D905*$H$903</f>
        <v>0</v>
      </c>
      <c r="I905" s="2784" t="n">
        <f aca="false">IF(G905&gt;H905,G905,H905)*$H$903</f>
        <v>0</v>
      </c>
      <c r="J905" s="2744"/>
      <c r="K905" s="226" t="n">
        <f aca="false">D905-J905</f>
        <v>0</v>
      </c>
      <c r="L905" s="2736"/>
    </row>
    <row r="906" customFormat="false" ht="15.5" hidden="false" customHeight="false" outlineLevel="0" collapsed="false">
      <c r="A906" s="2719"/>
      <c r="B906" s="87" t="str">
        <f aca="false">перекрытие!A43</f>
        <v>Раствор, м250</v>
      </c>
      <c r="C906" s="88" t="str">
        <f aca="false">перекрытие!B43</f>
        <v>м3</v>
      </c>
      <c r="D906" s="122" t="n">
        <f aca="false">перекрытие!D43</f>
        <v>0</v>
      </c>
      <c r="E906" s="89" t="n">
        <f aca="false">перекрытие!E43</f>
        <v>2500</v>
      </c>
      <c r="F906" s="89"/>
      <c r="G906" s="122" t="n">
        <f aca="false">IF(F906&gt;0,D906*F906,E906*D906)</f>
        <v>0</v>
      </c>
      <c r="H906" s="89" t="n">
        <f aca="false">E906*D906*$H$903</f>
        <v>0</v>
      </c>
      <c r="I906" s="2784" t="n">
        <f aca="false">IF(G906&gt;H906,G906,H906)*$H$903</f>
        <v>0</v>
      </c>
      <c r="J906" s="2744"/>
      <c r="K906" s="226" t="n">
        <f aca="false">D906-J906</f>
        <v>0</v>
      </c>
      <c r="L906" s="2736"/>
    </row>
    <row r="907" customFormat="false" ht="15.5" hidden="false" customHeight="false" outlineLevel="0" collapsed="false">
      <c r="A907" s="2719"/>
      <c r="B907" s="87" t="str">
        <f aca="false">перекрытие!A44</f>
        <v>Монолит, бетон, 300мм, 2 слоя</v>
      </c>
      <c r="C907" s="88" t="str">
        <f aca="false">перекрытие!B44</f>
        <v>м2</v>
      </c>
      <c r="D907" s="122" t="n">
        <f aca="false">перекрытие!D44</f>
        <v>0</v>
      </c>
      <c r="E907" s="89" t="n">
        <f aca="false">перекрытие!E44</f>
        <v>1</v>
      </c>
      <c r="F907" s="89"/>
      <c r="G907" s="122" t="n">
        <f aca="false">IF(F907&gt;0,D907*F907,E907*D907)</f>
        <v>0</v>
      </c>
      <c r="H907" s="89" t="n">
        <f aca="false">E907*D907*$H$903</f>
        <v>0</v>
      </c>
      <c r="I907" s="2784" t="n">
        <f aca="false">IF(G907&gt;H907,G907,H907)*$H$903</f>
        <v>0</v>
      </c>
      <c r="J907" s="2744"/>
      <c r="K907" s="226" t="n">
        <f aca="false">D907-J907</f>
        <v>0</v>
      </c>
      <c r="L907" s="2736"/>
    </row>
    <row r="908" customFormat="false" ht="15.5" hidden="false" customHeight="false" outlineLevel="0" collapsed="false">
      <c r="A908" s="2719"/>
      <c r="B908" s="87" t="str">
        <f aca="false">перекрытие!A45</f>
        <v>Монолит, бетон, 300мм, 1 слой</v>
      </c>
      <c r="C908" s="88" t="str">
        <f aca="false">перекрытие!B45</f>
        <v>м2</v>
      </c>
      <c r="D908" s="122" t="n">
        <f aca="false">перекрытие!D45</f>
        <v>0</v>
      </c>
      <c r="E908" s="89" t="n">
        <f aca="false">перекрытие!E45</f>
        <v>1</v>
      </c>
      <c r="F908" s="89"/>
      <c r="G908" s="122" t="n">
        <f aca="false">IF(F908&gt;0,D908*F908,E908*D908)</f>
        <v>0</v>
      </c>
      <c r="H908" s="89" t="n">
        <f aca="false">E908*D908*$H$903</f>
        <v>0</v>
      </c>
      <c r="I908" s="2784" t="n">
        <f aca="false">IF(G908&gt;H908,G908,H908)*$H$903</f>
        <v>0</v>
      </c>
      <c r="J908" s="2744"/>
      <c r="K908" s="226" t="n">
        <f aca="false">D908-J908</f>
        <v>0</v>
      </c>
      <c r="L908" s="2736"/>
    </row>
    <row r="909" customFormat="false" ht="15.5" hidden="false" customHeight="false" outlineLevel="0" collapsed="false">
      <c r="A909" s="2719"/>
      <c r="B909" s="87" t="str">
        <f aca="false">перекрытие!A46</f>
        <v>Монолит, бетон, 250мм, 2 слоя</v>
      </c>
      <c r="C909" s="88" t="str">
        <f aca="false">перекрытие!B46</f>
        <v>м2</v>
      </c>
      <c r="D909" s="122" t="n">
        <f aca="false">перекрытие!D46</f>
        <v>0</v>
      </c>
      <c r="E909" s="89" t="n">
        <f aca="false">перекрытие!E46</f>
        <v>1</v>
      </c>
      <c r="F909" s="89"/>
      <c r="G909" s="122" t="n">
        <f aca="false">IF(F909&gt;0,D909*F909,E909*D909)</f>
        <v>0</v>
      </c>
      <c r="H909" s="89" t="n">
        <f aca="false">E909*D909*$H$903</f>
        <v>0</v>
      </c>
      <c r="I909" s="2784" t="n">
        <f aca="false">IF(G909&gt;H909,G909,H909)*$H$903</f>
        <v>0</v>
      </c>
      <c r="J909" s="2744"/>
      <c r="K909" s="226" t="n">
        <f aca="false">D909-J909</f>
        <v>0</v>
      </c>
      <c r="L909" s="2736"/>
    </row>
    <row r="910" customFormat="false" ht="15.5" hidden="false" customHeight="false" outlineLevel="0" collapsed="false">
      <c r="A910" s="2719"/>
      <c r="B910" s="87" t="str">
        <f aca="false">перекрытие!A47</f>
        <v>Монолит, бетон, 250мм, 1 слой</v>
      </c>
      <c r="C910" s="88" t="str">
        <f aca="false">перекрытие!B47</f>
        <v>м2</v>
      </c>
      <c r="D910" s="122" t="n">
        <f aca="false">перекрытие!D47</f>
        <v>0</v>
      </c>
      <c r="E910" s="89" t="n">
        <f aca="false">перекрытие!E47</f>
        <v>1</v>
      </c>
      <c r="F910" s="89"/>
      <c r="G910" s="122" t="n">
        <f aca="false">IF(F910&gt;0,D910*F910,E910*D910)</f>
        <v>0</v>
      </c>
      <c r="H910" s="89" t="n">
        <f aca="false">E910*D910*$H$903</f>
        <v>0</v>
      </c>
      <c r="I910" s="2784" t="n">
        <f aca="false">IF(G910&gt;H910,G910,H910)*$H$903</f>
        <v>0</v>
      </c>
      <c r="J910" s="2744"/>
      <c r="K910" s="226" t="n">
        <f aca="false">D910-J910</f>
        <v>0</v>
      </c>
      <c r="L910" s="2736"/>
    </row>
    <row r="911" customFormat="false" ht="15.5" hidden="false" customHeight="false" outlineLevel="0" collapsed="false">
      <c r="A911" s="2719"/>
      <c r="B911" s="87" t="str">
        <f aca="false">перекрытие!A48</f>
        <v>Монолит, бетон, 200мм, 2 слоя</v>
      </c>
      <c r="C911" s="88" t="str">
        <f aca="false">перекрытие!B48</f>
        <v>м2</v>
      </c>
      <c r="D911" s="122" t="n">
        <f aca="false">перекрытие!D48</f>
        <v>0</v>
      </c>
      <c r="E911" s="89" t="n">
        <f aca="false">перекрытие!E48</f>
        <v>1</v>
      </c>
      <c r="F911" s="89"/>
      <c r="G911" s="122" t="n">
        <f aca="false">IF(F911&gt;0,D911*F911,E911*D911)</f>
        <v>0</v>
      </c>
      <c r="H911" s="89" t="n">
        <f aca="false">E911*D911*$H$903</f>
        <v>0</v>
      </c>
      <c r="I911" s="2784" t="n">
        <f aca="false">IF(G911&gt;H911,G911,H911)*$H$903</f>
        <v>0</v>
      </c>
      <c r="J911" s="2744"/>
      <c r="K911" s="226" t="n">
        <f aca="false">D911-J911</f>
        <v>0</v>
      </c>
      <c r="L911" s="2736"/>
    </row>
    <row r="912" customFormat="false" ht="15.5" hidden="false" customHeight="false" outlineLevel="0" collapsed="false">
      <c r="A912" s="2719"/>
      <c r="B912" s="87" t="str">
        <f aca="false">перекрытие!A49</f>
        <v>Монолит, бетон, 200мм, 1 слой</v>
      </c>
      <c r="C912" s="88" t="str">
        <f aca="false">перекрытие!B49</f>
        <v>м2</v>
      </c>
      <c r="D912" s="122" t="n">
        <f aca="false">перекрытие!D49</f>
        <v>0</v>
      </c>
      <c r="E912" s="89" t="n">
        <f aca="false">перекрытие!E49</f>
        <v>1</v>
      </c>
      <c r="F912" s="89"/>
      <c r="G912" s="122" t="n">
        <f aca="false">IF(F912&gt;0,D912*F912,E912*D912)</f>
        <v>0</v>
      </c>
      <c r="H912" s="89" t="n">
        <f aca="false">E912*D912*$H$903</f>
        <v>0</v>
      </c>
      <c r="I912" s="2784" t="n">
        <f aca="false">IF(G912&gt;H912,G912,H912)*$H$903</f>
        <v>0</v>
      </c>
      <c r="J912" s="2744"/>
      <c r="K912" s="226" t="n">
        <f aca="false">D912-J912</f>
        <v>0</v>
      </c>
      <c r="L912" s="2736"/>
    </row>
    <row r="913" customFormat="false" ht="15.5" hidden="false" customHeight="false" outlineLevel="0" collapsed="false">
      <c r="A913" s="2719"/>
      <c r="B913" s="87" t="str">
        <f aca="false">перекрытие!A50</f>
        <v>Монолит, бетон, 150мм, 2 слоя</v>
      </c>
      <c r="C913" s="88" t="str">
        <f aca="false">перекрытие!B50</f>
        <v>м2</v>
      </c>
      <c r="D913" s="122" t="n">
        <f aca="false">перекрытие!D50</f>
        <v>0</v>
      </c>
      <c r="E913" s="89" t="n">
        <f aca="false">перекрытие!E50</f>
        <v>1</v>
      </c>
      <c r="F913" s="89"/>
      <c r="G913" s="122" t="n">
        <f aca="false">IF(F913&gt;0,D913*F913,E913*D913)</f>
        <v>0</v>
      </c>
      <c r="H913" s="89" t="n">
        <f aca="false">E913*D913*$H$903</f>
        <v>0</v>
      </c>
      <c r="I913" s="2784" t="n">
        <f aca="false">IF(G913&gt;H913,G913,H913)*$H$903</f>
        <v>0</v>
      </c>
      <c r="J913" s="2744"/>
      <c r="K913" s="226" t="n">
        <f aca="false">D913-J913</f>
        <v>0</v>
      </c>
      <c r="L913" s="2736"/>
    </row>
    <row r="914" customFormat="false" ht="15.5" hidden="false" customHeight="false" outlineLevel="0" collapsed="false">
      <c r="A914" s="2719"/>
      <c r="B914" s="87" t="str">
        <f aca="false">перекрытие!A51</f>
        <v>Монолит, бетон, 150мм, 1 слой</v>
      </c>
      <c r="C914" s="88" t="str">
        <f aca="false">перекрытие!B51</f>
        <v>м2</v>
      </c>
      <c r="D914" s="122" t="n">
        <f aca="false">перекрытие!D51</f>
        <v>0</v>
      </c>
      <c r="E914" s="89" t="n">
        <f aca="false">перекрытие!E51</f>
        <v>1</v>
      </c>
      <c r="F914" s="89"/>
      <c r="G914" s="122" t="n">
        <f aca="false">IF(F914&gt;0,D914*F914,E914*D914)</f>
        <v>0</v>
      </c>
      <c r="H914" s="89" t="n">
        <f aca="false">E914*D914*$H$903</f>
        <v>0</v>
      </c>
      <c r="I914" s="2784" t="n">
        <f aca="false">IF(G914&gt;H914,G914,H914)*$H$903</f>
        <v>0</v>
      </c>
      <c r="J914" s="2744"/>
      <c r="K914" s="226" t="n">
        <f aca="false">D914-J914</f>
        <v>0</v>
      </c>
      <c r="L914" s="2736"/>
    </row>
    <row r="915" customFormat="false" ht="15.5" hidden="false" customHeight="false" outlineLevel="0" collapsed="false">
      <c r="A915" s="2719"/>
      <c r="B915" s="87" t="str">
        <f aca="false">перекрытие!A52</f>
        <v>доска для опалубки монолит перекрытий</v>
      </c>
      <c r="C915" s="88" t="str">
        <f aca="false">перекрытие!B52</f>
        <v>м3</v>
      </c>
      <c r="D915" s="122" t="n">
        <f aca="false">перекрытие!D52</f>
        <v>0</v>
      </c>
      <c r="E915" s="89" t="n">
        <f aca="false">перекрытие!E52</f>
        <v>6500</v>
      </c>
      <c r="F915" s="89"/>
      <c r="G915" s="122" t="n">
        <f aca="false">IF(F915&gt;0,D915*F915,E915*D915)</f>
        <v>0</v>
      </c>
      <c r="H915" s="89" t="n">
        <f aca="false">E915*D915*$H$903</f>
        <v>0</v>
      </c>
      <c r="I915" s="2784" t="n">
        <f aca="false">IF(G915&gt;H915,G915,H915)*$H$903</f>
        <v>0</v>
      </c>
      <c r="J915" s="2744"/>
      <c r="K915" s="226" t="n">
        <f aca="false">D915-J915</f>
        <v>0</v>
      </c>
      <c r="L915" s="2736"/>
    </row>
    <row r="916" customFormat="false" ht="15.5" hidden="false" customHeight="false" outlineLevel="0" collapsed="false">
      <c r="A916" s="2719"/>
      <c r="B916" s="87" t="str">
        <f aca="false">перекрытие!A53</f>
        <v>стойки под опалубку перекрытий</v>
      </c>
      <c r="C916" s="88" t="str">
        <f aca="false">перекрытие!B53</f>
        <v>шт</v>
      </c>
      <c r="D916" s="122" t="n">
        <f aca="false">перекрытие!D53</f>
        <v>0</v>
      </c>
      <c r="E916" s="89" t="n">
        <f aca="false">перекрытие!E53</f>
        <v>0</v>
      </c>
      <c r="F916" s="89"/>
      <c r="G916" s="122" t="n">
        <f aca="false">IF(F916&gt;0,D916*F916,E916*D916)</f>
        <v>0</v>
      </c>
      <c r="H916" s="89" t="n">
        <f aca="false">E916*D916*$H$903</f>
        <v>0</v>
      </c>
      <c r="I916" s="2784" t="n">
        <f aca="false">IF(G916&gt;H916,G916,H916)*$H$903</f>
        <v>0</v>
      </c>
      <c r="J916" s="2744"/>
      <c r="K916" s="226" t="n">
        <f aca="false">D916-J916</f>
        <v>0</v>
      </c>
      <c r="L916" s="2736"/>
    </row>
    <row r="917" customFormat="false" ht="15.5" hidden="false" customHeight="false" outlineLevel="0" collapsed="false">
      <c r="A917" s="2719"/>
      <c r="B917" s="87" t="str">
        <f aca="false">перекрытие!A54</f>
        <v>Пленка гидроизоляционная</v>
      </c>
      <c r="C917" s="88" t="str">
        <f aca="false">перекрытие!B54</f>
        <v>м2</v>
      </c>
      <c r="D917" s="122" t="n">
        <f aca="false">перекрытие!D54</f>
        <v>0</v>
      </c>
      <c r="E917" s="89" t="n">
        <f aca="false">перекрытие!E54</f>
        <v>15</v>
      </c>
      <c r="F917" s="89"/>
      <c r="G917" s="122" t="n">
        <f aca="false">IF(F917&gt;0,D917*F917,E917*D917)</f>
        <v>0</v>
      </c>
      <c r="H917" s="89" t="n">
        <f aca="false">E917*D917*$H$903</f>
        <v>0</v>
      </c>
      <c r="I917" s="2784" t="n">
        <f aca="false">IF(G917&gt;H917,G917,H917)*$H$903</f>
        <v>0</v>
      </c>
      <c r="J917" s="2744"/>
      <c r="K917" s="226" t="n">
        <f aca="false">D917-J917</f>
        <v>0</v>
      </c>
      <c r="L917" s="2736"/>
    </row>
    <row r="918" customFormat="false" ht="15.5" hidden="false" customHeight="false" outlineLevel="0" collapsed="false">
      <c r="A918" s="2719"/>
      <c r="B918" s="87" t="str">
        <f aca="false">перекрытие!A55</f>
        <v>Арматура М10</v>
      </c>
      <c r="C918" s="88" t="str">
        <f aca="false">перекрытие!B55</f>
        <v>м.п.</v>
      </c>
      <c r="D918" s="122" t="n">
        <f aca="false">перекрытие!D55</f>
        <v>0</v>
      </c>
      <c r="E918" s="89" t="n">
        <f aca="false">перекрытие!E55</f>
        <v>21.0397</v>
      </c>
      <c r="F918" s="89"/>
      <c r="G918" s="122" t="n">
        <f aca="false">IF(F918&gt;0,D918*F918,E918*D918)</f>
        <v>0</v>
      </c>
      <c r="H918" s="89" t="n">
        <f aca="false">E918*D918*$H$903</f>
        <v>0</v>
      </c>
      <c r="I918" s="2784" t="n">
        <f aca="false">IF(G918&gt;H918,G918,H918)*$H$903</f>
        <v>0</v>
      </c>
      <c r="J918" s="2744"/>
      <c r="K918" s="226" t="n">
        <f aca="false">D918-J918</f>
        <v>0</v>
      </c>
      <c r="L918" s="2736"/>
    </row>
    <row r="919" customFormat="false" ht="15.5" hidden="false" customHeight="false" outlineLevel="0" collapsed="false">
      <c r="A919" s="2719"/>
      <c r="B919" s="87" t="str">
        <f aca="false">перекрытие!A56</f>
        <v>Вязальная проволока</v>
      </c>
      <c r="C919" s="88" t="str">
        <f aca="false">перекрытие!B56</f>
        <v>кг</v>
      </c>
      <c r="D919" s="122" t="n">
        <f aca="false">перекрытие!D56</f>
        <v>0</v>
      </c>
      <c r="E919" s="89" t="n">
        <f aca="false">перекрытие!E56</f>
        <v>80</v>
      </c>
      <c r="F919" s="89"/>
      <c r="G919" s="122" t="n">
        <f aca="false">IF(F919&gt;0,D919*F919,E919*D919)</f>
        <v>0</v>
      </c>
      <c r="H919" s="89" t="n">
        <f aca="false">E919*D919*$H$903</f>
        <v>0</v>
      </c>
      <c r="I919" s="2784" t="n">
        <f aca="false">IF(G919&gt;H919,G919,H919)*$H$903</f>
        <v>0</v>
      </c>
      <c r="J919" s="2744"/>
      <c r="K919" s="226" t="n">
        <f aca="false">D919-J919</f>
        <v>0</v>
      </c>
      <c r="L919" s="2736"/>
    </row>
    <row r="920" customFormat="false" ht="15.5" hidden="false" customHeight="false" outlineLevel="0" collapsed="false">
      <c r="A920" s="2719"/>
      <c r="B920" s="87" t="str">
        <f aca="false">перекрытие!A57</f>
        <v>Подставка под арматурный каркас</v>
      </c>
      <c r="C920" s="88" t="str">
        <f aca="false">перекрытие!B57</f>
        <v>шт</v>
      </c>
      <c r="D920" s="122" t="n">
        <f aca="false">перекрытие!D57</f>
        <v>0</v>
      </c>
      <c r="E920" s="89" t="n">
        <f aca="false">перекрытие!E57</f>
        <v>5</v>
      </c>
      <c r="F920" s="89"/>
      <c r="G920" s="122" t="n">
        <f aca="false">IF(F920&gt;0,D920*F920,E920*D920)</f>
        <v>0</v>
      </c>
      <c r="H920" s="89" t="n">
        <f aca="false">E920*D920*$H$903</f>
        <v>0</v>
      </c>
      <c r="I920" s="2784" t="n">
        <f aca="false">IF(G920&gt;H920,G920,H920)*$H$903</f>
        <v>0</v>
      </c>
      <c r="J920" s="2744"/>
      <c r="K920" s="226" t="n">
        <f aca="false">D920-J920</f>
        <v>0</v>
      </c>
      <c r="L920" s="2736"/>
    </row>
    <row r="921" customFormat="false" ht="15.5" hidden="false" customHeight="false" outlineLevel="0" collapsed="false">
      <c r="A921" s="2719"/>
      <c r="B921" s="87" t="str">
        <f aca="false">перекрытие!A58</f>
        <v>бетон, м350</v>
      </c>
      <c r="C921" s="88" t="str">
        <f aca="false">перекрытие!B58</f>
        <v>м3</v>
      </c>
      <c r="D921" s="122" t="n">
        <f aca="false">перекрытие!D58</f>
        <v>0</v>
      </c>
      <c r="E921" s="89" t="n">
        <f aca="false">перекрытие!E58</f>
        <v>3500</v>
      </c>
      <c r="F921" s="89"/>
      <c r="G921" s="122" t="n">
        <f aca="false">IF(F921&gt;0,D921*F921,E921*D921)</f>
        <v>0</v>
      </c>
      <c r="H921" s="89" t="n">
        <f aca="false">E921*D921*$H$903</f>
        <v>0</v>
      </c>
      <c r="I921" s="2784" t="n">
        <f aca="false">IF(G921&gt;H921,G921,H921)*$H$903</f>
        <v>0</v>
      </c>
      <c r="J921" s="2744"/>
      <c r="K921" s="226" t="n">
        <f aca="false">D921-J921</f>
        <v>0</v>
      </c>
      <c r="L921" s="2736"/>
    </row>
    <row r="922" customFormat="false" ht="15.5" hidden="false" customHeight="false" outlineLevel="0" collapsed="false">
      <c r="A922" s="2719"/>
      <c r="B922" s="87" t="str">
        <f aca="false">перекрытие!A59</f>
        <v>Брус естественной влажности, 200*100мм</v>
      </c>
      <c r="C922" s="88" t="str">
        <f aca="false">перекрытие!B59</f>
        <v>м3</v>
      </c>
      <c r="D922" s="122" t="n">
        <f aca="false">перекрытие!D59</f>
        <v>0</v>
      </c>
      <c r="E922" s="89" t="n">
        <f aca="false">перекрытие!E59</f>
        <v>6500</v>
      </c>
      <c r="F922" s="89"/>
      <c r="G922" s="122" t="n">
        <f aca="false">IF(F922&gt;0,D922*F922,E922*D922)</f>
        <v>0</v>
      </c>
      <c r="H922" s="89" t="n">
        <f aca="false">E922*D922*$H$903</f>
        <v>0</v>
      </c>
      <c r="I922" s="2784" t="n">
        <f aca="false">IF(G922&gt;H922,G922,H922)*$H$903</f>
        <v>0</v>
      </c>
      <c r="J922" s="2744"/>
      <c r="K922" s="226" t="n">
        <f aca="false">D922-J922</f>
        <v>0</v>
      </c>
      <c r="L922" s="2736"/>
    </row>
    <row r="923" customFormat="false" ht="15.5" hidden="false" customHeight="false" outlineLevel="0" collapsed="false">
      <c r="A923" s="2719"/>
      <c r="B923" s="87" t="str">
        <f aca="false">перекрытие!A60</f>
        <v>Брус естественной влажности, 150*100мм</v>
      </c>
      <c r="C923" s="88" t="str">
        <f aca="false">перекрытие!B60</f>
        <v>м3</v>
      </c>
      <c r="D923" s="122" t="n">
        <f aca="false">перекрытие!D60</f>
        <v>0</v>
      </c>
      <c r="E923" s="89" t="n">
        <f aca="false">перекрытие!E60</f>
        <v>6500</v>
      </c>
      <c r="F923" s="89"/>
      <c r="G923" s="122" t="n">
        <f aca="false">IF(F923&gt;0,D923*F923,E923*D923)</f>
        <v>0</v>
      </c>
      <c r="H923" s="89" t="n">
        <f aca="false">E923*D923*$H$903</f>
        <v>0</v>
      </c>
      <c r="I923" s="2784" t="n">
        <f aca="false">IF(G923&gt;H923,G923,H923)*$H$903</f>
        <v>0</v>
      </c>
      <c r="J923" s="2744"/>
      <c r="K923" s="226" t="n">
        <f aca="false">D923-J923</f>
        <v>0</v>
      </c>
      <c r="L923" s="2736"/>
    </row>
    <row r="924" customFormat="false" ht="15.5" hidden="false" customHeight="false" outlineLevel="0" collapsed="false">
      <c r="A924" s="2719"/>
      <c r="B924" s="87" t="str">
        <f aca="false">перекрытие!A61</f>
        <v>Брус естественной влажности, 100*100мм</v>
      </c>
      <c r="C924" s="88" t="str">
        <f aca="false">перекрытие!B61</f>
        <v>м3</v>
      </c>
      <c r="D924" s="122" t="n">
        <f aca="false">перекрытие!D61</f>
        <v>0</v>
      </c>
      <c r="E924" s="89" t="n">
        <f aca="false">перекрытие!E61</f>
        <v>6500</v>
      </c>
      <c r="F924" s="89"/>
      <c r="G924" s="122" t="n">
        <f aca="false">IF(F924&gt;0,D924*F924,E924*D924)</f>
        <v>0</v>
      </c>
      <c r="H924" s="89" t="n">
        <f aca="false">E924*D924*$H$903</f>
        <v>0</v>
      </c>
      <c r="I924" s="2784" t="n">
        <f aca="false">IF(G924&gt;H924,G924,H924)*$H$903</f>
        <v>0</v>
      </c>
      <c r="J924" s="2744"/>
      <c r="K924" s="226" t="n">
        <f aca="false">D924-J924</f>
        <v>0</v>
      </c>
      <c r="L924" s="2736"/>
    </row>
    <row r="925" customFormat="false" ht="15.5" hidden="false" customHeight="false" outlineLevel="0" collapsed="false">
      <c r="A925" s="2719"/>
      <c r="B925" s="87" t="str">
        <f aca="false">перекрытие!A62</f>
        <v>Брус естественной влажности, 150*150мм</v>
      </c>
      <c r="C925" s="88" t="str">
        <f aca="false">перекрытие!B62</f>
        <v>м3</v>
      </c>
      <c r="D925" s="122" t="n">
        <f aca="false">перекрытие!D62</f>
        <v>0</v>
      </c>
      <c r="E925" s="89" t="n">
        <f aca="false">перекрытие!E62</f>
        <v>6500</v>
      </c>
      <c r="F925" s="89"/>
      <c r="G925" s="122" t="n">
        <f aca="false">IF(F925&gt;0,D925*F925,E925*D925)</f>
        <v>0</v>
      </c>
      <c r="H925" s="89" t="n">
        <f aca="false">E925*D925*$H$903</f>
        <v>0</v>
      </c>
      <c r="I925" s="2784" t="n">
        <f aca="false">IF(G925&gt;H925,G925,H925)*$H$903</f>
        <v>0</v>
      </c>
      <c r="J925" s="2744"/>
      <c r="K925" s="226" t="n">
        <f aca="false">D925-J925</f>
        <v>0</v>
      </c>
      <c r="L925" s="2736"/>
    </row>
    <row r="926" customFormat="false" ht="15.5" hidden="false" customHeight="false" outlineLevel="0" collapsed="false">
      <c r="A926" s="2719"/>
      <c r="B926" s="87" t="str">
        <f aca="false">перекрытие!A63</f>
        <v>Доска естественной влажности, 200*50мм</v>
      </c>
      <c r="C926" s="88" t="str">
        <f aca="false">перекрытие!B63</f>
        <v>м3</v>
      </c>
      <c r="D926" s="122" t="n">
        <f aca="false">перекрытие!D63</f>
        <v>0</v>
      </c>
      <c r="E926" s="89" t="n">
        <f aca="false">перекрытие!E63</f>
        <v>6500</v>
      </c>
      <c r="F926" s="89"/>
      <c r="G926" s="122" t="n">
        <f aca="false">IF(F926&gt;0,D926*F926,E926*D926)</f>
        <v>0</v>
      </c>
      <c r="H926" s="89" t="n">
        <f aca="false">E926*D926*$H$903</f>
        <v>0</v>
      </c>
      <c r="I926" s="2784" t="n">
        <f aca="false">IF(G926&gt;H926,G926,H926)*$H$903</f>
        <v>0</v>
      </c>
      <c r="J926" s="2744"/>
      <c r="K926" s="226" t="n">
        <f aca="false">D926-J926</f>
        <v>0</v>
      </c>
      <c r="L926" s="2736"/>
    </row>
    <row r="927" customFormat="false" ht="15.5" hidden="false" customHeight="false" outlineLevel="0" collapsed="false">
      <c r="A927" s="2719"/>
      <c r="B927" s="87" t="str">
        <f aca="false">перекрытие!A64</f>
        <v>Доска естественной влажности, 150*50мм</v>
      </c>
      <c r="C927" s="88" t="str">
        <f aca="false">перекрытие!B64</f>
        <v>м3</v>
      </c>
      <c r="D927" s="122" t="n">
        <f aca="false">перекрытие!D64</f>
        <v>0</v>
      </c>
      <c r="E927" s="89" t="n">
        <f aca="false">перекрытие!E64</f>
        <v>6500</v>
      </c>
      <c r="F927" s="89"/>
      <c r="G927" s="122" t="n">
        <f aca="false">IF(F927&gt;0,D927*F927,E927*D927)</f>
        <v>0</v>
      </c>
      <c r="H927" s="89" t="n">
        <f aca="false">E927*D927*$H$903</f>
        <v>0</v>
      </c>
      <c r="I927" s="2784" t="n">
        <f aca="false">IF(G927&gt;H927,G927,H927)*$H$903</f>
        <v>0</v>
      </c>
      <c r="J927" s="2744"/>
      <c r="K927" s="226" t="n">
        <f aca="false">D927-J927</f>
        <v>0</v>
      </c>
      <c r="L927" s="2736"/>
    </row>
    <row r="928" customFormat="false" ht="15.5" hidden="false" customHeight="false" outlineLevel="0" collapsed="false">
      <c r="A928" s="2719"/>
      <c r="B928" s="87" t="str">
        <f aca="false">перекрытие!A65</f>
        <v>Опора бруса</v>
      </c>
      <c r="C928" s="88" t="str">
        <f aca="false">перекрытие!B65</f>
        <v>шт</v>
      </c>
      <c r="D928" s="122" t="n">
        <f aca="false">перекрытие!D65</f>
        <v>0</v>
      </c>
      <c r="E928" s="89" t="n">
        <f aca="false">перекрытие!E65</f>
        <v>50</v>
      </c>
      <c r="F928" s="89"/>
      <c r="G928" s="122" t="n">
        <f aca="false">IF(F928&gt;0,D928*F928,E928*D928)</f>
        <v>0</v>
      </c>
      <c r="H928" s="89" t="n">
        <f aca="false">E928*D928*$H$903</f>
        <v>0</v>
      </c>
      <c r="I928" s="2784" t="n">
        <f aca="false">IF(G928&gt;H928,G928,H928)*$H$903</f>
        <v>0</v>
      </c>
      <c r="J928" s="2744"/>
      <c r="K928" s="226" t="n">
        <f aca="false">D928-J928</f>
        <v>0</v>
      </c>
      <c r="L928" s="2736"/>
    </row>
    <row r="929" customFormat="false" ht="15.5" hidden="false" customHeight="false" outlineLevel="0" collapsed="false">
      <c r="A929" s="2719"/>
      <c r="B929" s="87" t="str">
        <f aca="false">перекрытие!A66</f>
        <v>Болты анкерные с гайкой 8,0 x 60</v>
      </c>
      <c r="C929" s="88" t="str">
        <f aca="false">перекрытие!B66</f>
        <v>шт</v>
      </c>
      <c r="D929" s="122" t="n">
        <f aca="false">перекрытие!D66</f>
        <v>0</v>
      </c>
      <c r="E929" s="89" t="n">
        <f aca="false">перекрытие!E66</f>
        <v>4</v>
      </c>
      <c r="F929" s="89"/>
      <c r="G929" s="122" t="n">
        <f aca="false">IF(F929&gt;0,D929*F929,E929*D929)</f>
        <v>0</v>
      </c>
      <c r="H929" s="89" t="n">
        <f aca="false">E929*D929*$H$903</f>
        <v>0</v>
      </c>
      <c r="I929" s="2784" t="n">
        <f aca="false">IF(G929&gt;H929,G929,H929)*$H$903</f>
        <v>0</v>
      </c>
      <c r="J929" s="2744"/>
      <c r="K929" s="226" t="n">
        <f aca="false">D929-J929</f>
        <v>0</v>
      </c>
      <c r="L929" s="2736"/>
    </row>
    <row r="930" customFormat="false" ht="15.5" hidden="false" customHeight="false" outlineLevel="0" collapsed="false">
      <c r="A930" s="2719"/>
      <c r="B930" s="87" t="str">
        <f aca="false">перекрытие!A67</f>
        <v>Sip панель 2500*625*124мм</v>
      </c>
      <c r="C930" s="88" t="str">
        <f aca="false">перекрытие!B67</f>
        <v>м2</v>
      </c>
      <c r="D930" s="122" t="n">
        <f aca="false">перекрытие!D67</f>
        <v>0</v>
      </c>
      <c r="E930" s="89" t="n">
        <f aca="false">перекрытие!E67</f>
        <v>800</v>
      </c>
      <c r="F930" s="89"/>
      <c r="G930" s="122" t="n">
        <f aca="false">IF(F930&gt;0,D930*F930,E930*D930)</f>
        <v>0</v>
      </c>
      <c r="H930" s="89" t="n">
        <f aca="false">E930*D930*$H$903</f>
        <v>0</v>
      </c>
      <c r="I930" s="2784" t="n">
        <f aca="false">IF(G930&gt;H930,G930,H930)*$H$903</f>
        <v>0</v>
      </c>
      <c r="J930" s="2744"/>
      <c r="K930" s="226" t="n">
        <f aca="false">D930-J930</f>
        <v>0</v>
      </c>
      <c r="L930" s="2736"/>
    </row>
    <row r="931" customFormat="false" ht="15.5" hidden="false" customHeight="false" outlineLevel="0" collapsed="false">
      <c r="A931" s="2719"/>
      <c r="B931" s="87" t="str">
        <f aca="false">перекрытие!A68</f>
        <v>Sip панель 2500*625*174мм</v>
      </c>
      <c r="C931" s="88" t="str">
        <f aca="false">перекрытие!B68</f>
        <v>м2</v>
      </c>
      <c r="D931" s="122" t="n">
        <f aca="false">перекрытие!D68</f>
        <v>0</v>
      </c>
      <c r="E931" s="89" t="n">
        <f aca="false">перекрытие!E68</f>
        <v>1200</v>
      </c>
      <c r="F931" s="89"/>
      <c r="G931" s="122" t="n">
        <f aca="false">IF(F931&gt;0,D931*F931,E931*D931)</f>
        <v>0</v>
      </c>
      <c r="H931" s="89" t="n">
        <f aca="false">E931*D931*$H$903</f>
        <v>0</v>
      </c>
      <c r="I931" s="2784" t="n">
        <f aca="false">IF(G931&gt;H931,G931,H931)*$H$903</f>
        <v>0</v>
      </c>
      <c r="J931" s="2744"/>
      <c r="K931" s="226" t="n">
        <f aca="false">D931-J931</f>
        <v>0</v>
      </c>
      <c r="L931" s="2736"/>
    </row>
    <row r="932" customFormat="false" ht="15.5" hidden="false" customHeight="false" outlineLevel="0" collapsed="false">
      <c r="A932" s="2719"/>
      <c r="B932" s="87" t="str">
        <f aca="false">перекрытие!A69</f>
        <v>Sip панель 2500*625*224мм</v>
      </c>
      <c r="C932" s="88" t="str">
        <f aca="false">перекрытие!B69</f>
        <v>м2</v>
      </c>
      <c r="D932" s="122" t="n">
        <f aca="false">перекрытие!D69</f>
        <v>0</v>
      </c>
      <c r="E932" s="89" t="n">
        <f aca="false">перекрытие!E69</f>
        <v>1400</v>
      </c>
      <c r="F932" s="89"/>
      <c r="G932" s="122" t="n">
        <f aca="false">IF(F932&gt;0,D932*F932,E932*D932)</f>
        <v>0</v>
      </c>
      <c r="H932" s="89" t="n">
        <f aca="false">E932*D932*$H$903</f>
        <v>0</v>
      </c>
      <c r="I932" s="2784" t="n">
        <f aca="false">IF(G932&gt;H932,G932,H932)*$H$903</f>
        <v>0</v>
      </c>
      <c r="J932" s="2744"/>
      <c r="K932" s="226" t="n">
        <f aca="false">D932-J932</f>
        <v>0</v>
      </c>
      <c r="L932" s="2736"/>
    </row>
    <row r="933" customFormat="false" ht="15.5" hidden="false" customHeight="false" outlineLevel="0" collapsed="false">
      <c r="A933" s="2719"/>
      <c r="B933" s="87" t="str">
        <f aca="false">перекрытие!A70</f>
        <v>Доска сухая, 100*50мм</v>
      </c>
      <c r="C933" s="88" t="str">
        <f aca="false">перекрытие!B70</f>
        <v>м.п.</v>
      </c>
      <c r="D933" s="122" t="n">
        <f aca="false">перекрытие!D70</f>
        <v>0</v>
      </c>
      <c r="E933" s="89" t="n">
        <f aca="false">перекрытие!E70</f>
        <v>45</v>
      </c>
      <c r="F933" s="89"/>
      <c r="G933" s="122" t="n">
        <f aca="false">IF(F933&gt;0,D933*F933,E933*D933)</f>
        <v>0</v>
      </c>
      <c r="H933" s="89" t="n">
        <f aca="false">E933*D933*$H$903</f>
        <v>0</v>
      </c>
      <c r="I933" s="2784" t="n">
        <f aca="false">IF(G933&gt;H933,G933,H933)*$H$903</f>
        <v>0</v>
      </c>
      <c r="J933" s="2744"/>
      <c r="K933" s="226" t="n">
        <f aca="false">D933-J933</f>
        <v>0</v>
      </c>
      <c r="L933" s="2736"/>
    </row>
    <row r="934" customFormat="false" ht="15.5" hidden="false" customHeight="false" outlineLevel="0" collapsed="false">
      <c r="A934" s="2719"/>
      <c r="B934" s="87" t="str">
        <f aca="false">перекрытие!A71</f>
        <v>Доска сухая, 150*50мм</v>
      </c>
      <c r="C934" s="88" t="str">
        <f aca="false">перекрытие!B71</f>
        <v>м.п.</v>
      </c>
      <c r="D934" s="122" t="n">
        <f aca="false">перекрытие!D71</f>
        <v>0</v>
      </c>
      <c r="E934" s="89" t="n">
        <f aca="false">перекрытие!E71</f>
        <v>67.5</v>
      </c>
      <c r="F934" s="89"/>
      <c r="G934" s="122" t="n">
        <f aca="false">IF(F934&gt;0,D934*F934,E934*D934)</f>
        <v>0</v>
      </c>
      <c r="H934" s="89" t="n">
        <f aca="false">E934*D934*$H$903</f>
        <v>0</v>
      </c>
      <c r="I934" s="2784" t="n">
        <f aca="false">IF(G934&gt;H934,G934,H934)*$H$903</f>
        <v>0</v>
      </c>
      <c r="J934" s="2744"/>
      <c r="K934" s="226" t="n">
        <f aca="false">D934-J934</f>
        <v>0</v>
      </c>
      <c r="L934" s="2736"/>
    </row>
    <row r="935" customFormat="false" ht="15.5" hidden="false" customHeight="false" outlineLevel="0" collapsed="false">
      <c r="A935" s="2719"/>
      <c r="B935" s="87" t="str">
        <f aca="false">перекрытие!A72</f>
        <v>Доска сухая, 200*50мм</v>
      </c>
      <c r="C935" s="88" t="str">
        <f aca="false">перекрытие!B72</f>
        <v>м.п.</v>
      </c>
      <c r="D935" s="122" t="n">
        <f aca="false">перекрытие!D72</f>
        <v>0</v>
      </c>
      <c r="E935" s="89" t="n">
        <f aca="false">перекрытие!E72</f>
        <v>90</v>
      </c>
      <c r="F935" s="89"/>
      <c r="G935" s="122" t="n">
        <f aca="false">IF(F935&gt;0,D935*F935,E935*D935)</f>
        <v>0</v>
      </c>
      <c r="H935" s="89" t="n">
        <f aca="false">E935*D935*$H$903</f>
        <v>0</v>
      </c>
      <c r="I935" s="2784" t="n">
        <f aca="false">IF(G935&gt;H935,G935,H935)*$H$903</f>
        <v>0</v>
      </c>
      <c r="J935" s="2744"/>
      <c r="K935" s="226" t="n">
        <f aca="false">D935-J935</f>
        <v>0</v>
      </c>
      <c r="L935" s="2736"/>
    </row>
    <row r="936" customFormat="false" ht="15.5" hidden="false" customHeight="false" outlineLevel="0" collapsed="false">
      <c r="A936" s="2719"/>
      <c r="B936" s="87" t="str">
        <f aca="false">перекрытие!A73</f>
        <v>Пена монтажная, всесезонняя 800мл</v>
      </c>
      <c r="C936" s="88" t="str">
        <f aca="false">перекрытие!B73</f>
        <v>шт</v>
      </c>
      <c r="D936" s="122" t="n">
        <f aca="false">перекрытие!D73</f>
        <v>0</v>
      </c>
      <c r="E936" s="89" t="n">
        <f aca="false">перекрытие!E73</f>
        <v>300</v>
      </c>
      <c r="F936" s="89"/>
      <c r="G936" s="122" t="n">
        <f aca="false">IF(F936&gt;0,D936*F936,E936*D936)</f>
        <v>0</v>
      </c>
      <c r="H936" s="89" t="n">
        <f aca="false">E936*D936*$H$903</f>
        <v>0</v>
      </c>
      <c r="I936" s="2784" t="n">
        <f aca="false">IF(G936&gt;H936,G936,H936)*$H$903</f>
        <v>0</v>
      </c>
      <c r="J936" s="2744"/>
      <c r="K936" s="226" t="n">
        <f aca="false">D936-J936</f>
        <v>0</v>
      </c>
      <c r="L936" s="2736"/>
    </row>
    <row r="937" customFormat="false" ht="15.5" hidden="false" customHeight="false" outlineLevel="0" collapsed="false">
      <c r="A937" s="2719"/>
      <c r="B937" s="87" t="str">
        <f aca="false">перекрытие!A74</f>
        <v>Гвозди строительные 3,5 x 90</v>
      </c>
      <c r="C937" s="88" t="str">
        <f aca="false">перекрытие!B74</f>
        <v>шт</v>
      </c>
      <c r="D937" s="122" t="n">
        <f aca="false">перекрытие!D74</f>
        <v>0</v>
      </c>
      <c r="E937" s="89" t="n">
        <f aca="false">перекрытие!E74</f>
        <v>45</v>
      </c>
      <c r="F937" s="89"/>
      <c r="G937" s="122" t="n">
        <f aca="false">IF(F937&gt;0,D937*F937,E937*D937)</f>
        <v>0</v>
      </c>
      <c r="H937" s="89" t="n">
        <f aca="false">E937*D937*$H$903</f>
        <v>0</v>
      </c>
      <c r="I937" s="2784" t="n">
        <f aca="false">IF(G937&gt;H937,G937,H937)*$H$903</f>
        <v>0</v>
      </c>
      <c r="J937" s="2744"/>
      <c r="K937" s="226" t="n">
        <f aca="false">D937-J937</f>
        <v>0</v>
      </c>
      <c r="L937" s="2736"/>
    </row>
    <row r="938" customFormat="false" ht="15.5" hidden="false" customHeight="false" outlineLevel="0" collapsed="false">
      <c r="A938" s="2719"/>
      <c r="B938" s="87" t="str">
        <f aca="false">перекрытие!A75</f>
        <v>Саморезы 3,5 x 45</v>
      </c>
      <c r="C938" s="88" t="str">
        <f aca="false">перекрытие!B75</f>
        <v>шт</v>
      </c>
      <c r="D938" s="122" t="n">
        <f aca="false">перекрытие!D75</f>
        <v>0</v>
      </c>
      <c r="E938" s="89" t="n">
        <f aca="false">перекрытие!E75</f>
        <v>0.25</v>
      </c>
      <c r="F938" s="89"/>
      <c r="G938" s="122" t="n">
        <f aca="false">IF(F938&gt;0,D938*F938,E938*D938)</f>
        <v>0</v>
      </c>
      <c r="H938" s="89" t="n">
        <f aca="false">E938*D938*$H$903</f>
        <v>0</v>
      </c>
      <c r="I938" s="2784" t="n">
        <f aca="false">IF(G938&gt;H938,G938,H938)*$H$903</f>
        <v>0</v>
      </c>
      <c r="J938" s="2744"/>
      <c r="K938" s="226" t="n">
        <f aca="false">D938-J938</f>
        <v>0</v>
      </c>
      <c r="L938" s="2736"/>
    </row>
    <row r="939" customFormat="false" ht="15.5" hidden="false" customHeight="false" outlineLevel="0" collapsed="false">
      <c r="A939" s="2719"/>
      <c r="B939" s="87" t="str">
        <f aca="false">перекрытие!A76</f>
        <v>Доска сухая, 200*50мм</v>
      </c>
      <c r="C939" s="88" t="str">
        <f aca="false">перекрытие!B76</f>
        <v>м3</v>
      </c>
      <c r="D939" s="122" t="n">
        <f aca="false">перекрытие!D76</f>
        <v>0</v>
      </c>
      <c r="E939" s="89" t="n">
        <f aca="false">перекрытие!E76</f>
        <v>9000</v>
      </c>
      <c r="F939" s="89"/>
      <c r="G939" s="122" t="n">
        <f aca="false">IF(F939&gt;0,D939*F939,E939*D939)</f>
        <v>0</v>
      </c>
      <c r="H939" s="89" t="n">
        <f aca="false">E939*D939*$H$903</f>
        <v>0</v>
      </c>
      <c r="I939" s="2784" t="n">
        <f aca="false">IF(G939&gt;H939,G939,H939)*$H$903</f>
        <v>0</v>
      </c>
      <c r="J939" s="2744"/>
      <c r="K939" s="226" t="n">
        <f aca="false">D939-J939</f>
        <v>0</v>
      </c>
      <c r="L939" s="2736"/>
    </row>
    <row r="940" customFormat="false" ht="15.5" hidden="false" customHeight="false" outlineLevel="0" collapsed="false">
      <c r="A940" s="2719"/>
      <c r="B940" s="87" t="str">
        <f aca="false">перекрытие!A77</f>
        <v>Доска сухая, 150*50мм</v>
      </c>
      <c r="C940" s="88" t="str">
        <f aca="false">перекрытие!B77</f>
        <v>м3</v>
      </c>
      <c r="D940" s="122" t="n">
        <f aca="false">перекрытие!D77</f>
        <v>0</v>
      </c>
      <c r="E940" s="89" t="n">
        <f aca="false">перекрытие!E77</f>
        <v>9000</v>
      </c>
      <c r="F940" s="89"/>
      <c r="G940" s="122" t="n">
        <f aca="false">IF(F940&gt;0,D940*F940,E940*D940)</f>
        <v>0</v>
      </c>
      <c r="H940" s="89" t="n">
        <f aca="false">E940*D940*$H$903</f>
        <v>0</v>
      </c>
      <c r="I940" s="2784" t="n">
        <f aca="false">IF(G940&gt;H940,G940,H940)*$H$903</f>
        <v>0</v>
      </c>
      <c r="J940" s="2744"/>
      <c r="K940" s="226" t="n">
        <f aca="false">D940-J940</f>
        <v>0</v>
      </c>
      <c r="L940" s="2736"/>
    </row>
    <row r="941" customFormat="false" ht="15.5" hidden="false" customHeight="false" outlineLevel="0" collapsed="false">
      <c r="A941" s="2719"/>
      <c r="B941" s="87" t="str">
        <f aca="false">перекрытие!A78</f>
        <v>Гвозди ершоные 2,8 х 90</v>
      </c>
      <c r="C941" s="88" t="str">
        <f aca="false">перекрытие!B78</f>
        <v>кг</v>
      </c>
      <c r="D941" s="122" t="n">
        <f aca="false">перекрытие!D78</f>
        <v>0</v>
      </c>
      <c r="E941" s="89" t="n">
        <f aca="false">перекрытие!E78</f>
        <v>76.49</v>
      </c>
      <c r="F941" s="89"/>
      <c r="G941" s="122" t="n">
        <f aca="false">IF(F941&gt;0,D941*F941,E941*D941)</f>
        <v>0</v>
      </c>
      <c r="H941" s="89" t="n">
        <f aca="false">E941*D941*$H$903</f>
        <v>0</v>
      </c>
      <c r="I941" s="2784" t="n">
        <f aca="false">IF(G941&gt;H941,G941,H941)*$H$903</f>
        <v>0</v>
      </c>
      <c r="J941" s="2744"/>
      <c r="K941" s="226" t="n">
        <f aca="false">D941-J941</f>
        <v>0</v>
      </c>
      <c r="L941" s="2736"/>
    </row>
    <row r="942" customFormat="false" ht="15.5" hidden="false" customHeight="false" outlineLevel="0" collapsed="false">
      <c r="A942" s="2719"/>
      <c r="B942" s="87" t="str">
        <f aca="false">перекрытие!A79</f>
        <v>Доска сухая калиброванная, 190*45мм</v>
      </c>
      <c r="C942" s="88" t="str">
        <f aca="false">перекрытие!B79</f>
        <v>м3</v>
      </c>
      <c r="D942" s="122" t="n">
        <f aca="false">перекрытие!D79</f>
        <v>0</v>
      </c>
      <c r="E942" s="89" t="n">
        <f aca="false">перекрытие!E79</f>
        <v>12500</v>
      </c>
      <c r="F942" s="89"/>
      <c r="G942" s="122" t="n">
        <f aca="false">IF(F942&gt;0,D942*F942,E942*D942)</f>
        <v>0</v>
      </c>
      <c r="H942" s="89" t="n">
        <f aca="false">E942*D942*$H$903</f>
        <v>0</v>
      </c>
      <c r="I942" s="2784" t="n">
        <f aca="false">IF(G942&gt;H942,G942,H942)*$H$903</f>
        <v>0</v>
      </c>
      <c r="J942" s="2744"/>
      <c r="K942" s="226" t="n">
        <f aca="false">D942-J942</f>
        <v>0</v>
      </c>
      <c r="L942" s="2736"/>
    </row>
    <row r="943" customFormat="false" ht="15.5" hidden="false" customHeight="false" outlineLevel="0" collapsed="false">
      <c r="A943" s="2719"/>
      <c r="B943" s="87" t="str">
        <f aca="false">перекрытие!A80</f>
        <v>Доска сухая калиброванная, 145*45мм</v>
      </c>
      <c r="C943" s="88" t="str">
        <f aca="false">перекрытие!B80</f>
        <v>м3</v>
      </c>
      <c r="D943" s="122" t="n">
        <f aca="false">перекрытие!D80</f>
        <v>0</v>
      </c>
      <c r="E943" s="89" t="n">
        <f aca="false">перекрытие!E80</f>
        <v>12500</v>
      </c>
      <c r="F943" s="89"/>
      <c r="G943" s="122" t="n">
        <f aca="false">IF(F943&gt;0,D943*F943,E943*D943)</f>
        <v>0</v>
      </c>
      <c r="H943" s="89" t="n">
        <f aca="false">E943*D943*$H$903</f>
        <v>0</v>
      </c>
      <c r="I943" s="2784" t="n">
        <f aca="false">IF(G943&gt;H943,G943,H943)*$H$903</f>
        <v>0</v>
      </c>
      <c r="J943" s="2744"/>
      <c r="K943" s="226" t="n">
        <f aca="false">D943-J943</f>
        <v>0</v>
      </c>
      <c r="L943" s="2736"/>
    </row>
    <row r="944" customFormat="false" ht="15.5" hidden="false" customHeight="false" outlineLevel="0" collapsed="false">
      <c r="A944" s="2719"/>
      <c r="B944" s="87" t="str">
        <f aca="false">перекрытие!A81</f>
        <v>Гвозди ершоные 2,8 х 90</v>
      </c>
      <c r="C944" s="88" t="str">
        <f aca="false">перекрытие!B81</f>
        <v>кг</v>
      </c>
      <c r="D944" s="122" t="n">
        <f aca="false">перекрытие!D81</f>
        <v>0</v>
      </c>
      <c r="E944" s="89" t="n">
        <f aca="false">перекрытие!E81</f>
        <v>76.49</v>
      </c>
      <c r="F944" s="89"/>
      <c r="G944" s="122" t="n">
        <f aca="false">IF(F944&gt;0,D944*F944,E944*D944)</f>
        <v>0</v>
      </c>
      <c r="H944" s="89" t="n">
        <f aca="false">E944*D944*$H$903</f>
        <v>0</v>
      </c>
      <c r="I944" s="2784" t="n">
        <f aca="false">IF(G944&gt;H944,G944,H944)*$H$903</f>
        <v>0</v>
      </c>
      <c r="J944" s="2744"/>
      <c r="K944" s="226" t="n">
        <f aca="false">D944-J944</f>
        <v>0</v>
      </c>
      <c r="L944" s="2736"/>
    </row>
    <row r="945" customFormat="false" ht="15.5" hidden="false" customHeight="false" outlineLevel="0" collapsed="false">
      <c r="A945" s="2719"/>
      <c r="B945" s="87" t="str">
        <f aca="false">перекрытие!A82</f>
        <v>Двутавровая деревянная балка, 400*65мм</v>
      </c>
      <c r="C945" s="88" t="str">
        <f aca="false">перекрытие!B82</f>
        <v>м.п.</v>
      </c>
      <c r="D945" s="122" t="n">
        <f aca="false">перекрытие!D82</f>
        <v>0</v>
      </c>
      <c r="E945" s="89" t="n">
        <f aca="false">перекрытие!E82</f>
        <v>303</v>
      </c>
      <c r="F945" s="89"/>
      <c r="G945" s="122" t="n">
        <f aca="false">IF(F945&gt;0,D945*F945,E945*D945)</f>
        <v>0</v>
      </c>
      <c r="H945" s="89" t="n">
        <f aca="false">E945*D945*$H$903</f>
        <v>0</v>
      </c>
      <c r="I945" s="2784" t="n">
        <f aca="false">IF(G945&gt;H945,G945,H945)*$H$903</f>
        <v>0</v>
      </c>
      <c r="J945" s="2744"/>
      <c r="K945" s="226" t="n">
        <f aca="false">D945-J945</f>
        <v>0</v>
      </c>
      <c r="L945" s="2736"/>
    </row>
    <row r="946" customFormat="false" ht="15.5" hidden="false" customHeight="false" outlineLevel="0" collapsed="false">
      <c r="A946" s="2719"/>
      <c r="B946" s="87" t="str">
        <f aca="false">перекрытие!A83</f>
        <v>Двутавровая деревянная балка, 400*90мм</v>
      </c>
      <c r="C946" s="88" t="str">
        <f aca="false">перекрытие!B83</f>
        <v>м.п.</v>
      </c>
      <c r="D946" s="122" t="n">
        <f aca="false">перекрытие!D83</f>
        <v>0</v>
      </c>
      <c r="E946" s="89" t="n">
        <f aca="false">перекрытие!E83</f>
        <v>355</v>
      </c>
      <c r="F946" s="89"/>
      <c r="G946" s="122" t="n">
        <f aca="false">IF(F946&gt;0,D946*F946,E946*D946)</f>
        <v>0</v>
      </c>
      <c r="H946" s="89" t="n">
        <f aca="false">E946*D946*$H$903</f>
        <v>0</v>
      </c>
      <c r="I946" s="2784" t="n">
        <f aca="false">IF(G946&gt;H946,G946,H946)*$H$903</f>
        <v>0</v>
      </c>
      <c r="J946" s="2744"/>
      <c r="K946" s="226" t="n">
        <f aca="false">D946-J946</f>
        <v>0</v>
      </c>
      <c r="L946" s="2736"/>
    </row>
    <row r="947" customFormat="false" ht="15.5" hidden="false" customHeight="false" outlineLevel="0" collapsed="false">
      <c r="A947" s="2719"/>
      <c r="B947" s="87" t="str">
        <f aca="false">перекрытие!A84</f>
        <v>Двутавровая деревянная балка, 350*65мм</v>
      </c>
      <c r="C947" s="88" t="str">
        <f aca="false">перекрытие!B84</f>
        <v>м.п.</v>
      </c>
      <c r="D947" s="122" t="n">
        <f aca="false">перекрытие!D84</f>
        <v>0</v>
      </c>
      <c r="E947" s="89" t="n">
        <f aca="false">перекрытие!E84</f>
        <v>287</v>
      </c>
      <c r="F947" s="89"/>
      <c r="G947" s="122" t="n">
        <f aca="false">IF(F947&gt;0,D947*F947,E947*D947)</f>
        <v>0</v>
      </c>
      <c r="H947" s="89" t="n">
        <f aca="false">E947*D947*$H$903</f>
        <v>0</v>
      </c>
      <c r="I947" s="2784" t="n">
        <f aca="false">IF(G947&gt;H947,G947,H947)*$H$903</f>
        <v>0</v>
      </c>
      <c r="J947" s="2744"/>
      <c r="K947" s="226" t="n">
        <f aca="false">D947-J947</f>
        <v>0</v>
      </c>
      <c r="L947" s="2736"/>
    </row>
    <row r="948" customFormat="false" ht="15.5" hidden="false" customHeight="false" outlineLevel="0" collapsed="false">
      <c r="A948" s="2719"/>
      <c r="B948" s="87" t="str">
        <f aca="false">перекрытие!A85</f>
        <v>Двутавровая деревянная балка, 350*90мм</v>
      </c>
      <c r="C948" s="88" t="str">
        <f aca="false">перекрытие!B85</f>
        <v>м.п.</v>
      </c>
      <c r="D948" s="122" t="n">
        <f aca="false">перекрытие!D85</f>
        <v>0</v>
      </c>
      <c r="E948" s="89" t="n">
        <f aca="false">перекрытие!E85</f>
        <v>315</v>
      </c>
      <c r="F948" s="89"/>
      <c r="G948" s="122" t="n">
        <f aca="false">IF(F948&gt;0,D948*F948,E948*D948)</f>
        <v>0</v>
      </c>
      <c r="H948" s="89" t="n">
        <f aca="false">E948*D948*$H$903</f>
        <v>0</v>
      </c>
      <c r="I948" s="2784" t="n">
        <f aca="false">IF(G948&gt;H948,G948,H948)*$H$903</f>
        <v>0</v>
      </c>
      <c r="J948" s="2744"/>
      <c r="K948" s="226" t="n">
        <f aca="false">D948-J948</f>
        <v>0</v>
      </c>
      <c r="L948" s="2736"/>
    </row>
    <row r="949" customFormat="false" ht="15.5" hidden="false" customHeight="false" outlineLevel="0" collapsed="false">
      <c r="A949" s="2719"/>
      <c r="B949" s="87" t="str">
        <f aca="false">перекрытие!A86</f>
        <v>Двутавровая деревянная балка, 300*65мм</v>
      </c>
      <c r="C949" s="88" t="str">
        <f aca="false">перекрытие!B86</f>
        <v>м.п.</v>
      </c>
      <c r="D949" s="122" t="n">
        <f aca="false">перекрытие!D86</f>
        <v>0</v>
      </c>
      <c r="E949" s="89" t="n">
        <f aca="false">перекрытие!E86</f>
        <v>273</v>
      </c>
      <c r="F949" s="89"/>
      <c r="G949" s="122" t="n">
        <f aca="false">IF(F949&gt;0,D949*F949,E949*D949)</f>
        <v>0</v>
      </c>
      <c r="H949" s="89" t="n">
        <f aca="false">E949*D949*$H$903</f>
        <v>0</v>
      </c>
      <c r="I949" s="2784" t="n">
        <f aca="false">IF(G949&gt;H949,G949,H949)*$H$903</f>
        <v>0</v>
      </c>
      <c r="J949" s="2744"/>
      <c r="K949" s="226" t="n">
        <f aca="false">D949-J949</f>
        <v>0</v>
      </c>
      <c r="L949" s="2736"/>
    </row>
    <row r="950" customFormat="false" ht="15.5" hidden="false" customHeight="false" outlineLevel="0" collapsed="false">
      <c r="A950" s="2719"/>
      <c r="B950" s="87" t="str">
        <f aca="false">перекрытие!A87</f>
        <v>Двутавровая деревянная балка, 300*90мм</v>
      </c>
      <c r="C950" s="88" t="str">
        <f aca="false">перекрытие!B87</f>
        <v>м.п.</v>
      </c>
      <c r="D950" s="122" t="n">
        <f aca="false">перекрытие!D87</f>
        <v>0</v>
      </c>
      <c r="E950" s="89" t="n">
        <f aca="false">перекрытие!E87</f>
        <v>315</v>
      </c>
      <c r="F950" s="89"/>
      <c r="G950" s="122" t="n">
        <f aca="false">IF(F950&gt;0,D950*F950,E950*D950)</f>
        <v>0</v>
      </c>
      <c r="H950" s="89" t="n">
        <f aca="false">E950*D950*$H$903</f>
        <v>0</v>
      </c>
      <c r="I950" s="2784" t="n">
        <f aca="false">IF(G950&gt;H950,G950,H950)*$H$903</f>
        <v>0</v>
      </c>
      <c r="J950" s="2744"/>
      <c r="K950" s="226" t="n">
        <f aca="false">D950-J950</f>
        <v>0</v>
      </c>
      <c r="L950" s="2736"/>
    </row>
    <row r="951" customFormat="false" ht="15.5" hidden="false" customHeight="false" outlineLevel="0" collapsed="false">
      <c r="A951" s="2719"/>
      <c r="B951" s="87" t="str">
        <f aca="false">перекрытие!A88</f>
        <v>Двутавровая деревянная балка, 240*65мм</v>
      </c>
      <c r="C951" s="88" t="str">
        <f aca="false">перекрытие!B88</f>
        <v>м.п.</v>
      </c>
      <c r="D951" s="122" t="n">
        <f aca="false">перекрытие!D88</f>
        <v>0</v>
      </c>
      <c r="E951" s="89" t="n">
        <f aca="false">перекрытие!E88</f>
        <v>263</v>
      </c>
      <c r="F951" s="89"/>
      <c r="G951" s="122" t="n">
        <f aca="false">IF(F951&gt;0,D951*F951,E951*D951)</f>
        <v>0</v>
      </c>
      <c r="H951" s="89" t="n">
        <f aca="false">E951*D951*$H$903</f>
        <v>0</v>
      </c>
      <c r="I951" s="2784" t="n">
        <f aca="false">IF(G951&gt;H951,G951,H951)*$H$903</f>
        <v>0</v>
      </c>
      <c r="J951" s="2744"/>
      <c r="K951" s="226" t="n">
        <f aca="false">D951-J951</f>
        <v>0</v>
      </c>
      <c r="L951" s="2736"/>
    </row>
    <row r="952" customFormat="false" ht="15.5" hidden="false" customHeight="false" outlineLevel="0" collapsed="false">
      <c r="A952" s="2719"/>
      <c r="B952" s="87" t="str">
        <f aca="false">перекрытие!A89</f>
        <v>Двутавровая деревянная балка, 240*90мм</v>
      </c>
      <c r="C952" s="88" t="str">
        <f aca="false">перекрытие!B89</f>
        <v>м.п.</v>
      </c>
      <c r="D952" s="122" t="n">
        <f aca="false">перекрытие!D89</f>
        <v>0</v>
      </c>
      <c r="E952" s="89" t="n">
        <f aca="false">перекрытие!E89</f>
        <v>291</v>
      </c>
      <c r="F952" s="89"/>
      <c r="G952" s="122" t="n">
        <f aca="false">IF(F952&gt;0,D952*F952,E952*D952)</f>
        <v>0</v>
      </c>
      <c r="H952" s="89" t="n">
        <f aca="false">E952*D952*$H$903</f>
        <v>0</v>
      </c>
      <c r="I952" s="2784" t="n">
        <f aca="false">IF(G952&gt;H952,G952,H952)*$H$903</f>
        <v>0</v>
      </c>
      <c r="J952" s="2744"/>
      <c r="K952" s="226" t="n">
        <f aca="false">D952-J952</f>
        <v>0</v>
      </c>
      <c r="L952" s="2736"/>
    </row>
    <row r="953" customFormat="false" ht="15.5" hidden="false" customHeight="false" outlineLevel="0" collapsed="false">
      <c r="A953" s="2719"/>
      <c r="B953" s="87" t="str">
        <f aca="false">перекрытие!A90</f>
        <v>Двутавровая деревянная балка, 200*65мм</v>
      </c>
      <c r="C953" s="88" t="str">
        <f aca="false">перекрытие!B90</f>
        <v>м.п.</v>
      </c>
      <c r="D953" s="122" t="n">
        <f aca="false">перекрытие!D90</f>
        <v>0</v>
      </c>
      <c r="E953" s="89" t="n">
        <f aca="false">перекрытие!E90</f>
        <v>250</v>
      </c>
      <c r="F953" s="89"/>
      <c r="G953" s="122" t="n">
        <f aca="false">IF(F953&gt;0,D953*F953,E953*D953)</f>
        <v>0</v>
      </c>
      <c r="H953" s="89" t="n">
        <f aca="false">E953*D953*$H$903</f>
        <v>0</v>
      </c>
      <c r="I953" s="2784" t="n">
        <f aca="false">IF(G953&gt;H953,G953,H953)*$H$903</f>
        <v>0</v>
      </c>
      <c r="J953" s="2744"/>
      <c r="K953" s="226" t="n">
        <f aca="false">D953-J953</f>
        <v>0</v>
      </c>
      <c r="L953" s="2736"/>
    </row>
    <row r="954" customFormat="false" ht="15.5" hidden="false" customHeight="false" outlineLevel="0" collapsed="false">
      <c r="A954" s="2719"/>
      <c r="B954" s="87" t="str">
        <f aca="false">перекрытие!A91</f>
        <v>Двутавровая деревянная балка, 200*90мм</v>
      </c>
      <c r="C954" s="88" t="str">
        <f aca="false">перекрытие!B91</f>
        <v>м.п.</v>
      </c>
      <c r="D954" s="122" t="n">
        <f aca="false">перекрытие!D91</f>
        <v>0</v>
      </c>
      <c r="E954" s="89" t="n">
        <f aca="false">перекрытие!E91</f>
        <v>280</v>
      </c>
      <c r="F954" s="89"/>
      <c r="G954" s="122" t="n">
        <f aca="false">IF(F954&gt;0,D954*F954,E954*D954)</f>
        <v>0</v>
      </c>
      <c r="H954" s="89" t="n">
        <f aca="false">E954*D954*$H$903</f>
        <v>0</v>
      </c>
      <c r="I954" s="2784" t="n">
        <f aca="false">IF(G954&gt;H954,G954,H954)*$H$903</f>
        <v>0</v>
      </c>
      <c r="J954" s="2744"/>
      <c r="K954" s="226" t="n">
        <f aca="false">D954-J954</f>
        <v>0</v>
      </c>
      <c r="L954" s="2736"/>
    </row>
    <row r="955" customFormat="false" ht="15.5" hidden="false" customHeight="false" outlineLevel="0" collapsed="false">
      <c r="A955" s="2719"/>
      <c r="B955" s="87" t="str">
        <f aca="false">перекрытие!A92</f>
        <v>Двутавровая деревянная балка, 150*65мм</v>
      </c>
      <c r="C955" s="88" t="str">
        <f aca="false">перекрытие!B92</f>
        <v>м.п.</v>
      </c>
      <c r="D955" s="122" t="n">
        <f aca="false">перекрытие!D92</f>
        <v>0</v>
      </c>
      <c r="E955" s="89" t="n">
        <f aca="false">перекрытие!E92</f>
        <v>220</v>
      </c>
      <c r="F955" s="89"/>
      <c r="G955" s="122" t="n">
        <f aca="false">IF(F955&gt;0,D955*F955,E955*D955)</f>
        <v>0</v>
      </c>
      <c r="H955" s="89" t="n">
        <f aca="false">E955*D955*$H$903</f>
        <v>0</v>
      </c>
      <c r="I955" s="2784" t="n">
        <f aca="false">IF(G955&gt;H955,G955,H955)*$H$903</f>
        <v>0</v>
      </c>
      <c r="J955" s="2744"/>
      <c r="K955" s="226" t="n">
        <f aca="false">D955-J955</f>
        <v>0</v>
      </c>
      <c r="L955" s="2736"/>
    </row>
    <row r="956" customFormat="false" ht="15.5" hidden="false" customHeight="false" outlineLevel="0" collapsed="false">
      <c r="A956" s="2719"/>
      <c r="B956" s="87" t="str">
        <f aca="false">перекрытие!A93</f>
        <v>Двутавровая деревянная балка, 150*90мм</v>
      </c>
      <c r="C956" s="88" t="str">
        <f aca="false">перекрытие!B93</f>
        <v>м.п.</v>
      </c>
      <c r="D956" s="122" t="n">
        <f aca="false">перекрытие!D93</f>
        <v>0</v>
      </c>
      <c r="E956" s="89" t="n">
        <f aca="false">перекрытие!E93</f>
        <v>250</v>
      </c>
      <c r="F956" s="89"/>
      <c r="G956" s="122" t="n">
        <f aca="false">IF(F956&gt;0,D956*F956,E956*D956)</f>
        <v>0</v>
      </c>
      <c r="H956" s="89" t="n">
        <f aca="false">E956*D956*$H$903</f>
        <v>0</v>
      </c>
      <c r="I956" s="2784" t="n">
        <f aca="false">IF(G956&gt;H956,G956,H956)*$H$903</f>
        <v>0</v>
      </c>
      <c r="J956" s="2744"/>
      <c r="K956" s="226" t="n">
        <f aca="false">D956-J956</f>
        <v>0</v>
      </c>
      <c r="L956" s="2736"/>
    </row>
    <row r="957" customFormat="false" ht="15.5" hidden="false" customHeight="false" outlineLevel="0" collapsed="false">
      <c r="A957" s="2719"/>
      <c r="B957" s="87" t="str">
        <f aca="false">перекрытие!A94</f>
        <v>Уголок усиленный 90х70х55х2,5</v>
      </c>
      <c r="C957" s="88" t="str">
        <f aca="false">перекрытие!B94</f>
        <v>шт</v>
      </c>
      <c r="D957" s="122" t="n">
        <f aca="false">перекрытие!D94</f>
        <v>0</v>
      </c>
      <c r="E957" s="89" t="n">
        <f aca="false">перекрытие!E94</f>
        <v>30</v>
      </c>
      <c r="F957" s="89"/>
      <c r="G957" s="122" t="n">
        <f aca="false">IF(F957&gt;0,D957*F957,E957*D957)</f>
        <v>0</v>
      </c>
      <c r="H957" s="89" t="n">
        <f aca="false">E957*D957*$H$903</f>
        <v>0</v>
      </c>
      <c r="I957" s="2784" t="n">
        <f aca="false">IF(G957&gt;H957,G957,H957)*$H$903</f>
        <v>0</v>
      </c>
      <c r="J957" s="2744"/>
      <c r="K957" s="226" t="n">
        <f aca="false">D957-J957</f>
        <v>0</v>
      </c>
      <c r="L957" s="2736"/>
    </row>
    <row r="958" customFormat="false" ht="15.5" hidden="false" customHeight="false" outlineLevel="0" collapsed="false">
      <c r="A958" s="2719"/>
      <c r="B958" s="87" t="str">
        <f aca="false">перекрытие!A95</f>
        <v>Саморезы 3,5 x 55</v>
      </c>
      <c r="C958" s="88" t="str">
        <f aca="false">перекрытие!B95</f>
        <v>шт</v>
      </c>
      <c r="D958" s="122" t="n">
        <f aca="false">перекрытие!D95</f>
        <v>0</v>
      </c>
      <c r="E958" s="89" t="n">
        <f aca="false">перекрытие!E95</f>
        <v>0.3</v>
      </c>
      <c r="F958" s="89"/>
      <c r="G958" s="122" t="n">
        <f aca="false">IF(F958&gt;0,D958*F958,E958*D958)</f>
        <v>0</v>
      </c>
      <c r="H958" s="89" t="n">
        <f aca="false">E958*D958*$H$903</f>
        <v>0</v>
      </c>
      <c r="I958" s="2784" t="n">
        <f aca="false">IF(G958&gt;H958,G958,H958)*$H$903</f>
        <v>0</v>
      </c>
      <c r="J958" s="2744"/>
      <c r="K958" s="226" t="n">
        <f aca="false">D958-J958</f>
        <v>0</v>
      </c>
      <c r="L958" s="2736"/>
    </row>
    <row r="959" customFormat="false" ht="15.5" hidden="false" customHeight="false" outlineLevel="0" collapsed="false">
      <c r="A959" s="2719"/>
      <c r="B959" s="87" t="str">
        <f aca="false">перекрытие!A96</f>
        <v>Нет</v>
      </c>
      <c r="C959" s="88" t="str">
        <f aca="false">перекрытие!B96</f>
        <v>м3</v>
      </c>
      <c r="D959" s="122" t="n">
        <f aca="false">перекрытие!D96</f>
        <v>0</v>
      </c>
      <c r="E959" s="89" t="n">
        <f aca="false">перекрытие!E96</f>
        <v>0</v>
      </c>
      <c r="F959" s="89"/>
      <c r="G959" s="122" t="n">
        <f aca="false">IF(F959&gt;0,D959*F959,E959*D959)</f>
        <v>0</v>
      </c>
      <c r="H959" s="89" t="n">
        <f aca="false">E959*D959*$H$903</f>
        <v>0</v>
      </c>
      <c r="I959" s="2784" t="n">
        <f aca="false">IF(G959&gt;H959,G959,H959)*$H$903</f>
        <v>0</v>
      </c>
      <c r="J959" s="2744"/>
      <c r="K959" s="226" t="n">
        <f aca="false">D959-J959</f>
        <v>0</v>
      </c>
      <c r="L959" s="2736"/>
    </row>
    <row r="960" customFormat="false" ht="15.5" hidden="false" customHeight="false" outlineLevel="0" collapsed="false">
      <c r="A960" s="2719"/>
      <c r="B960" s="87" t="str">
        <f aca="false">перекрытие!A97</f>
        <v>нет ветроизоляции</v>
      </c>
      <c r="C960" s="88" t="str">
        <f aca="false">перекрытие!B97</f>
        <v>м2</v>
      </c>
      <c r="D960" s="122" t="n">
        <f aca="false">перекрытие!D97</f>
        <v>100</v>
      </c>
      <c r="E960" s="89" t="n">
        <f aca="false">перекрытие!E97</f>
        <v>0</v>
      </c>
      <c r="F960" s="89"/>
      <c r="G960" s="122" t="n">
        <f aca="false">IF(F960&gt;0,D960*F960,E960*D960)</f>
        <v>0</v>
      </c>
      <c r="H960" s="89" t="n">
        <f aca="false">E960*D960*$H$903</f>
        <v>0</v>
      </c>
      <c r="I960" s="2784" t="n">
        <f aca="false">IF(G960&gt;H960,G960,H960)*$H$903</f>
        <v>0</v>
      </c>
      <c r="J960" s="2744"/>
      <c r="K960" s="226" t="n">
        <f aca="false">D960-J960</f>
        <v>100</v>
      </c>
      <c r="L960" s="2736"/>
    </row>
    <row r="961" customFormat="false" ht="15.5" hidden="false" customHeight="false" outlineLevel="0" collapsed="false">
      <c r="A961" s="2719"/>
      <c r="B961" s="87" t="str">
        <f aca="false">перекрытие!A98</f>
        <v>нет пароизоляции</v>
      </c>
      <c r="C961" s="88" t="str">
        <f aca="false">перекрытие!B98</f>
        <v>м2</v>
      </c>
      <c r="D961" s="122" t="n">
        <f aca="false">перекрытие!D98</f>
        <v>100</v>
      </c>
      <c r="E961" s="89" t="n">
        <f aca="false">перекрытие!E98</f>
        <v>0</v>
      </c>
      <c r="F961" s="89"/>
      <c r="G961" s="122" t="n">
        <f aca="false">IF(F961&gt;0,D961*F961,E961*D961)</f>
        <v>0</v>
      </c>
      <c r="H961" s="89" t="n">
        <f aca="false">E961*D961*$H$903</f>
        <v>0</v>
      </c>
      <c r="I961" s="2784" t="n">
        <f aca="false">IF(G961&gt;H961,G961,H961)*$H$903</f>
        <v>0</v>
      </c>
      <c r="J961" s="2744"/>
      <c r="K961" s="226" t="n">
        <f aca="false">D961-J961</f>
        <v>100</v>
      </c>
      <c r="L961" s="2736"/>
    </row>
    <row r="962" customFormat="false" ht="15.5" hidden="false" customHeight="false" outlineLevel="0" collapsed="false">
      <c r="A962" s="2719"/>
      <c r="B962" s="87" t="str">
        <f aca="false">перекрытие!A101</f>
        <v>Плита перекрытия ЖБИ</v>
      </c>
      <c r="C962" s="88" t="str">
        <f aca="false">перекрытие!B101</f>
        <v>м2</v>
      </c>
      <c r="D962" s="122" t="n">
        <f aca="false">перекрытие!D101</f>
        <v>0</v>
      </c>
      <c r="E962" s="89" t="n">
        <f aca="false">перекрытие!E101</f>
        <v>1400</v>
      </c>
      <c r="F962" s="89"/>
      <c r="G962" s="122" t="n">
        <f aca="false">IF(F962&gt;0,D962*F962,E962*D962)</f>
        <v>0</v>
      </c>
      <c r="H962" s="89" t="n">
        <f aca="false">E962*D962*$H$903</f>
        <v>0</v>
      </c>
      <c r="I962" s="2784" t="n">
        <f aca="false">IF(G962&gt;H962,G962,H962)*$H$903</f>
        <v>0</v>
      </c>
      <c r="J962" s="2744"/>
      <c r="K962" s="226" t="n">
        <f aca="false">D962-J962</f>
        <v>0</v>
      </c>
      <c r="L962" s="2736"/>
    </row>
    <row r="963" customFormat="false" ht="15.5" hidden="false" customHeight="false" outlineLevel="0" collapsed="false">
      <c r="A963" s="2719"/>
      <c r="B963" s="87" t="str">
        <f aca="false">перекрытие!A102</f>
        <v>Раствор, м250</v>
      </c>
      <c r="C963" s="88" t="str">
        <f aca="false">перекрытие!B102</f>
        <v>м3</v>
      </c>
      <c r="D963" s="122" t="n">
        <f aca="false">перекрытие!D102</f>
        <v>0</v>
      </c>
      <c r="E963" s="89" t="n">
        <f aca="false">перекрытие!E102</f>
        <v>2500</v>
      </c>
      <c r="F963" s="89"/>
      <c r="G963" s="122" t="n">
        <f aca="false">IF(F963&gt;0,D963*F963,E963*D963)</f>
        <v>0</v>
      </c>
      <c r="H963" s="89" t="n">
        <f aca="false">E963*D963*$H$903</f>
        <v>0</v>
      </c>
      <c r="I963" s="2784" t="n">
        <f aca="false">IF(G963&gt;H963,G963,H963)*$H$903</f>
        <v>0</v>
      </c>
      <c r="J963" s="2744"/>
      <c r="K963" s="226" t="n">
        <f aca="false">D963-J963</f>
        <v>0</v>
      </c>
      <c r="L963" s="2736"/>
    </row>
    <row r="964" customFormat="false" ht="15.5" hidden="false" customHeight="false" outlineLevel="0" collapsed="false">
      <c r="A964" s="2719"/>
      <c r="B964" s="87" t="str">
        <f aca="false">перекрытие!A103</f>
        <v>Монолит, бетон, 300мм, 2 слоя</v>
      </c>
      <c r="C964" s="88" t="str">
        <f aca="false">перекрытие!B103</f>
        <v>м2</v>
      </c>
      <c r="D964" s="122" t="n">
        <f aca="false">перекрытие!D103</f>
        <v>0</v>
      </c>
      <c r="E964" s="89" t="n">
        <f aca="false">перекрытие!E103</f>
        <v>1</v>
      </c>
      <c r="F964" s="89"/>
      <c r="G964" s="122" t="n">
        <f aca="false">IF(F964&gt;0,D964*F964,E964*D964)</f>
        <v>0</v>
      </c>
      <c r="H964" s="89" t="n">
        <f aca="false">E964*D964*$H$903</f>
        <v>0</v>
      </c>
      <c r="I964" s="2784" t="n">
        <f aca="false">IF(G964&gt;H964,G964,H964)*$H$903</f>
        <v>0</v>
      </c>
      <c r="J964" s="2744"/>
      <c r="K964" s="226" t="n">
        <f aca="false">D964-J964</f>
        <v>0</v>
      </c>
      <c r="L964" s="2736"/>
    </row>
    <row r="965" customFormat="false" ht="15.5" hidden="false" customHeight="false" outlineLevel="0" collapsed="false">
      <c r="A965" s="2719"/>
      <c r="B965" s="87" t="str">
        <f aca="false">перекрытие!A104</f>
        <v>Монолит, бетон, 300мм, 1 слой</v>
      </c>
      <c r="C965" s="88" t="str">
        <f aca="false">перекрытие!B104</f>
        <v>м2</v>
      </c>
      <c r="D965" s="122" t="n">
        <f aca="false">перекрытие!D104</f>
        <v>0</v>
      </c>
      <c r="E965" s="89" t="n">
        <f aca="false">перекрытие!E104</f>
        <v>1</v>
      </c>
      <c r="F965" s="89"/>
      <c r="G965" s="122" t="n">
        <f aca="false">IF(F965&gt;0,D965*F965,E965*D965)</f>
        <v>0</v>
      </c>
      <c r="H965" s="89" t="n">
        <f aca="false">E965*D965*$H$903</f>
        <v>0</v>
      </c>
      <c r="I965" s="2784" t="n">
        <f aca="false">IF(G965&gt;H965,G965,H965)*$H$903</f>
        <v>0</v>
      </c>
      <c r="J965" s="2744"/>
      <c r="K965" s="226" t="n">
        <f aca="false">D965-J965</f>
        <v>0</v>
      </c>
      <c r="L965" s="2736"/>
    </row>
    <row r="966" customFormat="false" ht="15.5" hidden="false" customHeight="false" outlineLevel="0" collapsed="false">
      <c r="A966" s="2719"/>
      <c r="B966" s="87" t="str">
        <f aca="false">перекрытие!A105</f>
        <v>Монолит, бетон, 250мм, 2 слоя</v>
      </c>
      <c r="C966" s="88" t="str">
        <f aca="false">перекрытие!B105</f>
        <v>м2</v>
      </c>
      <c r="D966" s="122" t="n">
        <f aca="false">перекрытие!D105</f>
        <v>0</v>
      </c>
      <c r="E966" s="89" t="n">
        <f aca="false">перекрытие!E105</f>
        <v>1</v>
      </c>
      <c r="F966" s="89"/>
      <c r="G966" s="122" t="n">
        <f aca="false">IF(F966&gt;0,D966*F966,E966*D966)</f>
        <v>0</v>
      </c>
      <c r="H966" s="89" t="n">
        <f aca="false">E966*D966*$H$903</f>
        <v>0</v>
      </c>
      <c r="I966" s="2784" t="n">
        <f aca="false">IF(G966&gt;H966,G966,H966)*$H$903</f>
        <v>0</v>
      </c>
      <c r="J966" s="2744"/>
      <c r="K966" s="226" t="n">
        <f aca="false">D966-J966</f>
        <v>0</v>
      </c>
      <c r="L966" s="2736"/>
    </row>
    <row r="967" customFormat="false" ht="15.5" hidden="false" customHeight="false" outlineLevel="0" collapsed="false">
      <c r="A967" s="2719"/>
      <c r="B967" s="87" t="str">
        <f aca="false">перекрытие!A106</f>
        <v>Монолит, бетон, 250мм, 1 слой</v>
      </c>
      <c r="C967" s="88" t="str">
        <f aca="false">перекрытие!B106</f>
        <v>м2</v>
      </c>
      <c r="D967" s="122" t="n">
        <f aca="false">перекрытие!D106</f>
        <v>0</v>
      </c>
      <c r="E967" s="89" t="n">
        <f aca="false">перекрытие!E106</f>
        <v>1</v>
      </c>
      <c r="F967" s="89"/>
      <c r="G967" s="122" t="n">
        <f aca="false">IF(F967&gt;0,D967*F967,E967*D967)</f>
        <v>0</v>
      </c>
      <c r="H967" s="89" t="n">
        <f aca="false">E967*D967*$H$903</f>
        <v>0</v>
      </c>
      <c r="I967" s="2784" t="n">
        <f aca="false">IF(G967&gt;H967,G967,H967)*$H$903</f>
        <v>0</v>
      </c>
      <c r="J967" s="2744"/>
      <c r="K967" s="226" t="n">
        <f aca="false">D967-J967</f>
        <v>0</v>
      </c>
      <c r="L967" s="2736"/>
    </row>
    <row r="968" customFormat="false" ht="15.5" hidden="false" customHeight="false" outlineLevel="0" collapsed="false">
      <c r="A968" s="2719"/>
      <c r="B968" s="87" t="str">
        <f aca="false">перекрытие!A107</f>
        <v>Монолит, бетон, 200мм, 2 слоя</v>
      </c>
      <c r="C968" s="88" t="str">
        <f aca="false">перекрытие!B107</f>
        <v>м2</v>
      </c>
      <c r="D968" s="122" t="n">
        <f aca="false">перекрытие!D107</f>
        <v>0</v>
      </c>
      <c r="E968" s="89" t="n">
        <f aca="false">перекрытие!E107</f>
        <v>1</v>
      </c>
      <c r="F968" s="89"/>
      <c r="G968" s="122" t="n">
        <f aca="false">IF(F968&gt;0,D968*F968,E968*D968)</f>
        <v>0</v>
      </c>
      <c r="H968" s="89" t="n">
        <f aca="false">E968*D968*$H$903</f>
        <v>0</v>
      </c>
      <c r="I968" s="2784" t="n">
        <f aca="false">IF(G968&gt;H968,G968,H968)*$H$903</f>
        <v>0</v>
      </c>
      <c r="J968" s="2744"/>
      <c r="K968" s="226" t="n">
        <f aca="false">D968-J968</f>
        <v>0</v>
      </c>
      <c r="L968" s="2736"/>
    </row>
    <row r="969" customFormat="false" ht="15.5" hidden="false" customHeight="false" outlineLevel="0" collapsed="false">
      <c r="A969" s="2719"/>
      <c r="B969" s="87" t="str">
        <f aca="false">перекрытие!A108</f>
        <v>Монолит, бетон, 200мм, 1 слой</v>
      </c>
      <c r="C969" s="88" t="str">
        <f aca="false">перекрытие!B108</f>
        <v>м2</v>
      </c>
      <c r="D969" s="122" t="n">
        <f aca="false">перекрытие!D108</f>
        <v>0</v>
      </c>
      <c r="E969" s="89" t="n">
        <f aca="false">перекрытие!E108</f>
        <v>1</v>
      </c>
      <c r="F969" s="89"/>
      <c r="G969" s="122" t="n">
        <f aca="false">IF(F969&gt;0,D969*F969,E969*D969)</f>
        <v>0</v>
      </c>
      <c r="H969" s="89" t="n">
        <f aca="false">E969*D969*$H$903</f>
        <v>0</v>
      </c>
      <c r="I969" s="2784" t="n">
        <f aca="false">IF(G969&gt;H969,G969,H969)*$H$903</f>
        <v>0</v>
      </c>
      <c r="J969" s="2744"/>
      <c r="K969" s="226" t="n">
        <f aca="false">D969-J969</f>
        <v>0</v>
      </c>
      <c r="L969" s="2736"/>
    </row>
    <row r="970" customFormat="false" ht="15.5" hidden="false" customHeight="false" outlineLevel="0" collapsed="false">
      <c r="A970" s="2719"/>
      <c r="B970" s="87" t="str">
        <f aca="false">перекрытие!A109</f>
        <v>Монолит, бетон, 150мм, 2 слоя</v>
      </c>
      <c r="C970" s="88" t="str">
        <f aca="false">перекрытие!B109</f>
        <v>м2</v>
      </c>
      <c r="D970" s="122" t="n">
        <f aca="false">перекрытие!D109</f>
        <v>0</v>
      </c>
      <c r="E970" s="89" t="n">
        <f aca="false">перекрытие!E109</f>
        <v>1</v>
      </c>
      <c r="F970" s="89"/>
      <c r="G970" s="122" t="n">
        <f aca="false">IF(F970&gt;0,D970*F970,E970*D970)</f>
        <v>0</v>
      </c>
      <c r="H970" s="89" t="n">
        <f aca="false">E970*D970*$H$903</f>
        <v>0</v>
      </c>
      <c r="I970" s="2784" t="n">
        <f aca="false">IF(G970&gt;H970,G970,H970)*$H$903</f>
        <v>0</v>
      </c>
      <c r="J970" s="2744"/>
      <c r="K970" s="226" t="n">
        <f aca="false">D970-J970</f>
        <v>0</v>
      </c>
      <c r="L970" s="2736"/>
    </row>
    <row r="971" customFormat="false" ht="15.5" hidden="false" customHeight="false" outlineLevel="0" collapsed="false">
      <c r="A971" s="2719"/>
      <c r="B971" s="87" t="str">
        <f aca="false">перекрытие!A110</f>
        <v>Монолит, бетон, 150мм, 1 слой</v>
      </c>
      <c r="C971" s="88" t="str">
        <f aca="false">перекрытие!B110</f>
        <v>м2</v>
      </c>
      <c r="D971" s="122" t="n">
        <f aca="false">перекрытие!D110</f>
        <v>0</v>
      </c>
      <c r="E971" s="89" t="n">
        <f aca="false">перекрытие!E110</f>
        <v>1</v>
      </c>
      <c r="F971" s="89"/>
      <c r="G971" s="122" t="n">
        <f aca="false">IF(F971&gt;0,D971*F971,E971*D971)</f>
        <v>0</v>
      </c>
      <c r="H971" s="89" t="n">
        <f aca="false">E971*D971*$H$903</f>
        <v>0</v>
      </c>
      <c r="I971" s="2784" t="n">
        <f aca="false">IF(G971&gt;H971,G971,H971)*$H$903</f>
        <v>0</v>
      </c>
      <c r="J971" s="2744"/>
      <c r="K971" s="226" t="n">
        <f aca="false">D971-J971</f>
        <v>0</v>
      </c>
      <c r="L971" s="2736"/>
    </row>
    <row r="972" customFormat="false" ht="15.5" hidden="false" customHeight="false" outlineLevel="0" collapsed="false">
      <c r="A972" s="2719"/>
      <c r="B972" s="87" t="str">
        <f aca="false">перекрытие!A111</f>
        <v>доска для опалубки монолит перекрытий</v>
      </c>
      <c r="C972" s="88" t="str">
        <f aca="false">перекрытие!B111</f>
        <v>м3</v>
      </c>
      <c r="D972" s="122" t="n">
        <f aca="false">перекрытие!D111</f>
        <v>0</v>
      </c>
      <c r="E972" s="89" t="n">
        <f aca="false">перекрытие!E111</f>
        <v>6500</v>
      </c>
      <c r="F972" s="89"/>
      <c r="G972" s="122" t="n">
        <f aca="false">IF(F972&gt;0,D972*F972,E972*D972)</f>
        <v>0</v>
      </c>
      <c r="H972" s="89" t="n">
        <f aca="false">E972*D972*$H$903</f>
        <v>0</v>
      </c>
      <c r="I972" s="2784" t="n">
        <f aca="false">IF(G972&gt;H972,G972,H972)*$H$903</f>
        <v>0</v>
      </c>
      <c r="J972" s="2744"/>
      <c r="K972" s="226" t="n">
        <f aca="false">D972-J972</f>
        <v>0</v>
      </c>
      <c r="L972" s="2736"/>
    </row>
    <row r="973" customFormat="false" ht="15.5" hidden="false" customHeight="false" outlineLevel="0" collapsed="false">
      <c r="A973" s="2719"/>
      <c r="B973" s="87" t="str">
        <f aca="false">перекрытие!A112</f>
        <v>стойки под опалубку перекрытий</v>
      </c>
      <c r="C973" s="88" t="str">
        <f aca="false">перекрытие!B112</f>
        <v>шт</v>
      </c>
      <c r="D973" s="122" t="n">
        <f aca="false">перекрытие!D112</f>
        <v>0</v>
      </c>
      <c r="E973" s="89" t="n">
        <f aca="false">перекрытие!E112</f>
        <v>0</v>
      </c>
      <c r="F973" s="89"/>
      <c r="G973" s="122" t="n">
        <f aca="false">IF(F973&gt;0,D973*F973,E973*D973)</f>
        <v>0</v>
      </c>
      <c r="H973" s="89" t="n">
        <f aca="false">E973*D973*$H$903</f>
        <v>0</v>
      </c>
      <c r="I973" s="2784" t="n">
        <f aca="false">IF(G973&gt;H973,G973,H973)*$H$903</f>
        <v>0</v>
      </c>
      <c r="J973" s="2744"/>
      <c r="K973" s="226" t="n">
        <f aca="false">D973-J973</f>
        <v>0</v>
      </c>
      <c r="L973" s="2736"/>
    </row>
    <row r="974" customFormat="false" ht="15.5" hidden="false" customHeight="false" outlineLevel="0" collapsed="false">
      <c r="A974" s="2719"/>
      <c r="B974" s="87" t="str">
        <f aca="false">перекрытие!A113</f>
        <v>Пленка гидроизоляционная</v>
      </c>
      <c r="C974" s="88" t="str">
        <f aca="false">перекрытие!B113</f>
        <v>м2</v>
      </c>
      <c r="D974" s="122" t="n">
        <f aca="false">перекрытие!D113</f>
        <v>0</v>
      </c>
      <c r="E974" s="89" t="n">
        <f aca="false">перекрытие!E113</f>
        <v>15</v>
      </c>
      <c r="F974" s="89"/>
      <c r="G974" s="122" t="n">
        <f aca="false">IF(F974&gt;0,D974*F974,E974*D974)</f>
        <v>0</v>
      </c>
      <c r="H974" s="89" t="n">
        <f aca="false">E974*D974*$H$903</f>
        <v>0</v>
      </c>
      <c r="I974" s="2784" t="n">
        <f aca="false">IF(G974&gt;H974,G974,H974)*$H$903</f>
        <v>0</v>
      </c>
      <c r="J974" s="2744"/>
      <c r="K974" s="226" t="n">
        <f aca="false">D974-J974</f>
        <v>0</v>
      </c>
      <c r="L974" s="2736"/>
    </row>
    <row r="975" customFormat="false" ht="15.5" hidden="false" customHeight="false" outlineLevel="0" collapsed="false">
      <c r="A975" s="2719"/>
      <c r="B975" s="87" t="str">
        <f aca="false">перекрытие!A114</f>
        <v>Арматура М10</v>
      </c>
      <c r="C975" s="88" t="str">
        <f aca="false">перекрытие!B114</f>
        <v>м.п.</v>
      </c>
      <c r="D975" s="122" t="n">
        <f aca="false">перекрытие!D114</f>
        <v>0</v>
      </c>
      <c r="E975" s="89" t="n">
        <f aca="false">перекрытие!E114</f>
        <v>21.0397</v>
      </c>
      <c r="F975" s="89"/>
      <c r="G975" s="122" t="n">
        <f aca="false">IF(F975&gt;0,D975*F975,E975*D975)</f>
        <v>0</v>
      </c>
      <c r="H975" s="89" t="n">
        <f aca="false">E975*D975*$H$903</f>
        <v>0</v>
      </c>
      <c r="I975" s="2784" t="n">
        <f aca="false">IF(G975&gt;H975,G975,H975)*$H$903</f>
        <v>0</v>
      </c>
      <c r="J975" s="2744"/>
      <c r="K975" s="226" t="n">
        <f aca="false">D975-J975</f>
        <v>0</v>
      </c>
      <c r="L975" s="2736"/>
    </row>
    <row r="976" customFormat="false" ht="15.5" hidden="false" customHeight="false" outlineLevel="0" collapsed="false">
      <c r="A976" s="2719"/>
      <c r="B976" s="87" t="str">
        <f aca="false">перекрытие!A115</f>
        <v>Вязальная проволока</v>
      </c>
      <c r="C976" s="88" t="str">
        <f aca="false">перекрытие!B115</f>
        <v>кг</v>
      </c>
      <c r="D976" s="122" t="n">
        <f aca="false">перекрытие!D115</f>
        <v>0</v>
      </c>
      <c r="E976" s="89" t="n">
        <f aca="false">перекрытие!E115</f>
        <v>80</v>
      </c>
      <c r="F976" s="89"/>
      <c r="G976" s="122" t="n">
        <f aca="false">IF(F976&gt;0,D976*F976,E976*D976)</f>
        <v>0</v>
      </c>
      <c r="H976" s="89" t="n">
        <f aca="false">E976*D976*$H$903</f>
        <v>0</v>
      </c>
      <c r="I976" s="2784" t="n">
        <f aca="false">IF(G976&gt;H976,G976,H976)*$H$903</f>
        <v>0</v>
      </c>
      <c r="J976" s="2744"/>
      <c r="K976" s="226" t="n">
        <f aca="false">D976-J976</f>
        <v>0</v>
      </c>
      <c r="L976" s="2736"/>
    </row>
    <row r="977" customFormat="false" ht="15.5" hidden="false" customHeight="false" outlineLevel="0" collapsed="false">
      <c r="A977" s="2719"/>
      <c r="B977" s="87" t="str">
        <f aca="false">перекрытие!A116</f>
        <v>Подставка под арматурный каркас</v>
      </c>
      <c r="C977" s="88" t="str">
        <f aca="false">перекрытие!B116</f>
        <v>шт</v>
      </c>
      <c r="D977" s="122" t="n">
        <f aca="false">перекрытие!D116</f>
        <v>0</v>
      </c>
      <c r="E977" s="89" t="n">
        <f aca="false">перекрытие!E116</f>
        <v>5</v>
      </c>
      <c r="F977" s="89"/>
      <c r="G977" s="122" t="n">
        <f aca="false">IF(F977&gt;0,D977*F977,E977*D977)</f>
        <v>0</v>
      </c>
      <c r="H977" s="89" t="n">
        <f aca="false">E977*D977*$H$903</f>
        <v>0</v>
      </c>
      <c r="I977" s="2784" t="n">
        <f aca="false">IF(G977&gt;H977,G977,H977)*$H$903</f>
        <v>0</v>
      </c>
      <c r="J977" s="2744"/>
      <c r="K977" s="226" t="n">
        <f aca="false">D977-J977</f>
        <v>0</v>
      </c>
      <c r="L977" s="2736"/>
    </row>
    <row r="978" customFormat="false" ht="15.5" hidden="false" customHeight="false" outlineLevel="0" collapsed="false">
      <c r="A978" s="2719"/>
      <c r="B978" s="87" t="str">
        <f aca="false">перекрытие!A117</f>
        <v>бетон, м350</v>
      </c>
      <c r="C978" s="88" t="str">
        <f aca="false">перекрытие!B117</f>
        <v>м3</v>
      </c>
      <c r="D978" s="122" t="n">
        <f aca="false">перекрытие!D117</f>
        <v>0</v>
      </c>
      <c r="E978" s="89" t="n">
        <f aca="false">перекрытие!E117</f>
        <v>3500</v>
      </c>
      <c r="F978" s="89"/>
      <c r="G978" s="122" t="n">
        <f aca="false">IF(F978&gt;0,D978*F978,E978*D978)</f>
        <v>0</v>
      </c>
      <c r="H978" s="89" t="n">
        <f aca="false">E978*D978*$H$903</f>
        <v>0</v>
      </c>
      <c r="I978" s="2784" t="n">
        <f aca="false">IF(G978&gt;H978,G978,H978)*$H$903</f>
        <v>0</v>
      </c>
      <c r="J978" s="2744"/>
      <c r="K978" s="226" t="n">
        <f aca="false">D978-J978</f>
        <v>0</v>
      </c>
      <c r="L978" s="2736"/>
    </row>
    <row r="979" customFormat="false" ht="15.5" hidden="false" customHeight="false" outlineLevel="0" collapsed="false">
      <c r="A979" s="2719"/>
      <c r="B979" s="87" t="str">
        <f aca="false">перекрытие!A118</f>
        <v>Брус естественной влажности, 200*100мм</v>
      </c>
      <c r="C979" s="88" t="str">
        <f aca="false">перекрытие!B118</f>
        <v>м3</v>
      </c>
      <c r="D979" s="122" t="n">
        <f aca="false">перекрытие!D118</f>
        <v>0</v>
      </c>
      <c r="E979" s="89" t="n">
        <f aca="false">перекрытие!E118</f>
        <v>6500</v>
      </c>
      <c r="F979" s="89"/>
      <c r="G979" s="122" t="n">
        <f aca="false">IF(F979&gt;0,D979*F979,E979*D979)</f>
        <v>0</v>
      </c>
      <c r="H979" s="89" t="n">
        <f aca="false">E979*D979*$H$903</f>
        <v>0</v>
      </c>
      <c r="I979" s="2784" t="n">
        <f aca="false">IF(G979&gt;H979,G979,H979)*$H$903</f>
        <v>0</v>
      </c>
      <c r="J979" s="2744"/>
      <c r="K979" s="226" t="n">
        <f aca="false">D979-J979</f>
        <v>0</v>
      </c>
      <c r="L979" s="2736"/>
    </row>
    <row r="980" customFormat="false" ht="15.5" hidden="false" customHeight="false" outlineLevel="0" collapsed="false">
      <c r="A980" s="2719"/>
      <c r="B980" s="87" t="str">
        <f aca="false">перекрытие!A119</f>
        <v>Брус естественной влажности, 150*100мм</v>
      </c>
      <c r="C980" s="88" t="str">
        <f aca="false">перекрытие!B119</f>
        <v>м3</v>
      </c>
      <c r="D980" s="122" t="n">
        <f aca="false">перекрытие!D119</f>
        <v>0</v>
      </c>
      <c r="E980" s="89" t="n">
        <f aca="false">перекрытие!E119</f>
        <v>6500</v>
      </c>
      <c r="F980" s="89"/>
      <c r="G980" s="122" t="n">
        <f aca="false">IF(F980&gt;0,D980*F980,E980*D980)</f>
        <v>0</v>
      </c>
      <c r="H980" s="89" t="n">
        <f aca="false">E980*D980*$H$903</f>
        <v>0</v>
      </c>
      <c r="I980" s="2784" t="n">
        <f aca="false">IF(G980&gt;H980,G980,H980)*$H$903</f>
        <v>0</v>
      </c>
      <c r="J980" s="2744"/>
      <c r="K980" s="226" t="n">
        <f aca="false">D980-J980</f>
        <v>0</v>
      </c>
      <c r="L980" s="2736"/>
    </row>
    <row r="981" customFormat="false" ht="15.5" hidden="false" customHeight="false" outlineLevel="0" collapsed="false">
      <c r="A981" s="2719"/>
      <c r="B981" s="87" t="str">
        <f aca="false">перекрытие!A120</f>
        <v>Брус естественной влажности, 100*100мм</v>
      </c>
      <c r="C981" s="88" t="str">
        <f aca="false">перекрытие!B120</f>
        <v>м3</v>
      </c>
      <c r="D981" s="122" t="n">
        <f aca="false">перекрытие!D120</f>
        <v>0</v>
      </c>
      <c r="E981" s="89" t="n">
        <f aca="false">перекрытие!E120</f>
        <v>6500</v>
      </c>
      <c r="F981" s="89"/>
      <c r="G981" s="122" t="n">
        <f aca="false">IF(F981&gt;0,D981*F981,E981*D981)</f>
        <v>0</v>
      </c>
      <c r="H981" s="89" t="n">
        <f aca="false">E981*D981*$H$903</f>
        <v>0</v>
      </c>
      <c r="I981" s="2784" t="n">
        <f aca="false">IF(G981&gt;H981,G981,H981)*$H$903</f>
        <v>0</v>
      </c>
      <c r="J981" s="2744"/>
      <c r="K981" s="226" t="n">
        <f aca="false">D981-J981</f>
        <v>0</v>
      </c>
      <c r="L981" s="2736"/>
    </row>
    <row r="982" customFormat="false" ht="15.5" hidden="false" customHeight="false" outlineLevel="0" collapsed="false">
      <c r="A982" s="2719"/>
      <c r="B982" s="87" t="str">
        <f aca="false">перекрытие!A121</f>
        <v>Брус естественной влажности, 150*150мм</v>
      </c>
      <c r="C982" s="88" t="str">
        <f aca="false">перекрытие!B121</f>
        <v>м3</v>
      </c>
      <c r="D982" s="122" t="n">
        <f aca="false">перекрытие!D121</f>
        <v>0</v>
      </c>
      <c r="E982" s="89" t="n">
        <f aca="false">перекрытие!E121</f>
        <v>6500</v>
      </c>
      <c r="F982" s="89"/>
      <c r="G982" s="122" t="n">
        <f aca="false">IF(F982&gt;0,D982*F982,E982*D982)</f>
        <v>0</v>
      </c>
      <c r="H982" s="89" t="n">
        <f aca="false">E982*D982*$H$903</f>
        <v>0</v>
      </c>
      <c r="I982" s="2784" t="n">
        <f aca="false">IF(G982&gt;H982,G982,H982)*$H$903</f>
        <v>0</v>
      </c>
      <c r="J982" s="2744"/>
      <c r="K982" s="226" t="n">
        <f aca="false">D982-J982</f>
        <v>0</v>
      </c>
      <c r="L982" s="2736"/>
    </row>
    <row r="983" customFormat="false" ht="15.5" hidden="false" customHeight="false" outlineLevel="0" collapsed="false">
      <c r="A983" s="2719"/>
      <c r="B983" s="87" t="str">
        <f aca="false">перекрытие!A122</f>
        <v>Доска естественной влажности, 200*50мм</v>
      </c>
      <c r="C983" s="88" t="str">
        <f aca="false">перекрытие!B122</f>
        <v>м3</v>
      </c>
      <c r="D983" s="122" t="n">
        <f aca="false">перекрытие!D122</f>
        <v>0</v>
      </c>
      <c r="E983" s="89" t="n">
        <f aca="false">перекрытие!E122</f>
        <v>6500</v>
      </c>
      <c r="F983" s="89"/>
      <c r="G983" s="122" t="n">
        <f aca="false">IF(F983&gt;0,D983*F983,E983*D983)</f>
        <v>0</v>
      </c>
      <c r="H983" s="89" t="n">
        <f aca="false">E983*D983*$H$903</f>
        <v>0</v>
      </c>
      <c r="I983" s="2784" t="n">
        <f aca="false">IF(G983&gt;H983,G983,H983)*$H$903</f>
        <v>0</v>
      </c>
      <c r="J983" s="2744"/>
      <c r="K983" s="226" t="n">
        <f aca="false">D983-J983</f>
        <v>0</v>
      </c>
      <c r="L983" s="2736"/>
    </row>
    <row r="984" customFormat="false" ht="15.5" hidden="false" customHeight="false" outlineLevel="0" collapsed="false">
      <c r="A984" s="2719"/>
      <c r="B984" s="87" t="str">
        <f aca="false">перекрытие!A123</f>
        <v>Доска естественной влажности, 150*50мм</v>
      </c>
      <c r="C984" s="88" t="str">
        <f aca="false">перекрытие!B123</f>
        <v>м3</v>
      </c>
      <c r="D984" s="122" t="n">
        <f aca="false">перекрытие!D123</f>
        <v>0</v>
      </c>
      <c r="E984" s="89" t="n">
        <f aca="false">перекрытие!E123</f>
        <v>6500</v>
      </c>
      <c r="F984" s="89"/>
      <c r="G984" s="122" t="n">
        <f aca="false">IF(F984&gt;0,D984*F984,E984*D984)</f>
        <v>0</v>
      </c>
      <c r="H984" s="89" t="n">
        <f aca="false">E984*D984*$H$903</f>
        <v>0</v>
      </c>
      <c r="I984" s="2784" t="n">
        <f aca="false">IF(G984&gt;H984,G984,H984)*$H$903</f>
        <v>0</v>
      </c>
      <c r="J984" s="2744"/>
      <c r="K984" s="226" t="n">
        <f aca="false">D984-J984</f>
        <v>0</v>
      </c>
      <c r="L984" s="2736"/>
    </row>
    <row r="985" customFormat="false" ht="15.5" hidden="false" customHeight="false" outlineLevel="0" collapsed="false">
      <c r="A985" s="2719"/>
      <c r="B985" s="87" t="str">
        <f aca="false">перекрытие!A124</f>
        <v>Опора бруса</v>
      </c>
      <c r="C985" s="88" t="str">
        <f aca="false">перекрытие!B124</f>
        <v>шт</v>
      </c>
      <c r="D985" s="122" t="n">
        <f aca="false">перекрытие!D124</f>
        <v>0</v>
      </c>
      <c r="E985" s="89" t="n">
        <f aca="false">перекрытие!E124</f>
        <v>50</v>
      </c>
      <c r="F985" s="89"/>
      <c r="G985" s="122" t="n">
        <f aca="false">IF(F985&gt;0,D985*F985,E985*D985)</f>
        <v>0</v>
      </c>
      <c r="H985" s="89" t="n">
        <f aca="false">E985*D985*$H$903</f>
        <v>0</v>
      </c>
      <c r="I985" s="2784" t="n">
        <f aca="false">IF(G985&gt;H985,G985,H985)*$H$903</f>
        <v>0</v>
      </c>
      <c r="J985" s="2744"/>
      <c r="K985" s="226" t="n">
        <f aca="false">D985-J985</f>
        <v>0</v>
      </c>
      <c r="L985" s="2736"/>
    </row>
    <row r="986" customFormat="false" ht="15.5" hidden="false" customHeight="false" outlineLevel="0" collapsed="false">
      <c r="A986" s="2719"/>
      <c r="B986" s="87" t="str">
        <f aca="false">перекрытие!A125</f>
        <v>Болты анкерные с гайкой 8,0 x 60</v>
      </c>
      <c r="C986" s="88" t="str">
        <f aca="false">перекрытие!B125</f>
        <v>шт</v>
      </c>
      <c r="D986" s="122" t="n">
        <f aca="false">перекрытие!D125</f>
        <v>0</v>
      </c>
      <c r="E986" s="89" t="n">
        <f aca="false">перекрытие!E125</f>
        <v>4</v>
      </c>
      <c r="F986" s="89"/>
      <c r="G986" s="122" t="n">
        <f aca="false">IF(F986&gt;0,D986*F986,E986*D986)</f>
        <v>0</v>
      </c>
      <c r="H986" s="89" t="n">
        <f aca="false">E986*D986*$H$903</f>
        <v>0</v>
      </c>
      <c r="I986" s="2784" t="n">
        <f aca="false">IF(G986&gt;H986,G986,H986)*$H$903</f>
        <v>0</v>
      </c>
      <c r="J986" s="2744"/>
      <c r="K986" s="226" t="n">
        <f aca="false">D986-J986</f>
        <v>0</v>
      </c>
      <c r="L986" s="2736"/>
    </row>
    <row r="987" customFormat="false" ht="15.5" hidden="false" customHeight="false" outlineLevel="0" collapsed="false">
      <c r="A987" s="2719"/>
      <c r="B987" s="87" t="str">
        <f aca="false">перекрытие!A126</f>
        <v>Sip панель 2500*625*124мм</v>
      </c>
      <c r="C987" s="88" t="str">
        <f aca="false">перекрытие!B126</f>
        <v>м2</v>
      </c>
      <c r="D987" s="122" t="n">
        <f aca="false">перекрытие!D126</f>
        <v>0</v>
      </c>
      <c r="E987" s="89" t="n">
        <f aca="false">перекрытие!E126</f>
        <v>800</v>
      </c>
      <c r="F987" s="89"/>
      <c r="G987" s="122" t="n">
        <f aca="false">IF(F987&gt;0,D987*F987,E987*D987)</f>
        <v>0</v>
      </c>
      <c r="H987" s="89" t="n">
        <f aca="false">E987*D987*$H$903</f>
        <v>0</v>
      </c>
      <c r="I987" s="2784" t="n">
        <f aca="false">IF(G987&gt;H987,G987,H987)*$H$903</f>
        <v>0</v>
      </c>
      <c r="J987" s="2744"/>
      <c r="K987" s="226" t="n">
        <f aca="false">D987-J987</f>
        <v>0</v>
      </c>
      <c r="L987" s="2736"/>
    </row>
    <row r="988" customFormat="false" ht="15.5" hidden="false" customHeight="false" outlineLevel="0" collapsed="false">
      <c r="A988" s="2719"/>
      <c r="B988" s="87" t="str">
        <f aca="false">перекрытие!A127</f>
        <v>Sip панель 2500*625*174мм</v>
      </c>
      <c r="C988" s="88" t="str">
        <f aca="false">перекрытие!B127</f>
        <v>м2</v>
      </c>
      <c r="D988" s="122" t="n">
        <f aca="false">перекрытие!D127</f>
        <v>0</v>
      </c>
      <c r="E988" s="89" t="n">
        <f aca="false">перекрытие!E127</f>
        <v>1200</v>
      </c>
      <c r="F988" s="89"/>
      <c r="G988" s="122" t="n">
        <f aca="false">IF(F988&gt;0,D988*F988,E988*D988)</f>
        <v>0</v>
      </c>
      <c r="H988" s="89" t="n">
        <f aca="false">E988*D988*$H$903</f>
        <v>0</v>
      </c>
      <c r="I988" s="2784" t="n">
        <f aca="false">IF(G988&gt;H988,G988,H988)*$H$903</f>
        <v>0</v>
      </c>
      <c r="J988" s="2744"/>
      <c r="K988" s="226" t="n">
        <f aca="false">D988-J988</f>
        <v>0</v>
      </c>
      <c r="L988" s="2736"/>
    </row>
    <row r="989" customFormat="false" ht="15.5" hidden="false" customHeight="false" outlineLevel="0" collapsed="false">
      <c r="A989" s="2719"/>
      <c r="B989" s="87" t="str">
        <f aca="false">перекрытие!A128</f>
        <v>Sip панель 2500*625*224мм</v>
      </c>
      <c r="C989" s="88" t="str">
        <f aca="false">перекрытие!B128</f>
        <v>м2</v>
      </c>
      <c r="D989" s="122" t="n">
        <f aca="false">перекрытие!D128</f>
        <v>0</v>
      </c>
      <c r="E989" s="89" t="n">
        <f aca="false">перекрытие!E128</f>
        <v>1400</v>
      </c>
      <c r="F989" s="89"/>
      <c r="G989" s="122" t="n">
        <f aca="false">IF(F989&gt;0,D989*F989,E989*D989)</f>
        <v>0</v>
      </c>
      <c r="H989" s="89" t="n">
        <f aca="false">E989*D989*$H$903</f>
        <v>0</v>
      </c>
      <c r="I989" s="2784" t="n">
        <f aca="false">IF(G989&gt;H989,G989,H989)*$H$903</f>
        <v>0</v>
      </c>
      <c r="J989" s="2744"/>
      <c r="K989" s="226" t="n">
        <f aca="false">D989-J989</f>
        <v>0</v>
      </c>
      <c r="L989" s="2736"/>
    </row>
    <row r="990" customFormat="false" ht="15.5" hidden="false" customHeight="false" outlineLevel="0" collapsed="false">
      <c r="A990" s="2719"/>
      <c r="B990" s="87" t="str">
        <f aca="false">перекрытие!A129</f>
        <v>Доска сухая, 100*50мм</v>
      </c>
      <c r="C990" s="88" t="str">
        <f aca="false">перекрытие!B129</f>
        <v>м.п.</v>
      </c>
      <c r="D990" s="122" t="n">
        <f aca="false">перекрытие!D129</f>
        <v>0</v>
      </c>
      <c r="E990" s="89" t="n">
        <f aca="false">перекрытие!E129</f>
        <v>45</v>
      </c>
      <c r="F990" s="89"/>
      <c r="G990" s="122" t="n">
        <f aca="false">IF(F990&gt;0,D990*F990,E990*D990)</f>
        <v>0</v>
      </c>
      <c r="H990" s="89" t="n">
        <f aca="false">E990*D990*$H$903</f>
        <v>0</v>
      </c>
      <c r="I990" s="2784" t="n">
        <f aca="false">IF(G990&gt;H990,G990,H990)*$H$903</f>
        <v>0</v>
      </c>
      <c r="J990" s="2744"/>
      <c r="K990" s="226" t="n">
        <f aca="false">D990-J990</f>
        <v>0</v>
      </c>
      <c r="L990" s="2736"/>
    </row>
    <row r="991" customFormat="false" ht="15.5" hidden="false" customHeight="false" outlineLevel="0" collapsed="false">
      <c r="A991" s="2719"/>
      <c r="B991" s="87" t="str">
        <f aca="false">перекрытие!A130</f>
        <v>Доска сухая, 150*50мм</v>
      </c>
      <c r="C991" s="88" t="str">
        <f aca="false">перекрытие!B130</f>
        <v>м.п.</v>
      </c>
      <c r="D991" s="122" t="n">
        <f aca="false">перекрытие!D130</f>
        <v>0</v>
      </c>
      <c r="E991" s="89" t="n">
        <f aca="false">перекрытие!E130</f>
        <v>67.5</v>
      </c>
      <c r="F991" s="89"/>
      <c r="G991" s="122" t="n">
        <f aca="false">IF(F991&gt;0,D991*F991,E991*D991)</f>
        <v>0</v>
      </c>
      <c r="H991" s="89" t="n">
        <f aca="false">E991*D991*$H$903</f>
        <v>0</v>
      </c>
      <c r="I991" s="2784" t="n">
        <f aca="false">IF(G991&gt;H991,G991,H991)*$H$903</f>
        <v>0</v>
      </c>
      <c r="J991" s="2744"/>
      <c r="K991" s="226" t="n">
        <f aca="false">D991-J991</f>
        <v>0</v>
      </c>
      <c r="L991" s="2736"/>
    </row>
    <row r="992" customFormat="false" ht="15.5" hidden="false" customHeight="false" outlineLevel="0" collapsed="false">
      <c r="A992" s="2719"/>
      <c r="B992" s="87" t="str">
        <f aca="false">перекрытие!A131</f>
        <v>Доска сухая, 200*50мм</v>
      </c>
      <c r="C992" s="88" t="str">
        <f aca="false">перекрытие!B131</f>
        <v>м.п.</v>
      </c>
      <c r="D992" s="122" t="n">
        <f aca="false">перекрытие!D131</f>
        <v>0</v>
      </c>
      <c r="E992" s="89" t="n">
        <f aca="false">перекрытие!E131</f>
        <v>90</v>
      </c>
      <c r="F992" s="89"/>
      <c r="G992" s="122" t="n">
        <f aca="false">IF(F992&gt;0,D992*F992,E992*D992)</f>
        <v>0</v>
      </c>
      <c r="H992" s="89" t="n">
        <f aca="false">E992*D992*$H$903</f>
        <v>0</v>
      </c>
      <c r="I992" s="2784" t="n">
        <f aca="false">IF(G992&gt;H992,G992,H992)*$H$903</f>
        <v>0</v>
      </c>
      <c r="J992" s="2744"/>
      <c r="K992" s="226" t="n">
        <f aca="false">D992-J992</f>
        <v>0</v>
      </c>
      <c r="L992" s="2736"/>
    </row>
    <row r="993" customFormat="false" ht="15.5" hidden="false" customHeight="false" outlineLevel="0" collapsed="false">
      <c r="A993" s="2719"/>
      <c r="B993" s="87" t="str">
        <f aca="false">перекрытие!A132</f>
        <v>Пена монтажная, всесезонняя 800мл</v>
      </c>
      <c r="C993" s="88" t="str">
        <f aca="false">перекрытие!B132</f>
        <v>шт</v>
      </c>
      <c r="D993" s="122" t="n">
        <f aca="false">перекрытие!D132</f>
        <v>0</v>
      </c>
      <c r="E993" s="89" t="n">
        <f aca="false">перекрытие!E132</f>
        <v>300</v>
      </c>
      <c r="F993" s="89"/>
      <c r="G993" s="122" t="n">
        <f aca="false">IF(F993&gt;0,D993*F993,E993*D993)</f>
        <v>0</v>
      </c>
      <c r="H993" s="89" t="n">
        <f aca="false">E993*D993*$H$903</f>
        <v>0</v>
      </c>
      <c r="I993" s="2784" t="n">
        <f aca="false">IF(G993&gt;H993,G993,H993)*$H$903</f>
        <v>0</v>
      </c>
      <c r="J993" s="2744"/>
      <c r="K993" s="226" t="n">
        <f aca="false">D993-J993</f>
        <v>0</v>
      </c>
      <c r="L993" s="2736"/>
    </row>
    <row r="994" customFormat="false" ht="15.5" hidden="false" customHeight="false" outlineLevel="0" collapsed="false">
      <c r="A994" s="2719"/>
      <c r="B994" s="87" t="str">
        <f aca="false">перекрытие!A133</f>
        <v>Гвозди строительные 3,5 x 90</v>
      </c>
      <c r="C994" s="88" t="str">
        <f aca="false">перекрытие!B133</f>
        <v>шт</v>
      </c>
      <c r="D994" s="122" t="n">
        <f aca="false">перекрытие!D133</f>
        <v>0</v>
      </c>
      <c r="E994" s="89" t="n">
        <f aca="false">перекрытие!E133</f>
        <v>45</v>
      </c>
      <c r="F994" s="89"/>
      <c r="G994" s="122" t="n">
        <f aca="false">IF(F994&gt;0,D994*F994,E994*D994)</f>
        <v>0</v>
      </c>
      <c r="H994" s="89" t="n">
        <f aca="false">E994*D994*$H$903</f>
        <v>0</v>
      </c>
      <c r="I994" s="2784" t="n">
        <f aca="false">IF(G994&gt;H994,G994,H994)*$H$903</f>
        <v>0</v>
      </c>
      <c r="J994" s="2744"/>
      <c r="K994" s="226" t="n">
        <f aca="false">D994-J994</f>
        <v>0</v>
      </c>
      <c r="L994" s="2736"/>
    </row>
    <row r="995" customFormat="false" ht="15.5" hidden="false" customHeight="false" outlineLevel="0" collapsed="false">
      <c r="A995" s="2719"/>
      <c r="B995" s="87" t="str">
        <f aca="false">перекрытие!A134</f>
        <v>Саморезы 3,5 x 45</v>
      </c>
      <c r="C995" s="88" t="str">
        <f aca="false">перекрытие!B134</f>
        <v>шт</v>
      </c>
      <c r="D995" s="122" t="n">
        <f aca="false">перекрытие!D134</f>
        <v>0</v>
      </c>
      <c r="E995" s="89" t="n">
        <f aca="false">перекрытие!E134</f>
        <v>0.25</v>
      </c>
      <c r="F995" s="89"/>
      <c r="G995" s="122" t="n">
        <f aca="false">IF(F995&gt;0,D995*F995,E995*D995)</f>
        <v>0</v>
      </c>
      <c r="H995" s="89" t="n">
        <f aca="false">E995*D995*$H$903</f>
        <v>0</v>
      </c>
      <c r="I995" s="2784" t="n">
        <f aca="false">IF(G995&gt;H995,G995,H995)*$H$903</f>
        <v>0</v>
      </c>
      <c r="J995" s="2744"/>
      <c r="K995" s="226" t="n">
        <f aca="false">D995-J995</f>
        <v>0</v>
      </c>
      <c r="L995" s="2736"/>
    </row>
    <row r="996" customFormat="false" ht="15.5" hidden="false" customHeight="false" outlineLevel="0" collapsed="false">
      <c r="A996" s="2719"/>
      <c r="B996" s="87" t="str">
        <f aca="false">перекрытие!A135</f>
        <v>Доска сухая, 200*50мм</v>
      </c>
      <c r="C996" s="88" t="str">
        <f aca="false">перекрытие!B135</f>
        <v>м3</v>
      </c>
      <c r="D996" s="122" t="n">
        <f aca="false">перекрытие!D135</f>
        <v>0</v>
      </c>
      <c r="E996" s="89" t="n">
        <f aca="false">перекрытие!E135</f>
        <v>9000</v>
      </c>
      <c r="F996" s="89"/>
      <c r="G996" s="122" t="n">
        <f aca="false">IF(F996&gt;0,D996*F996,E996*D996)</f>
        <v>0</v>
      </c>
      <c r="H996" s="89" t="n">
        <f aca="false">E996*D996*$H$903</f>
        <v>0</v>
      </c>
      <c r="I996" s="2784" t="n">
        <f aca="false">IF(G996&gt;H996,G996,H996)*$H$903</f>
        <v>0</v>
      </c>
      <c r="J996" s="2744"/>
      <c r="K996" s="226" t="n">
        <f aca="false">D996-J996</f>
        <v>0</v>
      </c>
      <c r="L996" s="2736"/>
    </row>
    <row r="997" customFormat="false" ht="15.5" hidden="false" customHeight="false" outlineLevel="0" collapsed="false">
      <c r="A997" s="2719"/>
      <c r="B997" s="87" t="str">
        <f aca="false">перекрытие!A136</f>
        <v>Доска сухая, 150*50мм</v>
      </c>
      <c r="C997" s="88" t="str">
        <f aca="false">перекрытие!B136</f>
        <v>м3</v>
      </c>
      <c r="D997" s="122" t="n">
        <f aca="false">перекрытие!D136</f>
        <v>0</v>
      </c>
      <c r="E997" s="89" t="n">
        <f aca="false">перекрытие!E136</f>
        <v>9000</v>
      </c>
      <c r="F997" s="89"/>
      <c r="G997" s="122" t="n">
        <f aca="false">IF(F997&gt;0,D997*F997,E997*D997)</f>
        <v>0</v>
      </c>
      <c r="H997" s="89" t="n">
        <f aca="false">E997*D997*$H$903</f>
        <v>0</v>
      </c>
      <c r="I997" s="2784" t="n">
        <f aca="false">IF(G997&gt;H997,G997,H997)*$H$903</f>
        <v>0</v>
      </c>
      <c r="J997" s="2744"/>
      <c r="K997" s="226" t="n">
        <f aca="false">D997-J997</f>
        <v>0</v>
      </c>
      <c r="L997" s="2736"/>
    </row>
    <row r="998" customFormat="false" ht="15.5" hidden="false" customHeight="false" outlineLevel="0" collapsed="false">
      <c r="A998" s="2719"/>
      <c r="B998" s="87" t="str">
        <f aca="false">перекрытие!A137</f>
        <v>Гвозди ершоные 2,8 х 90</v>
      </c>
      <c r="C998" s="88" t="str">
        <f aca="false">перекрытие!B137</f>
        <v>кг</v>
      </c>
      <c r="D998" s="122" t="n">
        <f aca="false">перекрытие!D137</f>
        <v>0</v>
      </c>
      <c r="E998" s="89" t="n">
        <f aca="false">перекрытие!E137</f>
        <v>76.49</v>
      </c>
      <c r="F998" s="89"/>
      <c r="G998" s="122" t="n">
        <f aca="false">IF(F998&gt;0,D998*F998,E998*D998)</f>
        <v>0</v>
      </c>
      <c r="H998" s="89" t="n">
        <f aca="false">E998*D998*$H$903</f>
        <v>0</v>
      </c>
      <c r="I998" s="2784" t="n">
        <f aca="false">IF(G998&gt;H998,G998,H998)*$H$903</f>
        <v>0</v>
      </c>
      <c r="J998" s="2744"/>
      <c r="K998" s="226" t="n">
        <f aca="false">D998-J998</f>
        <v>0</v>
      </c>
      <c r="L998" s="2736"/>
    </row>
    <row r="999" customFormat="false" ht="15.5" hidden="false" customHeight="false" outlineLevel="0" collapsed="false">
      <c r="A999" s="2719"/>
      <c r="B999" s="87" t="str">
        <f aca="false">перекрытие!A138</f>
        <v>Доска сухая калиброванная, 190*45мм</v>
      </c>
      <c r="C999" s="88" t="str">
        <f aca="false">перекрытие!B138</f>
        <v>м3</v>
      </c>
      <c r="D999" s="122" t="n">
        <f aca="false">перекрытие!D138</f>
        <v>0</v>
      </c>
      <c r="E999" s="89" t="n">
        <f aca="false">перекрытие!E138</f>
        <v>12500</v>
      </c>
      <c r="F999" s="89"/>
      <c r="G999" s="122" t="n">
        <f aca="false">IF(F999&gt;0,D999*F999,E999*D999)</f>
        <v>0</v>
      </c>
      <c r="H999" s="89" t="n">
        <f aca="false">E999*D999*$H$903</f>
        <v>0</v>
      </c>
      <c r="I999" s="2784" t="n">
        <f aca="false">IF(G999&gt;H999,G999,H999)*$H$903</f>
        <v>0</v>
      </c>
      <c r="J999" s="2744"/>
      <c r="K999" s="226" t="n">
        <f aca="false">D999-J999</f>
        <v>0</v>
      </c>
      <c r="L999" s="2736"/>
    </row>
    <row r="1000" customFormat="false" ht="15.5" hidden="false" customHeight="false" outlineLevel="0" collapsed="false">
      <c r="A1000" s="2719"/>
      <c r="B1000" s="87" t="str">
        <f aca="false">перекрытие!A139</f>
        <v>Доска сухая калиброванная, 145*45мм</v>
      </c>
      <c r="C1000" s="88" t="str">
        <f aca="false">перекрытие!B139</f>
        <v>м3</v>
      </c>
      <c r="D1000" s="122" t="n">
        <f aca="false">перекрытие!D139</f>
        <v>0</v>
      </c>
      <c r="E1000" s="89" t="n">
        <f aca="false">перекрытие!E139</f>
        <v>12500</v>
      </c>
      <c r="F1000" s="89"/>
      <c r="G1000" s="122" t="n">
        <f aca="false">IF(F1000&gt;0,D1000*F1000,E1000*D1000)</f>
        <v>0</v>
      </c>
      <c r="H1000" s="89" t="n">
        <f aca="false">E1000*D1000*$H$903</f>
        <v>0</v>
      </c>
      <c r="I1000" s="2784" t="n">
        <f aca="false">IF(G1000&gt;H1000,G1000,H1000)*$H$903</f>
        <v>0</v>
      </c>
      <c r="J1000" s="2744"/>
      <c r="K1000" s="226" t="n">
        <f aca="false">D1000-J1000</f>
        <v>0</v>
      </c>
      <c r="L1000" s="2736"/>
    </row>
    <row r="1001" customFormat="false" ht="15.5" hidden="false" customHeight="false" outlineLevel="0" collapsed="false">
      <c r="A1001" s="2719"/>
      <c r="B1001" s="87" t="str">
        <f aca="false">перекрытие!A140</f>
        <v>Гвозди ершоные 2,8 х 90</v>
      </c>
      <c r="C1001" s="88" t="str">
        <f aca="false">перекрытие!B140</f>
        <v>кг</v>
      </c>
      <c r="D1001" s="122" t="n">
        <f aca="false">перекрытие!D140</f>
        <v>0</v>
      </c>
      <c r="E1001" s="89" t="n">
        <f aca="false">перекрытие!E140</f>
        <v>76.49</v>
      </c>
      <c r="F1001" s="89"/>
      <c r="G1001" s="122" t="n">
        <f aca="false">IF(F1001&gt;0,D1001*F1001,E1001*D1001)</f>
        <v>0</v>
      </c>
      <c r="H1001" s="89" t="n">
        <f aca="false">E1001*D1001*$H$903</f>
        <v>0</v>
      </c>
      <c r="I1001" s="2784" t="n">
        <f aca="false">IF(G1001&gt;H1001,G1001,H1001)*$H$903</f>
        <v>0</v>
      </c>
      <c r="J1001" s="2744"/>
      <c r="K1001" s="226" t="n">
        <f aca="false">D1001-J1001</f>
        <v>0</v>
      </c>
      <c r="L1001" s="2736"/>
    </row>
    <row r="1002" customFormat="false" ht="15.5" hidden="false" customHeight="false" outlineLevel="0" collapsed="false">
      <c r="A1002" s="2719"/>
      <c r="B1002" s="87" t="str">
        <f aca="false">перекрытие!A141</f>
        <v>Двутавровая деревянная балка, 400*65мм</v>
      </c>
      <c r="C1002" s="88" t="str">
        <f aca="false">перекрытие!B141</f>
        <v>м.п.</v>
      </c>
      <c r="D1002" s="122" t="n">
        <f aca="false">перекрытие!D141</f>
        <v>0</v>
      </c>
      <c r="E1002" s="89" t="n">
        <f aca="false">перекрытие!E141</f>
        <v>303</v>
      </c>
      <c r="F1002" s="89"/>
      <c r="G1002" s="122" t="n">
        <f aca="false">IF(F1002&gt;0,D1002*F1002,E1002*D1002)</f>
        <v>0</v>
      </c>
      <c r="H1002" s="89" t="n">
        <f aca="false">E1002*D1002*$H$903</f>
        <v>0</v>
      </c>
      <c r="I1002" s="2784" t="n">
        <f aca="false">IF(G1002&gt;H1002,G1002,H1002)*$H$903</f>
        <v>0</v>
      </c>
      <c r="J1002" s="2744"/>
      <c r="K1002" s="226" t="n">
        <f aca="false">D1002-J1002</f>
        <v>0</v>
      </c>
      <c r="L1002" s="2736"/>
    </row>
    <row r="1003" customFormat="false" ht="15.5" hidden="false" customHeight="false" outlineLevel="0" collapsed="false">
      <c r="A1003" s="2719"/>
      <c r="B1003" s="87" t="str">
        <f aca="false">перекрытие!A142</f>
        <v>Двутавровая деревянная балка, 400*90мм</v>
      </c>
      <c r="C1003" s="88" t="str">
        <f aca="false">перекрытие!B142</f>
        <v>м.п.</v>
      </c>
      <c r="D1003" s="122" t="n">
        <f aca="false">перекрытие!D142</f>
        <v>0</v>
      </c>
      <c r="E1003" s="89" t="n">
        <f aca="false">перекрытие!E142</f>
        <v>355</v>
      </c>
      <c r="F1003" s="89"/>
      <c r="G1003" s="122" t="n">
        <f aca="false">IF(F1003&gt;0,D1003*F1003,E1003*D1003)</f>
        <v>0</v>
      </c>
      <c r="H1003" s="89" t="n">
        <f aca="false">E1003*D1003*$H$903</f>
        <v>0</v>
      </c>
      <c r="I1003" s="2784" t="n">
        <f aca="false">IF(G1003&gt;H1003,G1003,H1003)*$H$903</f>
        <v>0</v>
      </c>
      <c r="J1003" s="2744"/>
      <c r="K1003" s="226" t="n">
        <f aca="false">D1003-J1003</f>
        <v>0</v>
      </c>
      <c r="L1003" s="2736"/>
    </row>
    <row r="1004" customFormat="false" ht="15.5" hidden="false" customHeight="false" outlineLevel="0" collapsed="false">
      <c r="A1004" s="2719"/>
      <c r="B1004" s="87" t="str">
        <f aca="false">перекрытие!A143</f>
        <v>Двутавровая деревянная балка, 350*65мм</v>
      </c>
      <c r="C1004" s="88" t="str">
        <f aca="false">перекрытие!B143</f>
        <v>м.п.</v>
      </c>
      <c r="D1004" s="122" t="n">
        <f aca="false">перекрытие!D143</f>
        <v>0</v>
      </c>
      <c r="E1004" s="89" t="n">
        <f aca="false">перекрытие!E143</f>
        <v>287</v>
      </c>
      <c r="F1004" s="89"/>
      <c r="G1004" s="122" t="n">
        <f aca="false">IF(F1004&gt;0,D1004*F1004,E1004*D1004)</f>
        <v>0</v>
      </c>
      <c r="H1004" s="89" t="n">
        <f aca="false">E1004*D1004*$H$903</f>
        <v>0</v>
      </c>
      <c r="I1004" s="2784" t="n">
        <f aca="false">IF(G1004&gt;H1004,G1004,H1004)*$H$903</f>
        <v>0</v>
      </c>
      <c r="J1004" s="2744"/>
      <c r="K1004" s="226" t="n">
        <f aca="false">D1004-J1004</f>
        <v>0</v>
      </c>
      <c r="L1004" s="2736"/>
    </row>
    <row r="1005" customFormat="false" ht="15.5" hidden="false" customHeight="false" outlineLevel="0" collapsed="false">
      <c r="A1005" s="2719"/>
      <c r="B1005" s="87" t="str">
        <f aca="false">перекрытие!A144</f>
        <v>Двутавровая деревянная балка, 350*90мм</v>
      </c>
      <c r="C1005" s="88" t="str">
        <f aca="false">перекрытие!B144</f>
        <v>м.п.</v>
      </c>
      <c r="D1005" s="122" t="n">
        <f aca="false">перекрытие!D144</f>
        <v>0</v>
      </c>
      <c r="E1005" s="89" t="n">
        <f aca="false">перекрытие!E144</f>
        <v>315</v>
      </c>
      <c r="F1005" s="89"/>
      <c r="G1005" s="122" t="n">
        <f aca="false">IF(F1005&gt;0,D1005*F1005,E1005*D1005)</f>
        <v>0</v>
      </c>
      <c r="H1005" s="89" t="n">
        <f aca="false">E1005*D1005*$H$903</f>
        <v>0</v>
      </c>
      <c r="I1005" s="2784" t="n">
        <f aca="false">IF(G1005&gt;H1005,G1005,H1005)*$H$903</f>
        <v>0</v>
      </c>
      <c r="J1005" s="2744"/>
      <c r="K1005" s="226" t="n">
        <f aca="false">D1005-J1005</f>
        <v>0</v>
      </c>
      <c r="L1005" s="2736"/>
    </row>
    <row r="1006" customFormat="false" ht="15.5" hidden="false" customHeight="false" outlineLevel="0" collapsed="false">
      <c r="A1006" s="2719"/>
      <c r="B1006" s="87" t="str">
        <f aca="false">перекрытие!A145</f>
        <v>Двутавровая деревянная балка, 300*65мм</v>
      </c>
      <c r="C1006" s="88" t="str">
        <f aca="false">перекрытие!B145</f>
        <v>м.п.</v>
      </c>
      <c r="D1006" s="122" t="n">
        <f aca="false">перекрытие!D145</f>
        <v>0</v>
      </c>
      <c r="E1006" s="89" t="n">
        <f aca="false">перекрытие!E145</f>
        <v>273</v>
      </c>
      <c r="F1006" s="89"/>
      <c r="G1006" s="122" t="n">
        <f aca="false">IF(F1006&gt;0,D1006*F1006,E1006*D1006)</f>
        <v>0</v>
      </c>
      <c r="H1006" s="89" t="n">
        <f aca="false">E1006*D1006*$H$903</f>
        <v>0</v>
      </c>
      <c r="I1006" s="2784" t="n">
        <f aca="false">IF(G1006&gt;H1006,G1006,H1006)*$H$903</f>
        <v>0</v>
      </c>
      <c r="J1006" s="2744"/>
      <c r="K1006" s="226" t="n">
        <f aca="false">D1006-J1006</f>
        <v>0</v>
      </c>
      <c r="L1006" s="2736"/>
    </row>
    <row r="1007" customFormat="false" ht="15.5" hidden="false" customHeight="false" outlineLevel="0" collapsed="false">
      <c r="A1007" s="2719"/>
      <c r="B1007" s="87" t="str">
        <f aca="false">перекрытие!A146</f>
        <v>Двутавровая деревянная балка, 300*90мм</v>
      </c>
      <c r="C1007" s="88" t="str">
        <f aca="false">перекрытие!B146</f>
        <v>м.п.</v>
      </c>
      <c r="D1007" s="122" t="n">
        <f aca="false">перекрытие!D146</f>
        <v>0</v>
      </c>
      <c r="E1007" s="89" t="n">
        <f aca="false">перекрытие!E146</f>
        <v>315</v>
      </c>
      <c r="F1007" s="89"/>
      <c r="G1007" s="122" t="n">
        <f aca="false">IF(F1007&gt;0,D1007*F1007,E1007*D1007)</f>
        <v>0</v>
      </c>
      <c r="H1007" s="89" t="n">
        <f aca="false">E1007*D1007*$H$903</f>
        <v>0</v>
      </c>
      <c r="I1007" s="2784" t="n">
        <f aca="false">IF(G1007&gt;H1007,G1007,H1007)*$H$903</f>
        <v>0</v>
      </c>
      <c r="J1007" s="2744"/>
      <c r="K1007" s="226" t="n">
        <f aca="false">D1007-J1007</f>
        <v>0</v>
      </c>
      <c r="L1007" s="2736"/>
    </row>
    <row r="1008" customFormat="false" ht="15.5" hidden="false" customHeight="false" outlineLevel="0" collapsed="false">
      <c r="A1008" s="2719"/>
      <c r="B1008" s="87" t="str">
        <f aca="false">перекрытие!A147</f>
        <v>Двутавровая деревянная балка, 240*65мм</v>
      </c>
      <c r="C1008" s="88" t="str">
        <f aca="false">перекрытие!B147</f>
        <v>м.п.</v>
      </c>
      <c r="D1008" s="122" t="n">
        <f aca="false">перекрытие!D147</f>
        <v>0</v>
      </c>
      <c r="E1008" s="89" t="n">
        <f aca="false">перекрытие!E147</f>
        <v>263</v>
      </c>
      <c r="F1008" s="89"/>
      <c r="G1008" s="122" t="n">
        <f aca="false">IF(F1008&gt;0,D1008*F1008,E1008*D1008)</f>
        <v>0</v>
      </c>
      <c r="H1008" s="89" t="n">
        <f aca="false">E1008*D1008*$H$903</f>
        <v>0</v>
      </c>
      <c r="I1008" s="2784" t="n">
        <f aca="false">IF(G1008&gt;H1008,G1008,H1008)*$H$903</f>
        <v>0</v>
      </c>
      <c r="J1008" s="2744"/>
      <c r="K1008" s="226" t="n">
        <f aca="false">D1008-J1008</f>
        <v>0</v>
      </c>
      <c r="L1008" s="2736"/>
    </row>
    <row r="1009" customFormat="false" ht="15.5" hidden="false" customHeight="false" outlineLevel="0" collapsed="false">
      <c r="A1009" s="2719"/>
      <c r="B1009" s="87" t="str">
        <f aca="false">перекрытие!A148</f>
        <v>Двутавровая деревянная балка, 240*90мм</v>
      </c>
      <c r="C1009" s="88" t="str">
        <f aca="false">перекрытие!B148</f>
        <v>м.п.</v>
      </c>
      <c r="D1009" s="122" t="n">
        <f aca="false">перекрытие!D148</f>
        <v>0</v>
      </c>
      <c r="E1009" s="89" t="n">
        <f aca="false">перекрытие!E148</f>
        <v>291</v>
      </c>
      <c r="F1009" s="89"/>
      <c r="G1009" s="122" t="n">
        <f aca="false">IF(F1009&gt;0,D1009*F1009,E1009*D1009)</f>
        <v>0</v>
      </c>
      <c r="H1009" s="89" t="n">
        <f aca="false">E1009*D1009*$H$903</f>
        <v>0</v>
      </c>
      <c r="I1009" s="2784" t="n">
        <f aca="false">IF(G1009&gt;H1009,G1009,H1009)*$H$903</f>
        <v>0</v>
      </c>
      <c r="J1009" s="2744"/>
      <c r="K1009" s="226" t="n">
        <f aca="false">D1009-J1009</f>
        <v>0</v>
      </c>
      <c r="L1009" s="2736"/>
    </row>
    <row r="1010" customFormat="false" ht="15.5" hidden="false" customHeight="false" outlineLevel="0" collapsed="false">
      <c r="A1010" s="2719"/>
      <c r="B1010" s="87" t="str">
        <f aca="false">перекрытие!A149</f>
        <v>Двутавровая деревянная балка, 200*65мм</v>
      </c>
      <c r="C1010" s="88" t="str">
        <f aca="false">перекрытие!B149</f>
        <v>м.п.</v>
      </c>
      <c r="D1010" s="122" t="n">
        <f aca="false">перекрытие!D149</f>
        <v>0</v>
      </c>
      <c r="E1010" s="89" t="n">
        <f aca="false">перекрытие!E149</f>
        <v>250</v>
      </c>
      <c r="F1010" s="89"/>
      <c r="G1010" s="122" t="n">
        <f aca="false">IF(F1010&gt;0,D1010*F1010,E1010*D1010)</f>
        <v>0</v>
      </c>
      <c r="H1010" s="89" t="n">
        <f aca="false">E1010*D1010*$H$903</f>
        <v>0</v>
      </c>
      <c r="I1010" s="2784" t="n">
        <f aca="false">IF(G1010&gt;H1010,G1010,H1010)*$H$903</f>
        <v>0</v>
      </c>
      <c r="J1010" s="2744"/>
      <c r="K1010" s="226" t="n">
        <f aca="false">D1010-J1010</f>
        <v>0</v>
      </c>
      <c r="L1010" s="2736"/>
    </row>
    <row r="1011" customFormat="false" ht="15.5" hidden="false" customHeight="false" outlineLevel="0" collapsed="false">
      <c r="A1011" s="2719"/>
      <c r="B1011" s="87" t="str">
        <f aca="false">перекрытие!A150</f>
        <v>Двутавровая деревянная балка, 200*90мм</v>
      </c>
      <c r="C1011" s="88" t="str">
        <f aca="false">перекрытие!B150</f>
        <v>м.п.</v>
      </c>
      <c r="D1011" s="122" t="n">
        <f aca="false">перекрытие!D150</f>
        <v>0</v>
      </c>
      <c r="E1011" s="89" t="n">
        <f aca="false">перекрытие!E150</f>
        <v>280</v>
      </c>
      <c r="F1011" s="89"/>
      <c r="G1011" s="122" t="n">
        <f aca="false">IF(F1011&gt;0,D1011*F1011,E1011*D1011)</f>
        <v>0</v>
      </c>
      <c r="H1011" s="89" t="n">
        <f aca="false">E1011*D1011*$H$903</f>
        <v>0</v>
      </c>
      <c r="I1011" s="2784" t="n">
        <f aca="false">IF(G1011&gt;H1011,G1011,H1011)*$H$903</f>
        <v>0</v>
      </c>
      <c r="J1011" s="2744"/>
      <c r="K1011" s="226" t="n">
        <f aca="false">D1011-J1011</f>
        <v>0</v>
      </c>
      <c r="L1011" s="2736"/>
    </row>
    <row r="1012" customFormat="false" ht="15.5" hidden="false" customHeight="false" outlineLevel="0" collapsed="false">
      <c r="A1012" s="2719"/>
      <c r="B1012" s="87" t="str">
        <f aca="false">перекрытие!A151</f>
        <v>Двутавровая деревянная балка, 150*65мм</v>
      </c>
      <c r="C1012" s="88" t="str">
        <f aca="false">перекрытие!B151</f>
        <v>м.п.</v>
      </c>
      <c r="D1012" s="122" t="n">
        <f aca="false">перекрытие!D151</f>
        <v>0</v>
      </c>
      <c r="E1012" s="89" t="n">
        <f aca="false">перекрытие!E151</f>
        <v>220</v>
      </c>
      <c r="F1012" s="89"/>
      <c r="G1012" s="122" t="n">
        <f aca="false">IF(F1012&gt;0,D1012*F1012,E1012*D1012)</f>
        <v>0</v>
      </c>
      <c r="H1012" s="89" t="n">
        <f aca="false">E1012*D1012*$H$903</f>
        <v>0</v>
      </c>
      <c r="I1012" s="2784" t="n">
        <f aca="false">IF(G1012&gt;H1012,G1012,H1012)*$H$903</f>
        <v>0</v>
      </c>
      <c r="J1012" s="2744"/>
      <c r="K1012" s="226" t="n">
        <f aca="false">D1012-J1012</f>
        <v>0</v>
      </c>
      <c r="L1012" s="2736"/>
    </row>
    <row r="1013" customFormat="false" ht="15.5" hidden="false" customHeight="false" outlineLevel="0" collapsed="false">
      <c r="A1013" s="2719"/>
      <c r="B1013" s="87" t="str">
        <f aca="false">перекрытие!A152</f>
        <v>Двутавровая деревянная балка, 150*90мм</v>
      </c>
      <c r="C1013" s="88" t="str">
        <f aca="false">перекрытие!B152</f>
        <v>м.п.</v>
      </c>
      <c r="D1013" s="122" t="n">
        <f aca="false">перекрытие!D152</f>
        <v>0</v>
      </c>
      <c r="E1013" s="89" t="n">
        <f aca="false">перекрытие!E152</f>
        <v>250</v>
      </c>
      <c r="F1013" s="89"/>
      <c r="G1013" s="122" t="n">
        <f aca="false">IF(F1013&gt;0,D1013*F1013,E1013*D1013)</f>
        <v>0</v>
      </c>
      <c r="H1013" s="89" t="n">
        <f aca="false">E1013*D1013*$H$903</f>
        <v>0</v>
      </c>
      <c r="I1013" s="2784" t="n">
        <f aca="false">IF(G1013&gt;H1013,G1013,H1013)*$H$903</f>
        <v>0</v>
      </c>
      <c r="J1013" s="2744"/>
      <c r="K1013" s="226" t="n">
        <f aca="false">D1013-J1013</f>
        <v>0</v>
      </c>
      <c r="L1013" s="2736"/>
    </row>
    <row r="1014" customFormat="false" ht="15.5" hidden="false" customHeight="false" outlineLevel="0" collapsed="false">
      <c r="A1014" s="2719"/>
      <c r="B1014" s="87" t="str">
        <f aca="false">перекрытие!A153</f>
        <v>Уголок усиленный 90х70х55х2,5</v>
      </c>
      <c r="C1014" s="88" t="str">
        <f aca="false">перекрытие!B153</f>
        <v>шт</v>
      </c>
      <c r="D1014" s="122" t="n">
        <f aca="false">перекрытие!D153</f>
        <v>0</v>
      </c>
      <c r="E1014" s="89" t="n">
        <f aca="false">перекрытие!E153</f>
        <v>30</v>
      </c>
      <c r="F1014" s="89"/>
      <c r="G1014" s="122" t="n">
        <f aca="false">IF(F1014&gt;0,D1014*F1014,E1014*D1014)</f>
        <v>0</v>
      </c>
      <c r="H1014" s="89" t="n">
        <f aca="false">E1014*D1014*$H$903</f>
        <v>0</v>
      </c>
      <c r="I1014" s="2784" t="n">
        <f aca="false">IF(G1014&gt;H1014,G1014,H1014)*$H$903</f>
        <v>0</v>
      </c>
      <c r="J1014" s="2744"/>
      <c r="K1014" s="226" t="n">
        <f aca="false">D1014-J1014</f>
        <v>0</v>
      </c>
      <c r="L1014" s="2736"/>
    </row>
    <row r="1015" customFormat="false" ht="15.5" hidden="false" customHeight="false" outlineLevel="0" collapsed="false">
      <c r="A1015" s="2719"/>
      <c r="B1015" s="87" t="str">
        <f aca="false">перекрытие!A154</f>
        <v>Саморезы 3,5 x 55</v>
      </c>
      <c r="C1015" s="88" t="str">
        <f aca="false">перекрытие!B154</f>
        <v>шт</v>
      </c>
      <c r="D1015" s="122" t="n">
        <f aca="false">перекрытие!D154</f>
        <v>0</v>
      </c>
      <c r="E1015" s="89" t="n">
        <f aca="false">перекрытие!E154</f>
        <v>0.3</v>
      </c>
      <c r="F1015" s="89"/>
      <c r="G1015" s="122" t="n">
        <f aca="false">IF(F1015&gt;0,D1015*F1015,E1015*D1015)</f>
        <v>0</v>
      </c>
      <c r="H1015" s="89" t="n">
        <f aca="false">E1015*D1015*$H$903</f>
        <v>0</v>
      </c>
      <c r="I1015" s="2784" t="n">
        <f aca="false">IF(G1015&gt;H1015,G1015,H1015)*$H$903</f>
        <v>0</v>
      </c>
      <c r="J1015" s="2744"/>
      <c r="K1015" s="226" t="n">
        <f aca="false">D1015-J1015</f>
        <v>0</v>
      </c>
      <c r="L1015" s="2736"/>
    </row>
    <row r="1016" customFormat="false" ht="15.5" hidden="false" customHeight="false" outlineLevel="0" collapsed="false">
      <c r="A1016" s="2719"/>
      <c r="B1016" s="87" t="str">
        <f aca="false">перекрытие!A155</f>
        <v>Пенопласт ПСБ-С-35, 100мм</v>
      </c>
      <c r="C1016" s="88" t="str">
        <f aca="false">перекрытие!B155</f>
        <v>м3</v>
      </c>
      <c r="D1016" s="122" t="n">
        <f aca="false">перекрытие!D155</f>
        <v>10</v>
      </c>
      <c r="E1016" s="89" t="n">
        <f aca="false">перекрытие!E155</f>
        <v>3400</v>
      </c>
      <c r="F1016" s="89"/>
      <c r="G1016" s="122" t="n">
        <f aca="false">IF(F1016&gt;0,D1016*F1016,E1016*D1016)</f>
        <v>34000</v>
      </c>
      <c r="H1016" s="89" t="n">
        <f aca="false">E1016*D1016*$H$903</f>
        <v>0</v>
      </c>
      <c r="I1016" s="2784" t="n">
        <f aca="false">IF(G1016&gt;H1016,G1016,H1016)*$H$903</f>
        <v>0</v>
      </c>
      <c r="J1016" s="2744"/>
      <c r="K1016" s="226" t="n">
        <f aca="false">D1016-J1016</f>
        <v>10</v>
      </c>
      <c r="L1016" s="2736"/>
    </row>
    <row r="1017" customFormat="false" ht="15.5" hidden="false" customHeight="false" outlineLevel="0" collapsed="false">
      <c r="A1017" s="2719"/>
      <c r="B1017" s="87" t="str">
        <f aca="false">перекрытие!A156</f>
        <v>нет ветроизоляции</v>
      </c>
      <c r="C1017" s="88" t="str">
        <f aca="false">перекрытие!B156</f>
        <v>м2</v>
      </c>
      <c r="D1017" s="122" t="n">
        <f aca="false">перекрытие!D156</f>
        <v>100</v>
      </c>
      <c r="E1017" s="89" t="n">
        <f aca="false">перекрытие!E156</f>
        <v>0</v>
      </c>
      <c r="F1017" s="89"/>
      <c r="G1017" s="122" t="n">
        <f aca="false">IF(F1017&gt;0,D1017*F1017,E1017*D1017)</f>
        <v>0</v>
      </c>
      <c r="H1017" s="89" t="n">
        <f aca="false">E1017*D1017*$H$903</f>
        <v>0</v>
      </c>
      <c r="I1017" s="2784" t="n">
        <f aca="false">IF(G1017&gt;H1017,G1017,H1017)*$H$903</f>
        <v>0</v>
      </c>
      <c r="J1017" s="2744"/>
      <c r="K1017" s="226" t="n">
        <f aca="false">D1017-J1017</f>
        <v>100</v>
      </c>
      <c r="L1017" s="2736"/>
    </row>
    <row r="1018" customFormat="false" ht="15.5" hidden="false" customHeight="false" outlineLevel="0" collapsed="false">
      <c r="A1018" s="2719"/>
      <c r="B1018" s="87" t="str">
        <f aca="false">перекрытие!A157</f>
        <v>нет пароизоляции</v>
      </c>
      <c r="C1018" s="88" t="str">
        <f aca="false">перекрытие!B157</f>
        <v>м2</v>
      </c>
      <c r="D1018" s="122" t="n">
        <f aca="false">перекрытие!D157</f>
        <v>100</v>
      </c>
      <c r="E1018" s="89" t="n">
        <f aca="false">перекрытие!E157</f>
        <v>0</v>
      </c>
      <c r="F1018" s="89"/>
      <c r="G1018" s="122" t="n">
        <f aca="false">IF(F1018&gt;0,D1018*F1018,E1018*D1018)</f>
        <v>0</v>
      </c>
      <c r="H1018" s="89" t="n">
        <f aca="false">E1018*D1018*$H$903</f>
        <v>0</v>
      </c>
      <c r="I1018" s="2784" t="n">
        <f aca="false">IF(G1018&gt;H1018,G1018,H1018)*$H$903</f>
        <v>0</v>
      </c>
      <c r="J1018" s="2744"/>
      <c r="K1018" s="226" t="n">
        <f aca="false">D1018-J1018</f>
        <v>100</v>
      </c>
      <c r="L1018" s="2736"/>
    </row>
    <row r="1019" customFormat="false" ht="15.5" hidden="false" customHeight="false" outlineLevel="0" collapsed="false">
      <c r="A1019" s="2719"/>
      <c r="B1019" s="87" t="str">
        <f aca="false">перекрытие!A160</f>
        <v>Плита перекрытия  ЖБИ</v>
      </c>
      <c r="C1019" s="88" t="str">
        <f aca="false">перекрытие!B160</f>
        <v>м2</v>
      </c>
      <c r="D1019" s="122" t="n">
        <f aca="false">перекрытие!D160</f>
        <v>0</v>
      </c>
      <c r="E1019" s="89" t="n">
        <f aca="false">перекрытие!E160</f>
        <v>1400</v>
      </c>
      <c r="F1019" s="89"/>
      <c r="G1019" s="122" t="n">
        <f aca="false">IF(F1019&gt;0,D1019*F1019,E1019*D1019)</f>
        <v>0</v>
      </c>
      <c r="H1019" s="89" t="n">
        <f aca="false">E1019*D1019*$H$903</f>
        <v>0</v>
      </c>
      <c r="I1019" s="2784" t="n">
        <f aca="false">IF(G1019&gt;H1019,G1019,H1019)*$H$903</f>
        <v>0</v>
      </c>
      <c r="J1019" s="2744"/>
      <c r="K1019" s="226" t="n">
        <f aca="false">D1019-J1019</f>
        <v>0</v>
      </c>
      <c r="L1019" s="2736"/>
    </row>
    <row r="1020" customFormat="false" ht="15.5" hidden="false" customHeight="false" outlineLevel="0" collapsed="false">
      <c r="A1020" s="2719"/>
      <c r="B1020" s="87" t="str">
        <f aca="false">перекрытие!A161</f>
        <v>Раствор, м250</v>
      </c>
      <c r="C1020" s="88" t="str">
        <f aca="false">перекрытие!B161</f>
        <v>м3</v>
      </c>
      <c r="D1020" s="122" t="n">
        <f aca="false">перекрытие!D161</f>
        <v>0</v>
      </c>
      <c r="E1020" s="89" t="n">
        <f aca="false">перекрытие!E161</f>
        <v>2500</v>
      </c>
      <c r="F1020" s="89"/>
      <c r="G1020" s="122" t="n">
        <f aca="false">IF(F1020&gt;0,D1020*F1020,E1020*D1020)</f>
        <v>0</v>
      </c>
      <c r="H1020" s="89" t="n">
        <f aca="false">E1020*D1020*$H$903</f>
        <v>0</v>
      </c>
      <c r="I1020" s="2784" t="n">
        <f aca="false">IF(G1020&gt;H1020,G1020,H1020)*$H$903</f>
        <v>0</v>
      </c>
      <c r="J1020" s="2744"/>
      <c r="K1020" s="226" t="n">
        <f aca="false">D1020-J1020</f>
        <v>0</v>
      </c>
      <c r="L1020" s="2736"/>
    </row>
    <row r="1021" customFormat="false" ht="15.5" hidden="false" customHeight="false" outlineLevel="0" collapsed="false">
      <c r="A1021" s="2719"/>
      <c r="B1021" s="87" t="str">
        <f aca="false">перекрытие!A162</f>
        <v>Монолит, бетон, 300мм, 2 слоя</v>
      </c>
      <c r="C1021" s="88" t="str">
        <f aca="false">перекрытие!B162</f>
        <v>м2</v>
      </c>
      <c r="D1021" s="122" t="n">
        <f aca="false">перекрытие!D162</f>
        <v>0</v>
      </c>
      <c r="E1021" s="89" t="n">
        <f aca="false">перекрытие!E162</f>
        <v>1</v>
      </c>
      <c r="F1021" s="89"/>
      <c r="G1021" s="122" t="n">
        <f aca="false">IF(F1021&gt;0,D1021*F1021,E1021*D1021)</f>
        <v>0</v>
      </c>
      <c r="H1021" s="89" t="n">
        <f aca="false">E1021*D1021*$H$903</f>
        <v>0</v>
      </c>
      <c r="I1021" s="2784" t="n">
        <f aca="false">IF(G1021&gt;H1021,G1021,H1021)*$H$903</f>
        <v>0</v>
      </c>
      <c r="J1021" s="2744"/>
      <c r="K1021" s="226" t="n">
        <f aca="false">D1021-J1021</f>
        <v>0</v>
      </c>
      <c r="L1021" s="2736"/>
    </row>
    <row r="1022" customFormat="false" ht="15.5" hidden="false" customHeight="false" outlineLevel="0" collapsed="false">
      <c r="A1022" s="2719"/>
      <c r="B1022" s="87" t="str">
        <f aca="false">перекрытие!A163</f>
        <v>Монолит, бетон, 300мм, 1 слой</v>
      </c>
      <c r="C1022" s="88" t="str">
        <f aca="false">перекрытие!B163</f>
        <v>м2</v>
      </c>
      <c r="D1022" s="122" t="n">
        <f aca="false">перекрытие!D163</f>
        <v>0</v>
      </c>
      <c r="E1022" s="89" t="n">
        <f aca="false">перекрытие!E163</f>
        <v>1</v>
      </c>
      <c r="F1022" s="89"/>
      <c r="G1022" s="122" t="n">
        <f aca="false">IF(F1022&gt;0,D1022*F1022,E1022*D1022)</f>
        <v>0</v>
      </c>
      <c r="H1022" s="89" t="n">
        <f aca="false">E1022*D1022*$H$903</f>
        <v>0</v>
      </c>
      <c r="I1022" s="2784" t="n">
        <f aca="false">IF(G1022&gt;H1022,G1022,H1022)*$H$903</f>
        <v>0</v>
      </c>
      <c r="J1022" s="2744"/>
      <c r="K1022" s="226" t="n">
        <f aca="false">D1022-J1022</f>
        <v>0</v>
      </c>
      <c r="L1022" s="2736"/>
    </row>
    <row r="1023" customFormat="false" ht="15.5" hidden="false" customHeight="false" outlineLevel="0" collapsed="false">
      <c r="A1023" s="2719"/>
      <c r="B1023" s="87" t="str">
        <f aca="false">перекрытие!A164</f>
        <v>Монолит, бетон, 250мм, 2 слоя</v>
      </c>
      <c r="C1023" s="88" t="str">
        <f aca="false">перекрытие!B164</f>
        <v>м2</v>
      </c>
      <c r="D1023" s="122" t="n">
        <f aca="false">перекрытие!D164</f>
        <v>0</v>
      </c>
      <c r="E1023" s="89" t="n">
        <f aca="false">перекрытие!E164</f>
        <v>1</v>
      </c>
      <c r="F1023" s="89"/>
      <c r="G1023" s="122" t="n">
        <f aca="false">IF(F1023&gt;0,D1023*F1023,E1023*D1023)</f>
        <v>0</v>
      </c>
      <c r="H1023" s="89" t="n">
        <f aca="false">E1023*D1023*$H$903</f>
        <v>0</v>
      </c>
      <c r="I1023" s="2784" t="n">
        <f aca="false">IF(G1023&gt;H1023,G1023,H1023)*$H$903</f>
        <v>0</v>
      </c>
      <c r="J1023" s="2744"/>
      <c r="K1023" s="226" t="n">
        <f aca="false">D1023-J1023</f>
        <v>0</v>
      </c>
      <c r="L1023" s="2736"/>
    </row>
    <row r="1024" customFormat="false" ht="15.5" hidden="false" customHeight="false" outlineLevel="0" collapsed="false">
      <c r="A1024" s="2719"/>
      <c r="B1024" s="87" t="str">
        <f aca="false">перекрытие!A165</f>
        <v>Монолит, бетон, 250мм, 1 слой</v>
      </c>
      <c r="C1024" s="88" t="str">
        <f aca="false">перекрытие!B165</f>
        <v>м2</v>
      </c>
      <c r="D1024" s="122" t="n">
        <f aca="false">перекрытие!D165</f>
        <v>0</v>
      </c>
      <c r="E1024" s="89" t="n">
        <f aca="false">перекрытие!E165</f>
        <v>1</v>
      </c>
      <c r="F1024" s="89"/>
      <c r="G1024" s="122" t="n">
        <f aca="false">IF(F1024&gt;0,D1024*F1024,E1024*D1024)</f>
        <v>0</v>
      </c>
      <c r="H1024" s="89" t="n">
        <f aca="false">E1024*D1024*$H$903</f>
        <v>0</v>
      </c>
      <c r="I1024" s="2784" t="n">
        <f aca="false">IF(G1024&gt;H1024,G1024,H1024)*$H$903</f>
        <v>0</v>
      </c>
      <c r="J1024" s="2744"/>
      <c r="K1024" s="226" t="n">
        <f aca="false">D1024-J1024</f>
        <v>0</v>
      </c>
      <c r="L1024" s="2736"/>
    </row>
    <row r="1025" customFormat="false" ht="15.5" hidden="false" customHeight="false" outlineLevel="0" collapsed="false">
      <c r="A1025" s="2719"/>
      <c r="B1025" s="87" t="str">
        <f aca="false">перекрытие!A166</f>
        <v>Монолит, бетон, 200мм, 2 слоя</v>
      </c>
      <c r="C1025" s="88" t="str">
        <f aca="false">перекрытие!B166</f>
        <v>м2</v>
      </c>
      <c r="D1025" s="122" t="n">
        <f aca="false">перекрытие!D166</f>
        <v>0</v>
      </c>
      <c r="E1025" s="89" t="n">
        <f aca="false">перекрытие!E166</f>
        <v>1</v>
      </c>
      <c r="F1025" s="89"/>
      <c r="G1025" s="122" t="n">
        <f aca="false">IF(F1025&gt;0,D1025*F1025,E1025*D1025)</f>
        <v>0</v>
      </c>
      <c r="H1025" s="89" t="n">
        <f aca="false">E1025*D1025*$H$903</f>
        <v>0</v>
      </c>
      <c r="I1025" s="2784" t="n">
        <f aca="false">IF(G1025&gt;H1025,G1025,H1025)*$H$903</f>
        <v>0</v>
      </c>
      <c r="J1025" s="2744"/>
      <c r="K1025" s="226" t="n">
        <f aca="false">D1025-J1025</f>
        <v>0</v>
      </c>
      <c r="L1025" s="2736"/>
    </row>
    <row r="1026" customFormat="false" ht="15.5" hidden="false" customHeight="false" outlineLevel="0" collapsed="false">
      <c r="A1026" s="2719"/>
      <c r="B1026" s="87" t="str">
        <f aca="false">перекрытие!A167</f>
        <v>Монолит, бетон, 200мм, 1 слой</v>
      </c>
      <c r="C1026" s="88" t="str">
        <f aca="false">перекрытие!B167</f>
        <v>м2</v>
      </c>
      <c r="D1026" s="122" t="n">
        <f aca="false">перекрытие!D167</f>
        <v>0</v>
      </c>
      <c r="E1026" s="89" t="n">
        <f aca="false">перекрытие!E167</f>
        <v>1</v>
      </c>
      <c r="F1026" s="89"/>
      <c r="G1026" s="122" t="n">
        <f aca="false">IF(F1026&gt;0,D1026*F1026,E1026*D1026)</f>
        <v>0</v>
      </c>
      <c r="H1026" s="89" t="n">
        <f aca="false">E1026*D1026*$H$903</f>
        <v>0</v>
      </c>
      <c r="I1026" s="2784" t="n">
        <f aca="false">IF(G1026&gt;H1026,G1026,H1026)*$H$903</f>
        <v>0</v>
      </c>
      <c r="J1026" s="2744"/>
      <c r="K1026" s="226" t="n">
        <f aca="false">D1026-J1026</f>
        <v>0</v>
      </c>
      <c r="L1026" s="2736"/>
    </row>
    <row r="1027" customFormat="false" ht="15.5" hidden="false" customHeight="false" outlineLevel="0" collapsed="false">
      <c r="A1027" s="2719"/>
      <c r="B1027" s="87" t="str">
        <f aca="false">перекрытие!A168</f>
        <v>Монолит, бетон, 150мм, 2 слоя</v>
      </c>
      <c r="C1027" s="88" t="str">
        <f aca="false">перекрытие!B168</f>
        <v>м2</v>
      </c>
      <c r="D1027" s="122" t="n">
        <f aca="false">перекрытие!D168</f>
        <v>0</v>
      </c>
      <c r="E1027" s="89" t="n">
        <f aca="false">перекрытие!E168</f>
        <v>1</v>
      </c>
      <c r="F1027" s="89"/>
      <c r="G1027" s="122" t="n">
        <f aca="false">IF(F1027&gt;0,D1027*F1027,E1027*D1027)</f>
        <v>0</v>
      </c>
      <c r="H1027" s="89" t="n">
        <f aca="false">E1027*D1027*$H$903</f>
        <v>0</v>
      </c>
      <c r="I1027" s="2784" t="n">
        <f aca="false">IF(G1027&gt;H1027,G1027,H1027)*$H$903</f>
        <v>0</v>
      </c>
      <c r="J1027" s="2744"/>
      <c r="K1027" s="226" t="n">
        <f aca="false">D1027-J1027</f>
        <v>0</v>
      </c>
      <c r="L1027" s="2736"/>
    </row>
    <row r="1028" customFormat="false" ht="15.5" hidden="false" customHeight="false" outlineLevel="0" collapsed="false">
      <c r="A1028" s="2719"/>
      <c r="B1028" s="87" t="str">
        <f aca="false">перекрытие!A169</f>
        <v>Монолит, бетон, 150мм, 1 слой</v>
      </c>
      <c r="C1028" s="88" t="str">
        <f aca="false">перекрытие!B169</f>
        <v>м2</v>
      </c>
      <c r="D1028" s="122" t="n">
        <f aca="false">перекрытие!D169</f>
        <v>0</v>
      </c>
      <c r="E1028" s="89" t="n">
        <f aca="false">перекрытие!E169</f>
        <v>1</v>
      </c>
      <c r="F1028" s="89"/>
      <c r="G1028" s="122" t="n">
        <f aca="false">IF(F1028&gt;0,D1028*F1028,E1028*D1028)</f>
        <v>0</v>
      </c>
      <c r="H1028" s="89" t="n">
        <f aca="false">E1028*D1028*$H$903</f>
        <v>0</v>
      </c>
      <c r="I1028" s="2784" t="n">
        <f aca="false">IF(G1028&gt;H1028,G1028,H1028)*$H$903</f>
        <v>0</v>
      </c>
      <c r="J1028" s="2744"/>
      <c r="K1028" s="226" t="n">
        <f aca="false">D1028-J1028</f>
        <v>0</v>
      </c>
      <c r="L1028" s="2736"/>
    </row>
    <row r="1029" customFormat="false" ht="15.5" hidden="false" customHeight="false" outlineLevel="0" collapsed="false">
      <c r="A1029" s="2719"/>
      <c r="B1029" s="87" t="str">
        <f aca="false">перекрытие!A170</f>
        <v>доска для опалубки монолит перекрытий</v>
      </c>
      <c r="C1029" s="88" t="str">
        <f aca="false">перекрытие!B170</f>
        <v>м3</v>
      </c>
      <c r="D1029" s="122" t="n">
        <f aca="false">перекрытие!D170</f>
        <v>0</v>
      </c>
      <c r="E1029" s="89" t="n">
        <f aca="false">перекрытие!E170</f>
        <v>6500</v>
      </c>
      <c r="F1029" s="89"/>
      <c r="G1029" s="122" t="n">
        <f aca="false">IF(F1029&gt;0,D1029*F1029,E1029*D1029)</f>
        <v>0</v>
      </c>
      <c r="H1029" s="89" t="n">
        <f aca="false">E1029*D1029*$H$903</f>
        <v>0</v>
      </c>
      <c r="I1029" s="2784" t="n">
        <f aca="false">IF(G1029&gt;H1029,G1029,H1029)*$H$903</f>
        <v>0</v>
      </c>
      <c r="J1029" s="2744"/>
      <c r="K1029" s="226" t="n">
        <f aca="false">D1029-J1029</f>
        <v>0</v>
      </c>
      <c r="L1029" s="2736"/>
    </row>
    <row r="1030" customFormat="false" ht="15.5" hidden="false" customHeight="false" outlineLevel="0" collapsed="false">
      <c r="A1030" s="2719"/>
      <c r="B1030" s="87" t="str">
        <f aca="false">перекрытие!A171</f>
        <v>стойки под опалубку перекрытий</v>
      </c>
      <c r="C1030" s="88" t="str">
        <f aca="false">перекрытие!B171</f>
        <v>шт</v>
      </c>
      <c r="D1030" s="122" t="n">
        <f aca="false">перекрытие!D171</f>
        <v>0</v>
      </c>
      <c r="E1030" s="89" t="n">
        <f aca="false">перекрытие!E171</f>
        <v>0</v>
      </c>
      <c r="F1030" s="89"/>
      <c r="G1030" s="122" t="n">
        <f aca="false">IF(F1030&gt;0,D1030*F1030,E1030*D1030)</f>
        <v>0</v>
      </c>
      <c r="H1030" s="89" t="n">
        <f aca="false">E1030*D1030*$H$903</f>
        <v>0</v>
      </c>
      <c r="I1030" s="2784" t="n">
        <f aca="false">IF(G1030&gt;H1030,G1030,H1030)*$H$903</f>
        <v>0</v>
      </c>
      <c r="J1030" s="2744"/>
      <c r="K1030" s="226" t="n">
        <f aca="false">D1030-J1030</f>
        <v>0</v>
      </c>
      <c r="L1030" s="2736"/>
    </row>
    <row r="1031" customFormat="false" ht="15.5" hidden="false" customHeight="false" outlineLevel="0" collapsed="false">
      <c r="A1031" s="2719"/>
      <c r="B1031" s="87" t="str">
        <f aca="false">перекрытие!A172</f>
        <v>Пленка гидроизоляционная</v>
      </c>
      <c r="C1031" s="88" t="str">
        <f aca="false">перекрытие!B172</f>
        <v>м2</v>
      </c>
      <c r="D1031" s="122" t="n">
        <f aca="false">перекрытие!D172</f>
        <v>0</v>
      </c>
      <c r="E1031" s="89" t="n">
        <f aca="false">перекрытие!E172</f>
        <v>15</v>
      </c>
      <c r="F1031" s="89"/>
      <c r="G1031" s="122" t="n">
        <f aca="false">IF(F1031&gt;0,D1031*F1031,E1031*D1031)</f>
        <v>0</v>
      </c>
      <c r="H1031" s="89" t="n">
        <f aca="false">E1031*D1031*$H$903</f>
        <v>0</v>
      </c>
      <c r="I1031" s="2784" t="n">
        <f aca="false">IF(G1031&gt;H1031,G1031,H1031)*$H$903</f>
        <v>0</v>
      </c>
      <c r="J1031" s="2744"/>
      <c r="K1031" s="226" t="n">
        <f aca="false">D1031-J1031</f>
        <v>0</v>
      </c>
      <c r="L1031" s="2736"/>
    </row>
    <row r="1032" customFormat="false" ht="15.5" hidden="false" customHeight="false" outlineLevel="0" collapsed="false">
      <c r="A1032" s="2719"/>
      <c r="B1032" s="87" t="str">
        <f aca="false">перекрытие!A173</f>
        <v>Арматура М12</v>
      </c>
      <c r="C1032" s="88" t="str">
        <f aca="false">перекрытие!B173</f>
        <v>м.п.</v>
      </c>
      <c r="D1032" s="122" t="n">
        <f aca="false">перекрытие!D173</f>
        <v>0</v>
      </c>
      <c r="E1032" s="89" t="n">
        <f aca="false">перекрытие!E173</f>
        <v>29.2152</v>
      </c>
      <c r="F1032" s="89"/>
      <c r="G1032" s="122" t="n">
        <f aca="false">IF(F1032&gt;0,D1032*F1032,E1032*D1032)</f>
        <v>0</v>
      </c>
      <c r="H1032" s="89" t="n">
        <f aca="false">E1032*D1032*$H$903</f>
        <v>0</v>
      </c>
      <c r="I1032" s="2784" t="n">
        <f aca="false">IF(G1032&gt;H1032,G1032,H1032)*$H$903</f>
        <v>0</v>
      </c>
      <c r="J1032" s="2744"/>
      <c r="K1032" s="226" t="n">
        <f aca="false">D1032-J1032</f>
        <v>0</v>
      </c>
      <c r="L1032" s="2736"/>
    </row>
    <row r="1033" customFormat="false" ht="15.5" hidden="false" customHeight="false" outlineLevel="0" collapsed="false">
      <c r="A1033" s="2719"/>
      <c r="B1033" s="87" t="str">
        <f aca="false">перекрытие!A174</f>
        <v>Вязальная проволока</v>
      </c>
      <c r="C1033" s="88" t="str">
        <f aca="false">перекрытие!B174</f>
        <v>кг</v>
      </c>
      <c r="D1033" s="122" t="n">
        <f aca="false">перекрытие!D174</f>
        <v>0</v>
      </c>
      <c r="E1033" s="89" t="n">
        <f aca="false">перекрытие!E174</f>
        <v>80</v>
      </c>
      <c r="F1033" s="89"/>
      <c r="G1033" s="122" t="n">
        <f aca="false">IF(F1033&gt;0,D1033*F1033,E1033*D1033)</f>
        <v>0</v>
      </c>
      <c r="H1033" s="89" t="n">
        <f aca="false">E1033*D1033*$H$903</f>
        <v>0</v>
      </c>
      <c r="I1033" s="2784" t="n">
        <f aca="false">IF(G1033&gt;H1033,G1033,H1033)*$H$903</f>
        <v>0</v>
      </c>
      <c r="J1033" s="2744"/>
      <c r="K1033" s="226" t="n">
        <f aca="false">D1033-J1033</f>
        <v>0</v>
      </c>
      <c r="L1033" s="2736"/>
    </row>
    <row r="1034" customFormat="false" ht="15.5" hidden="false" customHeight="false" outlineLevel="0" collapsed="false">
      <c r="A1034" s="2719"/>
      <c r="B1034" s="87" t="str">
        <f aca="false">перекрытие!A175</f>
        <v>Подставка под арматурный каркас</v>
      </c>
      <c r="C1034" s="88" t="str">
        <f aca="false">перекрытие!B175</f>
        <v>шт</v>
      </c>
      <c r="D1034" s="122" t="n">
        <f aca="false">перекрытие!D175</f>
        <v>0</v>
      </c>
      <c r="E1034" s="89" t="n">
        <f aca="false">перекрытие!E175</f>
        <v>5</v>
      </c>
      <c r="F1034" s="89"/>
      <c r="G1034" s="122" t="n">
        <f aca="false">IF(F1034&gt;0,D1034*F1034,E1034*D1034)</f>
        <v>0</v>
      </c>
      <c r="H1034" s="89" t="n">
        <f aca="false">E1034*D1034*$H$903</f>
        <v>0</v>
      </c>
      <c r="I1034" s="2784" t="n">
        <f aca="false">IF(G1034&gt;H1034,G1034,H1034)*$H$903</f>
        <v>0</v>
      </c>
      <c r="J1034" s="2744"/>
      <c r="K1034" s="226" t="n">
        <f aca="false">D1034-J1034</f>
        <v>0</v>
      </c>
      <c r="L1034" s="2736"/>
    </row>
    <row r="1035" customFormat="false" ht="15.5" hidden="false" customHeight="false" outlineLevel="0" collapsed="false">
      <c r="A1035" s="2719"/>
      <c r="B1035" s="87" t="str">
        <f aca="false">перекрытие!A176</f>
        <v>бетон, м350</v>
      </c>
      <c r="C1035" s="88" t="str">
        <f aca="false">перекрытие!B176</f>
        <v>м3</v>
      </c>
      <c r="D1035" s="122" t="n">
        <f aca="false">перекрытие!D176</f>
        <v>0</v>
      </c>
      <c r="E1035" s="89" t="n">
        <f aca="false">перекрытие!E176</f>
        <v>3500</v>
      </c>
      <c r="F1035" s="89"/>
      <c r="G1035" s="122" t="n">
        <f aca="false">IF(F1035&gt;0,D1035*F1035,E1035*D1035)</f>
        <v>0</v>
      </c>
      <c r="H1035" s="89" t="n">
        <f aca="false">E1035*D1035*$H$903</f>
        <v>0</v>
      </c>
      <c r="I1035" s="2784" t="n">
        <f aca="false">IF(G1035&gt;H1035,G1035,H1035)*$H$903</f>
        <v>0</v>
      </c>
      <c r="J1035" s="2744"/>
      <c r="K1035" s="226" t="n">
        <f aca="false">D1035-J1035</f>
        <v>0</v>
      </c>
      <c r="L1035" s="2736"/>
    </row>
    <row r="1036" customFormat="false" ht="15.5" hidden="false" customHeight="false" outlineLevel="0" collapsed="false">
      <c r="A1036" s="2719"/>
      <c r="B1036" s="87" t="str">
        <f aca="false">перекрытие!A177</f>
        <v>Брус естественной влажности, 200*100мм</v>
      </c>
      <c r="C1036" s="88" t="str">
        <f aca="false">перекрытие!B177</f>
        <v>м3</v>
      </c>
      <c r="D1036" s="122" t="n">
        <f aca="false">перекрытие!D177</f>
        <v>0</v>
      </c>
      <c r="E1036" s="89" t="n">
        <f aca="false">перекрытие!E177</f>
        <v>6500</v>
      </c>
      <c r="F1036" s="89"/>
      <c r="G1036" s="122" t="n">
        <f aca="false">IF(F1036&gt;0,D1036*F1036,E1036*D1036)</f>
        <v>0</v>
      </c>
      <c r="H1036" s="89" t="n">
        <f aca="false">E1036*D1036*$H$903</f>
        <v>0</v>
      </c>
      <c r="I1036" s="2784" t="n">
        <f aca="false">IF(G1036&gt;H1036,G1036,H1036)*$H$903</f>
        <v>0</v>
      </c>
      <c r="J1036" s="2744"/>
      <c r="K1036" s="226" t="n">
        <f aca="false">D1036-J1036</f>
        <v>0</v>
      </c>
      <c r="L1036" s="2736"/>
    </row>
    <row r="1037" customFormat="false" ht="15.5" hidden="false" customHeight="false" outlineLevel="0" collapsed="false">
      <c r="A1037" s="2719"/>
      <c r="B1037" s="87" t="str">
        <f aca="false">перекрытие!A178</f>
        <v>Брус естественной влажности, 150*100мм</v>
      </c>
      <c r="C1037" s="88" t="str">
        <f aca="false">перекрытие!B178</f>
        <v>м3</v>
      </c>
      <c r="D1037" s="122" t="n">
        <f aca="false">перекрытие!D178</f>
        <v>0</v>
      </c>
      <c r="E1037" s="89" t="n">
        <f aca="false">перекрытие!E178</f>
        <v>6500</v>
      </c>
      <c r="F1037" s="89"/>
      <c r="G1037" s="122" t="n">
        <f aca="false">IF(F1037&gt;0,D1037*F1037,E1037*D1037)</f>
        <v>0</v>
      </c>
      <c r="H1037" s="89" t="n">
        <f aca="false">E1037*D1037*$H$903</f>
        <v>0</v>
      </c>
      <c r="I1037" s="2784" t="n">
        <f aca="false">IF(G1037&gt;H1037,G1037,H1037)*$H$903</f>
        <v>0</v>
      </c>
      <c r="J1037" s="2744"/>
      <c r="K1037" s="226" t="n">
        <f aca="false">D1037-J1037</f>
        <v>0</v>
      </c>
      <c r="L1037" s="2736"/>
    </row>
    <row r="1038" customFormat="false" ht="15.5" hidden="false" customHeight="false" outlineLevel="0" collapsed="false">
      <c r="A1038" s="2719"/>
      <c r="B1038" s="87" t="str">
        <f aca="false">перекрытие!A179</f>
        <v>Брус естественной влажности, 100*100мм</v>
      </c>
      <c r="C1038" s="88" t="str">
        <f aca="false">перекрытие!B179</f>
        <v>м3</v>
      </c>
      <c r="D1038" s="122" t="n">
        <f aca="false">перекрытие!D179</f>
        <v>0</v>
      </c>
      <c r="E1038" s="89" t="n">
        <f aca="false">перекрытие!E179</f>
        <v>6500</v>
      </c>
      <c r="F1038" s="89"/>
      <c r="G1038" s="122" t="n">
        <f aca="false">IF(F1038&gt;0,D1038*F1038,E1038*D1038)</f>
        <v>0</v>
      </c>
      <c r="H1038" s="89" t="n">
        <f aca="false">E1038*D1038*$H$903</f>
        <v>0</v>
      </c>
      <c r="I1038" s="2784" t="n">
        <f aca="false">IF(G1038&gt;H1038,G1038,H1038)*$H$903</f>
        <v>0</v>
      </c>
      <c r="J1038" s="2744"/>
      <c r="K1038" s="226" t="n">
        <f aca="false">D1038-J1038</f>
        <v>0</v>
      </c>
      <c r="L1038" s="2736"/>
    </row>
    <row r="1039" customFormat="false" ht="15.5" hidden="false" customHeight="false" outlineLevel="0" collapsed="false">
      <c r="A1039" s="2719"/>
      <c r="B1039" s="87" t="str">
        <f aca="false">перекрытие!A180</f>
        <v>Брус естественной влажности, 150*150мм</v>
      </c>
      <c r="C1039" s="88" t="str">
        <f aca="false">перекрытие!B180</f>
        <v>м3</v>
      </c>
      <c r="D1039" s="122" t="n">
        <f aca="false">перекрытие!D180</f>
        <v>0</v>
      </c>
      <c r="E1039" s="89" t="n">
        <f aca="false">перекрытие!E180</f>
        <v>6500</v>
      </c>
      <c r="F1039" s="89"/>
      <c r="G1039" s="122" t="n">
        <f aca="false">IF(F1039&gt;0,D1039*F1039,E1039*D1039)</f>
        <v>0</v>
      </c>
      <c r="H1039" s="89" t="n">
        <f aca="false">E1039*D1039*$H$903</f>
        <v>0</v>
      </c>
      <c r="I1039" s="2784" t="n">
        <f aca="false">IF(G1039&gt;H1039,G1039,H1039)*$H$903</f>
        <v>0</v>
      </c>
      <c r="J1039" s="2744"/>
      <c r="K1039" s="226" t="n">
        <f aca="false">D1039-J1039</f>
        <v>0</v>
      </c>
      <c r="L1039" s="2736"/>
    </row>
    <row r="1040" customFormat="false" ht="15.5" hidden="false" customHeight="false" outlineLevel="0" collapsed="false">
      <c r="A1040" s="2719"/>
      <c r="B1040" s="87" t="str">
        <f aca="false">перекрытие!A181</f>
        <v>Доска естественной влажности, 200*50мм</v>
      </c>
      <c r="C1040" s="88" t="str">
        <f aca="false">перекрытие!B181</f>
        <v>м3</v>
      </c>
      <c r="D1040" s="122" t="n">
        <f aca="false">перекрытие!D181</f>
        <v>0</v>
      </c>
      <c r="E1040" s="89" t="n">
        <f aca="false">перекрытие!E181</f>
        <v>6500</v>
      </c>
      <c r="F1040" s="89"/>
      <c r="G1040" s="122" t="n">
        <f aca="false">IF(F1040&gt;0,D1040*F1040,E1040*D1040)</f>
        <v>0</v>
      </c>
      <c r="H1040" s="89" t="n">
        <f aca="false">E1040*D1040*$H$903</f>
        <v>0</v>
      </c>
      <c r="I1040" s="2784" t="n">
        <f aca="false">IF(G1040&gt;H1040,G1040,H1040)*$H$903</f>
        <v>0</v>
      </c>
      <c r="J1040" s="2744"/>
      <c r="K1040" s="226" t="n">
        <f aca="false">D1040-J1040</f>
        <v>0</v>
      </c>
      <c r="L1040" s="2736"/>
    </row>
    <row r="1041" customFormat="false" ht="15.5" hidden="false" customHeight="false" outlineLevel="0" collapsed="false">
      <c r="A1041" s="2719"/>
      <c r="B1041" s="87" t="str">
        <f aca="false">перекрытие!A182</f>
        <v>Доска естественной влажности, 150*50мм</v>
      </c>
      <c r="C1041" s="88" t="str">
        <f aca="false">перекрытие!B182</f>
        <v>м3</v>
      </c>
      <c r="D1041" s="122" t="n">
        <f aca="false">перекрытие!D182</f>
        <v>0</v>
      </c>
      <c r="E1041" s="89" t="n">
        <f aca="false">перекрытие!E182</f>
        <v>6500</v>
      </c>
      <c r="F1041" s="89"/>
      <c r="G1041" s="122" t="n">
        <f aca="false">IF(F1041&gt;0,D1041*F1041,E1041*D1041)</f>
        <v>0</v>
      </c>
      <c r="H1041" s="89" t="n">
        <f aca="false">E1041*D1041*$H$903</f>
        <v>0</v>
      </c>
      <c r="I1041" s="2784" t="n">
        <f aca="false">IF(G1041&gt;H1041,G1041,H1041)*$H$903</f>
        <v>0</v>
      </c>
      <c r="J1041" s="2744"/>
      <c r="K1041" s="226" t="n">
        <f aca="false">D1041-J1041</f>
        <v>0</v>
      </c>
      <c r="L1041" s="2736"/>
    </row>
    <row r="1042" customFormat="false" ht="15.5" hidden="false" customHeight="false" outlineLevel="0" collapsed="false">
      <c r="A1042" s="2719"/>
      <c r="B1042" s="87" t="str">
        <f aca="false">перекрытие!A183</f>
        <v>Опора бруса</v>
      </c>
      <c r="C1042" s="88" t="str">
        <f aca="false">перекрытие!B183</f>
        <v>шт</v>
      </c>
      <c r="D1042" s="122" t="n">
        <f aca="false">перекрытие!D183</f>
        <v>0</v>
      </c>
      <c r="E1042" s="89" t="n">
        <f aca="false">перекрытие!E183</f>
        <v>50</v>
      </c>
      <c r="F1042" s="89"/>
      <c r="G1042" s="122" t="n">
        <f aca="false">IF(F1042&gt;0,D1042*F1042,E1042*D1042)</f>
        <v>0</v>
      </c>
      <c r="H1042" s="89" t="n">
        <f aca="false">E1042*D1042*$H$903</f>
        <v>0</v>
      </c>
      <c r="I1042" s="2784" t="n">
        <f aca="false">IF(G1042&gt;H1042,G1042,H1042)*$H$903</f>
        <v>0</v>
      </c>
      <c r="J1042" s="2744"/>
      <c r="K1042" s="226" t="n">
        <f aca="false">D1042-J1042</f>
        <v>0</v>
      </c>
      <c r="L1042" s="2736"/>
    </row>
    <row r="1043" customFormat="false" ht="15.5" hidden="false" customHeight="false" outlineLevel="0" collapsed="false">
      <c r="A1043" s="2719"/>
      <c r="B1043" s="87" t="str">
        <f aca="false">перекрытие!A184</f>
        <v>Болты анкерные с гайкой 8,0 x 60</v>
      </c>
      <c r="C1043" s="88" t="str">
        <f aca="false">перекрытие!B184</f>
        <v>шт</v>
      </c>
      <c r="D1043" s="122" t="n">
        <f aca="false">перекрытие!D184</f>
        <v>0</v>
      </c>
      <c r="E1043" s="89" t="n">
        <f aca="false">перекрытие!E184</f>
        <v>4</v>
      </c>
      <c r="F1043" s="89"/>
      <c r="G1043" s="122" t="n">
        <f aca="false">IF(F1043&gt;0,D1043*F1043,E1043*D1043)</f>
        <v>0</v>
      </c>
      <c r="H1043" s="89" t="n">
        <f aca="false">E1043*D1043*$H$903</f>
        <v>0</v>
      </c>
      <c r="I1043" s="2784" t="n">
        <f aca="false">IF(G1043&gt;H1043,G1043,H1043)*$H$903</f>
        <v>0</v>
      </c>
      <c r="J1043" s="2744"/>
      <c r="K1043" s="226" t="n">
        <f aca="false">D1043-J1043</f>
        <v>0</v>
      </c>
      <c r="L1043" s="2736"/>
    </row>
    <row r="1044" customFormat="false" ht="15.5" hidden="false" customHeight="false" outlineLevel="0" collapsed="false">
      <c r="A1044" s="2719"/>
      <c r="B1044" s="87" t="str">
        <f aca="false">перекрытие!A99</f>
        <v>Нет перекрестного пола</v>
      </c>
      <c r="C1044" s="88" t="str">
        <f aca="false">перекрытие!B99</f>
        <v>м3</v>
      </c>
      <c r="D1044" s="122" t="n">
        <f aca="false">перекрытие!D99</f>
        <v>0</v>
      </c>
      <c r="E1044" s="89" t="n">
        <f aca="false">перекрытие!E99</f>
        <v>0</v>
      </c>
      <c r="F1044" s="89"/>
      <c r="G1044" s="122" t="n">
        <f aca="false">IF(F1044&gt;0,D1044*F1044,E1044*D1044)</f>
        <v>0</v>
      </c>
      <c r="H1044" s="89" t="n">
        <f aca="false">E1044*D1044*$H$903</f>
        <v>0</v>
      </c>
      <c r="I1044" s="2784" t="n">
        <f aca="false">IF(G1044&gt;H1044,G1044,H1044)*$H$903</f>
        <v>0</v>
      </c>
      <c r="J1044" s="2744"/>
      <c r="K1044" s="226" t="n">
        <f aca="false">D1044-J1044</f>
        <v>0</v>
      </c>
      <c r="L1044" s="2736"/>
    </row>
    <row r="1045" customFormat="false" ht="15.5" hidden="false" customHeight="false" outlineLevel="0" collapsed="false">
      <c r="A1045" s="2719"/>
      <c r="B1045" s="87" t="str">
        <f aca="false">перекрытие!A100</f>
        <v>Гвозди строительные 3,5 x 90</v>
      </c>
      <c r="C1045" s="88" t="str">
        <f aca="false">перекрытие!B100</f>
        <v>кг</v>
      </c>
      <c r="D1045" s="122" t="n">
        <f aca="false">перекрытие!D100</f>
        <v>0</v>
      </c>
      <c r="E1045" s="89" t="n">
        <f aca="false">перекрытие!E100</f>
        <v>70</v>
      </c>
      <c r="F1045" s="89"/>
      <c r="G1045" s="122" t="n">
        <f aca="false">IF(F1045&gt;0,D1045*F1045,E1045*D1045)</f>
        <v>0</v>
      </c>
      <c r="H1045" s="89" t="n">
        <f aca="false">E1045*D1045*$H$903</f>
        <v>0</v>
      </c>
      <c r="I1045" s="2784" t="n">
        <f aca="false">IF(G1045&gt;H1045,G1045,H1045)*$H$903</f>
        <v>0</v>
      </c>
      <c r="J1045" s="2744"/>
      <c r="K1045" s="226" t="n">
        <f aca="false">D1045-J1045</f>
        <v>0</v>
      </c>
      <c r="L1045" s="2736"/>
    </row>
    <row r="1046" customFormat="false" ht="15.5" hidden="false" customHeight="false" outlineLevel="0" collapsed="false">
      <c r="A1046" s="2719"/>
      <c r="B1046" s="87" t="str">
        <f aca="false">перекрытие!A187</f>
        <v>Sip панель 2500*625*124мм</v>
      </c>
      <c r="C1046" s="88" t="str">
        <f aca="false">перекрытие!B187</f>
        <v>м2</v>
      </c>
      <c r="D1046" s="122" t="n">
        <f aca="false">перекрытие!D187</f>
        <v>0</v>
      </c>
      <c r="E1046" s="89" t="n">
        <f aca="false">перекрытие!E187</f>
        <v>800</v>
      </c>
      <c r="F1046" s="89"/>
      <c r="G1046" s="122" t="n">
        <f aca="false">IF(F1046&gt;0,D1046*F1046,E1046*D1046)</f>
        <v>0</v>
      </c>
      <c r="H1046" s="89" t="n">
        <f aca="false">E1046*D1046*$H$903</f>
        <v>0</v>
      </c>
      <c r="I1046" s="2784" t="n">
        <f aca="false">IF(G1046&gt;H1046,G1046,H1046)*$H$903</f>
        <v>0</v>
      </c>
      <c r="J1046" s="2744"/>
      <c r="K1046" s="226" t="n">
        <f aca="false">D1046-J1046</f>
        <v>0</v>
      </c>
      <c r="L1046" s="2736"/>
    </row>
    <row r="1047" customFormat="false" ht="15.5" hidden="false" customHeight="false" outlineLevel="0" collapsed="false">
      <c r="A1047" s="2719"/>
      <c r="B1047" s="87" t="str">
        <f aca="false">перекрытие!A188</f>
        <v>Sip панель 2500*625*174мм</v>
      </c>
      <c r="C1047" s="88" t="str">
        <f aca="false">перекрытие!B188</f>
        <v>м2</v>
      </c>
      <c r="D1047" s="122" t="n">
        <f aca="false">перекрытие!D188</f>
        <v>0</v>
      </c>
      <c r="E1047" s="89" t="n">
        <f aca="false">перекрытие!E188</f>
        <v>1200</v>
      </c>
      <c r="F1047" s="89"/>
      <c r="G1047" s="122" t="n">
        <f aca="false">IF(F1047&gt;0,D1047*F1047,E1047*D1047)</f>
        <v>0</v>
      </c>
      <c r="H1047" s="89" t="n">
        <f aca="false">E1047*D1047*$H$903</f>
        <v>0</v>
      </c>
      <c r="I1047" s="2784" t="n">
        <f aca="false">IF(G1047&gt;H1047,G1047,H1047)*$H$903</f>
        <v>0</v>
      </c>
      <c r="J1047" s="2744"/>
      <c r="K1047" s="226" t="n">
        <f aca="false">D1047-J1047</f>
        <v>0</v>
      </c>
      <c r="L1047" s="2736"/>
    </row>
    <row r="1048" customFormat="false" ht="15.5" hidden="false" customHeight="false" outlineLevel="0" collapsed="false">
      <c r="A1048" s="2719"/>
      <c r="B1048" s="87" t="str">
        <f aca="false">перекрытие!A189</f>
        <v>Sip панель 2500*625*224мм</v>
      </c>
      <c r="C1048" s="88" t="str">
        <f aca="false">перекрытие!B189</f>
        <v>м2</v>
      </c>
      <c r="D1048" s="122" t="n">
        <f aca="false">перекрытие!D189</f>
        <v>0</v>
      </c>
      <c r="E1048" s="89" t="n">
        <f aca="false">перекрытие!E189</f>
        <v>1400</v>
      </c>
      <c r="F1048" s="89"/>
      <c r="G1048" s="122" t="n">
        <f aca="false">IF(F1048&gt;0,D1048*F1048,E1048*D1048)</f>
        <v>0</v>
      </c>
      <c r="H1048" s="89" t="n">
        <f aca="false">E1048*D1048*$H$903</f>
        <v>0</v>
      </c>
      <c r="I1048" s="2784" t="n">
        <f aca="false">IF(G1048&gt;H1048,G1048,H1048)*$H$903</f>
        <v>0</v>
      </c>
      <c r="J1048" s="2744"/>
      <c r="K1048" s="226" t="n">
        <f aca="false">D1048-J1048</f>
        <v>0</v>
      </c>
      <c r="L1048" s="2736"/>
    </row>
    <row r="1049" customFormat="false" ht="15.5" hidden="false" customHeight="false" outlineLevel="0" collapsed="false">
      <c r="A1049" s="2719"/>
      <c r="B1049" s="87" t="str">
        <f aca="false">перекрытие!A190</f>
        <v>Доска сухая, 100*50мм</v>
      </c>
      <c r="C1049" s="88" t="str">
        <f aca="false">перекрытие!B190</f>
        <v>м.п.</v>
      </c>
      <c r="D1049" s="122" t="n">
        <f aca="false">перекрытие!D190</f>
        <v>0</v>
      </c>
      <c r="E1049" s="89" t="n">
        <f aca="false">перекрытие!E190</f>
        <v>45</v>
      </c>
      <c r="F1049" s="89"/>
      <c r="G1049" s="122" t="n">
        <f aca="false">IF(F1049&gt;0,D1049*F1049,E1049*D1049)</f>
        <v>0</v>
      </c>
      <c r="H1049" s="89" t="n">
        <f aca="false">E1049*D1049*$H$903</f>
        <v>0</v>
      </c>
      <c r="I1049" s="2784" t="n">
        <f aca="false">IF(G1049&gt;H1049,G1049,H1049)*$H$903</f>
        <v>0</v>
      </c>
      <c r="J1049" s="2744"/>
      <c r="K1049" s="226" t="n">
        <f aca="false">D1049-J1049</f>
        <v>0</v>
      </c>
      <c r="L1049" s="2736"/>
    </row>
    <row r="1050" customFormat="false" ht="15.5" hidden="false" customHeight="false" outlineLevel="0" collapsed="false">
      <c r="A1050" s="2719"/>
      <c r="B1050" s="87" t="str">
        <f aca="false">перекрытие!A191</f>
        <v>Доска сухая, 150*50мм</v>
      </c>
      <c r="C1050" s="88" t="str">
        <f aca="false">перекрытие!B191</f>
        <v>м.п.</v>
      </c>
      <c r="D1050" s="122" t="n">
        <f aca="false">перекрытие!D191</f>
        <v>0</v>
      </c>
      <c r="E1050" s="89" t="n">
        <f aca="false">перекрытие!E191</f>
        <v>67.5</v>
      </c>
      <c r="F1050" s="89"/>
      <c r="G1050" s="122" t="n">
        <f aca="false">IF(F1050&gt;0,D1050*F1050,E1050*D1050)</f>
        <v>0</v>
      </c>
      <c r="H1050" s="89" t="n">
        <f aca="false">E1050*D1050*$H$903</f>
        <v>0</v>
      </c>
      <c r="I1050" s="2784" t="n">
        <f aca="false">IF(G1050&gt;H1050,G1050,H1050)*$H$903</f>
        <v>0</v>
      </c>
      <c r="J1050" s="2744"/>
      <c r="K1050" s="226" t="n">
        <f aca="false">D1050-J1050</f>
        <v>0</v>
      </c>
      <c r="L1050" s="2736"/>
    </row>
    <row r="1051" customFormat="false" ht="15.5" hidden="false" customHeight="false" outlineLevel="0" collapsed="false">
      <c r="A1051" s="2719"/>
      <c r="B1051" s="87" t="str">
        <f aca="false">перекрытие!A192</f>
        <v>Доска сухая, 200*50мм</v>
      </c>
      <c r="C1051" s="88" t="str">
        <f aca="false">перекрытие!B192</f>
        <v>м.п.</v>
      </c>
      <c r="D1051" s="122" t="n">
        <f aca="false">перекрытие!D192</f>
        <v>0</v>
      </c>
      <c r="E1051" s="89" t="n">
        <f aca="false">перекрытие!E192</f>
        <v>90</v>
      </c>
      <c r="F1051" s="89"/>
      <c r="G1051" s="122" t="n">
        <f aca="false">IF(F1051&gt;0,D1051*F1051,E1051*D1051)</f>
        <v>0</v>
      </c>
      <c r="H1051" s="89" t="n">
        <f aca="false">E1051*D1051*$H$903</f>
        <v>0</v>
      </c>
      <c r="I1051" s="2784" t="n">
        <f aca="false">IF(G1051&gt;H1051,G1051,H1051)*$H$903</f>
        <v>0</v>
      </c>
      <c r="J1051" s="2744"/>
      <c r="K1051" s="226" t="n">
        <f aca="false">D1051-J1051</f>
        <v>0</v>
      </c>
      <c r="L1051" s="2736"/>
    </row>
    <row r="1052" customFormat="false" ht="15.5" hidden="false" customHeight="false" outlineLevel="0" collapsed="false">
      <c r="A1052" s="2719"/>
      <c r="B1052" s="87" t="str">
        <f aca="false">перекрытие!A193</f>
        <v>Пена монтажная, всесезонняя 800мл</v>
      </c>
      <c r="C1052" s="88" t="str">
        <f aca="false">перекрытие!B193</f>
        <v>шт</v>
      </c>
      <c r="D1052" s="122" t="n">
        <f aca="false">перекрытие!D193</f>
        <v>0</v>
      </c>
      <c r="E1052" s="89" t="n">
        <f aca="false">перекрытие!E193</f>
        <v>300</v>
      </c>
      <c r="F1052" s="89"/>
      <c r="G1052" s="122" t="n">
        <f aca="false">IF(F1052&gt;0,D1052*F1052,E1052*D1052)</f>
        <v>0</v>
      </c>
      <c r="H1052" s="89" t="n">
        <f aca="false">E1052*D1052*$H$903</f>
        <v>0</v>
      </c>
      <c r="I1052" s="2784" t="n">
        <f aca="false">IF(G1052&gt;H1052,G1052,H1052)*$H$903</f>
        <v>0</v>
      </c>
      <c r="J1052" s="2744"/>
      <c r="K1052" s="226" t="n">
        <f aca="false">D1052-J1052</f>
        <v>0</v>
      </c>
      <c r="L1052" s="2736"/>
    </row>
    <row r="1053" customFormat="false" ht="15.5" hidden="false" customHeight="false" outlineLevel="0" collapsed="false">
      <c r="A1053" s="2719"/>
      <c r="B1053" s="87" t="str">
        <f aca="false">перекрытие!A194</f>
        <v>Гвозди строительные 3,5 x 90</v>
      </c>
      <c r="C1053" s="88" t="str">
        <f aca="false">перекрытие!B194</f>
        <v>шт</v>
      </c>
      <c r="D1053" s="122" t="n">
        <f aca="false">перекрытие!D194</f>
        <v>0</v>
      </c>
      <c r="E1053" s="89" t="n">
        <f aca="false">перекрытие!E194</f>
        <v>45</v>
      </c>
      <c r="F1053" s="89"/>
      <c r="G1053" s="122" t="n">
        <f aca="false">IF(F1053&gt;0,D1053*F1053,E1053*D1053)</f>
        <v>0</v>
      </c>
      <c r="H1053" s="89" t="n">
        <f aca="false">E1053*D1053*$H$903</f>
        <v>0</v>
      </c>
      <c r="I1053" s="2784" t="n">
        <f aca="false">IF(G1053&gt;H1053,G1053,H1053)*$H$903</f>
        <v>0</v>
      </c>
      <c r="J1053" s="2744"/>
      <c r="K1053" s="226" t="n">
        <f aca="false">D1053-J1053</f>
        <v>0</v>
      </c>
      <c r="L1053" s="2736"/>
    </row>
    <row r="1054" customFormat="false" ht="15.5" hidden="false" customHeight="false" outlineLevel="0" collapsed="false">
      <c r="A1054" s="2719"/>
      <c r="B1054" s="87" t="str">
        <f aca="false">перекрытие!A195</f>
        <v>Саморезы 3,5 x 45</v>
      </c>
      <c r="C1054" s="88" t="str">
        <f aca="false">перекрытие!B195</f>
        <v>шт</v>
      </c>
      <c r="D1054" s="122" t="n">
        <f aca="false">перекрытие!D195</f>
        <v>0</v>
      </c>
      <c r="E1054" s="89" t="n">
        <f aca="false">перекрытие!E195</f>
        <v>0.25</v>
      </c>
      <c r="F1054" s="89"/>
      <c r="G1054" s="122" t="n">
        <f aca="false">IF(F1054&gt;0,D1054*F1054,E1054*D1054)</f>
        <v>0</v>
      </c>
      <c r="H1054" s="89" t="n">
        <f aca="false">E1054*D1054*$H$903</f>
        <v>0</v>
      </c>
      <c r="I1054" s="2784" t="n">
        <f aca="false">IF(G1054&gt;H1054,G1054,H1054)*$H$903</f>
        <v>0</v>
      </c>
      <c r="J1054" s="2744"/>
      <c r="K1054" s="226" t="n">
        <f aca="false">D1054-J1054</f>
        <v>0</v>
      </c>
      <c r="L1054" s="2736"/>
    </row>
    <row r="1055" customFormat="false" ht="15.5" hidden="false" customHeight="false" outlineLevel="0" collapsed="false">
      <c r="A1055" s="2719"/>
      <c r="B1055" s="87" t="str">
        <f aca="false">перекрытие!A196</f>
        <v>Доска сухая, 200*50мм</v>
      </c>
      <c r="C1055" s="88" t="str">
        <f aca="false">перекрытие!B196</f>
        <v>м3</v>
      </c>
      <c r="D1055" s="122" t="n">
        <f aca="false">перекрытие!D196</f>
        <v>0</v>
      </c>
      <c r="E1055" s="89" t="n">
        <f aca="false">перекрытие!E196</f>
        <v>9000</v>
      </c>
      <c r="F1055" s="89"/>
      <c r="G1055" s="122" t="n">
        <f aca="false">IF(F1055&gt;0,D1055*F1055,E1055*D1055)</f>
        <v>0</v>
      </c>
      <c r="H1055" s="89" t="n">
        <f aca="false">E1055*D1055*$H$903</f>
        <v>0</v>
      </c>
      <c r="I1055" s="2784" t="n">
        <f aca="false">IF(G1055&gt;H1055,G1055,H1055)*$H$903</f>
        <v>0</v>
      </c>
      <c r="J1055" s="2744"/>
      <c r="K1055" s="226" t="n">
        <f aca="false">D1055-J1055</f>
        <v>0</v>
      </c>
      <c r="L1055" s="2736"/>
    </row>
    <row r="1056" customFormat="false" ht="15.5" hidden="false" customHeight="false" outlineLevel="0" collapsed="false">
      <c r="A1056" s="2719"/>
      <c r="B1056" s="87" t="str">
        <f aca="false">перекрытие!A197</f>
        <v>Доска сухая, 150*50мм</v>
      </c>
      <c r="C1056" s="88" t="str">
        <f aca="false">перекрытие!B197</f>
        <v>м3</v>
      </c>
      <c r="D1056" s="122" t="n">
        <f aca="false">перекрытие!D197</f>
        <v>0</v>
      </c>
      <c r="E1056" s="89" t="n">
        <f aca="false">перекрытие!E197</f>
        <v>9000</v>
      </c>
      <c r="F1056" s="89"/>
      <c r="G1056" s="122" t="n">
        <f aca="false">IF(F1056&gt;0,D1056*F1056,E1056*D1056)</f>
        <v>0</v>
      </c>
      <c r="H1056" s="89" t="n">
        <f aca="false">E1056*D1056*$H$903</f>
        <v>0</v>
      </c>
      <c r="I1056" s="2784" t="n">
        <f aca="false">IF(G1056&gt;H1056,G1056,H1056)*$H$903</f>
        <v>0</v>
      </c>
      <c r="J1056" s="2744"/>
      <c r="K1056" s="226" t="n">
        <f aca="false">D1056-J1056</f>
        <v>0</v>
      </c>
      <c r="L1056" s="2736"/>
    </row>
    <row r="1057" customFormat="false" ht="15.5" hidden="false" customHeight="false" outlineLevel="0" collapsed="false">
      <c r="A1057" s="2719"/>
      <c r="B1057" s="87" t="str">
        <f aca="false">перекрытие!A198</f>
        <v>Гвозди ершоные 2,8 х 90</v>
      </c>
      <c r="C1057" s="88" t="str">
        <f aca="false">перекрытие!B198</f>
        <v>кг</v>
      </c>
      <c r="D1057" s="122" t="n">
        <f aca="false">перекрытие!D198</f>
        <v>0</v>
      </c>
      <c r="E1057" s="89" t="n">
        <f aca="false">перекрытие!E198</f>
        <v>76.49</v>
      </c>
      <c r="F1057" s="89"/>
      <c r="G1057" s="122" t="n">
        <f aca="false">IF(F1057&gt;0,D1057*F1057,E1057*D1057)</f>
        <v>0</v>
      </c>
      <c r="H1057" s="89" t="n">
        <f aca="false">E1057*D1057*$H$903</f>
        <v>0</v>
      </c>
      <c r="I1057" s="2784" t="n">
        <f aca="false">IF(G1057&gt;H1057,G1057,H1057)*$H$903</f>
        <v>0</v>
      </c>
      <c r="J1057" s="2744"/>
      <c r="K1057" s="226" t="n">
        <f aca="false">D1057-J1057</f>
        <v>0</v>
      </c>
      <c r="L1057" s="2736"/>
    </row>
    <row r="1058" customFormat="false" ht="15.5" hidden="false" customHeight="false" outlineLevel="0" collapsed="false">
      <c r="A1058" s="2719"/>
      <c r="B1058" s="87" t="str">
        <f aca="false">перекрытие!A199</f>
        <v>Доска сухая калиброванная, 190*45мм</v>
      </c>
      <c r="C1058" s="88" t="str">
        <f aca="false">перекрытие!B199</f>
        <v>м3</v>
      </c>
      <c r="D1058" s="122" t="n">
        <f aca="false">перекрытие!D199</f>
        <v>0</v>
      </c>
      <c r="E1058" s="89" t="n">
        <f aca="false">перекрытие!E199</f>
        <v>12500</v>
      </c>
      <c r="F1058" s="89"/>
      <c r="G1058" s="122" t="n">
        <f aca="false">IF(F1058&gt;0,D1058*F1058,E1058*D1058)</f>
        <v>0</v>
      </c>
      <c r="H1058" s="89" t="n">
        <f aca="false">E1058*D1058*$H$903</f>
        <v>0</v>
      </c>
      <c r="I1058" s="2784" t="n">
        <f aca="false">IF(G1058&gt;H1058,G1058,H1058)*$H$903</f>
        <v>0</v>
      </c>
      <c r="J1058" s="2744"/>
      <c r="K1058" s="226" t="n">
        <f aca="false">D1058-J1058</f>
        <v>0</v>
      </c>
      <c r="L1058" s="2736"/>
    </row>
    <row r="1059" customFormat="false" ht="15.5" hidden="false" customHeight="false" outlineLevel="0" collapsed="false">
      <c r="A1059" s="2719"/>
      <c r="B1059" s="87" t="str">
        <f aca="false">перекрытие!A200</f>
        <v>Доска сухая калиброванная, 145*45мм</v>
      </c>
      <c r="C1059" s="88" t="str">
        <f aca="false">перекрытие!B200</f>
        <v>м3</v>
      </c>
      <c r="D1059" s="122" t="n">
        <f aca="false">перекрытие!D200</f>
        <v>0</v>
      </c>
      <c r="E1059" s="89" t="n">
        <f aca="false">перекрытие!E200</f>
        <v>12500</v>
      </c>
      <c r="F1059" s="89"/>
      <c r="G1059" s="122" t="n">
        <f aca="false">IF(F1059&gt;0,D1059*F1059,E1059*D1059)</f>
        <v>0</v>
      </c>
      <c r="H1059" s="89" t="n">
        <f aca="false">E1059*D1059*$H$903</f>
        <v>0</v>
      </c>
      <c r="I1059" s="2784" t="n">
        <f aca="false">IF(G1059&gt;H1059,G1059,H1059)*$H$903</f>
        <v>0</v>
      </c>
      <c r="J1059" s="2744"/>
      <c r="K1059" s="226" t="n">
        <f aca="false">D1059-J1059</f>
        <v>0</v>
      </c>
      <c r="L1059" s="2736"/>
    </row>
    <row r="1060" customFormat="false" ht="15.5" hidden="false" customHeight="false" outlineLevel="0" collapsed="false">
      <c r="A1060" s="2719"/>
      <c r="B1060" s="87" t="str">
        <f aca="false">перекрытие!A201</f>
        <v>Гвозди ершоные 2,8 х 90</v>
      </c>
      <c r="C1060" s="88" t="str">
        <f aca="false">перекрытие!B201</f>
        <v>кг</v>
      </c>
      <c r="D1060" s="122" t="n">
        <f aca="false">перекрытие!D201</f>
        <v>0</v>
      </c>
      <c r="E1060" s="89" t="n">
        <f aca="false">перекрытие!E201</f>
        <v>76.49</v>
      </c>
      <c r="F1060" s="89"/>
      <c r="G1060" s="122" t="n">
        <f aca="false">IF(F1060&gt;0,D1060*F1060,E1060*D1060)</f>
        <v>0</v>
      </c>
      <c r="H1060" s="89" t="n">
        <f aca="false">E1060*D1060*$H$903</f>
        <v>0</v>
      </c>
      <c r="I1060" s="2784" t="n">
        <f aca="false">IF(G1060&gt;H1060,G1060,H1060)*$H$903</f>
        <v>0</v>
      </c>
      <c r="J1060" s="2744"/>
      <c r="K1060" s="226" t="n">
        <f aca="false">D1060-J1060</f>
        <v>0</v>
      </c>
      <c r="L1060" s="2736"/>
    </row>
    <row r="1061" customFormat="false" ht="15.5" hidden="false" customHeight="false" outlineLevel="0" collapsed="false">
      <c r="A1061" s="2719"/>
      <c r="B1061" s="87" t="str">
        <f aca="false">перекрытие!A202</f>
        <v>Двутавровая деревянная балка, 400*65мм</v>
      </c>
      <c r="C1061" s="88" t="str">
        <f aca="false">перекрытие!B202</f>
        <v>м.п.</v>
      </c>
      <c r="D1061" s="122" t="n">
        <f aca="false">перекрытие!D202</f>
        <v>0</v>
      </c>
      <c r="E1061" s="89" t="n">
        <f aca="false">перекрытие!E202</f>
        <v>303</v>
      </c>
      <c r="F1061" s="89"/>
      <c r="G1061" s="122" t="n">
        <f aca="false">IF(F1061&gt;0,D1061*F1061,E1061*D1061)</f>
        <v>0</v>
      </c>
      <c r="H1061" s="89" t="n">
        <f aca="false">E1061*D1061*$H$903</f>
        <v>0</v>
      </c>
      <c r="I1061" s="2784" t="n">
        <f aca="false">IF(G1061&gt;H1061,G1061,H1061)*$H$903</f>
        <v>0</v>
      </c>
      <c r="J1061" s="2744"/>
      <c r="K1061" s="226" t="n">
        <f aca="false">D1061-J1061</f>
        <v>0</v>
      </c>
      <c r="L1061" s="2736"/>
    </row>
    <row r="1062" customFormat="false" ht="15.5" hidden="false" customHeight="false" outlineLevel="0" collapsed="false">
      <c r="A1062" s="2719"/>
      <c r="B1062" s="87" t="str">
        <f aca="false">перекрытие!A203</f>
        <v>Двутавровая деревянная балка, 400*90мм</v>
      </c>
      <c r="C1062" s="88" t="str">
        <f aca="false">перекрытие!B203</f>
        <v>м.п.</v>
      </c>
      <c r="D1062" s="122" t="n">
        <f aca="false">перекрытие!D203</f>
        <v>0</v>
      </c>
      <c r="E1062" s="89" t="n">
        <f aca="false">перекрытие!E203</f>
        <v>355</v>
      </c>
      <c r="F1062" s="89"/>
      <c r="G1062" s="122" t="n">
        <f aca="false">IF(F1062&gt;0,D1062*F1062,E1062*D1062)</f>
        <v>0</v>
      </c>
      <c r="H1062" s="89" t="n">
        <f aca="false">E1062*D1062*$H$903</f>
        <v>0</v>
      </c>
      <c r="I1062" s="2784" t="n">
        <f aca="false">IF(G1062&gt;H1062,G1062,H1062)*$H$903</f>
        <v>0</v>
      </c>
      <c r="J1062" s="2744"/>
      <c r="K1062" s="226" t="n">
        <f aca="false">D1062-J1062</f>
        <v>0</v>
      </c>
      <c r="L1062" s="2736"/>
    </row>
    <row r="1063" customFormat="false" ht="15.5" hidden="false" customHeight="false" outlineLevel="0" collapsed="false">
      <c r="A1063" s="2719"/>
      <c r="B1063" s="87" t="str">
        <f aca="false">перекрытие!A204</f>
        <v>Двутавровая деревянная балка, 350*65мм</v>
      </c>
      <c r="C1063" s="88" t="str">
        <f aca="false">перекрытие!B204</f>
        <v>м.п.</v>
      </c>
      <c r="D1063" s="122" t="n">
        <f aca="false">перекрытие!D204</f>
        <v>0</v>
      </c>
      <c r="E1063" s="89" t="n">
        <f aca="false">перекрытие!E204</f>
        <v>287</v>
      </c>
      <c r="F1063" s="89"/>
      <c r="G1063" s="122" t="n">
        <f aca="false">IF(F1063&gt;0,D1063*F1063,E1063*D1063)</f>
        <v>0</v>
      </c>
      <c r="H1063" s="89" t="n">
        <f aca="false">E1063*D1063*$H$903</f>
        <v>0</v>
      </c>
      <c r="I1063" s="2784" t="n">
        <f aca="false">IF(G1063&gt;H1063,G1063,H1063)*$H$903</f>
        <v>0</v>
      </c>
      <c r="J1063" s="2744"/>
      <c r="K1063" s="226" t="n">
        <f aca="false">D1063-J1063</f>
        <v>0</v>
      </c>
      <c r="L1063" s="2736"/>
    </row>
    <row r="1064" customFormat="false" ht="15.5" hidden="false" customHeight="false" outlineLevel="0" collapsed="false">
      <c r="A1064" s="2719"/>
      <c r="B1064" s="87" t="str">
        <f aca="false">перекрытие!A205</f>
        <v>Двутавровая деревянная балка, 350*90мм</v>
      </c>
      <c r="C1064" s="88" t="str">
        <f aca="false">перекрытие!B205</f>
        <v>м.п.</v>
      </c>
      <c r="D1064" s="122" t="n">
        <f aca="false">перекрытие!D205</f>
        <v>0</v>
      </c>
      <c r="E1064" s="89" t="n">
        <f aca="false">перекрытие!E205</f>
        <v>315</v>
      </c>
      <c r="F1064" s="89"/>
      <c r="G1064" s="122" t="n">
        <f aca="false">IF(F1064&gt;0,D1064*F1064,E1064*D1064)</f>
        <v>0</v>
      </c>
      <c r="H1064" s="89" t="n">
        <f aca="false">E1064*D1064*$H$903</f>
        <v>0</v>
      </c>
      <c r="I1064" s="2784" t="n">
        <f aca="false">IF(G1064&gt;H1064,G1064,H1064)*$H$903</f>
        <v>0</v>
      </c>
      <c r="J1064" s="2744"/>
      <c r="K1064" s="226" t="n">
        <f aca="false">D1064-J1064</f>
        <v>0</v>
      </c>
      <c r="L1064" s="2736"/>
    </row>
    <row r="1065" customFormat="false" ht="15.5" hidden="false" customHeight="false" outlineLevel="0" collapsed="false">
      <c r="A1065" s="2719"/>
      <c r="B1065" s="87" t="str">
        <f aca="false">перекрытие!A206</f>
        <v>Двутавровая деревянная балка, 300*65мм</v>
      </c>
      <c r="C1065" s="88" t="str">
        <f aca="false">перекрытие!B206</f>
        <v>м.п.</v>
      </c>
      <c r="D1065" s="122" t="n">
        <f aca="false">перекрытие!D206</f>
        <v>0</v>
      </c>
      <c r="E1065" s="89" t="n">
        <f aca="false">перекрытие!E206</f>
        <v>273</v>
      </c>
      <c r="F1065" s="89"/>
      <c r="G1065" s="122" t="n">
        <f aca="false">IF(F1065&gt;0,D1065*F1065,E1065*D1065)</f>
        <v>0</v>
      </c>
      <c r="H1065" s="89" t="n">
        <f aca="false">E1065*D1065*$H$903</f>
        <v>0</v>
      </c>
      <c r="I1065" s="2784" t="n">
        <f aca="false">IF(G1065&gt;H1065,G1065,H1065)*$H$903</f>
        <v>0</v>
      </c>
      <c r="J1065" s="2744"/>
      <c r="K1065" s="226" t="n">
        <f aca="false">D1065-J1065</f>
        <v>0</v>
      </c>
      <c r="L1065" s="2736"/>
    </row>
    <row r="1066" customFormat="false" ht="15.5" hidden="false" customHeight="false" outlineLevel="0" collapsed="false">
      <c r="A1066" s="2719"/>
      <c r="B1066" s="87" t="str">
        <f aca="false">перекрытие!A207</f>
        <v>Двутавровая деревянная балка, 300*90мм</v>
      </c>
      <c r="C1066" s="88" t="str">
        <f aca="false">перекрытие!B207</f>
        <v>м.п.</v>
      </c>
      <c r="D1066" s="122" t="n">
        <f aca="false">перекрытие!D207</f>
        <v>0</v>
      </c>
      <c r="E1066" s="89" t="n">
        <f aca="false">перекрытие!E207</f>
        <v>315</v>
      </c>
      <c r="F1066" s="89"/>
      <c r="G1066" s="122" t="n">
        <f aca="false">IF(F1066&gt;0,D1066*F1066,E1066*D1066)</f>
        <v>0</v>
      </c>
      <c r="H1066" s="89" t="n">
        <f aca="false">E1066*D1066*$H$903</f>
        <v>0</v>
      </c>
      <c r="I1066" s="2784" t="n">
        <f aca="false">IF(G1066&gt;H1066,G1066,H1066)*$H$903</f>
        <v>0</v>
      </c>
      <c r="J1066" s="2744"/>
      <c r="K1066" s="226" t="n">
        <f aca="false">D1066-J1066</f>
        <v>0</v>
      </c>
      <c r="L1066" s="2736"/>
    </row>
    <row r="1067" customFormat="false" ht="15.5" hidden="false" customHeight="false" outlineLevel="0" collapsed="false">
      <c r="A1067" s="2719"/>
      <c r="B1067" s="87" t="str">
        <f aca="false">перекрытие!A208</f>
        <v>Двутавровая деревянная балка, 240*65мм</v>
      </c>
      <c r="C1067" s="88" t="str">
        <f aca="false">перекрытие!B208</f>
        <v>м.п.</v>
      </c>
      <c r="D1067" s="122" t="n">
        <f aca="false">перекрытие!D208</f>
        <v>0</v>
      </c>
      <c r="E1067" s="89" t="n">
        <f aca="false">перекрытие!E208</f>
        <v>263</v>
      </c>
      <c r="F1067" s="89"/>
      <c r="G1067" s="122" t="n">
        <f aca="false">IF(F1067&gt;0,D1067*F1067,E1067*D1067)</f>
        <v>0</v>
      </c>
      <c r="H1067" s="89" t="n">
        <f aca="false">E1067*D1067*$H$903</f>
        <v>0</v>
      </c>
      <c r="I1067" s="2784" t="n">
        <f aca="false">IF(G1067&gt;H1067,G1067,H1067)*$H$903</f>
        <v>0</v>
      </c>
      <c r="J1067" s="2744"/>
      <c r="K1067" s="226" t="n">
        <f aca="false">D1067-J1067</f>
        <v>0</v>
      </c>
      <c r="L1067" s="2736"/>
    </row>
    <row r="1068" customFormat="false" ht="15.5" hidden="false" customHeight="false" outlineLevel="0" collapsed="false">
      <c r="A1068" s="2719"/>
      <c r="B1068" s="87" t="str">
        <f aca="false">перекрытие!A209</f>
        <v>Двутавровая деревянная балка, 240*90мм</v>
      </c>
      <c r="C1068" s="88" t="str">
        <f aca="false">перекрытие!B209</f>
        <v>м.п.</v>
      </c>
      <c r="D1068" s="122" t="n">
        <f aca="false">перекрытие!D209</f>
        <v>0</v>
      </c>
      <c r="E1068" s="89" t="n">
        <f aca="false">перекрытие!E209</f>
        <v>291</v>
      </c>
      <c r="F1068" s="89"/>
      <c r="G1068" s="122" t="n">
        <f aca="false">IF(F1068&gt;0,D1068*F1068,E1068*D1068)</f>
        <v>0</v>
      </c>
      <c r="H1068" s="89" t="n">
        <f aca="false">E1068*D1068*$H$903</f>
        <v>0</v>
      </c>
      <c r="I1068" s="2784" t="n">
        <f aca="false">IF(G1068&gt;H1068,G1068,H1068)*$H$903</f>
        <v>0</v>
      </c>
      <c r="J1068" s="2744"/>
      <c r="K1068" s="226" t="n">
        <f aca="false">D1068-J1068</f>
        <v>0</v>
      </c>
      <c r="L1068" s="2736"/>
    </row>
    <row r="1069" customFormat="false" ht="15.5" hidden="false" customHeight="false" outlineLevel="0" collapsed="false">
      <c r="A1069" s="2719"/>
      <c r="B1069" s="87" t="str">
        <f aca="false">перекрытие!A210</f>
        <v>Двутавровая деревянная балка, 200*65мм</v>
      </c>
      <c r="C1069" s="88" t="str">
        <f aca="false">перекрытие!B210</f>
        <v>м.п.</v>
      </c>
      <c r="D1069" s="122" t="n">
        <f aca="false">перекрытие!D210</f>
        <v>0</v>
      </c>
      <c r="E1069" s="89" t="n">
        <f aca="false">перекрытие!E210</f>
        <v>250</v>
      </c>
      <c r="F1069" s="89"/>
      <c r="G1069" s="122" t="n">
        <f aca="false">IF(F1069&gt;0,D1069*F1069,E1069*D1069)</f>
        <v>0</v>
      </c>
      <c r="H1069" s="89" t="n">
        <f aca="false">E1069*D1069*$H$903</f>
        <v>0</v>
      </c>
      <c r="I1069" s="2784" t="n">
        <f aca="false">IF(G1069&gt;H1069,G1069,H1069)*$H$903</f>
        <v>0</v>
      </c>
      <c r="J1069" s="2744"/>
      <c r="K1069" s="226" t="n">
        <f aca="false">D1069-J1069</f>
        <v>0</v>
      </c>
      <c r="L1069" s="2736"/>
    </row>
    <row r="1070" customFormat="false" ht="15.5" hidden="false" customHeight="false" outlineLevel="0" collapsed="false">
      <c r="A1070" s="2719"/>
      <c r="B1070" s="87" t="str">
        <f aca="false">перекрытие!A211</f>
        <v>Двутавровая деревянная балка, 200*90мм</v>
      </c>
      <c r="C1070" s="88" t="str">
        <f aca="false">перекрытие!B211</f>
        <v>м.п.</v>
      </c>
      <c r="D1070" s="122" t="n">
        <f aca="false">перекрытие!D211</f>
        <v>0</v>
      </c>
      <c r="E1070" s="89" t="n">
        <f aca="false">перекрытие!E211</f>
        <v>280</v>
      </c>
      <c r="F1070" s="89"/>
      <c r="G1070" s="122" t="n">
        <f aca="false">IF(F1070&gt;0,D1070*F1070,E1070*D1070)</f>
        <v>0</v>
      </c>
      <c r="H1070" s="89" t="n">
        <f aca="false">E1070*D1070*$H$903</f>
        <v>0</v>
      </c>
      <c r="I1070" s="2784" t="n">
        <f aca="false">IF(G1070&gt;H1070,G1070,H1070)*$H$903</f>
        <v>0</v>
      </c>
      <c r="J1070" s="2744"/>
      <c r="K1070" s="226" t="n">
        <f aca="false">D1070-J1070</f>
        <v>0</v>
      </c>
      <c r="L1070" s="2736"/>
    </row>
    <row r="1071" customFormat="false" ht="15.5" hidden="false" customHeight="false" outlineLevel="0" collapsed="false">
      <c r="A1071" s="2719"/>
      <c r="B1071" s="87" t="str">
        <f aca="false">перекрытие!A212</f>
        <v>Двутавровая деревянная балка, 150*65мм</v>
      </c>
      <c r="C1071" s="88" t="str">
        <f aca="false">перекрытие!B212</f>
        <v>м.п.</v>
      </c>
      <c r="D1071" s="122" t="n">
        <f aca="false">перекрытие!D212</f>
        <v>0</v>
      </c>
      <c r="E1071" s="89" t="n">
        <f aca="false">перекрытие!E212</f>
        <v>220</v>
      </c>
      <c r="F1071" s="89"/>
      <c r="G1071" s="122" t="n">
        <f aca="false">IF(F1071&gt;0,D1071*F1071,E1071*D1071)</f>
        <v>0</v>
      </c>
      <c r="H1071" s="89" t="n">
        <f aca="false">E1071*D1071*$H$903</f>
        <v>0</v>
      </c>
      <c r="I1071" s="2784" t="n">
        <f aca="false">IF(G1071&gt;H1071,G1071,H1071)*$H$903</f>
        <v>0</v>
      </c>
      <c r="J1071" s="2744"/>
      <c r="K1071" s="226" t="n">
        <f aca="false">D1071-J1071</f>
        <v>0</v>
      </c>
      <c r="L1071" s="2736"/>
    </row>
    <row r="1072" customFormat="false" ht="15.5" hidden="false" customHeight="false" outlineLevel="0" collapsed="false">
      <c r="A1072" s="2719"/>
      <c r="B1072" s="87" t="str">
        <f aca="false">перекрытие!A213</f>
        <v>Двутавровая деревянная балка, 150*90мм</v>
      </c>
      <c r="C1072" s="88" t="str">
        <f aca="false">перекрытие!B213</f>
        <v>м.п.</v>
      </c>
      <c r="D1072" s="122" t="n">
        <f aca="false">перекрытие!D213</f>
        <v>0</v>
      </c>
      <c r="E1072" s="89" t="n">
        <f aca="false">перекрытие!E213</f>
        <v>250</v>
      </c>
      <c r="F1072" s="89"/>
      <c r="G1072" s="122" t="n">
        <f aca="false">IF(F1072&gt;0,D1072*F1072,E1072*D1072)</f>
        <v>0</v>
      </c>
      <c r="H1072" s="89" t="n">
        <f aca="false">E1072*D1072*$H$903</f>
        <v>0</v>
      </c>
      <c r="I1072" s="2784" t="n">
        <f aca="false">IF(G1072&gt;H1072,G1072,H1072)*$H$903</f>
        <v>0</v>
      </c>
      <c r="J1072" s="2744"/>
      <c r="K1072" s="226" t="n">
        <f aca="false">D1072-J1072</f>
        <v>0</v>
      </c>
      <c r="L1072" s="2736"/>
    </row>
    <row r="1073" customFormat="false" ht="15.5" hidden="false" customHeight="false" outlineLevel="0" collapsed="false">
      <c r="A1073" s="2719"/>
      <c r="B1073" s="87" t="str">
        <f aca="false">перекрытие!A214</f>
        <v>Уголок усиленный 90х70х55х2,5</v>
      </c>
      <c r="C1073" s="88" t="str">
        <f aca="false">перекрытие!B214</f>
        <v>шт</v>
      </c>
      <c r="D1073" s="122" t="n">
        <f aca="false">перекрытие!D214</f>
        <v>0</v>
      </c>
      <c r="E1073" s="89" t="n">
        <f aca="false">перекрытие!E214</f>
        <v>30</v>
      </c>
      <c r="F1073" s="89"/>
      <c r="G1073" s="122" t="n">
        <f aca="false">IF(F1073&gt;0,D1073*F1073,E1073*D1073)</f>
        <v>0</v>
      </c>
      <c r="H1073" s="89" t="n">
        <f aca="false">E1073*D1073*$H$903</f>
        <v>0</v>
      </c>
      <c r="I1073" s="2784" t="n">
        <f aca="false">IF(G1073&gt;H1073,G1073,H1073)*$H$903</f>
        <v>0</v>
      </c>
      <c r="J1073" s="2744"/>
      <c r="K1073" s="226" t="n">
        <f aca="false">D1073-J1073</f>
        <v>0</v>
      </c>
      <c r="L1073" s="2736"/>
    </row>
    <row r="1074" customFormat="false" ht="15.5" hidden="false" customHeight="false" outlineLevel="0" collapsed="false">
      <c r="A1074" s="2719"/>
      <c r="B1074" s="87" t="str">
        <f aca="false">перекрытие!A215</f>
        <v>Саморезы 3,5 x 55</v>
      </c>
      <c r="C1074" s="88" t="str">
        <f aca="false">перекрытие!B215</f>
        <v>шт</v>
      </c>
      <c r="D1074" s="122" t="n">
        <f aca="false">перекрытие!D215</f>
        <v>0</v>
      </c>
      <c r="E1074" s="89" t="n">
        <f aca="false">перекрытие!E215</f>
        <v>0.3</v>
      </c>
      <c r="F1074" s="89"/>
      <c r="G1074" s="122" t="n">
        <f aca="false">IF(F1074&gt;0,D1074*F1074,E1074*D1074)</f>
        <v>0</v>
      </c>
      <c r="H1074" s="89" t="n">
        <f aca="false">E1074*D1074*$H$903</f>
        <v>0</v>
      </c>
      <c r="I1074" s="2784" t="n">
        <f aca="false">IF(G1074&gt;H1074,G1074,H1074)*$H$903</f>
        <v>0</v>
      </c>
      <c r="J1074" s="2744"/>
      <c r="K1074" s="226" t="n">
        <f aca="false">D1074-J1074</f>
        <v>0</v>
      </c>
      <c r="L1074" s="2736"/>
    </row>
    <row r="1075" customFormat="false" ht="15.5" hidden="false" customHeight="false" outlineLevel="0" collapsed="false">
      <c r="A1075" s="2719"/>
      <c r="B1075" s="87" t="str">
        <f aca="false">перекрытие!A216</f>
        <v>Плитный,28кг/м3, технониколь, 200мм</v>
      </c>
      <c r="C1075" s="88" t="str">
        <f aca="false">перекрытие!B216</f>
        <v>м3</v>
      </c>
      <c r="D1075" s="122" t="n">
        <f aca="false">перекрытие!D216</f>
        <v>0</v>
      </c>
      <c r="E1075" s="89" t="n">
        <f aca="false">перекрытие!E216</f>
        <v>1700</v>
      </c>
      <c r="F1075" s="89"/>
      <c r="G1075" s="122" t="n">
        <f aca="false">IF(F1075&gt;0,D1075*F1075,E1075*D1075)</f>
        <v>0</v>
      </c>
      <c r="H1075" s="89" t="n">
        <f aca="false">E1075*D1075*$H$903</f>
        <v>0</v>
      </c>
      <c r="I1075" s="2784" t="n">
        <f aca="false">IF(G1075&gt;H1075,G1075,H1075)*$H$903</f>
        <v>0</v>
      </c>
      <c r="J1075" s="2744"/>
      <c r="K1075" s="226" t="n">
        <f aca="false">D1075-J1075</f>
        <v>0</v>
      </c>
      <c r="L1075" s="2736"/>
    </row>
    <row r="1076" customFormat="false" ht="15.5" hidden="false" customHeight="false" outlineLevel="0" collapsed="false">
      <c r="A1076" s="2719"/>
      <c r="B1076" s="87" t="str">
        <f aca="false">перекрытие!A217</f>
        <v>Мембрана Folder Classic</v>
      </c>
      <c r="C1076" s="88" t="str">
        <f aca="false">перекрытие!B217</f>
        <v>м2</v>
      </c>
      <c r="D1076" s="122" t="n">
        <f aca="false">перекрытие!D217</f>
        <v>0</v>
      </c>
      <c r="E1076" s="89" t="n">
        <f aca="false">перекрытие!E217</f>
        <v>71</v>
      </c>
      <c r="F1076" s="89"/>
      <c r="G1076" s="122" t="n">
        <f aca="false">IF(F1076&gt;0,D1076*F1076,E1076*D1076)</f>
        <v>0</v>
      </c>
      <c r="H1076" s="89" t="n">
        <f aca="false">E1076*D1076*$H$903</f>
        <v>0</v>
      </c>
      <c r="I1076" s="2784" t="n">
        <f aca="false">IF(G1076&gt;H1076,G1076,H1076)*$H$903</f>
        <v>0</v>
      </c>
      <c r="J1076" s="2744"/>
      <c r="K1076" s="226" t="n">
        <f aca="false">D1076-J1076</f>
        <v>0</v>
      </c>
      <c r="L1076" s="2736"/>
    </row>
    <row r="1077" customFormat="false" ht="15.5" hidden="false" customHeight="false" outlineLevel="0" collapsed="false">
      <c r="A1077" s="2719"/>
      <c r="B1077" s="87" t="str">
        <f aca="false">перекрытие!A218</f>
        <v>Пленка Delta-Reflex</v>
      </c>
      <c r="C1077" s="88" t="str">
        <f aca="false">перекрытие!B218</f>
        <v>м2</v>
      </c>
      <c r="D1077" s="122" t="n">
        <f aca="false">перекрытие!D218</f>
        <v>0</v>
      </c>
      <c r="E1077" s="89" t="n">
        <f aca="false">перекрытие!E218</f>
        <v>156</v>
      </c>
      <c r="F1077" s="89"/>
      <c r="G1077" s="122" t="n">
        <f aca="false">IF(F1077&gt;0,D1077*F1077,E1077*D1077)</f>
        <v>0</v>
      </c>
      <c r="H1077" s="89" t="n">
        <f aca="false">E1077*D1077*$H$903</f>
        <v>0</v>
      </c>
      <c r="I1077" s="2784" t="n">
        <f aca="false">IF(G1077&gt;H1077,G1077,H1077)*$H$903</f>
        <v>0</v>
      </c>
      <c r="J1077" s="2744"/>
      <c r="K1077" s="226" t="n">
        <f aca="false">D1077-J1077</f>
        <v>0</v>
      </c>
      <c r="L1077" s="2736"/>
    </row>
    <row r="1078" customFormat="false" ht="15.5" hidden="false" customHeight="false" outlineLevel="0" collapsed="false">
      <c r="A1078" s="2719"/>
      <c r="B1078" s="87" t="str">
        <f aca="false">перекрытие!A219</f>
        <v>нет</v>
      </c>
      <c r="C1078" s="88" t="str">
        <f aca="false">перекрытие!B219</f>
        <v>м3</v>
      </c>
      <c r="D1078" s="122" t="n">
        <f aca="false">перекрытие!D219</f>
        <v>0</v>
      </c>
      <c r="E1078" s="89" t="n">
        <f aca="false">перекрытие!E219</f>
        <v>0</v>
      </c>
      <c r="F1078" s="89"/>
      <c r="G1078" s="122" t="n">
        <f aca="false">IF(F1078&gt;0,D1078*F1078,E1078*D1078)</f>
        <v>0</v>
      </c>
      <c r="H1078" s="89" t="n">
        <f aca="false">E1078*D1078*$H$903</f>
        <v>0</v>
      </c>
      <c r="I1078" s="2784" t="n">
        <f aca="false">IF(G1078&gt;H1078,G1078,H1078)*$H$903</f>
        <v>0</v>
      </c>
      <c r="J1078" s="2744"/>
      <c r="K1078" s="226" t="n">
        <f aca="false">D1078-J1078</f>
        <v>0</v>
      </c>
      <c r="L1078" s="2736"/>
    </row>
    <row r="1079" customFormat="false" ht="15.5" hidden="false" customHeight="false" outlineLevel="0" collapsed="false">
      <c r="A1079" s="2719"/>
      <c r="B1079" s="87" t="str">
        <f aca="false">перекрытие!A220</f>
        <v>нет</v>
      </c>
      <c r="C1079" s="88" t="str">
        <f aca="false">перекрытие!B220</f>
        <v>м3</v>
      </c>
      <c r="D1079" s="122" t="n">
        <f aca="false">перекрытие!D220</f>
        <v>0</v>
      </c>
      <c r="E1079" s="89" t="n">
        <f aca="false">перекрытие!E220</f>
        <v>0</v>
      </c>
      <c r="F1079" s="89"/>
      <c r="G1079" s="122" t="n">
        <f aca="false">IF(F1079&gt;0,D1079*F1079,E1079*D1079)</f>
        <v>0</v>
      </c>
      <c r="H1079" s="89" t="n">
        <f aca="false">E1079*D1079*$H$903</f>
        <v>0</v>
      </c>
      <c r="I1079" s="2784" t="n">
        <f aca="false">IF(G1079&gt;H1079,G1079,H1079)*$H$903</f>
        <v>0</v>
      </c>
      <c r="J1079" s="2744"/>
      <c r="K1079" s="226" t="n">
        <f aca="false">D1079-J1079</f>
        <v>0</v>
      </c>
      <c r="L1079" s="2736"/>
    </row>
    <row r="1080" customFormat="false" ht="15.5" hidden="false" customHeight="false" outlineLevel="0" collapsed="false">
      <c r="A1080" s="2719"/>
      <c r="B1080" s="87" t="str">
        <f aca="false">перекрытие!A221</f>
        <v>нет</v>
      </c>
      <c r="C1080" s="88" t="str">
        <f aca="false">перекрытие!B221</f>
        <v>м3</v>
      </c>
      <c r="D1080" s="122" t="n">
        <f aca="false">перекрытие!D221</f>
        <v>0</v>
      </c>
      <c r="E1080" s="89" t="n">
        <f aca="false">перекрытие!E221</f>
        <v>0</v>
      </c>
      <c r="F1080" s="89"/>
      <c r="G1080" s="122" t="n">
        <f aca="false">IF(F1080&gt;0,D1080*F1080,E1080*D1080)</f>
        <v>0</v>
      </c>
      <c r="H1080" s="89" t="n">
        <f aca="false">E1080*D1080*$H$903</f>
        <v>0</v>
      </c>
      <c r="I1080" s="2784" t="n">
        <f aca="false">IF(G1080&gt;H1080,G1080,H1080)*$H$903</f>
        <v>0</v>
      </c>
      <c r="J1080" s="2744"/>
      <c r="K1080" s="226" t="n">
        <f aca="false">D1080-J1080</f>
        <v>0</v>
      </c>
      <c r="L1080" s="2736"/>
    </row>
    <row r="1081" customFormat="false" ht="15.5" hidden="false" customHeight="false" outlineLevel="0" collapsed="false">
      <c r="A1081" s="2719"/>
      <c r="B1081" s="87" t="str">
        <f aca="false">перекрытие!A222</f>
        <v>нет</v>
      </c>
      <c r="C1081" s="88" t="str">
        <f aca="false">перекрытие!B222</f>
        <v>м3</v>
      </c>
      <c r="D1081" s="122" t="n">
        <f aca="false">перекрытие!D222</f>
        <v>0</v>
      </c>
      <c r="E1081" s="89" t="n">
        <f aca="false">перекрытие!E222</f>
        <v>0</v>
      </c>
      <c r="F1081" s="89"/>
      <c r="G1081" s="122" t="n">
        <f aca="false">IF(F1081&gt;0,D1081*F1081,E1081*D1081)</f>
        <v>0</v>
      </c>
      <c r="H1081" s="89" t="n">
        <f aca="false">E1081*D1081*$H$903</f>
        <v>0</v>
      </c>
      <c r="I1081" s="2784" t="n">
        <f aca="false">IF(G1081&gt;H1081,G1081,H1081)*$H$903</f>
        <v>0</v>
      </c>
      <c r="J1081" s="2744"/>
      <c r="K1081" s="226" t="n">
        <f aca="false">D1081-J1081</f>
        <v>0</v>
      </c>
      <c r="L1081" s="2736"/>
    </row>
    <row r="1082" customFormat="false" ht="15.5" hidden="false" customHeight="false" outlineLevel="0" collapsed="false">
      <c r="A1082" s="2719"/>
      <c r="B1082" s="87" t="str">
        <f aca="false">перекрытие!A223</f>
        <v>нет</v>
      </c>
      <c r="C1082" s="88" t="str">
        <f aca="false">перекрытие!B223</f>
        <v>м3</v>
      </c>
      <c r="D1082" s="122" t="n">
        <f aca="false">перекрытие!D223</f>
        <v>0</v>
      </c>
      <c r="E1082" s="89" t="n">
        <f aca="false">перекрытие!E223</f>
        <v>0</v>
      </c>
      <c r="F1082" s="89"/>
      <c r="G1082" s="122" t="n">
        <f aca="false">IF(F1082&gt;0,D1082*F1082,E1082*D1082)</f>
        <v>0</v>
      </c>
      <c r="H1082" s="89" t="n">
        <f aca="false">E1082*D1082*$H$903</f>
        <v>0</v>
      </c>
      <c r="I1082" s="2784" t="n">
        <f aca="false">IF(G1082&gt;H1082,G1082,H1082)*$H$903</f>
        <v>0</v>
      </c>
      <c r="J1082" s="2744"/>
      <c r="K1082" s="226" t="n">
        <f aca="false">D1082-J1082</f>
        <v>0</v>
      </c>
      <c r="L1082" s="2736"/>
    </row>
    <row r="1083" customFormat="false" ht="15.5" hidden="false" customHeight="false" outlineLevel="0" collapsed="false">
      <c r="A1083" s="2719"/>
      <c r="B1083" s="87" t="str">
        <f aca="false">перекрытие!A224</f>
        <v>Сосна влаж, 50*50мм</v>
      </c>
      <c r="C1083" s="88" t="str">
        <f aca="false">перекрытие!B224</f>
        <v>м3</v>
      </c>
      <c r="D1083" s="122" t="n">
        <f aca="false">перекрытие!D224</f>
        <v>0</v>
      </c>
      <c r="E1083" s="89" t="n">
        <f aca="false">перекрытие!E224</f>
        <v>6500</v>
      </c>
      <c r="F1083" s="89"/>
      <c r="G1083" s="122" t="n">
        <f aca="false">IF(F1083&gt;0,D1083*F1083,E1083*D1083)</f>
        <v>0</v>
      </c>
      <c r="H1083" s="89" t="n">
        <f aca="false">E1083*D1083*$H$903</f>
        <v>0</v>
      </c>
      <c r="I1083" s="2784" t="n">
        <f aca="false">IF(G1083&gt;H1083,G1083,H1083)*$H$903</f>
        <v>0</v>
      </c>
      <c r="J1083" s="2744"/>
      <c r="K1083" s="226" t="n">
        <f aca="false">D1083-J1083</f>
        <v>0</v>
      </c>
      <c r="L1083" s="2736"/>
    </row>
    <row r="1084" customFormat="false" ht="15.5" hidden="false" customHeight="false" outlineLevel="0" collapsed="false">
      <c r="A1084" s="2719"/>
      <c r="B1084" s="87" t="str">
        <f aca="false">перекрытие!A225</f>
        <v>Гвозди ершоные 2,8 х 90</v>
      </c>
      <c r="C1084" s="88" t="str">
        <f aca="false">перекрытие!B225</f>
        <v>кг</v>
      </c>
      <c r="D1084" s="122" t="n">
        <f aca="false">перекрытие!D225</f>
        <v>0</v>
      </c>
      <c r="E1084" s="89" t="n">
        <f aca="false">перекрытие!E225</f>
        <v>76.49</v>
      </c>
      <c r="F1084" s="89"/>
      <c r="G1084" s="122" t="n">
        <f aca="false">IF(F1084&gt;0,D1084*F1084,E1084*D1084)</f>
        <v>0</v>
      </c>
      <c r="H1084" s="89" t="n">
        <f aca="false">E1084*D1084*$H$903</f>
        <v>0</v>
      </c>
      <c r="I1084" s="2784" t="n">
        <f aca="false">IF(G1084&gt;H1084,G1084,H1084)*$H$903</f>
        <v>0</v>
      </c>
      <c r="J1084" s="2744"/>
      <c r="K1084" s="226" t="n">
        <f aca="false">D1084-J1084</f>
        <v>0</v>
      </c>
      <c r="L1084" s="2736"/>
    </row>
    <row r="1085" customFormat="false" ht="15.5" hidden="false" customHeight="false" outlineLevel="0" collapsed="false">
      <c r="A1085" s="2719"/>
      <c r="B1085" s="87" t="str">
        <f aca="false">перекрытие!A238</f>
        <v>ГПС 100х50-1,2</v>
      </c>
      <c r="C1085" s="88" t="str">
        <f aca="false">перекрытие!B238</f>
        <v>м.п.</v>
      </c>
      <c r="D1085" s="122" t="n">
        <f aca="false">перекрытие!D238</f>
        <v>0</v>
      </c>
      <c r="E1085" s="89" t="n">
        <f aca="false">перекрытие!E238</f>
        <v>163</v>
      </c>
      <c r="F1085" s="89"/>
      <c r="G1085" s="122" t="n">
        <f aca="false">IF(F1085&gt;0,D1085*F1085,E1085*D1085)</f>
        <v>0</v>
      </c>
      <c r="H1085" s="89" t="n">
        <f aca="false">E1085*D1085*$H$903</f>
        <v>0</v>
      </c>
      <c r="I1085" s="2784"/>
      <c r="J1085" s="2744"/>
      <c r="K1085" s="226" t="n">
        <f aca="false">D1085-J1085</f>
        <v>0</v>
      </c>
      <c r="L1085" s="2736"/>
    </row>
    <row r="1086" customFormat="false" ht="15.5" hidden="false" customHeight="false" outlineLevel="0" collapsed="false">
      <c r="A1086" s="2719"/>
      <c r="B1086" s="87" t="str">
        <f aca="false">перекрытие!A239</f>
        <v>ГПС 100х50-1,5</v>
      </c>
      <c r="C1086" s="88" t="str">
        <f aca="false">перекрытие!B239</f>
        <v>м.п.</v>
      </c>
      <c r="D1086" s="122" t="n">
        <f aca="false">перекрытие!D239</f>
        <v>0</v>
      </c>
      <c r="E1086" s="89" t="n">
        <f aca="false">перекрытие!E239</f>
        <v>204</v>
      </c>
      <c r="F1086" s="89"/>
      <c r="G1086" s="122" t="n">
        <f aca="false">IF(F1086&gt;0,D1086*F1086,E1086*D1086)</f>
        <v>0</v>
      </c>
      <c r="H1086" s="89" t="n">
        <f aca="false">E1086*D1086*$H$903</f>
        <v>0</v>
      </c>
      <c r="I1086" s="2784"/>
      <c r="J1086" s="2744"/>
      <c r="K1086" s="226" t="n">
        <f aca="false">D1086-J1086</f>
        <v>0</v>
      </c>
      <c r="L1086" s="2736"/>
    </row>
    <row r="1087" customFormat="false" ht="15.5" hidden="false" customHeight="false" outlineLevel="0" collapsed="false">
      <c r="A1087" s="2719"/>
      <c r="B1087" s="87" t="str">
        <f aca="false">перекрытие!A240</f>
        <v>ГПС 120х50-1,5</v>
      </c>
      <c r="C1087" s="88" t="str">
        <f aca="false">перекрытие!B240</f>
        <v>м.п.</v>
      </c>
      <c r="D1087" s="122" t="n">
        <f aca="false">перекрытие!D240</f>
        <v>0</v>
      </c>
      <c r="E1087" s="89" t="n">
        <f aca="false">перекрытие!E240</f>
        <v>272</v>
      </c>
      <c r="F1087" s="89"/>
      <c r="G1087" s="122" t="n">
        <f aca="false">IF(F1087&gt;0,D1087*F1087,E1087*D1087)</f>
        <v>0</v>
      </c>
      <c r="H1087" s="89" t="n">
        <f aca="false">E1087*D1087*$H$903</f>
        <v>0</v>
      </c>
      <c r="I1087" s="2784"/>
      <c r="J1087" s="2744"/>
      <c r="K1087" s="226" t="n">
        <f aca="false">D1087-J1087</f>
        <v>0</v>
      </c>
      <c r="L1087" s="2736"/>
    </row>
    <row r="1088" customFormat="false" ht="15.5" hidden="false" customHeight="false" outlineLevel="0" collapsed="false">
      <c r="A1088" s="2719"/>
      <c r="B1088" s="87" t="str">
        <f aca="false">перекрытие!A241</f>
        <v>ГПС 120х50-2,0</v>
      </c>
      <c r="C1088" s="88" t="str">
        <f aca="false">перекрытие!B241</f>
        <v>м.п.</v>
      </c>
      <c r="D1088" s="122" t="n">
        <f aca="false">перекрытие!D241</f>
        <v>0</v>
      </c>
      <c r="E1088" s="89" t="n">
        <f aca="false">перекрытие!E241</f>
        <v>179</v>
      </c>
      <c r="F1088" s="89"/>
      <c r="G1088" s="122" t="n">
        <f aca="false">IF(F1088&gt;0,D1088*F1088,E1088*D1088)</f>
        <v>0</v>
      </c>
      <c r="H1088" s="89" t="n">
        <f aca="false">E1088*D1088*$H$903</f>
        <v>0</v>
      </c>
      <c r="I1088" s="2784"/>
      <c r="J1088" s="2744"/>
      <c r="K1088" s="226" t="n">
        <f aca="false">D1088-J1088</f>
        <v>0</v>
      </c>
      <c r="L1088" s="2736"/>
    </row>
    <row r="1089" customFormat="false" ht="15.5" hidden="false" customHeight="false" outlineLevel="0" collapsed="false">
      <c r="A1089" s="2719"/>
      <c r="B1089" s="87" t="str">
        <f aca="false">перекрытие!A242</f>
        <v>ГПС 150х50-1,2</v>
      </c>
      <c r="C1089" s="88" t="str">
        <f aca="false">перекрытие!B242</f>
        <v>м.п.</v>
      </c>
      <c r="D1089" s="122" t="n">
        <f aca="false">перекрытие!D242</f>
        <v>0</v>
      </c>
      <c r="E1089" s="89" t="n">
        <f aca="false">перекрытие!E242</f>
        <v>224</v>
      </c>
      <c r="F1089" s="89"/>
      <c r="G1089" s="122" t="n">
        <f aca="false">IF(F1089&gt;0,D1089*F1089,E1089*D1089)</f>
        <v>0</v>
      </c>
      <c r="H1089" s="89" t="n">
        <f aca="false">E1089*D1089*$H$903</f>
        <v>0</v>
      </c>
      <c r="I1089" s="2784"/>
      <c r="J1089" s="2744"/>
      <c r="K1089" s="226" t="n">
        <f aca="false">D1089-J1089</f>
        <v>0</v>
      </c>
      <c r="L1089" s="2736"/>
    </row>
    <row r="1090" customFormat="false" ht="15.5" hidden="false" customHeight="false" outlineLevel="0" collapsed="false">
      <c r="A1090" s="2719"/>
      <c r="B1090" s="87" t="str">
        <f aca="false">перекрытие!A243</f>
        <v>ГПС 150х50-1,5</v>
      </c>
      <c r="C1090" s="88" t="str">
        <f aca="false">перекрытие!B243</f>
        <v>м.п.</v>
      </c>
      <c r="D1090" s="122" t="n">
        <f aca="false">перекрытие!D243</f>
        <v>0</v>
      </c>
      <c r="E1090" s="89" t="n">
        <f aca="false">перекрытие!E243</f>
        <v>299</v>
      </c>
      <c r="F1090" s="89"/>
      <c r="G1090" s="122" t="n">
        <f aca="false">IF(F1090&gt;0,D1090*F1090,E1090*D1090)</f>
        <v>0</v>
      </c>
      <c r="H1090" s="89" t="n">
        <f aca="false">E1090*D1090*$H$903</f>
        <v>0</v>
      </c>
      <c r="I1090" s="2784"/>
      <c r="J1090" s="2744"/>
      <c r="K1090" s="226" t="n">
        <f aca="false">D1090-J1090</f>
        <v>0</v>
      </c>
      <c r="L1090" s="2736"/>
    </row>
    <row r="1091" customFormat="false" ht="15.5" hidden="false" customHeight="false" outlineLevel="0" collapsed="false">
      <c r="A1091" s="2719"/>
      <c r="B1091" s="87" t="str">
        <f aca="false">перекрытие!A244</f>
        <v>ГПС 150х50-2,0</v>
      </c>
      <c r="C1091" s="88" t="str">
        <f aca="false">перекрытие!B244</f>
        <v>м.п.</v>
      </c>
      <c r="D1091" s="122" t="n">
        <f aca="false">перекрытие!D244</f>
        <v>0</v>
      </c>
      <c r="E1091" s="89" t="n">
        <f aca="false">перекрытие!E244</f>
        <v>201</v>
      </c>
      <c r="F1091" s="89"/>
      <c r="G1091" s="122" t="n">
        <f aca="false">IF(F1091&gt;0,D1091*F1091,E1091*D1091)</f>
        <v>0</v>
      </c>
      <c r="H1091" s="89" t="n">
        <f aca="false">E1091*D1091*$H$903</f>
        <v>0</v>
      </c>
      <c r="I1091" s="2784"/>
      <c r="J1091" s="2744"/>
      <c r="K1091" s="226" t="n">
        <f aca="false">D1091-J1091</f>
        <v>0</v>
      </c>
      <c r="L1091" s="2736"/>
    </row>
    <row r="1092" customFormat="false" ht="15.5" hidden="false" customHeight="false" outlineLevel="0" collapsed="false">
      <c r="A1092" s="2719"/>
      <c r="B1092" s="87" t="str">
        <f aca="false">перекрытие!A245</f>
        <v>ГПС 170х50-1,2</v>
      </c>
      <c r="C1092" s="88" t="str">
        <f aca="false">перекрытие!B245</f>
        <v>м.п.</v>
      </c>
      <c r="D1092" s="122" t="n">
        <f aca="false">перекрытие!D245</f>
        <v>0</v>
      </c>
      <c r="E1092" s="89" t="n">
        <f aca="false">перекрытие!E245</f>
        <v>252</v>
      </c>
      <c r="F1092" s="89"/>
      <c r="G1092" s="122" t="n">
        <f aca="false">IF(F1092&gt;0,D1092*F1092,E1092*D1092)</f>
        <v>0</v>
      </c>
      <c r="H1092" s="89" t="n">
        <f aca="false">E1092*D1092*$H$903</f>
        <v>0</v>
      </c>
      <c r="I1092" s="2784"/>
      <c r="J1092" s="2744"/>
      <c r="K1092" s="226" t="n">
        <f aca="false">D1092-J1092</f>
        <v>0</v>
      </c>
      <c r="L1092" s="2736"/>
    </row>
    <row r="1093" customFormat="false" ht="15.5" hidden="false" customHeight="false" outlineLevel="0" collapsed="false">
      <c r="A1093" s="2719"/>
      <c r="B1093" s="87" t="str">
        <f aca="false">перекрытие!A246</f>
        <v>ГПС 170х50-1,5</v>
      </c>
      <c r="C1093" s="88" t="str">
        <f aca="false">перекрытие!B246</f>
        <v>м.п.</v>
      </c>
      <c r="D1093" s="122" t="n">
        <f aca="false">перекрытие!D246</f>
        <v>0</v>
      </c>
      <c r="E1093" s="89" t="n">
        <f aca="false">перекрытие!E246</f>
        <v>330</v>
      </c>
      <c r="F1093" s="89"/>
      <c r="G1093" s="122" t="n">
        <f aca="false">IF(F1093&gt;0,D1093*F1093,E1093*D1093)</f>
        <v>0</v>
      </c>
      <c r="H1093" s="89" t="n">
        <f aca="false">E1093*D1093*$H$903</f>
        <v>0</v>
      </c>
      <c r="I1093" s="2784"/>
      <c r="J1093" s="2744"/>
      <c r="K1093" s="226" t="n">
        <f aca="false">D1093-J1093</f>
        <v>0</v>
      </c>
      <c r="L1093" s="2736"/>
    </row>
    <row r="1094" customFormat="false" ht="15.5" hidden="false" customHeight="false" outlineLevel="0" collapsed="false">
      <c r="A1094" s="2719"/>
      <c r="B1094" s="87" t="str">
        <f aca="false">перекрытие!A247</f>
        <v>ГПС 170х50-2,0</v>
      </c>
      <c r="C1094" s="88" t="str">
        <f aca="false">перекрытие!B247</f>
        <v>м.п.</v>
      </c>
      <c r="D1094" s="122" t="n">
        <f aca="false">перекрытие!D247</f>
        <v>0</v>
      </c>
      <c r="E1094" s="89" t="n">
        <f aca="false">перекрытие!E247</f>
        <v>215</v>
      </c>
      <c r="F1094" s="89"/>
      <c r="G1094" s="122" t="n">
        <f aca="false">IF(F1094&gt;0,D1094*F1094,E1094*D1094)</f>
        <v>0</v>
      </c>
      <c r="H1094" s="89" t="n">
        <f aca="false">E1094*D1094*$H$903</f>
        <v>0</v>
      </c>
      <c r="I1094" s="2784"/>
      <c r="J1094" s="2744"/>
      <c r="K1094" s="226" t="n">
        <f aca="false">D1094-J1094</f>
        <v>0</v>
      </c>
      <c r="L1094" s="2736"/>
    </row>
    <row r="1095" customFormat="false" ht="15.5" hidden="false" customHeight="false" outlineLevel="0" collapsed="false">
      <c r="A1095" s="2719"/>
      <c r="B1095" s="87" t="str">
        <f aca="false">перекрытие!A248</f>
        <v>ГПС 200х50-1,2</v>
      </c>
      <c r="C1095" s="88" t="str">
        <f aca="false">перекрытие!B248</f>
        <v>м.п.</v>
      </c>
      <c r="D1095" s="122" t="n">
        <f aca="false">перекрытие!D248</f>
        <v>0</v>
      </c>
      <c r="E1095" s="89" t="n">
        <f aca="false">перекрытие!E248</f>
        <v>269</v>
      </c>
      <c r="F1095" s="89"/>
      <c r="G1095" s="122" t="n">
        <f aca="false">IF(F1095&gt;0,D1095*F1095,E1095*D1095)</f>
        <v>0</v>
      </c>
      <c r="H1095" s="89" t="n">
        <f aca="false">E1095*D1095*$H$903</f>
        <v>0</v>
      </c>
      <c r="I1095" s="2784"/>
      <c r="J1095" s="2744"/>
      <c r="K1095" s="226" t="n">
        <f aca="false">D1095-J1095</f>
        <v>0</v>
      </c>
      <c r="L1095" s="2736"/>
    </row>
    <row r="1096" customFormat="false" ht="15.5" hidden="false" customHeight="false" outlineLevel="0" collapsed="false">
      <c r="A1096" s="2719"/>
      <c r="B1096" s="87" t="str">
        <f aca="false">перекрытие!A249</f>
        <v>ГПС 200х50-1,5</v>
      </c>
      <c r="C1096" s="88" t="str">
        <f aca="false">перекрытие!B249</f>
        <v>м.п.</v>
      </c>
      <c r="D1096" s="122" t="n">
        <f aca="false">перекрытие!D249</f>
        <v>0</v>
      </c>
      <c r="E1096" s="89" t="n">
        <f aca="false">перекрытие!E249</f>
        <v>358</v>
      </c>
      <c r="F1096" s="89"/>
      <c r="G1096" s="122" t="n">
        <f aca="false">IF(F1096&gt;0,D1096*F1096,E1096*D1096)</f>
        <v>0</v>
      </c>
      <c r="H1096" s="89" t="n">
        <f aca="false">E1096*D1096*$H$903</f>
        <v>0</v>
      </c>
      <c r="I1096" s="2784"/>
      <c r="J1096" s="2744"/>
      <c r="K1096" s="226" t="n">
        <f aca="false">D1096-J1096</f>
        <v>0</v>
      </c>
      <c r="L1096" s="2736"/>
    </row>
    <row r="1097" customFormat="false" ht="15.5" hidden="false" customHeight="false" outlineLevel="0" collapsed="false">
      <c r="A1097" s="2719"/>
      <c r="B1097" s="87" t="str">
        <f aca="false">перекрытие!A250</f>
        <v>ГПС 200х50-2,0</v>
      </c>
      <c r="C1097" s="88" t="str">
        <f aca="false">перекрытие!B250</f>
        <v>м.п.</v>
      </c>
      <c r="D1097" s="122" t="n">
        <f aca="false">перекрытие!D250</f>
        <v>0</v>
      </c>
      <c r="E1097" s="89" t="n">
        <f aca="false">перекрытие!E250</f>
        <v>239</v>
      </c>
      <c r="F1097" s="89"/>
      <c r="G1097" s="122" t="n">
        <f aca="false">IF(F1097&gt;0,D1097*F1097,E1097*D1097)</f>
        <v>0</v>
      </c>
      <c r="H1097" s="89" t="n">
        <f aca="false">E1097*D1097*$H$903</f>
        <v>0</v>
      </c>
      <c r="I1097" s="2784"/>
      <c r="J1097" s="2744"/>
      <c r="K1097" s="226" t="n">
        <f aca="false">D1097-J1097</f>
        <v>0</v>
      </c>
      <c r="L1097" s="2736"/>
    </row>
    <row r="1098" customFormat="false" ht="15.5" hidden="false" customHeight="false" outlineLevel="0" collapsed="false">
      <c r="A1098" s="2719"/>
      <c r="B1098" s="87" t="str">
        <f aca="false">перекрытие!A251</f>
        <v>ГПС 250х50-1,2</v>
      </c>
      <c r="C1098" s="88" t="str">
        <f aca="false">перекрытие!B251</f>
        <v>м.п.</v>
      </c>
      <c r="D1098" s="122" t="n">
        <f aca="false">перекрытие!D251</f>
        <v>0</v>
      </c>
      <c r="E1098" s="89" t="n">
        <f aca="false">перекрытие!E251</f>
        <v>299</v>
      </c>
      <c r="F1098" s="89"/>
      <c r="G1098" s="122" t="n">
        <f aca="false">IF(F1098&gt;0,D1098*F1098,E1098*D1098)</f>
        <v>0</v>
      </c>
      <c r="H1098" s="89" t="n">
        <f aca="false">E1098*D1098*$H$903</f>
        <v>0</v>
      </c>
      <c r="I1098" s="2784"/>
      <c r="J1098" s="2744"/>
      <c r="K1098" s="226" t="n">
        <f aca="false">D1098-J1098</f>
        <v>0</v>
      </c>
      <c r="L1098" s="2736"/>
    </row>
    <row r="1099" customFormat="false" ht="15.5" hidden="false" customHeight="false" outlineLevel="0" collapsed="false">
      <c r="A1099" s="2719"/>
      <c r="B1099" s="87" t="str">
        <f aca="false">перекрытие!A252</f>
        <v>ГПС 250х50-1,5</v>
      </c>
      <c r="C1099" s="88" t="str">
        <f aca="false">перекрытие!B252</f>
        <v>м.п.</v>
      </c>
      <c r="D1099" s="122" t="n">
        <f aca="false">перекрытие!D252</f>
        <v>0</v>
      </c>
      <c r="E1099" s="89" t="n">
        <f aca="false">перекрытие!E252</f>
        <v>397</v>
      </c>
      <c r="F1099" s="89"/>
      <c r="G1099" s="122" t="n">
        <f aca="false">IF(F1099&gt;0,D1099*F1099,E1099*D1099)</f>
        <v>0</v>
      </c>
      <c r="H1099" s="89" t="n">
        <f aca="false">E1099*D1099*$H$903</f>
        <v>0</v>
      </c>
      <c r="I1099" s="2784"/>
      <c r="J1099" s="2744"/>
      <c r="K1099" s="226" t="n">
        <f aca="false">D1099-J1099</f>
        <v>0</v>
      </c>
      <c r="L1099" s="2736"/>
    </row>
    <row r="1100" customFormat="false" ht="15.5" hidden="false" customHeight="false" outlineLevel="0" collapsed="false">
      <c r="A1100" s="2719"/>
      <c r="B1100" s="87" t="str">
        <f aca="false">перекрытие!A253</f>
        <v>ГПС 250х50-2,0</v>
      </c>
      <c r="C1100" s="88" t="str">
        <f aca="false">перекрытие!B253</f>
        <v>м.п.</v>
      </c>
      <c r="D1100" s="122" t="n">
        <f aca="false">перекрытие!D253</f>
        <v>0</v>
      </c>
      <c r="E1100" s="89" t="n">
        <f aca="false">перекрытие!E253</f>
        <v>274</v>
      </c>
      <c r="F1100" s="89"/>
      <c r="G1100" s="122" t="n">
        <f aca="false">IF(F1100&gt;0,D1100*F1100,E1100*D1100)</f>
        <v>0</v>
      </c>
      <c r="H1100" s="89" t="n">
        <f aca="false">E1100*D1100*$H$903</f>
        <v>0</v>
      </c>
      <c r="I1100" s="2784"/>
      <c r="J1100" s="2744"/>
      <c r="K1100" s="226" t="n">
        <f aca="false">D1100-J1100</f>
        <v>0</v>
      </c>
      <c r="L1100" s="2736"/>
    </row>
    <row r="1101" customFormat="false" ht="15.5" hidden="false" customHeight="false" outlineLevel="0" collapsed="false">
      <c r="A1101" s="2719"/>
      <c r="B1101" s="87" t="str">
        <f aca="false">перекрытие!A254</f>
        <v>ГПС 280х50-1,2</v>
      </c>
      <c r="C1101" s="88" t="str">
        <f aca="false">перекрытие!B254</f>
        <v>м.п.</v>
      </c>
      <c r="D1101" s="122" t="n">
        <f aca="false">перекрытие!D254</f>
        <v>0</v>
      </c>
      <c r="E1101" s="89" t="n">
        <f aca="false">перекрытие!E254</f>
        <v>344</v>
      </c>
      <c r="F1101" s="89"/>
      <c r="G1101" s="122" t="n">
        <f aca="false">IF(F1101&gt;0,D1101*F1101,E1101*D1101)</f>
        <v>0</v>
      </c>
      <c r="H1101" s="89" t="n">
        <f aca="false">E1101*D1101*$H$903</f>
        <v>0</v>
      </c>
      <c r="I1101" s="2784"/>
      <c r="J1101" s="2744"/>
      <c r="K1101" s="226" t="n">
        <f aca="false">D1101-J1101</f>
        <v>0</v>
      </c>
      <c r="L1101" s="2736"/>
    </row>
    <row r="1102" customFormat="false" ht="15.5" hidden="false" customHeight="false" outlineLevel="0" collapsed="false">
      <c r="A1102" s="2719"/>
      <c r="B1102" s="87" t="str">
        <f aca="false">перекрытие!A255</f>
        <v>ГПС 280х50-1,5</v>
      </c>
      <c r="C1102" s="88" t="str">
        <f aca="false">перекрытие!B255</f>
        <v>м.п.</v>
      </c>
      <c r="D1102" s="122" t="n">
        <f aca="false">перекрытие!D255</f>
        <v>0</v>
      </c>
      <c r="E1102" s="89" t="n">
        <f aca="false">перекрытие!E255</f>
        <v>450</v>
      </c>
      <c r="F1102" s="89"/>
      <c r="G1102" s="122" t="n">
        <f aca="false">IF(F1102&gt;0,D1102*F1102,E1102*D1102)</f>
        <v>0</v>
      </c>
      <c r="H1102" s="89" t="n">
        <f aca="false">E1102*D1102*$H$903</f>
        <v>0</v>
      </c>
      <c r="I1102" s="2784"/>
      <c r="J1102" s="2744"/>
      <c r="K1102" s="226" t="n">
        <f aca="false">D1102-J1102</f>
        <v>0</v>
      </c>
      <c r="L1102" s="2736"/>
    </row>
    <row r="1103" customFormat="false" ht="15.5" hidden="false" customHeight="false" outlineLevel="0" collapsed="false">
      <c r="A1103" s="2719"/>
      <c r="B1103" s="87" t="str">
        <f aca="false">перекрытие!A256</f>
        <v>ГПС 280х50-2,0</v>
      </c>
      <c r="C1103" s="88" t="str">
        <f aca="false">перекрытие!B256</f>
        <v>м.п.</v>
      </c>
      <c r="D1103" s="122" t="n">
        <f aca="false">перекрытие!D256</f>
        <v>0</v>
      </c>
      <c r="E1103" s="89" t="n">
        <f aca="false">перекрытие!E256</f>
        <v>293</v>
      </c>
      <c r="F1103" s="89"/>
      <c r="G1103" s="122" t="n">
        <f aca="false">IF(F1103&gt;0,D1103*F1103,E1103*D1103)</f>
        <v>0</v>
      </c>
      <c r="H1103" s="89" t="n">
        <f aca="false">E1103*D1103*$H$903</f>
        <v>0</v>
      </c>
      <c r="I1103" s="2784"/>
      <c r="J1103" s="2744"/>
      <c r="K1103" s="226" t="n">
        <f aca="false">D1103-J1103</f>
        <v>0</v>
      </c>
      <c r="L1103" s="2736"/>
    </row>
    <row r="1104" customFormat="false" ht="15.5" hidden="false" customHeight="false" outlineLevel="0" collapsed="false">
      <c r="A1104" s="2719"/>
      <c r="B1104" s="87" t="str">
        <f aca="false">перекрытие!A257</f>
        <v>ГПН 102х35-1,2</v>
      </c>
      <c r="C1104" s="88" t="str">
        <f aca="false">перекрытие!B257</f>
        <v>м.п.</v>
      </c>
      <c r="D1104" s="122" t="n">
        <f aca="false">перекрытие!D257</f>
        <v>0</v>
      </c>
      <c r="E1104" s="89" t="n">
        <f aca="false">перекрытие!E257</f>
        <v>127</v>
      </c>
      <c r="F1104" s="89"/>
      <c r="G1104" s="122" t="n">
        <f aca="false">IF(F1104&gt;0,D1104*F1104,E1104*D1104)</f>
        <v>0</v>
      </c>
      <c r="H1104" s="89" t="n">
        <f aca="false">E1104*D1104*$H$903</f>
        <v>0</v>
      </c>
      <c r="I1104" s="2784"/>
      <c r="J1104" s="2744"/>
      <c r="K1104" s="226" t="n">
        <f aca="false">D1104-J1104</f>
        <v>0</v>
      </c>
      <c r="L1104" s="2736"/>
    </row>
    <row r="1105" customFormat="false" ht="15.5" hidden="false" customHeight="false" outlineLevel="0" collapsed="false">
      <c r="A1105" s="2719"/>
      <c r="B1105" s="87" t="str">
        <f aca="false">перекрытие!A258</f>
        <v>ГПН 102х35-1,5</v>
      </c>
      <c r="C1105" s="88" t="str">
        <f aca="false">перекрытие!B258</f>
        <v>м.п.</v>
      </c>
      <c r="D1105" s="122" t="n">
        <f aca="false">перекрытие!D258</f>
        <v>0</v>
      </c>
      <c r="E1105" s="89" t="n">
        <f aca="false">перекрытие!E258</f>
        <v>158</v>
      </c>
      <c r="F1105" s="89"/>
      <c r="G1105" s="122" t="n">
        <f aca="false">IF(F1105&gt;0,D1105*F1105,E1105*D1105)</f>
        <v>0</v>
      </c>
      <c r="H1105" s="89" t="n">
        <f aca="false">E1105*D1105*$H$903</f>
        <v>0</v>
      </c>
      <c r="I1105" s="2784"/>
      <c r="J1105" s="2744"/>
      <c r="K1105" s="226" t="n">
        <f aca="false">D1105-J1105</f>
        <v>0</v>
      </c>
      <c r="L1105" s="2736"/>
    </row>
    <row r="1106" customFormat="false" ht="15.5" hidden="false" customHeight="false" outlineLevel="0" collapsed="false">
      <c r="A1106" s="2719"/>
      <c r="B1106" s="87" t="str">
        <f aca="false">перекрытие!A259</f>
        <v>ГПН 102х35-2,0</v>
      </c>
      <c r="C1106" s="88" t="str">
        <f aca="false">перекрытие!B259</f>
        <v>м.п.</v>
      </c>
      <c r="D1106" s="122" t="n">
        <f aca="false">перекрытие!D259</f>
        <v>0</v>
      </c>
      <c r="E1106" s="89" t="n">
        <f aca="false">перекрытие!E259</f>
        <v>199</v>
      </c>
      <c r="F1106" s="89"/>
      <c r="G1106" s="122" t="n">
        <f aca="false">IF(F1106&gt;0,D1106*F1106,E1106*D1106)</f>
        <v>0</v>
      </c>
      <c r="H1106" s="89" t="n">
        <f aca="false">E1106*D1106*$H$903</f>
        <v>0</v>
      </c>
      <c r="I1106" s="2784"/>
      <c r="J1106" s="2744"/>
      <c r="K1106" s="226" t="n">
        <f aca="false">D1106-J1106</f>
        <v>0</v>
      </c>
      <c r="L1106" s="2736"/>
    </row>
    <row r="1107" customFormat="false" ht="15.5" hidden="false" customHeight="false" outlineLevel="0" collapsed="false">
      <c r="A1107" s="2719"/>
      <c r="B1107" s="87" t="str">
        <f aca="false">перекрытие!A260</f>
        <v>ГПН 122х35-1,2</v>
      </c>
      <c r="C1107" s="88" t="str">
        <f aca="false">перекрытие!B260</f>
        <v>м.п.</v>
      </c>
      <c r="D1107" s="122" t="n">
        <f aca="false">перекрытие!D260</f>
        <v>0</v>
      </c>
      <c r="E1107" s="89" t="n">
        <f aca="false">перекрытие!E260</f>
        <v>131</v>
      </c>
      <c r="F1107" s="89"/>
      <c r="G1107" s="122" t="n">
        <f aca="false">IF(F1107&gt;0,D1107*F1107,E1107*D1107)</f>
        <v>0</v>
      </c>
      <c r="H1107" s="89" t="n">
        <f aca="false">E1107*D1107*$H$903</f>
        <v>0</v>
      </c>
      <c r="I1107" s="2784"/>
      <c r="J1107" s="2744"/>
      <c r="K1107" s="226" t="n">
        <f aca="false">D1107-J1107</f>
        <v>0</v>
      </c>
      <c r="L1107" s="2736"/>
    </row>
    <row r="1108" customFormat="false" ht="15.5" hidden="false" customHeight="false" outlineLevel="0" collapsed="false">
      <c r="A1108" s="2719"/>
      <c r="B1108" s="87" t="str">
        <f aca="false">перекрытие!A261</f>
        <v>ГПН 122х35-1,5</v>
      </c>
      <c r="C1108" s="88" t="str">
        <f aca="false">перекрытие!B261</f>
        <v>м.п.</v>
      </c>
      <c r="D1108" s="122" t="n">
        <f aca="false">перекрытие!D261</f>
        <v>0</v>
      </c>
      <c r="E1108" s="89" t="n">
        <f aca="false">перекрытие!E261</f>
        <v>163</v>
      </c>
      <c r="F1108" s="89"/>
      <c r="G1108" s="122" t="n">
        <f aca="false">IF(F1108&gt;0,D1108*F1108,E1108*D1108)</f>
        <v>0</v>
      </c>
      <c r="H1108" s="89" t="n">
        <f aca="false">E1108*D1108*$H$903</f>
        <v>0</v>
      </c>
      <c r="I1108" s="2784"/>
      <c r="J1108" s="2744"/>
      <c r="K1108" s="226" t="n">
        <f aca="false">D1108-J1108</f>
        <v>0</v>
      </c>
      <c r="L1108" s="2736"/>
    </row>
    <row r="1109" customFormat="false" ht="15.5" hidden="false" customHeight="false" outlineLevel="0" collapsed="false">
      <c r="A1109" s="2719"/>
      <c r="B1109" s="87" t="str">
        <f aca="false">перекрытие!A262</f>
        <v>ГПН 122х35-2,0</v>
      </c>
      <c r="C1109" s="88" t="str">
        <f aca="false">перекрытие!B262</f>
        <v>м.п.</v>
      </c>
      <c r="D1109" s="122" t="n">
        <f aca="false">перекрытие!D262</f>
        <v>0</v>
      </c>
      <c r="E1109" s="89" t="n">
        <f aca="false">перекрытие!E262</f>
        <v>216</v>
      </c>
      <c r="F1109" s="89"/>
      <c r="G1109" s="122" t="n">
        <f aca="false">IF(F1109&gt;0,D1109*F1109,E1109*D1109)</f>
        <v>0</v>
      </c>
      <c r="H1109" s="89" t="n">
        <f aca="false">E1109*D1109*$H$903</f>
        <v>0</v>
      </c>
      <c r="I1109" s="2784"/>
      <c r="J1109" s="2744"/>
      <c r="K1109" s="226" t="n">
        <f aca="false">D1109-J1109</f>
        <v>0</v>
      </c>
      <c r="L1109" s="2736"/>
    </row>
    <row r="1110" customFormat="false" ht="15.5" hidden="false" customHeight="false" outlineLevel="0" collapsed="false">
      <c r="A1110" s="2719"/>
      <c r="B1110" s="87" t="str">
        <f aca="false">перекрытие!A263</f>
        <v>ГПН 152х35-1,2</v>
      </c>
      <c r="C1110" s="88" t="str">
        <f aca="false">перекрытие!B263</f>
        <v>м.п.</v>
      </c>
      <c r="D1110" s="122" t="n">
        <f aca="false">перекрытие!D263</f>
        <v>0</v>
      </c>
      <c r="E1110" s="89" t="n">
        <f aca="false">перекрытие!E263</f>
        <v>163</v>
      </c>
      <c r="F1110" s="89"/>
      <c r="G1110" s="122" t="n">
        <f aca="false">IF(F1110&gt;0,D1110*F1110,E1110*D1110)</f>
        <v>0</v>
      </c>
      <c r="H1110" s="89" t="n">
        <f aca="false">E1110*D1110*$H$903</f>
        <v>0</v>
      </c>
      <c r="I1110" s="2784"/>
      <c r="J1110" s="2744"/>
      <c r="K1110" s="226" t="n">
        <f aca="false">D1110-J1110</f>
        <v>0</v>
      </c>
      <c r="L1110" s="2736"/>
    </row>
    <row r="1111" customFormat="false" ht="15.5" hidden="false" customHeight="false" outlineLevel="0" collapsed="false">
      <c r="A1111" s="2719"/>
      <c r="B1111" s="87" t="str">
        <f aca="false">перекрытие!A264</f>
        <v>ГПН 152х35-1,5</v>
      </c>
      <c r="C1111" s="88" t="str">
        <f aca="false">перекрытие!B264</f>
        <v>м.п.</v>
      </c>
      <c r="D1111" s="122" t="n">
        <f aca="false">перекрытие!D264</f>
        <v>0</v>
      </c>
      <c r="E1111" s="89" t="n">
        <f aca="false">перекрытие!E264</f>
        <v>203</v>
      </c>
      <c r="F1111" s="89"/>
      <c r="G1111" s="122" t="n">
        <f aca="false">IF(F1111&gt;0,D1111*F1111,E1111*D1111)</f>
        <v>0</v>
      </c>
      <c r="H1111" s="89" t="n">
        <f aca="false">E1111*D1111*$H$903</f>
        <v>0</v>
      </c>
      <c r="I1111" s="2784"/>
      <c r="J1111" s="2744"/>
      <c r="K1111" s="226" t="n">
        <f aca="false">D1111-J1111</f>
        <v>0</v>
      </c>
      <c r="L1111" s="2736"/>
    </row>
    <row r="1112" customFormat="false" ht="15.5" hidden="false" customHeight="false" outlineLevel="0" collapsed="false">
      <c r="A1112" s="2719"/>
      <c r="B1112" s="87" t="str">
        <f aca="false">перекрытие!A265</f>
        <v>ГПН 152х35-2,0</v>
      </c>
      <c r="C1112" s="88" t="str">
        <f aca="false">перекрытие!B265</f>
        <v>м.п.</v>
      </c>
      <c r="D1112" s="122" t="n">
        <f aca="false">перекрытие!D265</f>
        <v>0</v>
      </c>
      <c r="E1112" s="89" t="n">
        <f aca="false">перекрытие!E265</f>
        <v>259</v>
      </c>
      <c r="F1112" s="89"/>
      <c r="G1112" s="122" t="n">
        <f aca="false">IF(F1112&gt;0,D1112*F1112,E1112*D1112)</f>
        <v>0</v>
      </c>
      <c r="H1112" s="89" t="n">
        <f aca="false">E1112*D1112*$H$903</f>
        <v>0</v>
      </c>
      <c r="I1112" s="2784"/>
      <c r="J1112" s="2744"/>
      <c r="K1112" s="226" t="n">
        <f aca="false">D1112-J1112</f>
        <v>0</v>
      </c>
      <c r="L1112" s="2736"/>
    </row>
    <row r="1113" customFormat="false" ht="15.5" hidden="false" customHeight="false" outlineLevel="0" collapsed="false">
      <c r="A1113" s="2719"/>
      <c r="B1113" s="87" t="str">
        <f aca="false">перекрытие!A266</f>
        <v>ГПН 172х35-1,2</v>
      </c>
      <c r="C1113" s="88" t="str">
        <f aca="false">перекрытие!B266</f>
        <v>м.п.</v>
      </c>
      <c r="D1113" s="122" t="n">
        <f aca="false">перекрытие!D266</f>
        <v>0</v>
      </c>
      <c r="E1113" s="89" t="n">
        <f aca="false">перекрытие!E266</f>
        <v>166</v>
      </c>
      <c r="F1113" s="89"/>
      <c r="G1113" s="122" t="n">
        <f aca="false">IF(F1113&gt;0,D1113*F1113,E1113*D1113)</f>
        <v>0</v>
      </c>
      <c r="H1113" s="89" t="n">
        <f aca="false">E1113*D1113*$H$903</f>
        <v>0</v>
      </c>
      <c r="I1113" s="2784"/>
      <c r="J1113" s="2744"/>
      <c r="K1113" s="226" t="n">
        <f aca="false">D1113-J1113</f>
        <v>0</v>
      </c>
      <c r="L1113" s="2736"/>
    </row>
    <row r="1114" customFormat="false" ht="15.5" hidden="false" customHeight="false" outlineLevel="0" collapsed="false">
      <c r="A1114" s="2719"/>
      <c r="B1114" s="87" t="str">
        <f aca="false">перекрытие!A267</f>
        <v>ГПН 172х35-1,5</v>
      </c>
      <c r="C1114" s="88" t="str">
        <f aca="false">перекрытие!B267</f>
        <v>м.п.</v>
      </c>
      <c r="D1114" s="122" t="n">
        <f aca="false">перекрытие!D267</f>
        <v>0</v>
      </c>
      <c r="E1114" s="89" t="n">
        <f aca="false">перекрытие!E267</f>
        <v>207</v>
      </c>
      <c r="F1114" s="89"/>
      <c r="G1114" s="122" t="n">
        <f aca="false">IF(F1114&gt;0,D1114*F1114,E1114*D1114)</f>
        <v>0</v>
      </c>
      <c r="H1114" s="89" t="n">
        <f aca="false">E1114*D1114*$H$903</f>
        <v>0</v>
      </c>
      <c r="I1114" s="2784"/>
      <c r="J1114" s="2744"/>
      <c r="K1114" s="226" t="n">
        <f aca="false">D1114-J1114</f>
        <v>0</v>
      </c>
      <c r="L1114" s="2736"/>
    </row>
    <row r="1115" customFormat="false" ht="15.5" hidden="false" customHeight="false" outlineLevel="0" collapsed="false">
      <c r="A1115" s="2719"/>
      <c r="B1115" s="87" t="str">
        <f aca="false">перекрытие!A268</f>
        <v>ГПН 172х35-2,0</v>
      </c>
      <c r="C1115" s="88" t="str">
        <f aca="false">перекрытие!B268</f>
        <v>м.п.</v>
      </c>
      <c r="D1115" s="122" t="n">
        <f aca="false">перекрытие!D268</f>
        <v>0</v>
      </c>
      <c r="E1115" s="89" t="n">
        <f aca="false">перекрытие!E268</f>
        <v>274</v>
      </c>
      <c r="F1115" s="89"/>
      <c r="G1115" s="122" t="n">
        <f aca="false">IF(F1115&gt;0,D1115*F1115,E1115*D1115)</f>
        <v>0</v>
      </c>
      <c r="H1115" s="89" t="n">
        <f aca="false">E1115*D1115*$H$903</f>
        <v>0</v>
      </c>
      <c r="I1115" s="2784"/>
      <c r="J1115" s="2744"/>
      <c r="K1115" s="226" t="n">
        <f aca="false">D1115-J1115</f>
        <v>0</v>
      </c>
      <c r="L1115" s="2736"/>
    </row>
    <row r="1116" customFormat="false" ht="15.5" hidden="false" customHeight="false" outlineLevel="0" collapsed="false">
      <c r="A1116" s="2719"/>
      <c r="B1116" s="87" t="str">
        <f aca="false">перекрытие!A269</f>
        <v>ГПН 202х35-1,2</v>
      </c>
      <c r="C1116" s="88" t="str">
        <f aca="false">перекрытие!B269</f>
        <v>м.п.</v>
      </c>
      <c r="D1116" s="122" t="n">
        <f aca="false">перекрытие!D269</f>
        <v>0</v>
      </c>
      <c r="E1116" s="89" t="n">
        <f aca="false">перекрытие!E269</f>
        <v>201</v>
      </c>
      <c r="F1116" s="89"/>
      <c r="G1116" s="122" t="n">
        <f aca="false">IF(F1116&gt;0,D1116*F1116,E1116*D1116)</f>
        <v>0</v>
      </c>
      <c r="H1116" s="89" t="n">
        <f aca="false">E1116*D1116*$H$903</f>
        <v>0</v>
      </c>
      <c r="I1116" s="2784"/>
      <c r="J1116" s="2744"/>
      <c r="K1116" s="226" t="n">
        <f aca="false">D1116-J1116</f>
        <v>0</v>
      </c>
      <c r="L1116" s="2736"/>
    </row>
    <row r="1117" customFormat="false" ht="15.5" hidden="false" customHeight="false" outlineLevel="0" collapsed="false">
      <c r="A1117" s="2719"/>
      <c r="B1117" s="87" t="str">
        <f aca="false">перекрытие!A270</f>
        <v>ГПН 202х35-1,5</v>
      </c>
      <c r="C1117" s="88" t="str">
        <f aca="false">перекрытие!B270</f>
        <v>м.п.</v>
      </c>
      <c r="D1117" s="122" t="n">
        <f aca="false">перекрытие!D270</f>
        <v>0</v>
      </c>
      <c r="E1117" s="89" t="n">
        <f aca="false">перекрытие!E270</f>
        <v>252</v>
      </c>
      <c r="F1117" s="89"/>
      <c r="G1117" s="122" t="n">
        <f aca="false">IF(F1117&gt;0,D1117*F1117,E1117*D1117)</f>
        <v>0</v>
      </c>
      <c r="H1117" s="89" t="n">
        <f aca="false">E1117*D1117*$H$903</f>
        <v>0</v>
      </c>
      <c r="I1117" s="2784"/>
      <c r="J1117" s="2744"/>
      <c r="K1117" s="226" t="n">
        <f aca="false">D1117-J1117</f>
        <v>0</v>
      </c>
      <c r="L1117" s="2736"/>
    </row>
    <row r="1118" customFormat="false" ht="15.5" hidden="false" customHeight="false" outlineLevel="0" collapsed="false">
      <c r="A1118" s="2719"/>
      <c r="B1118" s="87" t="str">
        <f aca="false">перекрытие!A271</f>
        <v>ГПН 202х35-2,0</v>
      </c>
      <c r="C1118" s="88" t="str">
        <f aca="false">перекрытие!B271</f>
        <v>м.п.</v>
      </c>
      <c r="D1118" s="122" t="n">
        <f aca="false">перекрытие!D271</f>
        <v>0</v>
      </c>
      <c r="E1118" s="89" t="n">
        <f aca="false">перекрытие!E271</f>
        <v>318</v>
      </c>
      <c r="F1118" s="89"/>
      <c r="G1118" s="122" t="n">
        <f aca="false">IF(F1118&gt;0,D1118*F1118,E1118*D1118)</f>
        <v>0</v>
      </c>
      <c r="H1118" s="89" t="n">
        <f aca="false">E1118*D1118*$H$903</f>
        <v>0</v>
      </c>
      <c r="I1118" s="2784"/>
      <c r="J1118" s="2744"/>
      <c r="K1118" s="226" t="n">
        <f aca="false">D1118-J1118</f>
        <v>0</v>
      </c>
      <c r="L1118" s="2736"/>
    </row>
    <row r="1119" customFormat="false" ht="15.5" hidden="false" customHeight="false" outlineLevel="0" collapsed="false">
      <c r="A1119" s="2719"/>
      <c r="B1119" s="87" t="str">
        <f aca="false">перекрытие!A272</f>
        <v>ГПН 252х35-1,2</v>
      </c>
      <c r="C1119" s="88" t="str">
        <f aca="false">перекрытие!B272</f>
        <v>м.п.</v>
      </c>
      <c r="D1119" s="122" t="n">
        <f aca="false">перекрытие!D272</f>
        <v>0</v>
      </c>
      <c r="E1119" s="89" t="n">
        <f aca="false">перекрытие!E272</f>
        <v>226</v>
      </c>
      <c r="F1119" s="89"/>
      <c r="G1119" s="122" t="n">
        <f aca="false">IF(F1119&gt;0,D1119*F1119,E1119*D1119)</f>
        <v>0</v>
      </c>
      <c r="H1119" s="89" t="n">
        <f aca="false">E1119*D1119*$H$903</f>
        <v>0</v>
      </c>
      <c r="I1119" s="2784"/>
      <c r="J1119" s="2744"/>
      <c r="K1119" s="226" t="n">
        <f aca="false">D1119-J1119</f>
        <v>0</v>
      </c>
      <c r="L1119" s="2736"/>
    </row>
    <row r="1120" customFormat="false" ht="15.5" hidden="false" customHeight="false" outlineLevel="0" collapsed="false">
      <c r="A1120" s="2719"/>
      <c r="B1120" s="87" t="str">
        <f aca="false">перекрытие!A273</f>
        <v>ГПН 252х35-1,5</v>
      </c>
      <c r="C1120" s="88" t="str">
        <f aca="false">перекрытие!B273</f>
        <v>м.п.</v>
      </c>
      <c r="D1120" s="122" t="n">
        <f aca="false">перекрытие!D273</f>
        <v>0</v>
      </c>
      <c r="E1120" s="89" t="n">
        <f aca="false">перекрытие!E273</f>
        <v>283</v>
      </c>
      <c r="F1120" s="89"/>
      <c r="G1120" s="122" t="n">
        <f aca="false">IF(F1120&gt;0,D1120*F1120,E1120*D1120)</f>
        <v>0</v>
      </c>
      <c r="H1120" s="89" t="n">
        <f aca="false">E1120*D1120*$H$903</f>
        <v>0</v>
      </c>
      <c r="I1120" s="2784"/>
      <c r="J1120" s="2744"/>
      <c r="K1120" s="226" t="n">
        <f aca="false">D1120-J1120</f>
        <v>0</v>
      </c>
      <c r="L1120" s="2736"/>
    </row>
    <row r="1121" customFormat="false" ht="15.5" hidden="false" customHeight="false" outlineLevel="0" collapsed="false">
      <c r="A1121" s="2719"/>
      <c r="B1121" s="87" t="str">
        <f aca="false">перекрытие!A274</f>
        <v>ГПН 252х35-2,0</v>
      </c>
      <c r="C1121" s="88" t="str">
        <f aca="false">перекрытие!B274</f>
        <v>м.п.</v>
      </c>
      <c r="D1121" s="122" t="n">
        <f aca="false">перекрытие!D274</f>
        <v>0</v>
      </c>
      <c r="E1121" s="89" t="n">
        <f aca="false">перекрытие!E274</f>
        <v>378</v>
      </c>
      <c r="F1121" s="89"/>
      <c r="G1121" s="122" t="n">
        <f aca="false">IF(F1121&gt;0,D1121*F1121,E1121*D1121)</f>
        <v>0</v>
      </c>
      <c r="H1121" s="89" t="n">
        <f aca="false">E1121*D1121*$H$903</f>
        <v>0</v>
      </c>
      <c r="I1121" s="2784"/>
      <c r="J1121" s="2744"/>
      <c r="K1121" s="226" t="n">
        <f aca="false">D1121-J1121</f>
        <v>0</v>
      </c>
      <c r="L1121" s="2736"/>
    </row>
    <row r="1122" customFormat="false" ht="15.5" hidden="false" customHeight="false" outlineLevel="0" collapsed="false">
      <c r="A1122" s="2719"/>
      <c r="B1122" s="87" t="str">
        <f aca="false">перекрытие!A275</f>
        <v>ГПН 282х35-1,2</v>
      </c>
      <c r="C1122" s="88" t="str">
        <f aca="false">перекрытие!B275</f>
        <v>м.п.</v>
      </c>
      <c r="D1122" s="122" t="n">
        <f aca="false">перекрытие!D275</f>
        <v>0</v>
      </c>
      <c r="E1122" s="89" t="n">
        <f aca="false">перекрытие!E275</f>
        <v>275</v>
      </c>
      <c r="F1122" s="89"/>
      <c r="G1122" s="122" t="n">
        <f aca="false">IF(F1122&gt;0,D1122*F1122,E1122*D1122)</f>
        <v>0</v>
      </c>
      <c r="H1122" s="89" t="n">
        <f aca="false">E1122*D1122*$H$903</f>
        <v>0</v>
      </c>
      <c r="I1122" s="2784"/>
      <c r="J1122" s="2744"/>
      <c r="K1122" s="226" t="n">
        <f aca="false">D1122-J1122</f>
        <v>0</v>
      </c>
      <c r="L1122" s="2736"/>
    </row>
    <row r="1123" customFormat="false" ht="15.5" hidden="false" customHeight="false" outlineLevel="0" collapsed="false">
      <c r="A1123" s="2719"/>
      <c r="B1123" s="87" t="str">
        <f aca="false">перекрытие!A276</f>
        <v>Саморез 5,5 х 25</v>
      </c>
      <c r="C1123" s="88"/>
      <c r="D1123" s="122" t="n">
        <f aca="false">перекрытие!D276</f>
        <v>0</v>
      </c>
      <c r="E1123" s="89" t="n">
        <f aca="false">перекрытие!E276</f>
        <v>2.5</v>
      </c>
      <c r="F1123" s="89"/>
      <c r="G1123" s="122" t="n">
        <f aca="false">IF(F1123&gt;0,D1123*F1123,E1123*D1123)</f>
        <v>0</v>
      </c>
      <c r="H1123" s="89" t="n">
        <f aca="false">E1123*D1123*$H$903</f>
        <v>0</v>
      </c>
      <c r="I1123" s="2784"/>
      <c r="J1123" s="2744"/>
      <c r="K1123" s="226" t="n">
        <f aca="false">D1123-J1123</f>
        <v>0</v>
      </c>
      <c r="L1123" s="2736"/>
    </row>
    <row r="1124" customFormat="false" ht="15.5" hidden="false" customHeight="false" outlineLevel="0" collapsed="false">
      <c r="A1124" s="2719"/>
      <c r="B1124" s="87" t="str">
        <f aca="false">перекрытие!A280</f>
        <v>ГПС 100х50-1,2</v>
      </c>
      <c r="C1124" s="88" t="str">
        <f aca="false">перекрытие!B280</f>
        <v>м.п.</v>
      </c>
      <c r="D1124" s="122" t="n">
        <f aca="false">перекрытие!D280</f>
        <v>0</v>
      </c>
      <c r="E1124" s="89" t="n">
        <f aca="false">перекрытие!E280</f>
        <v>163</v>
      </c>
      <c r="F1124" s="89"/>
      <c r="G1124" s="122" t="n">
        <f aca="false">IF(F1124&gt;0,D1124*F1124,E1124*D1124)</f>
        <v>0</v>
      </c>
      <c r="H1124" s="89" t="n">
        <f aca="false">E1124*D1124*$H$903</f>
        <v>0</v>
      </c>
      <c r="I1124" s="2784"/>
      <c r="J1124" s="2744"/>
      <c r="K1124" s="226" t="n">
        <f aca="false">D1124-J1124</f>
        <v>0</v>
      </c>
      <c r="L1124" s="2736"/>
    </row>
    <row r="1125" customFormat="false" ht="15.5" hidden="false" customHeight="false" outlineLevel="0" collapsed="false">
      <c r="A1125" s="2719"/>
      <c r="B1125" s="87" t="str">
        <f aca="false">перекрытие!A281</f>
        <v>ГПС 100х50-1,5</v>
      </c>
      <c r="C1125" s="88" t="str">
        <f aca="false">перекрытие!B281</f>
        <v>м.п.</v>
      </c>
      <c r="D1125" s="122" t="n">
        <f aca="false">перекрытие!D281</f>
        <v>0</v>
      </c>
      <c r="E1125" s="89" t="n">
        <f aca="false">перекрытие!E281</f>
        <v>204</v>
      </c>
      <c r="F1125" s="89"/>
      <c r="G1125" s="122" t="n">
        <f aca="false">IF(F1125&gt;0,D1125*F1125,E1125*D1125)</f>
        <v>0</v>
      </c>
      <c r="H1125" s="89" t="n">
        <f aca="false">E1125*D1125*$H$903</f>
        <v>0</v>
      </c>
      <c r="I1125" s="2784"/>
      <c r="J1125" s="2744"/>
      <c r="K1125" s="226" t="n">
        <f aca="false">D1125-J1125</f>
        <v>0</v>
      </c>
      <c r="L1125" s="2736"/>
    </row>
    <row r="1126" customFormat="false" ht="15.5" hidden="false" customHeight="false" outlineLevel="0" collapsed="false">
      <c r="A1126" s="2719"/>
      <c r="B1126" s="87" t="str">
        <f aca="false">перекрытие!A282</f>
        <v>ГПС 120х50-1,5</v>
      </c>
      <c r="C1126" s="88" t="str">
        <f aca="false">перекрытие!B282</f>
        <v>м.п.</v>
      </c>
      <c r="D1126" s="122" t="n">
        <f aca="false">перекрытие!D282</f>
        <v>0</v>
      </c>
      <c r="E1126" s="89" t="n">
        <f aca="false">перекрытие!E282</f>
        <v>272</v>
      </c>
      <c r="F1126" s="89"/>
      <c r="G1126" s="122" t="n">
        <f aca="false">IF(F1126&gt;0,D1126*F1126,E1126*D1126)</f>
        <v>0</v>
      </c>
      <c r="H1126" s="89" t="n">
        <f aca="false">E1126*D1126*$H$903</f>
        <v>0</v>
      </c>
      <c r="I1126" s="2784"/>
      <c r="J1126" s="2744"/>
      <c r="K1126" s="226" t="n">
        <f aca="false">D1126-J1126</f>
        <v>0</v>
      </c>
      <c r="L1126" s="2736"/>
    </row>
    <row r="1127" customFormat="false" ht="15.5" hidden="false" customHeight="false" outlineLevel="0" collapsed="false">
      <c r="A1127" s="2719"/>
      <c r="B1127" s="87" t="str">
        <f aca="false">перекрытие!A283</f>
        <v>ГПС 120х50-2,0</v>
      </c>
      <c r="C1127" s="88" t="str">
        <f aca="false">перекрытие!B283</f>
        <v>м.п.</v>
      </c>
      <c r="D1127" s="122" t="n">
        <f aca="false">перекрытие!D283</f>
        <v>0</v>
      </c>
      <c r="E1127" s="89" t="n">
        <f aca="false">перекрытие!E283</f>
        <v>179</v>
      </c>
      <c r="F1127" s="89"/>
      <c r="G1127" s="122" t="n">
        <f aca="false">IF(F1127&gt;0,D1127*F1127,E1127*D1127)</f>
        <v>0</v>
      </c>
      <c r="H1127" s="89" t="n">
        <f aca="false">E1127*D1127*$H$903</f>
        <v>0</v>
      </c>
      <c r="I1127" s="2784"/>
      <c r="J1127" s="2744"/>
      <c r="K1127" s="226" t="n">
        <f aca="false">D1127-J1127</f>
        <v>0</v>
      </c>
      <c r="L1127" s="2736"/>
    </row>
    <row r="1128" customFormat="false" ht="15.5" hidden="false" customHeight="false" outlineLevel="0" collapsed="false">
      <c r="A1128" s="2719"/>
      <c r="B1128" s="87" t="str">
        <f aca="false">перекрытие!A284</f>
        <v>ГПС 150х50-1,2</v>
      </c>
      <c r="C1128" s="88" t="str">
        <f aca="false">перекрытие!B284</f>
        <v>м.п.</v>
      </c>
      <c r="D1128" s="122" t="n">
        <f aca="false">перекрытие!D284</f>
        <v>0</v>
      </c>
      <c r="E1128" s="89" t="n">
        <f aca="false">перекрытие!E284</f>
        <v>224</v>
      </c>
      <c r="F1128" s="89"/>
      <c r="G1128" s="122" t="n">
        <f aca="false">IF(F1128&gt;0,D1128*F1128,E1128*D1128)</f>
        <v>0</v>
      </c>
      <c r="H1128" s="89" t="n">
        <f aca="false">E1128*D1128*$H$903</f>
        <v>0</v>
      </c>
      <c r="I1128" s="2784"/>
      <c r="J1128" s="2744"/>
      <c r="K1128" s="226" t="n">
        <f aca="false">D1128-J1128</f>
        <v>0</v>
      </c>
      <c r="L1128" s="2736"/>
    </row>
    <row r="1129" customFormat="false" ht="15.5" hidden="false" customHeight="false" outlineLevel="0" collapsed="false">
      <c r="A1129" s="2719"/>
      <c r="B1129" s="87" t="str">
        <f aca="false">перекрытие!A285</f>
        <v>ГПС 150х50-1,5</v>
      </c>
      <c r="C1129" s="88" t="str">
        <f aca="false">перекрытие!B285</f>
        <v>м.п.</v>
      </c>
      <c r="D1129" s="122" t="n">
        <f aca="false">перекрытие!D285</f>
        <v>0</v>
      </c>
      <c r="E1129" s="89" t="n">
        <f aca="false">перекрытие!E285</f>
        <v>299</v>
      </c>
      <c r="F1129" s="89"/>
      <c r="G1129" s="122" t="n">
        <f aca="false">IF(F1129&gt;0,D1129*F1129,E1129*D1129)</f>
        <v>0</v>
      </c>
      <c r="H1129" s="89" t="n">
        <f aca="false">E1129*D1129*$H$903</f>
        <v>0</v>
      </c>
      <c r="I1129" s="2784"/>
      <c r="J1129" s="2744"/>
      <c r="K1129" s="226" t="n">
        <f aca="false">D1129-J1129</f>
        <v>0</v>
      </c>
      <c r="L1129" s="2736"/>
    </row>
    <row r="1130" customFormat="false" ht="15.5" hidden="false" customHeight="false" outlineLevel="0" collapsed="false">
      <c r="A1130" s="2719"/>
      <c r="B1130" s="87" t="str">
        <f aca="false">перекрытие!A286</f>
        <v>ГПС 150х50-2,0</v>
      </c>
      <c r="C1130" s="88" t="str">
        <f aca="false">перекрытие!B286</f>
        <v>м.п.</v>
      </c>
      <c r="D1130" s="122" t="n">
        <f aca="false">перекрытие!D286</f>
        <v>0</v>
      </c>
      <c r="E1130" s="89" t="n">
        <f aca="false">перекрытие!E286</f>
        <v>201</v>
      </c>
      <c r="F1130" s="89"/>
      <c r="G1130" s="122" t="n">
        <f aca="false">IF(F1130&gt;0,D1130*F1130,E1130*D1130)</f>
        <v>0</v>
      </c>
      <c r="H1130" s="89" t="n">
        <f aca="false">E1130*D1130*$H$903</f>
        <v>0</v>
      </c>
      <c r="I1130" s="2784"/>
      <c r="J1130" s="2744"/>
      <c r="K1130" s="226" t="n">
        <f aca="false">D1130-J1130</f>
        <v>0</v>
      </c>
      <c r="L1130" s="2736"/>
    </row>
    <row r="1131" customFormat="false" ht="15.5" hidden="false" customHeight="false" outlineLevel="0" collapsed="false">
      <c r="A1131" s="2719"/>
      <c r="B1131" s="87" t="str">
        <f aca="false">перекрытие!A287</f>
        <v>ГПС 170х50-1,2</v>
      </c>
      <c r="C1131" s="88" t="str">
        <f aca="false">перекрытие!B287</f>
        <v>м.п.</v>
      </c>
      <c r="D1131" s="122" t="n">
        <f aca="false">перекрытие!D287</f>
        <v>0</v>
      </c>
      <c r="E1131" s="89" t="n">
        <f aca="false">перекрытие!E287</f>
        <v>252</v>
      </c>
      <c r="F1131" s="89"/>
      <c r="G1131" s="122" t="n">
        <f aca="false">IF(F1131&gt;0,D1131*F1131,E1131*D1131)</f>
        <v>0</v>
      </c>
      <c r="H1131" s="89" t="n">
        <f aca="false">E1131*D1131*$H$903</f>
        <v>0</v>
      </c>
      <c r="I1131" s="2784"/>
      <c r="J1131" s="2744"/>
      <c r="K1131" s="226" t="n">
        <f aca="false">D1131-J1131</f>
        <v>0</v>
      </c>
      <c r="L1131" s="2736"/>
    </row>
    <row r="1132" customFormat="false" ht="15.5" hidden="false" customHeight="false" outlineLevel="0" collapsed="false">
      <c r="A1132" s="2719"/>
      <c r="B1132" s="87" t="str">
        <f aca="false">перекрытие!A288</f>
        <v>ГПС 170х50-1,5</v>
      </c>
      <c r="C1132" s="88" t="str">
        <f aca="false">перекрытие!B288</f>
        <v>м.п.</v>
      </c>
      <c r="D1132" s="122" t="n">
        <f aca="false">перекрытие!D288</f>
        <v>0</v>
      </c>
      <c r="E1132" s="89" t="n">
        <f aca="false">перекрытие!E288</f>
        <v>330</v>
      </c>
      <c r="F1132" s="89"/>
      <c r="G1132" s="122" t="n">
        <f aca="false">IF(F1132&gt;0,D1132*F1132,E1132*D1132)</f>
        <v>0</v>
      </c>
      <c r="H1132" s="89" t="n">
        <f aca="false">E1132*D1132*$H$903</f>
        <v>0</v>
      </c>
      <c r="I1132" s="2784"/>
      <c r="J1132" s="2744"/>
      <c r="K1132" s="226" t="n">
        <f aca="false">D1132-J1132</f>
        <v>0</v>
      </c>
      <c r="L1132" s="2736"/>
    </row>
    <row r="1133" customFormat="false" ht="15.5" hidden="false" customHeight="false" outlineLevel="0" collapsed="false">
      <c r="A1133" s="2719"/>
      <c r="B1133" s="87" t="str">
        <f aca="false">перекрытие!A289</f>
        <v>ГПС 170х50-2,0</v>
      </c>
      <c r="C1133" s="88" t="str">
        <f aca="false">перекрытие!B289</f>
        <v>м.п.</v>
      </c>
      <c r="D1133" s="122" t="n">
        <f aca="false">перекрытие!D289</f>
        <v>0</v>
      </c>
      <c r="E1133" s="89" t="n">
        <f aca="false">перекрытие!E289</f>
        <v>215</v>
      </c>
      <c r="F1133" s="89"/>
      <c r="G1133" s="122" t="n">
        <f aca="false">IF(F1133&gt;0,D1133*F1133,E1133*D1133)</f>
        <v>0</v>
      </c>
      <c r="H1133" s="89" t="n">
        <f aca="false">E1133*D1133*$H$903</f>
        <v>0</v>
      </c>
      <c r="I1133" s="2784"/>
      <c r="J1133" s="2744"/>
      <c r="K1133" s="226" t="n">
        <f aca="false">D1133-J1133</f>
        <v>0</v>
      </c>
      <c r="L1133" s="2736"/>
    </row>
    <row r="1134" customFormat="false" ht="15.5" hidden="false" customHeight="false" outlineLevel="0" collapsed="false">
      <c r="A1134" s="2719"/>
      <c r="B1134" s="87" t="str">
        <f aca="false">перекрытие!A290</f>
        <v>ГПС 200х50-1,2</v>
      </c>
      <c r="C1134" s="88" t="str">
        <f aca="false">перекрытие!B290</f>
        <v>м.п.</v>
      </c>
      <c r="D1134" s="122" t="n">
        <f aca="false">перекрытие!D290</f>
        <v>0</v>
      </c>
      <c r="E1134" s="89" t="n">
        <f aca="false">перекрытие!E290</f>
        <v>269</v>
      </c>
      <c r="F1134" s="89"/>
      <c r="G1134" s="122" t="n">
        <f aca="false">IF(F1134&gt;0,D1134*F1134,E1134*D1134)</f>
        <v>0</v>
      </c>
      <c r="H1134" s="89" t="n">
        <f aca="false">E1134*D1134*$H$903</f>
        <v>0</v>
      </c>
      <c r="I1134" s="2784"/>
      <c r="J1134" s="2744"/>
      <c r="K1134" s="226" t="n">
        <f aca="false">D1134-J1134</f>
        <v>0</v>
      </c>
      <c r="L1134" s="2736"/>
    </row>
    <row r="1135" customFormat="false" ht="15.5" hidden="false" customHeight="false" outlineLevel="0" collapsed="false">
      <c r="A1135" s="2719"/>
      <c r="B1135" s="87" t="str">
        <f aca="false">перекрытие!A291</f>
        <v>ГПС 200х50-1,5</v>
      </c>
      <c r="C1135" s="88" t="str">
        <f aca="false">перекрытие!B291</f>
        <v>м.п.</v>
      </c>
      <c r="D1135" s="122" t="n">
        <f aca="false">перекрытие!D291</f>
        <v>0</v>
      </c>
      <c r="E1135" s="89" t="n">
        <f aca="false">перекрытие!E291</f>
        <v>358</v>
      </c>
      <c r="F1135" s="89"/>
      <c r="G1135" s="122" t="n">
        <f aca="false">IF(F1135&gt;0,D1135*F1135,E1135*D1135)</f>
        <v>0</v>
      </c>
      <c r="H1135" s="89" t="n">
        <f aca="false">E1135*D1135*$H$903</f>
        <v>0</v>
      </c>
      <c r="I1135" s="2784"/>
      <c r="J1135" s="2744"/>
      <c r="K1135" s="226" t="n">
        <f aca="false">D1135-J1135</f>
        <v>0</v>
      </c>
      <c r="L1135" s="2736"/>
    </row>
    <row r="1136" customFormat="false" ht="15.5" hidden="false" customHeight="false" outlineLevel="0" collapsed="false">
      <c r="A1136" s="2719"/>
      <c r="B1136" s="87" t="str">
        <f aca="false">перекрытие!A292</f>
        <v>ГПС 200х50-2,0</v>
      </c>
      <c r="C1136" s="88" t="str">
        <f aca="false">перекрытие!B292</f>
        <v>м.п.</v>
      </c>
      <c r="D1136" s="122" t="n">
        <f aca="false">перекрытие!D292</f>
        <v>0</v>
      </c>
      <c r="E1136" s="89" t="n">
        <f aca="false">перекрытие!E292</f>
        <v>239</v>
      </c>
      <c r="F1136" s="89"/>
      <c r="G1136" s="122" t="n">
        <f aca="false">IF(F1136&gt;0,D1136*F1136,E1136*D1136)</f>
        <v>0</v>
      </c>
      <c r="H1136" s="89" t="n">
        <f aca="false">E1136*D1136*$H$903</f>
        <v>0</v>
      </c>
      <c r="I1136" s="2784"/>
      <c r="J1136" s="2744"/>
      <c r="K1136" s="226" t="n">
        <f aca="false">D1136-J1136</f>
        <v>0</v>
      </c>
      <c r="L1136" s="2736"/>
    </row>
    <row r="1137" customFormat="false" ht="15.5" hidden="false" customHeight="false" outlineLevel="0" collapsed="false">
      <c r="A1137" s="2719"/>
      <c r="B1137" s="87" t="str">
        <f aca="false">перекрытие!A293</f>
        <v>ГПС 250х50-1,2</v>
      </c>
      <c r="C1137" s="88" t="str">
        <f aca="false">перекрытие!B293</f>
        <v>м.п.</v>
      </c>
      <c r="D1137" s="122" t="n">
        <f aca="false">перекрытие!D293</f>
        <v>0</v>
      </c>
      <c r="E1137" s="89" t="n">
        <f aca="false">перекрытие!E293</f>
        <v>299</v>
      </c>
      <c r="F1137" s="89"/>
      <c r="G1137" s="122" t="n">
        <f aca="false">IF(F1137&gt;0,D1137*F1137,E1137*D1137)</f>
        <v>0</v>
      </c>
      <c r="H1137" s="89" t="n">
        <f aca="false">E1137*D1137*$H$903</f>
        <v>0</v>
      </c>
      <c r="I1137" s="2784"/>
      <c r="J1137" s="2744"/>
      <c r="K1137" s="226" t="n">
        <f aca="false">D1137-J1137</f>
        <v>0</v>
      </c>
      <c r="L1137" s="2736"/>
    </row>
    <row r="1138" customFormat="false" ht="15.5" hidden="false" customHeight="false" outlineLevel="0" collapsed="false">
      <c r="A1138" s="2719"/>
      <c r="B1138" s="87" t="str">
        <f aca="false">перекрытие!A294</f>
        <v>ГПС 250х50-1,5</v>
      </c>
      <c r="C1138" s="88" t="str">
        <f aca="false">перекрытие!B294</f>
        <v>м.п.</v>
      </c>
      <c r="D1138" s="122" t="n">
        <f aca="false">перекрытие!D294</f>
        <v>0</v>
      </c>
      <c r="E1138" s="89" t="n">
        <f aca="false">перекрытие!E294</f>
        <v>397</v>
      </c>
      <c r="F1138" s="89"/>
      <c r="G1138" s="122" t="n">
        <f aca="false">IF(F1138&gt;0,D1138*F1138,E1138*D1138)</f>
        <v>0</v>
      </c>
      <c r="H1138" s="89" t="n">
        <f aca="false">E1138*D1138*$H$903</f>
        <v>0</v>
      </c>
      <c r="I1138" s="2784"/>
      <c r="J1138" s="2744"/>
      <c r="K1138" s="226" t="n">
        <f aca="false">D1138-J1138</f>
        <v>0</v>
      </c>
      <c r="L1138" s="2736"/>
    </row>
    <row r="1139" customFormat="false" ht="15.5" hidden="false" customHeight="false" outlineLevel="0" collapsed="false">
      <c r="A1139" s="2719"/>
      <c r="B1139" s="87" t="str">
        <f aca="false">перекрытие!A295</f>
        <v>ГПС 250х50-2,0</v>
      </c>
      <c r="C1139" s="88" t="str">
        <f aca="false">перекрытие!B295</f>
        <v>м.п.</v>
      </c>
      <c r="D1139" s="122" t="n">
        <f aca="false">перекрытие!D295</f>
        <v>0</v>
      </c>
      <c r="E1139" s="89" t="n">
        <f aca="false">перекрытие!E295</f>
        <v>274</v>
      </c>
      <c r="F1139" s="89"/>
      <c r="G1139" s="122" t="n">
        <f aca="false">IF(F1139&gt;0,D1139*F1139,E1139*D1139)</f>
        <v>0</v>
      </c>
      <c r="H1139" s="89" t="n">
        <f aca="false">E1139*D1139*$H$903</f>
        <v>0</v>
      </c>
      <c r="I1139" s="2784"/>
      <c r="J1139" s="2744"/>
      <c r="K1139" s="226" t="n">
        <f aca="false">D1139-J1139</f>
        <v>0</v>
      </c>
      <c r="L1139" s="2736"/>
    </row>
    <row r="1140" customFormat="false" ht="15.5" hidden="false" customHeight="false" outlineLevel="0" collapsed="false">
      <c r="A1140" s="2719"/>
      <c r="B1140" s="87" t="str">
        <f aca="false">перекрытие!A296</f>
        <v>ГПС 280х50-1,2</v>
      </c>
      <c r="C1140" s="88" t="str">
        <f aca="false">перекрытие!B296</f>
        <v>м.п.</v>
      </c>
      <c r="D1140" s="122" t="n">
        <f aca="false">перекрытие!D296</f>
        <v>0</v>
      </c>
      <c r="E1140" s="89" t="n">
        <f aca="false">перекрытие!E296</f>
        <v>344</v>
      </c>
      <c r="F1140" s="89"/>
      <c r="G1140" s="122" t="n">
        <f aca="false">IF(F1140&gt;0,D1140*F1140,E1140*D1140)</f>
        <v>0</v>
      </c>
      <c r="H1140" s="89" t="n">
        <f aca="false">E1140*D1140*$H$903</f>
        <v>0</v>
      </c>
      <c r="I1140" s="2784"/>
      <c r="J1140" s="2744"/>
      <c r="K1140" s="226" t="n">
        <f aca="false">D1140-J1140</f>
        <v>0</v>
      </c>
      <c r="L1140" s="2736"/>
    </row>
    <row r="1141" customFormat="false" ht="15.5" hidden="false" customHeight="false" outlineLevel="0" collapsed="false">
      <c r="A1141" s="2719"/>
      <c r="B1141" s="87" t="str">
        <f aca="false">перекрытие!A297</f>
        <v>ГПС 280х50-1,5</v>
      </c>
      <c r="C1141" s="88" t="str">
        <f aca="false">перекрытие!B297</f>
        <v>м.п.</v>
      </c>
      <c r="D1141" s="122" t="n">
        <f aca="false">перекрытие!D297</f>
        <v>0</v>
      </c>
      <c r="E1141" s="89" t="n">
        <f aca="false">перекрытие!E297</f>
        <v>450</v>
      </c>
      <c r="F1141" s="89"/>
      <c r="G1141" s="122" t="n">
        <f aca="false">IF(F1141&gt;0,D1141*F1141,E1141*D1141)</f>
        <v>0</v>
      </c>
      <c r="H1141" s="89" t="n">
        <f aca="false">E1141*D1141*$H$903</f>
        <v>0</v>
      </c>
      <c r="I1141" s="2784"/>
      <c r="J1141" s="2744"/>
      <c r="K1141" s="226" t="n">
        <f aca="false">D1141-J1141</f>
        <v>0</v>
      </c>
      <c r="L1141" s="2736"/>
    </row>
    <row r="1142" customFormat="false" ht="15.5" hidden="false" customHeight="false" outlineLevel="0" collapsed="false">
      <c r="A1142" s="2719"/>
      <c r="B1142" s="87" t="str">
        <f aca="false">перекрытие!A298</f>
        <v>ГПС 280х50-2,0</v>
      </c>
      <c r="C1142" s="88" t="str">
        <f aca="false">перекрытие!B298</f>
        <v>м.п.</v>
      </c>
      <c r="D1142" s="122" t="n">
        <f aca="false">перекрытие!D298</f>
        <v>0</v>
      </c>
      <c r="E1142" s="89" t="n">
        <f aca="false">перекрытие!E298</f>
        <v>293</v>
      </c>
      <c r="F1142" s="89"/>
      <c r="G1142" s="122" t="n">
        <f aca="false">IF(F1142&gt;0,D1142*F1142,E1142*D1142)</f>
        <v>0</v>
      </c>
      <c r="H1142" s="89" t="n">
        <f aca="false">E1142*D1142*$H$903</f>
        <v>0</v>
      </c>
      <c r="I1142" s="2784"/>
      <c r="J1142" s="2744"/>
      <c r="K1142" s="226" t="n">
        <f aca="false">D1142-J1142</f>
        <v>0</v>
      </c>
      <c r="L1142" s="2736"/>
    </row>
    <row r="1143" customFormat="false" ht="15.5" hidden="false" customHeight="false" outlineLevel="0" collapsed="false">
      <c r="A1143" s="2719"/>
      <c r="B1143" s="87" t="str">
        <f aca="false">перекрытие!A299</f>
        <v>ГПН 102х35-1,2</v>
      </c>
      <c r="C1143" s="88" t="str">
        <f aca="false">перекрытие!B299</f>
        <v>м.п.</v>
      </c>
      <c r="D1143" s="122" t="n">
        <f aca="false">перекрытие!D299</f>
        <v>0</v>
      </c>
      <c r="E1143" s="89" t="n">
        <f aca="false">перекрытие!E299</f>
        <v>127</v>
      </c>
      <c r="F1143" s="89"/>
      <c r="G1143" s="122" t="n">
        <f aca="false">IF(F1143&gt;0,D1143*F1143,E1143*D1143)</f>
        <v>0</v>
      </c>
      <c r="H1143" s="89" t="n">
        <f aca="false">E1143*D1143*$H$903</f>
        <v>0</v>
      </c>
      <c r="I1143" s="2784"/>
      <c r="J1143" s="2744"/>
      <c r="K1143" s="226" t="n">
        <f aca="false">D1143-J1143</f>
        <v>0</v>
      </c>
      <c r="L1143" s="2736"/>
    </row>
    <row r="1144" customFormat="false" ht="15.5" hidden="false" customHeight="false" outlineLevel="0" collapsed="false">
      <c r="A1144" s="2719"/>
      <c r="B1144" s="87" t="str">
        <f aca="false">перекрытие!A300</f>
        <v>ГПН 102х35-1,5</v>
      </c>
      <c r="C1144" s="88" t="str">
        <f aca="false">перекрытие!B300</f>
        <v>м.п.</v>
      </c>
      <c r="D1144" s="122" t="n">
        <f aca="false">перекрытие!D300</f>
        <v>0</v>
      </c>
      <c r="E1144" s="89" t="n">
        <f aca="false">перекрытие!E300</f>
        <v>158</v>
      </c>
      <c r="F1144" s="89"/>
      <c r="G1144" s="122" t="n">
        <f aca="false">IF(F1144&gt;0,D1144*F1144,E1144*D1144)</f>
        <v>0</v>
      </c>
      <c r="H1144" s="89" t="n">
        <f aca="false">E1144*D1144*$H$903</f>
        <v>0</v>
      </c>
      <c r="I1144" s="2784"/>
      <c r="J1144" s="2744"/>
      <c r="K1144" s="226" t="n">
        <f aca="false">D1144-J1144</f>
        <v>0</v>
      </c>
      <c r="L1144" s="2736"/>
    </row>
    <row r="1145" customFormat="false" ht="15.5" hidden="false" customHeight="false" outlineLevel="0" collapsed="false">
      <c r="A1145" s="2719"/>
      <c r="B1145" s="87" t="str">
        <f aca="false">перекрытие!A301</f>
        <v>ГПН 102х35-2,0</v>
      </c>
      <c r="C1145" s="88" t="str">
        <f aca="false">перекрытие!B301</f>
        <v>м.п.</v>
      </c>
      <c r="D1145" s="122" t="n">
        <f aca="false">перекрытие!D301</f>
        <v>0</v>
      </c>
      <c r="E1145" s="89" t="n">
        <f aca="false">перекрытие!E301</f>
        <v>199</v>
      </c>
      <c r="F1145" s="89"/>
      <c r="G1145" s="122" t="n">
        <f aca="false">IF(F1145&gt;0,D1145*F1145,E1145*D1145)</f>
        <v>0</v>
      </c>
      <c r="H1145" s="89" t="n">
        <f aca="false">E1145*D1145*$H$903</f>
        <v>0</v>
      </c>
      <c r="I1145" s="2784"/>
      <c r="J1145" s="2744"/>
      <c r="K1145" s="226" t="n">
        <f aca="false">D1145-J1145</f>
        <v>0</v>
      </c>
      <c r="L1145" s="2736"/>
    </row>
    <row r="1146" customFormat="false" ht="15.5" hidden="false" customHeight="false" outlineLevel="0" collapsed="false">
      <c r="A1146" s="2719"/>
      <c r="B1146" s="87" t="str">
        <f aca="false">перекрытие!A302</f>
        <v>ГПН 122х35-1,2</v>
      </c>
      <c r="C1146" s="88" t="str">
        <f aca="false">перекрытие!B302</f>
        <v>м.п.</v>
      </c>
      <c r="D1146" s="122" t="n">
        <f aca="false">перекрытие!D302</f>
        <v>0</v>
      </c>
      <c r="E1146" s="89" t="n">
        <f aca="false">перекрытие!E302</f>
        <v>131</v>
      </c>
      <c r="F1146" s="89"/>
      <c r="G1146" s="122" t="n">
        <f aca="false">IF(F1146&gt;0,D1146*F1146,E1146*D1146)</f>
        <v>0</v>
      </c>
      <c r="H1146" s="89" t="n">
        <f aca="false">E1146*D1146*$H$903</f>
        <v>0</v>
      </c>
      <c r="I1146" s="2784"/>
      <c r="J1146" s="2744"/>
      <c r="K1146" s="226" t="n">
        <f aca="false">D1146-J1146</f>
        <v>0</v>
      </c>
      <c r="L1146" s="2736"/>
    </row>
    <row r="1147" customFormat="false" ht="15.5" hidden="false" customHeight="false" outlineLevel="0" collapsed="false">
      <c r="A1147" s="2719"/>
      <c r="B1147" s="87" t="str">
        <f aca="false">перекрытие!A303</f>
        <v>ГПН 122х35-1,5</v>
      </c>
      <c r="C1147" s="88" t="str">
        <f aca="false">перекрытие!B303</f>
        <v>м.п.</v>
      </c>
      <c r="D1147" s="122" t="n">
        <f aca="false">перекрытие!D303</f>
        <v>0</v>
      </c>
      <c r="E1147" s="89" t="n">
        <f aca="false">перекрытие!E303</f>
        <v>163</v>
      </c>
      <c r="F1147" s="89"/>
      <c r="G1147" s="122" t="n">
        <f aca="false">IF(F1147&gt;0,D1147*F1147,E1147*D1147)</f>
        <v>0</v>
      </c>
      <c r="H1147" s="89" t="n">
        <f aca="false">E1147*D1147*$H$903</f>
        <v>0</v>
      </c>
      <c r="I1147" s="2784"/>
      <c r="J1147" s="2744"/>
      <c r="K1147" s="226" t="n">
        <f aca="false">D1147-J1147</f>
        <v>0</v>
      </c>
      <c r="L1147" s="2736"/>
    </row>
    <row r="1148" customFormat="false" ht="15.5" hidden="false" customHeight="false" outlineLevel="0" collapsed="false">
      <c r="A1148" s="2719"/>
      <c r="B1148" s="87" t="str">
        <f aca="false">перекрытие!A304</f>
        <v>ГПН 122х35-2,0</v>
      </c>
      <c r="C1148" s="88" t="str">
        <f aca="false">перекрытие!B304</f>
        <v>м.п.</v>
      </c>
      <c r="D1148" s="122" t="n">
        <f aca="false">перекрытие!D304</f>
        <v>0</v>
      </c>
      <c r="E1148" s="89" t="n">
        <f aca="false">перекрытие!E304</f>
        <v>216</v>
      </c>
      <c r="F1148" s="89"/>
      <c r="G1148" s="122" t="n">
        <f aca="false">IF(F1148&gt;0,D1148*F1148,E1148*D1148)</f>
        <v>0</v>
      </c>
      <c r="H1148" s="89" t="n">
        <f aca="false">E1148*D1148*$H$903</f>
        <v>0</v>
      </c>
      <c r="I1148" s="2784"/>
      <c r="J1148" s="2744"/>
      <c r="K1148" s="226" t="n">
        <f aca="false">D1148-J1148</f>
        <v>0</v>
      </c>
      <c r="L1148" s="2736"/>
    </row>
    <row r="1149" customFormat="false" ht="15.5" hidden="false" customHeight="false" outlineLevel="0" collapsed="false">
      <c r="A1149" s="2719"/>
      <c r="B1149" s="87" t="str">
        <f aca="false">перекрытие!A305</f>
        <v>ГПН 152х35-1,2</v>
      </c>
      <c r="C1149" s="88" t="str">
        <f aca="false">перекрытие!B305</f>
        <v>м.п.</v>
      </c>
      <c r="D1149" s="122" t="n">
        <f aca="false">перекрытие!D305</f>
        <v>0</v>
      </c>
      <c r="E1149" s="89" t="n">
        <f aca="false">перекрытие!E305</f>
        <v>163</v>
      </c>
      <c r="F1149" s="89"/>
      <c r="G1149" s="122" t="n">
        <f aca="false">IF(F1149&gt;0,D1149*F1149,E1149*D1149)</f>
        <v>0</v>
      </c>
      <c r="H1149" s="89" t="n">
        <f aca="false">E1149*D1149*$H$903</f>
        <v>0</v>
      </c>
      <c r="I1149" s="2784"/>
      <c r="J1149" s="2744"/>
      <c r="K1149" s="226" t="n">
        <f aca="false">D1149-J1149</f>
        <v>0</v>
      </c>
      <c r="L1149" s="2736"/>
    </row>
    <row r="1150" customFormat="false" ht="15.5" hidden="false" customHeight="false" outlineLevel="0" collapsed="false">
      <c r="A1150" s="2719"/>
      <c r="B1150" s="87" t="str">
        <f aca="false">перекрытие!A306</f>
        <v>ГПН 152х35-1,5</v>
      </c>
      <c r="C1150" s="88" t="str">
        <f aca="false">перекрытие!B306</f>
        <v>м.п.</v>
      </c>
      <c r="D1150" s="122" t="n">
        <f aca="false">перекрытие!D306</f>
        <v>0</v>
      </c>
      <c r="E1150" s="89" t="n">
        <f aca="false">перекрытие!E306</f>
        <v>203</v>
      </c>
      <c r="F1150" s="89"/>
      <c r="G1150" s="122" t="n">
        <f aca="false">IF(F1150&gt;0,D1150*F1150,E1150*D1150)</f>
        <v>0</v>
      </c>
      <c r="H1150" s="89" t="n">
        <f aca="false">E1150*D1150*$H$903</f>
        <v>0</v>
      </c>
      <c r="I1150" s="2784"/>
      <c r="J1150" s="2744"/>
      <c r="K1150" s="226" t="n">
        <f aca="false">D1150-J1150</f>
        <v>0</v>
      </c>
      <c r="L1150" s="2736"/>
    </row>
    <row r="1151" customFormat="false" ht="15.5" hidden="false" customHeight="false" outlineLevel="0" collapsed="false">
      <c r="A1151" s="2719"/>
      <c r="B1151" s="87" t="str">
        <f aca="false">перекрытие!A307</f>
        <v>ГПН 152х35-2,0</v>
      </c>
      <c r="C1151" s="88" t="str">
        <f aca="false">перекрытие!B307</f>
        <v>м.п.</v>
      </c>
      <c r="D1151" s="122" t="n">
        <f aca="false">перекрытие!D307</f>
        <v>0</v>
      </c>
      <c r="E1151" s="89" t="n">
        <f aca="false">перекрытие!E307</f>
        <v>259</v>
      </c>
      <c r="F1151" s="89"/>
      <c r="G1151" s="122" t="n">
        <f aca="false">IF(F1151&gt;0,D1151*F1151,E1151*D1151)</f>
        <v>0</v>
      </c>
      <c r="H1151" s="89" t="n">
        <f aca="false">E1151*D1151*$H$903</f>
        <v>0</v>
      </c>
      <c r="I1151" s="2784"/>
      <c r="J1151" s="2744"/>
      <c r="K1151" s="226" t="n">
        <f aca="false">D1151-J1151</f>
        <v>0</v>
      </c>
      <c r="L1151" s="2736"/>
    </row>
    <row r="1152" customFormat="false" ht="15.5" hidden="false" customHeight="false" outlineLevel="0" collapsed="false">
      <c r="A1152" s="2719"/>
      <c r="B1152" s="87" t="str">
        <f aca="false">перекрытие!A308</f>
        <v>ГПН 172х35-1,2</v>
      </c>
      <c r="C1152" s="88" t="str">
        <f aca="false">перекрытие!B308</f>
        <v>м.п.</v>
      </c>
      <c r="D1152" s="122" t="n">
        <f aca="false">перекрытие!D308</f>
        <v>0</v>
      </c>
      <c r="E1152" s="89" t="n">
        <f aca="false">перекрытие!E308</f>
        <v>166</v>
      </c>
      <c r="F1152" s="89"/>
      <c r="G1152" s="122" t="n">
        <f aca="false">IF(F1152&gt;0,D1152*F1152,E1152*D1152)</f>
        <v>0</v>
      </c>
      <c r="H1152" s="89" t="n">
        <f aca="false">E1152*D1152*$H$903</f>
        <v>0</v>
      </c>
      <c r="I1152" s="2784"/>
      <c r="J1152" s="2744"/>
      <c r="K1152" s="226" t="n">
        <f aca="false">D1152-J1152</f>
        <v>0</v>
      </c>
      <c r="L1152" s="2736"/>
    </row>
    <row r="1153" customFormat="false" ht="15.5" hidden="false" customHeight="false" outlineLevel="0" collapsed="false">
      <c r="A1153" s="2719"/>
      <c r="B1153" s="87" t="str">
        <f aca="false">перекрытие!A309</f>
        <v>ГПН 172х35-1,5</v>
      </c>
      <c r="C1153" s="88" t="str">
        <f aca="false">перекрытие!B309</f>
        <v>м.п.</v>
      </c>
      <c r="D1153" s="122" t="n">
        <f aca="false">перекрытие!D309</f>
        <v>0</v>
      </c>
      <c r="E1153" s="89" t="n">
        <f aca="false">перекрытие!E309</f>
        <v>207</v>
      </c>
      <c r="F1153" s="89"/>
      <c r="G1153" s="122" t="n">
        <f aca="false">IF(F1153&gt;0,D1153*F1153,E1153*D1153)</f>
        <v>0</v>
      </c>
      <c r="H1153" s="89" t="n">
        <f aca="false">E1153*D1153*$H$903</f>
        <v>0</v>
      </c>
      <c r="I1153" s="2784"/>
      <c r="J1153" s="2744"/>
      <c r="K1153" s="226" t="n">
        <f aca="false">D1153-J1153</f>
        <v>0</v>
      </c>
      <c r="L1153" s="2736"/>
    </row>
    <row r="1154" customFormat="false" ht="15.5" hidden="false" customHeight="false" outlineLevel="0" collapsed="false">
      <c r="A1154" s="2719"/>
      <c r="B1154" s="87" t="str">
        <f aca="false">перекрытие!A310</f>
        <v>ГПН 172х35-2,0</v>
      </c>
      <c r="C1154" s="88" t="str">
        <f aca="false">перекрытие!B310</f>
        <v>м.п.</v>
      </c>
      <c r="D1154" s="122" t="n">
        <f aca="false">перекрытие!D310</f>
        <v>0</v>
      </c>
      <c r="E1154" s="89" t="n">
        <f aca="false">перекрытие!E310</f>
        <v>274</v>
      </c>
      <c r="F1154" s="89"/>
      <c r="G1154" s="122" t="n">
        <f aca="false">IF(F1154&gt;0,D1154*F1154,E1154*D1154)</f>
        <v>0</v>
      </c>
      <c r="H1154" s="89" t="n">
        <f aca="false">E1154*D1154*$H$903</f>
        <v>0</v>
      </c>
      <c r="I1154" s="2784"/>
      <c r="J1154" s="2744"/>
      <c r="K1154" s="226" t="n">
        <f aca="false">D1154-J1154</f>
        <v>0</v>
      </c>
      <c r="L1154" s="2736"/>
    </row>
    <row r="1155" customFormat="false" ht="15.5" hidden="false" customHeight="false" outlineLevel="0" collapsed="false">
      <c r="A1155" s="2719"/>
      <c r="B1155" s="87" t="str">
        <f aca="false">перекрытие!A311</f>
        <v>ГПН 202х35-1,2</v>
      </c>
      <c r="C1155" s="88" t="str">
        <f aca="false">перекрытие!B311</f>
        <v>м.п.</v>
      </c>
      <c r="D1155" s="122" t="n">
        <f aca="false">перекрытие!D311</f>
        <v>0</v>
      </c>
      <c r="E1155" s="89" t="n">
        <f aca="false">перекрытие!E311</f>
        <v>201</v>
      </c>
      <c r="F1155" s="89"/>
      <c r="G1155" s="122" t="n">
        <f aca="false">IF(F1155&gt;0,D1155*F1155,E1155*D1155)</f>
        <v>0</v>
      </c>
      <c r="H1155" s="89" t="n">
        <f aca="false">E1155*D1155*$H$903</f>
        <v>0</v>
      </c>
      <c r="I1155" s="2784"/>
      <c r="J1155" s="2744"/>
      <c r="K1155" s="226" t="n">
        <f aca="false">D1155-J1155</f>
        <v>0</v>
      </c>
      <c r="L1155" s="2736"/>
    </row>
    <row r="1156" customFormat="false" ht="15.5" hidden="false" customHeight="false" outlineLevel="0" collapsed="false">
      <c r="A1156" s="2719"/>
      <c r="B1156" s="87" t="str">
        <f aca="false">перекрытие!A312</f>
        <v>ГПН 202х35-1,5</v>
      </c>
      <c r="C1156" s="88" t="str">
        <f aca="false">перекрытие!B312</f>
        <v>м.п.</v>
      </c>
      <c r="D1156" s="122" t="n">
        <f aca="false">перекрытие!D312</f>
        <v>0</v>
      </c>
      <c r="E1156" s="89" t="n">
        <f aca="false">перекрытие!E312</f>
        <v>252</v>
      </c>
      <c r="F1156" s="89"/>
      <c r="G1156" s="122" t="n">
        <f aca="false">IF(F1156&gt;0,D1156*F1156,E1156*D1156)</f>
        <v>0</v>
      </c>
      <c r="H1156" s="89" t="n">
        <f aca="false">E1156*D1156*$H$903</f>
        <v>0</v>
      </c>
      <c r="I1156" s="2784"/>
      <c r="J1156" s="2744"/>
      <c r="K1156" s="226" t="n">
        <f aca="false">D1156-J1156</f>
        <v>0</v>
      </c>
      <c r="L1156" s="2736"/>
    </row>
    <row r="1157" customFormat="false" ht="15.5" hidden="false" customHeight="false" outlineLevel="0" collapsed="false">
      <c r="A1157" s="2719"/>
      <c r="B1157" s="87" t="str">
        <f aca="false">перекрытие!A313</f>
        <v>ГПН 202х35-2,0</v>
      </c>
      <c r="C1157" s="88" t="str">
        <f aca="false">перекрытие!B313</f>
        <v>м.п.</v>
      </c>
      <c r="D1157" s="122" t="n">
        <f aca="false">перекрытие!D313</f>
        <v>0</v>
      </c>
      <c r="E1157" s="89" t="n">
        <f aca="false">перекрытие!E313</f>
        <v>318</v>
      </c>
      <c r="F1157" s="89"/>
      <c r="G1157" s="122" t="n">
        <f aca="false">IF(F1157&gt;0,D1157*F1157,E1157*D1157)</f>
        <v>0</v>
      </c>
      <c r="H1157" s="89" t="n">
        <f aca="false">E1157*D1157*$H$903</f>
        <v>0</v>
      </c>
      <c r="I1157" s="2784"/>
      <c r="J1157" s="2744"/>
      <c r="K1157" s="226" t="n">
        <f aca="false">D1157-J1157</f>
        <v>0</v>
      </c>
      <c r="L1157" s="2736"/>
    </row>
    <row r="1158" customFormat="false" ht="15.5" hidden="false" customHeight="false" outlineLevel="0" collapsed="false">
      <c r="A1158" s="2719"/>
      <c r="B1158" s="87" t="str">
        <f aca="false">перекрытие!A314</f>
        <v>ГПН 252х35-1,2</v>
      </c>
      <c r="C1158" s="88" t="str">
        <f aca="false">перекрытие!B314</f>
        <v>м.п.</v>
      </c>
      <c r="D1158" s="122" t="n">
        <f aca="false">перекрытие!D314</f>
        <v>0</v>
      </c>
      <c r="E1158" s="89" t="n">
        <f aca="false">перекрытие!E314</f>
        <v>226</v>
      </c>
      <c r="F1158" s="89"/>
      <c r="G1158" s="122" t="n">
        <f aca="false">IF(F1158&gt;0,D1158*F1158,E1158*D1158)</f>
        <v>0</v>
      </c>
      <c r="H1158" s="89" t="n">
        <f aca="false">E1158*D1158*$H$903</f>
        <v>0</v>
      </c>
      <c r="I1158" s="2784"/>
      <c r="J1158" s="2744"/>
      <c r="K1158" s="226" t="n">
        <f aca="false">D1158-J1158</f>
        <v>0</v>
      </c>
      <c r="L1158" s="2736"/>
    </row>
    <row r="1159" customFormat="false" ht="15.5" hidden="false" customHeight="false" outlineLevel="0" collapsed="false">
      <c r="A1159" s="2719"/>
      <c r="B1159" s="87" t="str">
        <f aca="false">перекрытие!A315</f>
        <v>ГПН 252х35-1,5</v>
      </c>
      <c r="C1159" s="88" t="str">
        <f aca="false">перекрытие!B315</f>
        <v>м.п.</v>
      </c>
      <c r="D1159" s="122" t="n">
        <f aca="false">перекрытие!D315</f>
        <v>0</v>
      </c>
      <c r="E1159" s="89" t="n">
        <f aca="false">перекрытие!E315</f>
        <v>283</v>
      </c>
      <c r="F1159" s="89"/>
      <c r="G1159" s="122" t="n">
        <f aca="false">IF(F1159&gt;0,D1159*F1159,E1159*D1159)</f>
        <v>0</v>
      </c>
      <c r="H1159" s="89" t="n">
        <f aca="false">E1159*D1159*$H$903</f>
        <v>0</v>
      </c>
      <c r="I1159" s="2784"/>
      <c r="J1159" s="2744"/>
      <c r="K1159" s="226" t="n">
        <f aca="false">D1159-J1159</f>
        <v>0</v>
      </c>
      <c r="L1159" s="2736"/>
    </row>
    <row r="1160" customFormat="false" ht="15.5" hidden="false" customHeight="false" outlineLevel="0" collapsed="false">
      <c r="A1160" s="2719"/>
      <c r="B1160" s="87" t="str">
        <f aca="false">перекрытие!A316</f>
        <v>ГПН 252х35-2,0</v>
      </c>
      <c r="C1160" s="88" t="str">
        <f aca="false">перекрытие!B316</f>
        <v>м.п.</v>
      </c>
      <c r="D1160" s="122" t="n">
        <f aca="false">перекрытие!D316</f>
        <v>0</v>
      </c>
      <c r="E1160" s="89" t="n">
        <f aca="false">перекрытие!E316</f>
        <v>378</v>
      </c>
      <c r="F1160" s="89"/>
      <c r="G1160" s="122" t="n">
        <f aca="false">IF(F1160&gt;0,D1160*F1160,E1160*D1160)</f>
        <v>0</v>
      </c>
      <c r="H1160" s="89" t="n">
        <f aca="false">E1160*D1160*$H$903</f>
        <v>0</v>
      </c>
      <c r="I1160" s="2784"/>
      <c r="J1160" s="2744"/>
      <c r="K1160" s="226" t="n">
        <f aca="false">D1160-J1160</f>
        <v>0</v>
      </c>
      <c r="L1160" s="2736"/>
    </row>
    <row r="1161" customFormat="false" ht="15.5" hidden="false" customHeight="false" outlineLevel="0" collapsed="false">
      <c r="A1161" s="2719"/>
      <c r="B1161" s="87" t="str">
        <f aca="false">перекрытие!A317</f>
        <v>ГПН 282х35-1,2</v>
      </c>
      <c r="C1161" s="88" t="str">
        <f aca="false">перекрытие!B317</f>
        <v>м.п.</v>
      </c>
      <c r="D1161" s="122" t="n">
        <f aca="false">перекрытие!D317</f>
        <v>0</v>
      </c>
      <c r="E1161" s="89" t="n">
        <f aca="false">перекрытие!E317</f>
        <v>275</v>
      </c>
      <c r="F1161" s="89"/>
      <c r="G1161" s="122" t="n">
        <f aca="false">IF(F1161&gt;0,D1161*F1161,E1161*D1161)</f>
        <v>0</v>
      </c>
      <c r="H1161" s="89" t="n">
        <f aca="false">E1161*D1161*$H$903</f>
        <v>0</v>
      </c>
      <c r="I1161" s="2784"/>
      <c r="J1161" s="2744"/>
      <c r="K1161" s="226" t="n">
        <f aca="false">D1161-J1161</f>
        <v>0</v>
      </c>
      <c r="L1161" s="2736"/>
    </row>
    <row r="1162" customFormat="false" ht="15.5" hidden="false" customHeight="false" outlineLevel="0" collapsed="false">
      <c r="A1162" s="2719"/>
      <c r="B1162" s="87" t="str">
        <f aca="false">перекрытие!A318</f>
        <v>Саморез 5,5 х 25</v>
      </c>
      <c r="C1162" s="88"/>
      <c r="D1162" s="122" t="n">
        <f aca="false">перекрытие!D318</f>
        <v>0</v>
      </c>
      <c r="E1162" s="89" t="n">
        <f aca="false">перекрытие!E318</f>
        <v>2.5</v>
      </c>
      <c r="F1162" s="89"/>
      <c r="G1162" s="122" t="n">
        <f aca="false">IF(F1162&gt;0,D1162*F1162,E1162*D1162)</f>
        <v>0</v>
      </c>
      <c r="H1162" s="89" t="n">
        <f aca="false">E1162*D1162*$H$903</f>
        <v>0</v>
      </c>
      <c r="I1162" s="2784"/>
      <c r="J1162" s="2744"/>
      <c r="K1162" s="226" t="n">
        <f aca="false">D1162-J1162</f>
        <v>0</v>
      </c>
      <c r="L1162" s="2736"/>
    </row>
    <row r="1163" customFormat="false" ht="15.5" hidden="false" customHeight="false" outlineLevel="0" collapsed="false">
      <c r="A1163" s="2719"/>
      <c r="B1163" s="87" t="str">
        <f aca="false">перекрытие!A322</f>
        <v>ГПС 100х50-1,2</v>
      </c>
      <c r="C1163" s="88" t="str">
        <f aca="false">перекрытие!B322</f>
        <v>м.п.</v>
      </c>
      <c r="D1163" s="122" t="n">
        <f aca="false">перекрытие!D322</f>
        <v>0</v>
      </c>
      <c r="E1163" s="89" t="n">
        <f aca="false">перекрытие!E322</f>
        <v>163</v>
      </c>
      <c r="F1163" s="89"/>
      <c r="G1163" s="122" t="n">
        <f aca="false">IF(F1163&gt;0,D1163*F1163,E1163*D1163)</f>
        <v>0</v>
      </c>
      <c r="H1163" s="89" t="n">
        <f aca="false">E1163*D1163*$H$903</f>
        <v>0</v>
      </c>
      <c r="I1163" s="2784"/>
      <c r="J1163" s="2744"/>
      <c r="K1163" s="226" t="n">
        <f aca="false">D1163-J1163</f>
        <v>0</v>
      </c>
      <c r="L1163" s="2736"/>
    </row>
    <row r="1164" customFormat="false" ht="15.5" hidden="false" customHeight="false" outlineLevel="0" collapsed="false">
      <c r="A1164" s="2719"/>
      <c r="B1164" s="87" t="str">
        <f aca="false">перекрытие!A323</f>
        <v>ГПС 100х50-1,5</v>
      </c>
      <c r="C1164" s="88" t="str">
        <f aca="false">перекрытие!B323</f>
        <v>м.п.</v>
      </c>
      <c r="D1164" s="122" t="n">
        <f aca="false">перекрытие!D323</f>
        <v>0</v>
      </c>
      <c r="E1164" s="89" t="n">
        <f aca="false">перекрытие!E323</f>
        <v>204</v>
      </c>
      <c r="F1164" s="89"/>
      <c r="G1164" s="122" t="n">
        <f aca="false">IF(F1164&gt;0,D1164*F1164,E1164*D1164)</f>
        <v>0</v>
      </c>
      <c r="H1164" s="89" t="n">
        <f aca="false">E1164*D1164*$H$903</f>
        <v>0</v>
      </c>
      <c r="I1164" s="2784"/>
      <c r="J1164" s="2744"/>
      <c r="K1164" s="226" t="n">
        <f aca="false">D1164-J1164</f>
        <v>0</v>
      </c>
      <c r="L1164" s="2736"/>
    </row>
    <row r="1165" customFormat="false" ht="15.5" hidden="false" customHeight="false" outlineLevel="0" collapsed="false">
      <c r="A1165" s="2719"/>
      <c r="B1165" s="87" t="str">
        <f aca="false">перекрытие!A324</f>
        <v>ГПС 120х50-1,5</v>
      </c>
      <c r="C1165" s="88" t="str">
        <f aca="false">перекрытие!B324</f>
        <v>м.п.</v>
      </c>
      <c r="D1165" s="122" t="n">
        <f aca="false">перекрытие!D324</f>
        <v>0</v>
      </c>
      <c r="E1165" s="89" t="n">
        <f aca="false">перекрытие!E324</f>
        <v>272</v>
      </c>
      <c r="F1165" s="89"/>
      <c r="G1165" s="122" t="n">
        <f aca="false">IF(F1165&gt;0,D1165*F1165,E1165*D1165)</f>
        <v>0</v>
      </c>
      <c r="H1165" s="89" t="n">
        <f aca="false">E1165*D1165*$H$903</f>
        <v>0</v>
      </c>
      <c r="I1165" s="2784"/>
      <c r="J1165" s="2744"/>
      <c r="K1165" s="226" t="n">
        <f aca="false">D1165-J1165</f>
        <v>0</v>
      </c>
      <c r="L1165" s="2736"/>
    </row>
    <row r="1166" customFormat="false" ht="15.5" hidden="false" customHeight="false" outlineLevel="0" collapsed="false">
      <c r="A1166" s="2719"/>
      <c r="B1166" s="87" t="str">
        <f aca="false">перекрытие!A325</f>
        <v>ГПС 120х50-2,0</v>
      </c>
      <c r="C1166" s="88" t="str">
        <f aca="false">перекрытие!B325</f>
        <v>м.п.</v>
      </c>
      <c r="D1166" s="122" t="n">
        <f aca="false">перекрытие!D325</f>
        <v>0</v>
      </c>
      <c r="E1166" s="89" t="n">
        <f aca="false">перекрытие!E325</f>
        <v>179</v>
      </c>
      <c r="F1166" s="89"/>
      <c r="G1166" s="122" t="n">
        <f aca="false">IF(F1166&gt;0,D1166*F1166,E1166*D1166)</f>
        <v>0</v>
      </c>
      <c r="H1166" s="89" t="n">
        <f aca="false">E1166*D1166*$H$903</f>
        <v>0</v>
      </c>
      <c r="I1166" s="2784"/>
      <c r="J1166" s="2744"/>
      <c r="K1166" s="226" t="n">
        <f aca="false">D1166-J1166</f>
        <v>0</v>
      </c>
      <c r="L1166" s="2736"/>
    </row>
    <row r="1167" customFormat="false" ht="15.5" hidden="false" customHeight="false" outlineLevel="0" collapsed="false">
      <c r="A1167" s="2719"/>
      <c r="B1167" s="87" t="str">
        <f aca="false">перекрытие!A326</f>
        <v>ГПС 150х50-1,2</v>
      </c>
      <c r="C1167" s="88" t="str">
        <f aca="false">перекрытие!B326</f>
        <v>м.п.</v>
      </c>
      <c r="D1167" s="122" t="n">
        <f aca="false">перекрытие!D326</f>
        <v>0</v>
      </c>
      <c r="E1167" s="89" t="n">
        <f aca="false">перекрытие!E326</f>
        <v>224</v>
      </c>
      <c r="F1167" s="89"/>
      <c r="G1167" s="122" t="n">
        <f aca="false">IF(F1167&gt;0,D1167*F1167,E1167*D1167)</f>
        <v>0</v>
      </c>
      <c r="H1167" s="89" t="n">
        <f aca="false">E1167*D1167*$H$903</f>
        <v>0</v>
      </c>
      <c r="I1167" s="2784"/>
      <c r="J1167" s="2744"/>
      <c r="K1167" s="226" t="n">
        <f aca="false">D1167-J1167</f>
        <v>0</v>
      </c>
      <c r="L1167" s="2736"/>
    </row>
    <row r="1168" customFormat="false" ht="15.5" hidden="false" customHeight="false" outlineLevel="0" collapsed="false">
      <c r="A1168" s="2719"/>
      <c r="B1168" s="87" t="str">
        <f aca="false">перекрытие!A327</f>
        <v>ГПС 150х50-1,5</v>
      </c>
      <c r="C1168" s="88" t="str">
        <f aca="false">перекрытие!B327</f>
        <v>м.п.</v>
      </c>
      <c r="D1168" s="122" t="n">
        <f aca="false">перекрытие!D327</f>
        <v>0</v>
      </c>
      <c r="E1168" s="89" t="n">
        <f aca="false">перекрытие!E327</f>
        <v>299</v>
      </c>
      <c r="F1168" s="89"/>
      <c r="G1168" s="122" t="n">
        <f aca="false">IF(F1168&gt;0,D1168*F1168,E1168*D1168)</f>
        <v>0</v>
      </c>
      <c r="H1168" s="89" t="n">
        <f aca="false">E1168*D1168*$H$903</f>
        <v>0</v>
      </c>
      <c r="I1168" s="2784"/>
      <c r="J1168" s="2744"/>
      <c r="K1168" s="226" t="n">
        <f aca="false">D1168-J1168</f>
        <v>0</v>
      </c>
      <c r="L1168" s="2736"/>
    </row>
    <row r="1169" customFormat="false" ht="15.5" hidden="false" customHeight="false" outlineLevel="0" collapsed="false">
      <c r="A1169" s="2719"/>
      <c r="B1169" s="87" t="str">
        <f aca="false">перекрытие!A328</f>
        <v>ГПС 150х50-2,0</v>
      </c>
      <c r="C1169" s="88" t="str">
        <f aca="false">перекрытие!B328</f>
        <v>м.п.</v>
      </c>
      <c r="D1169" s="122" t="n">
        <f aca="false">перекрытие!D328</f>
        <v>0</v>
      </c>
      <c r="E1169" s="89" t="n">
        <f aca="false">перекрытие!E328</f>
        <v>201</v>
      </c>
      <c r="F1169" s="89"/>
      <c r="G1169" s="122" t="n">
        <f aca="false">IF(F1169&gt;0,D1169*F1169,E1169*D1169)</f>
        <v>0</v>
      </c>
      <c r="H1169" s="89" t="n">
        <f aca="false">E1169*D1169*$H$903</f>
        <v>0</v>
      </c>
      <c r="I1169" s="2784"/>
      <c r="J1169" s="2744"/>
      <c r="K1169" s="226" t="n">
        <f aca="false">D1169-J1169</f>
        <v>0</v>
      </c>
      <c r="L1169" s="2736"/>
    </row>
    <row r="1170" customFormat="false" ht="15.5" hidden="false" customHeight="false" outlineLevel="0" collapsed="false">
      <c r="A1170" s="2719"/>
      <c r="B1170" s="87" t="str">
        <f aca="false">перекрытие!A329</f>
        <v>ГПС 170х50-1,2</v>
      </c>
      <c r="C1170" s="88" t="str">
        <f aca="false">перекрытие!B329</f>
        <v>м.п.</v>
      </c>
      <c r="D1170" s="122" t="n">
        <f aca="false">перекрытие!D329</f>
        <v>0</v>
      </c>
      <c r="E1170" s="89" t="n">
        <f aca="false">перекрытие!E329</f>
        <v>252</v>
      </c>
      <c r="F1170" s="89"/>
      <c r="G1170" s="122" t="n">
        <f aca="false">IF(F1170&gt;0,D1170*F1170,E1170*D1170)</f>
        <v>0</v>
      </c>
      <c r="H1170" s="89" t="n">
        <f aca="false">E1170*D1170*$H$903</f>
        <v>0</v>
      </c>
      <c r="I1170" s="2784"/>
      <c r="J1170" s="2744"/>
      <c r="K1170" s="226" t="n">
        <f aca="false">D1170-J1170</f>
        <v>0</v>
      </c>
      <c r="L1170" s="2736"/>
    </row>
    <row r="1171" customFormat="false" ht="15.5" hidden="false" customHeight="false" outlineLevel="0" collapsed="false">
      <c r="A1171" s="2719"/>
      <c r="B1171" s="87" t="str">
        <f aca="false">перекрытие!A330</f>
        <v>ГПС 170х50-1,5</v>
      </c>
      <c r="C1171" s="88" t="str">
        <f aca="false">перекрытие!B330</f>
        <v>м.п.</v>
      </c>
      <c r="D1171" s="122" t="n">
        <f aca="false">перекрытие!D330</f>
        <v>0</v>
      </c>
      <c r="E1171" s="89" t="n">
        <f aca="false">перекрытие!E330</f>
        <v>330</v>
      </c>
      <c r="F1171" s="89"/>
      <c r="G1171" s="122" t="n">
        <f aca="false">IF(F1171&gt;0,D1171*F1171,E1171*D1171)</f>
        <v>0</v>
      </c>
      <c r="H1171" s="89" t="n">
        <f aca="false">E1171*D1171*$H$903</f>
        <v>0</v>
      </c>
      <c r="I1171" s="2784"/>
      <c r="J1171" s="2744"/>
      <c r="K1171" s="226" t="n">
        <f aca="false">D1171-J1171</f>
        <v>0</v>
      </c>
      <c r="L1171" s="2736"/>
    </row>
    <row r="1172" customFormat="false" ht="15.5" hidden="false" customHeight="false" outlineLevel="0" collapsed="false">
      <c r="A1172" s="2719"/>
      <c r="B1172" s="87" t="str">
        <f aca="false">перекрытие!A331</f>
        <v>ГПС 170х50-2,0</v>
      </c>
      <c r="C1172" s="88" t="str">
        <f aca="false">перекрытие!B331</f>
        <v>м.п.</v>
      </c>
      <c r="D1172" s="122" t="n">
        <f aca="false">перекрытие!D331</f>
        <v>0</v>
      </c>
      <c r="E1172" s="89" t="n">
        <f aca="false">перекрытие!E331</f>
        <v>215</v>
      </c>
      <c r="F1172" s="89"/>
      <c r="G1172" s="122" t="n">
        <f aca="false">IF(F1172&gt;0,D1172*F1172,E1172*D1172)</f>
        <v>0</v>
      </c>
      <c r="H1172" s="89" t="n">
        <f aca="false">E1172*D1172*$H$903</f>
        <v>0</v>
      </c>
      <c r="I1172" s="2784"/>
      <c r="J1172" s="2744"/>
      <c r="K1172" s="226" t="n">
        <f aca="false">D1172-J1172</f>
        <v>0</v>
      </c>
      <c r="L1172" s="2736"/>
    </row>
    <row r="1173" customFormat="false" ht="15.5" hidden="false" customHeight="false" outlineLevel="0" collapsed="false">
      <c r="A1173" s="2719"/>
      <c r="B1173" s="87" t="str">
        <f aca="false">перекрытие!A332</f>
        <v>ГПС 200х50-1,2</v>
      </c>
      <c r="C1173" s="88" t="str">
        <f aca="false">перекрытие!B332</f>
        <v>м.п.</v>
      </c>
      <c r="D1173" s="122" t="n">
        <f aca="false">перекрытие!D332</f>
        <v>0</v>
      </c>
      <c r="E1173" s="89" t="n">
        <f aca="false">перекрытие!E332</f>
        <v>269</v>
      </c>
      <c r="F1173" s="89"/>
      <c r="G1173" s="122" t="n">
        <f aca="false">IF(F1173&gt;0,D1173*F1173,E1173*D1173)</f>
        <v>0</v>
      </c>
      <c r="H1173" s="89" t="n">
        <f aca="false">E1173*D1173*$H$903</f>
        <v>0</v>
      </c>
      <c r="I1173" s="2784"/>
      <c r="J1173" s="2744"/>
      <c r="K1173" s="226" t="n">
        <f aca="false">D1173-J1173</f>
        <v>0</v>
      </c>
      <c r="L1173" s="2736"/>
    </row>
    <row r="1174" customFormat="false" ht="15.5" hidden="false" customHeight="false" outlineLevel="0" collapsed="false">
      <c r="A1174" s="2719"/>
      <c r="B1174" s="87" t="str">
        <f aca="false">перекрытие!A333</f>
        <v>ГПС 200х50-1,5</v>
      </c>
      <c r="C1174" s="88" t="str">
        <f aca="false">перекрытие!B333</f>
        <v>м.п.</v>
      </c>
      <c r="D1174" s="122" t="n">
        <f aca="false">перекрытие!D333</f>
        <v>0</v>
      </c>
      <c r="E1174" s="89" t="n">
        <f aca="false">перекрытие!E333</f>
        <v>358</v>
      </c>
      <c r="F1174" s="89"/>
      <c r="G1174" s="122" t="n">
        <f aca="false">IF(F1174&gt;0,D1174*F1174,E1174*D1174)</f>
        <v>0</v>
      </c>
      <c r="H1174" s="89" t="n">
        <f aca="false">E1174*D1174*$H$903</f>
        <v>0</v>
      </c>
      <c r="I1174" s="2784"/>
      <c r="J1174" s="2744"/>
      <c r="K1174" s="226" t="n">
        <f aca="false">D1174-J1174</f>
        <v>0</v>
      </c>
      <c r="L1174" s="2736"/>
    </row>
    <row r="1175" customFormat="false" ht="15.5" hidden="false" customHeight="false" outlineLevel="0" collapsed="false">
      <c r="A1175" s="2719"/>
      <c r="B1175" s="87" t="str">
        <f aca="false">перекрытие!A334</f>
        <v>ГПС 200х50-2,0</v>
      </c>
      <c r="C1175" s="88" t="str">
        <f aca="false">перекрытие!B334</f>
        <v>м.п.</v>
      </c>
      <c r="D1175" s="122" t="n">
        <f aca="false">перекрытие!D334</f>
        <v>0</v>
      </c>
      <c r="E1175" s="89" t="n">
        <f aca="false">перекрытие!E334</f>
        <v>239</v>
      </c>
      <c r="F1175" s="89"/>
      <c r="G1175" s="122" t="n">
        <f aca="false">IF(F1175&gt;0,D1175*F1175,E1175*D1175)</f>
        <v>0</v>
      </c>
      <c r="H1175" s="89" t="n">
        <f aca="false">E1175*D1175*$H$903</f>
        <v>0</v>
      </c>
      <c r="I1175" s="2784"/>
      <c r="J1175" s="2744"/>
      <c r="K1175" s="226" t="n">
        <f aca="false">D1175-J1175</f>
        <v>0</v>
      </c>
      <c r="L1175" s="2736"/>
    </row>
    <row r="1176" customFormat="false" ht="15.5" hidden="false" customHeight="false" outlineLevel="0" collapsed="false">
      <c r="A1176" s="2719"/>
      <c r="B1176" s="87" t="str">
        <f aca="false">перекрытие!A335</f>
        <v>ГПС 250х50-1,2</v>
      </c>
      <c r="C1176" s="88" t="str">
        <f aca="false">перекрытие!B335</f>
        <v>м.п.</v>
      </c>
      <c r="D1176" s="122" t="n">
        <f aca="false">перекрытие!D335</f>
        <v>0</v>
      </c>
      <c r="E1176" s="89" t="n">
        <f aca="false">перекрытие!E335</f>
        <v>299</v>
      </c>
      <c r="F1176" s="89"/>
      <c r="G1176" s="122" t="n">
        <f aca="false">IF(F1176&gt;0,D1176*F1176,E1176*D1176)</f>
        <v>0</v>
      </c>
      <c r="H1176" s="89" t="n">
        <f aca="false">E1176*D1176*$H$903</f>
        <v>0</v>
      </c>
      <c r="I1176" s="2784"/>
      <c r="J1176" s="2744"/>
      <c r="K1176" s="226" t="n">
        <f aca="false">D1176-J1176</f>
        <v>0</v>
      </c>
      <c r="L1176" s="2736"/>
    </row>
    <row r="1177" customFormat="false" ht="15.5" hidden="false" customHeight="false" outlineLevel="0" collapsed="false">
      <c r="A1177" s="2719"/>
      <c r="B1177" s="87" t="str">
        <f aca="false">перекрытие!A336</f>
        <v>ГПС 250х50-1,5</v>
      </c>
      <c r="C1177" s="88" t="str">
        <f aca="false">перекрытие!B336</f>
        <v>м.п.</v>
      </c>
      <c r="D1177" s="122" t="n">
        <f aca="false">перекрытие!D336</f>
        <v>0</v>
      </c>
      <c r="E1177" s="89" t="n">
        <f aca="false">перекрытие!E336</f>
        <v>397</v>
      </c>
      <c r="F1177" s="89"/>
      <c r="G1177" s="122" t="n">
        <f aca="false">IF(F1177&gt;0,D1177*F1177,E1177*D1177)</f>
        <v>0</v>
      </c>
      <c r="H1177" s="89" t="n">
        <f aca="false">E1177*D1177*$H$903</f>
        <v>0</v>
      </c>
      <c r="I1177" s="2784"/>
      <c r="J1177" s="2744"/>
      <c r="K1177" s="226" t="n">
        <f aca="false">D1177-J1177</f>
        <v>0</v>
      </c>
      <c r="L1177" s="2736"/>
    </row>
    <row r="1178" customFormat="false" ht="15.5" hidden="false" customHeight="false" outlineLevel="0" collapsed="false">
      <c r="A1178" s="2719"/>
      <c r="B1178" s="87" t="str">
        <f aca="false">перекрытие!A337</f>
        <v>ГПС 250х50-2,0</v>
      </c>
      <c r="C1178" s="88" t="str">
        <f aca="false">перекрытие!B337</f>
        <v>м.п.</v>
      </c>
      <c r="D1178" s="122" t="n">
        <f aca="false">перекрытие!D337</f>
        <v>0</v>
      </c>
      <c r="E1178" s="89" t="n">
        <f aca="false">перекрытие!E337</f>
        <v>274</v>
      </c>
      <c r="F1178" s="89"/>
      <c r="G1178" s="122" t="n">
        <f aca="false">IF(F1178&gt;0,D1178*F1178,E1178*D1178)</f>
        <v>0</v>
      </c>
      <c r="H1178" s="89" t="n">
        <f aca="false">E1178*D1178*$H$903</f>
        <v>0</v>
      </c>
      <c r="I1178" s="2784"/>
      <c r="J1178" s="2744"/>
      <c r="K1178" s="226" t="n">
        <f aca="false">D1178-J1178</f>
        <v>0</v>
      </c>
      <c r="L1178" s="2736"/>
    </row>
    <row r="1179" customFormat="false" ht="15.5" hidden="false" customHeight="false" outlineLevel="0" collapsed="false">
      <c r="A1179" s="2719"/>
      <c r="B1179" s="87" t="str">
        <f aca="false">перекрытие!A338</f>
        <v>ГПС 280х50-1,2</v>
      </c>
      <c r="C1179" s="88" t="str">
        <f aca="false">перекрытие!B338</f>
        <v>м.п.</v>
      </c>
      <c r="D1179" s="122" t="n">
        <f aca="false">перекрытие!D338</f>
        <v>0</v>
      </c>
      <c r="E1179" s="89" t="n">
        <f aca="false">перекрытие!E338</f>
        <v>344</v>
      </c>
      <c r="F1179" s="89"/>
      <c r="G1179" s="122" t="n">
        <f aca="false">IF(F1179&gt;0,D1179*F1179,E1179*D1179)</f>
        <v>0</v>
      </c>
      <c r="H1179" s="89" t="n">
        <f aca="false">E1179*D1179*$H$903</f>
        <v>0</v>
      </c>
      <c r="I1179" s="2784"/>
      <c r="J1179" s="2744"/>
      <c r="K1179" s="226" t="n">
        <f aca="false">D1179-J1179</f>
        <v>0</v>
      </c>
      <c r="L1179" s="2736"/>
    </row>
    <row r="1180" customFormat="false" ht="15.5" hidden="false" customHeight="false" outlineLevel="0" collapsed="false">
      <c r="A1180" s="2719"/>
      <c r="B1180" s="87" t="str">
        <f aca="false">перекрытие!A339</f>
        <v>ГПС 280х50-1,5</v>
      </c>
      <c r="C1180" s="88" t="str">
        <f aca="false">перекрытие!B339</f>
        <v>м.п.</v>
      </c>
      <c r="D1180" s="122" t="n">
        <f aca="false">перекрытие!D339</f>
        <v>0</v>
      </c>
      <c r="E1180" s="89" t="n">
        <f aca="false">перекрытие!E339</f>
        <v>450</v>
      </c>
      <c r="F1180" s="89"/>
      <c r="G1180" s="122" t="n">
        <f aca="false">IF(F1180&gt;0,D1180*F1180,E1180*D1180)</f>
        <v>0</v>
      </c>
      <c r="H1180" s="89" t="n">
        <f aca="false">E1180*D1180*$H$903</f>
        <v>0</v>
      </c>
      <c r="I1180" s="2784"/>
      <c r="J1180" s="2744"/>
      <c r="K1180" s="226" t="n">
        <f aca="false">D1180-J1180</f>
        <v>0</v>
      </c>
      <c r="L1180" s="2736"/>
    </row>
    <row r="1181" customFormat="false" ht="15.5" hidden="false" customHeight="false" outlineLevel="0" collapsed="false">
      <c r="A1181" s="2719"/>
      <c r="B1181" s="87" t="str">
        <f aca="false">перекрытие!A340</f>
        <v>ГПС 280х50-2,0</v>
      </c>
      <c r="C1181" s="88" t="str">
        <f aca="false">перекрытие!B340</f>
        <v>м.п.</v>
      </c>
      <c r="D1181" s="122" t="n">
        <f aca="false">перекрытие!D340</f>
        <v>0</v>
      </c>
      <c r="E1181" s="89" t="n">
        <f aca="false">перекрытие!E340</f>
        <v>293</v>
      </c>
      <c r="F1181" s="89"/>
      <c r="G1181" s="122" t="n">
        <f aca="false">IF(F1181&gt;0,D1181*F1181,E1181*D1181)</f>
        <v>0</v>
      </c>
      <c r="H1181" s="89" t="n">
        <f aca="false">E1181*D1181*$H$903</f>
        <v>0</v>
      </c>
      <c r="I1181" s="2784"/>
      <c r="J1181" s="2744"/>
      <c r="K1181" s="226" t="n">
        <f aca="false">D1181-J1181</f>
        <v>0</v>
      </c>
      <c r="L1181" s="2736"/>
    </row>
    <row r="1182" customFormat="false" ht="15.5" hidden="false" customHeight="false" outlineLevel="0" collapsed="false">
      <c r="A1182" s="2719"/>
      <c r="B1182" s="87" t="str">
        <f aca="false">перекрытие!A341</f>
        <v>ГПН 102х35-1,2</v>
      </c>
      <c r="C1182" s="88" t="str">
        <f aca="false">перекрытие!B341</f>
        <v>м.п.</v>
      </c>
      <c r="D1182" s="122" t="n">
        <f aca="false">перекрытие!D341</f>
        <v>0</v>
      </c>
      <c r="E1182" s="89" t="n">
        <f aca="false">перекрытие!E341</f>
        <v>127</v>
      </c>
      <c r="F1182" s="89"/>
      <c r="G1182" s="122" t="n">
        <f aca="false">IF(F1182&gt;0,D1182*F1182,E1182*D1182)</f>
        <v>0</v>
      </c>
      <c r="H1182" s="89" t="n">
        <f aca="false">E1182*D1182*$H$903</f>
        <v>0</v>
      </c>
      <c r="I1182" s="2784"/>
      <c r="J1182" s="2744"/>
      <c r="K1182" s="226" t="n">
        <f aca="false">D1182-J1182</f>
        <v>0</v>
      </c>
      <c r="L1182" s="2736"/>
    </row>
    <row r="1183" customFormat="false" ht="15.5" hidden="false" customHeight="false" outlineLevel="0" collapsed="false">
      <c r="A1183" s="2719"/>
      <c r="B1183" s="87" t="str">
        <f aca="false">перекрытие!A342</f>
        <v>ГПН 102х35-1,5</v>
      </c>
      <c r="C1183" s="88" t="str">
        <f aca="false">перекрытие!B342</f>
        <v>м.п.</v>
      </c>
      <c r="D1183" s="122" t="n">
        <f aca="false">перекрытие!D342</f>
        <v>0</v>
      </c>
      <c r="E1183" s="89" t="n">
        <f aca="false">перекрытие!E342</f>
        <v>158</v>
      </c>
      <c r="F1183" s="89"/>
      <c r="G1183" s="122" t="n">
        <f aca="false">IF(F1183&gt;0,D1183*F1183,E1183*D1183)</f>
        <v>0</v>
      </c>
      <c r="H1183" s="89" t="n">
        <f aca="false">E1183*D1183*$H$903</f>
        <v>0</v>
      </c>
      <c r="I1183" s="2784"/>
      <c r="J1183" s="2744"/>
      <c r="K1183" s="226" t="n">
        <f aca="false">D1183-J1183</f>
        <v>0</v>
      </c>
      <c r="L1183" s="2736"/>
    </row>
    <row r="1184" customFormat="false" ht="15.5" hidden="false" customHeight="false" outlineLevel="0" collapsed="false">
      <c r="A1184" s="2719"/>
      <c r="B1184" s="87" t="str">
        <f aca="false">перекрытие!A343</f>
        <v>ГПН 102х35-2,0</v>
      </c>
      <c r="C1184" s="88" t="str">
        <f aca="false">перекрытие!B343</f>
        <v>м.п.</v>
      </c>
      <c r="D1184" s="122" t="n">
        <f aca="false">перекрытие!D343</f>
        <v>0</v>
      </c>
      <c r="E1184" s="89" t="n">
        <f aca="false">перекрытие!E343</f>
        <v>199</v>
      </c>
      <c r="F1184" s="89"/>
      <c r="G1184" s="122" t="n">
        <f aca="false">IF(F1184&gt;0,D1184*F1184,E1184*D1184)</f>
        <v>0</v>
      </c>
      <c r="H1184" s="89" t="n">
        <f aca="false">E1184*D1184*$H$903</f>
        <v>0</v>
      </c>
      <c r="I1184" s="2784"/>
      <c r="J1184" s="2744"/>
      <c r="K1184" s="226" t="n">
        <f aca="false">D1184-J1184</f>
        <v>0</v>
      </c>
      <c r="L1184" s="2736"/>
    </row>
    <row r="1185" customFormat="false" ht="15.5" hidden="false" customHeight="false" outlineLevel="0" collapsed="false">
      <c r="A1185" s="2719"/>
      <c r="B1185" s="87" t="str">
        <f aca="false">перекрытие!A344</f>
        <v>ГПН 122х35-1,2</v>
      </c>
      <c r="C1185" s="88" t="str">
        <f aca="false">перекрытие!B344</f>
        <v>м.п.</v>
      </c>
      <c r="D1185" s="122" t="n">
        <f aca="false">перекрытие!D344</f>
        <v>0</v>
      </c>
      <c r="E1185" s="89" t="n">
        <f aca="false">перекрытие!E344</f>
        <v>131</v>
      </c>
      <c r="F1185" s="89"/>
      <c r="G1185" s="122" t="n">
        <f aca="false">IF(F1185&gt;0,D1185*F1185,E1185*D1185)</f>
        <v>0</v>
      </c>
      <c r="H1185" s="89" t="n">
        <f aca="false">E1185*D1185*$H$903</f>
        <v>0</v>
      </c>
      <c r="I1185" s="2784"/>
      <c r="J1185" s="2744"/>
      <c r="K1185" s="226" t="n">
        <f aca="false">D1185-J1185</f>
        <v>0</v>
      </c>
      <c r="L1185" s="2736"/>
    </row>
    <row r="1186" customFormat="false" ht="15.5" hidden="false" customHeight="false" outlineLevel="0" collapsed="false">
      <c r="A1186" s="2719"/>
      <c r="B1186" s="87" t="str">
        <f aca="false">перекрытие!A345</f>
        <v>ГПН 122х35-1,5</v>
      </c>
      <c r="C1186" s="88" t="str">
        <f aca="false">перекрытие!B345</f>
        <v>м.п.</v>
      </c>
      <c r="D1186" s="122" t="n">
        <f aca="false">перекрытие!D345</f>
        <v>0</v>
      </c>
      <c r="E1186" s="89" t="n">
        <f aca="false">перекрытие!E345</f>
        <v>163</v>
      </c>
      <c r="F1186" s="89"/>
      <c r="G1186" s="122" t="n">
        <f aca="false">IF(F1186&gt;0,D1186*F1186,E1186*D1186)</f>
        <v>0</v>
      </c>
      <c r="H1186" s="89" t="n">
        <f aca="false">E1186*D1186*$H$903</f>
        <v>0</v>
      </c>
      <c r="I1186" s="2784"/>
      <c r="J1186" s="2744"/>
      <c r="K1186" s="226" t="n">
        <f aca="false">D1186-J1186</f>
        <v>0</v>
      </c>
      <c r="L1186" s="2736"/>
    </row>
    <row r="1187" customFormat="false" ht="15.5" hidden="false" customHeight="false" outlineLevel="0" collapsed="false">
      <c r="A1187" s="2719"/>
      <c r="B1187" s="87" t="str">
        <f aca="false">перекрытие!A346</f>
        <v>ГПН 122х35-2,0</v>
      </c>
      <c r="C1187" s="88" t="str">
        <f aca="false">перекрытие!B346</f>
        <v>м.п.</v>
      </c>
      <c r="D1187" s="122" t="n">
        <f aca="false">перекрытие!D346</f>
        <v>0</v>
      </c>
      <c r="E1187" s="89" t="n">
        <f aca="false">перекрытие!E346</f>
        <v>216</v>
      </c>
      <c r="F1187" s="89"/>
      <c r="G1187" s="122" t="n">
        <f aca="false">IF(F1187&gt;0,D1187*F1187,E1187*D1187)</f>
        <v>0</v>
      </c>
      <c r="H1187" s="89" t="n">
        <f aca="false">E1187*D1187*$H$903</f>
        <v>0</v>
      </c>
      <c r="I1187" s="2784"/>
      <c r="J1187" s="2744"/>
      <c r="K1187" s="226" t="n">
        <f aca="false">D1187-J1187</f>
        <v>0</v>
      </c>
      <c r="L1187" s="2736"/>
    </row>
    <row r="1188" customFormat="false" ht="15.5" hidden="false" customHeight="false" outlineLevel="0" collapsed="false">
      <c r="A1188" s="2719"/>
      <c r="B1188" s="87" t="str">
        <f aca="false">перекрытие!A347</f>
        <v>ГПН 152х35-1,2</v>
      </c>
      <c r="C1188" s="88" t="str">
        <f aca="false">перекрытие!B347</f>
        <v>м.п.</v>
      </c>
      <c r="D1188" s="122" t="n">
        <f aca="false">перекрытие!D347</f>
        <v>0</v>
      </c>
      <c r="E1188" s="89" t="n">
        <f aca="false">перекрытие!E347</f>
        <v>163</v>
      </c>
      <c r="F1188" s="89"/>
      <c r="G1188" s="122" t="n">
        <f aca="false">IF(F1188&gt;0,D1188*F1188,E1188*D1188)</f>
        <v>0</v>
      </c>
      <c r="H1188" s="89" t="n">
        <f aca="false">E1188*D1188*$H$903</f>
        <v>0</v>
      </c>
      <c r="I1188" s="2784"/>
      <c r="J1188" s="2744"/>
      <c r="K1188" s="226" t="n">
        <f aca="false">D1188-J1188</f>
        <v>0</v>
      </c>
      <c r="L1188" s="2736"/>
    </row>
    <row r="1189" customFormat="false" ht="15.5" hidden="false" customHeight="false" outlineLevel="0" collapsed="false">
      <c r="A1189" s="2719"/>
      <c r="B1189" s="87" t="str">
        <f aca="false">перекрытие!A348</f>
        <v>ГПН 152х35-1,5</v>
      </c>
      <c r="C1189" s="88" t="str">
        <f aca="false">перекрытие!B348</f>
        <v>м.п.</v>
      </c>
      <c r="D1189" s="122" t="n">
        <f aca="false">перекрытие!D348</f>
        <v>0</v>
      </c>
      <c r="E1189" s="89" t="n">
        <f aca="false">перекрытие!E348</f>
        <v>203</v>
      </c>
      <c r="F1189" s="89"/>
      <c r="G1189" s="122" t="n">
        <f aca="false">IF(F1189&gt;0,D1189*F1189,E1189*D1189)</f>
        <v>0</v>
      </c>
      <c r="H1189" s="89" t="n">
        <f aca="false">E1189*D1189*$H$903</f>
        <v>0</v>
      </c>
      <c r="I1189" s="2784"/>
      <c r="J1189" s="2744"/>
      <c r="K1189" s="226" t="n">
        <f aca="false">D1189-J1189</f>
        <v>0</v>
      </c>
      <c r="L1189" s="2736"/>
    </row>
    <row r="1190" customFormat="false" ht="15.5" hidden="false" customHeight="false" outlineLevel="0" collapsed="false">
      <c r="A1190" s="2719"/>
      <c r="B1190" s="87" t="str">
        <f aca="false">перекрытие!A349</f>
        <v>ГПН 152х35-2,0</v>
      </c>
      <c r="C1190" s="88" t="str">
        <f aca="false">перекрытие!B349</f>
        <v>м.п.</v>
      </c>
      <c r="D1190" s="122" t="n">
        <f aca="false">перекрытие!D349</f>
        <v>0</v>
      </c>
      <c r="E1190" s="89" t="n">
        <f aca="false">перекрытие!E349</f>
        <v>259</v>
      </c>
      <c r="F1190" s="89"/>
      <c r="G1190" s="122" t="n">
        <f aca="false">IF(F1190&gt;0,D1190*F1190,E1190*D1190)</f>
        <v>0</v>
      </c>
      <c r="H1190" s="89" t="n">
        <f aca="false">E1190*D1190*$H$903</f>
        <v>0</v>
      </c>
      <c r="I1190" s="2784"/>
      <c r="J1190" s="2744"/>
      <c r="K1190" s="226" t="n">
        <f aca="false">D1190-J1190</f>
        <v>0</v>
      </c>
      <c r="L1190" s="2736"/>
    </row>
    <row r="1191" customFormat="false" ht="15.5" hidden="false" customHeight="false" outlineLevel="0" collapsed="false">
      <c r="A1191" s="2719"/>
      <c r="B1191" s="87" t="str">
        <f aca="false">перекрытие!A350</f>
        <v>ГПН 172х35-1,2</v>
      </c>
      <c r="C1191" s="88" t="str">
        <f aca="false">перекрытие!B350</f>
        <v>м.п.</v>
      </c>
      <c r="D1191" s="122" t="n">
        <f aca="false">перекрытие!D350</f>
        <v>0</v>
      </c>
      <c r="E1191" s="89" t="n">
        <f aca="false">перекрытие!E350</f>
        <v>166</v>
      </c>
      <c r="F1191" s="89"/>
      <c r="G1191" s="122" t="n">
        <f aca="false">IF(F1191&gt;0,D1191*F1191,E1191*D1191)</f>
        <v>0</v>
      </c>
      <c r="H1191" s="89" t="n">
        <f aca="false">E1191*D1191*$H$903</f>
        <v>0</v>
      </c>
      <c r="I1191" s="2784"/>
      <c r="J1191" s="2744"/>
      <c r="K1191" s="226" t="n">
        <f aca="false">D1191-J1191</f>
        <v>0</v>
      </c>
      <c r="L1191" s="2736"/>
    </row>
    <row r="1192" customFormat="false" ht="15.5" hidden="false" customHeight="false" outlineLevel="0" collapsed="false">
      <c r="A1192" s="2719"/>
      <c r="B1192" s="87" t="str">
        <f aca="false">перекрытие!A351</f>
        <v>ГПН 172х35-1,5</v>
      </c>
      <c r="C1192" s="88" t="str">
        <f aca="false">перекрытие!B351</f>
        <v>м.п.</v>
      </c>
      <c r="D1192" s="122" t="n">
        <f aca="false">перекрытие!D351</f>
        <v>0</v>
      </c>
      <c r="E1192" s="89" t="n">
        <f aca="false">перекрытие!E351</f>
        <v>207</v>
      </c>
      <c r="F1192" s="89"/>
      <c r="G1192" s="122" t="n">
        <f aca="false">IF(F1192&gt;0,D1192*F1192,E1192*D1192)</f>
        <v>0</v>
      </c>
      <c r="H1192" s="89" t="n">
        <f aca="false">E1192*D1192*$H$903</f>
        <v>0</v>
      </c>
      <c r="I1192" s="2784"/>
      <c r="J1192" s="2744"/>
      <c r="K1192" s="226" t="n">
        <f aca="false">D1192-J1192</f>
        <v>0</v>
      </c>
      <c r="L1192" s="2736"/>
    </row>
    <row r="1193" customFormat="false" ht="15.5" hidden="false" customHeight="false" outlineLevel="0" collapsed="false">
      <c r="A1193" s="2719"/>
      <c r="B1193" s="87" t="str">
        <f aca="false">перекрытие!A352</f>
        <v>ГПН 172х35-2,0</v>
      </c>
      <c r="C1193" s="88" t="str">
        <f aca="false">перекрытие!B352</f>
        <v>м.п.</v>
      </c>
      <c r="D1193" s="122" t="n">
        <f aca="false">перекрытие!D352</f>
        <v>0</v>
      </c>
      <c r="E1193" s="89" t="n">
        <f aca="false">перекрытие!E352</f>
        <v>274</v>
      </c>
      <c r="F1193" s="89"/>
      <c r="G1193" s="122" t="n">
        <f aca="false">IF(F1193&gt;0,D1193*F1193,E1193*D1193)</f>
        <v>0</v>
      </c>
      <c r="H1193" s="89" t="n">
        <f aca="false">E1193*D1193*$H$903</f>
        <v>0</v>
      </c>
      <c r="I1193" s="2784"/>
      <c r="J1193" s="2744"/>
      <c r="K1193" s="226" t="n">
        <f aca="false">D1193-J1193</f>
        <v>0</v>
      </c>
      <c r="L1193" s="2736"/>
    </row>
    <row r="1194" customFormat="false" ht="15.5" hidden="false" customHeight="false" outlineLevel="0" collapsed="false">
      <c r="A1194" s="2719"/>
      <c r="B1194" s="87" t="str">
        <f aca="false">перекрытие!A353</f>
        <v>ГПН 202х35-1,2</v>
      </c>
      <c r="C1194" s="88" t="str">
        <f aca="false">перекрытие!B353</f>
        <v>м.п.</v>
      </c>
      <c r="D1194" s="122" t="n">
        <f aca="false">перекрытие!D353</f>
        <v>0</v>
      </c>
      <c r="E1194" s="89" t="n">
        <f aca="false">перекрытие!E353</f>
        <v>201</v>
      </c>
      <c r="F1194" s="89"/>
      <c r="G1194" s="122" t="n">
        <f aca="false">IF(F1194&gt;0,D1194*F1194,E1194*D1194)</f>
        <v>0</v>
      </c>
      <c r="H1194" s="89" t="n">
        <f aca="false">E1194*D1194*$H$903</f>
        <v>0</v>
      </c>
      <c r="I1194" s="2784"/>
      <c r="J1194" s="2744"/>
      <c r="K1194" s="226" t="n">
        <f aca="false">D1194-J1194</f>
        <v>0</v>
      </c>
      <c r="L1194" s="2736"/>
    </row>
    <row r="1195" customFormat="false" ht="15.5" hidden="false" customHeight="false" outlineLevel="0" collapsed="false">
      <c r="A1195" s="2719"/>
      <c r="B1195" s="87" t="str">
        <f aca="false">перекрытие!A354</f>
        <v>ГПН 202х35-1,5</v>
      </c>
      <c r="C1195" s="88" t="str">
        <f aca="false">перекрытие!B354</f>
        <v>м.п.</v>
      </c>
      <c r="D1195" s="122" t="n">
        <f aca="false">перекрытие!D354</f>
        <v>0</v>
      </c>
      <c r="E1195" s="89" t="n">
        <f aca="false">перекрытие!E354</f>
        <v>252</v>
      </c>
      <c r="F1195" s="89"/>
      <c r="G1195" s="122" t="n">
        <f aca="false">IF(F1195&gt;0,D1195*F1195,E1195*D1195)</f>
        <v>0</v>
      </c>
      <c r="H1195" s="89" t="n">
        <f aca="false">E1195*D1195*$H$903</f>
        <v>0</v>
      </c>
      <c r="I1195" s="2784"/>
      <c r="J1195" s="2744"/>
      <c r="K1195" s="226" t="n">
        <f aca="false">D1195-J1195</f>
        <v>0</v>
      </c>
      <c r="L1195" s="2736"/>
    </row>
    <row r="1196" customFormat="false" ht="15.5" hidden="false" customHeight="false" outlineLevel="0" collapsed="false">
      <c r="A1196" s="2719"/>
      <c r="B1196" s="87" t="str">
        <f aca="false">перекрытие!A355</f>
        <v>ГПН 202х35-2,0</v>
      </c>
      <c r="C1196" s="88" t="str">
        <f aca="false">перекрытие!B355</f>
        <v>м.п.</v>
      </c>
      <c r="D1196" s="122" t="n">
        <f aca="false">перекрытие!D355</f>
        <v>0</v>
      </c>
      <c r="E1196" s="89" t="n">
        <f aca="false">перекрытие!E355</f>
        <v>318</v>
      </c>
      <c r="F1196" s="89"/>
      <c r="G1196" s="122" t="n">
        <f aca="false">IF(F1196&gt;0,D1196*F1196,E1196*D1196)</f>
        <v>0</v>
      </c>
      <c r="H1196" s="89" t="n">
        <f aca="false">E1196*D1196*$H$903</f>
        <v>0</v>
      </c>
      <c r="I1196" s="2784"/>
      <c r="J1196" s="2744"/>
      <c r="K1196" s="226" t="n">
        <f aca="false">D1196-J1196</f>
        <v>0</v>
      </c>
      <c r="L1196" s="2736"/>
    </row>
    <row r="1197" customFormat="false" ht="15.5" hidden="false" customHeight="false" outlineLevel="0" collapsed="false">
      <c r="A1197" s="2719"/>
      <c r="B1197" s="87" t="str">
        <f aca="false">перекрытие!A356</f>
        <v>ГПН 252х35-1,2</v>
      </c>
      <c r="C1197" s="88" t="str">
        <f aca="false">перекрытие!B356</f>
        <v>м.п.</v>
      </c>
      <c r="D1197" s="122" t="n">
        <f aca="false">перекрытие!D356</f>
        <v>0</v>
      </c>
      <c r="E1197" s="89" t="n">
        <f aca="false">перекрытие!E356</f>
        <v>226</v>
      </c>
      <c r="F1197" s="89"/>
      <c r="G1197" s="122" t="n">
        <f aca="false">IF(F1197&gt;0,D1197*F1197,E1197*D1197)</f>
        <v>0</v>
      </c>
      <c r="H1197" s="89" t="n">
        <f aca="false">E1197*D1197*$H$903</f>
        <v>0</v>
      </c>
      <c r="I1197" s="2784"/>
      <c r="J1197" s="2744"/>
      <c r="K1197" s="226" t="n">
        <f aca="false">D1197-J1197</f>
        <v>0</v>
      </c>
      <c r="L1197" s="2736"/>
    </row>
    <row r="1198" customFormat="false" ht="15.5" hidden="false" customHeight="false" outlineLevel="0" collapsed="false">
      <c r="A1198" s="2719"/>
      <c r="B1198" s="87" t="str">
        <f aca="false">перекрытие!A357</f>
        <v>ГПН 252х35-1,5</v>
      </c>
      <c r="C1198" s="88" t="str">
        <f aca="false">перекрытие!B357</f>
        <v>м.п.</v>
      </c>
      <c r="D1198" s="122" t="n">
        <f aca="false">перекрытие!D357</f>
        <v>0</v>
      </c>
      <c r="E1198" s="89" t="n">
        <f aca="false">перекрытие!E357</f>
        <v>283</v>
      </c>
      <c r="F1198" s="89"/>
      <c r="G1198" s="122" t="n">
        <f aca="false">IF(F1198&gt;0,D1198*F1198,E1198*D1198)</f>
        <v>0</v>
      </c>
      <c r="H1198" s="89" t="n">
        <f aca="false">E1198*D1198*$H$903</f>
        <v>0</v>
      </c>
      <c r="I1198" s="2784"/>
      <c r="J1198" s="2744"/>
      <c r="K1198" s="226" t="n">
        <f aca="false">D1198-J1198</f>
        <v>0</v>
      </c>
      <c r="L1198" s="2736"/>
    </row>
    <row r="1199" customFormat="false" ht="15.5" hidden="false" customHeight="false" outlineLevel="0" collapsed="false">
      <c r="A1199" s="2719"/>
      <c r="B1199" s="87" t="str">
        <f aca="false">перекрытие!A358</f>
        <v>ГПН 252х35-2,0</v>
      </c>
      <c r="C1199" s="88" t="str">
        <f aca="false">перекрытие!B358</f>
        <v>м.п.</v>
      </c>
      <c r="D1199" s="122" t="n">
        <f aca="false">перекрытие!D358</f>
        <v>0</v>
      </c>
      <c r="E1199" s="89" t="n">
        <f aca="false">перекрытие!E358</f>
        <v>378</v>
      </c>
      <c r="F1199" s="89"/>
      <c r="G1199" s="122" t="n">
        <f aca="false">IF(F1199&gt;0,D1199*F1199,E1199*D1199)</f>
        <v>0</v>
      </c>
      <c r="H1199" s="89" t="n">
        <f aca="false">E1199*D1199*$H$903</f>
        <v>0</v>
      </c>
      <c r="I1199" s="2784"/>
      <c r="J1199" s="2744"/>
      <c r="K1199" s="226" t="n">
        <f aca="false">D1199-J1199</f>
        <v>0</v>
      </c>
      <c r="L1199" s="2736"/>
    </row>
    <row r="1200" customFormat="false" ht="15.5" hidden="false" customHeight="false" outlineLevel="0" collapsed="false">
      <c r="A1200" s="2719"/>
      <c r="B1200" s="87" t="str">
        <f aca="false">перекрытие!A359</f>
        <v>ГПН 282х35-1,2</v>
      </c>
      <c r="C1200" s="88" t="str">
        <f aca="false">перекрытие!B359</f>
        <v>м.п.</v>
      </c>
      <c r="D1200" s="122" t="n">
        <f aca="false">перекрытие!D359</f>
        <v>0</v>
      </c>
      <c r="E1200" s="89" t="n">
        <f aca="false">перекрытие!E359</f>
        <v>275</v>
      </c>
      <c r="F1200" s="89"/>
      <c r="G1200" s="122" t="n">
        <f aca="false">IF(F1200&gt;0,D1200*F1200,E1200*D1200)</f>
        <v>0</v>
      </c>
      <c r="H1200" s="89" t="n">
        <f aca="false">E1200*D1200*$H$903</f>
        <v>0</v>
      </c>
      <c r="I1200" s="2784"/>
      <c r="J1200" s="2744"/>
      <c r="K1200" s="226" t="n">
        <f aca="false">D1200-J1200</f>
        <v>0</v>
      </c>
      <c r="L1200" s="2736"/>
    </row>
    <row r="1201" customFormat="false" ht="15.5" hidden="false" customHeight="false" outlineLevel="0" collapsed="false">
      <c r="A1201" s="2719"/>
      <c r="B1201" s="87" t="str">
        <f aca="false">перекрытие!A360</f>
        <v>Саморез 5,5 х 25</v>
      </c>
      <c r="C1201" s="88"/>
      <c r="D1201" s="122" t="n">
        <f aca="false">перекрытие!D360</f>
        <v>0</v>
      </c>
      <c r="E1201" s="89" t="n">
        <f aca="false">перекрытие!E360</f>
        <v>2.5</v>
      </c>
      <c r="F1201" s="89"/>
      <c r="G1201" s="122" t="n">
        <f aca="false">IF(F1201&gt;0,D1201*F1201,E1201*D1201)</f>
        <v>0</v>
      </c>
      <c r="H1201" s="89" t="n">
        <f aca="false">E1201*D1201*$H$903</f>
        <v>0</v>
      </c>
      <c r="I1201" s="2784"/>
      <c r="J1201" s="2744"/>
      <c r="K1201" s="226" t="n">
        <f aca="false">D1201-J1201</f>
        <v>0</v>
      </c>
      <c r="L1201" s="2736"/>
    </row>
    <row r="1202" customFormat="false" ht="15.5" hidden="false" customHeight="false" outlineLevel="0" collapsed="false">
      <c r="A1202" s="2719"/>
      <c r="B1202" s="2748" t="s">
        <v>4640</v>
      </c>
      <c r="C1202" s="2748"/>
      <c r="D1202" s="2748"/>
      <c r="E1202" s="2748"/>
      <c r="F1202" s="2748"/>
      <c r="G1202" s="85" t="n">
        <f aca="false">SUM(G905:G1084)*H903</f>
        <v>0</v>
      </c>
      <c r="H1202" s="85" t="n">
        <f aca="false">SUM(H905:H1084)</f>
        <v>0</v>
      </c>
      <c r="I1202" s="2784"/>
      <c r="J1202" s="2744"/>
      <c r="K1202" s="226" t="n">
        <f aca="false">D1202-J1202</f>
        <v>0</v>
      </c>
      <c r="L1202" s="2736"/>
    </row>
    <row r="1203" customFormat="false" ht="15.5" hidden="false" customHeight="false" outlineLevel="0" collapsed="false">
      <c r="A1203" s="2719"/>
      <c r="B1203" s="2750" t="s">
        <v>1409</v>
      </c>
      <c r="C1203" s="2750"/>
      <c r="D1203" s="2750"/>
      <c r="E1203" s="2750"/>
      <c r="F1203" s="2498"/>
      <c r="G1203" s="905"/>
      <c r="H1203" s="2817" t="n">
        <f aca="false">H903</f>
        <v>0</v>
      </c>
      <c r="I1203" s="2818"/>
      <c r="J1203" s="2752"/>
      <c r="K1203" s="2753"/>
    </row>
    <row r="1204" customFormat="false" ht="15.5" hidden="false" customHeight="false" outlineLevel="0" collapsed="false">
      <c r="A1204" s="2719"/>
      <c r="B1204" s="639" t="str">
        <f aca="false">перекрытие!H42</f>
        <v>Монтаж плит ЖБИ</v>
      </c>
      <c r="C1204" s="218" t="s">
        <v>133</v>
      </c>
      <c r="D1204" s="245" t="n">
        <f aca="false">перекрытие!J42</f>
        <v>0</v>
      </c>
      <c r="E1204" s="23" t="n">
        <f aca="false">перекрытие!K42</f>
        <v>200</v>
      </c>
      <c r="F1204" s="23"/>
      <c r="G1204" s="122" t="n">
        <f aca="false">IF(F1204&gt;0,D1204*F1204,E1204*D1204)</f>
        <v>0</v>
      </c>
      <c r="H1204" s="85" t="n">
        <f aca="false">D1204*E1204*$H$1203</f>
        <v>0</v>
      </c>
      <c r="I1204" s="2718" t="n">
        <f aca="false">IF(G1204&gt;H1204,G1204,H1204)*$H$903</f>
        <v>0</v>
      </c>
      <c r="J1204" s="2712"/>
      <c r="K1204" s="2719"/>
    </row>
    <row r="1205" customFormat="false" ht="15.5" hidden="false" customHeight="false" outlineLevel="0" collapsed="false">
      <c r="A1205" s="2719"/>
      <c r="B1205" s="639" t="str">
        <f aca="false">перекрытие!H43</f>
        <v>Монтаж опалубки</v>
      </c>
      <c r="C1205" s="218" t="s">
        <v>133</v>
      </c>
      <c r="D1205" s="245" t="n">
        <f aca="false">перекрытие!J43</f>
        <v>0</v>
      </c>
      <c r="E1205" s="23" t="n">
        <f aca="false">перекрытие!K43</f>
        <v>200</v>
      </c>
      <c r="F1205" s="23"/>
      <c r="G1205" s="122" t="n">
        <f aca="false">IF(F1205&gt;0,D1205*F1205,E1205*D1205)</f>
        <v>0</v>
      </c>
      <c r="H1205" s="85" t="n">
        <f aca="false">D1205*E1205*$H$1203</f>
        <v>0</v>
      </c>
      <c r="I1205" s="2718" t="n">
        <f aca="false">IF(G1205&gt;H1205,G1205,H1205)*$H$903</f>
        <v>0</v>
      </c>
      <c r="J1205" s="2712"/>
      <c r="K1205" s="2719"/>
    </row>
    <row r="1206" customFormat="false" ht="15.5" hidden="false" customHeight="false" outlineLevel="0" collapsed="false">
      <c r="A1206" s="2719"/>
      <c r="B1206" s="639" t="str">
        <f aca="false">перекрытие!H44</f>
        <v>Укладка пленки гидроизоляционной</v>
      </c>
      <c r="C1206" s="218" t="s">
        <v>133</v>
      </c>
      <c r="D1206" s="245" t="n">
        <f aca="false">перекрытие!J44</f>
        <v>0</v>
      </c>
      <c r="E1206" s="23" t="n">
        <f aca="false">перекрытие!K44</f>
        <v>40</v>
      </c>
      <c r="F1206" s="23"/>
      <c r="G1206" s="122" t="n">
        <f aca="false">IF(F1206&gt;0,D1206*F1206,E1206*D1206)</f>
        <v>0</v>
      </c>
      <c r="H1206" s="85" t="n">
        <f aca="false">D1206*E1206*$H$1203</f>
        <v>0</v>
      </c>
      <c r="I1206" s="2718" t="n">
        <f aca="false">IF(G1206&gt;H1206,G1206,H1206)*$H$903</f>
        <v>0</v>
      </c>
      <c r="J1206" s="2712"/>
      <c r="K1206" s="2719"/>
    </row>
    <row r="1207" customFormat="false" ht="15.5" hidden="false" customHeight="false" outlineLevel="0" collapsed="false">
      <c r="A1207" s="2719"/>
      <c r="B1207" s="639" t="str">
        <f aca="false">перекрытие!H45</f>
        <v>Армирование перекрытия/плиты</v>
      </c>
      <c r="C1207" s="218" t="s">
        <v>133</v>
      </c>
      <c r="D1207" s="245" t="n">
        <f aca="false">перекрытие!J45</f>
        <v>0</v>
      </c>
      <c r="E1207" s="23" t="n">
        <f aca="false">перекрытие!K45</f>
        <v>300</v>
      </c>
      <c r="F1207" s="23"/>
      <c r="G1207" s="122" t="n">
        <f aca="false">IF(F1207&gt;0,D1207*F1207,E1207*D1207)</f>
        <v>0</v>
      </c>
      <c r="H1207" s="85" t="n">
        <f aca="false">D1207*E1207*$H$1203</f>
        <v>0</v>
      </c>
      <c r="I1207" s="2718" t="n">
        <f aca="false">IF(G1207&gt;H1207,G1207,H1207)*$H$903</f>
        <v>0</v>
      </c>
      <c r="J1207" s="2712"/>
      <c r="K1207" s="2719"/>
    </row>
    <row r="1208" customFormat="false" ht="15.5" hidden="false" customHeight="false" outlineLevel="0" collapsed="false">
      <c r="A1208" s="2719"/>
      <c r="B1208" s="639" t="str">
        <f aca="false">перекрытие!H46</f>
        <v>Заливка бетоном перекрытия/плиты</v>
      </c>
      <c r="C1208" s="218" t="s">
        <v>133</v>
      </c>
      <c r="D1208" s="245" t="n">
        <f aca="false">перекрытие!J46</f>
        <v>0</v>
      </c>
      <c r="E1208" s="23" t="n">
        <f aca="false">перекрытие!K46</f>
        <v>350</v>
      </c>
      <c r="F1208" s="23"/>
      <c r="G1208" s="122" t="n">
        <f aca="false">IF(F1208&gt;0,D1208*F1208,E1208*D1208)</f>
        <v>0</v>
      </c>
      <c r="H1208" s="85" t="n">
        <f aca="false">D1208*E1208*$H$1203</f>
        <v>0</v>
      </c>
      <c r="I1208" s="2718" t="n">
        <f aca="false">IF(G1208&gt;H1208,G1208,H1208)*$H$903</f>
        <v>0</v>
      </c>
      <c r="J1208" s="2712"/>
      <c r="K1208" s="2719"/>
    </row>
    <row r="1209" customFormat="false" ht="15.5" hidden="false" customHeight="false" outlineLevel="0" collapsed="false">
      <c r="A1209" s="2719"/>
      <c r="B1209" s="639" t="str">
        <f aca="false">перекрытие!H47</f>
        <v>Монтаж перекрытий из бруса</v>
      </c>
      <c r="C1209" s="218" t="s">
        <v>133</v>
      </c>
      <c r="D1209" s="245" t="n">
        <f aca="false">перекрытие!J47</f>
        <v>0</v>
      </c>
      <c r="E1209" s="23" t="n">
        <f aca="false">перекрытие!K47</f>
        <v>300</v>
      </c>
      <c r="F1209" s="23"/>
      <c r="G1209" s="122" t="n">
        <f aca="false">IF(F1209&gt;0,D1209*F1209,E1209*D1209)</f>
        <v>0</v>
      </c>
      <c r="H1209" s="85" t="n">
        <f aca="false">D1209*E1209*$H$1203</f>
        <v>0</v>
      </c>
      <c r="I1209" s="2718" t="n">
        <f aca="false">IF(G1209&gt;H1209,G1209,H1209)*$H$903</f>
        <v>0</v>
      </c>
      <c r="J1209" s="2712"/>
      <c r="K1209" s="2719"/>
    </row>
    <row r="1210" customFormat="false" ht="15.5" hidden="false" customHeight="false" outlineLevel="0" collapsed="false">
      <c r="A1210" s="2719"/>
      <c r="B1210" s="639" t="str">
        <f aca="false">перекрытие!H48</f>
        <v>Монтаж перекрытий Сип-панели</v>
      </c>
      <c r="C1210" s="218" t="s">
        <v>133</v>
      </c>
      <c r="D1210" s="245" t="n">
        <f aca="false">перекрытие!J48</f>
        <v>0</v>
      </c>
      <c r="E1210" s="23" t="n">
        <f aca="false">перекрытие!K48</f>
        <v>400</v>
      </c>
      <c r="F1210" s="23"/>
      <c r="G1210" s="122" t="n">
        <f aca="false">IF(F1210&gt;0,D1210*F1210,E1210*D1210)</f>
        <v>0</v>
      </c>
      <c r="H1210" s="85" t="n">
        <f aca="false">D1210*E1210*$H$1203</f>
        <v>0</v>
      </c>
      <c r="I1210" s="2718" t="n">
        <f aca="false">IF(G1210&gt;H1210,G1210,H1210)*$H$903</f>
        <v>0</v>
      </c>
      <c r="J1210" s="2712"/>
      <c r="K1210" s="2719"/>
    </row>
    <row r="1211" customFormat="false" ht="15.5" hidden="false" customHeight="false" outlineLevel="0" collapsed="false">
      <c r="A1211" s="2719"/>
      <c r="B1211" s="639" t="str">
        <f aca="false">перекрытие!H49</f>
        <v>Монтаж перекрытий из сухой доски</v>
      </c>
      <c r="C1211" s="218" t="s">
        <v>133</v>
      </c>
      <c r="D1211" s="245" t="n">
        <f aca="false">перекрытие!J49</f>
        <v>0</v>
      </c>
      <c r="E1211" s="23" t="n">
        <f aca="false">перекрытие!K49</f>
        <v>250</v>
      </c>
      <c r="F1211" s="23"/>
      <c r="G1211" s="122" t="n">
        <f aca="false">IF(F1211&gt;0,D1211*F1211,E1211*D1211)</f>
        <v>0</v>
      </c>
      <c r="H1211" s="85" t="n">
        <f aca="false">D1211*E1211*$H$1203</f>
        <v>0</v>
      </c>
      <c r="I1211" s="2718" t="n">
        <f aca="false">IF(G1211&gt;H1211,G1211,H1211)*$H$903</f>
        <v>0</v>
      </c>
      <c r="J1211" s="2712"/>
      <c r="K1211" s="2719"/>
    </row>
    <row r="1212" customFormat="false" ht="15.5" hidden="false" customHeight="false" outlineLevel="0" collapsed="false">
      <c r="A1212" s="2719"/>
      <c r="B1212" s="639" t="str">
        <f aca="false">перекрытие!H50</f>
        <v>Монтаж перекрытий из двутавровой балки</v>
      </c>
      <c r="C1212" s="218" t="s">
        <v>133</v>
      </c>
      <c r="D1212" s="245" t="n">
        <f aca="false">перекрытие!J50</f>
        <v>0</v>
      </c>
      <c r="E1212" s="23" t="n">
        <f aca="false">перекрытие!K50</f>
        <v>300</v>
      </c>
      <c r="F1212" s="23"/>
      <c r="G1212" s="122" t="n">
        <f aca="false">IF(F1212&gt;0,D1212*F1212,E1212*D1212)</f>
        <v>0</v>
      </c>
      <c r="H1212" s="85" t="n">
        <f aca="false">D1212*E1212*$H$1203</f>
        <v>0</v>
      </c>
      <c r="I1212" s="2718" t="n">
        <f aca="false">IF(G1212&gt;H1212,G1212,H1212)*$H$903</f>
        <v>0</v>
      </c>
      <c r="J1212" s="2712"/>
      <c r="K1212" s="2719"/>
    </row>
    <row r="1213" customFormat="false" ht="15.5" hidden="false" customHeight="false" outlineLevel="0" collapsed="false">
      <c r="A1213" s="2719"/>
      <c r="B1213" s="639" t="str">
        <f aca="false">перекрытие!H51</f>
        <v>Монтаж перекрестного пола</v>
      </c>
      <c r="C1213" s="218" t="s">
        <v>133</v>
      </c>
      <c r="D1213" s="245" t="n">
        <f aca="false">перекрытие!J51</f>
        <v>0</v>
      </c>
      <c r="E1213" s="23" t="n">
        <f aca="false">перекрытие!K51</f>
        <v>200</v>
      </c>
      <c r="F1213" s="23"/>
      <c r="G1213" s="122" t="n">
        <f aca="false">IF(F1213&gt;0,D1213*F1213,E1213*D1213)</f>
        <v>0</v>
      </c>
      <c r="H1213" s="85" t="n">
        <f aca="false">D1213*E1213*$H$1203</f>
        <v>0</v>
      </c>
      <c r="I1213" s="2718" t="n">
        <f aca="false">IF(G1213&gt;H1213,G1213,H1213)*$H$903</f>
        <v>0</v>
      </c>
      <c r="J1213" s="2712"/>
      <c r="K1213" s="2719"/>
    </row>
    <row r="1214" customFormat="false" ht="15.5" hidden="false" customHeight="false" outlineLevel="0" collapsed="false">
      <c r="A1214" s="2719"/>
      <c r="B1214" s="639" t="str">
        <f aca="false">перекрытие!H52</f>
        <v>Монтаж утеплителя перекрытия</v>
      </c>
      <c r="C1214" s="218" t="s">
        <v>133</v>
      </c>
      <c r="D1214" s="245" t="n">
        <f aca="false">перекрытие!J52</f>
        <v>100</v>
      </c>
      <c r="E1214" s="23" t="n">
        <f aca="false">перекрытие!K52</f>
        <v>200</v>
      </c>
      <c r="F1214" s="23"/>
      <c r="G1214" s="122" t="n">
        <f aca="false">IF(F1214&gt;0,D1214*F1214,E1214*D1214)</f>
        <v>20000</v>
      </c>
      <c r="H1214" s="85" t="n">
        <f aca="false">D1214*E1214*$H$1203</f>
        <v>0</v>
      </c>
      <c r="I1214" s="2718" t="n">
        <f aca="false">IF(G1214&gt;H1214,G1214,H1214)*$H$903</f>
        <v>0</v>
      </c>
      <c r="J1214" s="2712"/>
      <c r="K1214" s="2719"/>
    </row>
    <row r="1215" customFormat="false" ht="15.5" hidden="false" customHeight="false" outlineLevel="0" collapsed="false">
      <c r="A1215" s="2719"/>
      <c r="B1215" s="639" t="str">
        <f aca="false">перекрытие!H53</f>
        <v>Монтаж ветроизоляции перекрытий</v>
      </c>
      <c r="C1215" s="218" t="s">
        <v>133</v>
      </c>
      <c r="D1215" s="245" t="n">
        <f aca="false">перекрытие!J53</f>
        <v>0</v>
      </c>
      <c r="E1215" s="23" t="n">
        <f aca="false">перекрытие!K53</f>
        <v>100</v>
      </c>
      <c r="F1215" s="23"/>
      <c r="G1215" s="122" t="n">
        <f aca="false">IF(F1215&gt;0,D1215*F1215,E1215*D1215)</f>
        <v>0</v>
      </c>
      <c r="H1215" s="85" t="n">
        <f aca="false">D1215*E1215*$H$1203</f>
        <v>0</v>
      </c>
      <c r="I1215" s="2718" t="n">
        <f aca="false">IF(G1215&gt;H1215,G1215,H1215)*$H$903</f>
        <v>0</v>
      </c>
      <c r="J1215" s="2712"/>
      <c r="K1215" s="2719"/>
    </row>
    <row r="1216" customFormat="false" ht="15.5" hidden="false" customHeight="false" outlineLevel="0" collapsed="false">
      <c r="A1216" s="2719"/>
      <c r="B1216" s="639" t="str">
        <f aca="false">перекрытие!H54</f>
        <v>Монтаж пароизоляции перекрытий</v>
      </c>
      <c r="C1216" s="218" t="s">
        <v>133</v>
      </c>
      <c r="D1216" s="245" t="n">
        <f aca="false">перекрытие!J54</f>
        <v>0</v>
      </c>
      <c r="E1216" s="23" t="n">
        <f aca="false">перекрытие!K54</f>
        <v>100</v>
      </c>
      <c r="F1216" s="23"/>
      <c r="G1216" s="122" t="n">
        <f aca="false">IF(F1216&gt;0,D1216*F1216,E1216*D1216)</f>
        <v>0</v>
      </c>
      <c r="H1216" s="85" t="n">
        <f aca="false">D1216*E1216*$H$1203</f>
        <v>0</v>
      </c>
      <c r="I1216" s="2718" t="n">
        <f aca="false">IF(G1216&gt;H1216,G1216,H1216)*$H$903</f>
        <v>0</v>
      </c>
      <c r="J1216" s="2712"/>
      <c r="K1216" s="2719"/>
    </row>
    <row r="1217" customFormat="false" ht="15.5" hidden="false" customHeight="false" outlineLevel="0" collapsed="false">
      <c r="A1217" s="2719"/>
      <c r="B1217" s="639" t="str">
        <f aca="false">перекрытие!H55</f>
        <v>Монтаж плит ЖБИ</v>
      </c>
      <c r="C1217" s="218" t="s">
        <v>133</v>
      </c>
      <c r="D1217" s="245" t="n">
        <f aca="false">перекрытие!J55</f>
        <v>0</v>
      </c>
      <c r="E1217" s="23" t="n">
        <f aca="false">перекрытие!K55</f>
        <v>200</v>
      </c>
      <c r="F1217" s="23"/>
      <c r="G1217" s="122" t="n">
        <f aca="false">IF(F1217&gt;0,D1217*F1217,E1217*D1217)</f>
        <v>0</v>
      </c>
      <c r="H1217" s="85" t="n">
        <f aca="false">D1217*E1217*$H$1203</f>
        <v>0</v>
      </c>
      <c r="I1217" s="2718" t="n">
        <f aca="false">IF(G1217&gt;H1217,G1217,H1217)*$H$903</f>
        <v>0</v>
      </c>
      <c r="J1217" s="2712"/>
      <c r="K1217" s="2719"/>
    </row>
    <row r="1218" customFormat="false" ht="15.5" hidden="false" customHeight="false" outlineLevel="0" collapsed="false">
      <c r="A1218" s="2719"/>
      <c r="B1218" s="639" t="str">
        <f aca="false">перекрытие!H56</f>
        <v>Монтаж опалубки</v>
      </c>
      <c r="C1218" s="218" t="s">
        <v>133</v>
      </c>
      <c r="D1218" s="245" t="n">
        <f aca="false">перекрытие!J56</f>
        <v>0</v>
      </c>
      <c r="E1218" s="23" t="n">
        <f aca="false">перекрытие!K56</f>
        <v>200</v>
      </c>
      <c r="F1218" s="23"/>
      <c r="G1218" s="122" t="n">
        <f aca="false">IF(F1218&gt;0,D1218*F1218,E1218*D1218)</f>
        <v>0</v>
      </c>
      <c r="H1218" s="85" t="n">
        <f aca="false">D1218*E1218*$H$1203</f>
        <v>0</v>
      </c>
      <c r="I1218" s="2718" t="n">
        <f aca="false">IF(G1218&gt;H1218,G1218,H1218)*$H$903</f>
        <v>0</v>
      </c>
      <c r="J1218" s="2712"/>
      <c r="K1218" s="2719"/>
    </row>
    <row r="1219" customFormat="false" ht="15.5" hidden="false" customHeight="false" outlineLevel="0" collapsed="false">
      <c r="A1219" s="2719"/>
      <c r="B1219" s="639" t="str">
        <f aca="false">перекрытие!H57</f>
        <v>Укладка пленки гидроизоляционной</v>
      </c>
      <c r="C1219" s="218" t="s">
        <v>133</v>
      </c>
      <c r="D1219" s="245" t="n">
        <f aca="false">перекрытие!J57</f>
        <v>0</v>
      </c>
      <c r="E1219" s="23" t="n">
        <f aca="false">перекрытие!K57</f>
        <v>40</v>
      </c>
      <c r="F1219" s="23"/>
      <c r="G1219" s="122" t="n">
        <f aca="false">IF(F1219&gt;0,D1219*F1219,E1219*D1219)</f>
        <v>0</v>
      </c>
      <c r="H1219" s="85" t="n">
        <f aca="false">D1219*E1219*$H$1203</f>
        <v>0</v>
      </c>
      <c r="I1219" s="2718" t="n">
        <f aca="false">IF(G1219&gt;H1219,G1219,H1219)*$H$903</f>
        <v>0</v>
      </c>
      <c r="J1219" s="2712"/>
      <c r="K1219" s="2719"/>
    </row>
    <row r="1220" customFormat="false" ht="15.5" hidden="false" customHeight="false" outlineLevel="0" collapsed="false">
      <c r="A1220" s="2719"/>
      <c r="B1220" s="639" t="str">
        <f aca="false">перекрытие!H58</f>
        <v>Армирование перекрытия/плиты</v>
      </c>
      <c r="C1220" s="218" t="s">
        <v>133</v>
      </c>
      <c r="D1220" s="245" t="n">
        <f aca="false">перекрытие!J58</f>
        <v>0</v>
      </c>
      <c r="E1220" s="23" t="n">
        <f aca="false">перекрытие!K58</f>
        <v>300</v>
      </c>
      <c r="F1220" s="23"/>
      <c r="G1220" s="122" t="n">
        <f aca="false">IF(F1220&gt;0,D1220*F1220,E1220*D1220)</f>
        <v>0</v>
      </c>
      <c r="H1220" s="85" t="n">
        <f aca="false">D1220*E1220*$H$1203</f>
        <v>0</v>
      </c>
      <c r="I1220" s="2718" t="n">
        <f aca="false">IF(G1220&gt;H1220,G1220,H1220)*$H$903</f>
        <v>0</v>
      </c>
      <c r="J1220" s="2712"/>
      <c r="K1220" s="2719"/>
    </row>
    <row r="1221" customFormat="false" ht="15.5" hidden="false" customHeight="false" outlineLevel="0" collapsed="false">
      <c r="A1221" s="2719"/>
      <c r="B1221" s="639" t="str">
        <f aca="false">перекрытие!H59</f>
        <v>Заливка бетоном перекрытия/плиты</v>
      </c>
      <c r="C1221" s="218" t="s">
        <v>133</v>
      </c>
      <c r="D1221" s="245" t="n">
        <f aca="false">перекрытие!J59</f>
        <v>0</v>
      </c>
      <c r="E1221" s="23" t="n">
        <f aca="false">перекрытие!K59</f>
        <v>350</v>
      </c>
      <c r="F1221" s="23"/>
      <c r="G1221" s="122" t="n">
        <f aca="false">IF(F1221&gt;0,D1221*F1221,E1221*D1221)</f>
        <v>0</v>
      </c>
      <c r="H1221" s="85" t="n">
        <f aca="false">D1221*E1221*$H$1203</f>
        <v>0</v>
      </c>
      <c r="I1221" s="2718" t="n">
        <f aca="false">IF(G1221&gt;H1221,G1221,H1221)*$H$903</f>
        <v>0</v>
      </c>
      <c r="J1221" s="2712"/>
      <c r="K1221" s="2719"/>
    </row>
    <row r="1222" customFormat="false" ht="15.5" hidden="false" customHeight="false" outlineLevel="0" collapsed="false">
      <c r="A1222" s="2719"/>
      <c r="B1222" s="639" t="str">
        <f aca="false">перекрытие!H60</f>
        <v>Монтаж перекрытий из бруса</v>
      </c>
      <c r="C1222" s="218" t="s">
        <v>133</v>
      </c>
      <c r="D1222" s="245" t="n">
        <f aca="false">перекрытие!J60</f>
        <v>0</v>
      </c>
      <c r="E1222" s="23" t="n">
        <f aca="false">перекрытие!K60</f>
        <v>300</v>
      </c>
      <c r="F1222" s="23"/>
      <c r="G1222" s="122" t="n">
        <f aca="false">IF(F1222&gt;0,D1222*F1222,E1222*D1222)</f>
        <v>0</v>
      </c>
      <c r="H1222" s="85" t="n">
        <f aca="false">D1222*E1222*$H$1203</f>
        <v>0</v>
      </c>
      <c r="I1222" s="2718" t="n">
        <f aca="false">IF(G1222&gt;H1222,G1222,H1222)*$H$903</f>
        <v>0</v>
      </c>
      <c r="J1222" s="2712"/>
      <c r="K1222" s="2719"/>
    </row>
    <row r="1223" customFormat="false" ht="15.5" hidden="false" customHeight="false" outlineLevel="0" collapsed="false">
      <c r="A1223" s="2719"/>
      <c r="B1223" s="639" t="str">
        <f aca="false">перекрытие!H61</f>
        <v>Монтаж перекрытий Сип-панели</v>
      </c>
      <c r="C1223" s="218" t="s">
        <v>133</v>
      </c>
      <c r="D1223" s="245" t="n">
        <f aca="false">перекрытие!J61</f>
        <v>0</v>
      </c>
      <c r="E1223" s="23" t="n">
        <f aca="false">перекрытие!K61</f>
        <v>400</v>
      </c>
      <c r="F1223" s="23"/>
      <c r="G1223" s="122" t="n">
        <f aca="false">IF(F1223&gt;0,D1223*F1223,E1223*D1223)</f>
        <v>0</v>
      </c>
      <c r="H1223" s="85" t="n">
        <f aca="false">D1223*E1223*$H$1203</f>
        <v>0</v>
      </c>
      <c r="I1223" s="2718" t="n">
        <f aca="false">IF(G1223&gt;H1223,G1223,H1223)*$H$903</f>
        <v>0</v>
      </c>
      <c r="J1223" s="2712"/>
      <c r="K1223" s="2719"/>
    </row>
    <row r="1224" customFormat="false" ht="15.5" hidden="false" customHeight="false" outlineLevel="0" collapsed="false">
      <c r="A1224" s="2719"/>
      <c r="B1224" s="639" t="str">
        <f aca="false">перекрытие!H62</f>
        <v>Монтаж перекрытий из сухой доски</v>
      </c>
      <c r="C1224" s="218" t="s">
        <v>133</v>
      </c>
      <c r="D1224" s="245" t="n">
        <f aca="false">перекрытие!J62</f>
        <v>0</v>
      </c>
      <c r="E1224" s="23" t="n">
        <f aca="false">перекрытие!K62</f>
        <v>250</v>
      </c>
      <c r="F1224" s="23"/>
      <c r="G1224" s="122" t="n">
        <f aca="false">IF(F1224&gt;0,D1224*F1224,E1224*D1224)</f>
        <v>0</v>
      </c>
      <c r="H1224" s="85" t="n">
        <f aca="false">D1224*E1224*$H$1203</f>
        <v>0</v>
      </c>
      <c r="I1224" s="2718" t="n">
        <f aca="false">IF(G1224&gt;H1224,G1224,H1224)*$H$903</f>
        <v>0</v>
      </c>
      <c r="J1224" s="2712"/>
      <c r="K1224" s="2719"/>
    </row>
    <row r="1225" customFormat="false" ht="15.5" hidden="false" customHeight="false" outlineLevel="0" collapsed="false">
      <c r="A1225" s="2719"/>
      <c r="B1225" s="639" t="str">
        <f aca="false">перекрытие!H63</f>
        <v>Монтаж перекрытий из двутавровой балки</v>
      </c>
      <c r="C1225" s="218" t="s">
        <v>133</v>
      </c>
      <c r="D1225" s="245" t="n">
        <f aca="false">перекрытие!J63</f>
        <v>0</v>
      </c>
      <c r="E1225" s="23" t="n">
        <f aca="false">перекрытие!K63</f>
        <v>300</v>
      </c>
      <c r="F1225" s="23"/>
      <c r="G1225" s="122" t="n">
        <f aca="false">IF(F1225&gt;0,D1225*F1225,E1225*D1225)</f>
        <v>0</v>
      </c>
      <c r="H1225" s="85" t="n">
        <f aca="false">D1225*E1225*$H$1203</f>
        <v>0</v>
      </c>
      <c r="I1225" s="2718" t="n">
        <f aca="false">IF(G1225&gt;H1225,G1225,H1225)*$H$903</f>
        <v>0</v>
      </c>
      <c r="J1225" s="2712"/>
      <c r="K1225" s="2719"/>
    </row>
    <row r="1226" customFormat="false" ht="15.5" hidden="false" customHeight="false" outlineLevel="0" collapsed="false">
      <c r="A1226" s="2719"/>
      <c r="B1226" s="639" t="str">
        <f aca="false">перекрытие!H65</f>
        <v>Монтаж утеплителя перекрытия</v>
      </c>
      <c r="C1226" s="218" t="s">
        <v>133</v>
      </c>
      <c r="D1226" s="245" t="n">
        <f aca="false">перекрытие!J65</f>
        <v>100</v>
      </c>
      <c r="E1226" s="23" t="n">
        <f aca="false">перекрытие!K65</f>
        <v>200</v>
      </c>
      <c r="F1226" s="23"/>
      <c r="G1226" s="122" t="n">
        <f aca="false">IF(F1226&gt;0,D1226*F1226,E1226*D1226)</f>
        <v>20000</v>
      </c>
      <c r="H1226" s="85" t="n">
        <f aca="false">D1226*E1226*$H$1203</f>
        <v>0</v>
      </c>
      <c r="I1226" s="2718" t="n">
        <f aca="false">IF(G1226&gt;H1226,G1226,H1226)*$H$903</f>
        <v>0</v>
      </c>
      <c r="J1226" s="2712"/>
      <c r="K1226" s="2719"/>
    </row>
    <row r="1227" customFormat="false" ht="15.5" hidden="false" customHeight="false" outlineLevel="0" collapsed="false">
      <c r="A1227" s="2719"/>
      <c r="B1227" s="639" t="str">
        <f aca="false">перекрытие!H66</f>
        <v>Монтаж ветроизоляции перекрытий</v>
      </c>
      <c r="C1227" s="218" t="s">
        <v>133</v>
      </c>
      <c r="D1227" s="245" t="n">
        <f aca="false">перекрытие!J66</f>
        <v>0</v>
      </c>
      <c r="E1227" s="23" t="n">
        <f aca="false">перекрытие!K66</f>
        <v>100</v>
      </c>
      <c r="F1227" s="23"/>
      <c r="G1227" s="122" t="n">
        <f aca="false">IF(F1227&gt;0,D1227*F1227,E1227*D1227)</f>
        <v>0</v>
      </c>
      <c r="H1227" s="85" t="n">
        <f aca="false">D1227*E1227*$H$1203</f>
        <v>0</v>
      </c>
      <c r="I1227" s="2718" t="n">
        <f aca="false">IF(G1227&gt;H1227,G1227,H1227)*$H$903</f>
        <v>0</v>
      </c>
      <c r="J1227" s="2712"/>
      <c r="K1227" s="2719"/>
    </row>
    <row r="1228" customFormat="false" ht="15.5" hidden="false" customHeight="false" outlineLevel="0" collapsed="false">
      <c r="A1228" s="2719"/>
      <c r="B1228" s="639" t="str">
        <f aca="false">перекрытие!H67</f>
        <v>Монтаж пароизоляции перекрытий</v>
      </c>
      <c r="C1228" s="218" t="s">
        <v>133</v>
      </c>
      <c r="D1228" s="245" t="n">
        <f aca="false">перекрытие!J67</f>
        <v>0</v>
      </c>
      <c r="E1228" s="23" t="n">
        <f aca="false">перекрытие!K67</f>
        <v>100</v>
      </c>
      <c r="F1228" s="23"/>
      <c r="G1228" s="122" t="n">
        <f aca="false">IF(F1228&gt;0,D1228*F1228,E1228*D1228)</f>
        <v>0</v>
      </c>
      <c r="H1228" s="85" t="n">
        <f aca="false">D1228*E1228*$H$1203</f>
        <v>0</v>
      </c>
      <c r="I1228" s="2718" t="n">
        <f aca="false">IF(G1228&gt;H1228,G1228,H1228)*$H$903</f>
        <v>0</v>
      </c>
      <c r="J1228" s="2712"/>
      <c r="K1228" s="2719"/>
    </row>
    <row r="1229" customFormat="false" ht="15.5" hidden="false" customHeight="false" outlineLevel="0" collapsed="false">
      <c r="A1229" s="2719"/>
      <c r="B1229" s="639" t="str">
        <f aca="false">перекрытие!H68</f>
        <v>Монтаж плит ЖБИ</v>
      </c>
      <c r="C1229" s="218" t="s">
        <v>133</v>
      </c>
      <c r="D1229" s="245" t="n">
        <f aca="false">перекрытие!J68</f>
        <v>0</v>
      </c>
      <c r="E1229" s="23" t="n">
        <f aca="false">перекрытие!K68</f>
        <v>200</v>
      </c>
      <c r="F1229" s="23"/>
      <c r="G1229" s="122" t="n">
        <f aca="false">IF(F1229&gt;0,D1229*F1229,E1229*D1229)</f>
        <v>0</v>
      </c>
      <c r="H1229" s="85" t="n">
        <f aca="false">D1229*E1229*$H$1203</f>
        <v>0</v>
      </c>
      <c r="I1229" s="2718" t="n">
        <f aca="false">IF(G1229&gt;H1229,G1229,H1229)*$H$903</f>
        <v>0</v>
      </c>
      <c r="J1229" s="2712"/>
      <c r="K1229" s="2719"/>
    </row>
    <row r="1230" customFormat="false" ht="15.5" hidden="false" customHeight="false" outlineLevel="0" collapsed="false">
      <c r="A1230" s="2719"/>
      <c r="B1230" s="639" t="str">
        <f aca="false">перекрытие!H69</f>
        <v>Монтаж опалубки</v>
      </c>
      <c r="C1230" s="218" t="s">
        <v>133</v>
      </c>
      <c r="D1230" s="245" t="n">
        <f aca="false">перекрытие!J69</f>
        <v>0</v>
      </c>
      <c r="E1230" s="23" t="n">
        <f aca="false">перекрытие!K69</f>
        <v>200</v>
      </c>
      <c r="F1230" s="23"/>
      <c r="G1230" s="122" t="n">
        <f aca="false">IF(F1230&gt;0,D1230*F1230,E1230*D1230)</f>
        <v>0</v>
      </c>
      <c r="H1230" s="85" t="n">
        <f aca="false">D1230*E1230*$H$1203</f>
        <v>0</v>
      </c>
      <c r="I1230" s="2718" t="n">
        <f aca="false">IF(G1230&gt;H1230,G1230,H1230)*$H$903</f>
        <v>0</v>
      </c>
      <c r="J1230" s="2712"/>
      <c r="K1230" s="2719"/>
    </row>
    <row r="1231" customFormat="false" ht="15.5" hidden="false" customHeight="false" outlineLevel="0" collapsed="false">
      <c r="A1231" s="2719"/>
      <c r="B1231" s="639" t="str">
        <f aca="false">перекрытие!H70</f>
        <v>Укладка пленки гидроизоляционной</v>
      </c>
      <c r="C1231" s="218" t="s">
        <v>133</v>
      </c>
      <c r="D1231" s="245" t="n">
        <f aca="false">перекрытие!J70</f>
        <v>0</v>
      </c>
      <c r="E1231" s="23" t="n">
        <f aca="false">перекрытие!K70</f>
        <v>40</v>
      </c>
      <c r="F1231" s="23"/>
      <c r="G1231" s="122" t="n">
        <f aca="false">IF(F1231&gt;0,D1231*F1231,E1231*D1231)</f>
        <v>0</v>
      </c>
      <c r="H1231" s="85" t="n">
        <f aca="false">D1231*E1231*$H$1203</f>
        <v>0</v>
      </c>
      <c r="I1231" s="2718" t="n">
        <f aca="false">IF(G1231&gt;H1231,G1231,H1231)*$H$903</f>
        <v>0</v>
      </c>
      <c r="J1231" s="2712"/>
      <c r="K1231" s="2719"/>
    </row>
    <row r="1232" customFormat="false" ht="15.5" hidden="false" customHeight="false" outlineLevel="0" collapsed="false">
      <c r="A1232" s="2719"/>
      <c r="B1232" s="639" t="str">
        <f aca="false">перекрытие!H71</f>
        <v>Армирование перекрытия/плиты</v>
      </c>
      <c r="C1232" s="218" t="s">
        <v>133</v>
      </c>
      <c r="D1232" s="245" t="n">
        <f aca="false">перекрытие!J71</f>
        <v>0</v>
      </c>
      <c r="E1232" s="23" t="n">
        <f aca="false">перекрытие!K71</f>
        <v>300</v>
      </c>
      <c r="F1232" s="23"/>
      <c r="G1232" s="122" t="n">
        <f aca="false">IF(F1232&gt;0,D1232*F1232,E1232*D1232)</f>
        <v>0</v>
      </c>
      <c r="H1232" s="85" t="n">
        <f aca="false">D1232*E1232*$H$1203</f>
        <v>0</v>
      </c>
      <c r="I1232" s="2718" t="n">
        <f aca="false">IF(G1232&gt;H1232,G1232,H1232)*$H$903</f>
        <v>0</v>
      </c>
      <c r="J1232" s="2712"/>
      <c r="K1232" s="2719"/>
    </row>
    <row r="1233" customFormat="false" ht="15.5" hidden="false" customHeight="false" outlineLevel="0" collapsed="false">
      <c r="A1233" s="2719"/>
      <c r="B1233" s="639" t="str">
        <f aca="false">перекрытие!H72</f>
        <v>Заливка бетоном перекрытия/плиты</v>
      </c>
      <c r="C1233" s="218" t="s">
        <v>133</v>
      </c>
      <c r="D1233" s="245" t="n">
        <f aca="false">перекрытие!J72</f>
        <v>0</v>
      </c>
      <c r="E1233" s="23" t="n">
        <f aca="false">перекрытие!K72</f>
        <v>350</v>
      </c>
      <c r="F1233" s="23"/>
      <c r="G1233" s="122" t="n">
        <f aca="false">IF(F1233&gt;0,D1233*F1233,E1233*D1233)</f>
        <v>0</v>
      </c>
      <c r="H1233" s="85" t="n">
        <f aca="false">D1233*E1233*$H$1203</f>
        <v>0</v>
      </c>
      <c r="I1233" s="2718" t="n">
        <f aca="false">IF(G1233&gt;H1233,G1233,H1233)*$H$903</f>
        <v>0</v>
      </c>
      <c r="J1233" s="2712"/>
      <c r="K1233" s="2719"/>
    </row>
    <row r="1234" customFormat="false" ht="15.5" hidden="false" customHeight="false" outlineLevel="0" collapsed="false">
      <c r="A1234" s="2719"/>
      <c r="B1234" s="639" t="str">
        <f aca="false">перекрытие!H73</f>
        <v>Монтаж перекрытий из бруса</v>
      </c>
      <c r="C1234" s="218" t="s">
        <v>133</v>
      </c>
      <c r="D1234" s="245" t="n">
        <f aca="false">перекрытие!J73</f>
        <v>0</v>
      </c>
      <c r="E1234" s="23" t="n">
        <f aca="false">перекрытие!K73</f>
        <v>300</v>
      </c>
      <c r="F1234" s="23"/>
      <c r="G1234" s="122" t="n">
        <f aca="false">IF(F1234&gt;0,D1234*F1234,E1234*D1234)</f>
        <v>0</v>
      </c>
      <c r="H1234" s="85" t="n">
        <f aca="false">D1234*E1234*$H$1203</f>
        <v>0</v>
      </c>
      <c r="I1234" s="2718" t="n">
        <f aca="false">IF(G1234&gt;H1234,G1234,H1234)*$H$903</f>
        <v>0</v>
      </c>
      <c r="J1234" s="2712"/>
      <c r="K1234" s="2719"/>
    </row>
    <row r="1235" customFormat="false" ht="15.5" hidden="false" customHeight="false" outlineLevel="0" collapsed="false">
      <c r="A1235" s="2719"/>
      <c r="B1235" s="639" t="str">
        <f aca="false">перекрытие!H74</f>
        <v>Монтаж перекрытий Сип-панели</v>
      </c>
      <c r="C1235" s="218" t="s">
        <v>133</v>
      </c>
      <c r="D1235" s="245" t="n">
        <f aca="false">перекрытие!J74</f>
        <v>0</v>
      </c>
      <c r="E1235" s="23" t="n">
        <f aca="false">перекрытие!K74</f>
        <v>400</v>
      </c>
      <c r="F1235" s="23"/>
      <c r="G1235" s="122" t="n">
        <f aca="false">IF(F1235&gt;0,D1235*F1235,E1235*D1235)</f>
        <v>0</v>
      </c>
      <c r="H1235" s="85" t="n">
        <f aca="false">D1235*E1235*$H$1203</f>
        <v>0</v>
      </c>
      <c r="I1235" s="2718" t="n">
        <f aca="false">IF(G1235&gt;H1235,G1235,H1235)*$H$903</f>
        <v>0</v>
      </c>
      <c r="J1235" s="2712"/>
      <c r="K1235" s="2719"/>
    </row>
    <row r="1236" customFormat="false" ht="15.5" hidden="false" customHeight="false" outlineLevel="0" collapsed="false">
      <c r="A1236" s="2719"/>
      <c r="B1236" s="639" t="str">
        <f aca="false">перекрытие!H75</f>
        <v>Монтаж перекрытий из сухой доски</v>
      </c>
      <c r="C1236" s="218" t="s">
        <v>133</v>
      </c>
      <c r="D1236" s="245" t="n">
        <f aca="false">перекрытие!J75</f>
        <v>0</v>
      </c>
      <c r="E1236" s="23" t="n">
        <f aca="false">перекрытие!K75</f>
        <v>250</v>
      </c>
      <c r="F1236" s="23"/>
      <c r="G1236" s="122" t="n">
        <f aca="false">IF(F1236&gt;0,D1236*F1236,E1236*D1236)</f>
        <v>0</v>
      </c>
      <c r="H1236" s="85" t="n">
        <f aca="false">D1236*E1236*$H$1203</f>
        <v>0</v>
      </c>
      <c r="I1236" s="2718" t="n">
        <f aca="false">IF(G1236&gt;H1236,G1236,H1236)*$H$903</f>
        <v>0</v>
      </c>
      <c r="J1236" s="2712"/>
      <c r="K1236" s="2719"/>
    </row>
    <row r="1237" customFormat="false" ht="15.5" hidden="false" customHeight="false" outlineLevel="0" collapsed="false">
      <c r="A1237" s="2719"/>
      <c r="B1237" s="639" t="str">
        <f aca="false">перекрытие!H76</f>
        <v>Монтаж перекрытий из двутавровой балки</v>
      </c>
      <c r="C1237" s="218" t="s">
        <v>133</v>
      </c>
      <c r="D1237" s="245" t="n">
        <f aca="false">перекрытие!J76</f>
        <v>0</v>
      </c>
      <c r="E1237" s="23" t="n">
        <f aca="false">перекрытие!K76</f>
        <v>300</v>
      </c>
      <c r="F1237" s="23"/>
      <c r="G1237" s="122" t="n">
        <f aca="false">IF(F1237&gt;0,D1237*F1237,E1237*D1237)</f>
        <v>0</v>
      </c>
      <c r="H1237" s="85" t="n">
        <f aca="false">D1237*E1237*$H$1203</f>
        <v>0</v>
      </c>
      <c r="I1237" s="2718" t="n">
        <f aca="false">IF(G1237&gt;H1237,G1237,H1237)*$H$903</f>
        <v>0</v>
      </c>
      <c r="J1237" s="2712"/>
      <c r="K1237" s="2719"/>
    </row>
    <row r="1238" customFormat="false" ht="15.5" hidden="false" customHeight="false" outlineLevel="0" collapsed="false">
      <c r="A1238" s="2719"/>
      <c r="B1238" s="639" t="str">
        <f aca="false">перекрытие!H78</f>
        <v>Монтаж утеплителя перекрытия</v>
      </c>
      <c r="C1238" s="218" t="s">
        <v>133</v>
      </c>
      <c r="D1238" s="245" t="n">
        <f aca="false">перекрытие!J78</f>
        <v>0</v>
      </c>
      <c r="E1238" s="23" t="n">
        <f aca="false">перекрытие!K78</f>
        <v>200</v>
      </c>
      <c r="F1238" s="23"/>
      <c r="G1238" s="122" t="n">
        <f aca="false">IF(F1238&gt;0,D1238*F1238,E1238*D1238)</f>
        <v>0</v>
      </c>
      <c r="H1238" s="85" t="n">
        <f aca="false">D1238*E1238*$H$1203</f>
        <v>0</v>
      </c>
      <c r="I1238" s="2718" t="n">
        <f aca="false">IF(G1238&gt;H1238,G1238,H1238)*$H$903</f>
        <v>0</v>
      </c>
      <c r="J1238" s="2712"/>
      <c r="K1238" s="2719"/>
    </row>
    <row r="1239" customFormat="false" ht="15.5" hidden="false" customHeight="false" outlineLevel="0" collapsed="false">
      <c r="A1239" s="2719"/>
      <c r="B1239" s="639" t="str">
        <f aca="false">перекрытие!H79</f>
        <v>Монтаж ветроизоляции перекрытий</v>
      </c>
      <c r="C1239" s="218" t="s">
        <v>133</v>
      </c>
      <c r="D1239" s="245" t="n">
        <f aca="false">перекрытие!J79</f>
        <v>0</v>
      </c>
      <c r="E1239" s="23" t="n">
        <f aca="false">перекрытие!K79</f>
        <v>100</v>
      </c>
      <c r="F1239" s="23"/>
      <c r="G1239" s="122" t="n">
        <f aca="false">IF(F1239&gt;0,D1239*F1239,E1239*D1239)</f>
        <v>0</v>
      </c>
      <c r="H1239" s="85" t="n">
        <f aca="false">D1239*E1239*$H$1203</f>
        <v>0</v>
      </c>
      <c r="I1239" s="2718" t="n">
        <f aca="false">IF(G1239&gt;H1239,G1239,H1239)*$H$903</f>
        <v>0</v>
      </c>
      <c r="J1239" s="2712"/>
      <c r="K1239" s="2719"/>
    </row>
    <row r="1240" customFormat="false" ht="15.5" hidden="false" customHeight="false" outlineLevel="0" collapsed="false">
      <c r="A1240" s="2719"/>
      <c r="B1240" s="639" t="str">
        <f aca="false">перекрытие!H80</f>
        <v>Монтаж пароизоляции перекрытий</v>
      </c>
      <c r="C1240" s="218" t="s">
        <v>133</v>
      </c>
      <c r="D1240" s="245" t="n">
        <f aca="false">перекрытие!J80</f>
        <v>0</v>
      </c>
      <c r="E1240" s="23" t="n">
        <f aca="false">перекрытие!K80</f>
        <v>100</v>
      </c>
      <c r="F1240" s="23"/>
      <c r="G1240" s="122" t="n">
        <f aca="false">IF(F1240&gt;0,D1240*F1240,E1240*D1240)</f>
        <v>0</v>
      </c>
      <c r="H1240" s="85" t="n">
        <f aca="false">D1240*E1240*$H$1203</f>
        <v>0</v>
      </c>
      <c r="I1240" s="2718" t="n">
        <f aca="false">IF(G1240&gt;H1240,G1240,H1240)*$H$903</f>
        <v>0</v>
      </c>
      <c r="J1240" s="2712"/>
      <c r="K1240" s="2719"/>
    </row>
    <row r="1241" customFormat="false" ht="15.5" hidden="false" customHeight="false" outlineLevel="0" collapsed="false">
      <c r="A1241" s="2719"/>
      <c r="B1241" s="639" t="str">
        <f aca="false">перекрытие!H81</f>
        <v>Монтаж перекрестного пола</v>
      </c>
      <c r="C1241" s="218" t="s">
        <v>133</v>
      </c>
      <c r="D1241" s="245" t="n">
        <f aca="false">перекрытие!J81</f>
        <v>0</v>
      </c>
      <c r="E1241" s="23" t="n">
        <f aca="false">перекрытие!K81</f>
        <v>200</v>
      </c>
      <c r="F1241" s="23"/>
      <c r="G1241" s="122" t="n">
        <f aca="false">IF(F1241&gt;0,D1241*F1241,E1241*D1241)</f>
        <v>0</v>
      </c>
      <c r="H1241" s="85" t="n">
        <f aca="false">D1241*E1241*$H$1203</f>
        <v>0</v>
      </c>
      <c r="I1241" s="2718" t="n">
        <f aca="false">IF(G1241&gt;H1241,G1241,H1241)*$H$903</f>
        <v>0</v>
      </c>
      <c r="J1241" s="2712"/>
      <c r="K1241" s="2719"/>
    </row>
    <row r="1242" customFormat="false" ht="15.5" hidden="false" customHeight="false" outlineLevel="0" collapsed="false">
      <c r="A1242" s="2719"/>
      <c r="B1242" s="639" t="str">
        <f aca="false">перекрытие!H219</f>
        <v>Монтаж чернового пола 0 этажа</v>
      </c>
      <c r="C1242" s="218" t="s">
        <v>133</v>
      </c>
      <c r="D1242" s="245" t="n">
        <f aca="false">перекрытие!J219</f>
        <v>0</v>
      </c>
      <c r="E1242" s="23" t="n">
        <f aca="false">перекрытие!K219</f>
        <v>150</v>
      </c>
      <c r="F1242" s="23"/>
      <c r="G1242" s="122" t="n">
        <f aca="false">IF(F1242&gt;0,D1242*F1242,E1242*D1242)</f>
        <v>0</v>
      </c>
      <c r="H1242" s="85" t="n">
        <f aca="false">D1242*E1242*$H$1203</f>
        <v>0</v>
      </c>
      <c r="I1242" s="2718" t="n">
        <f aca="false">IF(G1242&gt;H1242,G1242,H1242)*$H$903</f>
        <v>0</v>
      </c>
      <c r="J1242" s="2712"/>
      <c r="K1242" s="2719"/>
    </row>
    <row r="1243" customFormat="false" ht="15.5" hidden="false" customHeight="false" outlineLevel="0" collapsed="false">
      <c r="A1243" s="2719"/>
      <c r="B1243" s="639" t="str">
        <f aca="false">перекрытие!H221</f>
        <v>Монтаж чернового пола 1 этажа</v>
      </c>
      <c r="C1243" s="218" t="s">
        <v>133</v>
      </c>
      <c r="D1243" s="245" t="n">
        <f aca="false">перекрытие!J221</f>
        <v>0</v>
      </c>
      <c r="E1243" s="23" t="n">
        <f aca="false">перекрытие!K221</f>
        <v>150</v>
      </c>
      <c r="F1243" s="23"/>
      <c r="G1243" s="122" t="n">
        <f aca="false">IF(F1243&gt;0,D1243*F1243,E1243*D1243)</f>
        <v>0</v>
      </c>
      <c r="H1243" s="85" t="n">
        <f aca="false">D1243*E1243*$H$1203</f>
        <v>0</v>
      </c>
      <c r="I1243" s="2718" t="n">
        <f aca="false">IF(G1243&gt;H1243,G1243,H1243)*$H$903</f>
        <v>0</v>
      </c>
      <c r="J1243" s="2712"/>
      <c r="K1243" s="2719"/>
    </row>
    <row r="1244" customFormat="false" ht="15.5" hidden="false" customHeight="false" outlineLevel="0" collapsed="false">
      <c r="A1244" s="2719"/>
      <c r="B1244" s="639" t="str">
        <f aca="false">перекрытие!H223</f>
        <v>Монтаж чернового пола 2 этажа</v>
      </c>
      <c r="C1244" s="218" t="s">
        <v>133</v>
      </c>
      <c r="D1244" s="245" t="n">
        <f aca="false">перекрытие!J223</f>
        <v>0</v>
      </c>
      <c r="E1244" s="23" t="n">
        <f aca="false">перекрытие!K223</f>
        <v>150</v>
      </c>
      <c r="F1244" s="23"/>
      <c r="G1244" s="122" t="n">
        <f aca="false">IF(F1244&gt;0,D1244*F1244,E1244*D1244)</f>
        <v>0</v>
      </c>
      <c r="H1244" s="85" t="n">
        <f aca="false">D1244*E1244*$H$1203</f>
        <v>0</v>
      </c>
      <c r="I1244" s="2718" t="n">
        <f aca="false">IF(G1244&gt;H1244,G1244,H1244)*$H$903</f>
        <v>0</v>
      </c>
      <c r="J1244" s="2712"/>
      <c r="K1244" s="2719"/>
    </row>
    <row r="1245" customFormat="false" ht="15.5" hidden="false" customHeight="false" outlineLevel="0" collapsed="false">
      <c r="A1245" s="2719"/>
      <c r="B1245" s="639" t="str">
        <f aca="false">перекрытие!A365</f>
        <v>Монтаж перекрытий ЛСТК</v>
      </c>
      <c r="C1245" s="218"/>
      <c r="D1245" s="245" t="n">
        <f aca="false">перекрытие!D365</f>
        <v>0</v>
      </c>
      <c r="E1245" s="23" t="n">
        <f aca="false">перекрытие!E365</f>
        <v>500</v>
      </c>
      <c r="F1245" s="23"/>
      <c r="G1245" s="122" t="n">
        <f aca="false">IF(F1245&gt;0,D1245*F1245,E1245*D1245)</f>
        <v>0</v>
      </c>
      <c r="H1245" s="85" t="n">
        <f aca="false">D1245*E1245*$H$1203</f>
        <v>0</v>
      </c>
      <c r="I1245" s="2718"/>
      <c r="J1245" s="2712"/>
      <c r="K1245" s="2719"/>
    </row>
    <row r="1246" customFormat="false" ht="15.5" hidden="false" customHeight="false" outlineLevel="0" collapsed="false">
      <c r="A1246" s="2719"/>
      <c r="B1246" s="639" t="str">
        <f aca="false">перекрытие!A366</f>
        <v>Монтаж перекрытий ЛСТК</v>
      </c>
      <c r="C1246" s="218"/>
      <c r="D1246" s="245" t="n">
        <f aca="false">перекрытие!D366</f>
        <v>0</v>
      </c>
      <c r="E1246" s="23" t="n">
        <f aca="false">перекрытие!E366</f>
        <v>500</v>
      </c>
      <c r="F1246" s="23"/>
      <c r="G1246" s="122" t="n">
        <f aca="false">IF(F1246&gt;0,D1246*F1246,E1246*D1246)</f>
        <v>0</v>
      </c>
      <c r="H1246" s="85" t="n">
        <f aca="false">D1246*E1246*$H$1203</f>
        <v>0</v>
      </c>
      <c r="I1246" s="2718"/>
      <c r="J1246" s="2712"/>
      <c r="K1246" s="2719"/>
    </row>
    <row r="1247" customFormat="false" ht="15.5" hidden="false" customHeight="false" outlineLevel="0" collapsed="false">
      <c r="A1247" s="2719"/>
      <c r="B1247" s="639" t="str">
        <f aca="false">перекрытие!A367</f>
        <v>Монтаж перекрытий ЛСТК</v>
      </c>
      <c r="C1247" s="218"/>
      <c r="D1247" s="245" t="n">
        <f aca="false">перекрытие!D367</f>
        <v>0</v>
      </c>
      <c r="E1247" s="23" t="n">
        <f aca="false">перекрытие!E367</f>
        <v>500</v>
      </c>
      <c r="F1247" s="23"/>
      <c r="G1247" s="122" t="n">
        <f aca="false">IF(F1247&gt;0,D1247*F1247,E1247*D1247)</f>
        <v>0</v>
      </c>
      <c r="H1247" s="85" t="n">
        <f aca="false">D1247*E1247*$H$1203</f>
        <v>0</v>
      </c>
      <c r="I1247" s="2718"/>
      <c r="J1247" s="2712"/>
      <c r="K1247" s="2719"/>
    </row>
    <row r="1248" customFormat="false" ht="15.5" hidden="false" customHeight="false" outlineLevel="0" collapsed="false">
      <c r="A1248" s="2719"/>
      <c r="B1248" s="2748" t="s">
        <v>4641</v>
      </c>
      <c r="C1248" s="2748"/>
      <c r="D1248" s="2748"/>
      <c r="E1248" s="2748"/>
      <c r="F1248" s="2748"/>
      <c r="G1248" s="85" t="n">
        <f aca="false">SUM(G1204:G1244)*H903</f>
        <v>0</v>
      </c>
      <c r="H1248" s="85" t="n">
        <f aca="false">SUM(H1204:H1244)</f>
        <v>0</v>
      </c>
      <c r="I1248" s="2718" t="n">
        <f aca="false">IF(G1248&gt;H1248,G1248,H1248)</f>
        <v>0</v>
      </c>
      <c r="J1248" s="2712"/>
      <c r="K1248" s="2719"/>
    </row>
    <row r="1249" customFormat="false" ht="21" hidden="false" customHeight="false" outlineLevel="0" collapsed="false">
      <c r="A1249" s="2719"/>
      <c r="B1249" s="2762" t="s">
        <v>4659</v>
      </c>
      <c r="C1249" s="2762"/>
      <c r="D1249" s="2762"/>
      <c r="E1249" s="2762"/>
      <c r="F1249" s="2782"/>
      <c r="G1249" s="905"/>
      <c r="H1249" s="2756" t="n">
        <f aca="false">дома!D2019</f>
        <v>0</v>
      </c>
      <c r="I1249" s="2818" t="n">
        <f aca="false">H1249</f>
        <v>0</v>
      </c>
      <c r="J1249" s="2712"/>
      <c r="K1249" s="2719"/>
    </row>
    <row r="1250" customFormat="false" ht="15.5" hidden="false" customHeight="false" outlineLevel="0" collapsed="false">
      <c r="A1250" s="2712"/>
      <c r="B1250" s="2775" t="s">
        <v>2720</v>
      </c>
      <c r="C1250" s="2775"/>
      <c r="D1250" s="2775"/>
      <c r="E1250" s="2775"/>
      <c r="F1250" s="2783"/>
      <c r="G1250" s="905"/>
      <c r="H1250" s="2776" t="n">
        <f aca="false">H1249</f>
        <v>0</v>
      </c>
      <c r="I1250" s="2818" t="n">
        <f aca="false">H1250</f>
        <v>0</v>
      </c>
      <c r="J1250" s="2732"/>
      <c r="K1250" s="2733"/>
    </row>
    <row r="1251" customFormat="false" ht="15.5" hidden="false" customHeight="false" outlineLevel="0" collapsed="false">
      <c r="A1251" s="2712"/>
      <c r="B1251" s="2819" t="str">
        <f aca="false">дома!A2042</f>
        <v>Листв. влаж, 200*200мм</v>
      </c>
      <c r="C1251" s="2820" t="str">
        <f aca="false">дома!B2042</f>
        <v>м3</v>
      </c>
      <c r="D1251" s="369" t="n">
        <f aca="false">дома!C2042</f>
        <v>0</v>
      </c>
      <c r="E1251" s="2821" t="n">
        <f aca="false">дома!D2042</f>
        <v>9000</v>
      </c>
      <c r="F1251" s="2821"/>
      <c r="G1251" s="122" t="n">
        <f aca="false">IF(F1251&gt;0,D1251*F1251,E1251*D1251)</f>
        <v>0</v>
      </c>
      <c r="H1251" s="2822" t="n">
        <f aca="false">D1251*E1251*$H$1250</f>
        <v>0</v>
      </c>
      <c r="I1251" s="2784" t="n">
        <f aca="false">IF(G1251&gt;H1251,G1251,H1251)*$H$1249</f>
        <v>0</v>
      </c>
      <c r="J1251" s="2744"/>
      <c r="K1251" s="226" t="n">
        <f aca="false">D1251-J1251</f>
        <v>0</v>
      </c>
      <c r="L1251" s="2736"/>
    </row>
    <row r="1252" customFormat="false" ht="15.5" hidden="false" customHeight="false" outlineLevel="0" collapsed="false">
      <c r="A1252" s="2719"/>
      <c r="B1252" s="2819" t="str">
        <f aca="false">дома!A2043</f>
        <v>Листв. влаж, 200*150мм</v>
      </c>
      <c r="C1252" s="2820" t="str">
        <f aca="false">дома!B2043</f>
        <v>м3</v>
      </c>
      <c r="D1252" s="369" t="n">
        <f aca="false">дома!C2043</f>
        <v>0.54</v>
      </c>
      <c r="E1252" s="2821" t="n">
        <f aca="false">дома!D2043</f>
        <v>8500</v>
      </c>
      <c r="F1252" s="2821"/>
      <c r="G1252" s="122" t="n">
        <f aca="false">IF(F1252&gt;0,D1252*F1252,E1252*D1252)</f>
        <v>4590</v>
      </c>
      <c r="H1252" s="2822" t="n">
        <f aca="false">D1252*E1252*$H$1250</f>
        <v>0</v>
      </c>
      <c r="I1252" s="2784" t="n">
        <f aca="false">IF(G1252&gt;H1252,G1252,H1252)*$H$1249</f>
        <v>0</v>
      </c>
      <c r="J1252" s="2744"/>
      <c r="K1252" s="226" t="n">
        <f aca="false">D1252-J1252</f>
        <v>0.54</v>
      </c>
      <c r="L1252" s="2736"/>
    </row>
    <row r="1253" customFormat="false" ht="15.5" hidden="false" customHeight="false" outlineLevel="0" collapsed="false">
      <c r="A1253" s="2719"/>
      <c r="B1253" s="2819" t="str">
        <f aca="false">дома!A2044</f>
        <v>Рубероид</v>
      </c>
      <c r="C1253" s="2820" t="str">
        <f aca="false">дома!B2044</f>
        <v>м.п.</v>
      </c>
      <c r="D1253" s="369" t="n">
        <f aca="false">дома!C2044</f>
        <v>0</v>
      </c>
      <c r="E1253" s="2821" t="n">
        <f aca="false">дома!D2044</f>
        <v>30</v>
      </c>
      <c r="F1253" s="2821"/>
      <c r="G1253" s="122" t="n">
        <f aca="false">IF(F1253&gt;0,D1253*F1253,E1253*D1253)</f>
        <v>0</v>
      </c>
      <c r="H1253" s="2822" t="n">
        <f aca="false">D1253*E1253*$H$1250</f>
        <v>0</v>
      </c>
      <c r="I1253" s="2784" t="n">
        <f aca="false">IF(G1253&gt;H1253,G1253,H1253)*$H$1249</f>
        <v>0</v>
      </c>
      <c r="J1253" s="2744"/>
      <c r="K1253" s="226" t="n">
        <f aca="false">D1253-J1253</f>
        <v>0</v>
      </c>
      <c r="L1253" s="2736"/>
    </row>
    <row r="1254" customFormat="false" ht="15.5" hidden="false" customHeight="false" outlineLevel="0" collapsed="false">
      <c r="A1254" s="2719"/>
      <c r="B1254" s="2819" t="str">
        <f aca="false">дома!A2045</f>
        <v>Листв. влаж, 200*150мм</v>
      </c>
      <c r="C1254" s="2820" t="str">
        <f aca="false">дома!B2045</f>
        <v>м3</v>
      </c>
      <c r="D1254" s="369" t="n">
        <f aca="false">дома!C2045</f>
        <v>0</v>
      </c>
      <c r="E1254" s="2821" t="n">
        <f aca="false">дома!D2045</f>
        <v>8500</v>
      </c>
      <c r="F1254" s="2821"/>
      <c r="G1254" s="122" t="n">
        <f aca="false">IF(F1254&gt;0,D1254*F1254,E1254*D1254)</f>
        <v>0</v>
      </c>
      <c r="H1254" s="2822" t="n">
        <f aca="false">D1254*E1254*$H$1250</f>
        <v>0</v>
      </c>
      <c r="I1254" s="2784" t="n">
        <f aca="false">IF(G1254&gt;H1254,G1254,H1254)*$H$1249</f>
        <v>0</v>
      </c>
      <c r="J1254" s="2744"/>
      <c r="K1254" s="226" t="n">
        <f aca="false">D1254-J1254</f>
        <v>0</v>
      </c>
      <c r="L1254" s="2736"/>
    </row>
    <row r="1255" customFormat="false" ht="15.5" hidden="false" customHeight="false" outlineLevel="0" collapsed="false">
      <c r="A1255" s="2719"/>
      <c r="B1255" s="2819" t="str">
        <f aca="false">дома!A2046</f>
        <v>Проф.брус вл. 200*150мм</v>
      </c>
      <c r="C1255" s="2820" t="str">
        <f aca="false">дома!B2046</f>
        <v>м3</v>
      </c>
      <c r="D1255" s="369" t="n">
        <f aca="false">дома!C2046</f>
        <v>0.5265</v>
      </c>
      <c r="E1255" s="2821" t="n">
        <f aca="false">дома!D2046</f>
        <v>9300</v>
      </c>
      <c r="F1255" s="2821"/>
      <c r="G1255" s="122" t="n">
        <f aca="false">IF(F1255&gt;0,D1255*F1255,E1255*D1255)</f>
        <v>4896.45</v>
      </c>
      <c r="H1255" s="2822" t="n">
        <f aca="false">D1255*E1255*$H$1250</f>
        <v>0</v>
      </c>
      <c r="I1255" s="2784" t="n">
        <f aca="false">IF(G1255&gt;H1255,G1255,H1255)*$H$1249</f>
        <v>0</v>
      </c>
      <c r="J1255" s="2744"/>
      <c r="K1255" s="226" t="n">
        <f aca="false">D1255-J1255</f>
        <v>0.5265</v>
      </c>
      <c r="L1255" s="2736"/>
    </row>
    <row r="1256" customFormat="false" ht="15.5" hidden="false" customHeight="false" outlineLevel="0" collapsed="false">
      <c r="A1256" s="2719"/>
      <c r="B1256" s="2819" t="str">
        <f aca="false">дома!A2047</f>
        <v>Брус клееный проф 2 ламель кедр Шир. 240 выс. 140</v>
      </c>
      <c r="C1256" s="2820" t="str">
        <f aca="false">дома!B2047</f>
        <v>м3</v>
      </c>
      <c r="D1256" s="369" t="n">
        <f aca="false">дома!C2047</f>
        <v>0.3024</v>
      </c>
      <c r="E1256" s="2821" t="n">
        <f aca="false">дома!D2047</f>
        <v>24000</v>
      </c>
      <c r="F1256" s="2821"/>
      <c r="G1256" s="122" t="n">
        <f aca="false">IF(F1256&gt;0,D1256*F1256,E1256*D1256)</f>
        <v>7257.6</v>
      </c>
      <c r="H1256" s="2822" t="n">
        <f aca="false">D1256*E1256*$H$1250</f>
        <v>0</v>
      </c>
      <c r="I1256" s="2784" t="n">
        <f aca="false">IF(G1256&gt;H1256,G1256,H1256)*$H$1249</f>
        <v>0</v>
      </c>
      <c r="J1256" s="2744"/>
      <c r="K1256" s="226" t="n">
        <f aca="false">D1256-J1256</f>
        <v>0.3024</v>
      </c>
      <c r="L1256" s="2736"/>
    </row>
    <row r="1257" customFormat="false" ht="15.5" hidden="false" customHeight="false" outlineLevel="0" collapsed="false">
      <c r="A1257" s="2719"/>
      <c r="B1257" s="2819" t="str">
        <f aca="false">дома!A2048</f>
        <v>Брус клееный проф 1 ламель кедр Шир. 240 выс. 140</v>
      </c>
      <c r="C1257" s="2820" t="str">
        <f aca="false">дома!B2048</f>
        <v>м3</v>
      </c>
      <c r="D1257" s="369" t="n">
        <f aca="false">дома!C2048</f>
        <v>1.008</v>
      </c>
      <c r="E1257" s="2821" t="n">
        <f aca="false">дома!D2048</f>
        <v>24000</v>
      </c>
      <c r="F1257" s="2821"/>
      <c r="G1257" s="122" t="n">
        <f aca="false">IF(F1257&gt;0,D1257*F1257,E1257*D1257)</f>
        <v>24192</v>
      </c>
      <c r="H1257" s="2822" t="n">
        <f aca="false">D1257*E1257*$H$1250</f>
        <v>0</v>
      </c>
      <c r="I1257" s="2784" t="n">
        <f aca="false">IF(G1257&gt;H1257,G1257,H1257)*$H$1249</f>
        <v>0</v>
      </c>
      <c r="J1257" s="2744"/>
      <c r="K1257" s="226" t="n">
        <f aca="false">D1257-J1257</f>
        <v>1.008</v>
      </c>
      <c r="L1257" s="2736"/>
    </row>
    <row r="1258" customFormat="false" ht="15.5" hidden="false" customHeight="false" outlineLevel="0" collapsed="false">
      <c r="A1258" s="2719"/>
      <c r="B1258" s="2819" t="str">
        <f aca="false">дома!A2049</f>
        <v>Проф.брус вл. 200*180мм</v>
      </c>
      <c r="C1258" s="2820" t="str">
        <f aca="false">дома!B2049</f>
        <v>м3</v>
      </c>
      <c r="D1258" s="369" t="n">
        <f aca="false">дома!C2049</f>
        <v>0.504</v>
      </c>
      <c r="E1258" s="2821" t="n">
        <f aca="false">дома!D2049</f>
        <v>9300</v>
      </c>
      <c r="F1258" s="2821"/>
      <c r="G1258" s="122" t="n">
        <f aca="false">IF(F1258&gt;0,D1258*F1258,E1258*D1258)</f>
        <v>4687.2</v>
      </c>
      <c r="H1258" s="2822" t="n">
        <f aca="false">D1258*E1258*$H$1250</f>
        <v>0</v>
      </c>
      <c r="I1258" s="2784" t="n">
        <f aca="false">IF(G1258&gt;H1258,G1258,H1258)*$H$1249</f>
        <v>0</v>
      </c>
      <c r="J1258" s="2744"/>
      <c r="K1258" s="226" t="n">
        <f aca="false">D1258-J1258</f>
        <v>0.504</v>
      </c>
      <c r="L1258" s="2736"/>
    </row>
    <row r="1259" customFormat="false" ht="15.5" hidden="false" customHeight="false" outlineLevel="0" collapsed="false">
      <c r="A1259" s="2719"/>
      <c r="B1259" s="2819" t="str">
        <f aca="false">дома!A2050</f>
        <v>Нет накладки</v>
      </c>
      <c r="C1259" s="2820" t="str">
        <f aca="false">дома!B2050</f>
        <v>м.п.</v>
      </c>
      <c r="D1259" s="369" t="n">
        <f aca="false">дома!C2050</f>
        <v>9</v>
      </c>
      <c r="E1259" s="2821" t="n">
        <f aca="false">дома!D2050</f>
        <v>0</v>
      </c>
      <c r="F1259" s="2821"/>
      <c r="G1259" s="122" t="n">
        <f aca="false">IF(F1259&gt;0,D1259*F1259,E1259*D1259)</f>
        <v>0</v>
      </c>
      <c r="H1259" s="2822" t="n">
        <f aca="false">D1259*E1259*$H$1250</f>
        <v>0</v>
      </c>
      <c r="I1259" s="2784" t="n">
        <f aca="false">IF(G1259&gt;H1259,G1259,H1259)*$H$1249</f>
        <v>0</v>
      </c>
      <c r="J1259" s="2744"/>
      <c r="K1259" s="226" t="n">
        <f aca="false">D1259-J1259</f>
        <v>9</v>
      </c>
      <c r="L1259" s="2736"/>
    </row>
    <row r="1260" customFormat="false" ht="15.5" hidden="false" customHeight="false" outlineLevel="0" collapsed="false">
      <c r="A1260" s="2719"/>
      <c r="B1260" s="2819" t="str">
        <f aca="false">дома!A2051</f>
        <v>Гидрокомпенсатор</v>
      </c>
      <c r="C1260" s="2820" t="str">
        <f aca="false">дома!B2051</f>
        <v>шт</v>
      </c>
      <c r="D1260" s="369" t="n">
        <f aca="false">дома!C2051</f>
        <v>9</v>
      </c>
      <c r="E1260" s="2821" t="n">
        <f aca="false">дома!D2051</f>
        <v>450</v>
      </c>
      <c r="F1260" s="2821"/>
      <c r="G1260" s="122" t="n">
        <f aca="false">IF(F1260&gt;0,D1260*F1260,E1260*D1260)</f>
        <v>4050</v>
      </c>
      <c r="H1260" s="2822" t="n">
        <f aca="false">D1260*E1260*$H$1250</f>
        <v>0</v>
      </c>
      <c r="I1260" s="2784" t="n">
        <f aca="false">IF(G1260&gt;H1260,G1260,H1260)*$H$1249</f>
        <v>0</v>
      </c>
      <c r="J1260" s="2744"/>
      <c r="K1260" s="226" t="n">
        <f aca="false">D1260-J1260</f>
        <v>9</v>
      </c>
      <c r="L1260" s="2736"/>
    </row>
    <row r="1261" customFormat="false" ht="15.5" hidden="false" customHeight="false" outlineLevel="0" collapsed="false">
      <c r="A1261" s="2719"/>
      <c r="B1261" s="2819" t="str">
        <f aca="false">дома!A2052</f>
        <v>Уголок усиленный 90х70х55х2,5</v>
      </c>
      <c r="C1261" s="2820" t="str">
        <f aca="false">дома!B2052</f>
        <v>шт</v>
      </c>
      <c r="D1261" s="369" t="n">
        <f aca="false">дома!C2052</f>
        <v>0</v>
      </c>
      <c r="E1261" s="2821" t="n">
        <f aca="false">дома!D2052</f>
        <v>30</v>
      </c>
      <c r="F1261" s="2821"/>
      <c r="G1261" s="122" t="n">
        <f aca="false">IF(F1261&gt;0,D1261*F1261,E1261*D1261)</f>
        <v>0</v>
      </c>
      <c r="H1261" s="2822" t="n">
        <f aca="false">D1261*E1261*$H$1250</f>
        <v>0</v>
      </c>
      <c r="I1261" s="2784" t="n">
        <f aca="false">IF(G1261&gt;H1261,G1261,H1261)*$H$1249</f>
        <v>0</v>
      </c>
      <c r="J1261" s="2744"/>
      <c r="K1261" s="226" t="n">
        <f aca="false">D1261-J1261</f>
        <v>0</v>
      </c>
      <c r="L1261" s="2736"/>
    </row>
    <row r="1262" customFormat="false" ht="15.5" hidden="false" customHeight="false" outlineLevel="0" collapsed="false">
      <c r="A1262" s="2719"/>
      <c r="B1262" s="2819" t="str">
        <f aca="false">дома!A2053</f>
        <v>Нет уголков</v>
      </c>
      <c r="C1262" s="2820" t="str">
        <f aca="false">дома!B2053</f>
        <v>шт</v>
      </c>
      <c r="D1262" s="369" t="n">
        <f aca="false">дома!C2053</f>
        <v>0</v>
      </c>
      <c r="E1262" s="2821" t="n">
        <f aca="false">дома!D2053</f>
        <v>0</v>
      </c>
      <c r="F1262" s="2821"/>
      <c r="G1262" s="122" t="n">
        <f aca="false">IF(F1262&gt;0,D1262*F1262,E1262*D1262)</f>
        <v>0</v>
      </c>
      <c r="H1262" s="2822" t="n">
        <f aca="false">D1262*E1262*$H$1250</f>
        <v>0</v>
      </c>
      <c r="I1262" s="2784" t="n">
        <f aca="false">IF(G1262&gt;H1262,G1262,H1262)*$H$1249</f>
        <v>0</v>
      </c>
      <c r="J1262" s="2744"/>
      <c r="K1262" s="226" t="n">
        <f aca="false">D1262-J1262</f>
        <v>0</v>
      </c>
      <c r="L1262" s="2736"/>
    </row>
    <row r="1263" customFormat="false" ht="15.5" hidden="false" customHeight="false" outlineLevel="0" collapsed="false">
      <c r="A1263" s="2719"/>
      <c r="B1263" s="2819" t="str">
        <f aca="false">дома!A2054</f>
        <v>Пластина соеденительная 100х240х2</v>
      </c>
      <c r="C1263" s="2820" t="str">
        <f aca="false">дома!B2054</f>
        <v>шт</v>
      </c>
      <c r="D1263" s="369" t="n">
        <f aca="false">дома!C2054</f>
        <v>0</v>
      </c>
      <c r="E1263" s="2821" t="n">
        <f aca="false">дома!D2054</f>
        <v>31.54</v>
      </c>
      <c r="F1263" s="2821"/>
      <c r="G1263" s="122" t="n">
        <f aca="false">IF(F1263&gt;0,D1263*F1263,E1263*D1263)</f>
        <v>0</v>
      </c>
      <c r="H1263" s="2822" t="n">
        <f aca="false">D1263*E1263*$H$1250</f>
        <v>0</v>
      </c>
      <c r="I1263" s="2784" t="n">
        <f aca="false">IF(G1263&gt;H1263,G1263,H1263)*$H$1249</f>
        <v>0</v>
      </c>
      <c r="J1263" s="2744"/>
      <c r="K1263" s="226" t="n">
        <f aca="false">D1263-J1263</f>
        <v>0</v>
      </c>
      <c r="L1263" s="2736"/>
    </row>
    <row r="1264" customFormat="false" ht="15.5" hidden="false" customHeight="false" outlineLevel="0" collapsed="false">
      <c r="A1264" s="2719"/>
      <c r="B1264" s="2819" t="str">
        <f aca="false">дома!A2055</f>
        <v>Нет пластин</v>
      </c>
      <c r="C1264" s="2820" t="str">
        <f aca="false">дома!B2055</f>
        <v>шт</v>
      </c>
      <c r="D1264" s="369" t="n">
        <f aca="false">дома!C2055</f>
        <v>0</v>
      </c>
      <c r="E1264" s="2821" t="n">
        <f aca="false">дома!D2055</f>
        <v>0</v>
      </c>
      <c r="F1264" s="2821"/>
      <c r="G1264" s="122" t="n">
        <f aca="false">IF(F1264&gt;0,D1264*F1264,E1264*D1264)</f>
        <v>0</v>
      </c>
      <c r="H1264" s="2822" t="n">
        <f aca="false">D1264*E1264*$H$1250</f>
        <v>0</v>
      </c>
      <c r="I1264" s="2784" t="n">
        <f aca="false">IF(G1264&gt;H1264,G1264,H1264)*$H$1249</f>
        <v>0</v>
      </c>
      <c r="J1264" s="2744"/>
      <c r="K1264" s="226" t="n">
        <f aca="false">D1264-J1264</f>
        <v>0</v>
      </c>
      <c r="L1264" s="2736"/>
    </row>
    <row r="1265" customFormat="false" ht="15.5" hidden="false" customHeight="false" outlineLevel="0" collapsed="false">
      <c r="A1265" s="2719"/>
      <c r="B1265" s="2819" t="str">
        <f aca="false">дома!A2056</f>
        <v>Болты анкерные с гайкой 12,0 x 100</v>
      </c>
      <c r="C1265" s="2820" t="str">
        <f aca="false">дома!B2056</f>
        <v>шт</v>
      </c>
      <c r="D1265" s="369" t="n">
        <f aca="false">дома!C2056</f>
        <v>0</v>
      </c>
      <c r="E1265" s="2821" t="n">
        <f aca="false">дома!D2056</f>
        <v>11.2</v>
      </c>
      <c r="F1265" s="2821"/>
      <c r="G1265" s="122" t="n">
        <f aca="false">IF(F1265&gt;0,D1265*F1265,E1265*D1265)</f>
        <v>0</v>
      </c>
      <c r="H1265" s="2822" t="n">
        <f aca="false">D1265*E1265*$H$1250</f>
        <v>0</v>
      </c>
      <c r="I1265" s="2784" t="n">
        <f aca="false">IF(G1265&gt;H1265,G1265,H1265)*$H$1249</f>
        <v>0</v>
      </c>
      <c r="J1265" s="2744"/>
      <c r="K1265" s="226" t="n">
        <f aca="false">D1265-J1265</f>
        <v>0</v>
      </c>
      <c r="L1265" s="2736"/>
    </row>
    <row r="1266" customFormat="false" ht="15.5" hidden="false" customHeight="false" outlineLevel="0" collapsed="false">
      <c r="A1266" s="2719"/>
      <c r="B1266" s="2819" t="str">
        <f aca="false">дома!A2057</f>
        <v>Нет анкерных болтов</v>
      </c>
      <c r="C1266" s="2820" t="str">
        <f aca="false">дома!B2057</f>
        <v>шт</v>
      </c>
      <c r="D1266" s="369" t="n">
        <f aca="false">дома!C2057</f>
        <v>0</v>
      </c>
      <c r="E1266" s="2821" t="n">
        <f aca="false">дома!D2057</f>
        <v>0</v>
      </c>
      <c r="F1266" s="2821"/>
      <c r="G1266" s="122" t="n">
        <f aca="false">IF(F1266&gt;0,D1266*F1266,E1266*D1266)</f>
        <v>0</v>
      </c>
      <c r="H1266" s="2822" t="n">
        <f aca="false">D1266*E1266*$H$1250</f>
        <v>0</v>
      </c>
      <c r="I1266" s="2784" t="n">
        <f aca="false">IF(G1266&gt;H1266,G1266,H1266)*$H$1249</f>
        <v>0</v>
      </c>
      <c r="J1266" s="2744"/>
      <c r="K1266" s="226" t="n">
        <f aca="false">D1266-J1266</f>
        <v>0</v>
      </c>
      <c r="L1266" s="2736"/>
    </row>
    <row r="1267" customFormat="false" ht="15.5" hidden="false" customHeight="false" outlineLevel="0" collapsed="false">
      <c r="A1267" s="2719"/>
      <c r="B1267" s="2819" t="str">
        <f aca="false">дома!A2058</f>
        <v>Саморезы 3,5 x 45</v>
      </c>
      <c r="C1267" s="2820" t="str">
        <f aca="false">дома!B2058</f>
        <v>кг</v>
      </c>
      <c r="D1267" s="369" t="n">
        <f aca="false">дома!C2058</f>
        <v>0</v>
      </c>
      <c r="E1267" s="2821" t="n">
        <f aca="false">дома!D2058</f>
        <v>105.62</v>
      </c>
      <c r="F1267" s="2821"/>
      <c r="G1267" s="122" t="n">
        <f aca="false">IF(F1267&gt;0,D1267*F1267,E1267*D1267)</f>
        <v>0</v>
      </c>
      <c r="H1267" s="2822" t="n">
        <f aca="false">D1267*E1267*$H$1250</f>
        <v>0</v>
      </c>
      <c r="I1267" s="2784" t="n">
        <f aca="false">IF(G1267&gt;H1267,G1267,H1267)*$H$1249</f>
        <v>0</v>
      </c>
      <c r="J1267" s="2744"/>
      <c r="K1267" s="226" t="n">
        <f aca="false">D1267-J1267</f>
        <v>0</v>
      </c>
      <c r="L1267" s="2736"/>
    </row>
    <row r="1268" customFormat="false" ht="15.5" hidden="false" customHeight="false" outlineLevel="0" collapsed="false">
      <c r="A1268" s="2719"/>
      <c r="B1268" s="2819" t="str">
        <f aca="false">дома!A2059</f>
        <v>Нет саморезов</v>
      </c>
      <c r="C1268" s="2820" t="str">
        <f aca="false">дома!B2059</f>
        <v>кг</v>
      </c>
      <c r="D1268" s="369" t="n">
        <f aca="false">дома!C2059</f>
        <v>0</v>
      </c>
      <c r="E1268" s="2821" t="n">
        <f aca="false">дома!D2059</f>
        <v>0</v>
      </c>
      <c r="F1268" s="2821"/>
      <c r="G1268" s="122" t="n">
        <f aca="false">IF(F1268&gt;0,D1268*F1268,E1268*D1268)</f>
        <v>0</v>
      </c>
      <c r="H1268" s="2822" t="n">
        <f aca="false">D1268*E1268*$H$1250</f>
        <v>0</v>
      </c>
      <c r="I1268" s="2784" t="n">
        <f aca="false">IF(G1268&gt;H1268,G1268,H1268)*$H$1249</f>
        <v>0</v>
      </c>
      <c r="J1268" s="2744"/>
      <c r="K1268" s="226" t="n">
        <f aca="false">D1268-J1268</f>
        <v>0</v>
      </c>
      <c r="L1268" s="2736"/>
    </row>
    <row r="1269" customFormat="false" ht="15.5" hidden="false" customHeight="false" outlineLevel="0" collapsed="false">
      <c r="A1269" s="2719"/>
      <c r="B1269" s="2819" t="str">
        <f aca="false">дома!A2060</f>
        <v>Гвозди строительные 2,5 x 60</v>
      </c>
      <c r="C1269" s="2820" t="str">
        <f aca="false">дома!B2060</f>
        <v>кг</v>
      </c>
      <c r="D1269" s="369" t="n">
        <f aca="false">дома!C2060</f>
        <v>0</v>
      </c>
      <c r="E1269" s="2821" t="n">
        <f aca="false">дома!D2060</f>
        <v>70</v>
      </c>
      <c r="F1269" s="2821"/>
      <c r="G1269" s="122" t="n">
        <f aca="false">IF(F1269&gt;0,D1269*F1269,E1269*D1269)</f>
        <v>0</v>
      </c>
      <c r="H1269" s="2822" t="n">
        <f aca="false">D1269*E1269*$H$1250</f>
        <v>0</v>
      </c>
      <c r="I1269" s="2784" t="n">
        <f aca="false">IF(G1269&gt;H1269,G1269,H1269)*$H$1249</f>
        <v>0</v>
      </c>
      <c r="J1269" s="2744"/>
      <c r="K1269" s="226" t="n">
        <f aca="false">D1269-J1269</f>
        <v>0</v>
      </c>
      <c r="L1269" s="2736"/>
    </row>
    <row r="1270" customFormat="false" ht="15.5" hidden="false" customHeight="false" outlineLevel="0" collapsed="false">
      <c r="A1270" s="2719"/>
      <c r="B1270" s="2819" t="str">
        <f aca="false">дома!A2061</f>
        <v>Гвозди ершоные 3,4 x 60</v>
      </c>
      <c r="C1270" s="2820" t="str">
        <f aca="false">дома!B2061</f>
        <v>кг</v>
      </c>
      <c r="D1270" s="369" t="n">
        <f aca="false">дома!C2061</f>
        <v>0</v>
      </c>
      <c r="E1270" s="2821" t="n">
        <f aca="false">дома!D2061</f>
        <v>75.51</v>
      </c>
      <c r="F1270" s="2821"/>
      <c r="G1270" s="122" t="n">
        <f aca="false">IF(F1270&gt;0,D1270*F1270,E1270*D1270)</f>
        <v>0</v>
      </c>
      <c r="H1270" s="2822" t="n">
        <f aca="false">D1270*E1270*$H$1250</f>
        <v>0</v>
      </c>
      <c r="I1270" s="2784" t="n">
        <f aca="false">IF(G1270&gt;H1270,G1270,H1270)*$H$1249</f>
        <v>0</v>
      </c>
      <c r="J1270" s="2744"/>
      <c r="K1270" s="226" t="n">
        <f aca="false">D1270-J1270</f>
        <v>0</v>
      </c>
      <c r="L1270" s="2736"/>
    </row>
    <row r="1271" customFormat="false" ht="15.5" hidden="false" customHeight="false" outlineLevel="0" collapsed="false">
      <c r="A1271" s="2719"/>
      <c r="B1271" s="2819" t="str">
        <f aca="false">дома!A2076</f>
        <v>Гидроизоляция жидкая резина 1</v>
      </c>
      <c r="C1271" s="2820" t="str">
        <f aca="false">дома!B2076</f>
        <v>кг</v>
      </c>
      <c r="D1271" s="369" t="n">
        <f aca="false">дома!C2076</f>
        <v>0</v>
      </c>
      <c r="E1271" s="2821" t="n">
        <f aca="false">дома!D2076</f>
        <v>150</v>
      </c>
      <c r="F1271" s="2821"/>
      <c r="G1271" s="122" t="n">
        <f aca="false">IF(F1271&gt;0,D1271*F1271,E1271*D1271)</f>
        <v>0</v>
      </c>
      <c r="H1271" s="2822" t="n">
        <f aca="false">D1271*E1271*$H$1250</f>
        <v>0</v>
      </c>
      <c r="I1271" s="2784" t="n">
        <f aca="false">IF(G1271&gt;H1271,G1271,H1271)*$H$1249</f>
        <v>0</v>
      </c>
      <c r="J1271" s="2744"/>
      <c r="K1271" s="226" t="n">
        <f aca="false">D1271-J1271</f>
        <v>0</v>
      </c>
      <c r="L1271" s="2736"/>
    </row>
    <row r="1272" customFormat="false" ht="15.5" hidden="false" customHeight="false" outlineLevel="0" collapsed="false">
      <c r="A1272" s="2719"/>
      <c r="B1272" s="2819" t="str">
        <f aca="false">дома!A2077</f>
        <v>Kronospan - OSB-3, 22мм</v>
      </c>
      <c r="C1272" s="2820" t="str">
        <f aca="false">дома!B2077</f>
        <v>м2</v>
      </c>
      <c r="D1272" s="369" t="n">
        <f aca="false">дома!C2077</f>
        <v>0</v>
      </c>
      <c r="E1272" s="2821" t="n">
        <f aca="false">дома!D2077</f>
        <v>526.666666666667</v>
      </c>
      <c r="F1272" s="2821"/>
      <c r="G1272" s="122" t="n">
        <f aca="false">IF(F1272&gt;0,D1272*F1272,E1272*D1272)</f>
        <v>0</v>
      </c>
      <c r="H1272" s="2822" t="n">
        <f aca="false">D1272*E1272*$H$1250</f>
        <v>0</v>
      </c>
      <c r="I1272" s="2784" t="n">
        <f aca="false">IF(G1272&gt;H1272,G1272,H1272)*$H$1249</f>
        <v>0</v>
      </c>
      <c r="J1272" s="2744"/>
      <c r="K1272" s="226" t="n">
        <f aca="false">D1272-J1272</f>
        <v>0</v>
      </c>
      <c r="L1272" s="2736"/>
    </row>
    <row r="1273" customFormat="false" ht="15.5" hidden="false" customHeight="false" outlineLevel="0" collapsed="false">
      <c r="A1273" s="2719"/>
      <c r="B1273" s="2819" t="str">
        <f aca="false">дома!A2078</f>
        <v>Проф.брус вл. 200*150мм</v>
      </c>
      <c r="C1273" s="2820" t="str">
        <f aca="false">дома!B2078</f>
        <v>м3</v>
      </c>
      <c r="D1273" s="369" t="n">
        <f aca="false">дома!C2078</f>
        <v>0.09</v>
      </c>
      <c r="E1273" s="2821" t="n">
        <f aca="false">дома!D2078</f>
        <v>9300</v>
      </c>
      <c r="F1273" s="2821"/>
      <c r="G1273" s="122" t="n">
        <f aca="false">IF(F1273&gt;0,D1273*F1273,E1273*D1273)</f>
        <v>837</v>
      </c>
      <c r="H1273" s="2822" t="n">
        <f aca="false">D1273*E1273*$H$1250</f>
        <v>0</v>
      </c>
      <c r="I1273" s="2784" t="n">
        <f aca="false">IF(G1273&gt;H1273,G1273,H1273)*$H$1249</f>
        <v>0</v>
      </c>
      <c r="J1273" s="2744"/>
      <c r="K1273" s="226" t="n">
        <f aca="false">D1273-J1273</f>
        <v>0.09</v>
      </c>
      <c r="L1273" s="2736"/>
    </row>
    <row r="1274" customFormat="false" ht="15.5" hidden="false" customHeight="false" outlineLevel="0" collapsed="false">
      <c r="A1274" s="2719"/>
      <c r="B1274" s="2819" t="str">
        <f aca="false">дома!A2079</f>
        <v>Брус клееный проф 2 ламель кедр Шир. 240 выс. 140</v>
      </c>
      <c r="C1274" s="2820" t="str">
        <f aca="false">дома!B2079</f>
        <v>м3</v>
      </c>
      <c r="D1274" s="369" t="n">
        <f aca="false">дома!C2079</f>
        <v>0.12096</v>
      </c>
      <c r="E1274" s="2821" t="n">
        <f aca="false">дома!D2079</f>
        <v>24000</v>
      </c>
      <c r="F1274" s="2821"/>
      <c r="G1274" s="122" t="n">
        <f aca="false">IF(F1274&gt;0,D1274*F1274,E1274*D1274)</f>
        <v>2903.04</v>
      </c>
      <c r="H1274" s="2822" t="n">
        <f aca="false">D1274*E1274*$H$1250</f>
        <v>0</v>
      </c>
      <c r="I1274" s="2784" t="n">
        <f aca="false">IF(G1274&gt;H1274,G1274,H1274)*$H$1249</f>
        <v>0</v>
      </c>
      <c r="J1274" s="2744"/>
      <c r="K1274" s="226" t="n">
        <f aca="false">D1274-J1274</f>
        <v>0.12096</v>
      </c>
      <c r="L1274" s="2736"/>
    </row>
    <row r="1275" customFormat="false" ht="15.5" hidden="false" customHeight="false" outlineLevel="0" collapsed="false">
      <c r="A1275" s="2719"/>
      <c r="B1275" s="2819" t="str">
        <f aca="false">дома!A2080</f>
        <v>Брус клееный проф 1 ламель кедр Шир. 240 выс. 140</v>
      </c>
      <c r="C1275" s="2820" t="str">
        <f aca="false">дома!B2080</f>
        <v>м3</v>
      </c>
      <c r="D1275" s="369" t="n">
        <f aca="false">дома!C2080</f>
        <v>0.4368</v>
      </c>
      <c r="E1275" s="2821" t="n">
        <f aca="false">дома!D2080</f>
        <v>24000</v>
      </c>
      <c r="F1275" s="2821"/>
      <c r="G1275" s="122" t="n">
        <f aca="false">IF(F1275&gt;0,D1275*F1275,E1275*D1275)</f>
        <v>10483.2</v>
      </c>
      <c r="H1275" s="2822" t="n">
        <f aca="false">D1275*E1275*$H$1250</f>
        <v>0</v>
      </c>
      <c r="I1275" s="2784" t="n">
        <f aca="false">IF(G1275&gt;H1275,G1275,H1275)*$H$1249</f>
        <v>0</v>
      </c>
      <c r="J1275" s="2744"/>
      <c r="K1275" s="226" t="n">
        <f aca="false">D1275-J1275</f>
        <v>0.4368</v>
      </c>
      <c r="L1275" s="2736"/>
    </row>
    <row r="1276" customFormat="false" ht="15.5" hidden="false" customHeight="false" outlineLevel="0" collapsed="false">
      <c r="A1276" s="2719"/>
      <c r="B1276" s="2819" t="str">
        <f aca="false">дома!A2081</f>
        <v>Клееная накладка на перила шир 240мм</v>
      </c>
      <c r="C1276" s="2820" t="str">
        <f aca="false">дома!B2081</f>
        <v>м.п.</v>
      </c>
      <c r="D1276" s="369" t="n">
        <f aca="false">дома!C2081</f>
        <v>3.6</v>
      </c>
      <c r="E1276" s="2821" t="n">
        <f aca="false">дома!D2081</f>
        <v>400</v>
      </c>
      <c r="F1276" s="2821"/>
      <c r="G1276" s="122" t="n">
        <f aca="false">IF(F1276&gt;0,D1276*F1276,E1276*D1276)</f>
        <v>1440</v>
      </c>
      <c r="H1276" s="2822" t="n">
        <f aca="false">D1276*E1276*$H$1250</f>
        <v>0</v>
      </c>
      <c r="I1276" s="2784" t="n">
        <f aca="false">IF(G1276&gt;H1276,G1276,H1276)*$H$1249</f>
        <v>0</v>
      </c>
      <c r="J1276" s="2744"/>
      <c r="K1276" s="226" t="n">
        <f aca="false">D1276-J1276</f>
        <v>3.6</v>
      </c>
      <c r="L1276" s="2736"/>
    </row>
    <row r="1277" customFormat="false" ht="15.5" hidden="false" customHeight="false" outlineLevel="0" collapsed="false">
      <c r="A1277" s="2719"/>
      <c r="B1277" s="2748" t="s">
        <v>4640</v>
      </c>
      <c r="C1277" s="2748"/>
      <c r="D1277" s="2748"/>
      <c r="E1277" s="2748"/>
      <c r="F1277" s="2748"/>
      <c r="G1277" s="85" t="n">
        <f aca="false">SUM(G1251:G1276)*H1249</f>
        <v>0</v>
      </c>
      <c r="H1277" s="85" t="n">
        <f aca="false">SUM(H1251:H1276)</f>
        <v>0</v>
      </c>
      <c r="I1277" s="2784" t="n">
        <f aca="false">IF(G1277&gt;H1277,G1277,H1277)*$H$1249</f>
        <v>0</v>
      </c>
      <c r="J1277" s="2744"/>
      <c r="K1277" s="226" t="n">
        <f aca="false">D1277-J1277</f>
        <v>0</v>
      </c>
      <c r="L1277" s="2736"/>
    </row>
    <row r="1278" customFormat="false" ht="15.5" hidden="false" customHeight="false" outlineLevel="0" collapsed="false">
      <c r="A1278" s="2719"/>
      <c r="B1278" s="2750" t="s">
        <v>1409</v>
      </c>
      <c r="C1278" s="2750"/>
      <c r="D1278" s="2750"/>
      <c r="E1278" s="2750"/>
      <c r="F1278" s="2785"/>
      <c r="G1278" s="905"/>
      <c r="H1278" s="2766" t="n">
        <f aca="false">H1249</f>
        <v>0</v>
      </c>
      <c r="I1278" s="2818" t="n">
        <f aca="false">H1278</f>
        <v>0</v>
      </c>
      <c r="J1278" s="2752"/>
      <c r="K1278" s="2753"/>
    </row>
    <row r="1279" customFormat="false" ht="15.5" hidden="false" customHeight="false" outlineLevel="0" collapsed="false">
      <c r="A1279" s="2712"/>
      <c r="B1279" s="122" t="str">
        <f aca="false">дома!G2042</f>
        <v>монтаж веранды</v>
      </c>
      <c r="C1279" s="88" t="s">
        <v>133</v>
      </c>
      <c r="D1279" s="122" t="n">
        <f aca="false">дома!J2042</f>
        <v>9</v>
      </c>
      <c r="E1279" s="89" t="n">
        <f aca="false">дома!K2042</f>
        <v>1500</v>
      </c>
      <c r="F1279" s="89"/>
      <c r="G1279" s="122" t="n">
        <f aca="false">IF(F1279&gt;0,D1279*F1279,E1279*D1279)</f>
        <v>13500</v>
      </c>
      <c r="H1279" s="2210" t="n">
        <f aca="false">D1279*E1279*$H$1278</f>
        <v>0</v>
      </c>
      <c r="I1279" s="2718" t="n">
        <f aca="false">IF(G1279&gt;H1279,G1279,H1279)*$H$1249</f>
        <v>0</v>
      </c>
      <c r="J1279" s="2712"/>
      <c r="K1279" s="2719"/>
    </row>
    <row r="1280" customFormat="false" ht="15.5" hidden="false" customHeight="false" outlineLevel="0" collapsed="false">
      <c r="A1280" s="2719"/>
      <c r="B1280" s="122" t="str">
        <f aca="false">дома!G2043</f>
        <v>монтаж лаги, перекрытия</v>
      </c>
      <c r="C1280" s="2765" t="s">
        <v>133</v>
      </c>
      <c r="D1280" s="122" t="n">
        <f aca="false">дома!J2043</f>
        <v>9</v>
      </c>
      <c r="E1280" s="89" t="n">
        <f aca="false">дома!K2043</f>
        <v>300</v>
      </c>
      <c r="F1280" s="89"/>
      <c r="G1280" s="122" t="n">
        <f aca="false">IF(F1280&gt;0,D1280*F1280,E1280*D1280)</f>
        <v>2700</v>
      </c>
      <c r="H1280" s="2210" t="n">
        <f aca="false">D1280*E1280*$H$1278</f>
        <v>0</v>
      </c>
      <c r="I1280" s="2718" t="n">
        <f aca="false">IF(G1280&gt;H1280,G1280,H1280)*$H$1249</f>
        <v>0</v>
      </c>
      <c r="J1280" s="2712"/>
      <c r="K1280" s="2719"/>
    </row>
    <row r="1281" customFormat="false" ht="15.5" hidden="false" customHeight="false" outlineLevel="0" collapsed="false">
      <c r="A1281" s="2719"/>
      <c r="B1281" s="122" t="str">
        <f aca="false">дома!G2044</f>
        <v>Монтаж накладки на перила</v>
      </c>
      <c r="C1281" s="2765" t="s">
        <v>156</v>
      </c>
      <c r="D1281" s="122" t="n">
        <f aca="false">дома!J2044</f>
        <v>9</v>
      </c>
      <c r="E1281" s="89" t="n">
        <f aca="false">дома!K2044</f>
        <v>0</v>
      </c>
      <c r="F1281" s="89"/>
      <c r="G1281" s="122" t="n">
        <f aca="false">IF(F1281&gt;0,D1281*F1281,E1281*D1281)</f>
        <v>0</v>
      </c>
      <c r="H1281" s="2210" t="n">
        <f aca="false">D1281*E1281*$H$1278</f>
        <v>0</v>
      </c>
      <c r="I1281" s="2718" t="n">
        <f aca="false">IF(G1281&gt;H1281,G1281,H1281)*$H$1249</f>
        <v>0</v>
      </c>
      <c r="J1281" s="2712"/>
      <c r="K1281" s="2719"/>
    </row>
    <row r="1282" customFormat="false" ht="15.5" hidden="false" customHeight="false" outlineLevel="0" collapsed="false">
      <c r="A1282" s="2733"/>
      <c r="B1282" s="122" t="str">
        <f aca="false">дома!G2045</f>
        <v>Монтаж перил</v>
      </c>
      <c r="C1282" s="2765" t="s">
        <v>156</v>
      </c>
      <c r="D1282" s="122" t="n">
        <f aca="false">дома!J2045</f>
        <v>9</v>
      </c>
      <c r="E1282" s="89" t="n">
        <f aca="false">дома!K2045</f>
        <v>500</v>
      </c>
      <c r="F1282" s="89"/>
      <c r="G1282" s="122" t="n">
        <f aca="false">IF(F1282&gt;0,D1282*F1282,E1282*D1282)</f>
        <v>4500</v>
      </c>
      <c r="H1282" s="2210" t="n">
        <f aca="false">D1282*E1282*$H$1278</f>
        <v>0</v>
      </c>
      <c r="I1282" s="2718" t="n">
        <f aca="false">IF(G1282&gt;H1282,G1282,H1282)*$H$1249</f>
        <v>0</v>
      </c>
      <c r="J1282" s="2732"/>
      <c r="K1282" s="2733"/>
      <c r="L1282" s="2732"/>
      <c r="M1282" s="2732"/>
      <c r="N1282" s="2732"/>
      <c r="O1282" s="2732"/>
      <c r="P1282" s="2732"/>
      <c r="Q1282" s="2732"/>
      <c r="R1282" s="2732"/>
      <c r="S1282" s="2732"/>
      <c r="T1282" s="2732"/>
      <c r="U1282" s="2732"/>
      <c r="V1282" s="2732"/>
      <c r="W1282" s="2732"/>
      <c r="X1282" s="2732"/>
      <c r="Y1282" s="2732"/>
      <c r="Z1282" s="2732"/>
      <c r="AA1282" s="2732"/>
      <c r="AB1282" s="2732"/>
      <c r="AC1282" s="2732"/>
      <c r="AD1282" s="2732"/>
      <c r="AE1282" s="2732"/>
      <c r="AF1282" s="2732"/>
      <c r="AG1282" s="2732"/>
    </row>
    <row r="1283" customFormat="false" ht="15.5" hidden="false" customHeight="false" outlineLevel="0" collapsed="false">
      <c r="A1283" s="2733"/>
      <c r="B1283" s="122" t="str">
        <f aca="false">дома!G2076</f>
        <v>Гидроизоляция рулонная</v>
      </c>
      <c r="C1283" s="2765" t="s">
        <v>133</v>
      </c>
      <c r="D1283" s="122" t="n">
        <f aca="false">дома!I2076</f>
        <v>0</v>
      </c>
      <c r="E1283" s="89" t="n">
        <f aca="false">дома!J2076</f>
        <v>250</v>
      </c>
      <c r="F1283" s="89"/>
      <c r="G1283" s="122" t="n">
        <f aca="false">IF(F1283&gt;0,D1283*F1283,E1283*D1283)</f>
        <v>0</v>
      </c>
      <c r="H1283" s="2210" t="n">
        <f aca="false">D1283*E1283*$H$1278</f>
        <v>0</v>
      </c>
      <c r="I1283" s="2718" t="n">
        <f aca="false">IF(G1283&gt;H1283,G1283,H1283)*$H$1249</f>
        <v>0</v>
      </c>
      <c r="J1283" s="2732"/>
      <c r="K1283" s="2733"/>
      <c r="L1283" s="2732"/>
      <c r="M1283" s="2732"/>
      <c r="N1283" s="2732"/>
      <c r="O1283" s="2732"/>
      <c r="P1283" s="2732"/>
      <c r="Q1283" s="2732"/>
      <c r="R1283" s="2732"/>
      <c r="S1283" s="2732"/>
      <c r="T1283" s="2732"/>
      <c r="U1283" s="2732"/>
      <c r="V1283" s="2732"/>
      <c r="W1283" s="2732"/>
      <c r="X1283" s="2732"/>
      <c r="Y1283" s="2732"/>
      <c r="Z1283" s="2732"/>
      <c r="AA1283" s="2732"/>
      <c r="AB1283" s="2732"/>
      <c r="AC1283" s="2732"/>
      <c r="AD1283" s="2732"/>
      <c r="AE1283" s="2732"/>
      <c r="AF1283" s="2732"/>
      <c r="AG1283" s="2732"/>
    </row>
    <row r="1284" customFormat="false" ht="15.5" hidden="false" customHeight="false" outlineLevel="0" collapsed="false">
      <c r="A1284" s="2733"/>
      <c r="B1284" s="122" t="str">
        <f aca="false">дома!G2077</f>
        <v>монтаж OSB пол</v>
      </c>
      <c r="C1284" s="2765" t="s">
        <v>133</v>
      </c>
      <c r="D1284" s="122" t="n">
        <f aca="false">дома!I2077</f>
        <v>0</v>
      </c>
      <c r="E1284" s="89" t="n">
        <f aca="false">дома!J2077</f>
        <v>250</v>
      </c>
      <c r="F1284" s="89"/>
      <c r="G1284" s="122" t="n">
        <f aca="false">IF(F1284&gt;0,D1284*F1284,E1284*D1284)</f>
        <v>0</v>
      </c>
      <c r="H1284" s="2210" t="n">
        <f aca="false">D1284*E1284*$H$1278</f>
        <v>0</v>
      </c>
      <c r="I1284" s="2718" t="n">
        <f aca="false">IF(G1284&gt;H1284,G1284,H1284)*$H$1249</f>
        <v>0</v>
      </c>
      <c r="J1284" s="2732"/>
      <c r="K1284" s="2733"/>
      <c r="L1284" s="2732"/>
      <c r="M1284" s="2732"/>
      <c r="N1284" s="2732"/>
      <c r="O1284" s="2732"/>
      <c r="P1284" s="2732"/>
      <c r="Q1284" s="2732"/>
      <c r="R1284" s="2732"/>
      <c r="S1284" s="2732"/>
      <c r="T1284" s="2732"/>
      <c r="U1284" s="2732"/>
      <c r="V1284" s="2732"/>
      <c r="W1284" s="2732"/>
      <c r="X1284" s="2732"/>
      <c r="Y1284" s="2732"/>
      <c r="Z1284" s="2732"/>
      <c r="AA1284" s="2732"/>
      <c r="AB1284" s="2732"/>
      <c r="AC1284" s="2732"/>
      <c r="AD1284" s="2732"/>
      <c r="AE1284" s="2732"/>
      <c r="AF1284" s="2732"/>
      <c r="AG1284" s="2732"/>
    </row>
    <row r="1285" customFormat="false" ht="15.5" hidden="false" customHeight="false" outlineLevel="0" collapsed="false">
      <c r="A1285" s="2733"/>
      <c r="B1285" s="122" t="str">
        <f aca="false">дома!G2078</f>
        <v>Монтаж перил</v>
      </c>
      <c r="C1285" s="2765" t="s">
        <v>156</v>
      </c>
      <c r="D1285" s="122" t="n">
        <f aca="false">дома!I2078</f>
        <v>3.6</v>
      </c>
      <c r="E1285" s="89" t="n">
        <f aca="false">дома!J2078</f>
        <v>500</v>
      </c>
      <c r="F1285" s="89"/>
      <c r="G1285" s="122" t="n">
        <f aca="false">IF(F1285&gt;0,D1285*F1285,E1285*D1285)</f>
        <v>1800</v>
      </c>
      <c r="H1285" s="2210" t="n">
        <f aca="false">D1285*E1285*$H$1278</f>
        <v>0</v>
      </c>
      <c r="I1285" s="2718" t="n">
        <f aca="false">IF(G1285&gt;H1285,G1285,H1285)*$H$1249</f>
        <v>0</v>
      </c>
      <c r="J1285" s="2732"/>
      <c r="K1285" s="2733"/>
      <c r="L1285" s="2732"/>
      <c r="M1285" s="2732"/>
      <c r="N1285" s="2732"/>
      <c r="O1285" s="2732"/>
      <c r="P1285" s="2732"/>
      <c r="Q1285" s="2732"/>
      <c r="R1285" s="2732"/>
      <c r="S1285" s="2732"/>
      <c r="T1285" s="2732"/>
      <c r="U1285" s="2732"/>
      <c r="V1285" s="2732"/>
      <c r="W1285" s="2732"/>
      <c r="X1285" s="2732"/>
      <c r="Y1285" s="2732"/>
      <c r="Z1285" s="2732"/>
      <c r="AA1285" s="2732"/>
      <c r="AB1285" s="2732"/>
      <c r="AC1285" s="2732"/>
      <c r="AD1285" s="2732"/>
      <c r="AE1285" s="2732"/>
      <c r="AF1285" s="2732"/>
      <c r="AG1285" s="2732"/>
    </row>
    <row r="1286" customFormat="false" ht="15.5" hidden="false" customHeight="false" outlineLevel="0" collapsed="false">
      <c r="A1286" s="2733"/>
      <c r="B1286" s="122" t="str">
        <f aca="false">дома!G2079</f>
        <v>Монтаж накладки на перила</v>
      </c>
      <c r="C1286" s="2765" t="s">
        <v>156</v>
      </c>
      <c r="D1286" s="122" t="n">
        <f aca="false">дома!I2079</f>
        <v>3.6</v>
      </c>
      <c r="E1286" s="89" t="n">
        <f aca="false">дома!J2079</f>
        <v>0</v>
      </c>
      <c r="F1286" s="89"/>
      <c r="G1286" s="122" t="n">
        <f aca="false">IF(F1286&gt;0,D1286*F1286,E1286*D1286)</f>
        <v>0</v>
      </c>
      <c r="H1286" s="2210" t="n">
        <f aca="false">D1286*E1286*$H$1278</f>
        <v>0</v>
      </c>
      <c r="I1286" s="2718" t="n">
        <f aca="false">IF(G1286&gt;H1286,G1286,H1286)*$H$1249</f>
        <v>0</v>
      </c>
      <c r="J1286" s="2732"/>
      <c r="K1286" s="2733"/>
      <c r="L1286" s="2732"/>
      <c r="M1286" s="2732"/>
      <c r="N1286" s="2732"/>
      <c r="O1286" s="2732"/>
      <c r="P1286" s="2732"/>
      <c r="Q1286" s="2732"/>
      <c r="R1286" s="2732"/>
      <c r="S1286" s="2732"/>
      <c r="T1286" s="2732"/>
      <c r="U1286" s="2732"/>
      <c r="V1286" s="2732"/>
      <c r="W1286" s="2732"/>
      <c r="X1286" s="2732"/>
      <c r="Y1286" s="2732"/>
      <c r="Z1286" s="2732"/>
      <c r="AA1286" s="2732"/>
      <c r="AB1286" s="2732"/>
      <c r="AC1286" s="2732"/>
      <c r="AD1286" s="2732"/>
      <c r="AE1286" s="2732"/>
      <c r="AF1286" s="2732"/>
      <c r="AG1286" s="2732"/>
    </row>
    <row r="1287" customFormat="false" ht="15.5" hidden="false" customHeight="false" outlineLevel="0" collapsed="false">
      <c r="A1287" s="2733"/>
      <c r="B1287" s="122" t="str">
        <f aca="false">дома!G2080</f>
        <v>монтаж веранды/крыльцо</v>
      </c>
      <c r="C1287" s="2765" t="s">
        <v>133</v>
      </c>
      <c r="D1287" s="122" t="n">
        <f aca="false">дома!I2080</f>
        <v>0</v>
      </c>
      <c r="E1287" s="89" t="n">
        <f aca="false">дома!J2080</f>
        <v>1500</v>
      </c>
      <c r="F1287" s="89"/>
      <c r="G1287" s="122" t="n">
        <f aca="false">IF(F1287&gt;0,D1287*F1287,E1287*D1287)</f>
        <v>0</v>
      </c>
      <c r="H1287" s="2210" t="n">
        <f aca="false">D1287*E1287*$H$1278</f>
        <v>0</v>
      </c>
      <c r="I1287" s="2718" t="n">
        <f aca="false">IF(G1287&gt;H1287,G1287,H1287)*$H$1249</f>
        <v>0</v>
      </c>
      <c r="J1287" s="2732"/>
      <c r="K1287" s="2733"/>
      <c r="L1287" s="2732"/>
      <c r="M1287" s="2732"/>
      <c r="N1287" s="2732"/>
      <c r="O1287" s="2732"/>
      <c r="P1287" s="2732"/>
      <c r="Q1287" s="2732"/>
      <c r="R1287" s="2732"/>
      <c r="S1287" s="2732"/>
      <c r="T1287" s="2732"/>
      <c r="U1287" s="2732"/>
      <c r="V1287" s="2732"/>
      <c r="W1287" s="2732"/>
      <c r="X1287" s="2732"/>
      <c r="Y1287" s="2732"/>
      <c r="Z1287" s="2732"/>
      <c r="AA1287" s="2732"/>
      <c r="AB1287" s="2732"/>
      <c r="AC1287" s="2732"/>
      <c r="AD1287" s="2732"/>
      <c r="AE1287" s="2732"/>
      <c r="AF1287" s="2732"/>
      <c r="AG1287" s="2732"/>
    </row>
    <row r="1288" customFormat="false" ht="15.5" hidden="false" customHeight="false" outlineLevel="0" collapsed="false">
      <c r="A1288" s="2733"/>
      <c r="B1288" s="2748" t="s">
        <v>4641</v>
      </c>
      <c r="C1288" s="2748"/>
      <c r="D1288" s="2748"/>
      <c r="E1288" s="2748"/>
      <c r="F1288" s="2748"/>
      <c r="G1288" s="2210" t="n">
        <f aca="false">SUM(G1279:G1287)*H1278</f>
        <v>0</v>
      </c>
      <c r="H1288" s="2210" t="n">
        <f aca="false">SUM(H1279:H1287)</f>
        <v>0</v>
      </c>
      <c r="I1288" s="2718" t="n">
        <f aca="false">IF(G1288&gt;H1288,G1288,H1288)*$H$1249</f>
        <v>0</v>
      </c>
      <c r="J1288" s="2732"/>
      <c r="K1288" s="2733"/>
      <c r="L1288" s="2732"/>
      <c r="M1288" s="2732"/>
      <c r="N1288" s="2732"/>
      <c r="O1288" s="2732"/>
      <c r="P1288" s="2732"/>
      <c r="Q1288" s="2732"/>
      <c r="R1288" s="2732"/>
      <c r="S1288" s="2732"/>
      <c r="T1288" s="2732"/>
      <c r="U1288" s="2732"/>
      <c r="V1288" s="2732"/>
      <c r="W1288" s="2732"/>
      <c r="X1288" s="2732"/>
      <c r="Y1288" s="2732"/>
      <c r="Z1288" s="2732"/>
      <c r="AA1288" s="2732"/>
      <c r="AB1288" s="2732"/>
      <c r="AC1288" s="2732"/>
      <c r="AD1288" s="2732"/>
      <c r="AE1288" s="2732"/>
      <c r="AF1288" s="2732"/>
      <c r="AG1288" s="2732"/>
    </row>
    <row r="1289" s="296" customFormat="true" ht="21" hidden="false" customHeight="false" outlineLevel="0" collapsed="false">
      <c r="B1289" s="2762" t="s">
        <v>2122</v>
      </c>
      <c r="C1289" s="2762"/>
      <c r="D1289" s="2762"/>
      <c r="E1289" s="2762"/>
      <c r="F1289" s="2823"/>
      <c r="G1289" s="905"/>
      <c r="H1289" s="2770" t="n">
        <f aca="false">VLOOKUP('Ввод данных'!F693,связи1!A2:B3,2,0)</f>
        <v>0</v>
      </c>
      <c r="I1289" s="2818" t="n">
        <f aca="false">H1289</f>
        <v>0</v>
      </c>
    </row>
    <row r="1290" s="296" customFormat="true" ht="15.5" hidden="false" customHeight="false" outlineLevel="0" collapsed="false">
      <c r="B1290" s="2775" t="s">
        <v>2720</v>
      </c>
      <c r="C1290" s="2775"/>
      <c r="D1290" s="2775"/>
      <c r="E1290" s="2775"/>
      <c r="F1290" s="2498"/>
      <c r="G1290" s="905"/>
      <c r="H1290" s="2770" t="n">
        <f aca="false">H1289</f>
        <v>0</v>
      </c>
      <c r="I1290" s="2818" t="n">
        <f aca="false">H1290</f>
        <v>0</v>
      </c>
    </row>
    <row r="1291" s="296" customFormat="true" ht="15.5" hidden="false" customHeight="false" outlineLevel="0" collapsed="false">
      <c r="B1291" s="639" t="str">
        <f aca="false">дома!A2320</f>
        <v>Листв. влаж, 150*150мм</v>
      </c>
      <c r="C1291" s="238" t="str">
        <f aca="false">дома!B2320</f>
        <v>м3</v>
      </c>
      <c r="D1291" s="245" t="n">
        <f aca="false">дома!C2320</f>
        <v>0.084</v>
      </c>
      <c r="E1291" s="23" t="n">
        <f aca="false">дома!D2320</f>
        <v>8500</v>
      </c>
      <c r="F1291" s="23"/>
      <c r="G1291" s="122" t="n">
        <f aca="false">IF(F1291&gt;0,D1291*F1291,E1291*D1291)</f>
        <v>714</v>
      </c>
      <c r="H1291" s="2210" t="n">
        <f aca="false">D1291*E1291*$H$1289</f>
        <v>0</v>
      </c>
      <c r="I1291" s="2784" t="n">
        <f aca="false">IF(G1291&gt;H1291,G1291,H1291)*$H$1289</f>
        <v>0</v>
      </c>
      <c r="J1291" s="2744"/>
      <c r="K1291" s="226" t="n">
        <f aca="false">D1291-J1291</f>
        <v>0.084</v>
      </c>
    </row>
    <row r="1292" s="296" customFormat="true" ht="15.5" hidden="false" customHeight="false" outlineLevel="0" collapsed="false">
      <c r="B1292" s="639" t="str">
        <f aca="false">дома!A2321</f>
        <v>Листв. влаж, 150*100мм</v>
      </c>
      <c r="C1292" s="238" t="str">
        <f aca="false">дома!B2321</f>
        <v>м3</v>
      </c>
      <c r="D1292" s="245" t="n">
        <f aca="false">дома!C2321</f>
        <v>0.09</v>
      </c>
      <c r="E1292" s="23" t="n">
        <f aca="false">дома!D2321</f>
        <v>8500</v>
      </c>
      <c r="F1292" s="23"/>
      <c r="G1292" s="122" t="n">
        <f aca="false">IF(F1292&gt;0,D1292*F1292,E1292*D1292)</f>
        <v>765</v>
      </c>
      <c r="H1292" s="2210" t="n">
        <f aca="false">D1292*E1292*$H$1289</f>
        <v>0</v>
      </c>
      <c r="I1292" s="2784" t="n">
        <f aca="false">IF(G1292&gt;H1292,G1292,H1292)*$H$1289</f>
        <v>0</v>
      </c>
      <c r="J1292" s="2744"/>
      <c r="K1292" s="226" t="n">
        <f aca="false">D1292-J1292</f>
        <v>0.09</v>
      </c>
    </row>
    <row r="1293" s="296" customFormat="true" ht="15.5" hidden="false" customHeight="false" outlineLevel="0" collapsed="false">
      <c r="B1293" s="639" t="str">
        <f aca="false">дома!A2322</f>
        <v>Сосна влаж, 150*100мм</v>
      </c>
      <c r="C1293" s="238" t="str">
        <f aca="false">дома!B2322</f>
        <v>м3</v>
      </c>
      <c r="D1293" s="245" t="n">
        <f aca="false">дома!C2322</f>
        <v>0.075</v>
      </c>
      <c r="E1293" s="23" t="n">
        <f aca="false">дома!D2322</f>
        <v>6500</v>
      </c>
      <c r="F1293" s="23"/>
      <c r="G1293" s="122" t="n">
        <f aca="false">IF(F1293&gt;0,D1293*F1293,E1293*D1293)</f>
        <v>487.5</v>
      </c>
      <c r="H1293" s="2210" t="n">
        <f aca="false">D1293*E1293*$H$1289</f>
        <v>0</v>
      </c>
      <c r="I1293" s="2784" t="n">
        <f aca="false">IF(G1293&gt;H1293,G1293,H1293)*$H$1289</f>
        <v>0</v>
      </c>
      <c r="J1293" s="2744"/>
      <c r="K1293" s="226" t="n">
        <f aca="false">D1293-J1293</f>
        <v>0.075</v>
      </c>
    </row>
    <row r="1294" s="296" customFormat="true" ht="15.5" hidden="false" customHeight="false" outlineLevel="0" collapsed="false">
      <c r="B1294" s="639" t="str">
        <f aca="false">дома!A2323</f>
        <v>Нет</v>
      </c>
      <c r="C1294" s="238" t="str">
        <f aca="false">дома!B2323</f>
        <v>м3</v>
      </c>
      <c r="D1294" s="245" t="n">
        <f aca="false">дома!C2323</f>
        <v>11.5</v>
      </c>
      <c r="E1294" s="23" t="n">
        <f aca="false">дома!D2323</f>
        <v>0</v>
      </c>
      <c r="F1294" s="23"/>
      <c r="G1294" s="122" t="n">
        <f aca="false">IF(F1294&gt;0,D1294*F1294,E1294*D1294)</f>
        <v>0</v>
      </c>
      <c r="H1294" s="2210" t="n">
        <f aca="false">D1294*E1294*$H$1289</f>
        <v>0</v>
      </c>
      <c r="I1294" s="2784" t="n">
        <f aca="false">IF(G1294&gt;H1294,G1294,H1294)*$H$1289</f>
        <v>0</v>
      </c>
      <c r="J1294" s="2744"/>
      <c r="K1294" s="226" t="n">
        <f aca="false">D1294-J1294</f>
        <v>11.5</v>
      </c>
    </row>
    <row r="1295" s="296" customFormat="true" ht="15.5" hidden="false" customHeight="false" outlineLevel="0" collapsed="false">
      <c r="B1295" s="639" t="str">
        <f aca="false">дома!A2324</f>
        <v>Брус клееный проф 2 ламель кедр Шир. 240 выс. 140</v>
      </c>
      <c r="C1295" s="238" t="str">
        <f aca="false">дома!B2324</f>
        <v>м3</v>
      </c>
      <c r="D1295" s="245" t="n">
        <f aca="false">дома!C2324</f>
        <v>0.168</v>
      </c>
      <c r="E1295" s="23" t="n">
        <f aca="false">дома!D2324</f>
        <v>24000</v>
      </c>
      <c r="F1295" s="23"/>
      <c r="G1295" s="122" t="n">
        <f aca="false">IF(F1295&gt;0,D1295*F1295,E1295*D1295)</f>
        <v>4032</v>
      </c>
      <c r="H1295" s="2210" t="n">
        <f aca="false">D1295*E1295*$H$1289</f>
        <v>0</v>
      </c>
      <c r="I1295" s="2784" t="n">
        <f aca="false">IF(G1295&gt;H1295,G1295,H1295)*$H$1289</f>
        <v>0</v>
      </c>
      <c r="J1295" s="2744"/>
      <c r="K1295" s="226" t="n">
        <f aca="false">D1295-J1295</f>
        <v>0.168</v>
      </c>
    </row>
    <row r="1296" s="296" customFormat="true" ht="15.5" hidden="false" customHeight="false" outlineLevel="0" collapsed="false">
      <c r="B1296" s="639" t="str">
        <f aca="false">дома!A2325</f>
        <v>Брус клееный проф 1 ламель кедр Шир. 240 выс. 140</v>
      </c>
      <c r="C1296" s="238" t="str">
        <f aca="false">дома!B2325</f>
        <v>м3</v>
      </c>
      <c r="D1296" s="245" t="n">
        <f aca="false">дома!C2325</f>
        <v>0.336</v>
      </c>
      <c r="E1296" s="23" t="n">
        <f aca="false">дома!D2325</f>
        <v>24000</v>
      </c>
      <c r="F1296" s="23"/>
      <c r="G1296" s="122" t="n">
        <f aca="false">IF(F1296&gt;0,D1296*F1296,E1296*D1296)</f>
        <v>8064</v>
      </c>
      <c r="H1296" s="2210" t="n">
        <f aca="false">D1296*E1296*$H$1289</f>
        <v>0</v>
      </c>
      <c r="I1296" s="2784" t="n">
        <f aca="false">IF(G1296&gt;H1296,G1296,H1296)*$H$1289</f>
        <v>0</v>
      </c>
      <c r="J1296" s="2744"/>
      <c r="K1296" s="226" t="n">
        <f aca="false">D1296-J1296</f>
        <v>0.336</v>
      </c>
    </row>
    <row r="1297" s="296" customFormat="true" ht="15.5" hidden="false" customHeight="false" outlineLevel="0" collapsed="false">
      <c r="B1297" s="639" t="str">
        <f aca="false">дома!A2326</f>
        <v>Нет накладки</v>
      </c>
      <c r="C1297" s="238" t="str">
        <f aca="false">дома!B2326</f>
        <v>м.п.</v>
      </c>
      <c r="D1297" s="245" t="n">
        <f aca="false">дома!C2326</f>
        <v>5</v>
      </c>
      <c r="E1297" s="23" t="n">
        <f aca="false">дома!D2326</f>
        <v>0</v>
      </c>
      <c r="F1297" s="23"/>
      <c r="G1297" s="122" t="n">
        <f aca="false">IF(F1297&gt;0,D1297*F1297,E1297*D1297)</f>
        <v>0</v>
      </c>
      <c r="H1297" s="2210" t="n">
        <f aca="false">D1297*E1297*$H$1289</f>
        <v>0</v>
      </c>
      <c r="I1297" s="2784" t="n">
        <f aca="false">IF(G1297&gt;H1297,G1297,H1297)*$H$1289</f>
        <v>0</v>
      </c>
      <c r="J1297" s="2744"/>
      <c r="K1297" s="226" t="n">
        <f aca="false">D1297-J1297</f>
        <v>5</v>
      </c>
    </row>
    <row r="1298" s="296" customFormat="true" ht="15.5" hidden="false" customHeight="false" outlineLevel="0" collapsed="false">
      <c r="B1298" s="639" t="str">
        <f aca="false">дома!A2327</f>
        <v>Листв. влаж, 200*200мм</v>
      </c>
      <c r="C1298" s="238" t="str">
        <f aca="false">дома!B2327</f>
        <v>м3</v>
      </c>
      <c r="D1298" s="245" t="n">
        <f aca="false">дома!C2327</f>
        <v>0.32</v>
      </c>
      <c r="E1298" s="23" t="n">
        <f aca="false">дома!D2327</f>
        <v>9000</v>
      </c>
      <c r="F1298" s="23"/>
      <c r="G1298" s="122" t="n">
        <f aca="false">IF(F1298&gt;0,D1298*F1298,E1298*D1298)</f>
        <v>2880</v>
      </c>
      <c r="H1298" s="2210" t="n">
        <f aca="false">D1298*E1298*$H$1289</f>
        <v>0</v>
      </c>
      <c r="I1298" s="2784" t="n">
        <f aca="false">IF(G1298&gt;H1298,G1298,H1298)*$H$1289</f>
        <v>0</v>
      </c>
      <c r="J1298" s="2744"/>
      <c r="K1298" s="226" t="n">
        <f aca="false">D1298-J1298</f>
        <v>0.32</v>
      </c>
    </row>
    <row r="1299" s="296" customFormat="true" ht="15.5" hidden="false" customHeight="false" outlineLevel="0" collapsed="false">
      <c r="B1299" s="639" t="str">
        <f aca="false">дома!A2328</f>
        <v>Уголок усиленный 90х70х55х2,5</v>
      </c>
      <c r="C1299" s="238" t="str">
        <f aca="false">дома!B2328</f>
        <v>шт</v>
      </c>
      <c r="D1299" s="245" t="n">
        <f aca="false">дома!C2328</f>
        <v>6</v>
      </c>
      <c r="E1299" s="23" t="n">
        <f aca="false">дома!D2328</f>
        <v>30</v>
      </c>
      <c r="F1299" s="23"/>
      <c r="G1299" s="122" t="n">
        <f aca="false">IF(F1299&gt;0,D1299*F1299,E1299*D1299)</f>
        <v>180</v>
      </c>
      <c r="H1299" s="2210" t="n">
        <f aca="false">D1299*E1299*$H$1289</f>
        <v>0</v>
      </c>
      <c r="I1299" s="2784" t="n">
        <f aca="false">IF(G1299&gt;H1299,G1299,H1299)*$H$1289</f>
        <v>0</v>
      </c>
      <c r="J1299" s="2744"/>
      <c r="K1299" s="226" t="n">
        <f aca="false">D1299-J1299</f>
        <v>6</v>
      </c>
    </row>
    <row r="1300" s="296" customFormat="true" ht="15.5" hidden="false" customHeight="false" outlineLevel="0" collapsed="false">
      <c r="B1300" s="639" t="str">
        <f aca="false">дома!A2329</f>
        <v>Нет уголков</v>
      </c>
      <c r="C1300" s="238" t="str">
        <f aca="false">дома!B2329</f>
        <v>шт</v>
      </c>
      <c r="D1300" s="245" t="n">
        <f aca="false">дома!C2329</f>
        <v>0</v>
      </c>
      <c r="E1300" s="23" t="n">
        <f aca="false">дома!D2329</f>
        <v>0</v>
      </c>
      <c r="F1300" s="23"/>
      <c r="G1300" s="122" t="n">
        <f aca="false">IF(F1300&gt;0,D1300*F1300,E1300*D1300)</f>
        <v>0</v>
      </c>
      <c r="H1300" s="2210" t="n">
        <f aca="false">D1300*E1300*$H$1289</f>
        <v>0</v>
      </c>
      <c r="I1300" s="2784" t="n">
        <f aca="false">IF(G1300&gt;H1300,G1300,H1300)*$H$1289</f>
        <v>0</v>
      </c>
      <c r="J1300" s="2744"/>
      <c r="K1300" s="226" t="n">
        <f aca="false">D1300-J1300</f>
        <v>0</v>
      </c>
    </row>
    <row r="1301" s="296" customFormat="true" ht="15.5" hidden="false" customHeight="false" outlineLevel="0" collapsed="false">
      <c r="B1301" s="639" t="str">
        <f aca="false">дома!A2330</f>
        <v>Пластина соеденительная 100х240х2</v>
      </c>
      <c r="C1301" s="238" t="str">
        <f aca="false">дома!B2330</f>
        <v>шт</v>
      </c>
      <c r="D1301" s="245" t="n">
        <f aca="false">дома!C2330</f>
        <v>2</v>
      </c>
      <c r="E1301" s="23" t="n">
        <f aca="false">дома!D2330</f>
        <v>31.54</v>
      </c>
      <c r="F1301" s="23"/>
      <c r="G1301" s="122" t="n">
        <f aca="false">IF(F1301&gt;0,D1301*F1301,E1301*D1301)</f>
        <v>63.08</v>
      </c>
      <c r="H1301" s="2210" t="n">
        <f aca="false">D1301*E1301*$H$1289</f>
        <v>0</v>
      </c>
      <c r="I1301" s="2784" t="n">
        <f aca="false">IF(G1301&gt;H1301,G1301,H1301)*$H$1289</f>
        <v>0</v>
      </c>
      <c r="J1301" s="2744"/>
      <c r="K1301" s="226" t="n">
        <f aca="false">D1301-J1301</f>
        <v>2</v>
      </c>
    </row>
    <row r="1302" s="296" customFormat="true" ht="15.5" hidden="false" customHeight="false" outlineLevel="0" collapsed="false">
      <c r="B1302" s="639" t="str">
        <f aca="false">дома!A2331</f>
        <v>Нет пластин</v>
      </c>
      <c r="C1302" s="238" t="str">
        <f aca="false">дома!B2331</f>
        <v>шт</v>
      </c>
      <c r="D1302" s="245" t="n">
        <f aca="false">дома!C2331</f>
        <v>0</v>
      </c>
      <c r="E1302" s="23" t="n">
        <f aca="false">дома!D2331</f>
        <v>0</v>
      </c>
      <c r="F1302" s="23"/>
      <c r="G1302" s="122" t="n">
        <f aca="false">IF(F1302&gt;0,D1302*F1302,E1302*D1302)</f>
        <v>0</v>
      </c>
      <c r="H1302" s="2210" t="n">
        <f aca="false">D1302*E1302*$H$1289</f>
        <v>0</v>
      </c>
      <c r="I1302" s="2784" t="n">
        <f aca="false">IF(G1302&gt;H1302,G1302,H1302)*$H$1289</f>
        <v>0</v>
      </c>
      <c r="J1302" s="2744"/>
      <c r="K1302" s="226" t="n">
        <f aca="false">D1302-J1302</f>
        <v>0</v>
      </c>
    </row>
    <row r="1303" s="296" customFormat="true" ht="15.5" hidden="false" customHeight="false" outlineLevel="0" collapsed="false">
      <c r="B1303" s="639" t="str">
        <f aca="false">дома!A2332</f>
        <v>Болты анкерные с гайкой 12,0 x 100</v>
      </c>
      <c r="C1303" s="238" t="str">
        <f aca="false">дома!B2332</f>
        <v>шт</v>
      </c>
      <c r="D1303" s="245" t="n">
        <f aca="false">дома!C2332</f>
        <v>6</v>
      </c>
      <c r="E1303" s="23" t="n">
        <f aca="false">дома!D2332</f>
        <v>11.2</v>
      </c>
      <c r="F1303" s="23"/>
      <c r="G1303" s="122" t="n">
        <f aca="false">IF(F1303&gt;0,D1303*F1303,E1303*D1303)</f>
        <v>67.2</v>
      </c>
      <c r="H1303" s="2210" t="n">
        <f aca="false">D1303*E1303*$H$1289</f>
        <v>0</v>
      </c>
      <c r="I1303" s="2784" t="n">
        <f aca="false">IF(G1303&gt;H1303,G1303,H1303)*$H$1289</f>
        <v>0</v>
      </c>
      <c r="J1303" s="2744"/>
      <c r="K1303" s="226" t="n">
        <f aca="false">D1303-J1303</f>
        <v>6</v>
      </c>
    </row>
    <row r="1304" s="296" customFormat="true" ht="15.5" hidden="false" customHeight="false" outlineLevel="0" collapsed="false">
      <c r="B1304" s="639" t="str">
        <f aca="false">дома!A2333</f>
        <v>Нет анкерных болтов</v>
      </c>
      <c r="C1304" s="238" t="str">
        <f aca="false">дома!B2333</f>
        <v>шт</v>
      </c>
      <c r="D1304" s="245" t="n">
        <f aca="false">дома!C2333</f>
        <v>0</v>
      </c>
      <c r="E1304" s="23" t="n">
        <f aca="false">дома!D2333</f>
        <v>0</v>
      </c>
      <c r="F1304" s="23"/>
      <c r="G1304" s="122" t="n">
        <f aca="false">IF(F1304&gt;0,D1304*F1304,E1304*D1304)</f>
        <v>0</v>
      </c>
      <c r="H1304" s="2210" t="n">
        <f aca="false">D1304*E1304*$H$1289</f>
        <v>0</v>
      </c>
      <c r="I1304" s="2784" t="n">
        <f aca="false">IF(G1304&gt;H1304,G1304,H1304)*$H$1289</f>
        <v>0</v>
      </c>
      <c r="J1304" s="2744"/>
      <c r="K1304" s="226" t="n">
        <f aca="false">D1304-J1304</f>
        <v>0</v>
      </c>
    </row>
    <row r="1305" s="296" customFormat="true" ht="15.5" hidden="false" customHeight="false" outlineLevel="0" collapsed="false">
      <c r="B1305" s="639" t="str">
        <f aca="false">дома!A2334</f>
        <v>Саморезы 3,5 x 45</v>
      </c>
      <c r="C1305" s="238" t="str">
        <f aca="false">дома!B2334</f>
        <v>кг</v>
      </c>
      <c r="D1305" s="245" t="n">
        <f aca="false">дома!C2334</f>
        <v>0</v>
      </c>
      <c r="E1305" s="23" t="n">
        <f aca="false">дома!D2334</f>
        <v>105.62</v>
      </c>
      <c r="F1305" s="23"/>
      <c r="G1305" s="122" t="n">
        <f aca="false">IF(F1305&gt;0,D1305*F1305,E1305*D1305)</f>
        <v>0</v>
      </c>
      <c r="H1305" s="2210" t="n">
        <f aca="false">D1305*E1305*$H$1289</f>
        <v>0</v>
      </c>
      <c r="I1305" s="2784" t="n">
        <f aca="false">IF(G1305&gt;H1305,G1305,H1305)*$H$1289</f>
        <v>0</v>
      </c>
      <c r="J1305" s="2744"/>
      <c r="K1305" s="226" t="n">
        <f aca="false">D1305-J1305</f>
        <v>0</v>
      </c>
    </row>
    <row r="1306" s="296" customFormat="true" ht="15.5" hidden="false" customHeight="false" outlineLevel="0" collapsed="false">
      <c r="B1306" s="639" t="str">
        <f aca="false">дома!A2335</f>
        <v>Нет саморезов</v>
      </c>
      <c r="C1306" s="238" t="str">
        <f aca="false">дома!B2335</f>
        <v>кг</v>
      </c>
      <c r="D1306" s="245" t="n">
        <f aca="false">дома!C2335</f>
        <v>0</v>
      </c>
      <c r="E1306" s="23" t="n">
        <f aca="false">дома!D2335</f>
        <v>0</v>
      </c>
      <c r="F1306" s="23"/>
      <c r="G1306" s="122" t="n">
        <f aca="false">IF(F1306&gt;0,D1306*F1306,E1306*D1306)</f>
        <v>0</v>
      </c>
      <c r="H1306" s="2210" t="n">
        <f aca="false">D1306*E1306*$H$1289</f>
        <v>0</v>
      </c>
      <c r="I1306" s="2784" t="n">
        <f aca="false">IF(G1306&gt;H1306,G1306,H1306)*$H$1289</f>
        <v>0</v>
      </c>
      <c r="J1306" s="2744"/>
      <c r="K1306" s="226" t="n">
        <f aca="false">D1306-J1306</f>
        <v>0</v>
      </c>
    </row>
    <row r="1307" s="296" customFormat="true" ht="15.5" hidden="false" customHeight="false" outlineLevel="0" collapsed="false">
      <c r="B1307" s="639" t="str">
        <f aca="false">дома!A2336</f>
        <v>Гвозди строительные 2,5 x 60</v>
      </c>
      <c r="C1307" s="238" t="str">
        <f aca="false">дома!B2336</f>
        <v>кг</v>
      </c>
      <c r="D1307" s="245" t="n">
        <f aca="false">дома!C2336</f>
        <v>1</v>
      </c>
      <c r="E1307" s="23" t="n">
        <f aca="false">дома!D2336</f>
        <v>70</v>
      </c>
      <c r="F1307" s="23"/>
      <c r="G1307" s="122" t="n">
        <f aca="false">IF(F1307&gt;0,D1307*F1307,E1307*D1307)</f>
        <v>70</v>
      </c>
      <c r="H1307" s="2210" t="n">
        <f aca="false">D1307*E1307*$H$1289</f>
        <v>0</v>
      </c>
      <c r="I1307" s="2784" t="n">
        <f aca="false">IF(G1307&gt;H1307,G1307,H1307)*$H$1289</f>
        <v>0</v>
      </c>
      <c r="J1307" s="2744"/>
      <c r="K1307" s="226" t="n">
        <f aca="false">D1307-J1307</f>
        <v>1</v>
      </c>
    </row>
    <row r="1308" s="296" customFormat="true" ht="15.5" hidden="false" customHeight="false" outlineLevel="0" collapsed="false">
      <c r="B1308" s="639" t="str">
        <f aca="false">дома!A2337</f>
        <v>Гвозди ершоные 3,4 x 60</v>
      </c>
      <c r="C1308" s="238" t="str">
        <f aca="false">дома!B2337</f>
        <v>кг</v>
      </c>
      <c r="D1308" s="245" t="n">
        <f aca="false">дома!C2337</f>
        <v>1</v>
      </c>
      <c r="E1308" s="23" t="n">
        <f aca="false">дома!D2337</f>
        <v>75.51</v>
      </c>
      <c r="F1308" s="23"/>
      <c r="G1308" s="122" t="n">
        <f aca="false">IF(F1308&gt;0,D1308*F1308,E1308*D1308)</f>
        <v>75.51</v>
      </c>
      <c r="H1308" s="2210" t="n">
        <f aca="false">D1308*E1308*$H$1289</f>
        <v>0</v>
      </c>
      <c r="I1308" s="2784" t="n">
        <f aca="false">IF(G1308&gt;H1308,G1308,H1308)*$H$1289</f>
        <v>0</v>
      </c>
      <c r="J1308" s="2744"/>
      <c r="K1308" s="226" t="n">
        <f aca="false">D1308-J1308</f>
        <v>1</v>
      </c>
    </row>
    <row r="1309" s="296" customFormat="true" ht="15.5" hidden="false" customHeight="false" outlineLevel="0" collapsed="false">
      <c r="B1309" s="2748" t="s">
        <v>4640</v>
      </c>
      <c r="C1309" s="2748"/>
      <c r="D1309" s="2748"/>
      <c r="E1309" s="2748"/>
      <c r="F1309" s="2748"/>
      <c r="G1309" s="2210" t="n">
        <f aca="false">SUM(G1291:G1308)*H1289</f>
        <v>0</v>
      </c>
      <c r="H1309" s="2210" t="n">
        <f aca="false">SUM(H1291:H1308)</f>
        <v>0</v>
      </c>
      <c r="I1309" s="2784" t="n">
        <f aca="false">IF(G1309&gt;H1309,G1309,H1309)*$H$1289</f>
        <v>0</v>
      </c>
      <c r="J1309" s="2744"/>
      <c r="K1309" s="226" t="n">
        <f aca="false">D1309-J1309</f>
        <v>0</v>
      </c>
    </row>
    <row r="1310" s="296" customFormat="true" ht="15.5" hidden="false" customHeight="false" outlineLevel="0" collapsed="false">
      <c r="B1310" s="2750" t="s">
        <v>1409</v>
      </c>
      <c r="C1310" s="2750"/>
      <c r="D1310" s="2750"/>
      <c r="E1310" s="2750"/>
      <c r="F1310" s="2498"/>
      <c r="G1310" s="905"/>
      <c r="H1310" s="2770" t="n">
        <f aca="false">H1289</f>
        <v>0</v>
      </c>
      <c r="I1310" s="2818" t="n">
        <f aca="false">H1310</f>
        <v>0</v>
      </c>
    </row>
    <row r="1311" s="296" customFormat="true" ht="15.5" hidden="false" customHeight="false" outlineLevel="0" collapsed="false">
      <c r="B1311" s="639" t="str">
        <f aca="false">дома!I2320</f>
        <v>монтаж веранды/крыльцо</v>
      </c>
      <c r="C1311" s="238" t="str">
        <f aca="false">дома!J2320</f>
        <v>м2</v>
      </c>
      <c r="D1311" s="245" t="n">
        <f aca="false">дома!K2320</f>
        <v>3</v>
      </c>
      <c r="E1311" s="23" t="n">
        <f aca="false">дома!L2320</f>
        <v>1500</v>
      </c>
      <c r="F1311" s="23"/>
      <c r="G1311" s="122" t="n">
        <f aca="false">IF(F1311&gt;0,D1311*F1311,E1311*D1311)</f>
        <v>4500</v>
      </c>
      <c r="H1311" s="2210" t="n">
        <f aca="false">D1311*E1311*H1310</f>
        <v>0</v>
      </c>
      <c r="I1311" s="2718" t="n">
        <f aca="false">IF(G1311&gt;H1311,G1311,H1311)*$H$1289</f>
        <v>0</v>
      </c>
    </row>
    <row r="1312" s="296" customFormat="true" ht="15.5" hidden="false" customHeight="false" outlineLevel="0" collapsed="false">
      <c r="B1312" s="2748" t="s">
        <v>4660</v>
      </c>
      <c r="C1312" s="2748"/>
      <c r="D1312" s="2748"/>
      <c r="E1312" s="2748"/>
      <c r="F1312" s="2748"/>
      <c r="G1312" s="2210" t="n">
        <f aca="false">G1311*H1310</f>
        <v>0</v>
      </c>
      <c r="H1312" s="2210" t="n">
        <f aca="false">H1311</f>
        <v>0</v>
      </c>
      <c r="I1312" s="2718" t="n">
        <f aca="false">IF(G1312&gt;H1312,G1312,H1312)*$H$1289</f>
        <v>0</v>
      </c>
    </row>
    <row r="1313" customFormat="false" ht="21" hidden="false" customHeight="false" outlineLevel="0" collapsed="false">
      <c r="A1313" s="2753"/>
      <c r="B1313" s="2768" t="s">
        <v>2069</v>
      </c>
      <c r="C1313" s="2768"/>
      <c r="D1313" s="2768"/>
      <c r="E1313" s="2768"/>
      <c r="F1313" s="2769"/>
      <c r="G1313" s="905"/>
      <c r="H1313" s="2811" t="n">
        <f aca="false">VLOOKUP('Ввод данных'!F512,связи1!A2:B3,2,0)</f>
        <v>0</v>
      </c>
      <c r="I1313" s="2818" t="n">
        <f aca="false">H1313</f>
        <v>0</v>
      </c>
      <c r="J1313" s="2752"/>
      <c r="K1313" s="2753"/>
      <c r="L1313" s="2752"/>
      <c r="M1313" s="2752"/>
      <c r="N1313" s="2752"/>
      <c r="O1313" s="2752"/>
      <c r="P1313" s="2752"/>
      <c r="Q1313" s="2752"/>
      <c r="R1313" s="2752"/>
      <c r="S1313" s="2752"/>
      <c r="T1313" s="2752"/>
      <c r="U1313" s="2752"/>
      <c r="V1313" s="2752"/>
      <c r="W1313" s="2752"/>
      <c r="X1313" s="2752"/>
      <c r="Y1313" s="2752"/>
      <c r="Z1313" s="2752"/>
      <c r="AA1313" s="2752"/>
      <c r="AB1313" s="2752"/>
      <c r="AC1313" s="2752"/>
      <c r="AD1313" s="2752"/>
      <c r="AE1313" s="2752"/>
      <c r="AF1313" s="2752"/>
      <c r="AG1313" s="2752"/>
    </row>
    <row r="1314" customFormat="false" ht="15.5" hidden="false" customHeight="false" outlineLevel="0" collapsed="false">
      <c r="A1314" s="2719"/>
      <c r="B1314" s="2824" t="s">
        <v>2720</v>
      </c>
      <c r="C1314" s="2824"/>
      <c r="D1314" s="2824"/>
      <c r="E1314" s="2824"/>
      <c r="F1314" s="2824"/>
      <c r="G1314" s="905"/>
      <c r="H1314" s="2776" t="n">
        <f aca="false">H1313</f>
        <v>0</v>
      </c>
      <c r="I1314" s="2818" t="n">
        <f aca="false">H1314</f>
        <v>0</v>
      </c>
      <c r="J1314" s="2732"/>
      <c r="K1314" s="2733"/>
    </row>
    <row r="1315" customFormat="false" ht="15.5" hidden="false" customHeight="false" outlineLevel="0" collapsed="false">
      <c r="A1315" s="2719"/>
      <c r="B1315" s="122" t="str">
        <f aca="false">дома!A2197</f>
        <v>Оцилиндрованное бревно сосна 260мм</v>
      </c>
      <c r="C1315" s="88" t="str">
        <f aca="false">дома!B2197</f>
        <v>м3</v>
      </c>
      <c r="D1315" s="122" t="n">
        <f aca="false">дома!C2197</f>
        <v>1.17</v>
      </c>
      <c r="E1315" s="122" t="n">
        <f aca="false">дома!D2197</f>
        <v>8500</v>
      </c>
      <c r="F1315" s="122"/>
      <c r="G1315" s="122" t="n">
        <f aca="false">IF(F1315&gt;0,D1315*F1315,E1315*D1315)</f>
        <v>9945</v>
      </c>
      <c r="H1315" s="2210" t="n">
        <f aca="false">D1315*E1315*$H$1313*VLOOKUP('Ввод данных'!D462,связи1!A2:B3,2,0)</f>
        <v>0</v>
      </c>
      <c r="I1315" s="2784" t="n">
        <f aca="false">IF(G1315&gt;H1315,G1315,H1315)*$H$1313</f>
        <v>0</v>
      </c>
      <c r="J1315" s="2744"/>
      <c r="K1315" s="226" t="n">
        <f aca="false">D1315-J1315</f>
        <v>1.17</v>
      </c>
      <c r="L1315" s="2736"/>
    </row>
    <row r="1316" customFormat="false" ht="15.5" hidden="false" customHeight="false" outlineLevel="0" collapsed="false">
      <c r="A1316" s="2719"/>
      <c r="B1316" s="122" t="str">
        <f aca="false">дома!A2198</f>
        <v>Доска естественной влажности, 200*50мм</v>
      </c>
      <c r="C1316" s="88" t="str">
        <f aca="false">дома!B2198</f>
        <v>м3</v>
      </c>
      <c r="D1316" s="122" t="n">
        <f aca="false">дома!C2198</f>
        <v>0.09</v>
      </c>
      <c r="E1316" s="122" t="n">
        <f aca="false">дома!D2198</f>
        <v>6500</v>
      </c>
      <c r="F1316" s="122"/>
      <c r="G1316" s="122" t="n">
        <f aca="false">IF(F1316&gt;0,D1316*F1316,E1316*D1316)</f>
        <v>585</v>
      </c>
      <c r="H1316" s="2210" t="n">
        <f aca="false">D1316*E1316*$H$1313*VLOOKUP('Ввод данных'!D462,связи1!A2:B3,2,0)</f>
        <v>0</v>
      </c>
      <c r="I1316" s="2784" t="n">
        <f aca="false">IF(G1316&gt;H1316,G1316,H1316)*$H$1313</f>
        <v>0</v>
      </c>
      <c r="J1316" s="2744"/>
      <c r="K1316" s="226" t="n">
        <f aca="false">D1316-J1316</f>
        <v>0.09</v>
      </c>
      <c r="L1316" s="2736"/>
    </row>
    <row r="1317" customFormat="false" ht="15.5" hidden="false" customHeight="false" outlineLevel="0" collapsed="false">
      <c r="A1317" s="2719"/>
      <c r="B1317" s="122" t="str">
        <f aca="false">дома!A2199</f>
        <v>Бензин для пилы</v>
      </c>
      <c r="C1317" s="88" t="str">
        <f aca="false">дома!B2199</f>
        <v>л</v>
      </c>
      <c r="D1317" s="122" t="n">
        <f aca="false">дома!C2199</f>
        <v>0.63</v>
      </c>
      <c r="E1317" s="122" t="n">
        <f aca="false">дома!D2199</f>
        <v>40</v>
      </c>
      <c r="F1317" s="122"/>
      <c r="G1317" s="122" t="n">
        <f aca="false">IF(F1317&gt;0,D1317*F1317,E1317*D1317)</f>
        <v>25.2</v>
      </c>
      <c r="H1317" s="2210" t="n">
        <f aca="false">D1317*E1317*$H$1313*VLOOKUP('Ввод данных'!D462,связи1!A2:B3,2,0)</f>
        <v>0</v>
      </c>
      <c r="I1317" s="2784" t="n">
        <f aca="false">IF(G1317&gt;H1317,G1317,H1317)*$H$1313</f>
        <v>0</v>
      </c>
      <c r="J1317" s="2744"/>
      <c r="K1317" s="226" t="n">
        <f aca="false">D1317-J1317</f>
        <v>0.63</v>
      </c>
      <c r="L1317" s="2736"/>
    </row>
    <row r="1318" customFormat="false" ht="15.5" hidden="false" customHeight="false" outlineLevel="0" collapsed="false">
      <c r="A1318" s="2719"/>
      <c r="B1318" s="122" t="str">
        <f aca="false">дома!A2200</f>
        <v>Масло для пилы</v>
      </c>
      <c r="C1318" s="88" t="str">
        <f aca="false">дома!B2200</f>
        <v>л</v>
      </c>
      <c r="D1318" s="122" t="n">
        <f aca="false">дома!C2200</f>
        <v>0.0525</v>
      </c>
      <c r="E1318" s="122" t="n">
        <f aca="false">дома!D2200</f>
        <v>250</v>
      </c>
      <c r="F1318" s="122"/>
      <c r="G1318" s="122" t="n">
        <f aca="false">IF(F1318&gt;0,D1318*F1318,E1318*D1318)</f>
        <v>13.125</v>
      </c>
      <c r="H1318" s="2210" t="n">
        <f aca="false">D1318*E1318*$H$1313*VLOOKUP('Ввод данных'!D462,связи1!A2:B3,2,0)</f>
        <v>0</v>
      </c>
      <c r="I1318" s="2784" t="n">
        <f aca="false">IF(G1318&gt;H1318,G1318,H1318)*$H$1313</f>
        <v>0</v>
      </c>
      <c r="J1318" s="2744"/>
      <c r="K1318" s="226" t="n">
        <f aca="false">D1318-J1318</f>
        <v>0.0525</v>
      </c>
      <c r="L1318" s="2736"/>
    </row>
    <row r="1319" customFormat="false" ht="15.5" hidden="false" customHeight="false" outlineLevel="0" collapsed="false">
      <c r="A1319" s="2719"/>
      <c r="B1319" s="122" t="str">
        <f aca="false">дома!A2201</f>
        <v>Цепь для пилы</v>
      </c>
      <c r="C1319" s="88" t="str">
        <f aca="false">дома!B2201</f>
        <v>л</v>
      </c>
      <c r="D1319" s="122" t="n">
        <f aca="false">дома!C2201</f>
        <v>1</v>
      </c>
      <c r="E1319" s="122" t="n">
        <f aca="false">дома!D2201</f>
        <v>800</v>
      </c>
      <c r="F1319" s="122"/>
      <c r="G1319" s="122" t="n">
        <f aca="false">IF(F1319&gt;0,D1319*F1319,E1319*D1319)</f>
        <v>800</v>
      </c>
      <c r="H1319" s="2210" t="n">
        <f aca="false">D1319*E1319*$H$1313*VLOOKUP('Ввод данных'!D462,связи1!A2:B3,2,0)</f>
        <v>0</v>
      </c>
      <c r="I1319" s="2784" t="n">
        <f aca="false">IF(G1319&gt;H1319,G1319,H1319)*$H$1313</f>
        <v>0</v>
      </c>
      <c r="J1319" s="2744"/>
      <c r="K1319" s="226" t="n">
        <f aca="false">D1319-J1319</f>
        <v>1</v>
      </c>
      <c r="L1319" s="2736"/>
    </row>
    <row r="1320" customFormat="false" ht="15.5" hidden="false" customHeight="false" outlineLevel="0" collapsed="false">
      <c r="A1320" s="2719"/>
      <c r="B1320" s="122" t="str">
        <f aca="false">дома!A2203</f>
        <v>Гидроизоляция жидкая резина 1</v>
      </c>
      <c r="C1320" s="88" t="str">
        <f aca="false">дома!B2203</f>
        <v>кг</v>
      </c>
      <c r="D1320" s="122" t="n">
        <f aca="false">дома!C2203</f>
        <v>0</v>
      </c>
      <c r="E1320" s="122" t="n">
        <f aca="false">дома!D2203</f>
        <v>150</v>
      </c>
      <c r="F1320" s="122"/>
      <c r="G1320" s="122" t="n">
        <f aca="false">IF(F1320&gt;0,D1320*F1320,E1320*D1320)</f>
        <v>0</v>
      </c>
      <c r="H1320" s="2210" t="n">
        <f aca="false">D1320*E1320*$H$1313*VLOOKUP('Ввод данных'!D481,связи1!A2:B3,2,0)</f>
        <v>0</v>
      </c>
      <c r="I1320" s="2784" t="n">
        <f aca="false">IF(G1320&gt;H1320,G1320,H1320)*$H$1313</f>
        <v>0</v>
      </c>
      <c r="J1320" s="2744"/>
      <c r="K1320" s="226" t="n">
        <f aca="false">D1320-J1320</f>
        <v>0</v>
      </c>
      <c r="L1320" s="2736"/>
    </row>
    <row r="1321" customFormat="false" ht="15.5" hidden="false" customHeight="false" outlineLevel="0" collapsed="false">
      <c r="A1321" s="2719"/>
      <c r="B1321" s="122" t="str">
        <f aca="false">дома!A2204</f>
        <v>Kronospan - OSB-3, 22мм</v>
      </c>
      <c r="C1321" s="88" t="str">
        <f aca="false">дома!B2204</f>
        <v>м2</v>
      </c>
      <c r="D1321" s="122" t="n">
        <f aca="false">дома!C2204</f>
        <v>0</v>
      </c>
      <c r="E1321" s="122" t="n">
        <f aca="false">дома!D2204</f>
        <v>526.666666666667</v>
      </c>
      <c r="F1321" s="122"/>
      <c r="G1321" s="122" t="n">
        <f aca="false">IF(F1321&gt;0,D1321*F1321,E1321*D1321)</f>
        <v>0</v>
      </c>
      <c r="H1321" s="2210" t="n">
        <f aca="false">D1321*E1321*$H$1313*VLOOKUP('Ввод данных'!D481,связи1!A2:B3,2,0)</f>
        <v>0</v>
      </c>
      <c r="I1321" s="2784" t="n">
        <f aca="false">IF(G1321&gt;H1321,G1321,H1321)*$H$1313</f>
        <v>0</v>
      </c>
      <c r="J1321" s="2744"/>
      <c r="K1321" s="226" t="n">
        <f aca="false">D1321-J1321</f>
        <v>0</v>
      </c>
      <c r="L1321" s="2736"/>
    </row>
    <row r="1322" customFormat="false" ht="15.5" hidden="false" customHeight="false" outlineLevel="0" collapsed="false">
      <c r="A1322" s="2719"/>
      <c r="B1322" s="122" t="str">
        <f aca="false">дома!A2205</f>
        <v>Проф.брус вл. 200*150мм</v>
      </c>
      <c r="C1322" s="88" t="str">
        <f aca="false">дома!B2205</f>
        <v>м3</v>
      </c>
      <c r="D1322" s="122" t="n">
        <f aca="false">дома!C2205</f>
        <v>0</v>
      </c>
      <c r="E1322" s="122" t="n">
        <f aca="false">дома!D2205</f>
        <v>9300</v>
      </c>
      <c r="F1322" s="122"/>
      <c r="G1322" s="122" t="n">
        <f aca="false">IF(F1322&gt;0,D1322*F1322,E1322*D1322)</f>
        <v>0</v>
      </c>
      <c r="H1322" s="2210" t="n">
        <f aca="false">D1322*E1322*$H$1313*VLOOKUP('Ввод данных'!D481,связи1!A2:B3,2,0)</f>
        <v>0</v>
      </c>
      <c r="I1322" s="2784" t="n">
        <f aca="false">IF(G1322&gt;H1322,G1322,H1322)*$H$1313</f>
        <v>0</v>
      </c>
      <c r="J1322" s="2744"/>
      <c r="K1322" s="226" t="n">
        <f aca="false">D1322-J1322</f>
        <v>0</v>
      </c>
      <c r="L1322" s="2736"/>
    </row>
    <row r="1323" customFormat="false" ht="15.5" hidden="false" customHeight="false" outlineLevel="0" collapsed="false">
      <c r="A1323" s="2719"/>
      <c r="B1323" s="122" t="str">
        <f aca="false">дома!A2206</f>
        <v>Брус клееный проф 2 ламель кедр Шир. 240 выс. 140</v>
      </c>
      <c r="C1323" s="88" t="str">
        <f aca="false">дома!B2206</f>
        <v>м3</v>
      </c>
      <c r="D1323" s="122" t="n">
        <f aca="false">дома!C2206</f>
        <v>0</v>
      </c>
      <c r="E1323" s="122" t="n">
        <f aca="false">дома!D2206</f>
        <v>24000</v>
      </c>
      <c r="F1323" s="122"/>
      <c r="G1323" s="122" t="n">
        <f aca="false">IF(F1323&gt;0,D1323*F1323,E1323*D1323)</f>
        <v>0</v>
      </c>
      <c r="H1323" s="2210" t="n">
        <f aca="false">D1323*E1323*$H$1313*VLOOKUP('Ввод данных'!D481,связи1!A2:B3,2,0)</f>
        <v>0</v>
      </c>
      <c r="I1323" s="2784" t="n">
        <f aca="false">IF(G1323&gt;H1323,G1323,H1323)*$H$1313</f>
        <v>0</v>
      </c>
      <c r="J1323" s="2744"/>
      <c r="K1323" s="226" t="n">
        <f aca="false">D1323-J1323</f>
        <v>0</v>
      </c>
      <c r="L1323" s="2736"/>
    </row>
    <row r="1324" customFormat="false" ht="15.5" hidden="false" customHeight="false" outlineLevel="0" collapsed="false">
      <c r="A1324" s="2719"/>
      <c r="B1324" s="122" t="str">
        <f aca="false">дома!A2207</f>
        <v>Брус клееный проф 1 ламель кедр Шир. 240 выс. 140</v>
      </c>
      <c r="C1324" s="88" t="str">
        <f aca="false">дома!B2207</f>
        <v>м3</v>
      </c>
      <c r="D1324" s="122" t="n">
        <f aca="false">дома!C2207</f>
        <v>0</v>
      </c>
      <c r="E1324" s="122" t="n">
        <f aca="false">дома!D2207</f>
        <v>24000</v>
      </c>
      <c r="F1324" s="122"/>
      <c r="G1324" s="122" t="n">
        <f aca="false">IF(F1324&gt;0,D1324*F1324,E1324*D1324)</f>
        <v>0</v>
      </c>
      <c r="H1324" s="2210" t="n">
        <f aca="false">D1324*E1324*$H$1313*VLOOKUP('Ввод данных'!D481,связи1!A2:B3,2,0)</f>
        <v>0</v>
      </c>
      <c r="I1324" s="2784" t="n">
        <f aca="false">IF(G1324&gt;H1324,G1324,H1324)*$H$1313</f>
        <v>0</v>
      </c>
      <c r="J1324" s="2744"/>
      <c r="K1324" s="226" t="n">
        <f aca="false">D1324-J1324</f>
        <v>0</v>
      </c>
      <c r="L1324" s="2736"/>
    </row>
    <row r="1325" customFormat="false" ht="15.5" hidden="false" customHeight="false" outlineLevel="0" collapsed="false">
      <c r="A1325" s="2719"/>
      <c r="B1325" s="122" t="str">
        <f aca="false">дома!A2208</f>
        <v>Клееная накладка на перила шир 240мм</v>
      </c>
      <c r="C1325" s="88" t="str">
        <f aca="false">дома!B2208</f>
        <v>м.п.</v>
      </c>
      <c r="D1325" s="122" t="n">
        <f aca="false">дома!C2208</f>
        <v>0</v>
      </c>
      <c r="E1325" s="122" t="n">
        <f aca="false">дома!D2208</f>
        <v>400</v>
      </c>
      <c r="F1325" s="122"/>
      <c r="G1325" s="122" t="n">
        <f aca="false">IF(F1325&gt;0,D1325*F1325,E1325*D1325)</f>
        <v>0</v>
      </c>
      <c r="H1325" s="2210" t="n">
        <f aca="false">D1325*E1325*$H$1313*VLOOKUP('Ввод данных'!D481,связи1!A2:B3,2,0)</f>
        <v>0</v>
      </c>
      <c r="I1325" s="2784" t="n">
        <f aca="false">IF(G1325&gt;H1325,G1325,H1325)*$H$1313</f>
        <v>0</v>
      </c>
      <c r="J1325" s="2744"/>
      <c r="K1325" s="226" t="n">
        <f aca="false">D1325-J1325</f>
        <v>0</v>
      </c>
      <c r="L1325" s="2736"/>
    </row>
    <row r="1326" customFormat="false" ht="15.5" hidden="false" customHeight="false" outlineLevel="0" collapsed="false">
      <c r="A1326" s="2719"/>
      <c r="B1326" s="2748" t="s">
        <v>4640</v>
      </c>
      <c r="C1326" s="2748"/>
      <c r="D1326" s="2748"/>
      <c r="E1326" s="2748"/>
      <c r="F1326" s="2748"/>
      <c r="G1326" s="85" t="n">
        <f aca="false">SUM(G1315:G1325)*H1313</f>
        <v>0</v>
      </c>
      <c r="H1326" s="85" t="n">
        <f aca="false">SUM(H1315:H1325)</f>
        <v>0</v>
      </c>
      <c r="I1326" s="2784" t="n">
        <f aca="false">IF(G1326&gt;H1326,G1326,H1326)*$H$1313</f>
        <v>0</v>
      </c>
      <c r="J1326" s="2744"/>
      <c r="K1326" s="226" t="n">
        <f aca="false">D1326-J1326</f>
        <v>0</v>
      </c>
      <c r="L1326" s="2736"/>
    </row>
    <row r="1327" customFormat="false" ht="15.5" hidden="false" customHeight="false" outlineLevel="0" collapsed="false">
      <c r="A1327" s="2719"/>
      <c r="B1327" s="2750" t="s">
        <v>1409</v>
      </c>
      <c r="C1327" s="2750"/>
      <c r="D1327" s="2750"/>
      <c r="E1327" s="2750"/>
      <c r="F1327" s="2750"/>
      <c r="G1327" s="905"/>
      <c r="H1327" s="2766" t="n">
        <f aca="false">H1313</f>
        <v>0</v>
      </c>
      <c r="I1327" s="2818" t="n">
        <f aca="false">H1327</f>
        <v>0</v>
      </c>
      <c r="J1327" s="2752"/>
      <c r="K1327" s="2753"/>
    </row>
    <row r="1328" customFormat="false" ht="15.5" hidden="false" customHeight="false" outlineLevel="0" collapsed="false">
      <c r="A1328" s="2719"/>
      <c r="B1328" s="122" t="str">
        <f aca="false">дома!G2197</f>
        <v>кладка бруса</v>
      </c>
      <c r="C1328" s="88" t="s">
        <v>135</v>
      </c>
      <c r="D1328" s="122" t="n">
        <f aca="false">дома!I2197</f>
        <v>1.17</v>
      </c>
      <c r="E1328" s="122" t="n">
        <f aca="false">дома!J2197</f>
        <v>4000</v>
      </c>
      <c r="F1328" s="2182"/>
      <c r="G1328" s="122" t="n">
        <f aca="false">IF(F1328&gt;0,D1328*F1328,E1328*D1328)</f>
        <v>4680</v>
      </c>
      <c r="H1328" s="2210" t="n">
        <f aca="false">D1328*E1328*$H$1313*VLOOKUP('Ввод данных'!D462,связи1!A2:B3,2,0)</f>
        <v>0</v>
      </c>
      <c r="I1328" s="2718" t="n">
        <f aca="false">IF(G1328&gt;H1328,G1328,H1328)*$H$1313</f>
        <v>0</v>
      </c>
      <c r="J1328" s="2712"/>
      <c r="K1328" s="2719"/>
    </row>
    <row r="1329" customFormat="false" ht="15.5" hidden="false" customHeight="false" outlineLevel="0" collapsed="false">
      <c r="A1329" s="2719"/>
      <c r="B1329" s="122" t="str">
        <f aca="false">дома!G2198</f>
        <v>Монтаж перекрытий из бруса</v>
      </c>
      <c r="C1329" s="88" t="s">
        <v>133</v>
      </c>
      <c r="D1329" s="122" t="n">
        <f aca="false">дома!I2198</f>
        <v>3</v>
      </c>
      <c r="E1329" s="122" t="n">
        <f aca="false">дома!J2198</f>
        <v>300</v>
      </c>
      <c r="F1329" s="2182"/>
      <c r="G1329" s="122" t="n">
        <f aca="false">IF(F1329&gt;0,D1329*F1329,E1329*D1329)</f>
        <v>900</v>
      </c>
      <c r="H1329" s="2210" t="n">
        <f aca="false">D1329*E1329*$H$1313*VLOOKUP('Ввод данных'!D462,связи1!A2:B3,2,0)</f>
        <v>0</v>
      </c>
      <c r="I1329" s="2718" t="n">
        <f aca="false">IF(G1329&gt;H1329,G1329,H1329)*$H$1313</f>
        <v>0</v>
      </c>
      <c r="J1329" s="2712"/>
      <c r="K1329" s="2719"/>
    </row>
    <row r="1330" customFormat="false" ht="15.5" hidden="false" customHeight="false" outlineLevel="0" collapsed="false">
      <c r="A1330" s="2719"/>
      <c r="B1330" s="122" t="str">
        <f aca="false">дома!G2203</f>
        <v>Гидроизоляция рулонная</v>
      </c>
      <c r="C1330" s="88" t="s">
        <v>133</v>
      </c>
      <c r="D1330" s="122" t="n">
        <f aca="false">дома!I2203</f>
        <v>0</v>
      </c>
      <c r="E1330" s="122" t="n">
        <f aca="false">дома!J2203</f>
        <v>250</v>
      </c>
      <c r="F1330" s="2182"/>
      <c r="G1330" s="122" t="n">
        <f aca="false">IF(F1330&gt;0,D1330*F1330,E1330*D1330)</f>
        <v>0</v>
      </c>
      <c r="H1330" s="2210" t="n">
        <f aca="false">D1330*E1330*$H$1313*VLOOKUP('Ввод данных'!D481,связи1!A2:B3,2,0)</f>
        <v>0</v>
      </c>
      <c r="I1330" s="2718" t="n">
        <f aca="false">IF(G1330&gt;H1330,G1330,H1330)*$H$1313</f>
        <v>0</v>
      </c>
      <c r="J1330" s="2712"/>
      <c r="K1330" s="2719"/>
    </row>
    <row r="1331" customFormat="false" ht="15.5" hidden="false" customHeight="false" outlineLevel="0" collapsed="false">
      <c r="A1331" s="2719"/>
      <c r="B1331" s="122" t="str">
        <f aca="false">дома!G2204</f>
        <v>монтаж OSB пол</v>
      </c>
      <c r="C1331" s="88" t="s">
        <v>133</v>
      </c>
      <c r="D1331" s="122" t="n">
        <f aca="false">дома!I2204</f>
        <v>0</v>
      </c>
      <c r="E1331" s="122" t="n">
        <f aca="false">дома!J2204</f>
        <v>250</v>
      </c>
      <c r="F1331" s="2182"/>
      <c r="G1331" s="122" t="n">
        <f aca="false">IF(F1331&gt;0,D1331*F1331,E1331*D1331)</f>
        <v>0</v>
      </c>
      <c r="H1331" s="2210" t="n">
        <f aca="false">D1331*E1331*$H$1313*VLOOKUP('Ввод данных'!D481,связи1!A2:B3,2,0)</f>
        <v>0</v>
      </c>
      <c r="I1331" s="2718" t="n">
        <f aca="false">IF(G1331&gt;H1331,G1331,H1331)*$H$1313</f>
        <v>0</v>
      </c>
      <c r="J1331" s="2712"/>
      <c r="K1331" s="2719"/>
    </row>
    <row r="1332" customFormat="false" ht="15.5" hidden="false" customHeight="false" outlineLevel="0" collapsed="false">
      <c r="A1332" s="2719"/>
      <c r="B1332" s="122" t="str">
        <f aca="false">дома!G2205</f>
        <v>Монтаж перил</v>
      </c>
      <c r="C1332" s="88" t="s">
        <v>156</v>
      </c>
      <c r="D1332" s="122" t="n">
        <f aca="false">дома!I2205</f>
        <v>0</v>
      </c>
      <c r="E1332" s="122" t="n">
        <f aca="false">дома!J2205</f>
        <v>500</v>
      </c>
      <c r="F1332" s="2182"/>
      <c r="G1332" s="122" t="n">
        <f aca="false">IF(F1332&gt;0,D1332*F1332,E1332*D1332)</f>
        <v>0</v>
      </c>
      <c r="H1332" s="2210" t="n">
        <f aca="false">D1332*E1332*$H$1313*VLOOKUP('Ввод данных'!D481,связи1!A2:B3,2,0)</f>
        <v>0</v>
      </c>
      <c r="I1332" s="2718" t="n">
        <f aca="false">IF(G1332&gt;H1332,G1332,H1332)*$H$1313</f>
        <v>0</v>
      </c>
      <c r="J1332" s="2712"/>
      <c r="K1332" s="2719"/>
    </row>
    <row r="1333" customFormat="false" ht="15.5" hidden="false" customHeight="false" outlineLevel="0" collapsed="false">
      <c r="A1333" s="2719"/>
      <c r="B1333" s="122" t="str">
        <f aca="false">дома!G2206</f>
        <v>Монтаж накладки на перила</v>
      </c>
      <c r="C1333" s="88" t="s">
        <v>156</v>
      </c>
      <c r="D1333" s="122" t="n">
        <f aca="false">дома!I2206</f>
        <v>0</v>
      </c>
      <c r="E1333" s="122" t="n">
        <f aca="false">дома!J2206</f>
        <v>0</v>
      </c>
      <c r="F1333" s="2182"/>
      <c r="G1333" s="122" t="n">
        <f aca="false">IF(F1333&gt;0,D1333*F1333,E1333*D1333)</f>
        <v>0</v>
      </c>
      <c r="H1333" s="2210" t="n">
        <f aca="false">D1333*E1333*$H$1313*VLOOKUP('Ввод данных'!D481,связи1!A2:B3,2,0)</f>
        <v>0</v>
      </c>
      <c r="I1333" s="2718" t="n">
        <f aca="false">IF(G1333&gt;H1333,G1333,H1333)*$H$1313</f>
        <v>0</v>
      </c>
      <c r="J1333" s="2712"/>
      <c r="K1333" s="2719"/>
    </row>
    <row r="1334" customFormat="false" ht="15.5" hidden="false" customHeight="false" outlineLevel="0" collapsed="false">
      <c r="A1334" s="2719"/>
      <c r="B1334" s="2749" t="s">
        <v>4641</v>
      </c>
      <c r="C1334" s="2749"/>
      <c r="D1334" s="2749"/>
      <c r="E1334" s="2749"/>
      <c r="F1334" s="2749"/>
      <c r="G1334" s="2210" t="n">
        <f aca="false">SUM(G1328:G1333)*H1327</f>
        <v>0</v>
      </c>
      <c r="H1334" s="2210" t="n">
        <f aca="false">SUM(H1328:H1333)</f>
        <v>0</v>
      </c>
      <c r="I1334" s="2718" t="n">
        <f aca="false">IF(G1334&gt;H1334,G1334,H1334)*$H$1313</f>
        <v>0</v>
      </c>
      <c r="J1334" s="2712"/>
      <c r="K1334" s="2719"/>
    </row>
    <row r="1335" customFormat="false" ht="21" hidden="false" customHeight="false" outlineLevel="0" collapsed="false">
      <c r="A1335" s="2719"/>
      <c r="B1335" s="2768" t="s">
        <v>1883</v>
      </c>
      <c r="C1335" s="2768"/>
      <c r="D1335" s="2768"/>
      <c r="E1335" s="2768"/>
      <c r="F1335" s="2769"/>
      <c r="G1335" s="905"/>
      <c r="H1335" s="2770" t="n">
        <f aca="false">VLOOKUP('Ввод данных'!F194,связи1!A2:B3,2,0)</f>
        <v>0</v>
      </c>
      <c r="I1335" s="2818" t="n">
        <f aca="false">H1335</f>
        <v>0</v>
      </c>
      <c r="J1335" s="2712"/>
      <c r="K1335" s="2719"/>
    </row>
    <row r="1336" customFormat="false" ht="15.5" hidden="false" customHeight="false" outlineLevel="0" collapsed="false">
      <c r="A1336" s="2719"/>
      <c r="B1336" s="2824" t="s">
        <v>2720</v>
      </c>
      <c r="C1336" s="2824"/>
      <c r="D1336" s="2824"/>
      <c r="E1336" s="2824"/>
      <c r="F1336" s="2825"/>
      <c r="G1336" s="905"/>
      <c r="H1336" s="2770" t="n">
        <f aca="false">H1335</f>
        <v>0</v>
      </c>
      <c r="I1336" s="2818" t="n">
        <f aca="false">H1336</f>
        <v>0</v>
      </c>
      <c r="J1336" s="2732"/>
      <c r="K1336" s="2733"/>
    </row>
    <row r="1337" customFormat="false" ht="15.5" hidden="false" customHeight="false" outlineLevel="0" collapsed="false">
      <c r="A1337" s="2719"/>
      <c r="B1337" s="639" t="str">
        <f aca="false">крыша!A647</f>
        <v>нет</v>
      </c>
      <c r="C1337" s="238" t="str">
        <f aca="false">крыша!B647</f>
        <v>м3</v>
      </c>
      <c r="D1337" s="245" t="n">
        <f aca="false">крыша!C647</f>
        <v>0</v>
      </c>
      <c r="E1337" s="23" t="n">
        <f aca="false">крыша!D647</f>
        <v>0</v>
      </c>
      <c r="F1337" s="23"/>
      <c r="G1337" s="122" t="n">
        <f aca="false">IF(F1337&gt;0,D1337*F1337,E1337*D1337)</f>
        <v>0</v>
      </c>
      <c r="H1337" s="2210" t="n">
        <f aca="false">D1337*E1337*$H$1335</f>
        <v>0</v>
      </c>
      <c r="I1337" s="2784" t="n">
        <f aca="false">IF(G1337&gt;H1337,G1337,H1337)*$H$1335</f>
        <v>0</v>
      </c>
      <c r="J1337" s="2744"/>
      <c r="K1337" s="226" t="n">
        <f aca="false">D1337-J1337</f>
        <v>0</v>
      </c>
      <c r="L1337" s="2736"/>
    </row>
    <row r="1338" customFormat="false" ht="15.5" hidden="false" customHeight="false" outlineLevel="0" collapsed="false">
      <c r="A1338" s="2719"/>
      <c r="B1338" s="639" t="str">
        <f aca="false">крыша!A648</f>
        <v>Болты анкерные с гайкой 12,0 х 280</v>
      </c>
      <c r="C1338" s="238" t="str">
        <f aca="false">крыша!B648</f>
        <v>шт</v>
      </c>
      <c r="D1338" s="245" t="n">
        <f aca="false">крыша!C648</f>
        <v>48.2842712474619</v>
      </c>
      <c r="E1338" s="23" t="n">
        <f aca="false">крыша!D648</f>
        <v>27.1</v>
      </c>
      <c r="F1338" s="23"/>
      <c r="G1338" s="122" t="n">
        <f aca="false">IF(F1338&gt;0,D1338*F1338,E1338*D1338)</f>
        <v>1308.50375080622</v>
      </c>
      <c r="H1338" s="2210" t="n">
        <f aca="false">D1338*E1338*$H$1335</f>
        <v>0</v>
      </c>
      <c r="I1338" s="2784" t="n">
        <f aca="false">IF(G1338&gt;H1338,G1338,H1338)*$H$1335</f>
        <v>0</v>
      </c>
      <c r="J1338" s="2744"/>
      <c r="K1338" s="226" t="n">
        <f aca="false">D1338-J1338</f>
        <v>48.2842712474619</v>
      </c>
      <c r="L1338" s="2736"/>
    </row>
    <row r="1339" customFormat="false" ht="15.5" hidden="false" customHeight="false" outlineLevel="0" collapsed="false">
      <c r="A1339" s="2719"/>
      <c r="B1339" s="639" t="str">
        <f aca="false">крыша!A649</f>
        <v>Доска сухая, 200*50мм</v>
      </c>
      <c r="C1339" s="238" t="str">
        <f aca="false">крыша!B649</f>
        <v>м3</v>
      </c>
      <c r="D1339" s="245" t="n">
        <f aca="false">крыша!C649</f>
        <v>7.24541489913801</v>
      </c>
      <c r="E1339" s="23" t="n">
        <f aca="false">крыша!D649</f>
        <v>9000</v>
      </c>
      <c r="F1339" s="23"/>
      <c r="G1339" s="122" t="n">
        <f aca="false">IF(F1339&gt;0,D1339*F1339,E1339*D1339)</f>
        <v>65208.7340922421</v>
      </c>
      <c r="H1339" s="2210" t="n">
        <f aca="false">D1339*E1339*$H$1335</f>
        <v>0</v>
      </c>
      <c r="I1339" s="2784" t="n">
        <f aca="false">IF(G1339&gt;H1339,G1339,H1339)*$H$1335</f>
        <v>0</v>
      </c>
      <c r="J1339" s="2744"/>
      <c r="K1339" s="226" t="n">
        <f aca="false">D1339-J1339</f>
        <v>7.24541489913801</v>
      </c>
      <c r="L1339" s="2736"/>
    </row>
    <row r="1340" customFormat="false" ht="15.5" hidden="false" customHeight="false" outlineLevel="0" collapsed="false">
      <c r="A1340" s="2719"/>
      <c r="B1340" s="639" t="str">
        <f aca="false">крыша!A650</f>
        <v>бугель, доска</v>
      </c>
      <c r="C1340" s="238" t="str">
        <f aca="false">крыша!B650</f>
        <v>м3</v>
      </c>
      <c r="D1340" s="245" t="n">
        <f aca="false">крыша!C650</f>
        <v>2.6</v>
      </c>
      <c r="E1340" s="23" t="n">
        <f aca="false">крыша!D650</f>
        <v>9000</v>
      </c>
      <c r="F1340" s="23"/>
      <c r="G1340" s="122" t="n">
        <f aca="false">IF(F1340&gt;0,D1340*F1340,E1340*D1340)</f>
        <v>23400</v>
      </c>
      <c r="H1340" s="2210" t="n">
        <f aca="false">D1340*E1340*$H$1335</f>
        <v>0</v>
      </c>
      <c r="I1340" s="2784" t="n">
        <f aca="false">IF(G1340&gt;H1340,G1340,H1340)*$H$1335</f>
        <v>0</v>
      </c>
      <c r="J1340" s="2744"/>
      <c r="K1340" s="226" t="n">
        <f aca="false">D1340-J1340</f>
        <v>2.6</v>
      </c>
      <c r="L1340" s="2736"/>
    </row>
    <row r="1341" customFormat="false" ht="15.5" hidden="false" customHeight="false" outlineLevel="0" collapsed="false">
      <c r="A1341" s="2719"/>
      <c r="B1341" s="639" t="str">
        <f aca="false">крыша!A651</f>
        <v>стойка под конек</v>
      </c>
      <c r="C1341" s="238" t="str">
        <f aca="false">крыша!B651</f>
        <v>м3</v>
      </c>
      <c r="D1341" s="245" t="n">
        <f aca="false">крыша!C651</f>
        <v>1.3</v>
      </c>
      <c r="E1341" s="23" t="n">
        <f aca="false">крыша!D651</f>
        <v>9000</v>
      </c>
      <c r="F1341" s="23"/>
      <c r="G1341" s="122" t="n">
        <f aca="false">IF(F1341&gt;0,D1341*F1341,E1341*D1341)</f>
        <v>11700</v>
      </c>
      <c r="H1341" s="2210" t="n">
        <f aca="false">D1341*E1341*$H$1335</f>
        <v>0</v>
      </c>
      <c r="I1341" s="2784" t="n">
        <f aca="false">IF(G1341&gt;H1341,G1341,H1341)*$H$1335</f>
        <v>0</v>
      </c>
      <c r="J1341" s="2744"/>
      <c r="K1341" s="226" t="n">
        <f aca="false">D1341-J1341</f>
        <v>1.3</v>
      </c>
      <c r="L1341" s="2736"/>
    </row>
    <row r="1342" customFormat="false" ht="15.5" hidden="false" customHeight="false" outlineLevel="0" collapsed="false">
      <c r="A1342" s="2719"/>
      <c r="B1342" s="639" t="str">
        <f aca="false">крыша!A652</f>
        <v>Сосна влаж,100*25мм</v>
      </c>
      <c r="C1342" s="238" t="str">
        <f aca="false">крыша!B652</f>
        <v>м3</v>
      </c>
      <c r="D1342" s="245" t="n">
        <f aca="false">крыша!C652</f>
        <v>1.20589694140964</v>
      </c>
      <c r="E1342" s="23" t="n">
        <f aca="false">крыша!D652</f>
        <v>6500</v>
      </c>
      <c r="F1342" s="23"/>
      <c r="G1342" s="122" t="n">
        <f aca="false">IF(F1342&gt;0,D1342*F1342,E1342*D1342)</f>
        <v>7838.33011916263</v>
      </c>
      <c r="H1342" s="2210" t="n">
        <f aca="false">D1342*E1342*$H$1335</f>
        <v>0</v>
      </c>
      <c r="I1342" s="2784" t="n">
        <f aca="false">IF(G1342&gt;H1342,G1342,H1342)*$H$1335</f>
        <v>0</v>
      </c>
      <c r="J1342" s="2744"/>
      <c r="K1342" s="226" t="n">
        <f aca="false">D1342-J1342</f>
        <v>1.20589694140964</v>
      </c>
      <c r="L1342" s="2736"/>
    </row>
    <row r="1343" customFormat="false" ht="15.5" hidden="false" customHeight="false" outlineLevel="0" collapsed="false">
      <c r="A1343" s="2719"/>
      <c r="B1343" s="639" t="str">
        <f aca="false">крыша!A653</f>
        <v>Сосна влаж, 50*50мм</v>
      </c>
      <c r="C1343" s="238" t="str">
        <f aca="false">крыша!B653</f>
        <v>м3</v>
      </c>
      <c r="D1343" s="245" t="n">
        <f aca="false">крыша!C653</f>
        <v>1.00491411784136</v>
      </c>
      <c r="E1343" s="23" t="n">
        <f aca="false">крыша!D653</f>
        <v>6500</v>
      </c>
      <c r="F1343" s="23"/>
      <c r="G1343" s="122" t="n">
        <f aca="false">IF(F1343&gt;0,D1343*F1343,E1343*D1343)</f>
        <v>6531.94176596886</v>
      </c>
      <c r="H1343" s="2210" t="n">
        <f aca="false">D1343*E1343*$H$1335</f>
        <v>0</v>
      </c>
      <c r="I1343" s="2784" t="n">
        <f aca="false">IF(G1343&gt;H1343,G1343,H1343)*$H$1335</f>
        <v>0</v>
      </c>
      <c r="J1343" s="2744"/>
      <c r="K1343" s="226" t="n">
        <f aca="false">D1343-J1343</f>
        <v>1.00491411784136</v>
      </c>
      <c r="L1343" s="2736"/>
    </row>
    <row r="1344" customFormat="false" ht="15.5" hidden="false" customHeight="false" outlineLevel="0" collapsed="false">
      <c r="A1344" s="2719"/>
      <c r="B1344" s="639" t="str">
        <f aca="false">крыша!A654</f>
        <v>Нет</v>
      </c>
      <c r="C1344" s="238" t="str">
        <f aca="false">крыша!B654</f>
        <v>м3</v>
      </c>
      <c r="D1344" s="245" t="n">
        <f aca="false">крыша!C654</f>
        <v>0</v>
      </c>
      <c r="E1344" s="23" t="n">
        <f aca="false">крыша!D654</f>
        <v>0</v>
      </c>
      <c r="F1344" s="23"/>
      <c r="G1344" s="122" t="n">
        <f aca="false">IF(F1344&gt;0,D1344*F1344,E1344*D1344)</f>
        <v>0</v>
      </c>
      <c r="H1344" s="2210" t="n">
        <f aca="false">D1344*E1344*$H$1335</f>
        <v>0</v>
      </c>
      <c r="I1344" s="2784" t="n">
        <f aca="false">IF(G1344&gt;H1344,G1344,H1344)*$H$1335</f>
        <v>0</v>
      </c>
      <c r="J1344" s="2744"/>
      <c r="K1344" s="226" t="n">
        <f aca="false">D1344-J1344</f>
        <v>0</v>
      </c>
      <c r="L1344" s="2736"/>
    </row>
    <row r="1345" customFormat="false" ht="15.5" hidden="false" customHeight="false" outlineLevel="0" collapsed="false">
      <c r="A1345" s="2719"/>
      <c r="B1345" s="639" t="str">
        <f aca="false">крыша!A655</f>
        <v>Гидрокомпенсатор</v>
      </c>
      <c r="C1345" s="238" t="str">
        <f aca="false">крыша!B655</f>
        <v>шт</v>
      </c>
      <c r="D1345" s="245" t="n">
        <f aca="false">крыша!C655</f>
        <v>0</v>
      </c>
      <c r="E1345" s="23" t="n">
        <f aca="false">крыша!D655</f>
        <v>450</v>
      </c>
      <c r="F1345" s="23"/>
      <c r="G1345" s="122" t="n">
        <f aca="false">IF(F1345&gt;0,D1345*F1345,E1345*D1345)</f>
        <v>0</v>
      </c>
      <c r="H1345" s="2210" t="n">
        <f aca="false">D1345*E1345*$H$1335</f>
        <v>0</v>
      </c>
      <c r="I1345" s="2784" t="n">
        <f aca="false">IF(G1345&gt;H1345,G1345,H1345)*$H$1335</f>
        <v>0</v>
      </c>
      <c r="J1345" s="2744"/>
      <c r="K1345" s="226" t="n">
        <f aca="false">D1345-J1345</f>
        <v>0</v>
      </c>
      <c r="L1345" s="2736"/>
    </row>
    <row r="1346" customFormat="false" ht="15.5" hidden="false" customHeight="false" outlineLevel="0" collapsed="false">
      <c r="A1346" s="2719"/>
      <c r="B1346" s="639" t="str">
        <f aca="false">крыша!A656</f>
        <v>Мембрана MD90</v>
      </c>
      <c r="C1346" s="238" t="str">
        <f aca="false">крыша!B656</f>
        <v>м2</v>
      </c>
      <c r="D1346" s="245" t="n">
        <f aca="false">крыша!C656</f>
        <v>192.943510625542</v>
      </c>
      <c r="E1346" s="23" t="n">
        <f aca="false">крыша!D656</f>
        <v>34</v>
      </c>
      <c r="F1346" s="23"/>
      <c r="G1346" s="122" t="n">
        <f aca="false">IF(F1346&gt;0,D1346*F1346,E1346*D1346)</f>
        <v>6560.07936126842</v>
      </c>
      <c r="H1346" s="2210" t="n">
        <f aca="false">D1346*E1346*$H$1335</f>
        <v>0</v>
      </c>
      <c r="I1346" s="2784" t="n">
        <f aca="false">IF(G1346&gt;H1346,G1346,H1346)*$H$1335</f>
        <v>0</v>
      </c>
      <c r="J1346" s="2744"/>
      <c r="K1346" s="226" t="n">
        <f aca="false">D1346-J1346</f>
        <v>192.943510625542</v>
      </c>
      <c r="L1346" s="2736"/>
    </row>
    <row r="1347" customFormat="false" ht="15.5" hidden="false" customHeight="false" outlineLevel="0" collapsed="false">
      <c r="A1347" s="2719"/>
      <c r="B1347" s="639" t="str">
        <f aca="false">крыша!A657</f>
        <v>Мембрана Tyvek AirGuard Reflective</v>
      </c>
      <c r="C1347" s="238" t="str">
        <f aca="false">крыша!B657</f>
        <v>м2</v>
      </c>
      <c r="D1347" s="245" t="n">
        <f aca="false">крыша!C657</f>
        <v>139.754248593737</v>
      </c>
      <c r="E1347" s="23" t="n">
        <f aca="false">крыша!D657</f>
        <v>174</v>
      </c>
      <c r="F1347" s="23"/>
      <c r="G1347" s="122" t="n">
        <f aca="false">IF(F1347&gt;0,D1347*F1347,E1347*D1347)</f>
        <v>24317.2392553102</v>
      </c>
      <c r="H1347" s="2210" t="n">
        <f aca="false">D1347*E1347*$H$1335</f>
        <v>0</v>
      </c>
      <c r="I1347" s="2784" t="n">
        <f aca="false">IF(G1347&gt;H1347,G1347,H1347)*$H$1335</f>
        <v>0</v>
      </c>
      <c r="J1347" s="2744"/>
      <c r="K1347" s="226" t="n">
        <f aca="false">D1347-J1347</f>
        <v>139.754248593737</v>
      </c>
      <c r="L1347" s="2736"/>
    </row>
    <row r="1348" customFormat="false" ht="15.5" hidden="false" customHeight="false" outlineLevel="0" collapsed="false">
      <c r="A1348" s="2719"/>
      <c r="B1348" s="639" t="str">
        <f aca="false">крыша!A658</f>
        <v>Плитный,28кг/м3, технониколь, 200мм</v>
      </c>
      <c r="C1348" s="238" t="str">
        <f aca="false">крыша!B658</f>
        <v>м3</v>
      </c>
      <c r="D1348" s="245" t="n">
        <f aca="false">крыша!C658</f>
        <v>22.3606797749979</v>
      </c>
      <c r="E1348" s="23" t="n">
        <f aca="false">крыша!D658</f>
        <v>1700</v>
      </c>
      <c r="F1348" s="23"/>
      <c r="G1348" s="122" t="n">
        <f aca="false">IF(F1348&gt;0,D1348*F1348,E1348*D1348)</f>
        <v>38013.1556174964</v>
      </c>
      <c r="H1348" s="2210" t="n">
        <f aca="false">D1348*E1348*$H$1335</f>
        <v>0</v>
      </c>
      <c r="I1348" s="2784" t="n">
        <f aca="false">IF(G1348&gt;H1348,G1348,H1348)*$H$1335</f>
        <v>0</v>
      </c>
      <c r="J1348" s="2744"/>
      <c r="K1348" s="226" t="n">
        <f aca="false">D1348-J1348</f>
        <v>22.3606797749979</v>
      </c>
      <c r="L1348" s="2736"/>
    </row>
    <row r="1349" customFormat="false" ht="15.5" hidden="false" customHeight="false" outlineLevel="0" collapsed="false">
      <c r="A1349" s="2719"/>
      <c r="B1349" s="639" t="str">
        <f aca="false">крыша!A659</f>
        <v>Металлочерепица</v>
      </c>
      <c r="C1349" s="238" t="str">
        <f aca="false">крыша!B659</f>
        <v>м2</v>
      </c>
      <c r="D1349" s="245" t="n">
        <f aca="false">крыша!C659</f>
        <v>192.943510625542</v>
      </c>
      <c r="E1349" s="23" t="n">
        <f aca="false">крыша!D659</f>
        <v>250</v>
      </c>
      <c r="F1349" s="23"/>
      <c r="G1349" s="122" t="n">
        <f aca="false">IF(F1349&gt;0,D1349*F1349,E1349*D1349)</f>
        <v>48235.8776563854</v>
      </c>
      <c r="H1349" s="2210" t="n">
        <f aca="false">D1349*E1349*$H$1335</f>
        <v>0</v>
      </c>
      <c r="I1349" s="2784" t="n">
        <f aca="false">IF(G1349&gt;H1349,G1349,H1349)*$H$1335</f>
        <v>0</v>
      </c>
      <c r="J1349" s="2744"/>
      <c r="K1349" s="226" t="n">
        <f aca="false">D1349-J1349</f>
        <v>192.943510625542</v>
      </c>
      <c r="L1349" s="2736"/>
    </row>
    <row r="1350" customFormat="false" ht="15.5" hidden="false" customHeight="false" outlineLevel="0" collapsed="false">
      <c r="A1350" s="2719"/>
      <c r="B1350" s="639" t="str">
        <f aca="false">крыша!A660</f>
        <v>Карнизная планка</v>
      </c>
      <c r="C1350" s="238" t="str">
        <f aca="false">крыша!B660</f>
        <v>м.п.</v>
      </c>
      <c r="D1350" s="245" t="n">
        <f aca="false">крыша!C660</f>
        <v>14.278</v>
      </c>
      <c r="E1350" s="23" t="n">
        <f aca="false">крыша!D660</f>
        <v>190</v>
      </c>
      <c r="F1350" s="23"/>
      <c r="G1350" s="122" t="n">
        <f aca="false">IF(F1350&gt;0,D1350*F1350,E1350*D1350)</f>
        <v>2712.82</v>
      </c>
      <c r="H1350" s="2210" t="n">
        <f aca="false">D1350*E1350*$H$1335</f>
        <v>0</v>
      </c>
      <c r="I1350" s="2784" t="n">
        <f aca="false">IF(G1350&gt;H1350,G1350,H1350)*$H$1335</f>
        <v>0</v>
      </c>
      <c r="J1350" s="2744"/>
      <c r="K1350" s="226" t="n">
        <f aca="false">D1350-J1350</f>
        <v>14.278</v>
      </c>
      <c r="L1350" s="2736"/>
    </row>
    <row r="1351" customFormat="false" ht="15.5" hidden="false" customHeight="false" outlineLevel="0" collapsed="false">
      <c r="A1351" s="2719"/>
      <c r="B1351" s="639" t="str">
        <f aca="false">крыша!A661</f>
        <v>Торцевая планка</v>
      </c>
      <c r="C1351" s="238" t="str">
        <f aca="false">крыша!B661</f>
        <v>м.п.</v>
      </c>
      <c r="D1351" s="245" t="n">
        <f aca="false">крыша!C661</f>
        <v>41.8384550406915</v>
      </c>
      <c r="E1351" s="23" t="n">
        <f aca="false">крыша!D661</f>
        <v>190</v>
      </c>
      <c r="F1351" s="23"/>
      <c r="G1351" s="122" t="n">
        <f aca="false">IF(F1351&gt;0,D1351*F1351,E1351*D1351)</f>
        <v>7949.30645773139</v>
      </c>
      <c r="H1351" s="2210" t="n">
        <f aca="false">D1351*E1351*$H$1335</f>
        <v>0</v>
      </c>
      <c r="I1351" s="2784" t="n">
        <f aca="false">IF(G1351&gt;H1351,G1351,H1351)*$H$1335</f>
        <v>0</v>
      </c>
      <c r="J1351" s="2744"/>
      <c r="K1351" s="226" t="n">
        <f aca="false">D1351-J1351</f>
        <v>41.8384550406915</v>
      </c>
      <c r="L1351" s="2736"/>
    </row>
    <row r="1352" customFormat="false" ht="15.5" hidden="false" customHeight="false" outlineLevel="0" collapsed="false">
      <c r="A1352" s="2719"/>
      <c r="B1352" s="639" t="str">
        <f aca="false">крыша!A662</f>
        <v>Конек</v>
      </c>
      <c r="C1352" s="238" t="str">
        <f aca="false">крыша!B662</f>
        <v>м.п.</v>
      </c>
      <c r="D1352" s="245" t="n">
        <f aca="false">крыша!C662</f>
        <v>12.98</v>
      </c>
      <c r="E1352" s="23" t="n">
        <f aca="false">крыша!D662</f>
        <v>200</v>
      </c>
      <c r="F1352" s="23"/>
      <c r="G1352" s="122" t="n">
        <f aca="false">IF(F1352&gt;0,D1352*F1352,E1352*D1352)</f>
        <v>2596</v>
      </c>
      <c r="H1352" s="2210" t="n">
        <f aca="false">D1352*E1352*$H$1335</f>
        <v>0</v>
      </c>
      <c r="I1352" s="2784" t="n">
        <f aca="false">IF(G1352&gt;H1352,G1352,H1352)*$H$1335</f>
        <v>0</v>
      </c>
      <c r="J1352" s="2744"/>
      <c r="K1352" s="226" t="n">
        <f aca="false">D1352-J1352</f>
        <v>12.98</v>
      </c>
      <c r="L1352" s="2736"/>
    </row>
    <row r="1353" customFormat="false" ht="15.5" hidden="false" customHeight="false" outlineLevel="0" collapsed="false">
      <c r="A1353" s="2719"/>
      <c r="B1353" s="639" t="str">
        <f aca="false">крыша!A663</f>
        <v>ондулин</v>
      </c>
      <c r="C1353" s="238" t="str">
        <f aca="false">крыша!B663</f>
        <v>м2</v>
      </c>
      <c r="D1353" s="245" t="n">
        <f aca="false">крыша!C663</f>
        <v>0</v>
      </c>
      <c r="E1353" s="23" t="n">
        <f aca="false">крыша!D663</f>
        <v>180</v>
      </c>
      <c r="F1353" s="23"/>
      <c r="G1353" s="122" t="n">
        <f aca="false">IF(F1353&gt;0,D1353*F1353,E1353*D1353)</f>
        <v>0</v>
      </c>
      <c r="H1353" s="2210" t="n">
        <f aca="false">D1353*E1353*$H$1335</f>
        <v>0</v>
      </c>
      <c r="I1353" s="2784" t="n">
        <f aca="false">IF(G1353&gt;H1353,G1353,H1353)*$H$1335</f>
        <v>0</v>
      </c>
      <c r="J1353" s="2744"/>
      <c r="K1353" s="226" t="n">
        <f aca="false">D1353-J1353</f>
        <v>0</v>
      </c>
      <c r="L1353" s="2736"/>
    </row>
    <row r="1354" customFormat="false" ht="15.5" hidden="false" customHeight="false" outlineLevel="0" collapsed="false">
      <c r="A1354" s="2719"/>
      <c r="B1354" s="639" t="str">
        <f aca="false">крыша!A664</f>
        <v>Карнизная планка</v>
      </c>
      <c r="C1354" s="238" t="str">
        <f aca="false">крыша!B664</f>
        <v>м.п.</v>
      </c>
      <c r="D1354" s="245" t="n">
        <f aca="false">крыша!C664</f>
        <v>0</v>
      </c>
      <c r="E1354" s="23" t="n">
        <f aca="false">крыша!D664</f>
        <v>190</v>
      </c>
      <c r="F1354" s="23"/>
      <c r="G1354" s="122" t="n">
        <f aca="false">IF(F1354&gt;0,D1354*F1354,E1354*D1354)</f>
        <v>0</v>
      </c>
      <c r="H1354" s="2210" t="n">
        <f aca="false">D1354*E1354*$H$1335</f>
        <v>0</v>
      </c>
      <c r="I1354" s="2784" t="n">
        <f aca="false">IF(G1354&gt;H1354,G1354,H1354)*$H$1335</f>
        <v>0</v>
      </c>
      <c r="J1354" s="2744"/>
      <c r="K1354" s="226" t="n">
        <f aca="false">D1354-J1354</f>
        <v>0</v>
      </c>
      <c r="L1354" s="2736"/>
    </row>
    <row r="1355" customFormat="false" ht="15.5" hidden="false" customHeight="false" outlineLevel="0" collapsed="false">
      <c r="A1355" s="2719"/>
      <c r="B1355" s="639" t="str">
        <f aca="false">крыша!A665</f>
        <v>Торцевая планка</v>
      </c>
      <c r="C1355" s="238" t="str">
        <f aca="false">крыша!B665</f>
        <v>м.п.</v>
      </c>
      <c r="D1355" s="245" t="n">
        <f aca="false">крыша!C665</f>
        <v>0</v>
      </c>
      <c r="E1355" s="23" t="n">
        <f aca="false">крыша!D665</f>
        <v>190</v>
      </c>
      <c r="F1355" s="23"/>
      <c r="G1355" s="122" t="n">
        <f aca="false">IF(F1355&gt;0,D1355*F1355,E1355*D1355)</f>
        <v>0</v>
      </c>
      <c r="H1355" s="2210" t="n">
        <f aca="false">D1355*E1355*$H$1335</f>
        <v>0</v>
      </c>
      <c r="I1355" s="2784" t="n">
        <f aca="false">IF(G1355&gt;H1355,G1355,H1355)*$H$1335</f>
        <v>0</v>
      </c>
      <c r="J1355" s="2744"/>
      <c r="K1355" s="226" t="n">
        <f aca="false">D1355-J1355</f>
        <v>0</v>
      </c>
      <c r="L1355" s="2736"/>
    </row>
    <row r="1356" customFormat="false" ht="15.5" hidden="false" customHeight="false" outlineLevel="0" collapsed="false">
      <c r="A1356" s="2719"/>
      <c r="B1356" s="639" t="str">
        <f aca="false">крыша!A666</f>
        <v>Конек</v>
      </c>
      <c r="C1356" s="238" t="str">
        <f aca="false">крыша!B666</f>
        <v>м.п</v>
      </c>
      <c r="D1356" s="245" t="n">
        <f aca="false">крыша!C666</f>
        <v>0</v>
      </c>
      <c r="E1356" s="23" t="n">
        <f aca="false">крыша!D666</f>
        <v>200</v>
      </c>
      <c r="F1356" s="23"/>
      <c r="G1356" s="122" t="n">
        <f aca="false">IF(F1356&gt;0,D1356*F1356,E1356*D1356)</f>
        <v>0</v>
      </c>
      <c r="H1356" s="2210" t="n">
        <f aca="false">D1356*E1356*$H$1335</f>
        <v>0</v>
      </c>
      <c r="I1356" s="2784" t="n">
        <f aca="false">IF(G1356&gt;H1356,G1356,H1356)*$H$1335</f>
        <v>0</v>
      </c>
      <c r="J1356" s="2744"/>
      <c r="K1356" s="226" t="n">
        <f aca="false">D1356-J1356</f>
        <v>0</v>
      </c>
      <c r="L1356" s="2736"/>
    </row>
    <row r="1357" customFormat="false" ht="15.5" hidden="false" customHeight="false" outlineLevel="0" collapsed="false">
      <c r="A1357" s="2719"/>
      <c r="B1357" s="639" t="str">
        <f aca="false">крыша!A667</f>
        <v>Ендова нижняя</v>
      </c>
      <c r="C1357" s="238" t="str">
        <f aca="false">крыша!B667</f>
        <v>м.п.</v>
      </c>
      <c r="D1357" s="245" t="n">
        <f aca="false">крыша!C667</f>
        <v>0</v>
      </c>
      <c r="E1357" s="23" t="n">
        <f aca="false">крыша!D667</f>
        <v>160</v>
      </c>
      <c r="F1357" s="23"/>
      <c r="G1357" s="122" t="n">
        <f aca="false">IF(F1357&gt;0,D1357*F1357,E1357*D1357)</f>
        <v>0</v>
      </c>
      <c r="H1357" s="2210" t="n">
        <f aca="false">D1357*E1357*$H$1335</f>
        <v>0</v>
      </c>
      <c r="I1357" s="2784" t="n">
        <f aca="false">IF(G1357&gt;H1357,G1357,H1357)*$H$1335</f>
        <v>0</v>
      </c>
      <c r="J1357" s="2744"/>
      <c r="K1357" s="226" t="n">
        <f aca="false">D1357-J1357</f>
        <v>0</v>
      </c>
      <c r="L1357" s="2736"/>
    </row>
    <row r="1358" customFormat="false" ht="15.5" hidden="false" customHeight="false" outlineLevel="0" collapsed="false">
      <c r="A1358" s="2719"/>
      <c r="B1358" s="639" t="str">
        <f aca="false">крыша!A668</f>
        <v>Ендова верхняя</v>
      </c>
      <c r="C1358" s="238" t="str">
        <f aca="false">крыша!B668</f>
        <v>м.п.</v>
      </c>
      <c r="D1358" s="245" t="n">
        <f aca="false">крыша!C668</f>
        <v>0</v>
      </c>
      <c r="E1358" s="23" t="n">
        <f aca="false">крыша!D668</f>
        <v>190</v>
      </c>
      <c r="F1358" s="23"/>
      <c r="G1358" s="122" t="n">
        <f aca="false">IF(F1358&gt;0,D1358*F1358,E1358*D1358)</f>
        <v>0</v>
      </c>
      <c r="H1358" s="2210" t="n">
        <f aca="false">D1358*E1358*$H$1335</f>
        <v>0</v>
      </c>
      <c r="I1358" s="2784" t="n">
        <f aca="false">IF(G1358&gt;H1358,G1358,H1358)*$H$1335</f>
        <v>0</v>
      </c>
      <c r="J1358" s="2744"/>
      <c r="K1358" s="226" t="n">
        <f aca="false">D1358-J1358</f>
        <v>0</v>
      </c>
      <c r="L1358" s="2736"/>
    </row>
    <row r="1359" customFormat="false" ht="15.5" hidden="false" customHeight="false" outlineLevel="0" collapsed="false">
      <c r="A1359" s="2719"/>
      <c r="B1359" s="639" t="str">
        <f aca="false">крыша!A669</f>
        <v>Планка примыкания</v>
      </c>
      <c r="C1359" s="238" t="str">
        <f aca="false">крыша!B669</f>
        <v>м.п.</v>
      </c>
      <c r="D1359" s="245" t="n">
        <f aca="false">крыша!C669</f>
        <v>0</v>
      </c>
      <c r="E1359" s="23" t="n">
        <f aca="false">крыша!D669</f>
        <v>190</v>
      </c>
      <c r="F1359" s="23"/>
      <c r="G1359" s="122" t="n">
        <f aca="false">IF(F1359&gt;0,D1359*F1359,E1359*D1359)</f>
        <v>0</v>
      </c>
      <c r="H1359" s="2210" t="n">
        <f aca="false">D1359*E1359*$H$1335</f>
        <v>0</v>
      </c>
      <c r="I1359" s="2784" t="n">
        <f aca="false">IF(G1359&gt;H1359,G1359,H1359)*$H$1335</f>
        <v>0</v>
      </c>
      <c r="J1359" s="2744"/>
      <c r="K1359" s="226" t="n">
        <f aca="false">D1359-J1359</f>
        <v>0</v>
      </c>
      <c r="L1359" s="2736"/>
    </row>
    <row r="1360" customFormat="false" ht="15.5" hidden="false" customHeight="false" outlineLevel="0" collapsed="false">
      <c r="A1360" s="2719"/>
      <c r="B1360" s="639" t="str">
        <f aca="false">крыша!A670</f>
        <v>Крепеж для ондулина</v>
      </c>
      <c r="C1360" s="238" t="str">
        <f aca="false">крыша!B670</f>
        <v>шт</v>
      </c>
      <c r="D1360" s="245" t="n">
        <f aca="false">крыша!C670</f>
        <v>0</v>
      </c>
      <c r="E1360" s="23" t="n">
        <f aca="false">крыша!D670</f>
        <v>4.5</v>
      </c>
      <c r="F1360" s="23"/>
      <c r="G1360" s="122" t="n">
        <f aca="false">IF(F1360&gt;0,D1360*F1360,E1360*D1360)</f>
        <v>0</v>
      </c>
      <c r="H1360" s="2210" t="n">
        <f aca="false">D1360*E1360*$H$1335</f>
        <v>0</v>
      </c>
      <c r="I1360" s="2784" t="n">
        <f aca="false">IF(G1360&gt;H1360,G1360,H1360)*$H$1335</f>
        <v>0</v>
      </c>
      <c r="J1360" s="2744"/>
      <c r="K1360" s="226" t="n">
        <f aca="false">D1360-J1360</f>
        <v>0</v>
      </c>
      <c r="L1360" s="2736"/>
    </row>
    <row r="1361" customFormat="false" ht="15.5" hidden="false" customHeight="false" outlineLevel="0" collapsed="false">
      <c r="A1361" s="2719"/>
      <c r="B1361" s="639" t="str">
        <f aca="false">крыша!A671</f>
        <v>нет</v>
      </c>
      <c r="C1361" s="238" t="str">
        <f aca="false">крыша!B671</f>
        <v>м2</v>
      </c>
      <c r="D1361" s="245" t="n">
        <f aca="false">крыша!C671</f>
        <v>197.237722486556</v>
      </c>
      <c r="E1361" s="23" t="n">
        <f aca="false">крыша!D671</f>
        <v>0</v>
      </c>
      <c r="F1361" s="23"/>
      <c r="G1361" s="122" t="n">
        <f aca="false">IF(F1361&gt;0,D1361*F1361,E1361*D1361)</f>
        <v>0</v>
      </c>
      <c r="H1361" s="2210" t="n">
        <f aca="false">D1361*E1361*$H$1335</f>
        <v>0</v>
      </c>
      <c r="I1361" s="2784" t="n">
        <f aca="false">IF(G1361&gt;H1361,G1361,H1361)*$H$1335</f>
        <v>0</v>
      </c>
      <c r="J1361" s="2744"/>
      <c r="K1361" s="226" t="n">
        <f aca="false">D1361-J1361</f>
        <v>197.237722486556</v>
      </c>
      <c r="L1361" s="2736"/>
    </row>
    <row r="1362" customFormat="false" ht="15.5" hidden="false" customHeight="false" outlineLevel="0" collapsed="false">
      <c r="A1362" s="2719"/>
      <c r="B1362" s="639" t="str">
        <f aca="false">крыша!A672</f>
        <v>Рядовая черепица</v>
      </c>
      <c r="C1362" s="238" t="str">
        <f aca="false">крыша!B672</f>
        <v>м2</v>
      </c>
      <c r="D1362" s="245" t="n">
        <f aca="false">крыша!C672</f>
        <v>0</v>
      </c>
      <c r="E1362" s="23" t="n">
        <f aca="false">крыша!D672</f>
        <v>360</v>
      </c>
      <c r="F1362" s="23"/>
      <c r="G1362" s="122" t="n">
        <f aca="false">IF(F1362&gt;0,D1362*F1362,E1362*D1362)</f>
        <v>0</v>
      </c>
      <c r="H1362" s="2210" t="n">
        <f aca="false">D1362*E1362*$H$1335</f>
        <v>0</v>
      </c>
      <c r="I1362" s="2784" t="n">
        <f aca="false">IF(G1362&gt;H1362,G1362,H1362)*$H$1335</f>
        <v>0</v>
      </c>
      <c r="J1362" s="2744"/>
      <c r="K1362" s="226" t="n">
        <f aca="false">D1362-J1362</f>
        <v>0</v>
      </c>
      <c r="L1362" s="2736"/>
    </row>
    <row r="1363" customFormat="false" ht="15.5" hidden="false" customHeight="false" outlineLevel="0" collapsed="false">
      <c r="A1363" s="2719"/>
      <c r="B1363" s="639" t="str">
        <f aca="false">крыша!A673</f>
        <v>Металл оцинк защита (карниз)</v>
      </c>
      <c r="C1363" s="238" t="str">
        <f aca="false">крыша!B673</f>
        <v>м.п.</v>
      </c>
      <c r="D1363" s="245" t="n">
        <f aca="false">крыша!C673</f>
        <v>0</v>
      </c>
      <c r="E1363" s="23" t="n">
        <f aca="false">крыша!D673</f>
        <v>200</v>
      </c>
      <c r="F1363" s="23"/>
      <c r="G1363" s="122" t="n">
        <f aca="false">IF(F1363&gt;0,D1363*F1363,E1363*D1363)</f>
        <v>0</v>
      </c>
      <c r="H1363" s="2210" t="n">
        <f aca="false">D1363*E1363*$H$1335</f>
        <v>0</v>
      </c>
      <c r="I1363" s="2784" t="n">
        <f aca="false">IF(G1363&gt;H1363,G1363,H1363)*$H$1335</f>
        <v>0</v>
      </c>
      <c r="J1363" s="2744"/>
      <c r="K1363" s="226" t="n">
        <f aca="false">D1363-J1363</f>
        <v>0</v>
      </c>
      <c r="L1363" s="2736"/>
    </row>
    <row r="1364" customFormat="false" ht="15.5" hidden="false" customHeight="false" outlineLevel="0" collapsed="false">
      <c r="A1364" s="2719"/>
      <c r="B1364" s="639" t="str">
        <f aca="false">крыша!A674</f>
        <v>Подкладочный ковер</v>
      </c>
      <c r="C1364" s="238" t="str">
        <f aca="false">крыша!B674</f>
        <v>м.п.</v>
      </c>
      <c r="D1364" s="245" t="n">
        <f aca="false">крыша!C674</f>
        <v>0</v>
      </c>
      <c r="E1364" s="23" t="n">
        <f aca="false">крыша!D674</f>
        <v>220</v>
      </c>
      <c r="F1364" s="23"/>
      <c r="G1364" s="122" t="n">
        <f aca="false">IF(F1364&gt;0,D1364*F1364,E1364*D1364)</f>
        <v>0</v>
      </c>
      <c r="H1364" s="2210" t="n">
        <f aca="false">D1364*E1364*$H$1335</f>
        <v>0</v>
      </c>
      <c r="I1364" s="2784" t="n">
        <f aca="false">IF(G1364&gt;H1364,G1364,H1364)*$H$1335</f>
        <v>0</v>
      </c>
      <c r="J1364" s="2744"/>
      <c r="K1364" s="226" t="n">
        <f aca="false">D1364-J1364</f>
        <v>0</v>
      </c>
      <c r="L1364" s="2736"/>
    </row>
    <row r="1365" customFormat="false" ht="15.5" hidden="false" customHeight="false" outlineLevel="0" collapsed="false">
      <c r="A1365" s="2719"/>
      <c r="B1365" s="639" t="str">
        <f aca="false">крыша!A675</f>
        <v>Карнизная самоклеющаяся черепица</v>
      </c>
      <c r="C1365" s="238" t="str">
        <f aca="false">крыша!B675</f>
        <v>м.п.</v>
      </c>
      <c r="D1365" s="245" t="n">
        <f aca="false">крыша!C675</f>
        <v>0</v>
      </c>
      <c r="E1365" s="23" t="n">
        <f aca="false">крыша!D675</f>
        <v>220</v>
      </c>
      <c r="F1365" s="23"/>
      <c r="G1365" s="122" t="n">
        <f aca="false">IF(F1365&gt;0,D1365*F1365,E1365*D1365)</f>
        <v>0</v>
      </c>
      <c r="H1365" s="2210" t="n">
        <f aca="false">D1365*E1365*$H$1335</f>
        <v>0</v>
      </c>
      <c r="I1365" s="2784" t="n">
        <f aca="false">IF(G1365&gt;H1365,G1365,H1365)*$H$1335</f>
        <v>0</v>
      </c>
      <c r="J1365" s="2744"/>
      <c r="K1365" s="226" t="n">
        <f aca="false">D1365-J1365</f>
        <v>0</v>
      </c>
      <c r="L1365" s="2736"/>
    </row>
    <row r="1366" customFormat="false" ht="15.5" hidden="false" customHeight="false" outlineLevel="0" collapsed="false">
      <c r="A1366" s="2719"/>
      <c r="B1366" s="639" t="str">
        <f aca="false">крыша!A676</f>
        <v>Спец ковер ендова нижняя</v>
      </c>
      <c r="C1366" s="238" t="str">
        <f aca="false">крыша!B676</f>
        <v>м.п.</v>
      </c>
      <c r="D1366" s="245" t="n">
        <f aca="false">крыша!C676</f>
        <v>0</v>
      </c>
      <c r="E1366" s="23" t="n">
        <f aca="false">крыша!D676</f>
        <v>200</v>
      </c>
      <c r="F1366" s="23"/>
      <c r="G1366" s="122" t="n">
        <f aca="false">IF(F1366&gt;0,D1366*F1366,E1366*D1366)</f>
        <v>0</v>
      </c>
      <c r="H1366" s="2210" t="n">
        <f aca="false">D1366*E1366*$H$1335</f>
        <v>0</v>
      </c>
      <c r="I1366" s="2784" t="n">
        <f aca="false">IF(G1366&gt;H1366,G1366,H1366)*$H$1335</f>
        <v>0</v>
      </c>
      <c r="J1366" s="2744"/>
      <c r="K1366" s="226" t="n">
        <f aca="false">D1366-J1366</f>
        <v>0</v>
      </c>
      <c r="L1366" s="2736"/>
    </row>
    <row r="1367" customFormat="false" ht="15.5" hidden="false" customHeight="false" outlineLevel="0" collapsed="false">
      <c r="A1367" s="2719"/>
      <c r="B1367" s="639" t="str">
        <f aca="false">крыша!A677</f>
        <v>Коньковой элемент</v>
      </c>
      <c r="C1367" s="238" t="str">
        <f aca="false">крыша!B677</f>
        <v>м.п.</v>
      </c>
      <c r="D1367" s="245" t="n">
        <f aca="false">крыша!C677</f>
        <v>0</v>
      </c>
      <c r="E1367" s="23" t="n">
        <f aca="false">крыша!D677</f>
        <v>250</v>
      </c>
      <c r="F1367" s="23"/>
      <c r="G1367" s="122" t="n">
        <f aca="false">IF(F1367&gt;0,D1367*F1367,E1367*D1367)</f>
        <v>0</v>
      </c>
      <c r="H1367" s="2210" t="n">
        <f aca="false">D1367*E1367*$H$1335</f>
        <v>0</v>
      </c>
      <c r="I1367" s="2784" t="n">
        <f aca="false">IF(G1367&gt;H1367,G1367,H1367)*$H$1335</f>
        <v>0</v>
      </c>
      <c r="J1367" s="2744"/>
      <c r="K1367" s="226" t="n">
        <f aca="false">D1367-J1367</f>
        <v>0</v>
      </c>
      <c r="L1367" s="2736"/>
    </row>
    <row r="1368" customFormat="false" ht="15.5" hidden="false" customHeight="false" outlineLevel="0" collapsed="false">
      <c r="A1368" s="2719"/>
      <c r="B1368" s="639" t="str">
        <f aca="false">крыша!A678</f>
        <v>Планка премыкания</v>
      </c>
      <c r="C1368" s="238" t="str">
        <f aca="false">крыша!B678</f>
        <v>м.п.</v>
      </c>
      <c r="D1368" s="245" t="n">
        <f aca="false">крыша!C678</f>
        <v>0</v>
      </c>
      <c r="E1368" s="23" t="n">
        <f aca="false">крыша!D678</f>
        <v>200</v>
      </c>
      <c r="F1368" s="23"/>
      <c r="G1368" s="122" t="n">
        <f aca="false">IF(F1368&gt;0,D1368*F1368,E1368*D1368)</f>
        <v>0</v>
      </c>
      <c r="H1368" s="2210" t="n">
        <f aca="false">D1368*E1368*$H$1335</f>
        <v>0</v>
      </c>
      <c r="I1368" s="2784" t="n">
        <f aca="false">IF(G1368&gt;H1368,G1368,H1368)*$H$1335</f>
        <v>0</v>
      </c>
      <c r="J1368" s="2744"/>
      <c r="K1368" s="226" t="n">
        <f aca="false">D1368-J1368</f>
        <v>0</v>
      </c>
      <c r="L1368" s="2736"/>
    </row>
    <row r="1369" customFormat="false" ht="15.5" hidden="false" customHeight="false" outlineLevel="0" collapsed="false">
      <c r="A1369" s="2719"/>
      <c r="B1369" s="639" t="str">
        <f aca="false">крыша!A679</f>
        <v>Гвозди для крепления подкладочного ковра</v>
      </c>
      <c r="C1369" s="238" t="str">
        <f aca="false">крыша!B679</f>
        <v>шт</v>
      </c>
      <c r="D1369" s="245" t="n">
        <f aca="false">крыша!C679</f>
        <v>0</v>
      </c>
      <c r="E1369" s="23" t="n">
        <f aca="false">крыша!D679</f>
        <v>0.012</v>
      </c>
      <c r="F1369" s="23"/>
      <c r="G1369" s="122" t="n">
        <f aca="false">IF(F1369&gt;0,D1369*F1369,E1369*D1369)</f>
        <v>0</v>
      </c>
      <c r="H1369" s="2210" t="n">
        <f aca="false">D1369*E1369*$H$1335</f>
        <v>0</v>
      </c>
      <c r="I1369" s="2784" t="n">
        <f aca="false">IF(G1369&gt;H1369,G1369,H1369)*$H$1335</f>
        <v>0</v>
      </c>
      <c r="J1369" s="2744"/>
      <c r="K1369" s="226" t="n">
        <f aca="false">D1369-J1369</f>
        <v>0</v>
      </c>
      <c r="L1369" s="2736"/>
    </row>
    <row r="1370" customFormat="false" ht="15.5" hidden="false" customHeight="false" outlineLevel="0" collapsed="false">
      <c r="A1370" s="2719"/>
      <c r="B1370" s="639" t="str">
        <f aca="false">крыша!A680</f>
        <v>Гвозди для крепления черепицы</v>
      </c>
      <c r="C1370" s="238" t="str">
        <f aca="false">крыша!B680</f>
        <v>шт</v>
      </c>
      <c r="D1370" s="245" t="n">
        <f aca="false">крыша!C680</f>
        <v>0</v>
      </c>
      <c r="E1370" s="23" t="n">
        <f aca="false">крыша!D680</f>
        <v>0.25</v>
      </c>
      <c r="F1370" s="23"/>
      <c r="G1370" s="122" t="n">
        <f aca="false">IF(F1370&gt;0,D1370*F1370,E1370*D1370)</f>
        <v>0</v>
      </c>
      <c r="H1370" s="2210" t="n">
        <f aca="false">D1370*E1370*$H$1335</f>
        <v>0</v>
      </c>
      <c r="I1370" s="2784" t="n">
        <f aca="false">IF(G1370&gt;H1370,G1370,H1370)*$H$1335</f>
        <v>0</v>
      </c>
      <c r="J1370" s="2744"/>
      <c r="K1370" s="226" t="n">
        <f aca="false">D1370-J1370</f>
        <v>0</v>
      </c>
      <c r="L1370" s="2736"/>
    </row>
    <row r="1371" customFormat="false" ht="15.5" hidden="false" customHeight="false" outlineLevel="0" collapsed="false">
      <c r="A1371" s="2719"/>
      <c r="B1371" s="639" t="str">
        <f aca="false">крыша!A681</f>
        <v>Клей для монтажа черепицы</v>
      </c>
      <c r="C1371" s="238" t="str">
        <f aca="false">крыша!B681</f>
        <v>кг</v>
      </c>
      <c r="D1371" s="245" t="n">
        <f aca="false">крыша!C681</f>
        <v>0</v>
      </c>
      <c r="E1371" s="23" t="n">
        <f aca="false">крыша!D681</f>
        <v>250</v>
      </c>
      <c r="F1371" s="23"/>
      <c r="G1371" s="122" t="n">
        <f aca="false">IF(F1371&gt;0,D1371*F1371,E1371*D1371)</f>
        <v>0</v>
      </c>
      <c r="H1371" s="2210" t="n">
        <f aca="false">D1371*E1371*$H$1335</f>
        <v>0</v>
      </c>
      <c r="I1371" s="2784" t="n">
        <f aca="false">IF(G1371&gt;H1371,G1371,H1371)*$H$1335</f>
        <v>0</v>
      </c>
      <c r="J1371" s="2744"/>
      <c r="K1371" s="226" t="n">
        <f aca="false">D1371-J1371</f>
        <v>0</v>
      </c>
      <c r="L1371" s="2736"/>
    </row>
    <row r="1372" customFormat="false" ht="15.5" hidden="false" customHeight="false" outlineLevel="0" collapsed="false">
      <c r="A1372" s="2719"/>
      <c r="B1372" s="639" t="str">
        <f aca="false">крыша!A682</f>
        <v>желоб</v>
      </c>
      <c r="C1372" s="238" t="str">
        <f aca="false">крыша!B682</f>
        <v>м.п</v>
      </c>
      <c r="D1372" s="245" t="n">
        <f aca="false">крыша!C682</f>
        <v>11.8</v>
      </c>
      <c r="E1372" s="23" t="n">
        <f aca="false">крыша!D682</f>
        <v>300</v>
      </c>
      <c r="F1372" s="23"/>
      <c r="G1372" s="122" t="n">
        <f aca="false">IF(F1372&gt;0,D1372*F1372,E1372*D1372)</f>
        <v>3540</v>
      </c>
      <c r="H1372" s="2210" t="n">
        <f aca="false">D1372*E1372*$H$1335</f>
        <v>0</v>
      </c>
      <c r="I1372" s="2784" t="n">
        <f aca="false">IF(G1372&gt;H1372,G1372,H1372)*$H$1335</f>
        <v>0</v>
      </c>
      <c r="J1372" s="2744"/>
      <c r="K1372" s="226" t="n">
        <f aca="false">D1372-J1372</f>
        <v>11.8</v>
      </c>
      <c r="L1372" s="2736"/>
    </row>
    <row r="1373" customFormat="false" ht="15.5" hidden="false" customHeight="false" outlineLevel="0" collapsed="false">
      <c r="A1373" s="2719"/>
      <c r="B1373" s="639" t="str">
        <f aca="false">крыша!A683</f>
        <v>отвод</v>
      </c>
      <c r="C1373" s="238" t="str">
        <f aca="false">крыша!B683</f>
        <v>шт</v>
      </c>
      <c r="D1373" s="245" t="n">
        <f aca="false">крыша!C683</f>
        <v>2</v>
      </c>
      <c r="E1373" s="23" t="n">
        <f aca="false">крыша!D683</f>
        <v>250</v>
      </c>
      <c r="F1373" s="23"/>
      <c r="G1373" s="122" t="n">
        <f aca="false">IF(F1373&gt;0,D1373*F1373,E1373*D1373)</f>
        <v>500</v>
      </c>
      <c r="H1373" s="2210" t="n">
        <f aca="false">D1373*E1373*$H$1335</f>
        <v>0</v>
      </c>
      <c r="I1373" s="2784" t="n">
        <f aca="false">IF(G1373&gt;H1373,G1373,H1373)*$H$1335</f>
        <v>0</v>
      </c>
      <c r="J1373" s="2744"/>
      <c r="K1373" s="226" t="n">
        <f aca="false">D1373-J1373</f>
        <v>2</v>
      </c>
      <c r="L1373" s="2736"/>
    </row>
    <row r="1374" customFormat="false" ht="15.5" hidden="false" customHeight="false" outlineLevel="0" collapsed="false">
      <c r="A1374" s="2719"/>
      <c r="B1374" s="639" t="str">
        <f aca="false">крыша!A684</f>
        <v>труба водосточная</v>
      </c>
      <c r="C1374" s="238" t="str">
        <f aca="false">крыша!B684</f>
        <v>м.п.</v>
      </c>
      <c r="D1374" s="245" t="n">
        <f aca="false">крыша!C684</f>
        <v>8.4</v>
      </c>
      <c r="E1374" s="23" t="n">
        <f aca="false">крыша!D684</f>
        <v>300</v>
      </c>
      <c r="F1374" s="23"/>
      <c r="G1374" s="122" t="n">
        <f aca="false">IF(F1374&gt;0,D1374*F1374,E1374*D1374)</f>
        <v>2520</v>
      </c>
      <c r="H1374" s="2210" t="n">
        <f aca="false">D1374*E1374*$H$1335</f>
        <v>0</v>
      </c>
      <c r="I1374" s="2784" t="n">
        <f aca="false">IF(G1374&gt;H1374,G1374,H1374)*$H$1335</f>
        <v>0</v>
      </c>
      <c r="J1374" s="2744"/>
      <c r="K1374" s="226" t="n">
        <f aca="false">D1374-J1374</f>
        <v>8.4</v>
      </c>
      <c r="L1374" s="2736"/>
    </row>
    <row r="1375" customFormat="false" ht="15.5" hidden="false" customHeight="false" outlineLevel="0" collapsed="false">
      <c r="A1375" s="2719"/>
      <c r="B1375" s="639" t="str">
        <f aca="false">крыша!A685</f>
        <v>заглушка для желоба</v>
      </c>
      <c r="C1375" s="238" t="str">
        <f aca="false">крыша!B685</f>
        <v>шт</v>
      </c>
      <c r="D1375" s="245" t="n">
        <f aca="false">крыша!C685</f>
        <v>2</v>
      </c>
      <c r="E1375" s="23" t="n">
        <f aca="false">крыша!D685</f>
        <v>190</v>
      </c>
      <c r="F1375" s="23"/>
      <c r="G1375" s="122" t="n">
        <f aca="false">IF(F1375&gt;0,D1375*F1375,E1375*D1375)</f>
        <v>380</v>
      </c>
      <c r="H1375" s="2210" t="n">
        <f aca="false">D1375*E1375*$H$1335</f>
        <v>0</v>
      </c>
      <c r="I1375" s="2784" t="n">
        <f aca="false">IF(G1375&gt;H1375,G1375,H1375)*$H$1335</f>
        <v>0</v>
      </c>
      <c r="J1375" s="2744"/>
      <c r="K1375" s="226" t="n">
        <f aca="false">D1375-J1375</f>
        <v>2</v>
      </c>
      <c r="L1375" s="2736"/>
    </row>
    <row r="1376" customFormat="false" ht="15.5" hidden="false" customHeight="false" outlineLevel="0" collapsed="false">
      <c r="A1376" s="2719"/>
      <c r="B1376" s="639" t="str">
        <f aca="false">крыша!A686</f>
        <v>соеденитель для желоба</v>
      </c>
      <c r="C1376" s="238" t="str">
        <f aca="false">крыша!B686</f>
        <v>шт</v>
      </c>
      <c r="D1376" s="245" t="n">
        <f aca="false">крыша!C686</f>
        <v>7</v>
      </c>
      <c r="E1376" s="23" t="n">
        <f aca="false">крыша!D686</f>
        <v>180</v>
      </c>
      <c r="F1376" s="23"/>
      <c r="G1376" s="122" t="n">
        <f aca="false">IF(F1376&gt;0,D1376*F1376,E1376*D1376)</f>
        <v>1260</v>
      </c>
      <c r="H1376" s="2210" t="n">
        <f aca="false">D1376*E1376*$H$1335</f>
        <v>0</v>
      </c>
      <c r="I1376" s="2784" t="n">
        <f aca="false">IF(G1376&gt;H1376,G1376,H1376)*$H$1335</f>
        <v>0</v>
      </c>
      <c r="J1376" s="2744"/>
      <c r="K1376" s="226" t="n">
        <f aca="false">D1376-J1376</f>
        <v>7</v>
      </c>
      <c r="L1376" s="2736"/>
    </row>
    <row r="1377" customFormat="false" ht="15.5" hidden="false" customHeight="false" outlineLevel="0" collapsed="false">
      <c r="A1377" s="2719"/>
      <c r="B1377" s="639" t="str">
        <f aca="false">крыша!A687</f>
        <v>кронштейн для желоба</v>
      </c>
      <c r="C1377" s="238" t="str">
        <f aca="false">крыша!B687</f>
        <v>шт</v>
      </c>
      <c r="D1377" s="245" t="n">
        <f aca="false">крыша!C687</f>
        <v>33.5</v>
      </c>
      <c r="E1377" s="23" t="n">
        <f aca="false">крыша!D687</f>
        <v>130</v>
      </c>
      <c r="F1377" s="23"/>
      <c r="G1377" s="122" t="n">
        <f aca="false">IF(F1377&gt;0,D1377*F1377,E1377*D1377)</f>
        <v>4355</v>
      </c>
      <c r="H1377" s="2210" t="n">
        <f aca="false">D1377*E1377*$H$1335</f>
        <v>0</v>
      </c>
      <c r="I1377" s="2784" t="n">
        <f aca="false">IF(G1377&gt;H1377,G1377,H1377)*$H$1335</f>
        <v>0</v>
      </c>
      <c r="J1377" s="2744"/>
      <c r="K1377" s="226" t="n">
        <f aca="false">D1377-J1377</f>
        <v>33.5</v>
      </c>
      <c r="L1377" s="2736"/>
    </row>
    <row r="1378" customFormat="false" ht="15.5" hidden="false" customHeight="false" outlineLevel="0" collapsed="false">
      <c r="A1378" s="2719"/>
      <c r="B1378" s="639" t="str">
        <f aca="false">крыша!A688</f>
        <v>переход из желоба в трубу</v>
      </c>
      <c r="C1378" s="238" t="str">
        <f aca="false">крыша!B688</f>
        <v>шт</v>
      </c>
      <c r="D1378" s="245" t="n">
        <f aca="false">крыша!C688</f>
        <v>2</v>
      </c>
      <c r="E1378" s="23" t="n">
        <f aca="false">крыша!D688</f>
        <v>350</v>
      </c>
      <c r="F1378" s="23"/>
      <c r="G1378" s="122" t="n">
        <f aca="false">IF(F1378&gt;0,D1378*F1378,E1378*D1378)</f>
        <v>700</v>
      </c>
      <c r="H1378" s="2210" t="n">
        <f aca="false">D1378*E1378*$H$1335</f>
        <v>0</v>
      </c>
      <c r="I1378" s="2784" t="n">
        <f aca="false">IF(G1378&gt;H1378,G1378,H1378)*$H$1335</f>
        <v>0</v>
      </c>
      <c r="J1378" s="2744"/>
      <c r="K1378" s="226" t="n">
        <f aca="false">D1378-J1378</f>
        <v>2</v>
      </c>
      <c r="L1378" s="2736"/>
    </row>
    <row r="1379" customFormat="false" ht="15.5" hidden="false" customHeight="false" outlineLevel="0" collapsed="false">
      <c r="A1379" s="2719"/>
      <c r="B1379" s="639" t="str">
        <f aca="false">крыша!A689</f>
        <v>лента дельта мульти бэнд</v>
      </c>
      <c r="C1379" s="238" t="str">
        <f aca="false">крыша!B689</f>
        <v>шт</v>
      </c>
      <c r="D1379" s="245" t="n">
        <f aca="false">крыша!C689</f>
        <v>3</v>
      </c>
      <c r="E1379" s="23" t="n">
        <f aca="false">крыша!D689</f>
        <v>1200</v>
      </c>
      <c r="F1379" s="23"/>
      <c r="G1379" s="122" t="n">
        <f aca="false">IF(F1379&gt;0,D1379*F1379,E1379*D1379)</f>
        <v>3600</v>
      </c>
      <c r="H1379" s="2210" t="n">
        <f aca="false">D1379*E1379*$H$1335</f>
        <v>0</v>
      </c>
      <c r="I1379" s="2784" t="n">
        <f aca="false">IF(G1379&gt;H1379,G1379,H1379)*$H$1335</f>
        <v>0</v>
      </c>
      <c r="J1379" s="2744"/>
      <c r="K1379" s="226" t="n">
        <f aca="false">D1379-J1379</f>
        <v>3</v>
      </c>
      <c r="L1379" s="2736"/>
    </row>
    <row r="1380" customFormat="false" ht="15.5" hidden="false" customHeight="false" outlineLevel="0" collapsed="false">
      <c r="A1380" s="2719"/>
      <c r="B1380" s="639" t="str">
        <f aca="false">крыша!A690</f>
        <v>лента дельта sb-60</v>
      </c>
      <c r="C1380" s="238" t="str">
        <f aca="false">крыша!B690</f>
        <v>шт</v>
      </c>
      <c r="D1380" s="245" t="n">
        <f aca="false">крыша!C690</f>
        <v>10</v>
      </c>
      <c r="E1380" s="23" t="n">
        <f aca="false">крыша!D690</f>
        <v>1100</v>
      </c>
      <c r="F1380" s="23"/>
      <c r="G1380" s="122" t="n">
        <f aca="false">IF(F1380&gt;0,D1380*F1380,E1380*D1380)</f>
        <v>11000</v>
      </c>
      <c r="H1380" s="2210" t="n">
        <f aca="false">D1380*E1380*$H$1335</f>
        <v>0</v>
      </c>
      <c r="I1380" s="2784" t="n">
        <f aca="false">IF(G1380&gt;H1380,G1380,H1380)*$H$1335</f>
        <v>0</v>
      </c>
      <c r="J1380" s="2744"/>
      <c r="K1380" s="226" t="n">
        <f aca="false">D1380-J1380</f>
        <v>10</v>
      </c>
      <c r="L1380" s="2736"/>
    </row>
    <row r="1381" customFormat="false" ht="15.5" hidden="false" customHeight="false" outlineLevel="0" collapsed="false">
      <c r="A1381" s="2719"/>
      <c r="B1381" s="639" t="str">
        <f aca="false">крыша!A691</f>
        <v>проходка кровельная, канализационная</v>
      </c>
      <c r="C1381" s="238" t="str">
        <f aca="false">крыша!B691</f>
        <v>шт</v>
      </c>
      <c r="D1381" s="245" t="n">
        <f aca="false">крыша!C691</f>
        <v>0</v>
      </c>
      <c r="E1381" s="23" t="n">
        <f aca="false">крыша!D691</f>
        <v>3500</v>
      </c>
      <c r="F1381" s="23"/>
      <c r="G1381" s="122" t="n">
        <f aca="false">IF(F1381&gt;0,D1381*F1381,E1381*D1381)</f>
        <v>0</v>
      </c>
      <c r="H1381" s="2210" t="n">
        <f aca="false">D1381*E1381*$H$1335</f>
        <v>0</v>
      </c>
      <c r="I1381" s="2784" t="n">
        <f aca="false">IF(G1381&gt;H1381,G1381,H1381)*$H$1335</f>
        <v>0</v>
      </c>
      <c r="J1381" s="2744"/>
      <c r="K1381" s="226" t="n">
        <f aca="false">D1381-J1381</f>
        <v>0</v>
      </c>
      <c r="L1381" s="2736"/>
    </row>
    <row r="1382" customFormat="false" ht="15.5" hidden="false" customHeight="false" outlineLevel="0" collapsed="false">
      <c r="A1382" s="2719"/>
      <c r="B1382" s="639" t="str">
        <f aca="false">крыша!A692</f>
        <v>проходка кровельная, вентиляционная</v>
      </c>
      <c r="C1382" s="238" t="str">
        <f aca="false">крыша!B692</f>
        <v>шт</v>
      </c>
      <c r="D1382" s="245" t="n">
        <f aca="false">крыша!C692</f>
        <v>0</v>
      </c>
      <c r="E1382" s="23" t="n">
        <f aca="false">крыша!D692</f>
        <v>3500</v>
      </c>
      <c r="F1382" s="23"/>
      <c r="G1382" s="122" t="n">
        <f aca="false">IF(F1382&gt;0,D1382*F1382,E1382*D1382)</f>
        <v>0</v>
      </c>
      <c r="H1382" s="2210" t="n">
        <f aca="false">D1382*E1382*$H$1335</f>
        <v>0</v>
      </c>
      <c r="I1382" s="2784" t="n">
        <f aca="false">IF(G1382&gt;H1382,G1382,H1382)*$H$1335</f>
        <v>0</v>
      </c>
      <c r="J1382" s="2744"/>
      <c r="K1382" s="226" t="n">
        <f aca="false">D1382-J1382</f>
        <v>0</v>
      </c>
      <c r="L1382" s="2736"/>
    </row>
    <row r="1383" customFormat="false" ht="15.5" hidden="false" customHeight="false" outlineLevel="0" collapsed="false">
      <c r="A1383" s="2719"/>
      <c r="B1383" s="639" t="str">
        <f aca="false">крыша!A693</f>
        <v>проодка кровельная, труба котел</v>
      </c>
      <c r="C1383" s="238" t="str">
        <f aca="false">крыша!B693</f>
        <v>шт</v>
      </c>
      <c r="D1383" s="245" t="n">
        <f aca="false">крыша!C693</f>
        <v>0</v>
      </c>
      <c r="E1383" s="23" t="n">
        <f aca="false">крыша!D693</f>
        <v>4500</v>
      </c>
      <c r="F1383" s="23"/>
      <c r="G1383" s="122" t="n">
        <f aca="false">IF(F1383&gt;0,D1383*F1383,E1383*D1383)</f>
        <v>0</v>
      </c>
      <c r="H1383" s="2210" t="n">
        <f aca="false">D1383*E1383*$H$1335</f>
        <v>0</v>
      </c>
      <c r="I1383" s="2784" t="n">
        <f aca="false">IF(G1383&gt;H1383,G1383,H1383)*$H$1335</f>
        <v>0</v>
      </c>
      <c r="J1383" s="2744"/>
      <c r="K1383" s="226" t="n">
        <f aca="false">D1383-J1383</f>
        <v>0</v>
      </c>
      <c r="L1383" s="2736"/>
    </row>
    <row r="1384" customFormat="false" ht="15.5" hidden="false" customHeight="false" outlineLevel="0" collapsed="false">
      <c r="A1384" s="2719"/>
      <c r="B1384" s="639" t="str">
        <f aca="false">крыша!A694</f>
        <v>Кровельный саморез</v>
      </c>
      <c r="C1384" s="238" t="str">
        <f aca="false">крыша!B694</f>
        <v>шт</v>
      </c>
      <c r="D1384" s="245" t="n">
        <f aca="false">крыша!C694</f>
        <v>2315.3221275065</v>
      </c>
      <c r="E1384" s="23" t="n">
        <f aca="false">крыша!D694</f>
        <v>2</v>
      </c>
      <c r="F1384" s="23"/>
      <c r="G1384" s="122" t="n">
        <f aca="false">IF(F1384&gt;0,D1384*F1384,E1384*D1384)</f>
        <v>4630.644255013</v>
      </c>
      <c r="H1384" s="2210" t="n">
        <f aca="false">D1384*E1384*$H$1335</f>
        <v>0</v>
      </c>
      <c r="I1384" s="2784" t="n">
        <f aca="false">IF(G1384&gt;H1384,G1384,H1384)*$H$1335</f>
        <v>0</v>
      </c>
      <c r="J1384" s="2744"/>
      <c r="K1384" s="226" t="n">
        <f aca="false">D1384-J1384</f>
        <v>2315.3221275065</v>
      </c>
      <c r="L1384" s="2736"/>
    </row>
    <row r="1385" customFormat="false" ht="15.5" hidden="false" customHeight="false" outlineLevel="0" collapsed="false">
      <c r="A1385" s="2719"/>
      <c r="B1385" s="639" t="str">
        <f aca="false">крыша!A695</f>
        <v>Гвозди ершоные 3,4 x 60</v>
      </c>
      <c r="C1385" s="238" t="str">
        <f aca="false">крыша!B695</f>
        <v>кг</v>
      </c>
      <c r="D1385" s="245" t="n">
        <f aca="false">крыша!C695</f>
        <v>16.0786258854618</v>
      </c>
      <c r="E1385" s="23" t="n">
        <f aca="false">крыша!D695</f>
        <v>75.51</v>
      </c>
      <c r="F1385" s="23"/>
      <c r="G1385" s="122" t="n">
        <f aca="false">IF(F1385&gt;0,D1385*F1385,E1385*D1385)</f>
        <v>1214.09704061122</v>
      </c>
      <c r="H1385" s="2210" t="n">
        <f aca="false">D1385*E1385*$H$1335</f>
        <v>0</v>
      </c>
      <c r="I1385" s="2784" t="n">
        <f aca="false">IF(G1385&gt;H1385,G1385,H1385)*$H$1335</f>
        <v>0</v>
      </c>
      <c r="J1385" s="2744"/>
      <c r="K1385" s="226" t="n">
        <f aca="false">D1385-J1385</f>
        <v>16.0786258854618</v>
      </c>
      <c r="L1385" s="2736"/>
    </row>
    <row r="1386" customFormat="false" ht="15.5" hidden="false" customHeight="false" outlineLevel="0" collapsed="false">
      <c r="A1386" s="2719"/>
      <c r="B1386" s="639" t="str">
        <f aca="false">крыша!A696</f>
        <v>Гвозди ершоные 2,8 х 90</v>
      </c>
      <c r="C1386" s="238" t="str">
        <f aca="false">крыша!B696</f>
        <v>кг</v>
      </c>
      <c r="D1386" s="245" t="n">
        <f aca="false">крыша!C696</f>
        <v>36.4509870509381</v>
      </c>
      <c r="E1386" s="23" t="n">
        <f aca="false">крыша!D696</f>
        <v>76.49</v>
      </c>
      <c r="F1386" s="23"/>
      <c r="G1386" s="122" t="n">
        <f aca="false">IF(F1386&gt;0,D1386*F1386,E1386*D1386)</f>
        <v>2788.13599952626</v>
      </c>
      <c r="H1386" s="2210" t="n">
        <f aca="false">D1386*E1386*$H$1335</f>
        <v>0</v>
      </c>
      <c r="I1386" s="2784" t="n">
        <f aca="false">IF(G1386&gt;H1386,G1386,H1386)*$H$1335</f>
        <v>0</v>
      </c>
      <c r="J1386" s="2744"/>
      <c r="K1386" s="226" t="n">
        <f aca="false">D1386-J1386</f>
        <v>36.4509870509381</v>
      </c>
      <c r="L1386" s="2736"/>
    </row>
    <row r="1387" customFormat="false" ht="15.5" hidden="false" customHeight="false" outlineLevel="0" collapsed="false">
      <c r="A1387" s="2719"/>
      <c r="B1387" s="639" t="str">
        <f aca="false">крыша!A697</f>
        <v>Пластина соеденительная 100х240х2</v>
      </c>
      <c r="C1387" s="238" t="str">
        <f aca="false">крыша!B697</f>
        <v>шт</v>
      </c>
      <c r="D1387" s="245" t="n">
        <f aca="false">крыша!C697</f>
        <v>0</v>
      </c>
      <c r="E1387" s="23" t="n">
        <f aca="false">крыша!D697</f>
        <v>31.54</v>
      </c>
      <c r="F1387" s="23"/>
      <c r="G1387" s="122" t="n">
        <f aca="false">IF(F1387&gt;0,D1387*F1387,E1387*D1387)</f>
        <v>0</v>
      </c>
      <c r="H1387" s="2210" t="n">
        <f aca="false">D1387*E1387*$H$1335</f>
        <v>0</v>
      </c>
      <c r="I1387" s="2784" t="n">
        <f aca="false">IF(G1387&gt;H1387,G1387,H1387)*$H$1335</f>
        <v>0</v>
      </c>
      <c r="J1387" s="2744"/>
      <c r="K1387" s="226" t="n">
        <f aca="false">D1387-J1387</f>
        <v>0</v>
      </c>
      <c r="L1387" s="2736"/>
    </row>
    <row r="1388" customFormat="false" ht="15.5" hidden="false" customHeight="false" outlineLevel="0" collapsed="false">
      <c r="A1388" s="2719"/>
      <c r="B1388" s="639" t="str">
        <f aca="false">крыша!A698</f>
        <v>Уголок усиленный 90х70х55х2,5</v>
      </c>
      <c r="C1388" s="238" t="str">
        <f aca="false">крыша!B698</f>
        <v>шт</v>
      </c>
      <c r="D1388" s="245" t="n">
        <f aca="false">крыша!C698</f>
        <v>65</v>
      </c>
      <c r="E1388" s="23" t="n">
        <f aca="false">крыша!D698</f>
        <v>30</v>
      </c>
      <c r="F1388" s="23"/>
      <c r="G1388" s="122" t="n">
        <f aca="false">IF(F1388&gt;0,D1388*F1388,E1388*D1388)</f>
        <v>1950</v>
      </c>
      <c r="H1388" s="2210" t="n">
        <f aca="false">D1388*E1388*$H$1335</f>
        <v>0</v>
      </c>
      <c r="I1388" s="2784" t="n">
        <f aca="false">IF(G1388&gt;H1388,G1388,H1388)*$H$1335</f>
        <v>0</v>
      </c>
      <c r="J1388" s="2744"/>
      <c r="K1388" s="226" t="n">
        <f aca="false">D1388-J1388</f>
        <v>65</v>
      </c>
      <c r="L1388" s="2736"/>
    </row>
    <row r="1389" customFormat="false" ht="15.5" hidden="false" customHeight="false" outlineLevel="0" collapsed="false">
      <c r="A1389" s="2719"/>
      <c r="B1389" s="2748" t="s">
        <v>4640</v>
      </c>
      <c r="C1389" s="2748"/>
      <c r="D1389" s="2748"/>
      <c r="E1389" s="2748"/>
      <c r="F1389" s="2748"/>
      <c r="G1389" s="2210" t="n">
        <f aca="false">SUM(G1337:G1388)*H1335</f>
        <v>0</v>
      </c>
      <c r="H1389" s="2210" t="n">
        <f aca="false">SUM(H1337:H1388)</f>
        <v>0</v>
      </c>
      <c r="I1389" s="2784" t="n">
        <f aca="false">IF(G1389&gt;H1389,G1389,H1389)*$H$1335</f>
        <v>0</v>
      </c>
      <c r="J1389" s="2744"/>
      <c r="K1389" s="226" t="n">
        <f aca="false">D1389-J1389</f>
        <v>0</v>
      </c>
      <c r="L1389" s="2736"/>
    </row>
    <row r="1390" customFormat="false" ht="15.5" hidden="false" customHeight="false" outlineLevel="0" collapsed="false">
      <c r="A1390" s="2719"/>
      <c r="B1390" s="2750" t="s">
        <v>1409</v>
      </c>
      <c r="C1390" s="2750"/>
      <c r="D1390" s="2750"/>
      <c r="E1390" s="2750"/>
      <c r="F1390" s="2825"/>
      <c r="G1390" s="905"/>
      <c r="H1390" s="2770" t="n">
        <f aca="false">H1335</f>
        <v>0</v>
      </c>
      <c r="I1390" s="2818" t="n">
        <f aca="false">H1390</f>
        <v>0</v>
      </c>
      <c r="J1390" s="2752"/>
      <c r="K1390" s="2753"/>
    </row>
    <row r="1391" customFormat="false" ht="15.5" hidden="false" customHeight="false" outlineLevel="0" collapsed="false">
      <c r="A1391" s="2719"/>
      <c r="B1391" s="639" t="str">
        <f aca="false">крыша!G648</f>
        <v>монтаж мауэрлата</v>
      </c>
      <c r="C1391" s="238" t="str">
        <f aca="false">крыша!H648</f>
        <v>м.п.</v>
      </c>
      <c r="D1391" s="245" t="n">
        <f aca="false">крыша!I648</f>
        <v>42.3606797749979</v>
      </c>
      <c r="E1391" s="23" t="n">
        <f aca="false">крыша!J648</f>
        <v>250</v>
      </c>
      <c r="F1391" s="23"/>
      <c r="G1391" s="122" t="n">
        <f aca="false">IF(F1391&gt;0,D1391*F1391,E1391*D1391)</f>
        <v>10590.1699437495</v>
      </c>
      <c r="H1391" s="2210" t="n">
        <f aca="false">D1391*E1391*$H$1335</f>
        <v>0</v>
      </c>
      <c r="I1391" s="2718" t="n">
        <f aca="false">IF(G1391&gt;H1391,G1391,H1391)*$H$1335</f>
        <v>0</v>
      </c>
      <c r="J1391" s="2712"/>
      <c r="K1391" s="2719"/>
    </row>
    <row r="1392" customFormat="false" ht="15.5" hidden="false" customHeight="false" outlineLevel="0" collapsed="false">
      <c r="A1392" s="2719"/>
      <c r="B1392" s="639" t="str">
        <f aca="false">крыша!G649</f>
        <v>монтаж стропил</v>
      </c>
      <c r="C1392" s="238" t="str">
        <f aca="false">крыша!H649</f>
        <v>м2</v>
      </c>
      <c r="D1392" s="245" t="n">
        <f aca="false">крыша!I649</f>
        <v>160.786258854618</v>
      </c>
      <c r="E1392" s="23" t="n">
        <f aca="false">крыша!J649</f>
        <v>450</v>
      </c>
      <c r="F1392" s="23"/>
      <c r="G1392" s="122" t="n">
        <f aca="false">IF(F1392&gt;0,D1392*F1392,E1392*D1392)</f>
        <v>72353.8164845781</v>
      </c>
      <c r="H1392" s="2210" t="n">
        <f aca="false">D1392*E1392*$H$1335</f>
        <v>0</v>
      </c>
      <c r="I1392" s="2718" t="n">
        <f aca="false">IF(G1392&gt;H1392,G1392,H1392)*$H$1335</f>
        <v>0</v>
      </c>
      <c r="J1392" s="2712"/>
      <c r="K1392" s="2719"/>
    </row>
    <row r="1393" customFormat="false" ht="15.5" hidden="false" customHeight="false" outlineLevel="0" collapsed="false">
      <c r="A1393" s="2719"/>
      <c r="B1393" s="639" t="str">
        <f aca="false">крыша!G650</f>
        <v>обрешетка</v>
      </c>
      <c r="C1393" s="238" t="str">
        <f aca="false">крыша!H650</f>
        <v>м2</v>
      </c>
      <c r="D1393" s="245" t="n">
        <f aca="false">крыша!I650</f>
        <v>160.786258854618</v>
      </c>
      <c r="E1393" s="23" t="n">
        <f aca="false">крыша!J650</f>
        <v>100</v>
      </c>
      <c r="F1393" s="23"/>
      <c r="G1393" s="122" t="n">
        <f aca="false">IF(F1393&gt;0,D1393*F1393,E1393*D1393)</f>
        <v>16078.6258854618</v>
      </c>
      <c r="H1393" s="2210" t="n">
        <f aca="false">D1393*E1393*$H$1335</f>
        <v>0</v>
      </c>
      <c r="I1393" s="2718" t="n">
        <f aca="false">IF(G1393&gt;H1393,G1393,H1393)*$H$1335</f>
        <v>0</v>
      </c>
      <c r="L1393" s="878"/>
      <c r="M1393" s="878"/>
    </row>
    <row r="1394" customFormat="false" ht="15.5" hidden="false" customHeight="false" outlineLevel="0" collapsed="false">
      <c r="A1394" s="2719"/>
      <c r="B1394" s="639" t="str">
        <f aca="false">крыша!G651</f>
        <v>контробеш</v>
      </c>
      <c r="C1394" s="238" t="str">
        <f aca="false">крыша!H651</f>
        <v>м2</v>
      </c>
      <c r="D1394" s="245" t="n">
        <f aca="false">крыша!I651</f>
        <v>160.786258854618</v>
      </c>
      <c r="E1394" s="23" t="n">
        <f aca="false">крыша!J651</f>
        <v>100</v>
      </c>
      <c r="F1394" s="23"/>
      <c r="G1394" s="122" t="n">
        <f aca="false">IF(F1394&gt;0,D1394*F1394,E1394*D1394)</f>
        <v>16078.6258854618</v>
      </c>
      <c r="H1394" s="2210" t="n">
        <f aca="false">D1394*E1394*$H$1335</f>
        <v>0</v>
      </c>
      <c r="I1394" s="2718" t="n">
        <f aca="false">IF(G1394&gt;H1394,G1394,H1394)*$H$1335</f>
        <v>0</v>
      </c>
      <c r="L1394" s="878"/>
      <c r="M1394" s="878"/>
    </row>
    <row r="1395" customFormat="false" ht="15.5" hidden="false" customHeight="false" outlineLevel="0" collapsed="false">
      <c r="A1395" s="2719"/>
      <c r="B1395" s="639" t="str">
        <f aca="false">крыша!G652</f>
        <v>Монтаж металлочерепицы</v>
      </c>
      <c r="C1395" s="238" t="str">
        <f aca="false">крыша!H652</f>
        <v>м2</v>
      </c>
      <c r="D1395" s="245" t="n">
        <f aca="false">крыша!I652</f>
        <v>160.786258854618</v>
      </c>
      <c r="E1395" s="23" t="n">
        <f aca="false">крыша!J652</f>
        <v>300</v>
      </c>
      <c r="F1395" s="23"/>
      <c r="G1395" s="122" t="n">
        <f aca="false">IF(F1395&gt;0,D1395*F1395,E1395*D1395)</f>
        <v>48235.8776563854</v>
      </c>
      <c r="H1395" s="2210" t="n">
        <f aca="false">D1395*E1395*$H$1335</f>
        <v>0</v>
      </c>
      <c r="I1395" s="2718" t="n">
        <f aca="false">IF(G1395&gt;H1395,G1395,H1395)*$H$1335</f>
        <v>0</v>
      </c>
      <c r="L1395" s="878"/>
      <c r="M1395" s="878"/>
    </row>
    <row r="1396" customFormat="false" ht="15.5" hidden="false" customHeight="false" outlineLevel="0" collapsed="false">
      <c r="A1396" s="2719"/>
      <c r="B1396" s="639" t="str">
        <f aca="false">крыша!G653</f>
        <v>Монтаж ондулина</v>
      </c>
      <c r="C1396" s="238" t="str">
        <f aca="false">крыша!H653</f>
        <v>м2</v>
      </c>
      <c r="D1396" s="245" t="n">
        <f aca="false">крыша!I653</f>
        <v>0</v>
      </c>
      <c r="E1396" s="23" t="n">
        <f aca="false">крыша!J653</f>
        <v>300</v>
      </c>
      <c r="F1396" s="23"/>
      <c r="G1396" s="122" t="n">
        <f aca="false">IF(F1396&gt;0,D1396*F1396,E1396*D1396)</f>
        <v>0</v>
      </c>
      <c r="H1396" s="2210" t="n">
        <f aca="false">D1396*E1396*$H$1335</f>
        <v>0</v>
      </c>
      <c r="I1396" s="2718" t="n">
        <f aca="false">IF(G1396&gt;H1396,G1396,H1396)*$H$1335</f>
        <v>0</v>
      </c>
      <c r="J1396" s="2712"/>
      <c r="K1396" s="2719"/>
    </row>
    <row r="1397" customFormat="false" ht="15.5" hidden="false" customHeight="false" outlineLevel="0" collapsed="false">
      <c r="A1397" s="2719"/>
      <c r="B1397" s="639" t="str">
        <f aca="false">крыша!G656</f>
        <v>мембрана</v>
      </c>
      <c r="C1397" s="238" t="str">
        <f aca="false">крыша!H656</f>
        <v>м2</v>
      </c>
      <c r="D1397" s="245" t="n">
        <f aca="false">крыша!I656</f>
        <v>160.786258854618</v>
      </c>
      <c r="E1397" s="23" t="n">
        <f aca="false">крыша!J656</f>
        <v>100</v>
      </c>
      <c r="F1397" s="23"/>
      <c r="G1397" s="122" t="n">
        <f aca="false">IF(F1397&gt;0,D1397*F1397,E1397*D1397)</f>
        <v>16078.6258854618</v>
      </c>
      <c r="H1397" s="2210" t="n">
        <f aca="false">D1397*E1397*$H$1335</f>
        <v>0</v>
      </c>
      <c r="I1397" s="2718" t="n">
        <f aca="false">IF(G1397&gt;H1397,G1397,H1397)*$H$1335</f>
        <v>0</v>
      </c>
      <c r="J1397" s="2712"/>
      <c r="K1397" s="2719"/>
    </row>
    <row r="1398" customFormat="false" ht="15.5" hidden="false" customHeight="false" outlineLevel="0" collapsed="false">
      <c r="A1398" s="2719"/>
      <c r="B1398" s="639" t="str">
        <f aca="false">крыша!G657</f>
        <v>пароизоляц</v>
      </c>
      <c r="C1398" s="238" t="str">
        <f aca="false">крыша!H657</f>
        <v>м2</v>
      </c>
      <c r="D1398" s="245" t="n">
        <f aca="false">крыша!I657</f>
        <v>160.786258854618</v>
      </c>
      <c r="E1398" s="23" t="n">
        <f aca="false">крыша!J657</f>
        <v>100</v>
      </c>
      <c r="F1398" s="23"/>
      <c r="G1398" s="122" t="n">
        <f aca="false">IF(F1398&gt;0,D1398*F1398,E1398*D1398)</f>
        <v>16078.6258854618</v>
      </c>
      <c r="H1398" s="2210" t="n">
        <f aca="false">D1398*E1398*$H$1335</f>
        <v>0</v>
      </c>
      <c r="I1398" s="2718" t="n">
        <f aca="false">IF(G1398&gt;H1398,G1398,H1398)*$H$1335</f>
        <v>0</v>
      </c>
      <c r="J1398" s="2712"/>
      <c r="K1398" s="2719"/>
    </row>
    <row r="1399" customFormat="false" ht="15.5" hidden="false" customHeight="false" outlineLevel="0" collapsed="false">
      <c r="A1399" s="2719"/>
      <c r="B1399" s="639" t="str">
        <f aca="false">крыша!G658</f>
        <v>утеплитель</v>
      </c>
      <c r="C1399" s="238" t="str">
        <f aca="false">крыша!H658</f>
        <v>м2</v>
      </c>
      <c r="D1399" s="245" t="n">
        <f aca="false">крыша!I658</f>
        <v>111.80339887499</v>
      </c>
      <c r="E1399" s="23" t="n">
        <f aca="false">крыша!J658</f>
        <v>200</v>
      </c>
      <c r="F1399" s="23"/>
      <c r="G1399" s="122" t="n">
        <f aca="false">IF(F1399&gt;0,D1399*F1399,E1399*D1399)</f>
        <v>22360.6797749979</v>
      </c>
      <c r="H1399" s="2210" t="n">
        <f aca="false">D1399*E1399*$H$1335</f>
        <v>0</v>
      </c>
      <c r="I1399" s="2718" t="n">
        <f aca="false">IF(G1399&gt;H1399,G1399,H1399)*$H$1335</f>
        <v>0</v>
      </c>
      <c r="J1399" s="2712"/>
      <c r="K1399" s="2719"/>
    </row>
    <row r="1400" customFormat="false" ht="15.5" hidden="false" customHeight="false" outlineLevel="0" collapsed="false">
      <c r="A1400" s="2719"/>
      <c r="B1400" s="639" t="str">
        <f aca="false">крыша!G659</f>
        <v>карнизная планка</v>
      </c>
      <c r="C1400" s="238" t="str">
        <f aca="false">крыша!H659</f>
        <v>м2</v>
      </c>
      <c r="D1400" s="245" t="n">
        <f aca="false">крыша!I659</f>
        <v>14.278</v>
      </c>
      <c r="E1400" s="23" t="n">
        <f aca="false">крыша!J659</f>
        <v>100</v>
      </c>
      <c r="F1400" s="23"/>
      <c r="G1400" s="122" t="n">
        <f aca="false">IF(F1400&gt;0,D1400*F1400,E1400*D1400)</f>
        <v>1427.8</v>
      </c>
      <c r="H1400" s="2210" t="n">
        <f aca="false">D1400*E1400*$H$1335</f>
        <v>0</v>
      </c>
      <c r="I1400" s="2718" t="n">
        <f aca="false">IF(G1400&gt;H1400,G1400,H1400)*$H$1335</f>
        <v>0</v>
      </c>
      <c r="J1400" s="2712"/>
      <c r="K1400" s="2719"/>
    </row>
    <row r="1401" customFormat="false" ht="15.5" hidden="false" customHeight="false" outlineLevel="0" collapsed="false">
      <c r="A1401" s="2719"/>
      <c r="B1401" s="639" t="str">
        <f aca="false">крыша!G660</f>
        <v>торцевая планка</v>
      </c>
      <c r="C1401" s="238" t="str">
        <f aca="false">крыша!H660</f>
        <v>м2</v>
      </c>
      <c r="D1401" s="245" t="n">
        <f aca="false">крыша!I660</f>
        <v>41.8384550406915</v>
      </c>
      <c r="E1401" s="23" t="n">
        <f aca="false">крыша!J660</f>
        <v>100</v>
      </c>
      <c r="F1401" s="23"/>
      <c r="G1401" s="122" t="n">
        <f aca="false">IF(F1401&gt;0,D1401*F1401,E1401*D1401)</f>
        <v>4183.84550406915</v>
      </c>
      <c r="H1401" s="2210" t="n">
        <f aca="false">D1401*E1401*$H$1335</f>
        <v>0</v>
      </c>
      <c r="I1401" s="2718" t="n">
        <f aca="false">IF(G1401&gt;H1401,G1401,H1401)*$H$1335</f>
        <v>0</v>
      </c>
      <c r="J1401" s="2712"/>
      <c r="K1401" s="2719"/>
    </row>
    <row r="1402" customFormat="false" ht="15.5" hidden="false" customHeight="false" outlineLevel="0" collapsed="false">
      <c r="A1402" s="2719"/>
      <c r="B1402" s="639" t="str">
        <f aca="false">крыша!G661</f>
        <v>конек</v>
      </c>
      <c r="C1402" s="238" t="str">
        <f aca="false">крыша!H661</f>
        <v>м.п.</v>
      </c>
      <c r="D1402" s="245" t="n">
        <f aca="false">крыша!I661</f>
        <v>12.98</v>
      </c>
      <c r="E1402" s="23" t="n">
        <f aca="false">крыша!J661</f>
        <v>300</v>
      </c>
      <c r="F1402" s="23"/>
      <c r="G1402" s="122" t="n">
        <f aca="false">IF(F1402&gt;0,D1402*F1402,E1402*D1402)</f>
        <v>3894</v>
      </c>
      <c r="H1402" s="2210" t="n">
        <f aca="false">D1402*E1402*$H$1335</f>
        <v>0</v>
      </c>
      <c r="I1402" s="2718" t="n">
        <f aca="false">IF(G1402&gt;H1402,G1402,H1402)*$H$1335</f>
        <v>0</v>
      </c>
      <c r="J1402" s="2712"/>
      <c r="K1402" s="2719"/>
    </row>
    <row r="1403" customFormat="false" ht="15.5" hidden="false" customHeight="false" outlineLevel="0" collapsed="false">
      <c r="A1403" s="2719"/>
      <c r="B1403" s="639" t="str">
        <f aca="false">крыша!G662</f>
        <v>желоб водосточный</v>
      </c>
      <c r="C1403" s="238" t="str">
        <f aca="false">крыша!H662</f>
        <v>м.п.</v>
      </c>
      <c r="D1403" s="245" t="n">
        <f aca="false">крыша!I662</f>
        <v>11.8</v>
      </c>
      <c r="E1403" s="23" t="n">
        <f aca="false">крыша!J662</f>
        <v>300</v>
      </c>
      <c r="F1403" s="23"/>
      <c r="G1403" s="122" t="n">
        <f aca="false">IF(F1403&gt;0,D1403*F1403,E1403*D1403)</f>
        <v>3540</v>
      </c>
      <c r="H1403" s="2210" t="n">
        <f aca="false">D1403*E1403*$H$1335</f>
        <v>0</v>
      </c>
      <c r="I1403" s="2718" t="n">
        <f aca="false">IF(G1403&gt;H1403,G1403,H1403)*$H$1335</f>
        <v>0</v>
      </c>
      <c r="J1403" s="2712"/>
      <c r="K1403" s="2719"/>
    </row>
    <row r="1404" customFormat="false" ht="15.5" hidden="false" customHeight="false" outlineLevel="0" collapsed="false">
      <c r="A1404" s="2719"/>
      <c r="B1404" s="639" t="str">
        <f aca="false">крыша!G663</f>
        <v>труба водосточная</v>
      </c>
      <c r="C1404" s="238" t="str">
        <f aca="false">крыша!H663</f>
        <v>м.п.</v>
      </c>
      <c r="D1404" s="245" t="n">
        <f aca="false">крыша!I663</f>
        <v>8.4</v>
      </c>
      <c r="E1404" s="23" t="n">
        <f aca="false">крыша!J663</f>
        <v>300</v>
      </c>
      <c r="F1404" s="23"/>
      <c r="G1404" s="122" t="n">
        <f aca="false">IF(F1404&gt;0,D1404*F1404,E1404*D1404)</f>
        <v>2520</v>
      </c>
      <c r="H1404" s="2210" t="n">
        <f aca="false">D1404*E1404*$H$1335</f>
        <v>0</v>
      </c>
      <c r="I1404" s="2718" t="n">
        <f aca="false">IF(G1404&gt;H1404,G1404,H1404)*$H$1335</f>
        <v>0</v>
      </c>
      <c r="J1404" s="2712"/>
      <c r="K1404" s="2719"/>
    </row>
    <row r="1405" customFormat="false" ht="15.5" hidden="false" customHeight="false" outlineLevel="0" collapsed="false">
      <c r="A1405" s="2719"/>
      <c r="B1405" s="639" t="str">
        <f aca="false">крыша!G664</f>
        <v>Монтаж фанеры/osb</v>
      </c>
      <c r="C1405" s="238" t="str">
        <f aca="false">крыша!H664</f>
        <v>м2</v>
      </c>
      <c r="D1405" s="245" t="n">
        <f aca="false">крыша!I664</f>
        <v>0</v>
      </c>
      <c r="E1405" s="23" t="n">
        <f aca="false">крыша!J664</f>
        <v>200</v>
      </c>
      <c r="F1405" s="23"/>
      <c r="G1405" s="122" t="n">
        <f aca="false">IF(F1405&gt;0,D1405*F1405,E1405*D1405)</f>
        <v>0</v>
      </c>
      <c r="H1405" s="2210" t="n">
        <f aca="false">D1405*E1405*$H$1335</f>
        <v>0</v>
      </c>
      <c r="I1405" s="2718" t="n">
        <f aca="false">IF(G1405&gt;H1405,G1405,H1405)*$H$1335</f>
        <v>0</v>
      </c>
      <c r="J1405" s="2712"/>
      <c r="K1405" s="2719"/>
    </row>
    <row r="1406" customFormat="false" ht="15.5" hidden="false" customHeight="false" outlineLevel="0" collapsed="false">
      <c r="A1406" s="2719"/>
      <c r="B1406" s="639" t="str">
        <f aca="false">крыша!G665</f>
        <v>монтаж подкладочного ковра</v>
      </c>
      <c r="C1406" s="238" t="str">
        <f aca="false">крыша!H665</f>
        <v>м2</v>
      </c>
      <c r="D1406" s="245" t="n">
        <f aca="false">крыша!I665</f>
        <v>0</v>
      </c>
      <c r="E1406" s="23" t="n">
        <f aca="false">крыша!J665</f>
        <v>150</v>
      </c>
      <c r="F1406" s="23"/>
      <c r="G1406" s="122" t="n">
        <f aca="false">IF(F1406&gt;0,D1406*F1406,E1406*D1406)</f>
        <v>0</v>
      </c>
      <c r="H1406" s="2210" t="n">
        <f aca="false">D1406*E1406*$H$1335</f>
        <v>0</v>
      </c>
      <c r="I1406" s="2718" t="n">
        <f aca="false">IF(G1406&gt;H1406,G1406,H1406)*$H$1335</f>
        <v>0</v>
      </c>
      <c r="J1406" s="2712"/>
      <c r="K1406" s="2719"/>
    </row>
    <row r="1407" customFormat="false" ht="15.5" hidden="false" customHeight="false" outlineLevel="0" collapsed="false">
      <c r="A1407" s="2719"/>
      <c r="B1407" s="639" t="str">
        <f aca="false">крыша!G666</f>
        <v>Монтаж мягкой кровли</v>
      </c>
      <c r="C1407" s="238" t="str">
        <f aca="false">крыша!H666</f>
        <v>м2</v>
      </c>
      <c r="D1407" s="245" t="n">
        <f aca="false">крыша!I666</f>
        <v>0</v>
      </c>
      <c r="E1407" s="23" t="n">
        <f aca="false">крыша!J666</f>
        <v>350</v>
      </c>
      <c r="F1407" s="23"/>
      <c r="G1407" s="122" t="n">
        <f aca="false">IF(F1407&gt;0,D1407*F1407,E1407*D1407)</f>
        <v>0</v>
      </c>
      <c r="H1407" s="2210" t="n">
        <f aca="false">D1407*E1407*$H$1335</f>
        <v>0</v>
      </c>
      <c r="I1407" s="2718" t="n">
        <f aca="false">IF(G1407&gt;H1407,G1407,H1407)*$H$1335</f>
        <v>0</v>
      </c>
      <c r="J1407" s="2712"/>
      <c r="K1407" s="2719"/>
    </row>
    <row r="1408" customFormat="false" ht="15.5" hidden="false" customHeight="false" outlineLevel="0" collapsed="false">
      <c r="A1408" s="2719"/>
      <c r="B1408" s="2748" t="s">
        <v>4641</v>
      </c>
      <c r="C1408" s="2748"/>
      <c r="D1408" s="2748"/>
      <c r="E1408" s="2748"/>
      <c r="F1408" s="2748"/>
      <c r="G1408" s="2210" t="n">
        <f aca="false">SUM(G1391:G1407)*H1390</f>
        <v>0</v>
      </c>
      <c r="H1408" s="2210" t="n">
        <f aca="false">SUM(H1391:H1407)</f>
        <v>0</v>
      </c>
      <c r="I1408" s="2718" t="n">
        <f aca="false">IF(G1408&gt;H1408,G1408,H1408)*$H$1335</f>
        <v>0</v>
      </c>
      <c r="J1408" s="2712"/>
      <c r="K1408" s="2719"/>
    </row>
    <row r="1409" customFormat="false" ht="21" hidden="false" customHeight="false" outlineLevel="0" collapsed="false">
      <c r="A1409" s="2719"/>
      <c r="B1409" s="2826" t="s">
        <v>1925</v>
      </c>
      <c r="C1409" s="2826"/>
      <c r="D1409" s="2826"/>
      <c r="E1409" s="2826"/>
      <c r="F1409" s="2827"/>
      <c r="G1409" s="905"/>
      <c r="H1409" s="2774" t="n">
        <f aca="false">дома!B1115</f>
        <v>0</v>
      </c>
      <c r="I1409" s="2818" t="n">
        <f aca="false">H1409</f>
        <v>0</v>
      </c>
      <c r="J1409" s="2712"/>
      <c r="K1409" s="2719"/>
    </row>
    <row r="1410" customFormat="false" ht="15.5" hidden="false" customHeight="false" outlineLevel="0" collapsed="false">
      <c r="A1410" s="2712"/>
      <c r="B1410" s="2775" t="s">
        <v>2720</v>
      </c>
      <c r="C1410" s="2775"/>
      <c r="D1410" s="2775"/>
      <c r="E1410" s="2775"/>
      <c r="F1410" s="2783"/>
      <c r="G1410" s="905"/>
      <c r="H1410" s="2776" t="n">
        <f aca="false">H1409</f>
        <v>0</v>
      </c>
      <c r="I1410" s="2818" t="n">
        <f aca="false">H1410</f>
        <v>0</v>
      </c>
      <c r="J1410" s="2732"/>
      <c r="K1410" s="2733"/>
    </row>
    <row r="1411" customFormat="false" ht="15.5" hidden="false" customHeight="false" outlineLevel="0" collapsed="false">
      <c r="A1411" s="2712"/>
      <c r="B1411" s="298" t="str">
        <f aca="false">крыша!A262</f>
        <v>нет</v>
      </c>
      <c r="C1411" s="2765" t="str">
        <f aca="false">крыша!B262</f>
        <v>м3</v>
      </c>
      <c r="D1411" s="298" t="n">
        <f aca="false">крыша!C262</f>
        <v>0</v>
      </c>
      <c r="E1411" s="177" t="n">
        <f aca="false">крыша!D262</f>
        <v>0</v>
      </c>
      <c r="F1411" s="177"/>
      <c r="G1411" s="122" t="n">
        <f aca="false">IF(F1411&gt;0,D1411*F1411,E1411*D1411)</f>
        <v>0</v>
      </c>
      <c r="H1411" s="85" t="n">
        <f aca="false">D1411*E1411*$H$1410</f>
        <v>0</v>
      </c>
      <c r="I1411" s="2784" t="n">
        <f aca="false">IF(G1411&gt;H1411,G1411,H1411)*$H$1409</f>
        <v>0</v>
      </c>
      <c r="J1411" s="2744"/>
      <c r="K1411" s="226" t="n">
        <f aca="false">D1411-J1411</f>
        <v>0</v>
      </c>
      <c r="L1411" s="2736"/>
    </row>
    <row r="1412" customFormat="false" ht="15.5" hidden="false" customHeight="false" outlineLevel="0" collapsed="false">
      <c r="A1412" s="2719"/>
      <c r="B1412" s="298" t="str">
        <f aca="false">крыша!A263</f>
        <v>Болты анкерные с гайкой 12,0 х 280</v>
      </c>
      <c r="C1412" s="2765" t="str">
        <f aca="false">крыша!B263</f>
        <v>шт</v>
      </c>
      <c r="D1412" s="298" t="n">
        <f aca="false">крыша!C263</f>
        <v>48.2842712474619</v>
      </c>
      <c r="E1412" s="177" t="n">
        <f aca="false">крыша!D263</f>
        <v>27.1</v>
      </c>
      <c r="F1412" s="177"/>
      <c r="G1412" s="122" t="n">
        <f aca="false">IF(F1412&gt;0,D1412*F1412,E1412*D1412)</f>
        <v>1308.50375080622</v>
      </c>
      <c r="H1412" s="85" t="n">
        <f aca="false">D1412*E1412*$H$1410</f>
        <v>0</v>
      </c>
      <c r="I1412" s="2784" t="n">
        <f aca="false">IF(G1412&gt;H1412,G1412,H1412)*$H$1409</f>
        <v>0</v>
      </c>
      <c r="J1412" s="2744"/>
      <c r="K1412" s="226" t="n">
        <f aca="false">D1412-J1412</f>
        <v>48.2842712474619</v>
      </c>
      <c r="L1412" s="2736"/>
    </row>
    <row r="1413" customFormat="false" ht="15.5" hidden="false" customHeight="false" outlineLevel="0" collapsed="false">
      <c r="A1413" s="2719"/>
      <c r="B1413" s="298" t="str">
        <f aca="false">крыша!A264</f>
        <v>Доска сухая, 200*50мм</v>
      </c>
      <c r="C1413" s="2765" t="str">
        <f aca="false">крыша!B264</f>
        <v>м3</v>
      </c>
      <c r="D1413" s="298" t="n">
        <f aca="false">крыша!C264</f>
        <v>2.9535780917535</v>
      </c>
      <c r="E1413" s="177" t="n">
        <f aca="false">крыша!D264</f>
        <v>9000</v>
      </c>
      <c r="F1413" s="177"/>
      <c r="G1413" s="122" t="n">
        <f aca="false">IF(F1413&gt;0,D1413*F1413,E1413*D1413)</f>
        <v>26582.2028257815</v>
      </c>
      <c r="H1413" s="85" t="n">
        <f aca="false">D1413*E1413*$H$1410</f>
        <v>0</v>
      </c>
      <c r="I1413" s="2784" t="n">
        <f aca="false">IF(G1413&gt;H1413,G1413,H1413)*$H$1409</f>
        <v>0</v>
      </c>
      <c r="J1413" s="2744"/>
      <c r="K1413" s="226" t="n">
        <f aca="false">D1413-J1413</f>
        <v>2.9535780917535</v>
      </c>
      <c r="L1413" s="2736"/>
    </row>
    <row r="1414" customFormat="false" ht="15.5" hidden="false" customHeight="false" outlineLevel="0" collapsed="false">
      <c r="A1414" s="2719"/>
      <c r="B1414" s="298" t="str">
        <f aca="false">крыша!A265</f>
        <v>бугель, доска</v>
      </c>
      <c r="C1414" s="2765" t="str">
        <f aca="false">крыша!B265</f>
        <v>м3</v>
      </c>
      <c r="D1414" s="298" t="n">
        <f aca="false">крыша!C265</f>
        <v>0.793</v>
      </c>
      <c r="E1414" s="177" t="n">
        <f aca="false">крыша!D265</f>
        <v>9000</v>
      </c>
      <c r="F1414" s="177"/>
      <c r="G1414" s="122" t="n">
        <f aca="false">IF(F1414&gt;0,D1414*F1414,E1414*D1414)</f>
        <v>7137</v>
      </c>
      <c r="H1414" s="85" t="n">
        <f aca="false">D1414*E1414*$H$1410</f>
        <v>0</v>
      </c>
      <c r="I1414" s="2784" t="n">
        <f aca="false">IF(G1414&gt;H1414,G1414,H1414)*$H$1409</f>
        <v>0</v>
      </c>
      <c r="J1414" s="2744"/>
      <c r="K1414" s="226" t="n">
        <f aca="false">D1414-J1414</f>
        <v>0.793</v>
      </c>
      <c r="L1414" s="2736"/>
    </row>
    <row r="1415" customFormat="false" ht="15.5" hidden="false" customHeight="false" outlineLevel="0" collapsed="false">
      <c r="A1415" s="2719"/>
      <c r="B1415" s="298" t="str">
        <f aca="false">крыша!A266</f>
        <v>стойка под конек</v>
      </c>
      <c r="C1415" s="2765" t="str">
        <f aca="false">крыша!B266</f>
        <v>м3</v>
      </c>
      <c r="D1415" s="298" t="n">
        <f aca="false">крыша!C266</f>
        <v>0</v>
      </c>
      <c r="E1415" s="177" t="n">
        <f aca="false">крыша!D266</f>
        <v>9000</v>
      </c>
      <c r="F1415" s="177"/>
      <c r="G1415" s="122" t="n">
        <f aca="false">IF(F1415&gt;0,D1415*F1415,E1415*D1415)</f>
        <v>0</v>
      </c>
      <c r="H1415" s="85" t="n">
        <f aca="false">D1415*E1415*$H$1410</f>
        <v>0</v>
      </c>
      <c r="I1415" s="2784" t="n">
        <f aca="false">IF(G1415&gt;H1415,G1415,H1415)*$H$1409</f>
        <v>0</v>
      </c>
      <c r="J1415" s="2744"/>
      <c r="K1415" s="226" t="n">
        <f aca="false">D1415-J1415</f>
        <v>0</v>
      </c>
      <c r="L1415" s="2736"/>
    </row>
    <row r="1416" customFormat="false" ht="15.5" hidden="false" customHeight="false" outlineLevel="0" collapsed="false">
      <c r="A1416" s="2719"/>
      <c r="B1416" s="298" t="str">
        <f aca="false">крыша!A267</f>
        <v>Сосна влаж,100*25мм</v>
      </c>
      <c r="C1416" s="2765" t="str">
        <f aca="false">крыша!B267</f>
        <v>м3</v>
      </c>
      <c r="D1416" s="298" t="n">
        <f aca="false">крыша!C267</f>
        <v>1.79307020442324</v>
      </c>
      <c r="E1416" s="177" t="n">
        <f aca="false">крыша!D267</f>
        <v>6500</v>
      </c>
      <c r="F1416" s="177"/>
      <c r="G1416" s="122" t="n">
        <f aca="false">IF(F1416&gt;0,D1416*F1416,E1416*D1416)</f>
        <v>11654.956328751</v>
      </c>
      <c r="H1416" s="85" t="n">
        <f aca="false">D1416*E1416*$H$1410</f>
        <v>0</v>
      </c>
      <c r="I1416" s="2784" t="n">
        <f aca="false">IF(G1416&gt;H1416,G1416,H1416)*$H$1409</f>
        <v>0</v>
      </c>
      <c r="J1416" s="2744"/>
      <c r="K1416" s="226" t="n">
        <f aca="false">D1416-J1416</f>
        <v>1.79307020442324</v>
      </c>
      <c r="L1416" s="2736"/>
    </row>
    <row r="1417" customFormat="false" ht="15.5" hidden="false" customHeight="false" outlineLevel="0" collapsed="false">
      <c r="A1417" s="2719"/>
      <c r="B1417" s="298" t="str">
        <f aca="false">крыша!A268</f>
        <v>Доска сухая, калибр., 35*45мм</v>
      </c>
      <c r="C1417" s="2765" t="str">
        <f aca="false">крыша!B268</f>
        <v>шт</v>
      </c>
      <c r="D1417" s="298" t="n">
        <f aca="false">крыша!C268</f>
        <v>0.385020606395191</v>
      </c>
      <c r="E1417" s="177" t="n">
        <f aca="false">крыша!D268</f>
        <v>12500</v>
      </c>
      <c r="F1417" s="177"/>
      <c r="G1417" s="122" t="n">
        <f aca="false">IF(F1417&gt;0,D1417*F1417,E1417*D1417)</f>
        <v>4812.75757993989</v>
      </c>
      <c r="H1417" s="85" t="n">
        <f aca="false">D1417*E1417*$H$1410</f>
        <v>0</v>
      </c>
      <c r="I1417" s="2784" t="n">
        <f aca="false">IF(G1417&gt;H1417,G1417,H1417)*$H$1409</f>
        <v>0</v>
      </c>
      <c r="J1417" s="2744"/>
      <c r="K1417" s="226" t="n">
        <f aca="false">D1417-J1417</f>
        <v>0.385020606395191</v>
      </c>
      <c r="L1417" s="2736"/>
    </row>
    <row r="1418" customFormat="false" ht="15.5" hidden="false" customHeight="false" outlineLevel="0" collapsed="false">
      <c r="A1418" s="2719"/>
      <c r="B1418" s="298" t="str">
        <f aca="false">крыша!A269</f>
        <v>Сосна влаж, 150*150мм</v>
      </c>
      <c r="C1418" s="2765" t="str">
        <f aca="false">крыша!B269</f>
        <v>м.п.</v>
      </c>
      <c r="D1418" s="298" t="n">
        <f aca="false">крыша!C269</f>
        <v>0</v>
      </c>
      <c r="E1418" s="177" t="n">
        <f aca="false">крыша!D269</f>
        <v>6500</v>
      </c>
      <c r="F1418" s="177"/>
      <c r="G1418" s="122" t="n">
        <f aca="false">IF(F1418&gt;0,D1418*F1418,E1418*D1418)</f>
        <v>0</v>
      </c>
      <c r="H1418" s="85" t="n">
        <f aca="false">D1418*E1418*$H$1410</f>
        <v>0</v>
      </c>
      <c r="I1418" s="2784" t="n">
        <f aca="false">IF(G1418&gt;H1418,G1418,H1418)*$H$1409</f>
        <v>0</v>
      </c>
      <c r="J1418" s="2744"/>
      <c r="K1418" s="226" t="n">
        <f aca="false">D1418-J1418</f>
        <v>0</v>
      </c>
      <c r="L1418" s="2736"/>
    </row>
    <row r="1419" customFormat="false" ht="15.5" hidden="false" customHeight="false" outlineLevel="0" collapsed="false">
      <c r="A1419" s="2719"/>
      <c r="B1419" s="298" t="str">
        <f aca="false">крыша!A270</f>
        <v>Гидрокомпенсатор</v>
      </c>
      <c r="C1419" s="2765" t="s">
        <v>799</v>
      </c>
      <c r="D1419" s="298" t="n">
        <f aca="false">крыша!C270</f>
        <v>0</v>
      </c>
      <c r="E1419" s="177" t="n">
        <f aca="false">крыша!D270</f>
        <v>450</v>
      </c>
      <c r="F1419" s="177"/>
      <c r="G1419" s="122" t="n">
        <f aca="false">IF(F1419&gt;0,D1419*F1419,E1419*D1419)</f>
        <v>0</v>
      </c>
      <c r="H1419" s="85" t="n">
        <f aca="false">D1419*E1419*$H$1410</f>
        <v>0</v>
      </c>
      <c r="I1419" s="2784" t="n">
        <f aca="false">IF(G1419&gt;H1419,G1419,H1419)*$H$1409</f>
        <v>0</v>
      </c>
      <c r="J1419" s="2744"/>
      <c r="K1419" s="226" t="n">
        <f aca="false">D1419-J1419</f>
        <v>0</v>
      </c>
      <c r="L1419" s="2736"/>
    </row>
    <row r="1420" customFormat="false" ht="15.5" hidden="false" customHeight="false" outlineLevel="0" collapsed="false">
      <c r="A1420" s="2719"/>
      <c r="B1420" s="298" t="str">
        <f aca="false">крыша!A271</f>
        <v>Пленка Д110 Стандарт</v>
      </c>
      <c r="C1420" s="2765" t="str">
        <f aca="false">крыша!B271</f>
        <v>м2</v>
      </c>
      <c r="D1420" s="298" t="n">
        <f aca="false">крыша!C271</f>
        <v>215.168424530788</v>
      </c>
      <c r="E1420" s="177" t="n">
        <f aca="false">крыша!D271</f>
        <v>24</v>
      </c>
      <c r="F1420" s="177"/>
      <c r="G1420" s="122" t="n">
        <f aca="false">IF(F1420&gt;0,D1420*F1420,E1420*D1420)</f>
        <v>5164.04218873892</v>
      </c>
      <c r="H1420" s="85" t="n">
        <f aca="false">D1420*E1420*$H$1410</f>
        <v>0</v>
      </c>
      <c r="I1420" s="2784" t="n">
        <f aca="false">IF(G1420&gt;H1420,G1420,H1420)*$H$1409</f>
        <v>0</v>
      </c>
      <c r="J1420" s="2744"/>
      <c r="K1420" s="226" t="n">
        <f aca="false">D1420-J1420</f>
        <v>215.168424530788</v>
      </c>
      <c r="L1420" s="2736"/>
    </row>
    <row r="1421" customFormat="false" ht="15.5" hidden="false" customHeight="false" outlineLevel="0" collapsed="false">
      <c r="A1421" s="2719"/>
      <c r="B1421" s="298" t="str">
        <f aca="false">крыша!A272</f>
        <v>Мембрана Tyvek AirGuard SD5</v>
      </c>
      <c r="C1421" s="2765" t="str">
        <f aca="false">крыша!B272</f>
        <v>м2</v>
      </c>
      <c r="D1421" s="298" t="n">
        <f aca="false">крыша!C272</f>
        <v>197.237722486556</v>
      </c>
      <c r="E1421" s="177" t="n">
        <f aca="false">крыша!D272</f>
        <v>132</v>
      </c>
      <c r="F1421" s="177"/>
      <c r="G1421" s="122" t="n">
        <f aca="false">IF(F1421&gt;0,D1421*F1421,E1421*D1421)</f>
        <v>26035.3793682254</v>
      </c>
      <c r="H1421" s="85" t="n">
        <f aca="false">D1421*E1421*$H$1410</f>
        <v>0</v>
      </c>
      <c r="I1421" s="2784" t="n">
        <f aca="false">IF(G1421&gt;H1421,G1421,H1421)*$H$1409</f>
        <v>0</v>
      </c>
      <c r="J1421" s="2744"/>
      <c r="K1421" s="226" t="n">
        <f aca="false">D1421-J1421</f>
        <v>197.237722486556</v>
      </c>
      <c r="L1421" s="2736"/>
    </row>
    <row r="1422" customFormat="false" ht="15.5" hidden="false" customHeight="false" outlineLevel="0" collapsed="false">
      <c r="A1422" s="2719"/>
      <c r="B1422" s="298" t="str">
        <f aca="false">крыша!A273</f>
        <v>Плитный,28кг/м3, технониколь, 200мм</v>
      </c>
      <c r="C1422" s="2765" t="str">
        <f aca="false">крыша!B273</f>
        <v>м3</v>
      </c>
      <c r="D1422" s="298" t="n">
        <f aca="false">крыша!C273</f>
        <v>28.9150035245386</v>
      </c>
      <c r="E1422" s="177" t="n">
        <f aca="false">крыша!D273</f>
        <v>1700</v>
      </c>
      <c r="F1422" s="177"/>
      <c r="G1422" s="122" t="n">
        <f aca="false">IF(F1422&gt;0,D1422*F1422,E1422*D1422)</f>
        <v>49155.5059917156</v>
      </c>
      <c r="H1422" s="85" t="n">
        <f aca="false">D1422*E1422*$H$1410</f>
        <v>0</v>
      </c>
      <c r="I1422" s="2784" t="n">
        <f aca="false">IF(G1422&gt;H1422,G1422,H1422)*$H$1409</f>
        <v>0</v>
      </c>
      <c r="J1422" s="2744"/>
      <c r="K1422" s="226" t="n">
        <f aca="false">D1422-J1422</f>
        <v>28.9150035245386</v>
      </c>
      <c r="L1422" s="2736"/>
    </row>
    <row r="1423" customFormat="false" ht="15.5" hidden="false" customHeight="false" outlineLevel="0" collapsed="false">
      <c r="A1423" s="2719"/>
      <c r="B1423" s="298" t="str">
        <f aca="false">крыша!A274</f>
        <v>Металлочерепица</v>
      </c>
      <c r="C1423" s="2765" t="str">
        <f aca="false">крыша!B274</f>
        <v>м2</v>
      </c>
      <c r="D1423" s="298" t="n">
        <f aca="false">крыша!C274</f>
        <v>0</v>
      </c>
      <c r="E1423" s="177" t="n">
        <f aca="false">крыша!D274</f>
        <v>250</v>
      </c>
      <c r="F1423" s="177"/>
      <c r="G1423" s="122" t="n">
        <f aca="false">IF(F1423&gt;0,D1423*F1423,E1423*D1423)</f>
        <v>0</v>
      </c>
      <c r="H1423" s="85" t="n">
        <f aca="false">D1423*E1423*$H$1410</f>
        <v>0</v>
      </c>
      <c r="I1423" s="2784" t="n">
        <f aca="false">IF(G1423&gt;H1423,G1423,H1423)*$H$1409</f>
        <v>0</v>
      </c>
      <c r="J1423" s="2744"/>
      <c r="K1423" s="226" t="n">
        <f aca="false">D1423-J1423</f>
        <v>0</v>
      </c>
      <c r="L1423" s="2736"/>
    </row>
    <row r="1424" customFormat="false" ht="15.5" hidden="false" customHeight="false" outlineLevel="0" collapsed="false">
      <c r="A1424" s="2719"/>
      <c r="B1424" s="298" t="str">
        <f aca="false">крыша!A275</f>
        <v>Карнизная планка</v>
      </c>
      <c r="C1424" s="2765" t="str">
        <f aca="false">крыша!B275</f>
        <v>м.п.</v>
      </c>
      <c r="D1424" s="298" t="n">
        <f aca="false">крыша!C275</f>
        <v>0</v>
      </c>
      <c r="E1424" s="177" t="n">
        <f aca="false">крыша!D275</f>
        <v>190</v>
      </c>
      <c r="F1424" s="177"/>
      <c r="G1424" s="122" t="n">
        <f aca="false">IF(F1424&gt;0,D1424*F1424,E1424*D1424)</f>
        <v>0</v>
      </c>
      <c r="H1424" s="85" t="n">
        <f aca="false">D1424*E1424*$H$1410</f>
        <v>0</v>
      </c>
      <c r="I1424" s="2784" t="n">
        <f aca="false">IF(G1424&gt;H1424,G1424,H1424)*$H$1409</f>
        <v>0</v>
      </c>
      <c r="J1424" s="2744"/>
      <c r="K1424" s="226" t="n">
        <f aca="false">D1424-J1424</f>
        <v>0</v>
      </c>
      <c r="L1424" s="2736"/>
    </row>
    <row r="1425" customFormat="false" ht="15.5" hidden="false" customHeight="false" outlineLevel="0" collapsed="false">
      <c r="A1425" s="2719"/>
      <c r="B1425" s="298" t="str">
        <f aca="false">крыша!A276</f>
        <v>Торцевая планка</v>
      </c>
      <c r="C1425" s="2765" t="str">
        <f aca="false">крыша!B276</f>
        <v>м.п.</v>
      </c>
      <c r="D1425" s="298" t="n">
        <f aca="false">крыша!C276</f>
        <v>0</v>
      </c>
      <c r="E1425" s="177" t="n">
        <f aca="false">крыша!D276</f>
        <v>190</v>
      </c>
      <c r="F1425" s="177"/>
      <c r="G1425" s="122" t="n">
        <f aca="false">IF(F1425&gt;0,D1425*F1425,E1425*D1425)</f>
        <v>0</v>
      </c>
      <c r="H1425" s="85" t="n">
        <f aca="false">D1425*E1425*$H$1410</f>
        <v>0</v>
      </c>
      <c r="I1425" s="2784" t="n">
        <f aca="false">IF(G1425&gt;H1425,G1425,H1425)*$H$1409</f>
        <v>0</v>
      </c>
      <c r="J1425" s="2744"/>
      <c r="K1425" s="226" t="n">
        <f aca="false">D1425-J1425</f>
        <v>0</v>
      </c>
      <c r="L1425" s="2736"/>
    </row>
    <row r="1426" customFormat="false" ht="15.5" hidden="false" customHeight="false" outlineLevel="0" collapsed="false">
      <c r="A1426" s="2719"/>
      <c r="B1426" s="298" t="str">
        <f aca="false">крыша!A277</f>
        <v>Конек</v>
      </c>
      <c r="C1426" s="2765" t="str">
        <f aca="false">крыша!B277</f>
        <v>м.п.</v>
      </c>
      <c r="D1426" s="298" t="n">
        <f aca="false">крыша!C277</f>
        <v>0</v>
      </c>
      <c r="E1426" s="177" t="n">
        <f aca="false">крыша!D277</f>
        <v>200</v>
      </c>
      <c r="F1426" s="177"/>
      <c r="G1426" s="122" t="n">
        <f aca="false">IF(F1426&gt;0,D1426*F1426,E1426*D1426)</f>
        <v>0</v>
      </c>
      <c r="H1426" s="85" t="n">
        <f aca="false">D1426*E1426*$H$1410</f>
        <v>0</v>
      </c>
      <c r="I1426" s="2784" t="n">
        <f aca="false">IF(G1426&gt;H1426,G1426,H1426)*$H$1409</f>
        <v>0</v>
      </c>
      <c r="J1426" s="2744"/>
      <c r="K1426" s="226" t="n">
        <f aca="false">D1426-J1426</f>
        <v>0</v>
      </c>
      <c r="L1426" s="2736"/>
    </row>
    <row r="1427" customFormat="false" ht="15.5" hidden="false" customHeight="false" outlineLevel="0" collapsed="false">
      <c r="A1427" s="2719"/>
      <c r="B1427" s="298" t="str">
        <f aca="false">крыша!A278</f>
        <v>ондулин</v>
      </c>
      <c r="C1427" s="2765" t="str">
        <f aca="false">крыша!B278</f>
        <v>м2</v>
      </c>
      <c r="D1427" s="298" t="n">
        <f aca="false">крыша!C278</f>
        <v>0</v>
      </c>
      <c r="E1427" s="177" t="n">
        <f aca="false">крыша!D278</f>
        <v>180</v>
      </c>
      <c r="F1427" s="177"/>
      <c r="G1427" s="122" t="n">
        <f aca="false">IF(F1427&gt;0,D1427*F1427,E1427*D1427)</f>
        <v>0</v>
      </c>
      <c r="H1427" s="85" t="n">
        <f aca="false">D1427*E1427*$H$1410</f>
        <v>0</v>
      </c>
      <c r="I1427" s="2784" t="n">
        <f aca="false">IF(G1427&gt;H1427,G1427,H1427)*$H$1409</f>
        <v>0</v>
      </c>
      <c r="J1427" s="2744"/>
      <c r="K1427" s="226" t="n">
        <f aca="false">D1427-J1427</f>
        <v>0</v>
      </c>
      <c r="L1427" s="2736"/>
    </row>
    <row r="1428" customFormat="false" ht="15.5" hidden="false" customHeight="false" outlineLevel="0" collapsed="false">
      <c r="A1428" s="2719"/>
      <c r="B1428" s="298" t="str">
        <f aca="false">крыша!A279</f>
        <v>Карнизная планка</v>
      </c>
      <c r="C1428" s="2765" t="str">
        <f aca="false">крыша!B279</f>
        <v>м.п.</v>
      </c>
      <c r="D1428" s="298" t="n">
        <f aca="false">крыша!C279</f>
        <v>0</v>
      </c>
      <c r="E1428" s="177" t="n">
        <f aca="false">крыша!D279</f>
        <v>190</v>
      </c>
      <c r="F1428" s="177"/>
      <c r="G1428" s="122" t="n">
        <f aca="false">IF(F1428&gt;0,D1428*F1428,E1428*D1428)</f>
        <v>0</v>
      </c>
      <c r="H1428" s="85" t="n">
        <f aca="false">D1428*E1428*$H$1410</f>
        <v>0</v>
      </c>
      <c r="I1428" s="2784" t="n">
        <f aca="false">IF(G1428&gt;H1428,G1428,H1428)*$H$1409</f>
        <v>0</v>
      </c>
      <c r="J1428" s="2744"/>
      <c r="K1428" s="226" t="n">
        <f aca="false">D1428-J1428</f>
        <v>0</v>
      </c>
      <c r="L1428" s="2736"/>
    </row>
    <row r="1429" customFormat="false" ht="15.5" hidden="false" customHeight="false" outlineLevel="0" collapsed="false">
      <c r="A1429" s="2719"/>
      <c r="B1429" s="298" t="str">
        <f aca="false">крыша!A280</f>
        <v>Торцевая планка</v>
      </c>
      <c r="C1429" s="2765" t="str">
        <f aca="false">крыша!B280</f>
        <v>м.п.</v>
      </c>
      <c r="D1429" s="298" t="n">
        <f aca="false">крыша!C280</f>
        <v>0</v>
      </c>
      <c r="E1429" s="177" t="n">
        <f aca="false">крыша!D280</f>
        <v>190</v>
      </c>
      <c r="F1429" s="177"/>
      <c r="G1429" s="122" t="n">
        <f aca="false">IF(F1429&gt;0,D1429*F1429,E1429*D1429)</f>
        <v>0</v>
      </c>
      <c r="H1429" s="85" t="n">
        <f aca="false">D1429*E1429*$H$1410</f>
        <v>0</v>
      </c>
      <c r="I1429" s="2784" t="n">
        <f aca="false">IF(G1429&gt;H1429,G1429,H1429)*$H$1409</f>
        <v>0</v>
      </c>
      <c r="J1429" s="2744"/>
      <c r="K1429" s="226" t="n">
        <f aca="false">D1429-J1429</f>
        <v>0</v>
      </c>
      <c r="L1429" s="2736"/>
    </row>
    <row r="1430" customFormat="false" ht="15.5" hidden="false" customHeight="false" outlineLevel="0" collapsed="false">
      <c r="A1430" s="2719"/>
      <c r="B1430" s="298" t="str">
        <f aca="false">крыша!A281</f>
        <v>Конек</v>
      </c>
      <c r="C1430" s="2765" t="str">
        <f aca="false">крыша!B281</f>
        <v>м.п</v>
      </c>
      <c r="D1430" s="298" t="n">
        <f aca="false">крыша!C281</f>
        <v>0</v>
      </c>
      <c r="E1430" s="177" t="n">
        <f aca="false">крыша!D281</f>
        <v>200</v>
      </c>
      <c r="F1430" s="177"/>
      <c r="G1430" s="122" t="n">
        <f aca="false">IF(F1430&gt;0,D1430*F1430,E1430*D1430)</f>
        <v>0</v>
      </c>
      <c r="H1430" s="85" t="n">
        <f aca="false">D1430*E1430*$H$1410</f>
        <v>0</v>
      </c>
      <c r="I1430" s="2784" t="n">
        <f aca="false">IF(G1430&gt;H1430,G1430,H1430)*$H$1409</f>
        <v>0</v>
      </c>
      <c r="J1430" s="2744"/>
      <c r="K1430" s="226" t="n">
        <f aca="false">D1430-J1430</f>
        <v>0</v>
      </c>
      <c r="L1430" s="2736"/>
    </row>
    <row r="1431" customFormat="false" ht="15.5" hidden="false" customHeight="false" outlineLevel="0" collapsed="false">
      <c r="A1431" s="2719"/>
      <c r="B1431" s="298" t="str">
        <f aca="false">крыша!A282</f>
        <v>Ендова нижняя</v>
      </c>
      <c r="C1431" s="2765" t="str">
        <f aca="false">крыша!B282</f>
        <v>м.п.</v>
      </c>
      <c r="D1431" s="298" t="n">
        <f aca="false">крыша!C282</f>
        <v>0</v>
      </c>
      <c r="E1431" s="177" t="n">
        <f aca="false">крыша!D282</f>
        <v>160</v>
      </c>
      <c r="F1431" s="177"/>
      <c r="G1431" s="122" t="n">
        <f aca="false">IF(F1431&gt;0,D1431*F1431,E1431*D1431)</f>
        <v>0</v>
      </c>
      <c r="H1431" s="85" t="n">
        <f aca="false">D1431*E1431*$H$1410</f>
        <v>0</v>
      </c>
      <c r="I1431" s="2784" t="n">
        <f aca="false">IF(G1431&gt;H1431,G1431,H1431)*$H$1409</f>
        <v>0</v>
      </c>
      <c r="J1431" s="2744"/>
      <c r="K1431" s="226" t="n">
        <f aca="false">D1431-J1431</f>
        <v>0</v>
      </c>
      <c r="L1431" s="2736"/>
    </row>
    <row r="1432" customFormat="false" ht="15.5" hidden="false" customHeight="false" outlineLevel="0" collapsed="false">
      <c r="A1432" s="2719"/>
      <c r="B1432" s="298" t="str">
        <f aca="false">крыша!A283</f>
        <v>Ендова верхняя</v>
      </c>
      <c r="C1432" s="2765" t="str">
        <f aca="false">крыша!B283</f>
        <v>м.п.</v>
      </c>
      <c r="D1432" s="298" t="n">
        <f aca="false">крыша!C283</f>
        <v>0</v>
      </c>
      <c r="E1432" s="177" t="n">
        <f aca="false">крыша!D283</f>
        <v>190</v>
      </c>
      <c r="F1432" s="177"/>
      <c r="G1432" s="122" t="n">
        <f aca="false">IF(F1432&gt;0,D1432*F1432,E1432*D1432)</f>
        <v>0</v>
      </c>
      <c r="H1432" s="85" t="n">
        <f aca="false">D1432*E1432*$H$1410</f>
        <v>0</v>
      </c>
      <c r="I1432" s="2784" t="n">
        <f aca="false">IF(G1432&gt;H1432,G1432,H1432)*$H$1409</f>
        <v>0</v>
      </c>
      <c r="J1432" s="2744"/>
      <c r="K1432" s="226" t="n">
        <f aca="false">D1432-J1432</f>
        <v>0</v>
      </c>
      <c r="L1432" s="2736"/>
    </row>
    <row r="1433" customFormat="false" ht="15.5" hidden="false" customHeight="false" outlineLevel="0" collapsed="false">
      <c r="A1433" s="2719"/>
      <c r="B1433" s="298" t="str">
        <f aca="false">крыша!A284</f>
        <v>Планка примыкания</v>
      </c>
      <c r="C1433" s="2765" t="str">
        <f aca="false">крыша!B284</f>
        <v>м.п.</v>
      </c>
      <c r="D1433" s="298" t="n">
        <f aca="false">крыша!C284</f>
        <v>0</v>
      </c>
      <c r="E1433" s="177" t="n">
        <f aca="false">крыша!D284</f>
        <v>190</v>
      </c>
      <c r="F1433" s="177"/>
      <c r="G1433" s="122" t="n">
        <f aca="false">IF(F1433&gt;0,D1433*F1433,E1433*D1433)</f>
        <v>0</v>
      </c>
      <c r="H1433" s="85" t="n">
        <f aca="false">D1433*E1433*$H$1410</f>
        <v>0</v>
      </c>
      <c r="I1433" s="2784" t="n">
        <f aca="false">IF(G1433&gt;H1433,G1433,H1433)*$H$1409</f>
        <v>0</v>
      </c>
      <c r="J1433" s="2744"/>
      <c r="K1433" s="226" t="n">
        <f aca="false">D1433-J1433</f>
        <v>0</v>
      </c>
      <c r="L1433" s="2736"/>
    </row>
    <row r="1434" customFormat="false" ht="15.5" hidden="false" customHeight="false" outlineLevel="0" collapsed="false">
      <c r="A1434" s="2719"/>
      <c r="B1434" s="298" t="str">
        <f aca="false">крыша!A285</f>
        <v>Крепеж для ондулина</v>
      </c>
      <c r="C1434" s="2765" t="str">
        <f aca="false">крыша!B285</f>
        <v>шт</v>
      </c>
      <c r="D1434" s="298" t="n">
        <f aca="false">крыша!C285</f>
        <v>0</v>
      </c>
      <c r="E1434" s="177" t="n">
        <f aca="false">крыша!D285</f>
        <v>4.5</v>
      </c>
      <c r="F1434" s="177"/>
      <c r="G1434" s="122" t="n">
        <f aca="false">IF(F1434&gt;0,D1434*F1434,E1434*D1434)</f>
        <v>0</v>
      </c>
      <c r="H1434" s="85" t="n">
        <f aca="false">D1434*E1434*$H$1410</f>
        <v>0</v>
      </c>
      <c r="I1434" s="2784" t="n">
        <f aca="false">IF(G1434&gt;H1434,G1434,H1434)*$H$1409</f>
        <v>0</v>
      </c>
      <c r="J1434" s="2744"/>
      <c r="K1434" s="226" t="n">
        <f aca="false">D1434-J1434</f>
        <v>0</v>
      </c>
      <c r="L1434" s="2736"/>
    </row>
    <row r="1435" customFormat="false" ht="15.5" hidden="false" customHeight="false" outlineLevel="0" collapsed="false">
      <c r="A1435" s="2719"/>
      <c r="B1435" s="298" t="str">
        <f aca="false">крыша!A286</f>
        <v>Kronospan - OSB-3, 9мм</v>
      </c>
      <c r="C1435" s="2765" t="str">
        <f aca="false">крыша!B286</f>
        <v>м2</v>
      </c>
      <c r="D1435" s="298" t="n">
        <f aca="false">крыша!C286</f>
        <v>197.237722486556</v>
      </c>
      <c r="E1435" s="177" t="n">
        <f aca="false">крыша!D286</f>
        <v>220</v>
      </c>
      <c r="F1435" s="177"/>
      <c r="G1435" s="122" t="n">
        <f aca="false">IF(F1435&gt;0,D1435*F1435,E1435*D1435)</f>
        <v>43392.2989470423</v>
      </c>
      <c r="H1435" s="85" t="n">
        <f aca="false">D1435*E1435*$H$1410</f>
        <v>0</v>
      </c>
      <c r="I1435" s="2784" t="n">
        <f aca="false">IF(G1435&gt;H1435,G1435,H1435)*$H$1409</f>
        <v>0</v>
      </c>
      <c r="J1435" s="2744"/>
      <c r="K1435" s="226" t="n">
        <f aca="false">D1435-J1435</f>
        <v>197.237722486556</v>
      </c>
      <c r="L1435" s="2736"/>
    </row>
    <row r="1436" customFormat="false" ht="15.5" hidden="false" customHeight="false" outlineLevel="0" collapsed="false">
      <c r="A1436" s="2719"/>
      <c r="B1436" s="298" t="str">
        <f aca="false">крыша!A287</f>
        <v>Рядовая черепица</v>
      </c>
      <c r="C1436" s="2765" t="str">
        <f aca="false">крыша!B287</f>
        <v>м2</v>
      </c>
      <c r="D1436" s="298" t="n">
        <f aca="false">крыша!C287</f>
        <v>174.667020442324</v>
      </c>
      <c r="E1436" s="177" t="n">
        <f aca="false">крыша!D287</f>
        <v>360</v>
      </c>
      <c r="F1436" s="177"/>
      <c r="G1436" s="122" t="n">
        <f aca="false">IF(F1436&gt;0,D1436*F1436,E1436*D1436)</f>
        <v>62880.1273592365</v>
      </c>
      <c r="H1436" s="85" t="n">
        <f aca="false">D1436*E1436*$H$1410</f>
        <v>0</v>
      </c>
      <c r="I1436" s="2784" t="n">
        <f aca="false">IF(G1436&gt;H1436,G1436,H1436)*$H$1409</f>
        <v>0</v>
      </c>
      <c r="J1436" s="2744"/>
      <c r="K1436" s="226" t="n">
        <f aca="false">D1436-J1436</f>
        <v>174.667020442324</v>
      </c>
      <c r="L1436" s="2736"/>
    </row>
    <row r="1437" customFormat="false" ht="15.5" hidden="false" customHeight="false" outlineLevel="0" collapsed="false">
      <c r="A1437" s="2719"/>
      <c r="B1437" s="298" t="str">
        <f aca="false">крыша!A288</f>
        <v>Металл оцинк защита (карниз)</v>
      </c>
      <c r="C1437" s="2765" t="str">
        <f aca="false">крыша!B288</f>
        <v>м.п.</v>
      </c>
      <c r="D1437" s="298" t="n">
        <f aca="false">крыша!C288</f>
        <v>54.1150035245386</v>
      </c>
      <c r="E1437" s="177" t="n">
        <f aca="false">крыша!D288</f>
        <v>200</v>
      </c>
      <c r="F1437" s="177"/>
      <c r="G1437" s="122" t="n">
        <f aca="false">IF(F1437&gt;0,D1437*F1437,E1437*D1437)</f>
        <v>10823.0007049077</v>
      </c>
      <c r="H1437" s="85" t="n">
        <f aca="false">D1437*E1437*$H$1410</f>
        <v>0</v>
      </c>
      <c r="I1437" s="2784" t="n">
        <f aca="false">IF(G1437&gt;H1437,G1437,H1437)*$H$1409</f>
        <v>0</v>
      </c>
      <c r="J1437" s="2744"/>
      <c r="K1437" s="226" t="n">
        <f aca="false">D1437-J1437</f>
        <v>54.1150035245386</v>
      </c>
      <c r="L1437" s="2736"/>
    </row>
    <row r="1438" customFormat="false" ht="15.5" hidden="false" customHeight="false" outlineLevel="0" collapsed="false">
      <c r="A1438" s="2719"/>
      <c r="B1438" s="298" t="str">
        <f aca="false">крыша!A289</f>
        <v>Подкладочный ковер</v>
      </c>
      <c r="C1438" s="2765" t="str">
        <f aca="false">крыша!B289</f>
        <v>м.п.</v>
      </c>
      <c r="D1438" s="298" t="n">
        <f aca="false">крыша!C289</f>
        <v>179.307020442324</v>
      </c>
      <c r="E1438" s="177" t="n">
        <f aca="false">крыша!D289</f>
        <v>220</v>
      </c>
      <c r="F1438" s="177"/>
      <c r="G1438" s="122" t="n">
        <f aca="false">IF(F1438&gt;0,D1438*F1438,E1438*D1438)</f>
        <v>39447.5444973112</v>
      </c>
      <c r="H1438" s="85" t="n">
        <f aca="false">D1438*E1438*$H$1410</f>
        <v>0</v>
      </c>
      <c r="I1438" s="2784" t="n">
        <f aca="false">IF(G1438&gt;H1438,G1438,H1438)*$H$1409</f>
        <v>0</v>
      </c>
      <c r="J1438" s="2744"/>
      <c r="K1438" s="226" t="n">
        <f aca="false">D1438-J1438</f>
        <v>179.307020442324</v>
      </c>
      <c r="L1438" s="2736"/>
    </row>
    <row r="1439" customFormat="false" ht="15.5" hidden="false" customHeight="false" outlineLevel="0" collapsed="false">
      <c r="A1439" s="2719"/>
      <c r="B1439" s="298" t="str">
        <f aca="false">крыша!A290</f>
        <v>Карнизная самоклеющаяся черепица</v>
      </c>
      <c r="C1439" s="2765" t="str">
        <f aca="false">крыша!B290</f>
        <v>м.п.</v>
      </c>
      <c r="D1439" s="298" t="n">
        <f aca="false">крыша!C290</f>
        <v>23.2</v>
      </c>
      <c r="E1439" s="177" t="n">
        <f aca="false">крыша!D290</f>
        <v>220</v>
      </c>
      <c r="F1439" s="177"/>
      <c r="G1439" s="122" t="n">
        <f aca="false">IF(F1439&gt;0,D1439*F1439,E1439*D1439)</f>
        <v>5104</v>
      </c>
      <c r="H1439" s="85" t="n">
        <f aca="false">D1439*E1439*$H$1410</f>
        <v>0</v>
      </c>
      <c r="I1439" s="2784" t="n">
        <f aca="false">IF(G1439&gt;H1439,G1439,H1439)*$H$1409</f>
        <v>0</v>
      </c>
      <c r="J1439" s="2744"/>
      <c r="K1439" s="226" t="n">
        <f aca="false">D1439-J1439</f>
        <v>23.2</v>
      </c>
      <c r="L1439" s="2736"/>
    </row>
    <row r="1440" customFormat="false" ht="15.5" hidden="false" customHeight="false" outlineLevel="0" collapsed="false">
      <c r="A1440" s="2719"/>
      <c r="B1440" s="298" t="str">
        <f aca="false">крыша!A291</f>
        <v>Спец ковер ендова нижняя</v>
      </c>
      <c r="C1440" s="2765" t="str">
        <f aca="false">крыша!B291</f>
        <v>м.п.</v>
      </c>
      <c r="D1440" s="298" t="n">
        <f aca="false">крыша!C291</f>
        <v>0</v>
      </c>
      <c r="E1440" s="177" t="n">
        <f aca="false">крыша!D291</f>
        <v>200</v>
      </c>
      <c r="F1440" s="177"/>
      <c r="G1440" s="122" t="n">
        <f aca="false">IF(F1440&gt;0,D1440*F1440,E1440*D1440)</f>
        <v>0</v>
      </c>
      <c r="H1440" s="85" t="n">
        <f aca="false">D1440*E1440*$H$1410</f>
        <v>0</v>
      </c>
      <c r="I1440" s="2784" t="n">
        <f aca="false">IF(G1440&gt;H1440,G1440,H1440)*$H$1409</f>
        <v>0</v>
      </c>
      <c r="J1440" s="2744"/>
      <c r="K1440" s="226" t="n">
        <f aca="false">D1440-J1440</f>
        <v>0</v>
      </c>
      <c r="L1440" s="2736"/>
    </row>
    <row r="1441" customFormat="false" ht="15.5" hidden="false" customHeight="false" outlineLevel="0" collapsed="false">
      <c r="A1441" s="2719"/>
      <c r="B1441" s="298" t="str">
        <f aca="false">крыша!A292</f>
        <v>Коньковой элемент</v>
      </c>
      <c r="C1441" s="2765" t="str">
        <f aca="false">крыша!B292</f>
        <v>м.п.</v>
      </c>
      <c r="D1441" s="298" t="n">
        <f aca="false">крыша!C292</f>
        <v>12.18</v>
      </c>
      <c r="E1441" s="177" t="n">
        <f aca="false">крыша!D292</f>
        <v>250</v>
      </c>
      <c r="F1441" s="177"/>
      <c r="G1441" s="122" t="n">
        <f aca="false">IF(F1441&gt;0,D1441*F1441,E1441*D1441)</f>
        <v>3045</v>
      </c>
      <c r="H1441" s="85" t="n">
        <f aca="false">D1441*E1441*$H$1410</f>
        <v>0</v>
      </c>
      <c r="I1441" s="2784" t="n">
        <f aca="false">IF(G1441&gt;H1441,G1441,H1441)*$H$1409</f>
        <v>0</v>
      </c>
      <c r="J1441" s="2744"/>
      <c r="K1441" s="226" t="n">
        <f aca="false">D1441-J1441</f>
        <v>12.18</v>
      </c>
      <c r="L1441" s="2736"/>
    </row>
    <row r="1442" customFormat="false" ht="15.5" hidden="false" customHeight="false" outlineLevel="0" collapsed="false">
      <c r="A1442" s="2719"/>
      <c r="B1442" s="298" t="str">
        <f aca="false">крыша!A293</f>
        <v>Планка премыкания</v>
      </c>
      <c r="C1442" s="2765" t="str">
        <f aca="false">крыша!B293</f>
        <v>м.п.</v>
      </c>
      <c r="D1442" s="298" t="n">
        <f aca="false">крыша!C293</f>
        <v>0</v>
      </c>
      <c r="E1442" s="177" t="n">
        <f aca="false">крыша!D293</f>
        <v>200</v>
      </c>
      <c r="F1442" s="177"/>
      <c r="G1442" s="122" t="n">
        <f aca="false">IF(F1442&gt;0,D1442*F1442,E1442*D1442)</f>
        <v>0</v>
      </c>
      <c r="H1442" s="85" t="n">
        <f aca="false">D1442*E1442*$H$1410</f>
        <v>0</v>
      </c>
      <c r="I1442" s="2784" t="n">
        <f aca="false">IF(G1442&gt;H1442,G1442,H1442)*$H$1409</f>
        <v>0</v>
      </c>
      <c r="J1442" s="2744"/>
      <c r="K1442" s="226" t="n">
        <f aca="false">D1442-J1442</f>
        <v>0</v>
      </c>
      <c r="L1442" s="2736"/>
    </row>
    <row r="1443" customFormat="false" ht="15.5" hidden="false" customHeight="false" outlineLevel="0" collapsed="false">
      <c r="A1443" s="2719"/>
      <c r="B1443" s="298" t="str">
        <f aca="false">крыша!A294</f>
        <v>Гвозди для крепления подкладочного ковра</v>
      </c>
      <c r="C1443" s="2765" t="str">
        <f aca="false">крыша!B294</f>
        <v>шт</v>
      </c>
      <c r="D1443" s="298" t="n">
        <f aca="false">крыша!C294</f>
        <v>1793.07020442324</v>
      </c>
      <c r="E1443" s="177" t="n">
        <f aca="false">крыша!D294</f>
        <v>0.012</v>
      </c>
      <c r="F1443" s="177"/>
      <c r="G1443" s="122" t="n">
        <f aca="false">IF(F1443&gt;0,D1443*F1443,E1443*D1443)</f>
        <v>21.5168424530788</v>
      </c>
      <c r="H1443" s="85" t="n">
        <f aca="false">D1443*E1443*$H$1410</f>
        <v>0</v>
      </c>
      <c r="I1443" s="2784" t="n">
        <f aca="false">IF(G1443&gt;H1443,G1443,H1443)*$H$1409</f>
        <v>0</v>
      </c>
      <c r="J1443" s="2744"/>
      <c r="K1443" s="226" t="n">
        <f aca="false">D1443-J1443</f>
        <v>1793.07020442324</v>
      </c>
      <c r="L1443" s="2736"/>
    </row>
    <row r="1444" customFormat="false" ht="15.5" hidden="false" customHeight="false" outlineLevel="0" collapsed="false">
      <c r="A1444" s="2719"/>
      <c r="B1444" s="298" t="str">
        <f aca="false">крыша!A295</f>
        <v>Гвозди для крепления черепицы</v>
      </c>
      <c r="C1444" s="2765" t="str">
        <f aca="false">крыша!B295</f>
        <v>шт</v>
      </c>
      <c r="D1444" s="298" t="n">
        <f aca="false">крыша!C295</f>
        <v>8733.35102211619</v>
      </c>
      <c r="E1444" s="177" t="n">
        <f aca="false">крыша!D295</f>
        <v>0.25</v>
      </c>
      <c r="F1444" s="177"/>
      <c r="G1444" s="122" t="n">
        <f aca="false">IF(F1444&gt;0,D1444*F1444,E1444*D1444)</f>
        <v>2183.33775552905</v>
      </c>
      <c r="H1444" s="85" t="n">
        <f aca="false">D1444*E1444*$H$1410</f>
        <v>0</v>
      </c>
      <c r="I1444" s="2784" t="n">
        <f aca="false">IF(G1444&gt;H1444,G1444,H1444)*$H$1409</f>
        <v>0</v>
      </c>
      <c r="J1444" s="2744"/>
      <c r="K1444" s="226" t="n">
        <f aca="false">D1444-J1444</f>
        <v>8733.35102211619</v>
      </c>
      <c r="L1444" s="2736"/>
    </row>
    <row r="1445" customFormat="false" ht="15.5" hidden="false" customHeight="false" outlineLevel="0" collapsed="false">
      <c r="A1445" s="2719"/>
      <c r="B1445" s="298" t="str">
        <f aca="false">крыша!A296</f>
        <v>Клей для монтажа черепицы</v>
      </c>
      <c r="C1445" s="2765" t="str">
        <f aca="false">крыша!B296</f>
        <v>кг</v>
      </c>
      <c r="D1445" s="298" t="n">
        <f aca="false">крыша!C296</f>
        <v>179.307020442324</v>
      </c>
      <c r="E1445" s="177" t="n">
        <f aca="false">крыша!D296</f>
        <v>250</v>
      </c>
      <c r="F1445" s="177"/>
      <c r="G1445" s="122" t="n">
        <f aca="false">IF(F1445&gt;0,D1445*F1445,E1445*D1445)</f>
        <v>44826.7551105809</v>
      </c>
      <c r="H1445" s="85" t="n">
        <f aca="false">D1445*E1445*$H$1410</f>
        <v>0</v>
      </c>
      <c r="I1445" s="2784" t="n">
        <f aca="false">IF(G1445&gt;H1445,G1445,H1445)*$H$1409</f>
        <v>0</v>
      </c>
      <c r="J1445" s="2744"/>
      <c r="K1445" s="226" t="n">
        <f aca="false">D1445-J1445</f>
        <v>179.307020442324</v>
      </c>
      <c r="L1445" s="2736"/>
    </row>
    <row r="1446" customFormat="false" ht="15.5" hidden="false" customHeight="false" outlineLevel="0" collapsed="false">
      <c r="A1446" s="2719"/>
      <c r="B1446" s="298" t="str">
        <f aca="false">крыша!A297</f>
        <v>желоб</v>
      </c>
      <c r="C1446" s="2765" t="str">
        <f aca="false">крыша!B297</f>
        <v>м.п</v>
      </c>
      <c r="D1446" s="298" t="n">
        <f aca="false">крыша!C297</f>
        <v>23.2</v>
      </c>
      <c r="E1446" s="177" t="n">
        <f aca="false">крыша!D297</f>
        <v>300</v>
      </c>
      <c r="F1446" s="177"/>
      <c r="G1446" s="122" t="n">
        <f aca="false">IF(F1446&gt;0,D1446*F1446,E1446*D1446)</f>
        <v>6960</v>
      </c>
      <c r="H1446" s="85" t="n">
        <f aca="false">D1446*E1446*$H$1410</f>
        <v>0</v>
      </c>
      <c r="I1446" s="2784" t="n">
        <f aca="false">IF(G1446&gt;H1446,G1446,H1446)*$H$1409</f>
        <v>0</v>
      </c>
      <c r="J1446" s="2744"/>
      <c r="K1446" s="226" t="n">
        <f aca="false">D1446-J1446</f>
        <v>23.2</v>
      </c>
      <c r="L1446" s="2736"/>
    </row>
    <row r="1447" customFormat="false" ht="15.5" hidden="false" customHeight="false" outlineLevel="0" collapsed="false">
      <c r="A1447" s="2719"/>
      <c r="B1447" s="298" t="str">
        <f aca="false">крыша!A298</f>
        <v>отвод</v>
      </c>
      <c r="C1447" s="2765" t="str">
        <f aca="false">крыша!B298</f>
        <v>шт</v>
      </c>
      <c r="D1447" s="298" t="n">
        <f aca="false">крыша!C298</f>
        <v>4</v>
      </c>
      <c r="E1447" s="177" t="n">
        <f aca="false">крыша!D298</f>
        <v>250</v>
      </c>
      <c r="F1447" s="177"/>
      <c r="G1447" s="122" t="n">
        <f aca="false">IF(F1447&gt;0,D1447*F1447,E1447*D1447)</f>
        <v>1000</v>
      </c>
      <c r="H1447" s="85" t="n">
        <f aca="false">D1447*E1447*$H$1410</f>
        <v>0</v>
      </c>
      <c r="I1447" s="2784" t="n">
        <f aca="false">IF(G1447&gt;H1447,G1447,H1447)*$H$1409</f>
        <v>0</v>
      </c>
      <c r="J1447" s="2744"/>
      <c r="K1447" s="226" t="n">
        <f aca="false">D1447-J1447</f>
        <v>4</v>
      </c>
      <c r="L1447" s="2736"/>
    </row>
    <row r="1448" customFormat="false" ht="15.5" hidden="false" customHeight="false" outlineLevel="0" collapsed="false">
      <c r="A1448" s="2719"/>
      <c r="B1448" s="298" t="str">
        <f aca="false">крыша!A299</f>
        <v>труба водосточная</v>
      </c>
      <c r="C1448" s="2765" t="str">
        <f aca="false">крыша!B299</f>
        <v>м.п.</v>
      </c>
      <c r="D1448" s="298" t="n">
        <f aca="false">крыша!C299</f>
        <v>8</v>
      </c>
      <c r="E1448" s="177" t="n">
        <f aca="false">крыша!D299</f>
        <v>300</v>
      </c>
      <c r="F1448" s="177"/>
      <c r="G1448" s="122" t="n">
        <f aca="false">IF(F1448&gt;0,D1448*F1448,E1448*D1448)</f>
        <v>2400</v>
      </c>
      <c r="H1448" s="85" t="n">
        <f aca="false">D1448*E1448*$H$1410</f>
        <v>0</v>
      </c>
      <c r="I1448" s="2784" t="n">
        <f aca="false">IF(G1448&gt;H1448,G1448,H1448)*$H$1409</f>
        <v>0</v>
      </c>
      <c r="J1448" s="2744"/>
      <c r="K1448" s="226" t="n">
        <f aca="false">D1448-J1448</f>
        <v>8</v>
      </c>
      <c r="L1448" s="2736"/>
    </row>
    <row r="1449" customFormat="false" ht="15.5" hidden="false" customHeight="false" outlineLevel="0" collapsed="false">
      <c r="A1449" s="2719"/>
      <c r="B1449" s="298" t="str">
        <f aca="false">крыша!A300</f>
        <v>заглушка для желоба</v>
      </c>
      <c r="C1449" s="2765" t="str">
        <f aca="false">крыша!B300</f>
        <v>шт</v>
      </c>
      <c r="D1449" s="298" t="n">
        <f aca="false">крыша!C300</f>
        <v>4</v>
      </c>
      <c r="E1449" s="177" t="n">
        <f aca="false">крыша!D300</f>
        <v>190</v>
      </c>
      <c r="F1449" s="177"/>
      <c r="G1449" s="122" t="n">
        <f aca="false">IF(F1449&gt;0,D1449*F1449,E1449*D1449)</f>
        <v>760</v>
      </c>
      <c r="H1449" s="85" t="n">
        <f aca="false">D1449*E1449*$H$1410</f>
        <v>0</v>
      </c>
      <c r="I1449" s="2784" t="n">
        <f aca="false">IF(G1449&gt;H1449,G1449,H1449)*$H$1409</f>
        <v>0</v>
      </c>
      <c r="J1449" s="2744"/>
      <c r="K1449" s="226" t="n">
        <f aca="false">D1449-J1449</f>
        <v>4</v>
      </c>
      <c r="L1449" s="2736"/>
    </row>
    <row r="1450" customFormat="false" ht="15.5" hidden="false" customHeight="false" outlineLevel="0" collapsed="false">
      <c r="A1450" s="2719"/>
      <c r="B1450" s="298" t="str">
        <f aca="false">крыша!A301</f>
        <v>соеденитель для желоба</v>
      </c>
      <c r="C1450" s="2765" t="str">
        <f aca="false">крыша!B301</f>
        <v>шт</v>
      </c>
      <c r="D1450" s="298" t="n">
        <f aca="false">крыша!C301</f>
        <v>11.6</v>
      </c>
      <c r="E1450" s="177" t="n">
        <f aca="false">крыша!D301</f>
        <v>180</v>
      </c>
      <c r="F1450" s="177"/>
      <c r="G1450" s="122" t="n">
        <f aca="false">IF(F1450&gt;0,D1450*F1450,E1450*D1450)</f>
        <v>2088</v>
      </c>
      <c r="H1450" s="85" t="n">
        <f aca="false">D1450*E1450*$H$1410</f>
        <v>0</v>
      </c>
      <c r="I1450" s="2784" t="n">
        <f aca="false">IF(G1450&gt;H1450,G1450,H1450)*$H$1409</f>
        <v>0</v>
      </c>
      <c r="J1450" s="2744"/>
      <c r="K1450" s="226" t="n">
        <f aca="false">D1450-J1450</f>
        <v>11.6</v>
      </c>
      <c r="L1450" s="2736"/>
    </row>
    <row r="1451" customFormat="false" ht="15.5" hidden="false" customHeight="false" outlineLevel="0" collapsed="false">
      <c r="A1451" s="2719"/>
      <c r="B1451" s="298" t="str">
        <f aca="false">крыша!A302</f>
        <v>кронштейн для желоба</v>
      </c>
      <c r="C1451" s="2765" t="str">
        <f aca="false">крыша!B302</f>
        <v>шт</v>
      </c>
      <c r="D1451" s="298" t="n">
        <f aca="false">крыша!C302</f>
        <v>46.4</v>
      </c>
      <c r="E1451" s="177" t="n">
        <f aca="false">крыша!D302</f>
        <v>130</v>
      </c>
      <c r="F1451" s="177"/>
      <c r="G1451" s="122" t="n">
        <f aca="false">IF(F1451&gt;0,D1451*F1451,E1451*D1451)</f>
        <v>6032</v>
      </c>
      <c r="H1451" s="85" t="n">
        <f aca="false">D1451*E1451*$H$1410</f>
        <v>0</v>
      </c>
      <c r="I1451" s="2784" t="n">
        <f aca="false">IF(G1451&gt;H1451,G1451,H1451)*$H$1409</f>
        <v>0</v>
      </c>
      <c r="J1451" s="2744"/>
      <c r="K1451" s="226" t="n">
        <f aca="false">D1451-J1451</f>
        <v>46.4</v>
      </c>
      <c r="L1451" s="2736"/>
    </row>
    <row r="1452" customFormat="false" ht="15.5" hidden="false" customHeight="false" outlineLevel="0" collapsed="false">
      <c r="A1452" s="2719"/>
      <c r="B1452" s="298" t="str">
        <f aca="false">крыша!A303</f>
        <v>переход из желоба в трубу</v>
      </c>
      <c r="C1452" s="2765" t="str">
        <f aca="false">крыша!B303</f>
        <v>шт</v>
      </c>
      <c r="D1452" s="298" t="n">
        <f aca="false">крыша!C303</f>
        <v>2</v>
      </c>
      <c r="E1452" s="177" t="n">
        <f aca="false">крыша!D303</f>
        <v>350</v>
      </c>
      <c r="F1452" s="177"/>
      <c r="G1452" s="122" t="n">
        <f aca="false">IF(F1452&gt;0,D1452*F1452,E1452*D1452)</f>
        <v>700</v>
      </c>
      <c r="H1452" s="85" t="n">
        <f aca="false">D1452*E1452*$H$1410</f>
        <v>0</v>
      </c>
      <c r="I1452" s="2784" t="n">
        <f aca="false">IF(G1452&gt;H1452,G1452,H1452)*$H$1409</f>
        <v>0</v>
      </c>
      <c r="J1452" s="2744"/>
      <c r="K1452" s="226" t="n">
        <f aca="false">D1452-J1452</f>
        <v>2</v>
      </c>
      <c r="L1452" s="2736"/>
    </row>
    <row r="1453" customFormat="false" ht="15.5" hidden="false" customHeight="false" outlineLevel="0" collapsed="false">
      <c r="A1453" s="2719"/>
      <c r="B1453" s="298" t="str">
        <f aca="false">крыша!A304</f>
        <v>лента дельта мульти бэнд</v>
      </c>
      <c r="C1453" s="2765" t="str">
        <f aca="false">крыша!B304</f>
        <v>шт</v>
      </c>
      <c r="D1453" s="298" t="n">
        <f aca="false">крыша!C304</f>
        <v>15</v>
      </c>
      <c r="E1453" s="177" t="n">
        <f aca="false">крыша!D304</f>
        <v>1200</v>
      </c>
      <c r="F1453" s="177"/>
      <c r="G1453" s="122" t="n">
        <f aca="false">IF(F1453&gt;0,D1453*F1453,E1453*D1453)</f>
        <v>18000</v>
      </c>
      <c r="H1453" s="85" t="n">
        <f aca="false">D1453*E1453*$H$1410</f>
        <v>0</v>
      </c>
      <c r="I1453" s="2784" t="n">
        <f aca="false">IF(G1453&gt;H1453,G1453,H1453)*$H$1409</f>
        <v>0</v>
      </c>
      <c r="J1453" s="2744"/>
      <c r="K1453" s="226" t="n">
        <f aca="false">D1453-J1453</f>
        <v>15</v>
      </c>
      <c r="L1453" s="2736"/>
    </row>
    <row r="1454" customFormat="false" ht="15.5" hidden="false" customHeight="false" outlineLevel="0" collapsed="false">
      <c r="A1454" s="2719"/>
      <c r="B1454" s="298" t="str">
        <f aca="false">крыша!A305</f>
        <v>лента дельта sb-60</v>
      </c>
      <c r="C1454" s="2765" t="str">
        <f aca="false">крыша!B305</f>
        <v>шт</v>
      </c>
      <c r="D1454" s="298" t="n">
        <f aca="false">крыша!C305</f>
        <v>8</v>
      </c>
      <c r="E1454" s="177" t="n">
        <f aca="false">крыша!D305</f>
        <v>1100</v>
      </c>
      <c r="F1454" s="177"/>
      <c r="G1454" s="122" t="n">
        <f aca="false">IF(F1454&gt;0,D1454*F1454,E1454*D1454)</f>
        <v>8800</v>
      </c>
      <c r="H1454" s="85" t="n">
        <f aca="false">D1454*E1454*$H$1410</f>
        <v>0</v>
      </c>
      <c r="I1454" s="2784" t="n">
        <f aca="false">IF(G1454&gt;H1454,G1454,H1454)*$H$1409</f>
        <v>0</v>
      </c>
      <c r="J1454" s="2744"/>
      <c r="K1454" s="226" t="n">
        <f aca="false">D1454-J1454</f>
        <v>8</v>
      </c>
      <c r="L1454" s="2736"/>
    </row>
    <row r="1455" customFormat="false" ht="15.5" hidden="false" customHeight="false" outlineLevel="0" collapsed="false">
      <c r="A1455" s="2719"/>
      <c r="B1455" s="298" t="str">
        <f aca="false">крыша!A306</f>
        <v>проходка кровельная, канализационная</v>
      </c>
      <c r="C1455" s="2765" t="str">
        <f aca="false">крыша!B306</f>
        <v>шт</v>
      </c>
      <c r="D1455" s="298" t="n">
        <f aca="false">крыша!C306</f>
        <v>0</v>
      </c>
      <c r="E1455" s="177" t="n">
        <f aca="false">крыша!D306</f>
        <v>3500</v>
      </c>
      <c r="F1455" s="177"/>
      <c r="G1455" s="122" t="n">
        <f aca="false">IF(F1455&gt;0,D1455*F1455,E1455*D1455)</f>
        <v>0</v>
      </c>
      <c r="H1455" s="85" t="n">
        <f aca="false">D1455*E1455*$H$1410</f>
        <v>0</v>
      </c>
      <c r="I1455" s="2784" t="n">
        <f aca="false">IF(G1455&gt;H1455,G1455,H1455)*$H$1409</f>
        <v>0</v>
      </c>
      <c r="J1455" s="2744"/>
      <c r="K1455" s="226" t="n">
        <f aca="false">D1455-J1455</f>
        <v>0</v>
      </c>
      <c r="L1455" s="2736"/>
    </row>
    <row r="1456" customFormat="false" ht="15.5" hidden="false" customHeight="false" outlineLevel="0" collapsed="false">
      <c r="A1456" s="2719"/>
      <c r="B1456" s="298" t="str">
        <f aca="false">крыша!A307</f>
        <v>проходка кровельная, вентиляционная</v>
      </c>
      <c r="C1456" s="2765" t="str">
        <f aca="false">крыша!B307</f>
        <v>шт</v>
      </c>
      <c r="D1456" s="298" t="n">
        <f aca="false">крыша!C307</f>
        <v>0</v>
      </c>
      <c r="E1456" s="177" t="n">
        <f aca="false">крыша!D307</f>
        <v>3500</v>
      </c>
      <c r="F1456" s="177"/>
      <c r="G1456" s="122" t="n">
        <f aca="false">IF(F1456&gt;0,D1456*F1456,E1456*D1456)</f>
        <v>0</v>
      </c>
      <c r="H1456" s="85" t="n">
        <f aca="false">D1456*E1456*$H$1410</f>
        <v>0</v>
      </c>
      <c r="I1456" s="2784" t="n">
        <f aca="false">IF(G1456&gt;H1456,G1456,H1456)*$H$1409</f>
        <v>0</v>
      </c>
      <c r="J1456" s="2744"/>
      <c r="K1456" s="226" t="n">
        <f aca="false">D1456-J1456</f>
        <v>0</v>
      </c>
      <c r="L1456" s="2736"/>
    </row>
    <row r="1457" customFormat="false" ht="15.5" hidden="false" customHeight="false" outlineLevel="0" collapsed="false">
      <c r="A1457" s="2719"/>
      <c r="B1457" s="298" t="str">
        <f aca="false">крыша!A308</f>
        <v>проодка кровельная, труба котел</v>
      </c>
      <c r="C1457" s="2765" t="str">
        <f aca="false">крыша!B308</f>
        <v>шт</v>
      </c>
      <c r="D1457" s="298" t="n">
        <f aca="false">крыша!C308</f>
        <v>0</v>
      </c>
      <c r="E1457" s="177" t="n">
        <f aca="false">крыша!D308</f>
        <v>4500</v>
      </c>
      <c r="F1457" s="177"/>
      <c r="G1457" s="122" t="n">
        <f aca="false">IF(F1457&gt;0,D1457*F1457,E1457*D1457)</f>
        <v>0</v>
      </c>
      <c r="H1457" s="85" t="n">
        <f aca="false">D1457*E1457*$H$1410</f>
        <v>0</v>
      </c>
      <c r="I1457" s="2784" t="n">
        <f aca="false">IF(G1457&gt;H1457,G1457,H1457)*$H$1409</f>
        <v>0</v>
      </c>
      <c r="J1457" s="2744"/>
      <c r="K1457" s="226" t="n">
        <f aca="false">D1457-J1457</f>
        <v>0</v>
      </c>
      <c r="L1457" s="2736"/>
    </row>
    <row r="1458" customFormat="false" ht="15.5" hidden="false" customHeight="false" outlineLevel="0" collapsed="false">
      <c r="A1458" s="2719"/>
      <c r="B1458" s="298" t="str">
        <f aca="false">крыша!A309</f>
        <v>Кровельный саморез</v>
      </c>
      <c r="C1458" s="2765" t="str">
        <f aca="false">крыша!B309</f>
        <v>шт</v>
      </c>
      <c r="D1458" s="298" t="n">
        <f aca="false">крыша!C309</f>
        <v>0</v>
      </c>
      <c r="E1458" s="177" t="n">
        <f aca="false">крыша!D309</f>
        <v>2</v>
      </c>
      <c r="F1458" s="177"/>
      <c r="G1458" s="122" t="n">
        <f aca="false">IF(F1458&gt;0,D1458*F1458,E1458*D1458)</f>
        <v>0</v>
      </c>
      <c r="H1458" s="85" t="n">
        <f aca="false">D1458*E1458*$H$1410</f>
        <v>0</v>
      </c>
      <c r="I1458" s="2784" t="n">
        <f aca="false">IF(G1458&gt;H1458,G1458,H1458)*$H$1409</f>
        <v>0</v>
      </c>
      <c r="J1458" s="2744"/>
      <c r="K1458" s="226" t="n">
        <f aca="false">D1458-J1458</f>
        <v>0</v>
      </c>
      <c r="L1458" s="2736"/>
    </row>
    <row r="1459" customFormat="false" ht="15.5" hidden="false" customHeight="false" outlineLevel="0" collapsed="false">
      <c r="A1459" s="2719"/>
      <c r="B1459" s="298" t="str">
        <f aca="false">крыша!A310</f>
        <v>Гвозди ершоные 3,4 x 60</v>
      </c>
      <c r="C1459" s="2765" t="str">
        <f aca="false">крыша!B310</f>
        <v>кг</v>
      </c>
      <c r="D1459" s="298" t="n">
        <f aca="false">крыша!C310</f>
        <v>5.77530909592786</v>
      </c>
      <c r="E1459" s="177" t="n">
        <f aca="false">крыша!D310</f>
        <v>75.51</v>
      </c>
      <c r="F1459" s="177"/>
      <c r="G1459" s="122" t="n">
        <f aca="false">IF(F1459&gt;0,D1459*F1459,E1459*D1459)</f>
        <v>436.093589833513</v>
      </c>
      <c r="H1459" s="85" t="n">
        <f aca="false">D1459*E1459*$H$1410</f>
        <v>0</v>
      </c>
      <c r="I1459" s="2784" t="n">
        <f aca="false">IF(G1459&gt;H1459,G1459,H1459)*$H$1409</f>
        <v>0</v>
      </c>
      <c r="J1459" s="2744"/>
      <c r="K1459" s="226" t="n">
        <f aca="false">D1459-J1459</f>
        <v>5.77530909592786</v>
      </c>
      <c r="L1459" s="2736"/>
    </row>
    <row r="1460" customFormat="false" ht="15.5" hidden="false" customHeight="false" outlineLevel="0" collapsed="false">
      <c r="A1460" s="2719"/>
      <c r="B1460" s="298" t="str">
        <f aca="false">крыша!A311</f>
        <v>Гвозди ершоные 2,8 х 90</v>
      </c>
      <c r="C1460" s="2765" t="str">
        <f aca="false">крыша!B311</f>
        <v>кг</v>
      </c>
      <c r="D1460" s="298" t="n">
        <f aca="false">крыша!C311</f>
        <v>37.465780917535</v>
      </c>
      <c r="E1460" s="177" t="n">
        <f aca="false">крыша!D311</f>
        <v>76.49</v>
      </c>
      <c r="F1460" s="177"/>
      <c r="G1460" s="122" t="n">
        <f aca="false">IF(F1460&gt;0,D1460*F1460,E1460*D1460)</f>
        <v>2865.75758238225</v>
      </c>
      <c r="H1460" s="85" t="n">
        <f aca="false">D1460*E1460*$H$1410</f>
        <v>0</v>
      </c>
      <c r="I1460" s="2784" t="n">
        <f aca="false">IF(G1460&gt;H1460,G1460,H1460)*$H$1409</f>
        <v>0</v>
      </c>
      <c r="J1460" s="2744"/>
      <c r="K1460" s="226" t="n">
        <f aca="false">D1460-J1460</f>
        <v>37.465780917535</v>
      </c>
      <c r="L1460" s="2736"/>
    </row>
    <row r="1461" customFormat="false" ht="15.5" hidden="false" customHeight="false" outlineLevel="0" collapsed="false">
      <c r="A1461" s="2719"/>
      <c r="B1461" s="298" t="str">
        <f aca="false">крыша!A312</f>
        <v>Пластина соеденительная 100х240х2</v>
      </c>
      <c r="C1461" s="2765" t="str">
        <f aca="false">крыша!B312</f>
        <v>шт</v>
      </c>
      <c r="D1461" s="298" t="n">
        <f aca="false">крыша!C312</f>
        <v>40.6666666666667</v>
      </c>
      <c r="E1461" s="177" t="n">
        <f aca="false">крыша!D312</f>
        <v>31.54</v>
      </c>
      <c r="F1461" s="177"/>
      <c r="G1461" s="122" t="n">
        <f aca="false">IF(F1461&gt;0,D1461*F1461,E1461*D1461)</f>
        <v>1282.62666666667</v>
      </c>
      <c r="H1461" s="85" t="n">
        <f aca="false">D1461*E1461*$H$1410</f>
        <v>0</v>
      </c>
      <c r="I1461" s="2784" t="n">
        <f aca="false">IF(G1461&gt;H1461,G1461,H1461)*$H$1409</f>
        <v>0</v>
      </c>
      <c r="J1461" s="2744"/>
      <c r="K1461" s="226" t="n">
        <f aca="false">D1461-J1461</f>
        <v>40.6666666666667</v>
      </c>
      <c r="L1461" s="2736"/>
    </row>
    <row r="1462" customFormat="false" ht="15.5" hidden="false" customHeight="false" outlineLevel="0" collapsed="false">
      <c r="A1462" s="2719"/>
      <c r="B1462" s="298" t="str">
        <f aca="false">крыша!A313</f>
        <v>Уголок усиленный 90х70х55х2,5</v>
      </c>
      <c r="C1462" s="2765" t="str">
        <f aca="false">крыша!B313</f>
        <v>шт</v>
      </c>
      <c r="D1462" s="298" t="n">
        <f aca="false">крыша!C313</f>
        <v>40.6666666666667</v>
      </c>
      <c r="E1462" s="177" t="n">
        <f aca="false">крыша!D313</f>
        <v>30</v>
      </c>
      <c r="F1462" s="177"/>
      <c r="G1462" s="122" t="n">
        <f aca="false">IF(F1462&gt;0,D1462*F1462,E1462*D1462)</f>
        <v>1220</v>
      </c>
      <c r="H1462" s="85" t="n">
        <f aca="false">D1462*E1462*$H$1410</f>
        <v>0</v>
      </c>
      <c r="I1462" s="2784" t="n">
        <f aca="false">IF(G1462&gt;H1462,G1462,H1462)*$H$1409</f>
        <v>0</v>
      </c>
      <c r="J1462" s="2744"/>
      <c r="K1462" s="226" t="n">
        <f aca="false">D1462-J1462</f>
        <v>40.6666666666667</v>
      </c>
      <c r="L1462" s="2736"/>
    </row>
    <row r="1463" customFormat="false" ht="15.5" hidden="false" customHeight="false" outlineLevel="0" collapsed="false">
      <c r="A1463" s="2719"/>
      <c r="B1463" s="2748" t="s">
        <v>4640</v>
      </c>
      <c r="C1463" s="2748"/>
      <c r="D1463" s="2748"/>
      <c r="E1463" s="2748"/>
      <c r="F1463" s="2748"/>
      <c r="G1463" s="2210" t="n">
        <f aca="false">SUM(G1411:G1462)*H1409</f>
        <v>0</v>
      </c>
      <c r="H1463" s="2210" t="n">
        <f aca="false">SUM(H1411:H1462)</f>
        <v>0</v>
      </c>
      <c r="I1463" s="2784" t="n">
        <f aca="false">IF(G1463&gt;H1463,G1463,H1463)*$H$1409</f>
        <v>0</v>
      </c>
      <c r="J1463" s="2744"/>
      <c r="K1463" s="226" t="n">
        <f aca="false">D1463-J1463</f>
        <v>0</v>
      </c>
      <c r="L1463" s="2736"/>
    </row>
    <row r="1464" customFormat="false" ht="15.5" hidden="false" customHeight="false" outlineLevel="0" collapsed="false">
      <c r="A1464" s="2719"/>
      <c r="B1464" s="2750" t="s">
        <v>1409</v>
      </c>
      <c r="C1464" s="2750"/>
      <c r="D1464" s="2750"/>
      <c r="E1464" s="2750"/>
      <c r="F1464" s="2785"/>
      <c r="G1464" s="905"/>
      <c r="H1464" s="2766" t="n">
        <f aca="false">H1409</f>
        <v>0</v>
      </c>
      <c r="I1464" s="2818" t="n">
        <f aca="false">H1464</f>
        <v>0</v>
      </c>
      <c r="J1464" s="2752"/>
      <c r="K1464" s="2753"/>
    </row>
    <row r="1465" customFormat="false" ht="15.5" hidden="false" customHeight="false" outlineLevel="0" collapsed="false">
      <c r="A1465" s="2712"/>
      <c r="B1465" s="2648" t="str">
        <f aca="false">крыша!G263</f>
        <v>монтаж мауэрлата</v>
      </c>
      <c r="C1465" s="2765" t="s">
        <v>156</v>
      </c>
      <c r="D1465" s="122" t="n">
        <f aca="false">крыша!J263</f>
        <v>48.2842712474619</v>
      </c>
      <c r="E1465" s="89" t="n">
        <f aca="false">крыша!K263</f>
        <v>250</v>
      </c>
      <c r="F1465" s="89"/>
      <c r="G1465" s="122" t="n">
        <f aca="false">IF(F1465&gt;0,D1465*F1465,E1465*D1465)</f>
        <v>12071.0678118655</v>
      </c>
      <c r="H1465" s="2210" t="n">
        <f aca="false">D1465*E1465*$H$1464</f>
        <v>0</v>
      </c>
      <c r="I1465" s="2718" t="n">
        <f aca="false">IF(G1465&gt;H1465,G1465,H1465)*$H$1409</f>
        <v>0</v>
      </c>
      <c r="J1465" s="2712"/>
      <c r="K1465" s="2719"/>
    </row>
    <row r="1466" customFormat="false" ht="15.5" hidden="false" customHeight="false" outlineLevel="0" collapsed="false">
      <c r="A1466" s="2719"/>
      <c r="B1466" s="2648" t="str">
        <f aca="false">крыша!G264</f>
        <v>монтаж стропил</v>
      </c>
      <c r="C1466" s="2765" t="s">
        <v>133</v>
      </c>
      <c r="D1466" s="122" t="n">
        <f aca="false">крыша!J264</f>
        <v>179.307020442324</v>
      </c>
      <c r="E1466" s="89" t="n">
        <f aca="false">крыша!K264</f>
        <v>450</v>
      </c>
      <c r="F1466" s="89"/>
      <c r="G1466" s="122" t="n">
        <f aca="false">IF(F1466&gt;0,D1466*F1466,E1466*D1466)</f>
        <v>80688.1591990457</v>
      </c>
      <c r="H1466" s="2210" t="n">
        <f aca="false">D1466*E1466*$H$1464</f>
        <v>0</v>
      </c>
      <c r="I1466" s="2718" t="n">
        <f aca="false">IF(G1466&gt;H1466,G1466,H1466)*$H$1409</f>
        <v>0</v>
      </c>
      <c r="J1466" s="2712"/>
      <c r="K1466" s="2719"/>
    </row>
    <row r="1467" customFormat="false" ht="15.5" hidden="false" customHeight="false" outlineLevel="0" collapsed="false">
      <c r="A1467" s="2719"/>
      <c r="B1467" s="2648" t="str">
        <f aca="false">крыша!G265</f>
        <v>обрешетка</v>
      </c>
      <c r="C1467" s="2765" t="s">
        <v>133</v>
      </c>
      <c r="D1467" s="122" t="n">
        <f aca="false">крыша!J265</f>
        <v>179.307020442324</v>
      </c>
      <c r="E1467" s="89" t="n">
        <f aca="false">крыша!K265</f>
        <v>100</v>
      </c>
      <c r="F1467" s="89"/>
      <c r="G1467" s="122" t="n">
        <f aca="false">IF(F1467&gt;0,D1467*F1467,E1467*D1467)</f>
        <v>17930.7020442324</v>
      </c>
      <c r="H1467" s="2210" t="n">
        <f aca="false">D1467*E1467*$H$1464</f>
        <v>0</v>
      </c>
      <c r="I1467" s="2718" t="n">
        <f aca="false">IF(G1467&gt;H1467,G1467,H1467)*$H$1409</f>
        <v>0</v>
      </c>
      <c r="J1467" s="2712"/>
      <c r="K1467" s="2719"/>
    </row>
    <row r="1468" customFormat="false" ht="15.5" hidden="false" customHeight="false" outlineLevel="0" collapsed="false">
      <c r="A1468" s="2719"/>
      <c r="B1468" s="2648" t="str">
        <f aca="false">крыша!G266</f>
        <v>контробеш</v>
      </c>
      <c r="C1468" s="2765" t="s">
        <v>133</v>
      </c>
      <c r="D1468" s="122" t="n">
        <f aca="false">крыша!J266</f>
        <v>179.307020442324</v>
      </c>
      <c r="E1468" s="89" t="n">
        <f aca="false">крыша!K266</f>
        <v>100</v>
      </c>
      <c r="F1468" s="89"/>
      <c r="G1468" s="122" t="n">
        <f aca="false">IF(F1468&gt;0,D1468*F1468,E1468*D1468)</f>
        <v>17930.7020442324</v>
      </c>
      <c r="H1468" s="2210" t="n">
        <f aca="false">D1468*E1468*$H$1464</f>
        <v>0</v>
      </c>
      <c r="I1468" s="2718" t="n">
        <f aca="false">IF(G1468&gt;H1468,G1468,H1468)*$H$1409</f>
        <v>0</v>
      </c>
      <c r="J1468" s="2712"/>
      <c r="K1468" s="2719"/>
    </row>
    <row r="1469" customFormat="false" ht="15.5" hidden="false" customHeight="false" outlineLevel="0" collapsed="false">
      <c r="A1469" s="2719"/>
      <c r="B1469" s="2648" t="str">
        <f aca="false">крыша!G267</f>
        <v>Монтаж металлочерепицы</v>
      </c>
      <c r="C1469" s="2765" t="s">
        <v>133</v>
      </c>
      <c r="D1469" s="122" t="n">
        <f aca="false">крыша!J267</f>
        <v>0</v>
      </c>
      <c r="E1469" s="89" t="n">
        <f aca="false">крыша!K267</f>
        <v>300</v>
      </c>
      <c r="F1469" s="89"/>
      <c r="G1469" s="122" t="n">
        <f aca="false">IF(F1469&gt;0,D1469*F1469,E1469*D1469)</f>
        <v>0</v>
      </c>
      <c r="H1469" s="2210" t="n">
        <f aca="false">D1469*E1469*$H$1464</f>
        <v>0</v>
      </c>
      <c r="I1469" s="2718" t="n">
        <f aca="false">IF(G1469&gt;H1469,G1469,H1469)*$H$1409</f>
        <v>0</v>
      </c>
      <c r="J1469" s="2712"/>
      <c r="K1469" s="2719"/>
    </row>
    <row r="1470" customFormat="false" ht="15.5" hidden="false" customHeight="false" outlineLevel="0" collapsed="false">
      <c r="A1470" s="2719"/>
      <c r="B1470" s="2648" t="str">
        <f aca="false">крыша!G268</f>
        <v>Монтаж ондулина</v>
      </c>
      <c r="C1470" s="2765" t="s">
        <v>133</v>
      </c>
      <c r="D1470" s="122" t="n">
        <f aca="false">крыша!J268</f>
        <v>0</v>
      </c>
      <c r="E1470" s="89" t="n">
        <f aca="false">крыша!K268</f>
        <v>300</v>
      </c>
      <c r="F1470" s="89"/>
      <c r="G1470" s="122" t="n">
        <f aca="false">IF(F1470&gt;0,D1470*F1470,E1470*D1470)</f>
        <v>0</v>
      </c>
      <c r="H1470" s="2210" t="n">
        <f aca="false">D1470*E1470*$H$1464</f>
        <v>0</v>
      </c>
      <c r="I1470" s="2718" t="n">
        <f aca="false">IF(G1470&gt;H1470,G1470,H1470)*$H$1409</f>
        <v>0</v>
      </c>
      <c r="J1470" s="2712"/>
      <c r="K1470" s="2719"/>
    </row>
    <row r="1471" customFormat="false" ht="15.5" hidden="false" customHeight="false" outlineLevel="0" collapsed="false">
      <c r="A1471" s="2719"/>
      <c r="B1471" s="2648" t="str">
        <f aca="false">крыша!G271</f>
        <v>мембрана</v>
      </c>
      <c r="C1471" s="2765" t="s">
        <v>133</v>
      </c>
      <c r="D1471" s="122" t="n">
        <f aca="false">крыша!J271</f>
        <v>179.307020442324</v>
      </c>
      <c r="E1471" s="89" t="n">
        <f aca="false">крыша!K271</f>
        <v>100</v>
      </c>
      <c r="F1471" s="89"/>
      <c r="G1471" s="122" t="n">
        <f aca="false">IF(F1471&gt;0,D1471*F1471,E1471*D1471)</f>
        <v>17930.7020442324</v>
      </c>
      <c r="H1471" s="2210" t="n">
        <f aca="false">D1471*E1471*$H$1464</f>
        <v>0</v>
      </c>
      <c r="I1471" s="2718" t="n">
        <f aca="false">IF(G1471&gt;H1471,G1471,H1471)*$H$1409</f>
        <v>0</v>
      </c>
      <c r="J1471" s="2712"/>
      <c r="K1471" s="2719"/>
    </row>
    <row r="1472" customFormat="false" ht="15.5" hidden="false" customHeight="false" outlineLevel="0" collapsed="false">
      <c r="A1472" s="2719"/>
      <c r="B1472" s="2648" t="str">
        <f aca="false">крыша!G272</f>
        <v>пароизоляц</v>
      </c>
      <c r="C1472" s="2765" t="s">
        <v>133</v>
      </c>
      <c r="D1472" s="122" t="n">
        <f aca="false">крыша!J272</f>
        <v>0</v>
      </c>
      <c r="E1472" s="89" t="n">
        <f aca="false">крыша!K272</f>
        <v>100</v>
      </c>
      <c r="F1472" s="89"/>
      <c r="G1472" s="122" t="n">
        <f aca="false">IF(F1472&gt;0,D1472*F1472,E1472*D1472)</f>
        <v>0</v>
      </c>
      <c r="H1472" s="2210" t="n">
        <f aca="false">D1472*E1472*$H$1464</f>
        <v>0</v>
      </c>
      <c r="I1472" s="2718" t="n">
        <f aca="false">IF(G1472&gt;H1472,G1472,H1472)*$H$1409</f>
        <v>0</v>
      </c>
      <c r="J1472" s="2712"/>
      <c r="K1472" s="2719"/>
    </row>
    <row r="1473" customFormat="false" ht="15.5" hidden="false" customHeight="false" outlineLevel="0" collapsed="false">
      <c r="A1473" s="2719"/>
      <c r="B1473" s="2648" t="str">
        <f aca="false">крыша!G273</f>
        <v>утеплитель</v>
      </c>
      <c r="C1473" s="2765" t="s">
        <v>133</v>
      </c>
      <c r="D1473" s="122" t="n">
        <f aca="false">крыша!J273</f>
        <v>179.307020442324</v>
      </c>
      <c r="E1473" s="89" t="n">
        <f aca="false">крыша!K273</f>
        <v>200</v>
      </c>
      <c r="F1473" s="89"/>
      <c r="G1473" s="122" t="n">
        <f aca="false">IF(F1473&gt;0,D1473*F1473,E1473*D1473)</f>
        <v>35861.4040884647</v>
      </c>
      <c r="H1473" s="2210" t="n">
        <f aca="false">D1473*E1473*$H$1464</f>
        <v>0</v>
      </c>
      <c r="I1473" s="2718" t="n">
        <f aca="false">IF(G1473&gt;H1473,G1473,H1473)*$H$1409</f>
        <v>0</v>
      </c>
      <c r="J1473" s="2712"/>
      <c r="K1473" s="2719"/>
    </row>
    <row r="1474" customFormat="false" ht="15.5" hidden="false" customHeight="false" outlineLevel="0" collapsed="false">
      <c r="A1474" s="2719"/>
      <c r="B1474" s="2648" t="str">
        <f aca="false">крыша!G274</f>
        <v>карнизная планка</v>
      </c>
      <c r="C1474" s="2765" t="s">
        <v>156</v>
      </c>
      <c r="D1474" s="122" t="n">
        <f aca="false">крыша!J274</f>
        <v>0</v>
      </c>
      <c r="E1474" s="89" t="n">
        <f aca="false">крыша!K274</f>
        <v>100</v>
      </c>
      <c r="F1474" s="89"/>
      <c r="G1474" s="122" t="n">
        <f aca="false">IF(F1474&gt;0,D1474*F1474,E1474*D1474)</f>
        <v>0</v>
      </c>
      <c r="H1474" s="2210" t="n">
        <f aca="false">D1474*E1474*$H$1464</f>
        <v>0</v>
      </c>
      <c r="I1474" s="2718" t="n">
        <f aca="false">IF(G1474&gt;H1474,G1474,H1474)*$H$1409</f>
        <v>0</v>
      </c>
      <c r="J1474" s="2712"/>
      <c r="K1474" s="2719"/>
    </row>
    <row r="1475" customFormat="false" ht="15.5" hidden="false" customHeight="false" outlineLevel="0" collapsed="false">
      <c r="A1475" s="2719"/>
      <c r="B1475" s="2648" t="str">
        <f aca="false">крыша!G275</f>
        <v>торцевая планка</v>
      </c>
      <c r="C1475" s="2765" t="s">
        <v>156</v>
      </c>
      <c r="D1475" s="122" t="n">
        <f aca="false">крыша!J275</f>
        <v>0</v>
      </c>
      <c r="E1475" s="89" t="n">
        <f aca="false">крыша!K275</f>
        <v>100</v>
      </c>
      <c r="F1475" s="89"/>
      <c r="G1475" s="122" t="n">
        <f aca="false">IF(F1475&gt;0,D1475*F1475,E1475*D1475)</f>
        <v>0</v>
      </c>
      <c r="H1475" s="2210" t="n">
        <f aca="false">D1475*E1475*$H$1464</f>
        <v>0</v>
      </c>
      <c r="I1475" s="2718" t="n">
        <f aca="false">IF(G1475&gt;H1475,G1475,H1475)*$H$1409</f>
        <v>0</v>
      </c>
      <c r="J1475" s="2712"/>
      <c r="K1475" s="2719"/>
    </row>
    <row r="1476" customFormat="false" ht="15.5" hidden="false" customHeight="false" outlineLevel="0" collapsed="false">
      <c r="A1476" s="2719"/>
      <c r="B1476" s="2648" t="str">
        <f aca="false">крыша!G276</f>
        <v>конек</v>
      </c>
      <c r="C1476" s="2765" t="s">
        <v>156</v>
      </c>
      <c r="D1476" s="122" t="n">
        <f aca="false">крыша!J276</f>
        <v>11.6</v>
      </c>
      <c r="E1476" s="89" t="n">
        <f aca="false">крыша!K276</f>
        <v>300</v>
      </c>
      <c r="F1476" s="89"/>
      <c r="G1476" s="122" t="n">
        <f aca="false">IF(F1476&gt;0,D1476*F1476,E1476*D1476)</f>
        <v>3480</v>
      </c>
      <c r="H1476" s="2210" t="n">
        <f aca="false">D1476*E1476*$H$1464</f>
        <v>0</v>
      </c>
      <c r="I1476" s="2718" t="n">
        <f aca="false">IF(G1476&gt;H1476,G1476,H1476)*$H$1409</f>
        <v>0</v>
      </c>
      <c r="J1476" s="2712"/>
      <c r="K1476" s="2719"/>
    </row>
    <row r="1477" customFormat="false" ht="15.5" hidden="false" customHeight="false" outlineLevel="0" collapsed="false">
      <c r="A1477" s="2719"/>
      <c r="B1477" s="2648" t="str">
        <f aca="false">крыша!G277</f>
        <v>желоб водосточный</v>
      </c>
      <c r="C1477" s="2765" t="s">
        <v>156</v>
      </c>
      <c r="D1477" s="122" t="n">
        <f aca="false">крыша!J277</f>
        <v>23.2</v>
      </c>
      <c r="E1477" s="89" t="n">
        <f aca="false">крыша!K277</f>
        <v>300</v>
      </c>
      <c r="F1477" s="89"/>
      <c r="G1477" s="122" t="n">
        <f aca="false">IF(F1477&gt;0,D1477*F1477,E1477*D1477)</f>
        <v>6960</v>
      </c>
      <c r="H1477" s="2210" t="n">
        <f aca="false">D1477*E1477*$H$1464</f>
        <v>0</v>
      </c>
      <c r="I1477" s="2718" t="n">
        <f aca="false">IF(G1477&gt;H1477,G1477,H1477)*$H$1409</f>
        <v>0</v>
      </c>
      <c r="J1477" s="2712"/>
      <c r="K1477" s="2719"/>
    </row>
    <row r="1478" customFormat="false" ht="15.5" hidden="false" customHeight="false" outlineLevel="0" collapsed="false">
      <c r="A1478" s="2719"/>
      <c r="B1478" s="2648" t="str">
        <f aca="false">крыша!G278</f>
        <v>труба водосточная</v>
      </c>
      <c r="C1478" s="2765" t="s">
        <v>156</v>
      </c>
      <c r="D1478" s="122" t="n">
        <f aca="false">крыша!J278</f>
        <v>8</v>
      </c>
      <c r="E1478" s="89" t="n">
        <f aca="false">крыша!K278</f>
        <v>300</v>
      </c>
      <c r="F1478" s="89"/>
      <c r="G1478" s="122" t="n">
        <f aca="false">IF(F1478&gt;0,D1478*F1478,E1478*D1478)</f>
        <v>2400</v>
      </c>
      <c r="H1478" s="2210" t="n">
        <f aca="false">D1478*E1478*$H$1464</f>
        <v>0</v>
      </c>
      <c r="I1478" s="2718" t="n">
        <f aca="false">IF(G1478&gt;H1478,G1478,H1478)*$H$1409</f>
        <v>0</v>
      </c>
      <c r="J1478" s="2712"/>
      <c r="K1478" s="2719"/>
    </row>
    <row r="1479" customFormat="false" ht="15.5" hidden="false" customHeight="false" outlineLevel="0" collapsed="false">
      <c r="A1479" s="2719"/>
      <c r="B1479" s="2648" t="str">
        <f aca="false">крыша!G279</f>
        <v>Монтаж фанеры/osb</v>
      </c>
      <c r="C1479" s="2765" t="s">
        <v>133</v>
      </c>
      <c r="D1479" s="298" t="n">
        <f aca="false">крыша!J279</f>
        <v>179.307020442324</v>
      </c>
      <c r="E1479" s="89" t="n">
        <f aca="false">крыша!K279</f>
        <v>200</v>
      </c>
      <c r="F1479" s="89"/>
      <c r="G1479" s="122" t="n">
        <f aca="false">IF(F1479&gt;0,D1479*F1479,E1479*D1479)</f>
        <v>35861.4040884647</v>
      </c>
      <c r="H1479" s="2210" t="n">
        <f aca="false">D1479*E1479*$H$1464</f>
        <v>0</v>
      </c>
      <c r="I1479" s="2718" t="n">
        <f aca="false">IF(G1479&gt;H1479,G1479,H1479)*$H$1409</f>
        <v>0</v>
      </c>
      <c r="J1479" s="2712"/>
      <c r="K1479" s="2719"/>
    </row>
    <row r="1480" customFormat="false" ht="15.5" hidden="false" customHeight="false" outlineLevel="0" collapsed="false">
      <c r="A1480" s="2719"/>
      <c r="B1480" s="2648" t="str">
        <f aca="false">крыша!G280</f>
        <v>монтаж подкладочного ковра</v>
      </c>
      <c r="C1480" s="2765" t="s">
        <v>133</v>
      </c>
      <c r="D1480" s="298" t="n">
        <f aca="false">крыша!J297</f>
        <v>0</v>
      </c>
      <c r="E1480" s="89" t="n">
        <f aca="false">крыша!K297</f>
        <v>0</v>
      </c>
      <c r="F1480" s="89"/>
      <c r="G1480" s="122" t="n">
        <f aca="false">IF(F1480&gt;0,D1480*F1480,E1480*D1480)</f>
        <v>0</v>
      </c>
      <c r="H1480" s="2210" t="n">
        <f aca="false">D1480*E1480*$H$1464</f>
        <v>0</v>
      </c>
      <c r="I1480" s="2718" t="n">
        <f aca="false">IF(G1480&gt;H1480,G1480,H1480)*$H$1409</f>
        <v>0</v>
      </c>
      <c r="J1480" s="2712"/>
      <c r="K1480" s="2719"/>
    </row>
    <row r="1481" customFormat="false" ht="15.5" hidden="false" customHeight="false" outlineLevel="0" collapsed="false">
      <c r="A1481" s="2719"/>
      <c r="B1481" s="2648" t="str">
        <f aca="false">крыша!G281</f>
        <v>Монтаж мягкой кровли</v>
      </c>
      <c r="C1481" s="2765" t="s">
        <v>133</v>
      </c>
      <c r="D1481" s="298" t="n">
        <f aca="false">крыша!J298</f>
        <v>0</v>
      </c>
      <c r="E1481" s="89" t="n">
        <f aca="false">крыша!K298</f>
        <v>0</v>
      </c>
      <c r="F1481" s="89"/>
      <c r="G1481" s="122" t="n">
        <f aca="false">IF(F1481&gt;0,D1481*F1481,E1481*D1481)</f>
        <v>0</v>
      </c>
      <c r="H1481" s="2210" t="n">
        <f aca="false">D1481*E1481*$H$1464</f>
        <v>0</v>
      </c>
      <c r="I1481" s="2718" t="n">
        <f aca="false">IF(G1481&gt;H1481,G1481,H1481)*$H$1409</f>
        <v>0</v>
      </c>
      <c r="J1481" s="2712"/>
      <c r="K1481" s="2719"/>
    </row>
    <row r="1482" customFormat="false" ht="15.5" hidden="false" customHeight="false" outlineLevel="0" collapsed="false">
      <c r="A1482" s="2719"/>
      <c r="B1482" s="2748" t="s">
        <v>4641</v>
      </c>
      <c r="C1482" s="2748"/>
      <c r="D1482" s="2748"/>
      <c r="E1482" s="2748"/>
      <c r="F1482" s="2748"/>
      <c r="G1482" s="2210" t="n">
        <f aca="false">SUM(G1465:G1481)*H1464</f>
        <v>0</v>
      </c>
      <c r="H1482" s="2210" t="n">
        <f aca="false">SUM(H1465:H1481)</f>
        <v>0</v>
      </c>
      <c r="I1482" s="2718" t="n">
        <f aca="false">IF(G1482&gt;H1482,G1482,H1482)*$H$1409</f>
        <v>0</v>
      </c>
      <c r="J1482" s="2712"/>
      <c r="K1482" s="2719"/>
    </row>
    <row r="1483" customFormat="false" ht="21" hidden="false" customHeight="false" outlineLevel="0" collapsed="false">
      <c r="A1483" s="2719"/>
      <c r="B1483" s="2826" t="s">
        <v>4132</v>
      </c>
      <c r="C1483" s="2826"/>
      <c r="D1483" s="2826"/>
      <c r="E1483" s="2826"/>
      <c r="F1483" s="2826"/>
      <c r="G1483" s="905"/>
      <c r="H1483" s="2774" t="n">
        <f aca="false">дома!I1115</f>
        <v>0</v>
      </c>
      <c r="I1483" s="2818" t="n">
        <f aca="false">H1483</f>
        <v>0</v>
      </c>
      <c r="J1483" s="2712"/>
      <c r="K1483" s="2719"/>
    </row>
    <row r="1484" customFormat="false" ht="15.5" hidden="false" customHeight="false" outlineLevel="0" collapsed="false">
      <c r="A1484" s="2712"/>
      <c r="B1484" s="2775" t="s">
        <v>2720</v>
      </c>
      <c r="C1484" s="2775"/>
      <c r="D1484" s="2775"/>
      <c r="E1484" s="2775"/>
      <c r="F1484" s="2775"/>
      <c r="G1484" s="905"/>
      <c r="H1484" s="2776" t="n">
        <f aca="false">H1483</f>
        <v>0</v>
      </c>
      <c r="I1484" s="2818" t="n">
        <f aca="false">H1484</f>
        <v>0</v>
      </c>
      <c r="J1484" s="2732"/>
      <c r="K1484" s="2733"/>
    </row>
    <row r="1485" customFormat="false" ht="15.5" hidden="false" customHeight="false" outlineLevel="0" collapsed="false">
      <c r="A1485" s="2712"/>
      <c r="B1485" s="298" t="str">
        <f aca="false">крыша!A347</f>
        <v>нет</v>
      </c>
      <c r="C1485" s="2765" t="str">
        <f aca="false">крыша!B347</f>
        <v>м3</v>
      </c>
      <c r="D1485" s="298" t="n">
        <f aca="false">крыша!C347</f>
        <v>0</v>
      </c>
      <c r="E1485" s="298" t="n">
        <f aca="false">крыша!D347</f>
        <v>0</v>
      </c>
      <c r="F1485" s="298"/>
      <c r="G1485" s="122" t="n">
        <f aca="false">IF(F1485&gt;0,D1485*F1485,E1485*D1485)</f>
        <v>0</v>
      </c>
      <c r="H1485" s="85" t="n">
        <f aca="false">D1485*E1485*$H$1484</f>
        <v>0</v>
      </c>
      <c r="I1485" s="2784" t="n">
        <f aca="false">IF(G1485&gt;H1485,G1485,H1485)*$H$1483</f>
        <v>0</v>
      </c>
      <c r="J1485" s="2744"/>
      <c r="K1485" s="226" t="n">
        <f aca="false">D1485-J1485</f>
        <v>0</v>
      </c>
      <c r="L1485" s="2736"/>
    </row>
    <row r="1486" customFormat="false" ht="15.5" hidden="false" customHeight="false" outlineLevel="0" collapsed="false">
      <c r="A1486" s="2719"/>
      <c r="B1486" s="298" t="str">
        <f aca="false">крыша!A348</f>
        <v>Болты анкерные с гайкой 12,0 х 280</v>
      </c>
      <c r="C1486" s="2765" t="str">
        <f aca="false">крыша!B348</f>
        <v>шт</v>
      </c>
      <c r="D1486" s="298" t="n">
        <f aca="false">крыша!C348</f>
        <v>44</v>
      </c>
      <c r="E1486" s="298" t="n">
        <f aca="false">крыша!D348</f>
        <v>27.1</v>
      </c>
      <c r="F1486" s="298"/>
      <c r="G1486" s="122" t="n">
        <f aca="false">IF(F1486&gt;0,D1486*F1486,E1486*D1486)</f>
        <v>1192.4</v>
      </c>
      <c r="H1486" s="85" t="n">
        <f aca="false">D1486*E1486*$H$1484</f>
        <v>0</v>
      </c>
      <c r="I1486" s="2784" t="n">
        <f aca="false">IF(G1486&gt;H1486,G1486,H1486)*$H$1483</f>
        <v>0</v>
      </c>
      <c r="J1486" s="2744"/>
      <c r="K1486" s="226" t="n">
        <f aca="false">D1486-J1486</f>
        <v>44</v>
      </c>
      <c r="L1486" s="2736"/>
    </row>
    <row r="1487" customFormat="false" ht="15.5" hidden="false" customHeight="false" outlineLevel="0" collapsed="false">
      <c r="A1487" s="2719"/>
      <c r="B1487" s="298" t="str">
        <f aca="false">крыша!A349</f>
        <v>Доска сухая, 200*50мм</v>
      </c>
      <c r="C1487" s="2765" t="str">
        <f aca="false">крыша!B349</f>
        <v>м3</v>
      </c>
      <c r="D1487" s="298" t="n">
        <f aca="false">крыша!C349</f>
        <v>4.16623987671954</v>
      </c>
      <c r="E1487" s="298" t="n">
        <f aca="false">крыша!D349</f>
        <v>9000</v>
      </c>
      <c r="F1487" s="298"/>
      <c r="G1487" s="122" t="n">
        <f aca="false">IF(F1487&gt;0,D1487*F1487,E1487*D1487)</f>
        <v>37496.1588904759</v>
      </c>
      <c r="H1487" s="85" t="n">
        <f aca="false">D1487*E1487*$H$1484</f>
        <v>0</v>
      </c>
      <c r="I1487" s="2784" t="n">
        <f aca="false">IF(G1487&gt;H1487,G1487,H1487)*$H$1483</f>
        <v>0</v>
      </c>
      <c r="J1487" s="2744"/>
      <c r="K1487" s="226" t="n">
        <f aca="false">D1487-J1487</f>
        <v>4.16623987671954</v>
      </c>
      <c r="L1487" s="2736"/>
    </row>
    <row r="1488" customFormat="false" ht="15.5" hidden="false" customHeight="false" outlineLevel="0" collapsed="false">
      <c r="A1488" s="2719"/>
      <c r="B1488" s="298" t="str">
        <f aca="false">крыша!A350</f>
        <v>бугель, доска</v>
      </c>
      <c r="C1488" s="2765" t="str">
        <f aca="false">крыша!B350</f>
        <v>м3</v>
      </c>
      <c r="D1488" s="298" t="n">
        <f aca="false">крыша!C350</f>
        <v>0.28</v>
      </c>
      <c r="E1488" s="298" t="n">
        <f aca="false">крыша!D350</f>
        <v>9000</v>
      </c>
      <c r="F1488" s="298"/>
      <c r="G1488" s="122" t="n">
        <f aca="false">IF(F1488&gt;0,D1488*F1488,E1488*D1488)</f>
        <v>2520</v>
      </c>
      <c r="H1488" s="85" t="n">
        <f aca="false">D1488*E1488*$H$1484</f>
        <v>0</v>
      </c>
      <c r="I1488" s="2784" t="n">
        <f aca="false">IF(G1488&gt;H1488,G1488,H1488)*$H$1483</f>
        <v>0</v>
      </c>
      <c r="J1488" s="2744"/>
      <c r="K1488" s="226" t="n">
        <f aca="false">D1488-J1488</f>
        <v>0.28</v>
      </c>
      <c r="L1488" s="2736"/>
    </row>
    <row r="1489" customFormat="false" ht="15.5" hidden="false" customHeight="false" outlineLevel="0" collapsed="false">
      <c r="A1489" s="2719"/>
      <c r="B1489" s="298" t="str">
        <f aca="false">крыша!A351</f>
        <v>стойка под конек</v>
      </c>
      <c r="C1489" s="2765" t="str">
        <f aca="false">крыша!B351</f>
        <v>м3</v>
      </c>
      <c r="D1489" s="298" t="n">
        <f aca="false">крыша!C351</f>
        <v>0.175</v>
      </c>
      <c r="E1489" s="298" t="n">
        <f aca="false">крыша!D351</f>
        <v>9000</v>
      </c>
      <c r="F1489" s="298"/>
      <c r="G1489" s="122" t="n">
        <f aca="false">IF(F1489&gt;0,D1489*F1489,E1489*D1489)</f>
        <v>1575</v>
      </c>
      <c r="H1489" s="85" t="n">
        <f aca="false">D1489*E1489*$H$1484</f>
        <v>0</v>
      </c>
      <c r="I1489" s="2784" t="n">
        <f aca="false">IF(G1489&gt;H1489,G1489,H1489)*$H$1483</f>
        <v>0</v>
      </c>
      <c r="J1489" s="2744"/>
      <c r="K1489" s="226" t="n">
        <f aca="false">D1489-J1489</f>
        <v>0.175</v>
      </c>
      <c r="L1489" s="2736"/>
    </row>
    <row r="1490" customFormat="false" ht="15.5" hidden="false" customHeight="false" outlineLevel="0" collapsed="false">
      <c r="A1490" s="2719"/>
      <c r="B1490" s="298" t="str">
        <f aca="false">крыша!A352</f>
        <v>Сосна влаж,180*25мм</v>
      </c>
      <c r="C1490" s="2765" t="str">
        <f aca="false">крыша!B352</f>
        <v>м3</v>
      </c>
      <c r="D1490" s="298" t="n">
        <f aca="false">крыша!C352</f>
        <v>3.61886797951293</v>
      </c>
      <c r="E1490" s="298" t="n">
        <f aca="false">крыша!D352</f>
        <v>6500</v>
      </c>
      <c r="F1490" s="298"/>
      <c r="G1490" s="122" t="n">
        <f aca="false">IF(F1490&gt;0,D1490*F1490,E1490*D1490)</f>
        <v>23522.641866834</v>
      </c>
      <c r="H1490" s="85" t="n">
        <f aca="false">D1490*E1490*$H$1484</f>
        <v>0</v>
      </c>
      <c r="I1490" s="2784" t="n">
        <f aca="false">IF(G1490&gt;H1490,G1490,H1490)*$H$1483</f>
        <v>0</v>
      </c>
      <c r="J1490" s="2744"/>
      <c r="K1490" s="226" t="n">
        <f aca="false">D1490-J1490</f>
        <v>3.61886797951293</v>
      </c>
      <c r="L1490" s="2736"/>
    </row>
    <row r="1491" customFormat="false" ht="15.5" hidden="false" customHeight="false" outlineLevel="0" collapsed="false">
      <c r="A1491" s="2719"/>
      <c r="B1491" s="298" t="str">
        <f aca="false">крыша!A353</f>
        <v>Сосна влаж, 50*50мм</v>
      </c>
      <c r="C1491" s="2765" t="str">
        <f aca="false">крыша!B353</f>
        <v>м3</v>
      </c>
      <c r="D1491" s="298" t="n">
        <f aca="false">крыша!C353</f>
        <v>2.01048221084052</v>
      </c>
      <c r="E1491" s="298" t="n">
        <f aca="false">крыша!D353</f>
        <v>6500</v>
      </c>
      <c r="F1491" s="298"/>
      <c r="G1491" s="122" t="n">
        <f aca="false">IF(F1491&gt;0,D1491*F1491,E1491*D1491)</f>
        <v>13068.1343704634</v>
      </c>
      <c r="H1491" s="85" t="n">
        <f aca="false">D1491*E1491*$H$1484</f>
        <v>0</v>
      </c>
      <c r="I1491" s="2784" t="n">
        <f aca="false">IF(G1491&gt;H1491,G1491,H1491)*$H$1483</f>
        <v>0</v>
      </c>
      <c r="J1491" s="2744"/>
      <c r="K1491" s="226" t="n">
        <f aca="false">D1491-J1491</f>
        <v>2.01048221084052</v>
      </c>
      <c r="L1491" s="2736"/>
    </row>
    <row r="1492" customFormat="false" ht="15.5" hidden="false" customHeight="false" outlineLevel="0" collapsed="false">
      <c r="A1492" s="2719"/>
      <c r="B1492" s="298" t="str">
        <f aca="false">крыша!A354</f>
        <v>Мембрана MD90</v>
      </c>
      <c r="C1492" s="2765" t="str">
        <f aca="false">крыша!B354</f>
        <v>м2</v>
      </c>
      <c r="D1492" s="298" t="n">
        <f aca="false">крыша!C354</f>
        <v>268.064294778735</v>
      </c>
      <c r="E1492" s="298" t="n">
        <f aca="false">крыша!D354</f>
        <v>34</v>
      </c>
      <c r="F1492" s="298"/>
      <c r="G1492" s="122" t="n">
        <f aca="false">IF(F1492&gt;0,D1492*F1492,E1492*D1492)</f>
        <v>9114.186022477</v>
      </c>
      <c r="H1492" s="85" t="n">
        <f aca="false">D1492*E1492*$H$1484</f>
        <v>0</v>
      </c>
      <c r="I1492" s="2784" t="n">
        <f aca="false">IF(G1492&gt;H1492,G1492,H1492)*$H$1483</f>
        <v>0</v>
      </c>
      <c r="J1492" s="2744"/>
      <c r="K1492" s="226" t="n">
        <f aca="false">D1492-J1492</f>
        <v>268.064294778735</v>
      </c>
      <c r="L1492" s="2736"/>
    </row>
    <row r="1493" customFormat="false" ht="15.5" hidden="false" customHeight="false" outlineLevel="0" collapsed="false">
      <c r="A1493" s="2719"/>
      <c r="B1493" s="298" t="str">
        <f aca="false">крыша!A355</f>
        <v>Мембрана Tyvek AirGuard Reflective</v>
      </c>
      <c r="C1493" s="2765" t="str">
        <f aca="false">крыша!B355</f>
        <v>м2</v>
      </c>
      <c r="D1493" s="298" t="n">
        <f aca="false">крыша!C355</f>
        <v>268.064294778735</v>
      </c>
      <c r="E1493" s="298" t="n">
        <f aca="false">крыша!D355</f>
        <v>174</v>
      </c>
      <c r="F1493" s="298"/>
      <c r="G1493" s="122" t="n">
        <f aca="false">IF(F1493&gt;0,D1493*F1493,E1493*D1493)</f>
        <v>46643.1872914999</v>
      </c>
      <c r="H1493" s="85" t="n">
        <f aca="false">D1493*E1493*$H$1484</f>
        <v>0</v>
      </c>
      <c r="I1493" s="2784" t="n">
        <f aca="false">IF(G1493&gt;H1493,G1493,H1493)*$H$1483</f>
        <v>0</v>
      </c>
      <c r="J1493" s="2744"/>
      <c r="K1493" s="226" t="n">
        <f aca="false">D1493-J1493</f>
        <v>268.064294778735</v>
      </c>
      <c r="L1493" s="2736"/>
    </row>
    <row r="1494" customFormat="false" ht="15.5" hidden="false" customHeight="false" outlineLevel="0" collapsed="false">
      <c r="A1494" s="2719"/>
      <c r="B1494" s="298" t="str">
        <f aca="false">крыша!A356</f>
        <v>Плитный,28кг/м3, технониколь, 200мм</v>
      </c>
      <c r="C1494" s="2765" t="str">
        <f aca="false">крыша!B356</f>
        <v>м3</v>
      </c>
      <c r="D1494" s="298" t="n">
        <f aca="false">крыша!C356</f>
        <v>38.294899254105</v>
      </c>
      <c r="E1494" s="298" t="n">
        <f aca="false">крыша!D356</f>
        <v>1700</v>
      </c>
      <c r="F1494" s="298"/>
      <c r="G1494" s="122" t="n">
        <f aca="false">IF(F1494&gt;0,D1494*F1494,E1494*D1494)</f>
        <v>65101.3287319786</v>
      </c>
      <c r="H1494" s="85" t="n">
        <f aca="false">D1494*E1494*$H$1484</f>
        <v>0</v>
      </c>
      <c r="I1494" s="2784" t="n">
        <f aca="false">IF(G1494&gt;H1494,G1494,H1494)*$H$1483</f>
        <v>0</v>
      </c>
      <c r="J1494" s="2744"/>
      <c r="K1494" s="226" t="n">
        <f aca="false">D1494-J1494</f>
        <v>38.294899254105</v>
      </c>
      <c r="L1494" s="2736"/>
    </row>
    <row r="1495" customFormat="false" ht="15.5" hidden="false" customHeight="false" outlineLevel="0" collapsed="false">
      <c r="A1495" s="2719"/>
      <c r="B1495" s="298" t="str">
        <f aca="false">крыша!A357</f>
        <v>металлочерепица</v>
      </c>
      <c r="C1495" s="2765" t="str">
        <f aca="false">крыша!B357</f>
        <v>м2</v>
      </c>
      <c r="D1495" s="298" t="n">
        <f aca="false">крыша!C357</f>
        <v>268.064294778735</v>
      </c>
      <c r="E1495" s="298" t="n">
        <f aca="false">крыша!D357</f>
        <v>250</v>
      </c>
      <c r="F1495" s="298"/>
      <c r="G1495" s="122" t="n">
        <f aca="false">IF(F1495&gt;0,D1495*F1495,E1495*D1495)</f>
        <v>67016.0736946838</v>
      </c>
      <c r="H1495" s="85" t="n">
        <f aca="false">D1495*E1495*$H$1484</f>
        <v>0</v>
      </c>
      <c r="I1495" s="2784" t="n">
        <f aca="false">IF(G1495&gt;H1495,G1495,H1495)*$H$1483</f>
        <v>0</v>
      </c>
      <c r="J1495" s="2744"/>
      <c r="K1495" s="226" t="n">
        <f aca="false">D1495-J1495</f>
        <v>268.064294778735</v>
      </c>
      <c r="L1495" s="2736"/>
    </row>
    <row r="1496" customFormat="false" ht="15.5" hidden="false" customHeight="false" outlineLevel="0" collapsed="false">
      <c r="A1496" s="2719"/>
      <c r="B1496" s="298" t="str">
        <f aca="false">крыша!A358</f>
        <v>Конек</v>
      </c>
      <c r="C1496" s="2765" t="str">
        <f aca="false">крыша!B358</f>
        <v>м.п.</v>
      </c>
      <c r="D1496" s="298" t="n">
        <f aca="false">крыша!C358</f>
        <v>39.350000802913</v>
      </c>
      <c r="E1496" s="298" t="n">
        <f aca="false">крыша!D358</f>
        <v>200</v>
      </c>
      <c r="F1496" s="298"/>
      <c r="G1496" s="122" t="n">
        <f aca="false">IF(F1496&gt;0,D1496*F1496,E1496*D1496)</f>
        <v>7870.0001605826</v>
      </c>
      <c r="H1496" s="85" t="n">
        <f aca="false">D1496*E1496*$H$1484</f>
        <v>0</v>
      </c>
      <c r="I1496" s="2784" t="n">
        <f aca="false">IF(G1496&gt;H1496,G1496,H1496)*$H$1483</f>
        <v>0</v>
      </c>
      <c r="J1496" s="2744"/>
      <c r="K1496" s="226" t="n">
        <f aca="false">D1496-J1496</f>
        <v>39.350000802913</v>
      </c>
      <c r="L1496" s="2736"/>
    </row>
    <row r="1497" customFormat="false" ht="15.5" hidden="false" customHeight="false" outlineLevel="0" collapsed="false">
      <c r="A1497" s="2719"/>
      <c r="B1497" s="298" t="str">
        <f aca="false">крыша!A359</f>
        <v>Карнизная планка</v>
      </c>
      <c r="C1497" s="2765" t="str">
        <f aca="false">крыша!B359</f>
        <v>м.п.</v>
      </c>
      <c r="D1497" s="298" t="n">
        <f aca="false">крыша!C359</f>
        <v>88</v>
      </c>
      <c r="E1497" s="298" t="n">
        <f aca="false">крыша!D359</f>
        <v>190</v>
      </c>
      <c r="F1497" s="298"/>
      <c r="G1497" s="122" t="n">
        <f aca="false">IF(F1497&gt;0,D1497*F1497,E1497*D1497)</f>
        <v>16720</v>
      </c>
      <c r="H1497" s="85" t="n">
        <f aca="false">D1497*E1497*$H$1484</f>
        <v>0</v>
      </c>
      <c r="I1497" s="2784" t="n">
        <f aca="false">IF(G1497&gt;H1497,G1497,H1497)*$H$1483</f>
        <v>0</v>
      </c>
      <c r="J1497" s="2744"/>
      <c r="K1497" s="226" t="n">
        <f aca="false">D1497-J1497</f>
        <v>88</v>
      </c>
      <c r="L1497" s="2736"/>
    </row>
    <row r="1498" customFormat="false" ht="15.5" hidden="false" customHeight="false" outlineLevel="0" collapsed="false">
      <c r="A1498" s="2719"/>
      <c r="B1498" s="298" t="str">
        <f aca="false">крыша!A360</f>
        <v>ондулин</v>
      </c>
      <c r="C1498" s="2765" t="str">
        <f aca="false">крыша!B360</f>
        <v>м2</v>
      </c>
      <c r="D1498" s="298" t="n">
        <f aca="false">крыша!C360</f>
        <v>0</v>
      </c>
      <c r="E1498" s="298" t="n">
        <f aca="false">крыша!D360</f>
        <v>180</v>
      </c>
      <c r="F1498" s="298"/>
      <c r="G1498" s="122" t="n">
        <f aca="false">IF(F1498&gt;0,D1498*F1498,E1498*D1498)</f>
        <v>0</v>
      </c>
      <c r="H1498" s="85" t="n">
        <f aca="false">D1498*E1498*$H$1484</f>
        <v>0</v>
      </c>
      <c r="I1498" s="2784" t="n">
        <f aca="false">IF(G1498&gt;H1498,G1498,H1498)*$H$1483</f>
        <v>0</v>
      </c>
      <c r="J1498" s="2744"/>
      <c r="K1498" s="226" t="n">
        <f aca="false">D1498-J1498</f>
        <v>0</v>
      </c>
      <c r="L1498" s="2736"/>
    </row>
    <row r="1499" customFormat="false" ht="15.5" hidden="false" customHeight="false" outlineLevel="0" collapsed="false">
      <c r="A1499" s="2719"/>
      <c r="B1499" s="298" t="str">
        <f aca="false">крыша!A361</f>
        <v>Карнизная планка</v>
      </c>
      <c r="C1499" s="2765" t="str">
        <f aca="false">крыша!B361</f>
        <v>м.п.</v>
      </c>
      <c r="D1499" s="298" t="n">
        <f aca="false">крыша!C361</f>
        <v>0</v>
      </c>
      <c r="E1499" s="298" t="n">
        <f aca="false">крыша!D361</f>
        <v>190</v>
      </c>
      <c r="F1499" s="298"/>
      <c r="G1499" s="122" t="n">
        <f aca="false">IF(F1499&gt;0,D1499*F1499,E1499*D1499)</f>
        <v>0</v>
      </c>
      <c r="H1499" s="85" t="n">
        <f aca="false">D1499*E1499*$H$1484</f>
        <v>0</v>
      </c>
      <c r="I1499" s="2784" t="n">
        <f aca="false">IF(G1499&gt;H1499,G1499,H1499)*$H$1483</f>
        <v>0</v>
      </c>
      <c r="J1499" s="2744"/>
      <c r="K1499" s="226" t="n">
        <f aca="false">D1499-J1499</f>
        <v>0</v>
      </c>
      <c r="L1499" s="2736"/>
    </row>
    <row r="1500" customFormat="false" ht="15.5" hidden="false" customHeight="false" outlineLevel="0" collapsed="false">
      <c r="A1500" s="2719"/>
      <c r="B1500" s="298" t="str">
        <f aca="false">крыша!A362</f>
        <v>Конек</v>
      </c>
      <c r="C1500" s="2765" t="str">
        <f aca="false">крыша!B362</f>
        <v>м.п.</v>
      </c>
      <c r="D1500" s="298" t="n">
        <f aca="false">крыша!C362</f>
        <v>0</v>
      </c>
      <c r="E1500" s="298" t="n">
        <f aca="false">крыша!D362</f>
        <v>200</v>
      </c>
      <c r="F1500" s="298"/>
      <c r="G1500" s="122" t="n">
        <f aca="false">IF(F1500&gt;0,D1500*F1500,E1500*D1500)</f>
        <v>0</v>
      </c>
      <c r="H1500" s="85" t="n">
        <f aca="false">D1500*E1500*$H$1484</f>
        <v>0</v>
      </c>
      <c r="I1500" s="2784" t="n">
        <f aca="false">IF(G1500&gt;H1500,G1500,H1500)*$H$1483</f>
        <v>0</v>
      </c>
      <c r="J1500" s="2744"/>
      <c r="K1500" s="226" t="n">
        <f aca="false">D1500-J1500</f>
        <v>0</v>
      </c>
      <c r="L1500" s="2736"/>
    </row>
    <row r="1501" customFormat="false" ht="15.5" hidden="false" customHeight="false" outlineLevel="0" collapsed="false">
      <c r="A1501" s="2719"/>
      <c r="B1501" s="298" t="str">
        <f aca="false">крыша!A363</f>
        <v>Крепеж для ондулина</v>
      </c>
      <c r="C1501" s="2765" t="str">
        <f aca="false">крыша!B363</f>
        <v>шт</v>
      </c>
      <c r="D1501" s="298" t="n">
        <f aca="false">крыша!C363</f>
        <v>0</v>
      </c>
      <c r="E1501" s="298" t="n">
        <f aca="false">крыша!D363</f>
        <v>4.5</v>
      </c>
      <c r="F1501" s="298"/>
      <c r="G1501" s="122" t="n">
        <f aca="false">IF(F1501&gt;0,D1501*F1501,E1501*D1501)</f>
        <v>0</v>
      </c>
      <c r="H1501" s="85" t="n">
        <f aca="false">D1501*E1501*$H$1484</f>
        <v>0</v>
      </c>
      <c r="I1501" s="2784" t="n">
        <f aca="false">IF(G1501&gt;H1501,G1501,H1501)*$H$1483</f>
        <v>0</v>
      </c>
      <c r="J1501" s="2744"/>
      <c r="K1501" s="226" t="n">
        <f aca="false">D1501-J1501</f>
        <v>0</v>
      </c>
      <c r="L1501" s="2736"/>
    </row>
    <row r="1502" customFormat="false" ht="15.5" hidden="false" customHeight="false" outlineLevel="0" collapsed="false">
      <c r="A1502" s="2719"/>
      <c r="B1502" s="298" t="str">
        <f aca="false">крыша!A364</f>
        <v>нет</v>
      </c>
      <c r="C1502" s="2765" t="s">
        <v>133</v>
      </c>
      <c r="D1502" s="298" t="n">
        <f aca="false">крыша!C364</f>
        <v>268.064294778735</v>
      </c>
      <c r="E1502" s="298" t="n">
        <f aca="false">крыша!D364</f>
        <v>0</v>
      </c>
      <c r="F1502" s="298"/>
      <c r="G1502" s="122" t="n">
        <f aca="false">IF(F1502&gt;0,D1502*F1502,E1502*D1502)</f>
        <v>0</v>
      </c>
      <c r="H1502" s="85" t="n">
        <f aca="false">D1502*E1502*$H$1484</f>
        <v>0</v>
      </c>
      <c r="I1502" s="2784" t="n">
        <f aca="false">IF(G1502&gt;H1502,G1502,H1502)*$H$1483</f>
        <v>0</v>
      </c>
      <c r="J1502" s="2744"/>
      <c r="K1502" s="226" t="n">
        <f aca="false">D1502-J1502</f>
        <v>268.064294778735</v>
      </c>
      <c r="L1502" s="2736"/>
    </row>
    <row r="1503" customFormat="false" ht="15.5" hidden="false" customHeight="false" outlineLevel="0" collapsed="false">
      <c r="A1503" s="2719"/>
      <c r="B1503" s="298" t="str">
        <f aca="false">крыша!A365</f>
        <v>Рядовая черепица</v>
      </c>
      <c r="C1503" s="2765" t="str">
        <f aca="false">крыша!B365</f>
        <v>м.п.</v>
      </c>
      <c r="D1503" s="298" t="n">
        <f aca="false">крыша!C365</f>
        <v>0</v>
      </c>
      <c r="E1503" s="298" t="n">
        <f aca="false">крыша!D365</f>
        <v>360</v>
      </c>
      <c r="F1503" s="298"/>
      <c r="G1503" s="122" t="n">
        <f aca="false">IF(F1503&gt;0,D1503*F1503,E1503*D1503)</f>
        <v>0</v>
      </c>
      <c r="H1503" s="85" t="n">
        <f aca="false">D1503*E1503*$H$1484</f>
        <v>0</v>
      </c>
      <c r="I1503" s="2784" t="n">
        <f aca="false">IF(G1503&gt;H1503,G1503,H1503)*$H$1483</f>
        <v>0</v>
      </c>
      <c r="J1503" s="2744"/>
      <c r="K1503" s="226" t="n">
        <f aca="false">D1503-J1503</f>
        <v>0</v>
      </c>
      <c r="L1503" s="2736"/>
    </row>
    <row r="1504" customFormat="false" ht="15.5" hidden="false" customHeight="false" outlineLevel="0" collapsed="false">
      <c r="A1504" s="2719"/>
      <c r="B1504" s="298" t="str">
        <f aca="false">крыша!A366</f>
        <v>Металл оцинк защита (карниз)</v>
      </c>
      <c r="C1504" s="2765" t="str">
        <f aca="false">крыша!B366</f>
        <v>м.п.</v>
      </c>
      <c r="D1504" s="298" t="n">
        <f aca="false">крыша!C366</f>
        <v>0</v>
      </c>
      <c r="E1504" s="298" t="n">
        <f aca="false">крыша!D366</f>
        <v>200</v>
      </c>
      <c r="F1504" s="298"/>
      <c r="G1504" s="122" t="n">
        <f aca="false">IF(F1504&gt;0,D1504*F1504,E1504*D1504)</f>
        <v>0</v>
      </c>
      <c r="H1504" s="85" t="n">
        <f aca="false">D1504*E1504*$H$1484</f>
        <v>0</v>
      </c>
      <c r="I1504" s="2784" t="n">
        <f aca="false">IF(G1504&gt;H1504,G1504,H1504)*$H$1483</f>
        <v>0</v>
      </c>
      <c r="J1504" s="2744"/>
      <c r="K1504" s="226" t="n">
        <f aca="false">D1504-J1504</f>
        <v>0</v>
      </c>
      <c r="L1504" s="2736"/>
    </row>
    <row r="1505" customFormat="false" ht="15.5" hidden="false" customHeight="false" outlineLevel="0" collapsed="false">
      <c r="A1505" s="2719"/>
      <c r="B1505" s="298" t="str">
        <f aca="false">крыша!A367</f>
        <v>Подкладочный ковер</v>
      </c>
      <c r="C1505" s="2765" t="str">
        <f aca="false">крыша!B367</f>
        <v>м2</v>
      </c>
      <c r="D1505" s="298" t="n">
        <f aca="false">крыша!C367</f>
        <v>0</v>
      </c>
      <c r="E1505" s="298" t="n">
        <f aca="false">крыша!D367</f>
        <v>220</v>
      </c>
      <c r="F1505" s="298"/>
      <c r="G1505" s="122" t="n">
        <f aca="false">IF(F1505&gt;0,D1505*F1505,E1505*D1505)</f>
        <v>0</v>
      </c>
      <c r="H1505" s="85" t="n">
        <f aca="false">D1505*E1505*$H$1484</f>
        <v>0</v>
      </c>
      <c r="I1505" s="2784" t="n">
        <f aca="false">IF(G1505&gt;H1505,G1505,H1505)*$H$1483</f>
        <v>0</v>
      </c>
      <c r="J1505" s="2744"/>
      <c r="K1505" s="226" t="n">
        <f aca="false">D1505-J1505</f>
        <v>0</v>
      </c>
      <c r="L1505" s="2736"/>
    </row>
    <row r="1506" customFormat="false" ht="15.5" hidden="false" customHeight="false" outlineLevel="0" collapsed="false">
      <c r="A1506" s="2719"/>
      <c r="B1506" s="298" t="str">
        <f aca="false">крыша!A368</f>
        <v>Карнизная самоклеющаяся черепица</v>
      </c>
      <c r="C1506" s="2765" t="str">
        <f aca="false">крыша!B368</f>
        <v>м2</v>
      </c>
      <c r="D1506" s="298" t="n">
        <f aca="false">крыша!C368</f>
        <v>0</v>
      </c>
      <c r="E1506" s="298" t="n">
        <f aca="false">крыша!D368</f>
        <v>220</v>
      </c>
      <c r="F1506" s="298"/>
      <c r="G1506" s="122" t="n">
        <f aca="false">IF(F1506&gt;0,D1506*F1506,E1506*D1506)</f>
        <v>0</v>
      </c>
      <c r="H1506" s="85" t="n">
        <f aca="false">D1506*E1506*$H$1484</f>
        <v>0</v>
      </c>
      <c r="I1506" s="2784" t="n">
        <f aca="false">IF(G1506&gt;H1506,G1506,H1506)*$H$1483</f>
        <v>0</v>
      </c>
      <c r="J1506" s="2744"/>
      <c r="K1506" s="226" t="n">
        <f aca="false">D1506-J1506</f>
        <v>0</v>
      </c>
      <c r="L1506" s="2736"/>
    </row>
    <row r="1507" customFormat="false" ht="15.5" hidden="false" customHeight="false" outlineLevel="0" collapsed="false">
      <c r="A1507" s="2719"/>
      <c r="B1507" s="298" t="str">
        <f aca="false">крыша!A369</f>
        <v>Спец ковер ендова нижняя</v>
      </c>
      <c r="C1507" s="2765" t="str">
        <f aca="false">крыша!B369</f>
        <v>м.п</v>
      </c>
      <c r="D1507" s="298" t="n">
        <f aca="false">крыша!C369</f>
        <v>0</v>
      </c>
      <c r="E1507" s="298" t="n">
        <f aca="false">крыша!D369</f>
        <v>200</v>
      </c>
      <c r="F1507" s="298"/>
      <c r="G1507" s="122" t="n">
        <f aca="false">IF(F1507&gt;0,D1507*F1507,E1507*D1507)</f>
        <v>0</v>
      </c>
      <c r="H1507" s="85" t="n">
        <f aca="false">D1507*E1507*$H$1484</f>
        <v>0</v>
      </c>
      <c r="I1507" s="2784" t="n">
        <f aca="false">IF(G1507&gt;H1507,G1507,H1507)*$H$1483</f>
        <v>0</v>
      </c>
      <c r="J1507" s="2744"/>
      <c r="K1507" s="226" t="n">
        <f aca="false">D1507-J1507</f>
        <v>0</v>
      </c>
      <c r="L1507" s="2736"/>
    </row>
    <row r="1508" customFormat="false" ht="15.5" hidden="false" customHeight="false" outlineLevel="0" collapsed="false">
      <c r="A1508" s="2719"/>
      <c r="B1508" s="298" t="str">
        <f aca="false">крыша!A370</f>
        <v>Коньковой элемент</v>
      </c>
      <c r="C1508" s="2765" t="str">
        <f aca="false">крыша!B370</f>
        <v>м.п</v>
      </c>
      <c r="D1508" s="298" t="n">
        <f aca="false">крыша!C370</f>
        <v>0</v>
      </c>
      <c r="E1508" s="298" t="n">
        <f aca="false">крыша!D370</f>
        <v>250</v>
      </c>
      <c r="F1508" s="298"/>
      <c r="G1508" s="122" t="n">
        <f aca="false">IF(F1508&gt;0,D1508*F1508,E1508*D1508)</f>
        <v>0</v>
      </c>
      <c r="H1508" s="85" t="n">
        <f aca="false">D1508*E1508*$H$1484</f>
        <v>0</v>
      </c>
      <c r="I1508" s="2784" t="n">
        <f aca="false">IF(G1508&gt;H1508,G1508,H1508)*$H$1483</f>
        <v>0</v>
      </c>
      <c r="J1508" s="2744"/>
      <c r="K1508" s="226" t="n">
        <f aca="false">D1508-J1508</f>
        <v>0</v>
      </c>
      <c r="L1508" s="2736"/>
    </row>
    <row r="1509" customFormat="false" ht="15.5" hidden="false" customHeight="false" outlineLevel="0" collapsed="false">
      <c r="A1509" s="2719"/>
      <c r="B1509" s="298" t="str">
        <f aca="false">крыша!A371</f>
        <v>Планка премыкания</v>
      </c>
      <c r="C1509" s="2765" t="s">
        <v>156</v>
      </c>
      <c r="D1509" s="298" t="n">
        <f aca="false">крыша!C371</f>
        <v>0</v>
      </c>
      <c r="E1509" s="298" t="n">
        <f aca="false">крыша!D371</f>
        <v>200</v>
      </c>
      <c r="F1509" s="298"/>
      <c r="G1509" s="122" t="n">
        <f aca="false">IF(F1509&gt;0,D1509*F1509,E1509*D1509)</f>
        <v>0</v>
      </c>
      <c r="H1509" s="85" t="n">
        <f aca="false">D1509*E1509*$H$1484</f>
        <v>0</v>
      </c>
      <c r="I1509" s="2784" t="n">
        <f aca="false">IF(G1509&gt;H1509,G1509,H1509)*$H$1483</f>
        <v>0</v>
      </c>
      <c r="J1509" s="2744"/>
      <c r="K1509" s="226" t="n">
        <f aca="false">D1509-J1509</f>
        <v>0</v>
      </c>
      <c r="L1509" s="2736"/>
    </row>
    <row r="1510" customFormat="false" ht="15.5" hidden="false" customHeight="false" outlineLevel="0" collapsed="false">
      <c r="A1510" s="2719"/>
      <c r="B1510" s="298" t="str">
        <f aca="false">крыша!A372</f>
        <v>Гвозди для крепления подкладочного ковра</v>
      </c>
      <c r="C1510" s="2765" t="str">
        <f aca="false">крыша!B372</f>
        <v>шт</v>
      </c>
      <c r="D1510" s="298" t="n">
        <f aca="false">крыша!C372</f>
        <v>0</v>
      </c>
      <c r="E1510" s="298" t="n">
        <f aca="false">крыша!D372</f>
        <v>0.012</v>
      </c>
      <c r="F1510" s="298"/>
      <c r="G1510" s="122" t="n">
        <f aca="false">IF(F1510&gt;0,D1510*F1510,E1510*D1510)</f>
        <v>0</v>
      </c>
      <c r="H1510" s="85" t="n">
        <f aca="false">D1510*E1510*$H$1484</f>
        <v>0</v>
      </c>
      <c r="I1510" s="2784" t="n">
        <f aca="false">IF(G1510&gt;H1510,G1510,H1510)*$H$1483</f>
        <v>0</v>
      </c>
      <c r="J1510" s="2744"/>
      <c r="K1510" s="226" t="n">
        <f aca="false">D1510-J1510</f>
        <v>0</v>
      </c>
      <c r="L1510" s="2736"/>
    </row>
    <row r="1511" customFormat="false" ht="15.5" hidden="false" customHeight="false" outlineLevel="0" collapsed="false">
      <c r="A1511" s="2719"/>
      <c r="B1511" s="298" t="str">
        <f aca="false">крыша!A373</f>
        <v>Гвозди для крепления черепицы</v>
      </c>
      <c r="C1511" s="2765" t="str">
        <f aca="false">крыша!B373</f>
        <v>шт</v>
      </c>
      <c r="D1511" s="298" t="n">
        <f aca="false">крыша!C373</f>
        <v>0</v>
      </c>
      <c r="E1511" s="298" t="n">
        <f aca="false">крыша!D373</f>
        <v>0.25</v>
      </c>
      <c r="F1511" s="298"/>
      <c r="G1511" s="122" t="n">
        <f aca="false">IF(F1511&gt;0,D1511*F1511,E1511*D1511)</f>
        <v>0</v>
      </c>
      <c r="H1511" s="85" t="n">
        <f aca="false">D1511*E1511*$H$1484</f>
        <v>0</v>
      </c>
      <c r="I1511" s="2784" t="n">
        <f aca="false">IF(G1511&gt;H1511,G1511,H1511)*$H$1483</f>
        <v>0</v>
      </c>
      <c r="J1511" s="2744"/>
      <c r="K1511" s="226" t="n">
        <f aca="false">D1511-J1511</f>
        <v>0</v>
      </c>
      <c r="L1511" s="2736"/>
    </row>
    <row r="1512" customFormat="false" ht="15.5" hidden="false" customHeight="false" outlineLevel="0" collapsed="false">
      <c r="A1512" s="2719"/>
      <c r="B1512" s="298" t="str">
        <f aca="false">крыша!A374</f>
        <v>Клей для монтажа черепицы</v>
      </c>
      <c r="C1512" s="2765" t="str">
        <f aca="false">крыша!B374</f>
        <v>кг</v>
      </c>
      <c r="D1512" s="298" t="n">
        <f aca="false">крыша!C374</f>
        <v>0</v>
      </c>
      <c r="E1512" s="298" t="n">
        <f aca="false">крыша!D374</f>
        <v>250</v>
      </c>
      <c r="F1512" s="298"/>
      <c r="G1512" s="122" t="n">
        <f aca="false">IF(F1512&gt;0,D1512*F1512,E1512*D1512)</f>
        <v>0</v>
      </c>
      <c r="H1512" s="85" t="n">
        <f aca="false">D1512*E1512*$H$1484</f>
        <v>0</v>
      </c>
      <c r="I1512" s="2784" t="n">
        <f aca="false">IF(G1512&gt;H1512,G1512,H1512)*$H$1483</f>
        <v>0</v>
      </c>
      <c r="J1512" s="2744"/>
      <c r="K1512" s="226" t="n">
        <f aca="false">D1512-J1512</f>
        <v>0</v>
      </c>
      <c r="L1512" s="2736"/>
    </row>
    <row r="1513" customFormat="false" ht="15.5" hidden="false" customHeight="false" outlineLevel="0" collapsed="false">
      <c r="A1513" s="2719"/>
      <c r="B1513" s="298" t="str">
        <f aca="false">крыша!A375</f>
        <v>желоб</v>
      </c>
      <c r="C1513" s="2765" t="str">
        <f aca="false">крыша!B375</f>
        <v>м.п</v>
      </c>
      <c r="D1513" s="298" t="n">
        <f aca="false">крыша!C375</f>
        <v>42</v>
      </c>
      <c r="E1513" s="298" t="n">
        <f aca="false">крыша!D375</f>
        <v>300</v>
      </c>
      <c r="F1513" s="298"/>
      <c r="G1513" s="122" t="n">
        <f aca="false">IF(F1513&gt;0,D1513*F1513,E1513*D1513)</f>
        <v>12600</v>
      </c>
      <c r="H1513" s="85" t="n">
        <f aca="false">D1513*E1513*$H$1484</f>
        <v>0</v>
      </c>
      <c r="I1513" s="2784" t="n">
        <f aca="false">IF(G1513&gt;H1513,G1513,H1513)*$H$1483</f>
        <v>0</v>
      </c>
      <c r="J1513" s="2744"/>
      <c r="K1513" s="226" t="n">
        <f aca="false">D1513-J1513</f>
        <v>42</v>
      </c>
      <c r="L1513" s="2736"/>
    </row>
    <row r="1514" customFormat="false" ht="15.5" hidden="false" customHeight="false" outlineLevel="0" collapsed="false">
      <c r="A1514" s="2719"/>
      <c r="B1514" s="298" t="str">
        <f aca="false">крыша!A376</f>
        <v>отвод</v>
      </c>
      <c r="C1514" s="2765" t="str">
        <f aca="false">крыша!B376</f>
        <v>шт</v>
      </c>
      <c r="D1514" s="298" t="n">
        <f aca="false">крыша!C376</f>
        <v>4</v>
      </c>
      <c r="E1514" s="298" t="n">
        <f aca="false">крыша!D376</f>
        <v>250</v>
      </c>
      <c r="F1514" s="298"/>
      <c r="G1514" s="122" t="n">
        <f aca="false">IF(F1514&gt;0,D1514*F1514,E1514*D1514)</f>
        <v>1000</v>
      </c>
      <c r="H1514" s="85" t="n">
        <f aca="false">D1514*E1514*$H$1484</f>
        <v>0</v>
      </c>
      <c r="I1514" s="2784" t="n">
        <f aca="false">IF(G1514&gt;H1514,G1514,H1514)*$H$1483</f>
        <v>0</v>
      </c>
      <c r="J1514" s="2744"/>
      <c r="K1514" s="226" t="n">
        <f aca="false">D1514-J1514</f>
        <v>4</v>
      </c>
      <c r="L1514" s="2736"/>
    </row>
    <row r="1515" customFormat="false" ht="15.5" hidden="false" customHeight="false" outlineLevel="0" collapsed="false">
      <c r="A1515" s="2719"/>
      <c r="B1515" s="298" t="str">
        <f aca="false">крыша!A377</f>
        <v>труба водосточная</v>
      </c>
      <c r="C1515" s="2765" t="str">
        <f aca="false">крыша!B377</f>
        <v>м.п.</v>
      </c>
      <c r="D1515" s="298" t="n">
        <f aca="false">крыша!C377</f>
        <v>6.6</v>
      </c>
      <c r="E1515" s="298" t="n">
        <f aca="false">крыша!D377</f>
        <v>300</v>
      </c>
      <c r="F1515" s="298"/>
      <c r="G1515" s="122" t="n">
        <f aca="false">IF(F1515&gt;0,D1515*F1515,E1515*D1515)</f>
        <v>1980</v>
      </c>
      <c r="H1515" s="85" t="n">
        <f aca="false">D1515*E1515*$H$1484</f>
        <v>0</v>
      </c>
      <c r="I1515" s="2784" t="n">
        <f aca="false">IF(G1515&gt;H1515,G1515,H1515)*$H$1483</f>
        <v>0</v>
      </c>
      <c r="J1515" s="2744"/>
      <c r="K1515" s="226" t="n">
        <f aca="false">D1515-J1515</f>
        <v>6.6</v>
      </c>
      <c r="L1515" s="2736"/>
    </row>
    <row r="1516" customFormat="false" ht="15.5" hidden="false" customHeight="false" outlineLevel="0" collapsed="false">
      <c r="A1516" s="2719"/>
      <c r="B1516" s="298" t="str">
        <f aca="false">крыша!A378</f>
        <v>заглушка для желоба</v>
      </c>
      <c r="C1516" s="2765" t="str">
        <f aca="false">крыша!B378</f>
        <v>шт</v>
      </c>
      <c r="D1516" s="298" t="n">
        <f aca="false">крыша!C378</f>
        <v>4</v>
      </c>
      <c r="E1516" s="298" t="n">
        <f aca="false">крыша!D378</f>
        <v>190</v>
      </c>
      <c r="F1516" s="298"/>
      <c r="G1516" s="122" t="n">
        <f aca="false">IF(F1516&gt;0,D1516*F1516,E1516*D1516)</f>
        <v>760</v>
      </c>
      <c r="H1516" s="85" t="n">
        <f aca="false">D1516*E1516*$H$1484</f>
        <v>0</v>
      </c>
      <c r="I1516" s="2784" t="n">
        <f aca="false">IF(G1516&gt;H1516,G1516,H1516)*$H$1483</f>
        <v>0</v>
      </c>
      <c r="J1516" s="2744"/>
      <c r="K1516" s="226" t="n">
        <f aca="false">D1516-J1516</f>
        <v>4</v>
      </c>
      <c r="L1516" s="2736"/>
    </row>
    <row r="1517" customFormat="false" ht="15.5" hidden="false" customHeight="false" outlineLevel="0" collapsed="false">
      <c r="A1517" s="2719"/>
      <c r="B1517" s="298" t="str">
        <f aca="false">крыша!A379</f>
        <v>соеденитель для желоба</v>
      </c>
      <c r="C1517" s="2765" t="str">
        <f aca="false">крыша!B379</f>
        <v>шт</v>
      </c>
      <c r="D1517" s="298" t="n">
        <f aca="false">крыша!C379</f>
        <v>15</v>
      </c>
      <c r="E1517" s="298" t="n">
        <f aca="false">крыша!D379</f>
        <v>180</v>
      </c>
      <c r="F1517" s="298"/>
      <c r="G1517" s="122" t="n">
        <f aca="false">IF(F1517&gt;0,D1517*F1517,E1517*D1517)</f>
        <v>2700</v>
      </c>
      <c r="H1517" s="85" t="n">
        <f aca="false">D1517*E1517*$H$1484</f>
        <v>0</v>
      </c>
      <c r="I1517" s="2784" t="n">
        <f aca="false">IF(G1517&gt;H1517,G1517,H1517)*$H$1483</f>
        <v>0</v>
      </c>
      <c r="J1517" s="2744"/>
      <c r="K1517" s="226" t="n">
        <f aca="false">D1517-J1517</f>
        <v>15</v>
      </c>
      <c r="L1517" s="2736"/>
    </row>
    <row r="1518" customFormat="false" ht="15.5" hidden="false" customHeight="false" outlineLevel="0" collapsed="false">
      <c r="A1518" s="2719"/>
      <c r="B1518" s="298" t="str">
        <f aca="false">крыша!A380</f>
        <v>кронштейн для желоба</v>
      </c>
      <c r="C1518" s="2765" t="str">
        <f aca="false">крыша!B380</f>
        <v>шт</v>
      </c>
      <c r="D1518" s="298" t="n">
        <f aca="false">крыша!C380</f>
        <v>140</v>
      </c>
      <c r="E1518" s="298" t="n">
        <f aca="false">крыша!D380</f>
        <v>130</v>
      </c>
      <c r="F1518" s="298"/>
      <c r="G1518" s="122" t="n">
        <f aca="false">IF(F1518&gt;0,D1518*F1518,E1518*D1518)</f>
        <v>18200</v>
      </c>
      <c r="H1518" s="85" t="n">
        <f aca="false">D1518*E1518*$H$1484</f>
        <v>0</v>
      </c>
      <c r="I1518" s="2784" t="n">
        <f aca="false">IF(G1518&gt;H1518,G1518,H1518)*$H$1483</f>
        <v>0</v>
      </c>
      <c r="J1518" s="2744"/>
      <c r="K1518" s="226" t="n">
        <f aca="false">D1518-J1518</f>
        <v>140</v>
      </c>
      <c r="L1518" s="2736"/>
    </row>
    <row r="1519" customFormat="false" ht="15.5" hidden="false" customHeight="false" outlineLevel="0" collapsed="false">
      <c r="A1519" s="2719"/>
      <c r="B1519" s="298" t="str">
        <f aca="false">крыша!A381</f>
        <v>переход из желоба в трубу</v>
      </c>
      <c r="C1519" s="2765" t="str">
        <f aca="false">крыша!B381</f>
        <v>шт</v>
      </c>
      <c r="D1519" s="298" t="n">
        <f aca="false">крыша!C381</f>
        <v>2</v>
      </c>
      <c r="E1519" s="298" t="n">
        <f aca="false">крыша!D381</f>
        <v>350</v>
      </c>
      <c r="F1519" s="298"/>
      <c r="G1519" s="122" t="n">
        <f aca="false">IF(F1519&gt;0,D1519*F1519,E1519*D1519)</f>
        <v>700</v>
      </c>
      <c r="H1519" s="85" t="n">
        <f aca="false">D1519*E1519*$H$1484</f>
        <v>0</v>
      </c>
      <c r="I1519" s="2784" t="n">
        <f aca="false">IF(G1519&gt;H1519,G1519,H1519)*$H$1483</f>
        <v>0</v>
      </c>
      <c r="J1519" s="2744"/>
      <c r="K1519" s="226" t="n">
        <f aca="false">D1519-J1519</f>
        <v>2</v>
      </c>
      <c r="L1519" s="2736"/>
    </row>
    <row r="1520" customFormat="false" ht="15.5" hidden="false" customHeight="false" outlineLevel="0" collapsed="false">
      <c r="A1520" s="2719"/>
      <c r="B1520" s="298" t="str">
        <f aca="false">крыша!A382</f>
        <v>лента дельта мульти бэнд</v>
      </c>
      <c r="C1520" s="2765" t="str">
        <f aca="false">крыша!B382</f>
        <v>шт</v>
      </c>
      <c r="D1520" s="298" t="n">
        <f aca="false">крыша!C382</f>
        <v>1</v>
      </c>
      <c r="E1520" s="298" t="n">
        <f aca="false">крыша!D382</f>
        <v>1200</v>
      </c>
      <c r="F1520" s="298"/>
      <c r="G1520" s="122" t="n">
        <f aca="false">IF(F1520&gt;0,D1520*F1520,E1520*D1520)</f>
        <v>1200</v>
      </c>
      <c r="H1520" s="85" t="n">
        <f aca="false">D1520*E1520*$H$1484</f>
        <v>0</v>
      </c>
      <c r="I1520" s="2784" t="n">
        <f aca="false">IF(G1520&gt;H1520,G1520,H1520)*$H$1483</f>
        <v>0</v>
      </c>
      <c r="J1520" s="2744"/>
      <c r="K1520" s="226" t="n">
        <f aca="false">D1520-J1520</f>
        <v>1</v>
      </c>
      <c r="L1520" s="2736"/>
    </row>
    <row r="1521" customFormat="false" ht="15.5" hidden="false" customHeight="false" outlineLevel="0" collapsed="false">
      <c r="A1521" s="2719"/>
      <c r="B1521" s="298" t="str">
        <f aca="false">крыша!A383</f>
        <v>лента дельта sb-60</v>
      </c>
      <c r="C1521" s="2765" t="str">
        <f aca="false">крыша!B383</f>
        <v>шт</v>
      </c>
      <c r="D1521" s="298" t="n">
        <f aca="false">крыша!C383</f>
        <v>12.764966418035</v>
      </c>
      <c r="E1521" s="298" t="n">
        <f aca="false">крыша!D383</f>
        <v>1100</v>
      </c>
      <c r="F1521" s="298"/>
      <c r="G1521" s="122" t="n">
        <f aca="false">IF(F1521&gt;0,D1521*F1521,E1521*D1521)</f>
        <v>14041.4630598385</v>
      </c>
      <c r="H1521" s="85" t="n">
        <f aca="false">D1521*E1521*$H$1484</f>
        <v>0</v>
      </c>
      <c r="I1521" s="2784" t="n">
        <f aca="false">IF(G1521&gt;H1521,G1521,H1521)*$H$1483</f>
        <v>0</v>
      </c>
      <c r="J1521" s="2744"/>
      <c r="K1521" s="226" t="n">
        <f aca="false">D1521-J1521</f>
        <v>12.764966418035</v>
      </c>
      <c r="L1521" s="2736"/>
    </row>
    <row r="1522" customFormat="false" ht="15.5" hidden="false" customHeight="false" outlineLevel="0" collapsed="false">
      <c r="A1522" s="2719"/>
      <c r="B1522" s="298" t="str">
        <f aca="false">крыша!A384</f>
        <v>проходка кровельная, канализационная</v>
      </c>
      <c r="C1522" s="2765" t="str">
        <f aca="false">крыша!B384</f>
        <v>шт</v>
      </c>
      <c r="D1522" s="298" t="n">
        <f aca="false">крыша!C384</f>
        <v>0</v>
      </c>
      <c r="E1522" s="298" t="n">
        <f aca="false">крыша!D384</f>
        <v>3500</v>
      </c>
      <c r="F1522" s="298"/>
      <c r="G1522" s="122" t="n">
        <f aca="false">IF(F1522&gt;0,D1522*F1522,E1522*D1522)</f>
        <v>0</v>
      </c>
      <c r="H1522" s="85" t="n">
        <f aca="false">D1522*E1522*$H$1484</f>
        <v>0</v>
      </c>
      <c r="I1522" s="2784" t="n">
        <f aca="false">IF(G1522&gt;H1522,G1522,H1522)*$H$1483</f>
        <v>0</v>
      </c>
      <c r="J1522" s="2744"/>
      <c r="K1522" s="226" t="n">
        <f aca="false">D1522-J1522</f>
        <v>0</v>
      </c>
      <c r="L1522" s="2736"/>
    </row>
    <row r="1523" customFormat="false" ht="15.5" hidden="false" customHeight="false" outlineLevel="0" collapsed="false">
      <c r="A1523" s="2719"/>
      <c r="B1523" s="298" t="str">
        <f aca="false">крыша!A385</f>
        <v>проходка кровельная, вентиляционная</v>
      </c>
      <c r="C1523" s="2765" t="str">
        <f aca="false">крыша!B385</f>
        <v>шт</v>
      </c>
      <c r="D1523" s="298" t="n">
        <f aca="false">крыша!C385</f>
        <v>0</v>
      </c>
      <c r="E1523" s="298" t="n">
        <f aca="false">крыша!D385</f>
        <v>3500</v>
      </c>
      <c r="F1523" s="298"/>
      <c r="G1523" s="122" t="n">
        <f aca="false">IF(F1523&gt;0,D1523*F1523,E1523*D1523)</f>
        <v>0</v>
      </c>
      <c r="H1523" s="85" t="n">
        <f aca="false">D1523*E1523*$H$1484</f>
        <v>0</v>
      </c>
      <c r="I1523" s="2784" t="n">
        <f aca="false">IF(G1523&gt;H1523,G1523,H1523)*$H$1483</f>
        <v>0</v>
      </c>
      <c r="J1523" s="2744"/>
      <c r="K1523" s="226" t="n">
        <f aca="false">D1523-J1523</f>
        <v>0</v>
      </c>
      <c r="L1523" s="2736"/>
    </row>
    <row r="1524" customFormat="false" ht="15.5" hidden="false" customHeight="false" outlineLevel="0" collapsed="false">
      <c r="A1524" s="2719"/>
      <c r="B1524" s="298" t="str">
        <f aca="false">крыша!A386</f>
        <v>проодка кровельная, труба котел</v>
      </c>
      <c r="C1524" s="2765" t="str">
        <f aca="false">крыша!B386</f>
        <v>шт</v>
      </c>
      <c r="D1524" s="298" t="n">
        <f aca="false">крыша!C386</f>
        <v>0</v>
      </c>
      <c r="E1524" s="298" t="n">
        <f aca="false">крыша!D386</f>
        <v>4500</v>
      </c>
      <c r="F1524" s="298"/>
      <c r="G1524" s="122" t="n">
        <f aca="false">IF(F1524&gt;0,D1524*F1524,E1524*D1524)</f>
        <v>0</v>
      </c>
      <c r="H1524" s="85" t="n">
        <f aca="false">D1524*E1524*$H$1484</f>
        <v>0</v>
      </c>
      <c r="I1524" s="2784" t="n">
        <f aca="false">IF(G1524&gt;H1524,G1524,H1524)*$H$1483</f>
        <v>0</v>
      </c>
      <c r="J1524" s="2744"/>
      <c r="K1524" s="226" t="n">
        <f aca="false">D1524-J1524</f>
        <v>0</v>
      </c>
      <c r="L1524" s="2736"/>
    </row>
    <row r="1525" customFormat="false" ht="15.5" hidden="false" customHeight="false" outlineLevel="0" collapsed="false">
      <c r="A1525" s="2719"/>
      <c r="B1525" s="298" t="str">
        <f aca="false">крыша!A387</f>
        <v>Кровельный саморез</v>
      </c>
      <c r="C1525" s="2765" t="str">
        <f aca="false">крыша!B387</f>
        <v>шт</v>
      </c>
      <c r="D1525" s="298" t="n">
        <f aca="false">крыша!C387</f>
        <v>2297.6939552463</v>
      </c>
      <c r="E1525" s="298" t="n">
        <f aca="false">крыша!D387</f>
        <v>2</v>
      </c>
      <c r="F1525" s="298"/>
      <c r="G1525" s="122" t="n">
        <f aca="false">IF(F1525&gt;0,D1525*F1525,E1525*D1525)</f>
        <v>4595.38791049261</v>
      </c>
      <c r="H1525" s="85" t="n">
        <f aca="false">D1525*E1525*$H$1484</f>
        <v>0</v>
      </c>
      <c r="I1525" s="2784" t="n">
        <f aca="false">IF(G1525&gt;H1525,G1525,H1525)*$H$1483</f>
        <v>0</v>
      </c>
      <c r="J1525" s="2744"/>
      <c r="K1525" s="226" t="n">
        <f aca="false">D1525-J1525</f>
        <v>2297.6939552463</v>
      </c>
      <c r="L1525" s="2736"/>
    </row>
    <row r="1526" customFormat="false" ht="15.5" hidden="false" customHeight="false" outlineLevel="0" collapsed="false">
      <c r="A1526" s="2719"/>
      <c r="B1526" s="298" t="str">
        <f aca="false">крыша!A388</f>
        <v>Гвозди ершоные 3,4 x 60</v>
      </c>
      <c r="C1526" s="2765" t="str">
        <f aca="false">крыша!B388</f>
        <v>кг</v>
      </c>
      <c r="D1526" s="298" t="n">
        <f aca="false">крыша!C388</f>
        <v>36.1886797951293</v>
      </c>
      <c r="E1526" s="298" t="n">
        <f aca="false">крыша!D388</f>
        <v>75.51</v>
      </c>
      <c r="F1526" s="298"/>
      <c r="G1526" s="122" t="n">
        <f aca="false">IF(F1526&gt;0,D1526*F1526,E1526*D1526)</f>
        <v>2732.60721133021</v>
      </c>
      <c r="H1526" s="85" t="n">
        <f aca="false">D1526*E1526*$H$1484</f>
        <v>0</v>
      </c>
      <c r="I1526" s="2784" t="n">
        <f aca="false">IF(G1526&gt;H1526,G1526,H1526)*$H$1483</f>
        <v>0</v>
      </c>
      <c r="J1526" s="2744"/>
      <c r="K1526" s="226" t="n">
        <f aca="false">D1526-J1526</f>
        <v>36.1886797951293</v>
      </c>
      <c r="L1526" s="2736"/>
    </row>
    <row r="1527" customFormat="false" ht="15.5" hidden="false" customHeight="false" outlineLevel="0" collapsed="false">
      <c r="A1527" s="2719"/>
      <c r="B1527" s="298" t="str">
        <f aca="false">крыша!A389</f>
        <v>Гвозди строительные 3,5 x 90</v>
      </c>
      <c r="C1527" s="2765" t="str">
        <f aca="false">крыша!B389</f>
        <v>кг</v>
      </c>
      <c r="D1527" s="298" t="n">
        <f aca="false">крыша!C389</f>
        <v>27.7274392603173</v>
      </c>
      <c r="E1527" s="298" t="n">
        <f aca="false">крыша!D389</f>
        <v>76.49</v>
      </c>
      <c r="F1527" s="298"/>
      <c r="G1527" s="122" t="n">
        <f aca="false">IF(F1527&gt;0,D1527*F1527,E1527*D1527)</f>
        <v>2120.87182902167</v>
      </c>
      <c r="H1527" s="85" t="n">
        <f aca="false">D1527*E1527*$H$1484</f>
        <v>0</v>
      </c>
      <c r="I1527" s="2784" t="n">
        <f aca="false">IF(G1527&gt;H1527,G1527,H1527)*$H$1483</f>
        <v>0</v>
      </c>
      <c r="J1527" s="2744"/>
      <c r="K1527" s="226" t="n">
        <f aca="false">D1527-J1527</f>
        <v>27.7274392603173</v>
      </c>
      <c r="L1527" s="2736"/>
    </row>
    <row r="1528" customFormat="false" ht="15.5" hidden="false" customHeight="false" outlineLevel="0" collapsed="false">
      <c r="A1528" s="2719"/>
      <c r="B1528" s="298" t="str">
        <f aca="false">крыша!A390</f>
        <v>Пластина соеденительная 100х240х2</v>
      </c>
      <c r="C1528" s="2765" t="str">
        <f aca="false">крыша!B390</f>
        <v>шт</v>
      </c>
      <c r="D1528" s="298" t="n">
        <f aca="false">крыша!C390</f>
        <v>27.3534994672179</v>
      </c>
      <c r="E1528" s="298" t="n">
        <f aca="false">крыша!D390</f>
        <v>31.54</v>
      </c>
      <c r="F1528" s="298"/>
      <c r="G1528" s="122" t="n">
        <f aca="false">IF(F1528&gt;0,D1528*F1528,E1528*D1528)</f>
        <v>862.729373196052</v>
      </c>
      <c r="H1528" s="85" t="n">
        <f aca="false">D1528*E1528*$H$1484</f>
        <v>0</v>
      </c>
      <c r="I1528" s="2784" t="n">
        <f aca="false">IF(G1528&gt;H1528,G1528,H1528)*$H$1483</f>
        <v>0</v>
      </c>
      <c r="J1528" s="2744"/>
      <c r="K1528" s="226" t="n">
        <f aca="false">D1528-J1528</f>
        <v>27.3534994672179</v>
      </c>
      <c r="L1528" s="2736"/>
    </row>
    <row r="1529" customFormat="false" ht="15.5" hidden="false" customHeight="false" outlineLevel="0" collapsed="false">
      <c r="A1529" s="2719"/>
      <c r="B1529" s="298" t="str">
        <f aca="false">крыша!A391</f>
        <v>Уголок усиленный 90х70х55х2,5</v>
      </c>
      <c r="C1529" s="2765" t="str">
        <f aca="false">крыша!B391</f>
        <v>шт</v>
      </c>
      <c r="D1529" s="298" t="n">
        <f aca="false">крыша!C391</f>
        <v>382.94899254105</v>
      </c>
      <c r="E1529" s="298" t="n">
        <f aca="false">крыша!D391</f>
        <v>30</v>
      </c>
      <c r="F1529" s="298"/>
      <c r="G1529" s="122" t="n">
        <f aca="false">IF(F1529&gt;0,D1529*F1529,E1529*D1529)</f>
        <v>11488.4697762315</v>
      </c>
      <c r="H1529" s="85" t="n">
        <f aca="false">D1529*E1529*$H$1484</f>
        <v>0</v>
      </c>
      <c r="I1529" s="2784" t="n">
        <f aca="false">IF(G1529&gt;H1529,G1529,H1529)*$H$1483</f>
        <v>0</v>
      </c>
      <c r="J1529" s="2744"/>
      <c r="K1529" s="226" t="n">
        <f aca="false">D1529-J1529</f>
        <v>382.94899254105</v>
      </c>
      <c r="L1529" s="2736"/>
    </row>
    <row r="1530" customFormat="false" ht="15.5" hidden="false" customHeight="false" outlineLevel="0" collapsed="false">
      <c r="A1530" s="2719"/>
      <c r="B1530" s="2748" t="s">
        <v>4640</v>
      </c>
      <c r="C1530" s="2748"/>
      <c r="D1530" s="2748"/>
      <c r="E1530" s="2748"/>
      <c r="F1530" s="2748"/>
      <c r="G1530" s="2210" t="n">
        <f aca="false">SUM(G1485:G1529)*H1483</f>
        <v>0</v>
      </c>
      <c r="H1530" s="2210" t="n">
        <f aca="false">SUM(H1485:H1529)</f>
        <v>0</v>
      </c>
      <c r="I1530" s="2784" t="n">
        <f aca="false">IF(G1530&gt;H1530,G1530,H1530)*$H$1483</f>
        <v>0</v>
      </c>
      <c r="J1530" s="2744"/>
      <c r="K1530" s="226" t="n">
        <f aca="false">D1530-J1530</f>
        <v>0</v>
      </c>
      <c r="L1530" s="2736"/>
    </row>
    <row r="1531" customFormat="false" ht="15.5" hidden="false" customHeight="false" outlineLevel="0" collapsed="false">
      <c r="A1531" s="2719"/>
      <c r="B1531" s="2750" t="s">
        <v>1409</v>
      </c>
      <c r="C1531" s="2750"/>
      <c r="D1531" s="2750"/>
      <c r="E1531" s="2750"/>
      <c r="F1531" s="2750"/>
      <c r="G1531" s="905"/>
      <c r="H1531" s="2766" t="n">
        <f aca="false">H1483</f>
        <v>0</v>
      </c>
      <c r="I1531" s="2818" t="n">
        <f aca="false">H1531</f>
        <v>0</v>
      </c>
      <c r="J1531" s="2752"/>
      <c r="K1531" s="2753"/>
    </row>
    <row r="1532" customFormat="false" ht="15.5" hidden="false" customHeight="false" outlineLevel="0" collapsed="false">
      <c r="A1532" s="2712"/>
      <c r="B1532" s="2648" t="str">
        <f aca="false">крыша!G348</f>
        <v>монтаж мауэрлат</v>
      </c>
      <c r="C1532" s="2828" t="str">
        <f aca="false">крыша!I348</f>
        <v>м.п.</v>
      </c>
      <c r="D1532" s="509" t="n">
        <f aca="false">крыша!J348</f>
        <v>40</v>
      </c>
      <c r="E1532" s="2829" t="n">
        <f aca="false">крыша!K348</f>
        <v>250</v>
      </c>
      <c r="F1532" s="2829"/>
      <c r="G1532" s="122" t="n">
        <f aca="false">IF(F1532&gt;0,D1532*F1532,E1532*D1532)</f>
        <v>10000</v>
      </c>
      <c r="H1532" s="2210" t="n">
        <f aca="false">D1532*E1532*$H$1531</f>
        <v>0</v>
      </c>
      <c r="I1532" s="2718" t="n">
        <f aca="false">IF(G1532&gt;H1532,G1532,H1532)*$H$1483</f>
        <v>0</v>
      </c>
      <c r="J1532" s="2712"/>
      <c r="K1532" s="2719"/>
    </row>
    <row r="1533" customFormat="false" ht="15.5" hidden="false" customHeight="false" outlineLevel="0" collapsed="false">
      <c r="A1533" s="2719"/>
      <c r="B1533" s="2648" t="str">
        <f aca="false">крыша!G349</f>
        <v>монтаж стропил</v>
      </c>
      <c r="C1533" s="2828" t="str">
        <f aca="false">крыша!I349</f>
        <v>м2</v>
      </c>
      <c r="D1533" s="509" t="n">
        <f aca="false">крыша!J349</f>
        <v>191.474496270525</v>
      </c>
      <c r="E1533" s="2829" t="n">
        <f aca="false">крыша!K349</f>
        <v>450</v>
      </c>
      <c r="F1533" s="2829"/>
      <c r="G1533" s="122" t="n">
        <f aca="false">IF(F1533&gt;0,D1533*F1533,E1533*D1533)</f>
        <v>86163.5233217363</v>
      </c>
      <c r="H1533" s="2210" t="n">
        <f aca="false">D1533*E1533*$H$1531</f>
        <v>0</v>
      </c>
      <c r="I1533" s="2718" t="n">
        <f aca="false">IF(G1533&gt;H1533,G1533,H1533)*$H$1483</f>
        <v>0</v>
      </c>
      <c r="J1533" s="2712"/>
      <c r="K1533" s="2719"/>
    </row>
    <row r="1534" customFormat="false" ht="15.5" hidden="false" customHeight="false" outlineLevel="0" collapsed="false">
      <c r="A1534" s="2719"/>
      <c r="B1534" s="2648" t="str">
        <f aca="false">крыша!G350</f>
        <v>обрешетка</v>
      </c>
      <c r="C1534" s="2828" t="str">
        <f aca="false">крыша!I350</f>
        <v>м2</v>
      </c>
      <c r="D1534" s="509" t="n">
        <f aca="false">крыша!J350</f>
        <v>191.474496270525</v>
      </c>
      <c r="E1534" s="2829" t="n">
        <f aca="false">крыша!K350</f>
        <v>100</v>
      </c>
      <c r="F1534" s="2829"/>
      <c r="G1534" s="122" t="n">
        <f aca="false">IF(F1534&gt;0,D1534*F1534,E1534*D1534)</f>
        <v>19147.4496270525</v>
      </c>
      <c r="H1534" s="2210" t="n">
        <f aca="false">D1534*E1534*$H$1531</f>
        <v>0</v>
      </c>
      <c r="I1534" s="2718" t="n">
        <f aca="false">IF(G1534&gt;H1534,G1534,H1534)*$H$1483</f>
        <v>0</v>
      </c>
      <c r="J1534" s="2712"/>
      <c r="K1534" s="2719"/>
    </row>
    <row r="1535" customFormat="false" ht="15.5" hidden="false" customHeight="false" outlineLevel="0" collapsed="false">
      <c r="A1535" s="2719"/>
      <c r="B1535" s="2648" t="str">
        <f aca="false">крыша!G351</f>
        <v>контробеш</v>
      </c>
      <c r="C1535" s="2828" t="str">
        <f aca="false">крыша!I351</f>
        <v>м2</v>
      </c>
      <c r="D1535" s="509" t="n">
        <f aca="false">крыша!J351</f>
        <v>191.474496270525</v>
      </c>
      <c r="E1535" s="2829" t="n">
        <f aca="false">крыша!K351</f>
        <v>100</v>
      </c>
      <c r="F1535" s="2829"/>
      <c r="G1535" s="122" t="n">
        <f aca="false">IF(F1535&gt;0,D1535*F1535,E1535*D1535)</f>
        <v>19147.4496270525</v>
      </c>
      <c r="H1535" s="2210" t="n">
        <f aca="false">D1535*E1535*$H$1531</f>
        <v>0</v>
      </c>
      <c r="I1535" s="2718" t="n">
        <f aca="false">IF(G1535&gt;H1535,G1535,H1535)*$H$1483</f>
        <v>0</v>
      </c>
      <c r="J1535" s="2712"/>
      <c r="K1535" s="2719"/>
    </row>
    <row r="1536" customFormat="false" ht="15.5" hidden="false" customHeight="false" outlineLevel="0" collapsed="false">
      <c r="A1536" s="2719"/>
      <c r="B1536" s="2648" t="str">
        <f aca="false">крыша!G352</f>
        <v>мембрана</v>
      </c>
      <c r="C1536" s="2828" t="str">
        <f aca="false">крыша!I352</f>
        <v>м2</v>
      </c>
      <c r="D1536" s="509" t="n">
        <f aca="false">крыша!J352</f>
        <v>191.474496270525</v>
      </c>
      <c r="E1536" s="2829" t="n">
        <f aca="false">крыша!K352</f>
        <v>100</v>
      </c>
      <c r="F1536" s="2829"/>
      <c r="G1536" s="122" t="n">
        <f aca="false">IF(F1536&gt;0,D1536*F1536,E1536*D1536)</f>
        <v>19147.4496270525</v>
      </c>
      <c r="H1536" s="2210" t="n">
        <f aca="false">D1536*E1536*$H$1531</f>
        <v>0</v>
      </c>
      <c r="I1536" s="2718" t="n">
        <f aca="false">IF(G1536&gt;H1536,G1536,H1536)*$H$1483</f>
        <v>0</v>
      </c>
      <c r="J1536" s="2712"/>
      <c r="K1536" s="2719"/>
    </row>
    <row r="1537" customFormat="false" ht="15.5" hidden="false" customHeight="false" outlineLevel="0" collapsed="false">
      <c r="A1537" s="2719"/>
      <c r="B1537" s="2648" t="str">
        <f aca="false">крыша!G353</f>
        <v>пароизоляц</v>
      </c>
      <c r="C1537" s="2828" t="str">
        <f aca="false">крыша!I353</f>
        <v>м2</v>
      </c>
      <c r="D1537" s="509" t="n">
        <f aca="false">крыша!J353</f>
        <v>191.474496270525</v>
      </c>
      <c r="E1537" s="2829" t="n">
        <f aca="false">крыша!K353</f>
        <v>100</v>
      </c>
      <c r="F1537" s="2829"/>
      <c r="G1537" s="122" t="n">
        <f aca="false">IF(F1537&gt;0,D1537*F1537,E1537*D1537)</f>
        <v>19147.4496270525</v>
      </c>
      <c r="H1537" s="2210" t="n">
        <f aca="false">D1537*E1537*$H$1531</f>
        <v>0</v>
      </c>
      <c r="I1537" s="2718" t="n">
        <f aca="false">IF(G1537&gt;H1537,G1537,H1537)*$H$1483</f>
        <v>0</v>
      </c>
      <c r="J1537" s="2712"/>
      <c r="K1537" s="2719"/>
    </row>
    <row r="1538" customFormat="false" ht="15.5" hidden="false" customHeight="false" outlineLevel="0" collapsed="false">
      <c r="A1538" s="2719"/>
      <c r="B1538" s="2648" t="str">
        <f aca="false">крыша!G354</f>
        <v>утеплитель</v>
      </c>
      <c r="C1538" s="2828" t="str">
        <f aca="false">крыша!I354</f>
        <v>м2</v>
      </c>
      <c r="D1538" s="509" t="n">
        <f aca="false">крыша!J354</f>
        <v>191.474496270525</v>
      </c>
      <c r="E1538" s="2829" t="n">
        <f aca="false">крыша!K354</f>
        <v>200</v>
      </c>
      <c r="F1538" s="2829"/>
      <c r="G1538" s="122" t="n">
        <f aca="false">IF(F1538&gt;0,D1538*F1538,E1538*D1538)</f>
        <v>38294.899254105</v>
      </c>
      <c r="H1538" s="2210" t="n">
        <f aca="false">D1538*E1538*$H$1531</f>
        <v>0</v>
      </c>
      <c r="I1538" s="2718" t="n">
        <f aca="false">IF(G1538&gt;H1538,G1538,H1538)*$H$1483</f>
        <v>0</v>
      </c>
      <c r="J1538" s="2712"/>
      <c r="K1538" s="2719"/>
    </row>
    <row r="1539" customFormat="false" ht="15.5" hidden="false" customHeight="false" outlineLevel="0" collapsed="false">
      <c r="A1539" s="2719"/>
      <c r="B1539" s="2648" t="str">
        <f aca="false">крыша!G355</f>
        <v>Монтаж металлочерепицы</v>
      </c>
      <c r="C1539" s="2828" t="str">
        <f aca="false">крыша!I355</f>
        <v>м2</v>
      </c>
      <c r="D1539" s="509" t="n">
        <f aca="false">крыша!J355</f>
        <v>174.067723882296</v>
      </c>
      <c r="E1539" s="2829" t="n">
        <f aca="false">крыша!K355</f>
        <v>300</v>
      </c>
      <c r="F1539" s="2829"/>
      <c r="G1539" s="122" t="n">
        <f aca="false">IF(F1539&gt;0,D1539*F1539,E1539*D1539)</f>
        <v>52220.3171646887</v>
      </c>
      <c r="H1539" s="2210" t="n">
        <f aca="false">D1539*E1539*$H$1531</f>
        <v>0</v>
      </c>
      <c r="I1539" s="2718" t="n">
        <f aca="false">IF(G1539&gt;H1539,G1539,H1539)*$H$1483</f>
        <v>0</v>
      </c>
      <c r="J1539" s="2712"/>
      <c r="K1539" s="2719"/>
    </row>
    <row r="1540" customFormat="false" ht="15.5" hidden="false" customHeight="false" outlineLevel="0" collapsed="false">
      <c r="A1540" s="2719"/>
      <c r="B1540" s="2648" t="str">
        <f aca="false">крыша!G356</f>
        <v>Монтаж ондулина</v>
      </c>
      <c r="C1540" s="2828" t="str">
        <f aca="false">крыша!I356</f>
        <v>м2</v>
      </c>
      <c r="D1540" s="509" t="n">
        <f aca="false">крыша!J356</f>
        <v>0</v>
      </c>
      <c r="E1540" s="2829" t="n">
        <f aca="false">крыша!K356</f>
        <v>300</v>
      </c>
      <c r="F1540" s="2829"/>
      <c r="G1540" s="122" t="n">
        <f aca="false">IF(F1540&gt;0,D1540*F1540,E1540*D1540)</f>
        <v>0</v>
      </c>
      <c r="H1540" s="2210" t="n">
        <f aca="false">D1540*E1540*$H$1531</f>
        <v>0</v>
      </c>
      <c r="I1540" s="2718" t="n">
        <f aca="false">IF(G1540&gt;H1540,G1540,H1540)*$H$1483</f>
        <v>0</v>
      </c>
      <c r="J1540" s="2712"/>
      <c r="K1540" s="2719"/>
    </row>
    <row r="1541" customFormat="false" ht="15.5" hidden="false" customHeight="false" outlineLevel="0" collapsed="false">
      <c r="A1541" s="2719"/>
      <c r="B1541" s="2648" t="str">
        <f aca="false">крыша!G357</f>
        <v>капельник планка</v>
      </c>
      <c r="C1541" s="2828" t="str">
        <f aca="false">крыша!I357</f>
        <v>м.п.</v>
      </c>
      <c r="D1541" s="509" t="n">
        <f aca="false">крыша!J357</f>
        <v>88</v>
      </c>
      <c r="E1541" s="2829" t="n">
        <f aca="false">крыша!K357</f>
        <v>100</v>
      </c>
      <c r="F1541" s="2829"/>
      <c r="G1541" s="122" t="n">
        <f aca="false">IF(F1541&gt;0,D1541*F1541,E1541*D1541)</f>
        <v>8800</v>
      </c>
      <c r="H1541" s="2210" t="n">
        <f aca="false">D1541*E1541*$H$1531</f>
        <v>0</v>
      </c>
      <c r="I1541" s="2718" t="n">
        <f aca="false">IF(G1541&gt;H1541,G1541,H1541)*$H$1483</f>
        <v>0</v>
      </c>
      <c r="J1541" s="2712"/>
      <c r="K1541" s="2719"/>
    </row>
    <row r="1542" customFormat="false" ht="15.5" hidden="false" customHeight="false" outlineLevel="0" collapsed="false">
      <c r="A1542" s="2719"/>
      <c r="B1542" s="2648" t="str">
        <f aca="false">крыша!G358</f>
        <v>желоб водосточный</v>
      </c>
      <c r="C1542" s="2828" t="str">
        <f aca="false">крыша!I358</f>
        <v>м.п.</v>
      </c>
      <c r="D1542" s="509" t="n">
        <f aca="false">крыша!J358</f>
        <v>42</v>
      </c>
      <c r="E1542" s="2829" t="n">
        <f aca="false">крыша!K358</f>
        <v>300</v>
      </c>
      <c r="F1542" s="2829"/>
      <c r="G1542" s="122" t="n">
        <f aca="false">IF(F1542&gt;0,D1542*F1542,E1542*D1542)</f>
        <v>12600</v>
      </c>
      <c r="H1542" s="2210" t="n">
        <f aca="false">D1542*E1542*$H$1531</f>
        <v>0</v>
      </c>
      <c r="I1542" s="2718" t="n">
        <f aca="false">IF(G1542&gt;H1542,G1542,H1542)*$H$1483</f>
        <v>0</v>
      </c>
      <c r="J1542" s="2712"/>
      <c r="K1542" s="2719"/>
    </row>
    <row r="1543" customFormat="false" ht="15.5" hidden="false" customHeight="false" outlineLevel="0" collapsed="false">
      <c r="A1543" s="2719"/>
      <c r="B1543" s="2648" t="str">
        <f aca="false">крыша!G359</f>
        <v>труба водосточная</v>
      </c>
      <c r="C1543" s="2828" t="str">
        <f aca="false">крыша!I359</f>
        <v>м.п.</v>
      </c>
      <c r="D1543" s="509" t="n">
        <f aca="false">крыша!J359</f>
        <v>6.6</v>
      </c>
      <c r="E1543" s="2829" t="n">
        <f aca="false">крыша!K359</f>
        <v>300</v>
      </c>
      <c r="F1543" s="2829"/>
      <c r="G1543" s="122" t="n">
        <f aca="false">IF(F1543&gt;0,D1543*F1543,E1543*D1543)</f>
        <v>1980</v>
      </c>
      <c r="H1543" s="2210" t="n">
        <f aca="false">D1543*E1543*$H$1531</f>
        <v>0</v>
      </c>
      <c r="I1543" s="2718" t="n">
        <f aca="false">IF(G1543&gt;H1543,G1543,H1543)*$H$1483</f>
        <v>0</v>
      </c>
      <c r="J1543" s="2712"/>
      <c r="K1543" s="2719"/>
    </row>
    <row r="1544" customFormat="false" ht="15.5" hidden="false" customHeight="false" outlineLevel="0" collapsed="false">
      <c r="A1544" s="2719"/>
      <c r="B1544" s="2648" t="str">
        <f aca="false">крыша!G360</f>
        <v>конек</v>
      </c>
      <c r="C1544" s="2828" t="str">
        <f aca="false">крыша!I360</f>
        <v>м.п.</v>
      </c>
      <c r="D1544" s="509" t="n">
        <f aca="false">крыша!J360</f>
        <v>39.350000802913</v>
      </c>
      <c r="E1544" s="2829" t="n">
        <f aca="false">крыша!K360</f>
        <v>300</v>
      </c>
      <c r="F1544" s="2829"/>
      <c r="G1544" s="122" t="n">
        <f aca="false">IF(F1544&gt;0,D1544*F1544,E1544*D1544)</f>
        <v>11805.0002408739</v>
      </c>
      <c r="H1544" s="2210" t="n">
        <f aca="false">D1544*E1544*$H$1531</f>
        <v>0</v>
      </c>
      <c r="I1544" s="2718" t="n">
        <f aca="false">IF(G1544&gt;H1544,G1544,H1544)*$H$1483</f>
        <v>0</v>
      </c>
      <c r="J1544" s="2712"/>
      <c r="K1544" s="2719"/>
    </row>
    <row r="1545" customFormat="false" ht="15.5" hidden="false" customHeight="false" outlineLevel="0" collapsed="false">
      <c r="A1545" s="2719"/>
      <c r="B1545" s="2648" t="str">
        <f aca="false">крыша!G361</f>
        <v>Монтаж фанеры/osb</v>
      </c>
      <c r="C1545" s="2828" t="str">
        <f aca="false">крыша!I361</f>
        <v>м2</v>
      </c>
      <c r="D1545" s="509" t="n">
        <f aca="false">крыша!J361</f>
        <v>0</v>
      </c>
      <c r="E1545" s="2829" t="n">
        <f aca="false">крыша!K361</f>
        <v>200</v>
      </c>
      <c r="F1545" s="2829"/>
      <c r="G1545" s="122" t="n">
        <f aca="false">IF(F1545&gt;0,D1545*F1545,E1545*D1545)</f>
        <v>0</v>
      </c>
      <c r="H1545" s="2210" t="n">
        <f aca="false">D1545*E1545*$H$1531</f>
        <v>0</v>
      </c>
      <c r="I1545" s="2718" t="n">
        <f aca="false">IF(G1545&gt;H1545,G1545,H1545)*$H$1483</f>
        <v>0</v>
      </c>
      <c r="J1545" s="2712"/>
      <c r="K1545" s="2719"/>
    </row>
    <row r="1546" customFormat="false" ht="15.5" hidden="false" customHeight="false" outlineLevel="0" collapsed="false">
      <c r="A1546" s="2719"/>
      <c r="B1546" s="2648" t="str">
        <f aca="false">крыша!G362</f>
        <v>монтаж подкладочного ковра</v>
      </c>
      <c r="C1546" s="2828" t="str">
        <f aca="false">крыша!I362</f>
        <v>м2</v>
      </c>
      <c r="D1546" s="509" t="n">
        <f aca="false">крыша!J362</f>
        <v>0</v>
      </c>
      <c r="E1546" s="2829" t="n">
        <f aca="false">крыша!K362</f>
        <v>150</v>
      </c>
      <c r="F1546" s="2829"/>
      <c r="G1546" s="122" t="n">
        <f aca="false">IF(F1546&gt;0,D1546*F1546,E1546*D1546)</f>
        <v>0</v>
      </c>
      <c r="H1546" s="2210" t="n">
        <f aca="false">D1546*E1546*$H$1531</f>
        <v>0</v>
      </c>
      <c r="I1546" s="2718" t="n">
        <f aca="false">IF(G1546&gt;H1546,G1546,H1546)*$H$1483</f>
        <v>0</v>
      </c>
      <c r="J1546" s="2712"/>
      <c r="K1546" s="2719"/>
    </row>
    <row r="1547" customFormat="false" ht="15.5" hidden="false" customHeight="false" outlineLevel="0" collapsed="false">
      <c r="A1547" s="2719"/>
      <c r="B1547" s="2648" t="str">
        <f aca="false">крыша!G363</f>
        <v>Монтаж мягкой кровли</v>
      </c>
      <c r="C1547" s="2828" t="str">
        <f aca="false">крыша!I363</f>
        <v>м2</v>
      </c>
      <c r="D1547" s="509" t="n">
        <f aca="false">крыша!J363</f>
        <v>0</v>
      </c>
      <c r="E1547" s="2829" t="n">
        <f aca="false">крыша!K363</f>
        <v>350</v>
      </c>
      <c r="F1547" s="2829"/>
      <c r="G1547" s="122" t="n">
        <f aca="false">IF(F1547&gt;0,D1547*F1547,E1547*D1547)</f>
        <v>0</v>
      </c>
      <c r="H1547" s="2210" t="n">
        <f aca="false">D1547*E1547*$H$1531</f>
        <v>0</v>
      </c>
      <c r="I1547" s="2718" t="n">
        <f aca="false">IF(G1547&gt;H1547,G1547,H1547)*$H$1483</f>
        <v>0</v>
      </c>
      <c r="J1547" s="2712"/>
      <c r="K1547" s="2719"/>
    </row>
    <row r="1548" customFormat="false" ht="15.5" hidden="false" customHeight="false" outlineLevel="0" collapsed="false">
      <c r="A1548" s="2719"/>
      <c r="B1548" s="2748" t="s">
        <v>4641</v>
      </c>
      <c r="C1548" s="2748"/>
      <c r="D1548" s="2748"/>
      <c r="E1548" s="2748"/>
      <c r="F1548" s="2748"/>
      <c r="G1548" s="2210" t="n">
        <f aca="false">SUM(G1532:G1547)*H1531</f>
        <v>0</v>
      </c>
      <c r="H1548" s="2210" t="n">
        <f aca="false">SUM(H1532:H1547)</f>
        <v>0</v>
      </c>
      <c r="I1548" s="2718" t="n">
        <f aca="false">IF(G1548&gt;H1548,G1548,H1548)*$H$1483</f>
        <v>0</v>
      </c>
      <c r="J1548" s="2712"/>
      <c r="K1548" s="2719"/>
    </row>
    <row r="1549" customFormat="false" ht="21" hidden="false" customHeight="false" outlineLevel="0" collapsed="false">
      <c r="A1549" s="2719"/>
      <c r="B1549" s="2826" t="s">
        <v>4661</v>
      </c>
      <c r="C1549" s="2826"/>
      <c r="D1549" s="2826"/>
      <c r="E1549" s="2826"/>
      <c r="F1549" s="2826"/>
      <c r="G1549" s="905"/>
      <c r="H1549" s="2774" t="n">
        <f aca="false">дома!L1115</f>
        <v>0</v>
      </c>
      <c r="I1549" s="2818" t="n">
        <f aca="false">H1549</f>
        <v>0</v>
      </c>
      <c r="J1549" s="2712"/>
      <c r="K1549" s="2719"/>
    </row>
    <row r="1550" customFormat="false" ht="15.5" hidden="false" customHeight="false" outlineLevel="0" collapsed="false">
      <c r="A1550" s="2712"/>
      <c r="B1550" s="2775" t="s">
        <v>2720</v>
      </c>
      <c r="C1550" s="2775"/>
      <c r="D1550" s="2775"/>
      <c r="E1550" s="2775"/>
      <c r="F1550" s="2775"/>
      <c r="G1550" s="905"/>
      <c r="H1550" s="2776" t="n">
        <f aca="false">H1549</f>
        <v>0</v>
      </c>
      <c r="I1550" s="2818" t="n">
        <f aca="false">H1550</f>
        <v>0</v>
      </c>
      <c r="J1550" s="2732"/>
      <c r="K1550" s="2733"/>
    </row>
    <row r="1551" customFormat="false" ht="15.5" hidden="false" customHeight="false" outlineLevel="0" collapsed="false">
      <c r="A1551" s="2712"/>
      <c r="B1551" s="298" t="str">
        <f aca="false">крыша!A431</f>
        <v>нет</v>
      </c>
      <c r="C1551" s="2765" t="str">
        <f aca="false">крыша!B431</f>
        <v>м3</v>
      </c>
      <c r="D1551" s="298" t="n">
        <f aca="false">крыша!C431</f>
        <v>0</v>
      </c>
      <c r="E1551" s="298" t="n">
        <f aca="false">крыша!D431</f>
        <v>0</v>
      </c>
      <c r="F1551" s="298"/>
      <c r="G1551" s="122" t="n">
        <f aca="false">IF(F1551&gt;0,D1551*F1551,E1551*D1551)</f>
        <v>0</v>
      </c>
      <c r="H1551" s="85" t="n">
        <f aca="false">D1551*E1551*$H$1550</f>
        <v>0</v>
      </c>
      <c r="I1551" s="2784" t="n">
        <f aca="false">IF(G1551&gt;H1551,G1551,H1551)*$H$1549</f>
        <v>0</v>
      </c>
      <c r="J1551" s="2744"/>
      <c r="K1551" s="226" t="n">
        <f aca="false">D1551-J1551</f>
        <v>0</v>
      </c>
      <c r="L1551" s="2736"/>
    </row>
    <row r="1552" customFormat="false" ht="15.5" hidden="false" customHeight="false" outlineLevel="0" collapsed="false">
      <c r="A1552" s="2719"/>
      <c r="B1552" s="298" t="str">
        <f aca="false">крыша!A432</f>
        <v>Болты анкерные с гайкой 12,0 х 280</v>
      </c>
      <c r="C1552" s="2765" t="str">
        <f aca="false">крыша!B432</f>
        <v>шт</v>
      </c>
      <c r="D1552" s="298" t="n">
        <f aca="false">крыша!C432</f>
        <v>139.092651273109</v>
      </c>
      <c r="E1552" s="298" t="n">
        <f aca="false">крыша!D432</f>
        <v>27.1</v>
      </c>
      <c r="F1552" s="298"/>
      <c r="G1552" s="122" t="n">
        <f aca="false">IF(F1552&gt;0,D1552*F1552,E1552*D1552)</f>
        <v>3769.41084950126</v>
      </c>
      <c r="H1552" s="85" t="n">
        <f aca="false">D1552*E1552*$H$1550</f>
        <v>0</v>
      </c>
      <c r="I1552" s="2784" t="n">
        <f aca="false">IF(G1552&gt;H1552,G1552,H1552)*$H$1549</f>
        <v>0</v>
      </c>
      <c r="J1552" s="2744"/>
      <c r="K1552" s="226" t="n">
        <f aca="false">D1552-J1552</f>
        <v>139.092651273109</v>
      </c>
      <c r="L1552" s="2736"/>
    </row>
    <row r="1553" customFormat="false" ht="15.5" hidden="false" customHeight="false" outlineLevel="0" collapsed="false">
      <c r="A1553" s="2719"/>
      <c r="B1553" s="298" t="str">
        <f aca="false">крыша!A433</f>
        <v>Доска сырая, 150*50мм</v>
      </c>
      <c r="C1553" s="2765" t="str">
        <f aca="false">крыша!B433</f>
        <v>м3</v>
      </c>
      <c r="D1553" s="298" t="n">
        <f aca="false">крыша!C433</f>
        <v>4.68331574864359</v>
      </c>
      <c r="E1553" s="298" t="n">
        <f aca="false">крыша!D433</f>
        <v>6500</v>
      </c>
      <c r="F1553" s="298"/>
      <c r="G1553" s="122" t="n">
        <f aca="false">IF(F1553&gt;0,D1553*F1553,E1553*D1553)</f>
        <v>30441.5523661833</v>
      </c>
      <c r="H1553" s="85" t="n">
        <f aca="false">D1553*E1553*$H$1550</f>
        <v>0</v>
      </c>
      <c r="I1553" s="2784" t="n">
        <f aca="false">IF(G1553&gt;H1553,G1553,H1553)*$H$1549</f>
        <v>0</v>
      </c>
      <c r="J1553" s="2744"/>
      <c r="K1553" s="226" t="n">
        <f aca="false">D1553-J1553</f>
        <v>4.68331574864359</v>
      </c>
      <c r="L1553" s="2736"/>
    </row>
    <row r="1554" customFormat="false" ht="15.5" hidden="false" customHeight="false" outlineLevel="0" collapsed="false">
      <c r="A1554" s="2719"/>
      <c r="B1554" s="298" t="str">
        <f aca="false">крыша!A434</f>
        <v>бугель, доска</v>
      </c>
      <c r="C1554" s="2765" t="str">
        <f aca="false">крыша!B434</f>
        <v>м3</v>
      </c>
      <c r="D1554" s="298" t="n">
        <f aca="false">крыша!C434</f>
        <v>0.495</v>
      </c>
      <c r="E1554" s="298" t="n">
        <f aca="false">крыша!D434</f>
        <v>6500</v>
      </c>
      <c r="F1554" s="298"/>
      <c r="G1554" s="122" t="n">
        <f aca="false">IF(F1554&gt;0,D1554*F1554,E1554*D1554)</f>
        <v>3217.5</v>
      </c>
      <c r="H1554" s="85" t="n">
        <f aca="false">D1554*E1554*$H$1550</f>
        <v>0</v>
      </c>
      <c r="I1554" s="2784" t="n">
        <f aca="false">IF(G1554&gt;H1554,G1554,H1554)*$H$1549</f>
        <v>0</v>
      </c>
      <c r="J1554" s="2744"/>
      <c r="K1554" s="226" t="n">
        <f aca="false">D1554-J1554</f>
        <v>0.495</v>
      </c>
      <c r="L1554" s="2736"/>
    </row>
    <row r="1555" customFormat="false" ht="15.5" hidden="false" customHeight="false" outlineLevel="0" collapsed="false">
      <c r="A1555" s="2719"/>
      <c r="B1555" s="298" t="str">
        <f aca="false">крыша!A435</f>
        <v>стойка под конек</v>
      </c>
      <c r="C1555" s="2765" t="str">
        <f aca="false">крыша!B435</f>
        <v>м3</v>
      </c>
      <c r="D1555" s="298" t="n">
        <f aca="false">крыша!C435</f>
        <v>0.15</v>
      </c>
      <c r="E1555" s="298" t="n">
        <f aca="false">крыша!D435</f>
        <v>6500</v>
      </c>
      <c r="F1555" s="298"/>
      <c r="G1555" s="122" t="n">
        <f aca="false">IF(F1555&gt;0,D1555*F1555,E1555*D1555)</f>
        <v>975</v>
      </c>
      <c r="H1555" s="85" t="n">
        <f aca="false">D1555*E1555*$H$1550</f>
        <v>0</v>
      </c>
      <c r="I1555" s="2784" t="n">
        <f aca="false">IF(G1555&gt;H1555,G1555,H1555)*$H$1549</f>
        <v>0</v>
      </c>
      <c r="J1555" s="2744"/>
      <c r="K1555" s="226" t="n">
        <f aca="false">D1555-J1555</f>
        <v>0.15</v>
      </c>
      <c r="L1555" s="2736"/>
    </row>
    <row r="1556" customFormat="false" ht="15.5" hidden="false" customHeight="false" outlineLevel="0" collapsed="false">
      <c r="A1556" s="2719"/>
      <c r="B1556" s="298" t="str">
        <f aca="false">крыша!A436</f>
        <v>Сосна влаж,100*25мм</v>
      </c>
      <c r="C1556" s="2765" t="str">
        <f aca="false">крыша!B436</f>
        <v>м3</v>
      </c>
      <c r="D1556" s="298" t="n">
        <f aca="false">крыша!C436</f>
        <v>2.31889372866713</v>
      </c>
      <c r="E1556" s="298" t="n">
        <f aca="false">крыша!D436</f>
        <v>6500</v>
      </c>
      <c r="F1556" s="298"/>
      <c r="G1556" s="122" t="n">
        <f aca="false">IF(F1556&gt;0,D1556*F1556,E1556*D1556)</f>
        <v>15072.8092363363</v>
      </c>
      <c r="H1556" s="85" t="n">
        <f aca="false">D1556*E1556*$H$1550</f>
        <v>0</v>
      </c>
      <c r="I1556" s="2784" t="n">
        <f aca="false">IF(G1556&gt;H1556,G1556,H1556)*$H$1549</f>
        <v>0</v>
      </c>
      <c r="J1556" s="2744"/>
      <c r="K1556" s="226" t="n">
        <f aca="false">D1556-J1556</f>
        <v>2.31889372866713</v>
      </c>
      <c r="L1556" s="2736"/>
    </row>
    <row r="1557" customFormat="false" ht="15.5" hidden="false" customHeight="false" outlineLevel="0" collapsed="false">
      <c r="A1557" s="2719"/>
      <c r="B1557" s="298" t="str">
        <f aca="false">крыша!A437</f>
        <v>Доска сухая, калибр., 35*45мм</v>
      </c>
      <c r="C1557" s="2765" t="str">
        <f aca="false">крыша!B437</f>
        <v>м3</v>
      </c>
      <c r="D1557" s="298" t="n">
        <f aca="false">крыша!C437</f>
        <v>0.87404455926684</v>
      </c>
      <c r="E1557" s="298" t="n">
        <f aca="false">крыша!D437</f>
        <v>12500</v>
      </c>
      <c r="F1557" s="298"/>
      <c r="G1557" s="122" t="n">
        <f aca="false">IF(F1557&gt;0,D1557*F1557,E1557*D1557)</f>
        <v>10925.5569908355</v>
      </c>
      <c r="H1557" s="85" t="n">
        <f aca="false">D1557*E1557*$H$1550</f>
        <v>0</v>
      </c>
      <c r="I1557" s="2784" t="n">
        <f aca="false">IF(G1557&gt;H1557,G1557,H1557)*$H$1549</f>
        <v>0</v>
      </c>
      <c r="J1557" s="2744"/>
      <c r="K1557" s="226" t="n">
        <f aca="false">D1557-J1557</f>
        <v>0.87404455926684</v>
      </c>
      <c r="L1557" s="2736"/>
    </row>
    <row r="1558" customFormat="false" ht="15.5" hidden="false" customHeight="false" outlineLevel="0" collapsed="false">
      <c r="A1558" s="2719"/>
      <c r="B1558" s="298" t="str">
        <f aca="false">крыша!A438</f>
        <v>Мембраны  Tyvek Housewrap</v>
      </c>
      <c r="C1558" s="2765" t="str">
        <f aca="false">крыша!B438</f>
        <v>м2</v>
      </c>
      <c r="D1558" s="298" t="n">
        <f aca="false">крыша!C438</f>
        <v>332.969355911177</v>
      </c>
      <c r="E1558" s="298" t="n">
        <f aca="false">крыша!D438</f>
        <v>90</v>
      </c>
      <c r="F1558" s="298"/>
      <c r="G1558" s="122" t="n">
        <f aca="false">IF(F1558&gt;0,D1558*F1558,E1558*D1558)</f>
        <v>29967.2420320059</v>
      </c>
      <c r="H1558" s="85" t="n">
        <f aca="false">D1558*E1558*$H$1550</f>
        <v>0</v>
      </c>
      <c r="I1558" s="2784" t="n">
        <f aca="false">IF(G1558&gt;H1558,G1558,H1558)*$H$1549</f>
        <v>0</v>
      </c>
      <c r="J1558" s="2744"/>
      <c r="K1558" s="226" t="n">
        <f aca="false">D1558-J1558</f>
        <v>332.969355911177</v>
      </c>
      <c r="L1558" s="2736"/>
    </row>
    <row r="1559" customFormat="false" ht="15.5" hidden="false" customHeight="false" outlineLevel="0" collapsed="false">
      <c r="A1559" s="2719"/>
      <c r="B1559" s="298" t="str">
        <f aca="false">крыша!A439</f>
        <v>Мембрана Tyvek AirGuard Reflective</v>
      </c>
      <c r="C1559" s="2765" t="str">
        <f aca="false">крыша!B439</f>
        <v>м2</v>
      </c>
      <c r="D1559" s="298" t="n">
        <f aca="false">крыша!C439</f>
        <v>332.969355911177</v>
      </c>
      <c r="E1559" s="298" t="n">
        <f aca="false">крыша!D439</f>
        <v>174</v>
      </c>
      <c r="F1559" s="298"/>
      <c r="G1559" s="122" t="n">
        <f aca="false">IF(F1559&gt;0,D1559*F1559,E1559*D1559)</f>
        <v>57936.6679285448</v>
      </c>
      <c r="H1559" s="85" t="n">
        <f aca="false">D1559*E1559*$H$1550</f>
        <v>0</v>
      </c>
      <c r="I1559" s="2784" t="n">
        <f aca="false">IF(G1559&gt;H1559,G1559,H1559)*$H$1549</f>
        <v>0</v>
      </c>
      <c r="J1559" s="2744"/>
      <c r="K1559" s="226" t="n">
        <f aca="false">D1559-J1559</f>
        <v>332.969355911177</v>
      </c>
      <c r="L1559" s="2736"/>
    </row>
    <row r="1560" customFormat="false" ht="15.5" hidden="false" customHeight="false" outlineLevel="0" collapsed="false">
      <c r="A1560" s="2719"/>
      <c r="B1560" s="298" t="str">
        <f aca="false">крыша!A440</f>
        <v>Плитный,28кг/м3, технониколь, 50мм</v>
      </c>
      <c r="C1560" s="2765" t="str">
        <f aca="false">крыша!B440</f>
        <v>м3</v>
      </c>
      <c r="D1560" s="298" t="n">
        <f aca="false">крыша!C440</f>
        <v>11.8917627111135</v>
      </c>
      <c r="E1560" s="298" t="n">
        <f aca="false">крыша!D440</f>
        <v>1700</v>
      </c>
      <c r="F1560" s="298"/>
      <c r="G1560" s="122" t="n">
        <f aca="false">IF(F1560&gt;0,D1560*F1560,E1560*D1560)</f>
        <v>20215.9966088929</v>
      </c>
      <c r="H1560" s="85" t="n">
        <f aca="false">D1560*E1560*$H$1550</f>
        <v>0</v>
      </c>
      <c r="I1560" s="2784" t="n">
        <f aca="false">IF(G1560&gt;H1560,G1560,H1560)*$H$1549</f>
        <v>0</v>
      </c>
      <c r="J1560" s="2744"/>
      <c r="K1560" s="226" t="n">
        <f aca="false">D1560-J1560</f>
        <v>11.8917627111135</v>
      </c>
      <c r="L1560" s="2736"/>
    </row>
    <row r="1561" customFormat="false" ht="15.5" hidden="false" customHeight="false" outlineLevel="0" collapsed="false">
      <c r="A1561" s="2719"/>
      <c r="B1561" s="298" t="str">
        <f aca="false">крыша!A441</f>
        <v>металлочерепица</v>
      </c>
      <c r="C1561" s="2765" t="str">
        <f aca="false">крыша!B441</f>
        <v>м2</v>
      </c>
      <c r="D1561" s="298" t="n">
        <f aca="false">крыша!C441</f>
        <v>332.969355911177</v>
      </c>
      <c r="E1561" s="298" t="n">
        <f aca="false">крыша!D441</f>
        <v>250</v>
      </c>
      <c r="F1561" s="298"/>
      <c r="G1561" s="122" t="n">
        <f aca="false">IF(F1561&gt;0,D1561*F1561,E1561*D1561)</f>
        <v>83242.3389777943</v>
      </c>
      <c r="H1561" s="85" t="n">
        <f aca="false">D1561*E1561*$H$1550</f>
        <v>0</v>
      </c>
      <c r="I1561" s="2784" t="n">
        <f aca="false">IF(G1561&gt;H1561,G1561,H1561)*$H$1549</f>
        <v>0</v>
      </c>
      <c r="J1561" s="2744"/>
      <c r="K1561" s="226" t="n">
        <f aca="false">D1561-J1561</f>
        <v>332.969355911177</v>
      </c>
      <c r="L1561" s="2736"/>
    </row>
    <row r="1562" customFormat="false" ht="15.5" hidden="false" customHeight="false" outlineLevel="0" collapsed="false">
      <c r="A1562" s="2719"/>
      <c r="B1562" s="298" t="str">
        <f aca="false">крыша!A442</f>
        <v>Карнизная планка</v>
      </c>
      <c r="C1562" s="2765" t="str">
        <f aca="false">крыша!B442</f>
        <v>м.п.</v>
      </c>
      <c r="D1562" s="298" t="n">
        <f aca="false">крыша!C442</f>
        <v>62</v>
      </c>
      <c r="E1562" s="298" t="n">
        <f aca="false">крыша!D442</f>
        <v>200</v>
      </c>
      <c r="F1562" s="298"/>
      <c r="G1562" s="122" t="n">
        <f aca="false">IF(F1562&gt;0,D1562*F1562,E1562*D1562)</f>
        <v>12400</v>
      </c>
      <c r="H1562" s="85" t="n">
        <f aca="false">D1562*E1562*$H$1550</f>
        <v>0</v>
      </c>
      <c r="I1562" s="2784" t="n">
        <f aca="false">IF(G1562&gt;H1562,G1562,H1562)*$H$1549</f>
        <v>0</v>
      </c>
      <c r="J1562" s="2744"/>
      <c r="K1562" s="226" t="n">
        <f aca="false">D1562-J1562</f>
        <v>62</v>
      </c>
      <c r="L1562" s="2736"/>
    </row>
    <row r="1563" customFormat="false" ht="15.5" hidden="false" customHeight="false" outlineLevel="0" collapsed="false">
      <c r="A1563" s="2719"/>
      <c r="B1563" s="298" t="str">
        <f aca="false">крыша!A443</f>
        <v>Торцевая планка</v>
      </c>
      <c r="C1563" s="2765" t="str">
        <f aca="false">крыша!B443</f>
        <v>м.п.</v>
      </c>
      <c r="D1563" s="298" t="n">
        <f aca="false">крыша!C443</f>
        <v>26.9072480941474</v>
      </c>
      <c r="E1563" s="298" t="n">
        <f aca="false">крыша!D443</f>
        <v>200</v>
      </c>
      <c r="F1563" s="298"/>
      <c r="G1563" s="122" t="n">
        <f aca="false">IF(F1563&gt;0,D1563*F1563,E1563*D1563)</f>
        <v>5381.44961882948</v>
      </c>
      <c r="H1563" s="85" t="n">
        <f aca="false">D1563*E1563*$H$1550</f>
        <v>0</v>
      </c>
      <c r="I1563" s="2784" t="n">
        <f aca="false">IF(G1563&gt;H1563,G1563,H1563)*$H$1549</f>
        <v>0</v>
      </c>
      <c r="J1563" s="2744"/>
      <c r="K1563" s="226" t="n">
        <f aca="false">D1563-J1563</f>
        <v>26.9072480941474</v>
      </c>
      <c r="L1563" s="2736"/>
    </row>
    <row r="1564" customFormat="false" ht="15.5" hidden="false" customHeight="false" outlineLevel="0" collapsed="false">
      <c r="A1564" s="2719"/>
      <c r="B1564" s="298" t="str">
        <f aca="false">крыша!A444</f>
        <v>Конек</v>
      </c>
      <c r="C1564" s="2765" t="str">
        <f aca="false">крыша!B444</f>
        <v>м.п.</v>
      </c>
      <c r="D1564" s="298" t="n">
        <f aca="false">крыша!C444</f>
        <v>39.7787287881817</v>
      </c>
      <c r="E1564" s="298" t="n">
        <f aca="false">крыша!D444</f>
        <v>230</v>
      </c>
      <c r="F1564" s="298"/>
      <c r="G1564" s="122" t="n">
        <f aca="false">IF(F1564&gt;0,D1564*F1564,E1564*D1564)</f>
        <v>9149.10762128178</v>
      </c>
      <c r="H1564" s="85" t="n">
        <f aca="false">D1564*E1564*$H$1550</f>
        <v>0</v>
      </c>
      <c r="I1564" s="2784" t="n">
        <f aca="false">IF(G1564&gt;H1564,G1564,H1564)*$H$1549</f>
        <v>0</v>
      </c>
      <c r="J1564" s="2744"/>
      <c r="K1564" s="226" t="n">
        <f aca="false">D1564-J1564</f>
        <v>39.7787287881817</v>
      </c>
      <c r="L1564" s="2736"/>
    </row>
    <row r="1565" customFormat="false" ht="15.5" hidden="false" customHeight="false" outlineLevel="0" collapsed="false">
      <c r="A1565" s="2719"/>
      <c r="B1565" s="298" t="str">
        <f aca="false">крыша!A445</f>
        <v>ондулин</v>
      </c>
      <c r="C1565" s="2765" t="str">
        <f aca="false">крыша!B445</f>
        <v>м2</v>
      </c>
      <c r="D1565" s="298" t="n">
        <f aca="false">крыша!C445</f>
        <v>0</v>
      </c>
      <c r="E1565" s="298" t="n">
        <f aca="false">крыша!D445</f>
        <v>180</v>
      </c>
      <c r="F1565" s="298"/>
      <c r="G1565" s="122" t="n">
        <f aca="false">IF(F1565&gt;0,D1565*F1565,E1565*D1565)</f>
        <v>0</v>
      </c>
      <c r="H1565" s="85" t="n">
        <f aca="false">D1565*E1565*$H$1550</f>
        <v>0</v>
      </c>
      <c r="I1565" s="2784" t="n">
        <f aca="false">IF(G1565&gt;H1565,G1565,H1565)*$H$1549</f>
        <v>0</v>
      </c>
      <c r="J1565" s="2744"/>
      <c r="K1565" s="226" t="n">
        <f aca="false">D1565-J1565</f>
        <v>0</v>
      </c>
      <c r="L1565" s="2736"/>
    </row>
    <row r="1566" customFormat="false" ht="15.5" hidden="false" customHeight="false" outlineLevel="0" collapsed="false">
      <c r="A1566" s="2719"/>
      <c r="B1566" s="298" t="str">
        <f aca="false">крыша!A446</f>
        <v>Карнизная планка</v>
      </c>
      <c r="C1566" s="2765" t="str">
        <f aca="false">крыша!B446</f>
        <v>м.п.</v>
      </c>
      <c r="D1566" s="298" t="n">
        <f aca="false">крыша!C446</f>
        <v>0</v>
      </c>
      <c r="E1566" s="298" t="n">
        <f aca="false">крыша!D446</f>
        <v>190</v>
      </c>
      <c r="F1566" s="298"/>
      <c r="G1566" s="122" t="n">
        <f aca="false">IF(F1566&gt;0,D1566*F1566,E1566*D1566)</f>
        <v>0</v>
      </c>
      <c r="H1566" s="85" t="n">
        <f aca="false">D1566*E1566*$H$1550</f>
        <v>0</v>
      </c>
      <c r="I1566" s="2784" t="n">
        <f aca="false">IF(G1566&gt;H1566,G1566,H1566)*$H$1549</f>
        <v>0</v>
      </c>
      <c r="J1566" s="2744"/>
      <c r="K1566" s="226" t="n">
        <f aca="false">D1566-J1566</f>
        <v>0</v>
      </c>
      <c r="L1566" s="2736"/>
    </row>
    <row r="1567" customFormat="false" ht="15.5" hidden="false" customHeight="false" outlineLevel="0" collapsed="false">
      <c r="A1567" s="2719"/>
      <c r="B1567" s="298" t="str">
        <f aca="false">крыша!A447</f>
        <v>Торцевая планка</v>
      </c>
      <c r="C1567" s="2765" t="str">
        <f aca="false">крыша!B447</f>
        <v>м.п.</v>
      </c>
      <c r="D1567" s="298" t="n">
        <f aca="false">крыша!C447</f>
        <v>0</v>
      </c>
      <c r="E1567" s="298" t="n">
        <f aca="false">крыша!D447</f>
        <v>190</v>
      </c>
      <c r="F1567" s="298"/>
      <c r="G1567" s="122" t="n">
        <f aca="false">IF(F1567&gt;0,D1567*F1567,E1567*D1567)</f>
        <v>0</v>
      </c>
      <c r="H1567" s="85" t="n">
        <f aca="false">D1567*E1567*$H$1550</f>
        <v>0</v>
      </c>
      <c r="I1567" s="2784" t="n">
        <f aca="false">IF(G1567&gt;H1567,G1567,H1567)*$H$1549</f>
        <v>0</v>
      </c>
      <c r="J1567" s="2744"/>
      <c r="K1567" s="226" t="n">
        <f aca="false">D1567-J1567</f>
        <v>0</v>
      </c>
      <c r="L1567" s="2736"/>
    </row>
    <row r="1568" customFormat="false" ht="15.5" hidden="false" customHeight="false" outlineLevel="0" collapsed="false">
      <c r="A1568" s="2719"/>
      <c r="B1568" s="298" t="str">
        <f aca="false">крыша!A448</f>
        <v>Конек</v>
      </c>
      <c r="C1568" s="2765" t="str">
        <f aca="false">крыша!B448</f>
        <v>м.п.</v>
      </c>
      <c r="D1568" s="298" t="n">
        <f aca="false">крыша!C448</f>
        <v>0</v>
      </c>
      <c r="E1568" s="298" t="n">
        <f aca="false">крыша!D448</f>
        <v>200</v>
      </c>
      <c r="F1568" s="298"/>
      <c r="G1568" s="122" t="n">
        <f aca="false">IF(F1568&gt;0,D1568*F1568,E1568*D1568)</f>
        <v>0</v>
      </c>
      <c r="H1568" s="85" t="n">
        <f aca="false">D1568*E1568*$H$1550</f>
        <v>0</v>
      </c>
      <c r="I1568" s="2784" t="n">
        <f aca="false">IF(G1568&gt;H1568,G1568,H1568)*$H$1549</f>
        <v>0</v>
      </c>
      <c r="J1568" s="2744"/>
      <c r="K1568" s="226" t="n">
        <f aca="false">D1568-J1568</f>
        <v>0</v>
      </c>
      <c r="L1568" s="2736"/>
    </row>
    <row r="1569" customFormat="false" ht="15.5" hidden="false" customHeight="false" outlineLevel="0" collapsed="false">
      <c r="A1569" s="2719"/>
      <c r="B1569" s="298" t="str">
        <f aca="false">крыша!A449</f>
        <v>Ендова нижняя</v>
      </c>
      <c r="C1569" s="2765" t="str">
        <f aca="false">крыша!B449</f>
        <v>м.п.</v>
      </c>
      <c r="D1569" s="298" t="n">
        <f aca="false">крыша!C449</f>
        <v>0</v>
      </c>
      <c r="E1569" s="298" t="n">
        <f aca="false">крыша!D449</f>
        <v>160</v>
      </c>
      <c r="F1569" s="298"/>
      <c r="G1569" s="122" t="n">
        <f aca="false">IF(F1569&gt;0,D1569*F1569,E1569*D1569)</f>
        <v>0</v>
      </c>
      <c r="H1569" s="85" t="n">
        <f aca="false">D1569*E1569*$H$1550</f>
        <v>0</v>
      </c>
      <c r="I1569" s="2784" t="n">
        <f aca="false">IF(G1569&gt;H1569,G1569,H1569)*$H$1549</f>
        <v>0</v>
      </c>
      <c r="J1569" s="2744"/>
      <c r="K1569" s="226" t="n">
        <f aca="false">D1569-J1569</f>
        <v>0</v>
      </c>
      <c r="L1569" s="2736"/>
    </row>
    <row r="1570" customFormat="false" ht="15.5" hidden="false" customHeight="false" outlineLevel="0" collapsed="false">
      <c r="A1570" s="2719"/>
      <c r="B1570" s="298" t="str">
        <f aca="false">крыша!A450</f>
        <v>Ендова верхняя</v>
      </c>
      <c r="C1570" s="2765" t="str">
        <f aca="false">крыша!B450</f>
        <v>м.п.</v>
      </c>
      <c r="D1570" s="298" t="n">
        <f aca="false">крыша!C450</f>
        <v>0</v>
      </c>
      <c r="E1570" s="298" t="n">
        <f aca="false">крыша!D450</f>
        <v>190</v>
      </c>
      <c r="F1570" s="298"/>
      <c r="G1570" s="122" t="n">
        <f aca="false">IF(F1570&gt;0,D1570*F1570,E1570*D1570)</f>
        <v>0</v>
      </c>
      <c r="H1570" s="85" t="n">
        <f aca="false">D1570*E1570*$H$1550</f>
        <v>0</v>
      </c>
      <c r="I1570" s="2784" t="n">
        <f aca="false">IF(G1570&gt;H1570,G1570,H1570)*$H$1549</f>
        <v>0</v>
      </c>
      <c r="J1570" s="2744"/>
      <c r="K1570" s="226" t="n">
        <f aca="false">D1570-J1570</f>
        <v>0</v>
      </c>
      <c r="L1570" s="2736"/>
    </row>
    <row r="1571" customFormat="false" ht="15.5" hidden="false" customHeight="false" outlineLevel="0" collapsed="false">
      <c r="A1571" s="2719"/>
      <c r="B1571" s="298" t="str">
        <f aca="false">крыша!A451</f>
        <v>Планка примыкания</v>
      </c>
      <c r="C1571" s="2765" t="str">
        <f aca="false">крыша!B451</f>
        <v>м.п.</v>
      </c>
      <c r="D1571" s="298" t="n">
        <f aca="false">крыша!C451</f>
        <v>0</v>
      </c>
      <c r="E1571" s="298" t="n">
        <f aca="false">крыша!D451</f>
        <v>190</v>
      </c>
      <c r="F1571" s="298"/>
      <c r="G1571" s="122" t="n">
        <f aca="false">IF(F1571&gt;0,D1571*F1571,E1571*D1571)</f>
        <v>0</v>
      </c>
      <c r="H1571" s="85" t="n">
        <f aca="false">D1571*E1571*$H$1550</f>
        <v>0</v>
      </c>
      <c r="I1571" s="2784" t="n">
        <f aca="false">IF(G1571&gt;H1571,G1571,H1571)*$H$1549</f>
        <v>0</v>
      </c>
      <c r="J1571" s="2744"/>
      <c r="K1571" s="226" t="n">
        <f aca="false">D1571-J1571</f>
        <v>0</v>
      </c>
      <c r="L1571" s="2736"/>
    </row>
    <row r="1572" customFormat="false" ht="15.5" hidden="false" customHeight="false" outlineLevel="0" collapsed="false">
      <c r="A1572" s="2719"/>
      <c r="B1572" s="298" t="str">
        <f aca="false">крыша!A452</f>
        <v>Крепеж для ондулина</v>
      </c>
      <c r="C1572" s="2765" t="str">
        <f aca="false">крыша!B452</f>
        <v>шт</v>
      </c>
      <c r="D1572" s="298" t="n">
        <f aca="false">крыша!C452</f>
        <v>0</v>
      </c>
      <c r="E1572" s="298" t="n">
        <f aca="false">крыша!D452</f>
        <v>4.5</v>
      </c>
      <c r="F1572" s="298"/>
      <c r="G1572" s="122" t="n">
        <f aca="false">IF(F1572&gt;0,D1572*F1572,E1572*D1572)</f>
        <v>0</v>
      </c>
      <c r="H1572" s="85" t="n">
        <f aca="false">D1572*E1572*$H$1550</f>
        <v>0</v>
      </c>
      <c r="I1572" s="2784" t="n">
        <f aca="false">IF(G1572&gt;H1572,G1572,H1572)*$H$1549</f>
        <v>0</v>
      </c>
      <c r="J1572" s="2744"/>
      <c r="K1572" s="226" t="n">
        <f aca="false">D1572-J1572</f>
        <v>0</v>
      </c>
      <c r="L1572" s="2736"/>
    </row>
    <row r="1573" customFormat="false" ht="15.5" hidden="false" customHeight="false" outlineLevel="0" collapsed="false">
      <c r="A1573" s="2719"/>
      <c r="B1573" s="298" t="str">
        <f aca="false">крыша!A453</f>
        <v>нет</v>
      </c>
      <c r="C1573" s="2765" t="str">
        <f aca="false">крыша!B453</f>
        <v>м2</v>
      </c>
      <c r="D1573" s="298" t="n">
        <f aca="false">крыша!C453</f>
        <v>273.51054235561</v>
      </c>
      <c r="E1573" s="298" t="n">
        <f aca="false">крыша!D453</f>
        <v>0</v>
      </c>
      <c r="F1573" s="298"/>
      <c r="G1573" s="122" t="n">
        <f aca="false">IF(F1573&gt;0,D1573*F1573,E1573*D1573)</f>
        <v>0</v>
      </c>
      <c r="H1573" s="85" t="n">
        <f aca="false">D1573*E1573*$H$1550</f>
        <v>0</v>
      </c>
      <c r="I1573" s="2784" t="n">
        <f aca="false">IF(G1573&gt;H1573,G1573,H1573)*$H$1549</f>
        <v>0</v>
      </c>
      <c r="J1573" s="2744"/>
      <c r="K1573" s="226" t="n">
        <f aca="false">D1573-J1573</f>
        <v>273.51054235561</v>
      </c>
      <c r="L1573" s="2736"/>
    </row>
    <row r="1574" customFormat="false" ht="15.5" hidden="false" customHeight="false" outlineLevel="0" collapsed="false">
      <c r="A1574" s="2719"/>
      <c r="B1574" s="298" t="str">
        <f aca="false">крыша!A454</f>
        <v>Рядовая черепица</v>
      </c>
      <c r="C1574" s="2765" t="str">
        <f aca="false">крыша!B454</f>
        <v>м2</v>
      </c>
      <c r="D1574" s="298" t="n">
        <f aca="false">крыша!C454</f>
        <v>0</v>
      </c>
      <c r="E1574" s="298" t="n">
        <f aca="false">крыша!D454</f>
        <v>360</v>
      </c>
      <c r="F1574" s="298"/>
      <c r="G1574" s="122" t="n">
        <f aca="false">IF(F1574&gt;0,D1574*F1574,E1574*D1574)</f>
        <v>0</v>
      </c>
      <c r="H1574" s="85" t="n">
        <f aca="false">D1574*E1574*$H$1550</f>
        <v>0</v>
      </c>
      <c r="I1574" s="2784" t="n">
        <f aca="false">IF(G1574&gt;H1574,G1574,H1574)*$H$1549</f>
        <v>0</v>
      </c>
      <c r="J1574" s="2744"/>
      <c r="K1574" s="226" t="n">
        <f aca="false">D1574-J1574</f>
        <v>0</v>
      </c>
      <c r="L1574" s="2736"/>
    </row>
    <row r="1575" customFormat="false" ht="15.5" hidden="false" customHeight="false" outlineLevel="0" collapsed="false">
      <c r="A1575" s="2719"/>
      <c r="B1575" s="298" t="str">
        <f aca="false">крыша!A455</f>
        <v>Металл оцинк защита (карниз)</v>
      </c>
      <c r="C1575" s="2765" t="str">
        <f aca="false">крыша!B455</f>
        <v>м.п.</v>
      </c>
      <c r="D1575" s="298" t="n">
        <f aca="false">крыша!C455</f>
        <v>0</v>
      </c>
      <c r="E1575" s="298" t="n">
        <f aca="false">крыша!D455</f>
        <v>200</v>
      </c>
      <c r="F1575" s="298"/>
      <c r="G1575" s="122" t="n">
        <f aca="false">IF(F1575&gt;0,D1575*F1575,E1575*D1575)</f>
        <v>0</v>
      </c>
      <c r="H1575" s="85" t="n">
        <f aca="false">D1575*E1575*$H$1550</f>
        <v>0</v>
      </c>
      <c r="I1575" s="2784" t="n">
        <f aca="false">IF(G1575&gt;H1575,G1575,H1575)*$H$1549</f>
        <v>0</v>
      </c>
      <c r="J1575" s="2744"/>
      <c r="K1575" s="226" t="n">
        <f aca="false">D1575-J1575</f>
        <v>0</v>
      </c>
      <c r="L1575" s="2736"/>
    </row>
    <row r="1576" customFormat="false" ht="15.5" hidden="false" customHeight="false" outlineLevel="0" collapsed="false">
      <c r="A1576" s="2719"/>
      <c r="B1576" s="298" t="str">
        <f aca="false">крыша!A456</f>
        <v>Подкладочный ковер</v>
      </c>
      <c r="C1576" s="2765" t="str">
        <f aca="false">крыша!B456</f>
        <v>м.п.</v>
      </c>
      <c r="D1576" s="298" t="n">
        <f aca="false">крыша!C456</f>
        <v>0</v>
      </c>
      <c r="E1576" s="298" t="n">
        <f aca="false">крыша!D456</f>
        <v>220</v>
      </c>
      <c r="F1576" s="298"/>
      <c r="G1576" s="122" t="n">
        <f aca="false">IF(F1576&gt;0,D1576*F1576,E1576*D1576)</f>
        <v>0</v>
      </c>
      <c r="H1576" s="85" t="n">
        <f aca="false">D1576*E1576*$H$1550</f>
        <v>0</v>
      </c>
      <c r="I1576" s="2784" t="n">
        <f aca="false">IF(G1576&gt;H1576,G1576,H1576)*$H$1549</f>
        <v>0</v>
      </c>
      <c r="J1576" s="2744"/>
      <c r="K1576" s="226" t="n">
        <f aca="false">D1576-J1576</f>
        <v>0</v>
      </c>
      <c r="L1576" s="2736"/>
    </row>
    <row r="1577" customFormat="false" ht="15.5" hidden="false" customHeight="false" outlineLevel="0" collapsed="false">
      <c r="A1577" s="2719"/>
      <c r="B1577" s="298" t="str">
        <f aca="false">крыша!A457</f>
        <v>Карнизная самоклеющаяся черепица</v>
      </c>
      <c r="C1577" s="2765" t="str">
        <f aca="false">крыша!B457</f>
        <v>м.п.</v>
      </c>
      <c r="D1577" s="298" t="n">
        <f aca="false">крыша!C457</f>
        <v>0</v>
      </c>
      <c r="E1577" s="298" t="n">
        <f aca="false">крыша!D457</f>
        <v>220</v>
      </c>
      <c r="F1577" s="298"/>
      <c r="G1577" s="122" t="n">
        <f aca="false">IF(F1577&gt;0,D1577*F1577,E1577*D1577)</f>
        <v>0</v>
      </c>
      <c r="H1577" s="85" t="n">
        <f aca="false">D1577*E1577*$H$1550</f>
        <v>0</v>
      </c>
      <c r="I1577" s="2784" t="n">
        <f aca="false">IF(G1577&gt;H1577,G1577,H1577)*$H$1549</f>
        <v>0</v>
      </c>
      <c r="J1577" s="2744"/>
      <c r="K1577" s="226" t="n">
        <f aca="false">D1577-J1577</f>
        <v>0</v>
      </c>
      <c r="L1577" s="2736"/>
    </row>
    <row r="1578" customFormat="false" ht="15.5" hidden="false" customHeight="false" outlineLevel="0" collapsed="false">
      <c r="A1578" s="2719"/>
      <c r="B1578" s="298" t="str">
        <f aca="false">крыша!A458</f>
        <v>Спец ковер ендова нижняя</v>
      </c>
      <c r="C1578" s="2765" t="str">
        <f aca="false">крыша!B458</f>
        <v>м.п.</v>
      </c>
      <c r="D1578" s="298" t="n">
        <f aca="false">крыша!C458</f>
        <v>0</v>
      </c>
      <c r="E1578" s="298" t="n">
        <f aca="false">крыша!D458</f>
        <v>200</v>
      </c>
      <c r="F1578" s="298"/>
      <c r="G1578" s="122" t="n">
        <f aca="false">IF(F1578&gt;0,D1578*F1578,E1578*D1578)</f>
        <v>0</v>
      </c>
      <c r="H1578" s="85" t="n">
        <f aca="false">D1578*E1578*$H$1550</f>
        <v>0</v>
      </c>
      <c r="I1578" s="2784" t="n">
        <f aca="false">IF(G1578&gt;H1578,G1578,H1578)*$H$1549</f>
        <v>0</v>
      </c>
      <c r="J1578" s="2744"/>
      <c r="K1578" s="226" t="n">
        <f aca="false">D1578-J1578</f>
        <v>0</v>
      </c>
      <c r="L1578" s="2736"/>
    </row>
    <row r="1579" customFormat="false" ht="15.5" hidden="false" customHeight="false" outlineLevel="0" collapsed="false">
      <c r="A1579" s="2719"/>
      <c r="B1579" s="298" t="str">
        <f aca="false">крыша!A459</f>
        <v>Коньковой элемент</v>
      </c>
      <c r="C1579" s="2765" t="str">
        <f aca="false">крыша!B459</f>
        <v>м.п.</v>
      </c>
      <c r="D1579" s="298" t="n">
        <f aca="false">крыша!C459</f>
        <v>0</v>
      </c>
      <c r="E1579" s="298" t="n">
        <f aca="false">крыша!D459</f>
        <v>250</v>
      </c>
      <c r="F1579" s="298"/>
      <c r="G1579" s="122" t="n">
        <f aca="false">IF(F1579&gt;0,D1579*F1579,E1579*D1579)</f>
        <v>0</v>
      </c>
      <c r="H1579" s="85" t="n">
        <f aca="false">D1579*E1579*$H$1550</f>
        <v>0</v>
      </c>
      <c r="I1579" s="2784" t="n">
        <f aca="false">IF(G1579&gt;H1579,G1579,H1579)*$H$1549</f>
        <v>0</v>
      </c>
      <c r="J1579" s="2744"/>
      <c r="K1579" s="226" t="n">
        <f aca="false">D1579-J1579</f>
        <v>0</v>
      </c>
      <c r="L1579" s="2736"/>
    </row>
    <row r="1580" customFormat="false" ht="15.5" hidden="false" customHeight="false" outlineLevel="0" collapsed="false">
      <c r="A1580" s="2719"/>
      <c r="B1580" s="298" t="str">
        <f aca="false">крыша!A460</f>
        <v>Планка премыкания</v>
      </c>
      <c r="C1580" s="2765" t="str">
        <f aca="false">крыша!B460</f>
        <v>м.п.</v>
      </c>
      <c r="D1580" s="298" t="n">
        <f aca="false">крыша!C460</f>
        <v>0</v>
      </c>
      <c r="E1580" s="298" t="n">
        <f aca="false">крыша!D460</f>
        <v>200</v>
      </c>
      <c r="F1580" s="298"/>
      <c r="G1580" s="122" t="n">
        <f aca="false">IF(F1580&gt;0,D1580*F1580,E1580*D1580)</f>
        <v>0</v>
      </c>
      <c r="H1580" s="85" t="n">
        <f aca="false">D1580*E1580*$H$1550</f>
        <v>0</v>
      </c>
      <c r="I1580" s="2784" t="n">
        <f aca="false">IF(G1580&gt;H1580,G1580,H1580)*$H$1549</f>
        <v>0</v>
      </c>
      <c r="J1580" s="2744"/>
      <c r="K1580" s="226" t="n">
        <f aca="false">D1580-J1580</f>
        <v>0</v>
      </c>
      <c r="L1580" s="2736"/>
    </row>
    <row r="1581" customFormat="false" ht="15.5" hidden="false" customHeight="false" outlineLevel="0" collapsed="false">
      <c r="A1581" s="2719"/>
      <c r="B1581" s="298" t="str">
        <f aca="false">крыша!A461</f>
        <v>Гвозди для крепления подкладочного ковра</v>
      </c>
      <c r="C1581" s="2765" t="str">
        <f aca="false">крыша!B461</f>
        <v>шт</v>
      </c>
      <c r="D1581" s="298" t="n">
        <f aca="false">крыша!C461</f>
        <v>0</v>
      </c>
      <c r="E1581" s="298" t="n">
        <f aca="false">крыша!D461</f>
        <v>0.012</v>
      </c>
      <c r="F1581" s="298"/>
      <c r="G1581" s="122" t="n">
        <f aca="false">IF(F1581&gt;0,D1581*F1581,E1581*D1581)</f>
        <v>0</v>
      </c>
      <c r="H1581" s="85" t="n">
        <f aca="false">D1581*E1581*$H$1550</f>
        <v>0</v>
      </c>
      <c r="I1581" s="2784" t="n">
        <f aca="false">IF(G1581&gt;H1581,G1581,H1581)*$H$1549</f>
        <v>0</v>
      </c>
      <c r="J1581" s="2744"/>
      <c r="K1581" s="226" t="n">
        <f aca="false">D1581-J1581</f>
        <v>0</v>
      </c>
      <c r="L1581" s="2736"/>
    </row>
    <row r="1582" customFormat="false" ht="15.5" hidden="false" customHeight="false" outlineLevel="0" collapsed="false">
      <c r="A1582" s="2719"/>
      <c r="B1582" s="298" t="str">
        <f aca="false">крыша!A462</f>
        <v>Гвозди для крепления черепицы</v>
      </c>
      <c r="C1582" s="2765" t="str">
        <f aca="false">крыша!B462</f>
        <v>шт</v>
      </c>
      <c r="D1582" s="298" t="n">
        <f aca="false">крыша!C462</f>
        <v>0</v>
      </c>
      <c r="E1582" s="298" t="n">
        <f aca="false">крыша!D462</f>
        <v>0.25</v>
      </c>
      <c r="F1582" s="298"/>
      <c r="G1582" s="122" t="n">
        <f aca="false">IF(F1582&gt;0,D1582*F1582,E1582*D1582)</f>
        <v>0</v>
      </c>
      <c r="H1582" s="85" t="n">
        <f aca="false">D1582*E1582*$H$1550</f>
        <v>0</v>
      </c>
      <c r="I1582" s="2784" t="n">
        <f aca="false">IF(G1582&gt;H1582,G1582,H1582)*$H$1549</f>
        <v>0</v>
      </c>
      <c r="J1582" s="2744"/>
      <c r="K1582" s="226" t="n">
        <f aca="false">D1582-J1582</f>
        <v>0</v>
      </c>
      <c r="L1582" s="2736"/>
    </row>
    <row r="1583" customFormat="false" ht="15.5" hidden="false" customHeight="false" outlineLevel="0" collapsed="false">
      <c r="A1583" s="2719"/>
      <c r="B1583" s="298" t="str">
        <f aca="false">крыша!A463</f>
        <v>Клей для монтажа черепицы</v>
      </c>
      <c r="C1583" s="2765" t="str">
        <f aca="false">крыша!B463</f>
        <v>кг</v>
      </c>
      <c r="D1583" s="298" t="n">
        <f aca="false">крыша!C463</f>
        <v>0</v>
      </c>
      <c r="E1583" s="298" t="n">
        <f aca="false">крыша!D463</f>
        <v>250</v>
      </c>
      <c r="F1583" s="298"/>
      <c r="G1583" s="122" t="n">
        <f aca="false">IF(F1583&gt;0,D1583*F1583,E1583*D1583)</f>
        <v>0</v>
      </c>
      <c r="H1583" s="85" t="n">
        <f aca="false">D1583*E1583*$H$1550</f>
        <v>0</v>
      </c>
      <c r="I1583" s="2784" t="n">
        <f aca="false">IF(G1583&gt;H1583,G1583,H1583)*$H$1549</f>
        <v>0</v>
      </c>
      <c r="J1583" s="2744"/>
      <c r="K1583" s="226" t="n">
        <f aca="false">D1583-J1583</f>
        <v>0</v>
      </c>
      <c r="L1583" s="2736"/>
    </row>
    <row r="1584" customFormat="false" ht="15.5" hidden="false" customHeight="false" outlineLevel="0" collapsed="false">
      <c r="A1584" s="2719"/>
      <c r="B1584" s="298" t="str">
        <f aca="false">крыша!A464</f>
        <v>желоб</v>
      </c>
      <c r="C1584" s="2765" t="str">
        <f aca="false">крыша!B464</f>
        <v>м.п</v>
      </c>
      <c r="D1584" s="298" t="n">
        <f aca="false">крыша!C464</f>
        <v>51.6666666666667</v>
      </c>
      <c r="E1584" s="298" t="n">
        <f aca="false">крыша!D464</f>
        <v>300</v>
      </c>
      <c r="F1584" s="298"/>
      <c r="G1584" s="122" t="n">
        <f aca="false">IF(F1584&gt;0,D1584*F1584,E1584*D1584)</f>
        <v>15500</v>
      </c>
      <c r="H1584" s="85" t="n">
        <f aca="false">D1584*E1584*$H$1550</f>
        <v>0</v>
      </c>
      <c r="I1584" s="2784" t="n">
        <f aca="false">IF(G1584&gt;H1584,G1584,H1584)*$H$1549</f>
        <v>0</v>
      </c>
      <c r="J1584" s="2744"/>
      <c r="K1584" s="226" t="n">
        <f aca="false">D1584-J1584</f>
        <v>51.6666666666667</v>
      </c>
      <c r="L1584" s="2736"/>
    </row>
    <row r="1585" customFormat="false" ht="15.5" hidden="false" customHeight="false" outlineLevel="0" collapsed="false">
      <c r="A1585" s="2719"/>
      <c r="B1585" s="298" t="str">
        <f aca="false">крыша!A465</f>
        <v>отвод</v>
      </c>
      <c r="C1585" s="2765" t="str">
        <f aca="false">крыша!B465</f>
        <v>шт</v>
      </c>
      <c r="D1585" s="298" t="n">
        <f aca="false">крыша!C465</f>
        <v>4</v>
      </c>
      <c r="E1585" s="298" t="n">
        <f aca="false">крыша!D465</f>
        <v>250</v>
      </c>
      <c r="F1585" s="298"/>
      <c r="G1585" s="122" t="n">
        <f aca="false">IF(F1585&gt;0,D1585*F1585,E1585*D1585)</f>
        <v>1000</v>
      </c>
      <c r="H1585" s="85" t="n">
        <f aca="false">D1585*E1585*$H$1550</f>
        <v>0</v>
      </c>
      <c r="I1585" s="2784" t="n">
        <f aca="false">IF(G1585&gt;H1585,G1585,H1585)*$H$1549</f>
        <v>0</v>
      </c>
      <c r="J1585" s="2744"/>
      <c r="K1585" s="226" t="n">
        <f aca="false">D1585-J1585</f>
        <v>4</v>
      </c>
      <c r="L1585" s="2736"/>
    </row>
    <row r="1586" customFormat="false" ht="15.5" hidden="false" customHeight="false" outlineLevel="0" collapsed="false">
      <c r="A1586" s="2719"/>
      <c r="B1586" s="298" t="str">
        <f aca="false">крыша!A466</f>
        <v>труба водосточная</v>
      </c>
      <c r="C1586" s="2765" t="str">
        <f aca="false">крыша!B466</f>
        <v>м.п.</v>
      </c>
      <c r="D1586" s="298" t="n">
        <f aca="false">крыша!C466</f>
        <v>62</v>
      </c>
      <c r="E1586" s="298" t="n">
        <f aca="false">крыша!D466</f>
        <v>300</v>
      </c>
      <c r="F1586" s="298"/>
      <c r="G1586" s="122" t="n">
        <f aca="false">IF(F1586&gt;0,D1586*F1586,E1586*D1586)</f>
        <v>18600</v>
      </c>
      <c r="H1586" s="85" t="n">
        <f aca="false">D1586*E1586*$H$1550</f>
        <v>0</v>
      </c>
      <c r="I1586" s="2784" t="n">
        <f aca="false">IF(G1586&gt;H1586,G1586,H1586)*$H$1549</f>
        <v>0</v>
      </c>
      <c r="J1586" s="2744"/>
      <c r="K1586" s="226" t="n">
        <f aca="false">D1586-J1586</f>
        <v>62</v>
      </c>
      <c r="L1586" s="2736"/>
    </row>
    <row r="1587" customFormat="false" ht="15.5" hidden="false" customHeight="false" outlineLevel="0" collapsed="false">
      <c r="A1587" s="2719"/>
      <c r="B1587" s="298" t="str">
        <f aca="false">крыша!A467</f>
        <v>заглушка для желоба</v>
      </c>
      <c r="C1587" s="2765" t="str">
        <f aca="false">крыша!B467</f>
        <v>шт</v>
      </c>
      <c r="D1587" s="298" t="n">
        <f aca="false">крыша!C467</f>
        <v>4</v>
      </c>
      <c r="E1587" s="298" t="n">
        <f aca="false">крыша!D467</f>
        <v>190</v>
      </c>
      <c r="F1587" s="298"/>
      <c r="G1587" s="122" t="n">
        <f aca="false">IF(F1587&gt;0,D1587*F1587,E1587*D1587)</f>
        <v>760</v>
      </c>
      <c r="H1587" s="85" t="n">
        <f aca="false">D1587*E1587*$H$1550</f>
        <v>0</v>
      </c>
      <c r="I1587" s="2784" t="n">
        <f aca="false">IF(G1587&gt;H1587,G1587,H1587)*$H$1549</f>
        <v>0</v>
      </c>
      <c r="J1587" s="2744"/>
      <c r="K1587" s="226" t="n">
        <f aca="false">D1587-J1587</f>
        <v>4</v>
      </c>
      <c r="L1587" s="2736"/>
    </row>
    <row r="1588" customFormat="false" ht="15.5" hidden="false" customHeight="false" outlineLevel="0" collapsed="false">
      <c r="A1588" s="2719"/>
      <c r="B1588" s="298" t="str">
        <f aca="false">крыша!A468</f>
        <v>соеденитель для желоба</v>
      </c>
      <c r="C1588" s="2765" t="str">
        <f aca="false">крыша!B468</f>
        <v>шт</v>
      </c>
      <c r="D1588" s="298" t="n">
        <f aca="false">крыша!C468</f>
        <v>18.2222222222222</v>
      </c>
      <c r="E1588" s="298" t="n">
        <f aca="false">крыша!D468</f>
        <v>180</v>
      </c>
      <c r="F1588" s="298"/>
      <c r="G1588" s="122" t="n">
        <f aca="false">IF(F1588&gt;0,D1588*F1588,E1588*D1588)</f>
        <v>3280</v>
      </c>
      <c r="H1588" s="85" t="n">
        <f aca="false">D1588*E1588*$H$1550</f>
        <v>0</v>
      </c>
      <c r="I1588" s="2784" t="n">
        <f aca="false">IF(G1588&gt;H1588,G1588,H1588)*$H$1549</f>
        <v>0</v>
      </c>
      <c r="J1588" s="2744"/>
      <c r="K1588" s="226" t="n">
        <f aca="false">D1588-J1588</f>
        <v>18.2222222222222</v>
      </c>
      <c r="L1588" s="2736"/>
    </row>
    <row r="1589" customFormat="false" ht="15.5" hidden="false" customHeight="false" outlineLevel="0" collapsed="false">
      <c r="A1589" s="2719"/>
      <c r="B1589" s="298" t="str">
        <f aca="false">крыша!A469</f>
        <v>кронштейн для желоба</v>
      </c>
      <c r="C1589" s="2765" t="str">
        <f aca="false">крыша!B469</f>
        <v>шт</v>
      </c>
      <c r="D1589" s="298" t="n">
        <f aca="false">крыша!C469</f>
        <v>129.166666666667</v>
      </c>
      <c r="E1589" s="298" t="n">
        <f aca="false">крыша!D469</f>
        <v>130</v>
      </c>
      <c r="F1589" s="298"/>
      <c r="G1589" s="122" t="n">
        <f aca="false">IF(F1589&gt;0,D1589*F1589,E1589*D1589)</f>
        <v>16791.6666666667</v>
      </c>
      <c r="H1589" s="85" t="n">
        <f aca="false">D1589*E1589*$H$1550</f>
        <v>0</v>
      </c>
      <c r="I1589" s="2784" t="n">
        <f aca="false">IF(G1589&gt;H1589,G1589,H1589)*$H$1549</f>
        <v>0</v>
      </c>
      <c r="J1589" s="2744"/>
      <c r="K1589" s="226" t="n">
        <f aca="false">D1589-J1589</f>
        <v>129.166666666667</v>
      </c>
      <c r="L1589" s="2736"/>
    </row>
    <row r="1590" customFormat="false" ht="15.5" hidden="false" customHeight="false" outlineLevel="0" collapsed="false">
      <c r="A1590" s="2719"/>
      <c r="B1590" s="298" t="str">
        <f aca="false">крыша!A470</f>
        <v>переход из желоба в трубу</v>
      </c>
      <c r="C1590" s="2765" t="str">
        <f aca="false">крыша!B470</f>
        <v>шт</v>
      </c>
      <c r="D1590" s="298" t="n">
        <f aca="false">крыша!C470</f>
        <v>4</v>
      </c>
      <c r="E1590" s="298" t="n">
        <f aca="false">крыша!D470</f>
        <v>350</v>
      </c>
      <c r="F1590" s="298"/>
      <c r="G1590" s="122" t="n">
        <f aca="false">IF(F1590&gt;0,D1590*F1590,E1590*D1590)</f>
        <v>1400</v>
      </c>
      <c r="H1590" s="85" t="n">
        <f aca="false">D1590*E1590*$H$1550</f>
        <v>0</v>
      </c>
      <c r="I1590" s="2784" t="n">
        <f aca="false">IF(G1590&gt;H1590,G1590,H1590)*$H$1549</f>
        <v>0</v>
      </c>
      <c r="J1590" s="2744"/>
      <c r="K1590" s="226" t="n">
        <f aca="false">D1590-J1590</f>
        <v>4</v>
      </c>
      <c r="L1590" s="2736"/>
    </row>
    <row r="1591" customFormat="false" ht="15.5" hidden="false" customHeight="false" outlineLevel="0" collapsed="false">
      <c r="A1591" s="2719"/>
      <c r="B1591" s="298" t="str">
        <f aca="false">крыша!A471</f>
        <v>лента дельта мульти бэнд</v>
      </c>
      <c r="C1591" s="2765" t="str">
        <f aca="false">крыша!B471</f>
        <v>шт</v>
      </c>
      <c r="D1591" s="298" t="n">
        <f aca="false">крыша!C471</f>
        <v>1</v>
      </c>
      <c r="E1591" s="298" t="n">
        <f aca="false">крыша!D471</f>
        <v>1200</v>
      </c>
      <c r="F1591" s="298"/>
      <c r="G1591" s="122" t="n">
        <f aca="false">IF(F1591&gt;0,D1591*F1591,E1591*D1591)</f>
        <v>1200</v>
      </c>
      <c r="H1591" s="85" t="n">
        <f aca="false">D1591*E1591*$H$1550</f>
        <v>0</v>
      </c>
      <c r="I1591" s="2784" t="n">
        <f aca="false">IF(G1591&gt;H1591,G1591,H1591)*$H$1549</f>
        <v>0</v>
      </c>
      <c r="J1591" s="2744"/>
      <c r="K1591" s="226" t="n">
        <f aca="false">D1591-J1591</f>
        <v>1</v>
      </c>
      <c r="L1591" s="2736"/>
    </row>
    <row r="1592" customFormat="false" ht="15.5" hidden="false" customHeight="false" outlineLevel="0" collapsed="false">
      <c r="A1592" s="2719"/>
      <c r="B1592" s="298" t="str">
        <f aca="false">крыша!A472</f>
        <v>лента дельта sb-60</v>
      </c>
      <c r="C1592" s="2765" t="str">
        <f aca="false">крыша!B472</f>
        <v>шт</v>
      </c>
      <c r="D1592" s="298" t="n">
        <f aca="false">крыша!C472</f>
        <v>15.855683614818</v>
      </c>
      <c r="E1592" s="298" t="n">
        <f aca="false">крыша!D472</f>
        <v>1100</v>
      </c>
      <c r="F1592" s="298"/>
      <c r="G1592" s="122" t="n">
        <f aca="false">IF(F1592&gt;0,D1592*F1592,E1592*D1592)</f>
        <v>17441.2519762998</v>
      </c>
      <c r="H1592" s="85" t="n">
        <f aca="false">D1592*E1592*$H$1550</f>
        <v>0</v>
      </c>
      <c r="I1592" s="2784" t="n">
        <f aca="false">IF(G1592&gt;H1592,G1592,H1592)*$H$1549</f>
        <v>0</v>
      </c>
      <c r="J1592" s="2744"/>
      <c r="K1592" s="226" t="n">
        <f aca="false">D1592-J1592</f>
        <v>15.855683614818</v>
      </c>
      <c r="L1592" s="2736"/>
    </row>
    <row r="1593" customFormat="false" ht="15.5" hidden="false" customHeight="false" outlineLevel="0" collapsed="false">
      <c r="A1593" s="2719"/>
      <c r="B1593" s="298" t="str">
        <f aca="false">крыша!A473</f>
        <v>проходка кровельная, канализационная</v>
      </c>
      <c r="C1593" s="2765" t="str">
        <f aca="false">крыша!B473</f>
        <v>шт</v>
      </c>
      <c r="D1593" s="298" t="n">
        <f aca="false">крыша!C473</f>
        <v>0</v>
      </c>
      <c r="E1593" s="298" t="n">
        <f aca="false">крыша!D473</f>
        <v>3500</v>
      </c>
      <c r="F1593" s="298"/>
      <c r="G1593" s="122" t="n">
        <f aca="false">IF(F1593&gt;0,D1593*F1593,E1593*D1593)</f>
        <v>0</v>
      </c>
      <c r="H1593" s="85" t="n">
        <f aca="false">D1593*E1593*$H$1550</f>
        <v>0</v>
      </c>
      <c r="I1593" s="2784" t="n">
        <f aca="false">IF(G1593&gt;H1593,G1593,H1593)*$H$1549</f>
        <v>0</v>
      </c>
      <c r="J1593" s="2744"/>
      <c r="K1593" s="226" t="n">
        <f aca="false">D1593-J1593</f>
        <v>0</v>
      </c>
      <c r="L1593" s="2736"/>
    </row>
    <row r="1594" customFormat="false" ht="15.5" hidden="false" customHeight="false" outlineLevel="0" collapsed="false">
      <c r="A1594" s="2719"/>
      <c r="B1594" s="298" t="str">
        <f aca="false">крыша!A474</f>
        <v>проходка кровельная, вентиляционная</v>
      </c>
      <c r="C1594" s="2765" t="str">
        <f aca="false">крыша!B474</f>
        <v>шт</v>
      </c>
      <c r="D1594" s="298" t="n">
        <f aca="false">крыша!C474</f>
        <v>0</v>
      </c>
      <c r="E1594" s="298" t="n">
        <f aca="false">крыша!D474</f>
        <v>3500</v>
      </c>
      <c r="F1594" s="298"/>
      <c r="G1594" s="122" t="n">
        <f aca="false">IF(F1594&gt;0,D1594*F1594,E1594*D1594)</f>
        <v>0</v>
      </c>
      <c r="H1594" s="85" t="n">
        <f aca="false">D1594*E1594*$H$1550</f>
        <v>0</v>
      </c>
      <c r="I1594" s="2784" t="n">
        <f aca="false">IF(G1594&gt;H1594,G1594,H1594)*$H$1549</f>
        <v>0</v>
      </c>
      <c r="J1594" s="2744"/>
      <c r="K1594" s="226" t="n">
        <f aca="false">D1594-J1594</f>
        <v>0</v>
      </c>
      <c r="L1594" s="2736"/>
    </row>
    <row r="1595" customFormat="false" ht="15.5" hidden="false" customHeight="false" outlineLevel="0" collapsed="false">
      <c r="A1595" s="2719"/>
      <c r="B1595" s="298" t="str">
        <f aca="false">крыша!A475</f>
        <v>проодка кровельная, труба котел</v>
      </c>
      <c r="C1595" s="2765" t="str">
        <f aca="false">крыша!B475</f>
        <v>шт</v>
      </c>
      <c r="D1595" s="298" t="n">
        <f aca="false">крыша!C475</f>
        <v>0</v>
      </c>
      <c r="E1595" s="298" t="n">
        <f aca="false">крыша!D475</f>
        <v>4500</v>
      </c>
      <c r="F1595" s="298"/>
      <c r="G1595" s="122" t="n">
        <f aca="false">IF(F1595&gt;0,D1595*F1595,E1595*D1595)</f>
        <v>0</v>
      </c>
      <c r="H1595" s="85" t="n">
        <f aca="false">D1595*E1595*$H$1550</f>
        <v>0</v>
      </c>
      <c r="I1595" s="2784" t="n">
        <f aca="false">IF(G1595&gt;H1595,G1595,H1595)*$H$1549</f>
        <v>0</v>
      </c>
      <c r="J1595" s="2744"/>
      <c r="K1595" s="226" t="n">
        <f aca="false">D1595-J1595</f>
        <v>0</v>
      </c>
      <c r="L1595" s="2736"/>
    </row>
    <row r="1596" customFormat="false" ht="15.5" hidden="false" customHeight="false" outlineLevel="0" collapsed="false">
      <c r="A1596" s="2719"/>
      <c r="B1596" s="298" t="str">
        <f aca="false">крыша!A476</f>
        <v>Кровельный саморез</v>
      </c>
      <c r="C1596" s="2765" t="str">
        <f aca="false">крыша!B476</f>
        <v>шт</v>
      </c>
      <c r="D1596" s="298" t="n">
        <f aca="false">крыша!C476</f>
        <v>2854.02305066723</v>
      </c>
      <c r="E1596" s="298" t="n">
        <f aca="false">крыша!D476</f>
        <v>2</v>
      </c>
      <c r="F1596" s="298"/>
      <c r="G1596" s="122" t="n">
        <f aca="false">IF(F1596&gt;0,D1596*F1596,E1596*D1596)</f>
        <v>5708.04610133447</v>
      </c>
      <c r="H1596" s="85" t="n">
        <f aca="false">D1596*E1596*$H$1550</f>
        <v>0</v>
      </c>
      <c r="I1596" s="2784" t="n">
        <f aca="false">IF(G1596&gt;H1596,G1596,H1596)*$H$1549</f>
        <v>0</v>
      </c>
      <c r="J1596" s="2744"/>
      <c r="K1596" s="226" t="n">
        <f aca="false">D1596-J1596</f>
        <v>2854.02305066723</v>
      </c>
      <c r="L1596" s="2736"/>
    </row>
    <row r="1597" customFormat="false" ht="15.5" hidden="false" customHeight="false" outlineLevel="0" collapsed="false">
      <c r="A1597" s="2719"/>
      <c r="B1597" s="298" t="str">
        <f aca="false">крыша!A477</f>
        <v>Гвозди ершоные 3,4 x 60</v>
      </c>
      <c r="C1597" s="2765" t="str">
        <f aca="false">крыша!B477</f>
        <v>кг</v>
      </c>
      <c r="D1597" s="298" t="n">
        <f aca="false">крыша!C477</f>
        <v>23.1889372866713</v>
      </c>
      <c r="E1597" s="298" t="n">
        <f aca="false">крыша!D477</f>
        <v>75.51</v>
      </c>
      <c r="F1597" s="298"/>
      <c r="G1597" s="122" t="n">
        <f aca="false">IF(F1597&gt;0,D1597*F1597,E1597*D1597)</f>
        <v>1750.99665451655</v>
      </c>
      <c r="H1597" s="85" t="n">
        <f aca="false">D1597*E1597*$H$1550</f>
        <v>0</v>
      </c>
      <c r="I1597" s="2784" t="n">
        <f aca="false">IF(G1597&gt;H1597,G1597,H1597)*$H$1549</f>
        <v>0</v>
      </c>
      <c r="J1597" s="2744"/>
      <c r="K1597" s="226" t="n">
        <f aca="false">D1597-J1597</f>
        <v>23.1889372866713</v>
      </c>
      <c r="L1597" s="2736"/>
    </row>
    <row r="1598" customFormat="false" ht="15.5" hidden="false" customHeight="false" outlineLevel="0" collapsed="false">
      <c r="A1598" s="2719"/>
      <c r="B1598" s="298" t="str">
        <f aca="false">крыша!A478</f>
        <v>Гвозди ершоные 2,8 х 90</v>
      </c>
      <c r="C1598" s="2765" t="str">
        <f aca="false">крыша!B478</f>
        <v>кг</v>
      </c>
      <c r="D1598" s="298" t="n">
        <f aca="false">крыша!C478</f>
        <v>31.9698944918615</v>
      </c>
      <c r="E1598" s="298" t="n">
        <f aca="false">крыша!D478</f>
        <v>76.49</v>
      </c>
      <c r="F1598" s="298"/>
      <c r="G1598" s="122" t="n">
        <f aca="false">IF(F1598&gt;0,D1598*F1598,E1598*D1598)</f>
        <v>2445.37722968249</v>
      </c>
      <c r="H1598" s="85" t="n">
        <f aca="false">D1598*E1598*$H$1550</f>
        <v>0</v>
      </c>
      <c r="I1598" s="2784" t="n">
        <f aca="false">IF(G1598&gt;H1598,G1598,H1598)*$H$1549</f>
        <v>0</v>
      </c>
      <c r="J1598" s="2744"/>
      <c r="K1598" s="226" t="n">
        <f aca="false">D1598-J1598</f>
        <v>31.9698944918615</v>
      </c>
      <c r="L1598" s="2736"/>
    </row>
    <row r="1599" customFormat="false" ht="15.5" hidden="false" customHeight="false" outlineLevel="0" collapsed="false">
      <c r="A1599" s="2719"/>
      <c r="B1599" s="298" t="str">
        <f aca="false">крыша!A479</f>
        <v>Пластина соеденительная 100х240х2</v>
      </c>
      <c r="C1599" s="2765" t="str">
        <f aca="false">крыша!B479</f>
        <v>шт</v>
      </c>
      <c r="D1599" s="298" t="n">
        <f aca="false">крыша!C479</f>
        <v>33.9764648888956</v>
      </c>
      <c r="E1599" s="298" t="n">
        <f aca="false">крыша!D479</f>
        <v>31.54</v>
      </c>
      <c r="F1599" s="298"/>
      <c r="G1599" s="122" t="n">
        <f aca="false">IF(F1599&gt;0,D1599*F1599,E1599*D1599)</f>
        <v>1071.61770259577</v>
      </c>
      <c r="H1599" s="85" t="n">
        <f aca="false">D1599*E1599*$H$1550</f>
        <v>0</v>
      </c>
      <c r="I1599" s="2784" t="n">
        <f aca="false">IF(G1599&gt;H1599,G1599,H1599)*$H$1549</f>
        <v>0</v>
      </c>
      <c r="J1599" s="2744"/>
      <c r="K1599" s="226" t="n">
        <f aca="false">D1599-J1599</f>
        <v>33.9764648888956</v>
      </c>
      <c r="L1599" s="2736"/>
    </row>
    <row r="1600" customFormat="false" ht="15.5" hidden="false" customHeight="false" outlineLevel="0" collapsed="false">
      <c r="A1600" s="2719"/>
      <c r="B1600" s="298" t="str">
        <f aca="false">крыша!A480</f>
        <v>Уголок усиленный 90х70х55х2,5</v>
      </c>
      <c r="C1600" s="2765" t="str">
        <f aca="false">крыша!B480</f>
        <v>шт</v>
      </c>
      <c r="D1600" s="298" t="n">
        <f aca="false">крыша!C480</f>
        <v>475.670508444539</v>
      </c>
      <c r="E1600" s="298" t="n">
        <f aca="false">крыша!D480</f>
        <v>30</v>
      </c>
      <c r="F1600" s="298"/>
      <c r="G1600" s="122" t="n">
        <f aca="false">IF(F1600&gt;0,D1600*F1600,E1600*D1600)</f>
        <v>14270.1152533362</v>
      </c>
      <c r="H1600" s="85" t="n">
        <f aca="false">D1600*E1600*$H$1550</f>
        <v>0</v>
      </c>
      <c r="I1600" s="2784" t="n">
        <f aca="false">IF(G1600&gt;H1600,G1600,H1600)*$H$1549</f>
        <v>0</v>
      </c>
      <c r="J1600" s="2744"/>
      <c r="K1600" s="226" t="n">
        <f aca="false">D1600-J1600</f>
        <v>475.670508444539</v>
      </c>
      <c r="L1600" s="2736"/>
    </row>
    <row r="1601" customFormat="false" ht="15.5" hidden="false" customHeight="false" outlineLevel="0" collapsed="false">
      <c r="A1601" s="2719"/>
      <c r="B1601" s="2748" t="s">
        <v>4640</v>
      </c>
      <c r="C1601" s="2748"/>
      <c r="D1601" s="2748"/>
      <c r="E1601" s="2748"/>
      <c r="F1601" s="2748"/>
      <c r="G1601" s="2210" t="n">
        <f aca="false">SUM(G1551:G1600)*H1549</f>
        <v>0</v>
      </c>
      <c r="H1601" s="2210" t="n">
        <f aca="false">SUM(H1551:H1600)</f>
        <v>0</v>
      </c>
      <c r="I1601" s="2784" t="n">
        <f aca="false">IF(G1601&gt;H1601,G1601,H1601)*$H$1549</f>
        <v>0</v>
      </c>
      <c r="J1601" s="2744"/>
      <c r="K1601" s="226" t="n">
        <f aca="false">D1601-J1601</f>
        <v>0</v>
      </c>
      <c r="L1601" s="2736"/>
    </row>
    <row r="1602" customFormat="false" ht="15.5" hidden="false" customHeight="false" outlineLevel="0" collapsed="false">
      <c r="A1602" s="2719"/>
      <c r="B1602" s="2750" t="s">
        <v>1409</v>
      </c>
      <c r="C1602" s="2750"/>
      <c r="D1602" s="2750"/>
      <c r="E1602" s="2750"/>
      <c r="F1602" s="2750"/>
      <c r="G1602" s="905"/>
      <c r="H1602" s="2766" t="n">
        <f aca="false">H1549</f>
        <v>0</v>
      </c>
      <c r="I1602" s="2818" t="n">
        <f aca="false">H1602</f>
        <v>0</v>
      </c>
      <c r="J1602" s="2752"/>
      <c r="K1602" s="2753"/>
    </row>
    <row r="1603" customFormat="false" ht="15.5" hidden="false" customHeight="false" outlineLevel="0" collapsed="false">
      <c r="A1603" s="2712"/>
      <c r="B1603" s="2648" t="str">
        <f aca="false">крыша!G432</f>
        <v>монтаж мауэрлат</v>
      </c>
      <c r="C1603" s="2765" t="str">
        <f aca="false">крыша!I432</f>
        <v>м.п.</v>
      </c>
      <c r="D1603" s="298" t="n">
        <f aca="false">крыша!J432</f>
        <v>139.092651273109</v>
      </c>
      <c r="E1603" s="177" t="n">
        <f aca="false">крыша!K432</f>
        <v>250</v>
      </c>
      <c r="F1603" s="177"/>
      <c r="G1603" s="122" t="n">
        <f aca="false">IF(F1603&gt;0,D1603*F1603,E1603*D1603)</f>
        <v>34773.1628182773</v>
      </c>
      <c r="H1603" s="2210" t="n">
        <f aca="false">D1603*E1603*$H$1602</f>
        <v>0</v>
      </c>
      <c r="I1603" s="2718" t="n">
        <f aca="false">IF(G1603&gt;H1603,G1603,H1603)*$H$1549</f>
        <v>0</v>
      </c>
      <c r="J1603" s="2712"/>
      <c r="K1603" s="2719"/>
    </row>
    <row r="1604" customFormat="false" ht="15.5" hidden="false" customHeight="false" outlineLevel="0" collapsed="false">
      <c r="A1604" s="2719"/>
      <c r="B1604" s="2648" t="str">
        <f aca="false">крыша!G433</f>
        <v>монтаж стропил</v>
      </c>
      <c r="C1604" s="2765" t="str">
        <f aca="false">крыша!I433</f>
        <v>м2</v>
      </c>
      <c r="D1604" s="298" t="n">
        <f aca="false">крыша!J433</f>
        <v>237.835254222269</v>
      </c>
      <c r="E1604" s="177" t="n">
        <f aca="false">крыша!K433</f>
        <v>450</v>
      </c>
      <c r="F1604" s="177"/>
      <c r="G1604" s="122" t="n">
        <f aca="false">IF(F1604&gt;0,D1604*F1604,E1604*D1604)</f>
        <v>107025.864400021</v>
      </c>
      <c r="H1604" s="2210" t="n">
        <f aca="false">D1604*E1604*$H$1602</f>
        <v>0</v>
      </c>
      <c r="I1604" s="2718" t="n">
        <f aca="false">IF(G1604&gt;H1604,G1604,H1604)*$H$1549</f>
        <v>0</v>
      </c>
      <c r="J1604" s="2712"/>
      <c r="K1604" s="2719"/>
    </row>
    <row r="1605" customFormat="false" ht="15.5" hidden="false" customHeight="false" outlineLevel="0" collapsed="false">
      <c r="A1605" s="2719"/>
      <c r="B1605" s="2648" t="str">
        <f aca="false">крыша!G434</f>
        <v>обрешетка</v>
      </c>
      <c r="C1605" s="2765" t="str">
        <f aca="false">крыша!I434</f>
        <v>м2</v>
      </c>
      <c r="D1605" s="298" t="n">
        <f aca="false">крыша!J434</f>
        <v>237.835254222269</v>
      </c>
      <c r="E1605" s="177" t="n">
        <f aca="false">крыша!K434</f>
        <v>100</v>
      </c>
      <c r="F1605" s="177"/>
      <c r="G1605" s="122" t="n">
        <f aca="false">IF(F1605&gt;0,D1605*F1605,E1605*D1605)</f>
        <v>23783.5254222269</v>
      </c>
      <c r="H1605" s="2210" t="n">
        <f aca="false">D1605*E1605*$H$1602</f>
        <v>0</v>
      </c>
      <c r="I1605" s="2718" t="n">
        <f aca="false">IF(G1605&gt;H1605,G1605,H1605)*$H$1549</f>
        <v>0</v>
      </c>
      <c r="J1605" s="2712"/>
      <c r="K1605" s="2719"/>
    </row>
    <row r="1606" customFormat="false" ht="15.5" hidden="false" customHeight="false" outlineLevel="0" collapsed="false">
      <c r="A1606" s="2719"/>
      <c r="B1606" s="2648" t="str">
        <f aca="false">крыша!G435</f>
        <v>контробеш</v>
      </c>
      <c r="C1606" s="2765" t="str">
        <f aca="false">крыша!I435</f>
        <v>м2</v>
      </c>
      <c r="D1606" s="298" t="n">
        <f aca="false">крыша!J435</f>
        <v>237.835254222269</v>
      </c>
      <c r="E1606" s="177" t="n">
        <f aca="false">крыша!K435</f>
        <v>100</v>
      </c>
      <c r="F1606" s="177"/>
      <c r="G1606" s="122" t="n">
        <f aca="false">IF(F1606&gt;0,D1606*F1606,E1606*D1606)</f>
        <v>23783.5254222269</v>
      </c>
      <c r="H1606" s="2210" t="n">
        <f aca="false">D1606*E1606*$H$1602</f>
        <v>0</v>
      </c>
      <c r="I1606" s="2718" t="n">
        <f aca="false">IF(G1606&gt;H1606,G1606,H1606)*$H$1549</f>
        <v>0</v>
      </c>
      <c r="J1606" s="2712"/>
      <c r="K1606" s="2719"/>
    </row>
    <row r="1607" customFormat="false" ht="15.5" hidden="false" customHeight="false" outlineLevel="0" collapsed="false">
      <c r="A1607" s="2719"/>
      <c r="B1607" s="2648" t="str">
        <f aca="false">крыша!G436</f>
        <v>мембрана</v>
      </c>
      <c r="C1607" s="2765" t="str">
        <f aca="false">крыша!I436</f>
        <v>м2</v>
      </c>
      <c r="D1607" s="298" t="n">
        <f aca="false">крыша!J436</f>
        <v>237.835254222269</v>
      </c>
      <c r="E1607" s="177" t="n">
        <f aca="false">крыша!K436</f>
        <v>100</v>
      </c>
      <c r="F1607" s="177"/>
      <c r="G1607" s="122" t="n">
        <f aca="false">IF(F1607&gt;0,D1607*F1607,E1607*D1607)</f>
        <v>23783.5254222269</v>
      </c>
      <c r="H1607" s="2210" t="n">
        <f aca="false">D1607*E1607*$H$1602</f>
        <v>0</v>
      </c>
      <c r="I1607" s="2718" t="n">
        <f aca="false">IF(G1607&gt;H1607,G1607,H1607)*$H$1549</f>
        <v>0</v>
      </c>
      <c r="J1607" s="2712"/>
      <c r="K1607" s="2719"/>
    </row>
    <row r="1608" customFormat="false" ht="15.5" hidden="false" customHeight="false" outlineLevel="0" collapsed="false">
      <c r="A1608" s="2719"/>
      <c r="B1608" s="2648" t="str">
        <f aca="false">крыша!G437</f>
        <v>пароизоляц</v>
      </c>
      <c r="C1608" s="2765" t="str">
        <f aca="false">крыша!I437</f>
        <v>м2</v>
      </c>
      <c r="D1608" s="298" t="n">
        <f aca="false">крыша!J437</f>
        <v>237.835254222269</v>
      </c>
      <c r="E1608" s="177" t="n">
        <f aca="false">крыша!K437</f>
        <v>100</v>
      </c>
      <c r="F1608" s="177"/>
      <c r="G1608" s="122" t="n">
        <f aca="false">IF(F1608&gt;0,D1608*F1608,E1608*D1608)</f>
        <v>23783.5254222269</v>
      </c>
      <c r="H1608" s="2210" t="n">
        <f aca="false">D1608*E1608*$H$1602</f>
        <v>0</v>
      </c>
      <c r="I1608" s="2718" t="n">
        <f aca="false">IF(G1608&gt;H1608,G1608,H1608)*$H$1549</f>
        <v>0</v>
      </c>
      <c r="J1608" s="2712"/>
      <c r="K1608" s="2719"/>
    </row>
    <row r="1609" customFormat="false" ht="15.5" hidden="false" customHeight="false" outlineLevel="0" collapsed="false">
      <c r="A1609" s="2719"/>
      <c r="B1609" s="2648" t="str">
        <f aca="false">крыша!G438</f>
        <v>утеплитель</v>
      </c>
      <c r="C1609" s="2765" t="str">
        <f aca="false">крыша!I438</f>
        <v>м2</v>
      </c>
      <c r="D1609" s="298" t="n">
        <f aca="false">крыша!J438</f>
        <v>237.835254222269</v>
      </c>
      <c r="E1609" s="177" t="n">
        <f aca="false">крыша!K438</f>
        <v>200</v>
      </c>
      <c r="F1609" s="177"/>
      <c r="G1609" s="122" t="n">
        <f aca="false">IF(F1609&gt;0,D1609*F1609,E1609*D1609)</f>
        <v>47567.0508444539</v>
      </c>
      <c r="H1609" s="2210" t="n">
        <f aca="false">D1609*E1609*$H$1602</f>
        <v>0</v>
      </c>
      <c r="I1609" s="2718" t="n">
        <f aca="false">IF(G1609&gt;H1609,G1609,H1609)*$H$1549</f>
        <v>0</v>
      </c>
      <c r="J1609" s="2712"/>
      <c r="K1609" s="2719"/>
    </row>
    <row r="1610" customFormat="false" ht="15.5" hidden="false" customHeight="false" outlineLevel="0" collapsed="false">
      <c r="A1610" s="2719"/>
      <c r="B1610" s="2648" t="str">
        <f aca="false">крыша!G439</f>
        <v>Монтаж металлочерепицы</v>
      </c>
      <c r="C1610" s="2765" t="str">
        <f aca="false">крыша!I439</f>
        <v>м2</v>
      </c>
      <c r="D1610" s="298" t="n">
        <f aca="false">крыша!J439</f>
        <v>237.835254222269</v>
      </c>
      <c r="E1610" s="177" t="n">
        <f aca="false">крыша!K439</f>
        <v>300</v>
      </c>
      <c r="F1610" s="177"/>
      <c r="G1610" s="122" t="n">
        <f aca="false">IF(F1610&gt;0,D1610*F1610,E1610*D1610)</f>
        <v>71350.5762666808</v>
      </c>
      <c r="H1610" s="2210" t="n">
        <f aca="false">D1610*E1610*$H$1602</f>
        <v>0</v>
      </c>
      <c r="I1610" s="2718" t="n">
        <f aca="false">IF(G1610&gt;H1610,G1610,H1610)*$H$1549</f>
        <v>0</v>
      </c>
      <c r="J1610" s="2712"/>
      <c r="K1610" s="2719"/>
    </row>
    <row r="1611" customFormat="false" ht="15.5" hidden="false" customHeight="false" outlineLevel="0" collapsed="false">
      <c r="A1611" s="2719"/>
      <c r="B1611" s="2648" t="str">
        <f aca="false">крыша!G440</f>
        <v>ендова верхняя планка</v>
      </c>
      <c r="C1611" s="2765" t="str">
        <f aca="false">крыша!I440</f>
        <v>м.п.</v>
      </c>
      <c r="D1611" s="298" t="n">
        <f aca="false">крыша!J440</f>
        <v>0</v>
      </c>
      <c r="E1611" s="177" t="n">
        <f aca="false">крыша!K440</f>
        <v>100</v>
      </c>
      <c r="F1611" s="177"/>
      <c r="G1611" s="122" t="n">
        <f aca="false">IF(F1611&gt;0,D1611*F1611,E1611*D1611)</f>
        <v>0</v>
      </c>
      <c r="H1611" s="2210" t="n">
        <f aca="false">D1611*E1611*$H$1602</f>
        <v>0</v>
      </c>
      <c r="I1611" s="2718" t="n">
        <f aca="false">IF(G1611&gt;H1611,G1611,H1611)*$H$1549</f>
        <v>0</v>
      </c>
      <c r="J1611" s="2712"/>
      <c r="K1611" s="2719"/>
    </row>
    <row r="1612" customFormat="false" ht="15.5" hidden="false" customHeight="false" outlineLevel="0" collapsed="false">
      <c r="A1612" s="2719"/>
      <c r="B1612" s="2648" t="str">
        <f aca="false">крыша!G441</f>
        <v>капельник планка</v>
      </c>
      <c r="C1612" s="2765" t="str">
        <f aca="false">крыша!I441</f>
        <v>м.п.</v>
      </c>
      <c r="D1612" s="298" t="n">
        <f aca="false">крыша!J441</f>
        <v>62</v>
      </c>
      <c r="E1612" s="177" t="n">
        <f aca="false">крыша!K441</f>
        <v>100</v>
      </c>
      <c r="F1612" s="177"/>
      <c r="G1612" s="122" t="n">
        <f aca="false">IF(F1612&gt;0,D1612*F1612,E1612*D1612)</f>
        <v>6200</v>
      </c>
      <c r="H1612" s="2210" t="n">
        <f aca="false">D1612*E1612*$H$1602</f>
        <v>0</v>
      </c>
      <c r="I1612" s="2718" t="n">
        <f aca="false">IF(G1612&gt;H1612,G1612,H1612)*$H$1549</f>
        <v>0</v>
      </c>
      <c r="J1612" s="2712"/>
      <c r="K1612" s="2719"/>
    </row>
    <row r="1613" customFormat="false" ht="15.5" hidden="false" customHeight="false" outlineLevel="0" collapsed="false">
      <c r="A1613" s="2719"/>
      <c r="B1613" s="2648" t="str">
        <f aca="false">крыша!G442</f>
        <v>желоб водосточный</v>
      </c>
      <c r="C1613" s="2765" t="str">
        <f aca="false">крыша!I442</f>
        <v>м.п.</v>
      </c>
      <c r="D1613" s="298" t="n">
        <f aca="false">крыша!J442</f>
        <v>51.6666666666667</v>
      </c>
      <c r="E1613" s="177" t="n">
        <f aca="false">крыша!K442</f>
        <v>300</v>
      </c>
      <c r="F1613" s="177"/>
      <c r="G1613" s="122" t="n">
        <f aca="false">IF(F1613&gt;0,D1613*F1613,E1613*D1613)</f>
        <v>15500</v>
      </c>
      <c r="H1613" s="2210" t="n">
        <f aca="false">D1613*E1613*$H$1602</f>
        <v>0</v>
      </c>
      <c r="I1613" s="2718" t="n">
        <f aca="false">IF(G1613&gt;H1613,G1613,H1613)*$H$1549</f>
        <v>0</v>
      </c>
      <c r="J1613" s="2712"/>
      <c r="K1613" s="2719"/>
    </row>
    <row r="1614" customFormat="false" ht="15.5" hidden="false" customHeight="false" outlineLevel="0" collapsed="false">
      <c r="A1614" s="2719"/>
      <c r="B1614" s="2648" t="str">
        <f aca="false">крыша!G443</f>
        <v>труба водосточная</v>
      </c>
      <c r="C1614" s="2765" t="str">
        <f aca="false">крыша!I443</f>
        <v>м.п.</v>
      </c>
      <c r="D1614" s="298" t="n">
        <f aca="false">крыша!J443</f>
        <v>62</v>
      </c>
      <c r="E1614" s="177" t="n">
        <f aca="false">крыша!K443</f>
        <v>300</v>
      </c>
      <c r="F1614" s="177"/>
      <c r="G1614" s="122" t="n">
        <f aca="false">IF(F1614&gt;0,D1614*F1614,E1614*D1614)</f>
        <v>18600</v>
      </c>
      <c r="H1614" s="2210" t="n">
        <f aca="false">D1614*E1614*$H$1602</f>
        <v>0</v>
      </c>
      <c r="I1614" s="2718" t="n">
        <f aca="false">IF(G1614&gt;H1614,G1614,H1614)*$H$1549</f>
        <v>0</v>
      </c>
      <c r="J1614" s="2712"/>
      <c r="K1614" s="2719"/>
    </row>
    <row r="1615" customFormat="false" ht="15.5" hidden="false" customHeight="false" outlineLevel="0" collapsed="false">
      <c r="A1615" s="2719"/>
      <c r="B1615" s="2648" t="str">
        <f aca="false">крыша!G444</f>
        <v>карнизная планка</v>
      </c>
      <c r="C1615" s="2765" t="str">
        <f aca="false">крыша!I444</f>
        <v>м.п.</v>
      </c>
      <c r="D1615" s="298" t="n">
        <f aca="false">крыша!J444</f>
        <v>26.9072480941474</v>
      </c>
      <c r="E1615" s="177" t="n">
        <f aca="false">крыша!K444</f>
        <v>300</v>
      </c>
      <c r="F1615" s="177"/>
      <c r="G1615" s="122" t="n">
        <f aca="false">IF(F1615&gt;0,D1615*F1615,E1615*D1615)</f>
        <v>8072.17442824423</v>
      </c>
      <c r="H1615" s="2210" t="n">
        <f aca="false">D1615*E1615*$H$1602</f>
        <v>0</v>
      </c>
      <c r="I1615" s="2718" t="n">
        <f aca="false">IF(G1615&gt;H1615,G1615,H1615)*$H$1549</f>
        <v>0</v>
      </c>
      <c r="J1615" s="2712"/>
      <c r="K1615" s="2719"/>
    </row>
    <row r="1616" customFormat="false" ht="15.5" hidden="false" customHeight="false" outlineLevel="0" collapsed="false">
      <c r="A1616" s="2719"/>
      <c r="B1616" s="2648" t="str">
        <f aca="false">крыша!G445</f>
        <v>конек</v>
      </c>
      <c r="C1616" s="2765" t="str">
        <f aca="false">крыша!I445</f>
        <v>м.п.</v>
      </c>
      <c r="D1616" s="298" t="n">
        <f aca="false">крыша!J445</f>
        <v>6</v>
      </c>
      <c r="E1616" s="177" t="n">
        <f aca="false">крыша!K445</f>
        <v>300</v>
      </c>
      <c r="F1616" s="177"/>
      <c r="G1616" s="122" t="n">
        <f aca="false">IF(F1616&gt;0,D1616*F1616,E1616*D1616)</f>
        <v>1800</v>
      </c>
      <c r="H1616" s="2210" t="n">
        <f aca="false">D1616*E1616*$H$1602</f>
        <v>0</v>
      </c>
      <c r="I1616" s="2718" t="n">
        <f aca="false">IF(G1616&gt;H1616,G1616,H1616)*$H$1549</f>
        <v>0</v>
      </c>
      <c r="J1616" s="2712"/>
      <c r="K1616" s="2719"/>
    </row>
    <row r="1617" customFormat="false" ht="15.5" hidden="false" customHeight="false" outlineLevel="0" collapsed="false">
      <c r="A1617" s="2719"/>
      <c r="B1617" s="2648" t="str">
        <f aca="false">крыша!G446</f>
        <v>Монтаж ондулина</v>
      </c>
      <c r="C1617" s="2765" t="str">
        <f aca="false">крыша!I446</f>
        <v>м2</v>
      </c>
      <c r="D1617" s="298" t="n">
        <f aca="false">крыша!J446</f>
        <v>0</v>
      </c>
      <c r="E1617" s="177" t="n">
        <f aca="false">крыша!K446</f>
        <v>300</v>
      </c>
      <c r="F1617" s="177"/>
      <c r="G1617" s="122" t="n">
        <f aca="false">IF(F1617&gt;0,D1617*F1617,E1617*D1617)</f>
        <v>0</v>
      </c>
      <c r="H1617" s="2210" t="n">
        <f aca="false">D1617*E1617*$H$1602</f>
        <v>0</v>
      </c>
      <c r="I1617" s="2718" t="n">
        <f aca="false">IF(G1617&gt;H1617,G1617,H1617)*$H$1549</f>
        <v>0</v>
      </c>
      <c r="J1617" s="2712"/>
      <c r="K1617" s="2719"/>
    </row>
    <row r="1618" customFormat="false" ht="15.5" hidden="false" customHeight="false" outlineLevel="0" collapsed="false">
      <c r="A1618" s="2719"/>
      <c r="B1618" s="2648" t="str">
        <f aca="false">крыша!G447</f>
        <v>Монтаж фанеры/osb</v>
      </c>
      <c r="C1618" s="2765" t="str">
        <f aca="false">крыша!I447</f>
        <v>м2</v>
      </c>
      <c r="D1618" s="298" t="n">
        <f aca="false">крыша!J447</f>
        <v>0</v>
      </c>
      <c r="E1618" s="177" t="n">
        <f aca="false">крыша!K447</f>
        <v>200</v>
      </c>
      <c r="F1618" s="177"/>
      <c r="G1618" s="122" t="n">
        <f aca="false">IF(F1618&gt;0,D1618*F1618,E1618*D1618)</f>
        <v>0</v>
      </c>
      <c r="H1618" s="2210" t="n">
        <f aca="false">D1618*E1618*$H$1602</f>
        <v>0</v>
      </c>
      <c r="I1618" s="2718" t="n">
        <f aca="false">IF(G1618&gt;H1618,G1618,H1618)*$H$1549</f>
        <v>0</v>
      </c>
      <c r="J1618" s="2712"/>
      <c r="K1618" s="2719"/>
    </row>
    <row r="1619" customFormat="false" ht="15.5" hidden="false" customHeight="false" outlineLevel="0" collapsed="false">
      <c r="A1619" s="2719"/>
      <c r="B1619" s="2648" t="str">
        <f aca="false">крыша!G448</f>
        <v>монтаж подкладочного ковра</v>
      </c>
      <c r="C1619" s="2765" t="str">
        <f aca="false">крыша!I448</f>
        <v>м2</v>
      </c>
      <c r="D1619" s="298" t="n">
        <f aca="false">крыша!J448</f>
        <v>0</v>
      </c>
      <c r="E1619" s="177" t="n">
        <f aca="false">крыша!K448</f>
        <v>150</v>
      </c>
      <c r="F1619" s="177"/>
      <c r="G1619" s="122" t="n">
        <f aca="false">IF(F1619&gt;0,D1619*F1619,E1619*D1619)</f>
        <v>0</v>
      </c>
      <c r="H1619" s="2210" t="n">
        <f aca="false">D1619*E1619*$H$1602</f>
        <v>0</v>
      </c>
      <c r="I1619" s="2718" t="n">
        <f aca="false">IF(G1619&gt;H1619,G1619,H1619)*$H$1549</f>
        <v>0</v>
      </c>
      <c r="J1619" s="2712"/>
      <c r="K1619" s="2719"/>
    </row>
    <row r="1620" customFormat="false" ht="15.5" hidden="false" customHeight="false" outlineLevel="0" collapsed="false">
      <c r="A1620" s="2719"/>
      <c r="B1620" s="2648" t="str">
        <f aca="false">крыша!G449</f>
        <v>Монтаж мягкой кровли</v>
      </c>
      <c r="C1620" s="2765" t="str">
        <f aca="false">крыша!I449</f>
        <v>м2</v>
      </c>
      <c r="D1620" s="298" t="n">
        <f aca="false">крыша!J449</f>
        <v>0</v>
      </c>
      <c r="E1620" s="177" t="n">
        <f aca="false">крыша!K449</f>
        <v>350</v>
      </c>
      <c r="F1620" s="177"/>
      <c r="G1620" s="122" t="n">
        <f aca="false">IF(F1620&gt;0,D1620*F1620,E1620*D1620)</f>
        <v>0</v>
      </c>
      <c r="H1620" s="2210" t="n">
        <f aca="false">D1620*E1620*$H$1602</f>
        <v>0</v>
      </c>
      <c r="I1620" s="2718" t="n">
        <f aca="false">IF(G1620&gt;H1620,G1620,H1620)*$H$1549</f>
        <v>0</v>
      </c>
      <c r="J1620" s="2712"/>
      <c r="K1620" s="2719"/>
    </row>
    <row r="1621" customFormat="false" ht="15.5" hidden="false" customHeight="false" outlineLevel="0" collapsed="false">
      <c r="A1621" s="2719"/>
      <c r="B1621" s="2748" t="s">
        <v>4641</v>
      </c>
      <c r="C1621" s="2748"/>
      <c r="D1621" s="2748"/>
      <c r="E1621" s="2748"/>
      <c r="F1621" s="2748"/>
      <c r="G1621" s="2210" t="n">
        <f aca="false">SUM(G1604:G1620)*H1602</f>
        <v>0</v>
      </c>
      <c r="H1621" s="2210" t="n">
        <f aca="false">SUM(H1604:H1620)</f>
        <v>0</v>
      </c>
      <c r="I1621" s="2718" t="n">
        <f aca="false">IF(G1621&gt;H1621,G1621,H1621)*$H$1549</f>
        <v>0</v>
      </c>
      <c r="J1621" s="2712"/>
      <c r="K1621" s="2719"/>
    </row>
    <row r="1622" customFormat="false" ht="21" hidden="false" customHeight="false" outlineLevel="0" collapsed="false">
      <c r="A1622" s="2719"/>
      <c r="B1622" s="2762" t="s">
        <v>4157</v>
      </c>
      <c r="C1622" s="2762"/>
      <c r="D1622" s="2762"/>
      <c r="E1622" s="2762"/>
      <c r="F1622" s="2762"/>
      <c r="G1622" s="905"/>
      <c r="H1622" s="2774" t="n">
        <f aca="false">дома!G1202</f>
        <v>0</v>
      </c>
      <c r="I1622" s="2818" t="n">
        <f aca="false">H1622</f>
        <v>0</v>
      </c>
      <c r="J1622" s="2712"/>
      <c r="K1622" s="2719"/>
    </row>
    <row r="1623" customFormat="false" ht="15.5" hidden="false" customHeight="false" outlineLevel="0" collapsed="false">
      <c r="A1623" s="2712"/>
      <c r="B1623" s="2775" t="s">
        <v>2720</v>
      </c>
      <c r="C1623" s="2775"/>
      <c r="D1623" s="2775"/>
      <c r="E1623" s="2775"/>
      <c r="F1623" s="2775"/>
      <c r="G1623" s="905"/>
      <c r="H1623" s="2776" t="n">
        <f aca="false">H1622</f>
        <v>0</v>
      </c>
      <c r="I1623" s="2818" t="n">
        <f aca="false">H1623</f>
        <v>0</v>
      </c>
      <c r="J1623" s="2732"/>
      <c r="K1623" s="2733"/>
    </row>
    <row r="1624" customFormat="false" ht="15.5" hidden="false" customHeight="false" outlineLevel="0" collapsed="false">
      <c r="A1624" s="2712"/>
      <c r="B1624" s="298" t="str">
        <f aca="false">крыша!A508</f>
        <v>Доска сухая, 200*50мм</v>
      </c>
      <c r="C1624" s="2765" t="str">
        <f aca="false">крыша!B508</f>
        <v>м3</v>
      </c>
      <c r="D1624" s="298" t="n">
        <f aca="false">крыша!C508</f>
        <v>1.22337146290992</v>
      </c>
      <c r="E1624" s="298" t="n">
        <f aca="false">крыша!D508</f>
        <v>9000</v>
      </c>
      <c r="F1624" s="298"/>
      <c r="G1624" s="122" t="n">
        <f aca="false">IF(F1624&gt;0,D1624*F1624,E1624*D1624)</f>
        <v>11010.3431661892</v>
      </c>
      <c r="H1624" s="85" t="n">
        <f aca="false">D1624*E1624*$H$1623</f>
        <v>0</v>
      </c>
      <c r="I1624" s="2784" t="n">
        <f aca="false">IF(G1624&gt;H1624,G1624,H1624)*$H$1622</f>
        <v>0</v>
      </c>
      <c r="J1624" s="2744"/>
      <c r="K1624" s="226" t="n">
        <f aca="false">D1624-J1624</f>
        <v>1.22337146290992</v>
      </c>
      <c r="L1624" s="2736"/>
    </row>
    <row r="1625" customFormat="false" ht="15.5" hidden="false" customHeight="false" outlineLevel="0" collapsed="false">
      <c r="A1625" s="2719"/>
      <c r="B1625" s="298" t="str">
        <f aca="false">крыша!A509</f>
        <v>бугель, доска</v>
      </c>
      <c r="C1625" s="2765" t="str">
        <f aca="false">крыша!B509</f>
        <v>м3</v>
      </c>
      <c r="D1625" s="298" t="n">
        <f aca="false">крыша!C509</f>
        <v>0.297</v>
      </c>
      <c r="E1625" s="298" t="n">
        <f aca="false">крыша!D509</f>
        <v>9000</v>
      </c>
      <c r="F1625" s="298"/>
      <c r="G1625" s="122" t="n">
        <f aca="false">IF(F1625&gt;0,D1625*F1625,E1625*D1625)</f>
        <v>2673</v>
      </c>
      <c r="H1625" s="85" t="n">
        <f aca="false">D1625*E1625*$H$1623</f>
        <v>0</v>
      </c>
      <c r="I1625" s="2784" t="n">
        <f aca="false">IF(G1625&gt;H1625,G1625,H1625)*$H$1622</f>
        <v>0</v>
      </c>
      <c r="J1625" s="2744"/>
      <c r="K1625" s="226" t="n">
        <f aca="false">D1625-J1625</f>
        <v>0.297</v>
      </c>
      <c r="L1625" s="2736"/>
    </row>
    <row r="1626" customFormat="false" ht="15.5" hidden="false" customHeight="false" outlineLevel="0" collapsed="false">
      <c r="A1626" s="2719"/>
      <c r="B1626" s="298" t="str">
        <f aca="false">крыша!A510</f>
        <v>стойка под конек</v>
      </c>
      <c r="C1626" s="2765" t="str">
        <f aca="false">крыша!B510</f>
        <v>м3</v>
      </c>
      <c r="D1626" s="298" t="n">
        <f aca="false">крыша!C510</f>
        <v>0.421770876399966</v>
      </c>
      <c r="E1626" s="298" t="n">
        <f aca="false">крыша!D510</f>
        <v>9000</v>
      </c>
      <c r="F1626" s="298"/>
      <c r="G1626" s="122" t="n">
        <f aca="false">IF(F1626&gt;0,D1626*F1626,E1626*D1626)</f>
        <v>3795.9378875997</v>
      </c>
      <c r="H1626" s="85" t="n">
        <f aca="false">D1626*E1626*$H$1623</f>
        <v>0</v>
      </c>
      <c r="I1626" s="2784" t="n">
        <f aca="false">IF(G1626&gt;H1626,G1626,H1626)*$H$1622</f>
        <v>0</v>
      </c>
      <c r="J1626" s="2744"/>
      <c r="K1626" s="226" t="n">
        <f aca="false">D1626-J1626</f>
        <v>0.421770876399966</v>
      </c>
      <c r="L1626" s="2736"/>
    </row>
    <row r="1627" customFormat="false" ht="15.5" hidden="false" customHeight="false" outlineLevel="0" collapsed="false">
      <c r="A1627" s="2719"/>
      <c r="B1627" s="298" t="str">
        <f aca="false">крыша!A511</f>
        <v>Сосна влаж,100*25мм</v>
      </c>
      <c r="C1627" s="2765" t="str">
        <f aca="false">крыша!B511</f>
        <v>м3</v>
      </c>
      <c r="D1627" s="298" t="n">
        <f aca="false">крыша!C511</f>
        <v>0.50612505167996</v>
      </c>
      <c r="E1627" s="298" t="n">
        <f aca="false">крыша!D511</f>
        <v>6500</v>
      </c>
      <c r="F1627" s="298"/>
      <c r="G1627" s="122" t="n">
        <f aca="false">IF(F1627&gt;0,D1627*F1627,E1627*D1627)</f>
        <v>3289.81283591974</v>
      </c>
      <c r="H1627" s="85" t="n">
        <f aca="false">D1627*E1627*$H$1623</f>
        <v>0</v>
      </c>
      <c r="I1627" s="2784" t="n">
        <f aca="false">IF(G1627&gt;H1627,G1627,H1627)*$H$1622</f>
        <v>0</v>
      </c>
      <c r="J1627" s="2744"/>
      <c r="K1627" s="226" t="n">
        <f aca="false">D1627-J1627</f>
        <v>0.50612505167996</v>
      </c>
      <c r="L1627" s="2736"/>
    </row>
    <row r="1628" customFormat="false" ht="15.5" hidden="false" customHeight="false" outlineLevel="0" collapsed="false">
      <c r="A1628" s="2719"/>
      <c r="B1628" s="298" t="str">
        <f aca="false">крыша!A512</f>
        <v>Доска сухая, калибр., 35*45мм</v>
      </c>
      <c r="C1628" s="2765" t="str">
        <f aca="false">крыша!B512</f>
        <v>шт</v>
      </c>
      <c r="D1628" s="298" t="n">
        <f aca="false">крыша!C512</f>
        <v>0.116250597807741</v>
      </c>
      <c r="E1628" s="298" t="n">
        <f aca="false">крыша!D512</f>
        <v>12500</v>
      </c>
      <c r="F1628" s="298"/>
      <c r="G1628" s="122" t="n">
        <f aca="false">IF(F1628&gt;0,D1628*F1628,E1628*D1628)</f>
        <v>1453.13247259676</v>
      </c>
      <c r="H1628" s="85" t="n">
        <f aca="false">D1628*E1628*$H$1623</f>
        <v>0</v>
      </c>
      <c r="I1628" s="2784" t="n">
        <f aca="false">IF(G1628&gt;H1628,G1628,H1628)*$H$1622</f>
        <v>0</v>
      </c>
      <c r="J1628" s="2744"/>
      <c r="K1628" s="226" t="n">
        <f aca="false">D1628-J1628</f>
        <v>0.116250597807741</v>
      </c>
      <c r="L1628" s="2736"/>
    </row>
    <row r="1629" customFormat="false" ht="15.5" hidden="false" customHeight="false" outlineLevel="0" collapsed="false">
      <c r="A1629" s="2719"/>
      <c r="B1629" s="298" t="str">
        <f aca="false">крыша!A513</f>
        <v>нет ветроизоляции</v>
      </c>
      <c r="C1629" s="2765" t="str">
        <f aca="false">крыша!B513</f>
        <v>м2</v>
      </c>
      <c r="D1629" s="298" t="n">
        <f aca="false">крыша!C513</f>
        <v>24.0409399547981</v>
      </c>
      <c r="E1629" s="298" t="n">
        <f aca="false">крыша!D513</f>
        <v>0</v>
      </c>
      <c r="F1629" s="298"/>
      <c r="G1629" s="122" t="n">
        <f aca="false">IF(F1629&gt;0,D1629*F1629,E1629*D1629)</f>
        <v>0</v>
      </c>
      <c r="H1629" s="85" t="n">
        <f aca="false">D1629*E1629*$H$1623</f>
        <v>0</v>
      </c>
      <c r="I1629" s="2784" t="n">
        <f aca="false">IF(G1629&gt;H1629,G1629,H1629)*$H$1622</f>
        <v>0</v>
      </c>
      <c r="J1629" s="2744"/>
      <c r="K1629" s="226" t="n">
        <f aca="false">D1629-J1629</f>
        <v>24.0409399547981</v>
      </c>
      <c r="L1629" s="2736"/>
    </row>
    <row r="1630" customFormat="false" ht="15.5" hidden="false" customHeight="false" outlineLevel="0" collapsed="false">
      <c r="A1630" s="2719"/>
      <c r="B1630" s="298" t="str">
        <f aca="false">крыша!A514</f>
        <v>нет пароизоляции</v>
      </c>
      <c r="C1630" s="2765" t="str">
        <f aca="false">крыша!B514</f>
        <v>м2</v>
      </c>
      <c r="D1630" s="298" t="n">
        <f aca="false">крыша!C514</f>
        <v>22.0375282918982</v>
      </c>
      <c r="E1630" s="298" t="n">
        <f aca="false">крыша!D514</f>
        <v>0</v>
      </c>
      <c r="F1630" s="298"/>
      <c r="G1630" s="122" t="n">
        <f aca="false">IF(F1630&gt;0,D1630*F1630,E1630*D1630)</f>
        <v>0</v>
      </c>
      <c r="H1630" s="85" t="n">
        <f aca="false">D1630*E1630*$H$1623</f>
        <v>0</v>
      </c>
      <c r="I1630" s="2784" t="n">
        <f aca="false">IF(G1630&gt;H1630,G1630,H1630)*$H$1622</f>
        <v>0</v>
      </c>
      <c r="J1630" s="2744"/>
      <c r="K1630" s="226" t="n">
        <f aca="false">D1630-J1630</f>
        <v>22.0375282918982</v>
      </c>
      <c r="L1630" s="2736"/>
    </row>
    <row r="1631" customFormat="false" ht="15.5" hidden="false" customHeight="false" outlineLevel="0" collapsed="false">
      <c r="A1631" s="2719"/>
      <c r="B1631" s="298" t="str">
        <f aca="false">крыша!A515</f>
        <v>Плитный,28кг/м3, технониколь, 100мм</v>
      </c>
      <c r="C1631" s="2765" t="str">
        <f aca="false">крыша!B515</f>
        <v>м3</v>
      </c>
      <c r="D1631" s="298" t="n">
        <f aca="false">крыша!C515</f>
        <v>2.00341166289984</v>
      </c>
      <c r="E1631" s="298" t="n">
        <f aca="false">крыша!D515</f>
        <v>1700</v>
      </c>
      <c r="F1631" s="298"/>
      <c r="G1631" s="122" t="n">
        <f aca="false">IF(F1631&gt;0,D1631*F1631,E1631*D1631)</f>
        <v>3405.79982692973</v>
      </c>
      <c r="H1631" s="85" t="n">
        <f aca="false">D1631*E1631*$H$1623</f>
        <v>0</v>
      </c>
      <c r="I1631" s="2784" t="n">
        <f aca="false">IF(G1631&gt;H1631,G1631,H1631)*$H$1622</f>
        <v>0</v>
      </c>
      <c r="J1631" s="2744"/>
      <c r="K1631" s="226" t="n">
        <f aca="false">D1631-J1631</f>
        <v>2.00341166289984</v>
      </c>
      <c r="L1631" s="2736"/>
    </row>
    <row r="1632" customFormat="false" ht="15.5" hidden="false" customHeight="false" outlineLevel="0" collapsed="false">
      <c r="A1632" s="2719"/>
      <c r="B1632" s="298" t="str">
        <f aca="false">крыша!A516</f>
        <v>Металлочерепица</v>
      </c>
      <c r="C1632" s="2765" t="str">
        <f aca="false">крыша!B516</f>
        <v>м2</v>
      </c>
      <c r="D1632" s="298" t="n">
        <f aca="false">крыша!C516</f>
        <v>28.0477632805978</v>
      </c>
      <c r="E1632" s="298" t="n">
        <f aca="false">крыша!D516</f>
        <v>250</v>
      </c>
      <c r="F1632" s="298"/>
      <c r="G1632" s="122" t="n">
        <f aca="false">IF(F1632&gt;0,D1632*F1632,E1632*D1632)</f>
        <v>7011.94082014944</v>
      </c>
      <c r="H1632" s="85" t="n">
        <f aca="false">D1632*E1632*$H$1623</f>
        <v>0</v>
      </c>
      <c r="I1632" s="2784" t="n">
        <f aca="false">IF(G1632&gt;H1632,G1632,H1632)*$H$1622</f>
        <v>0</v>
      </c>
      <c r="J1632" s="2744"/>
      <c r="K1632" s="226" t="n">
        <f aca="false">D1632-J1632</f>
        <v>28.0477632805978</v>
      </c>
      <c r="L1632" s="2736"/>
    </row>
    <row r="1633" customFormat="false" ht="15.5" hidden="false" customHeight="false" outlineLevel="0" collapsed="false">
      <c r="A1633" s="2719"/>
      <c r="B1633" s="298" t="str">
        <f aca="false">крыша!A517</f>
        <v>Карнизная планка</v>
      </c>
      <c r="C1633" s="2765" t="str">
        <f aca="false">крыша!B517</f>
        <v>м.п.</v>
      </c>
      <c r="D1633" s="298" t="n">
        <f aca="false">крыша!C517</f>
        <v>4</v>
      </c>
      <c r="E1633" s="298" t="n">
        <f aca="false">крыша!D517</f>
        <v>200</v>
      </c>
      <c r="F1633" s="298"/>
      <c r="G1633" s="122" t="n">
        <f aca="false">IF(F1633&gt;0,D1633*F1633,E1633*D1633)</f>
        <v>800</v>
      </c>
      <c r="H1633" s="85" t="n">
        <f aca="false">D1633*E1633*$H$1623</f>
        <v>0</v>
      </c>
      <c r="I1633" s="2784" t="n">
        <f aca="false">IF(G1633&gt;H1633,G1633,H1633)*$H$1622</f>
        <v>0</v>
      </c>
      <c r="J1633" s="2744"/>
      <c r="K1633" s="226" t="n">
        <f aca="false">D1633-J1633</f>
        <v>4</v>
      </c>
      <c r="L1633" s="2736"/>
    </row>
    <row r="1634" customFormat="false" ht="15.5" hidden="false" customHeight="false" outlineLevel="0" collapsed="false">
      <c r="A1634" s="2719"/>
      <c r="B1634" s="298" t="str">
        <f aca="false">крыша!A518</f>
        <v>Торцевая планка</v>
      </c>
      <c r="C1634" s="2765" t="str">
        <f aca="false">крыша!B518</f>
        <v>м.п.</v>
      </c>
      <c r="D1634" s="298" t="n">
        <f aca="false">крыша!C518</f>
        <v>10.5442719099992</v>
      </c>
      <c r="E1634" s="298" t="n">
        <f aca="false">крыша!D518</f>
        <v>200</v>
      </c>
      <c r="F1634" s="298"/>
      <c r="G1634" s="122" t="n">
        <f aca="false">IF(F1634&gt;0,D1634*F1634,E1634*D1634)</f>
        <v>2108.85438199983</v>
      </c>
      <c r="H1634" s="85" t="n">
        <f aca="false">D1634*E1634*$H$1623</f>
        <v>0</v>
      </c>
      <c r="I1634" s="2784" t="n">
        <f aca="false">IF(G1634&gt;H1634,G1634,H1634)*$H$1622</f>
        <v>0</v>
      </c>
      <c r="J1634" s="2744"/>
      <c r="K1634" s="226" t="n">
        <f aca="false">D1634-J1634</f>
        <v>10.5442719099992</v>
      </c>
      <c r="L1634" s="2736"/>
    </row>
    <row r="1635" customFormat="false" ht="15.5" hidden="false" customHeight="false" outlineLevel="0" collapsed="false">
      <c r="A1635" s="2719"/>
      <c r="B1635" s="298" t="str">
        <f aca="false">крыша!A519</f>
        <v>Конек</v>
      </c>
      <c r="C1635" s="2765" t="str">
        <f aca="false">крыша!B519</f>
        <v>м.п.</v>
      </c>
      <c r="D1635" s="298" t="n">
        <f aca="false">крыша!C519</f>
        <v>4.8</v>
      </c>
      <c r="E1635" s="298" t="n">
        <f aca="false">крыша!D519</f>
        <v>230</v>
      </c>
      <c r="F1635" s="298"/>
      <c r="G1635" s="122" t="n">
        <f aca="false">IF(F1635&gt;0,D1635*F1635,E1635*D1635)</f>
        <v>1104</v>
      </c>
      <c r="H1635" s="85" t="n">
        <f aca="false">D1635*E1635*$H$1623</f>
        <v>0</v>
      </c>
      <c r="I1635" s="2784" t="n">
        <f aca="false">IF(G1635&gt;H1635,G1635,H1635)*$H$1622</f>
        <v>0</v>
      </c>
      <c r="J1635" s="2744"/>
      <c r="K1635" s="226" t="n">
        <f aca="false">D1635-J1635</f>
        <v>4.8</v>
      </c>
      <c r="L1635" s="2736"/>
    </row>
    <row r="1636" customFormat="false" ht="15.5" hidden="false" customHeight="false" outlineLevel="0" collapsed="false">
      <c r="A1636" s="2719"/>
      <c r="B1636" s="298" t="str">
        <f aca="false">крыша!A520</f>
        <v>Ендова нижняя</v>
      </c>
      <c r="C1636" s="2765" t="str">
        <f aca="false">крыша!B520</f>
        <v>м.п.</v>
      </c>
      <c r="D1636" s="298" t="n">
        <f aca="false">крыша!C520</f>
        <v>12.1426168033242</v>
      </c>
      <c r="E1636" s="298" t="n">
        <f aca="false">крыша!D520</f>
        <v>160</v>
      </c>
      <c r="F1636" s="298"/>
      <c r="G1636" s="122" t="n">
        <f aca="false">IF(F1636&gt;0,D1636*F1636,E1636*D1636)</f>
        <v>1942.81868853187</v>
      </c>
      <c r="H1636" s="85" t="n">
        <f aca="false">D1636*E1636*$H$1623</f>
        <v>0</v>
      </c>
      <c r="I1636" s="2784" t="n">
        <f aca="false">IF(G1636&gt;H1636,G1636,H1636)*$H$1622</f>
        <v>0</v>
      </c>
      <c r="J1636" s="2744"/>
      <c r="K1636" s="226" t="n">
        <f aca="false">D1636-J1636</f>
        <v>12.1426168033242</v>
      </c>
      <c r="L1636" s="2736"/>
    </row>
    <row r="1637" customFormat="false" ht="15.5" hidden="false" customHeight="false" outlineLevel="0" collapsed="false">
      <c r="A1637" s="2719"/>
      <c r="B1637" s="298" t="str">
        <f aca="false">крыша!A521</f>
        <v>Ендова верхняя</v>
      </c>
      <c r="C1637" s="2765" t="str">
        <f aca="false">крыша!B521</f>
        <v>м.п.</v>
      </c>
      <c r="D1637" s="298" t="n">
        <f aca="false">крыша!C521</f>
        <v>12.1426168033242</v>
      </c>
      <c r="E1637" s="298" t="n">
        <f aca="false">крыша!D521</f>
        <v>190</v>
      </c>
      <c r="F1637" s="298"/>
      <c r="G1637" s="122" t="n">
        <f aca="false">IF(F1637&gt;0,D1637*F1637,E1637*D1637)</f>
        <v>2307.09719263159</v>
      </c>
      <c r="H1637" s="85" t="n">
        <f aca="false">D1637*E1637*$H$1623</f>
        <v>0</v>
      </c>
      <c r="I1637" s="2784" t="n">
        <f aca="false">IF(G1637&gt;H1637,G1637,H1637)*$H$1622</f>
        <v>0</v>
      </c>
      <c r="J1637" s="2744"/>
      <c r="K1637" s="226" t="n">
        <f aca="false">D1637-J1637</f>
        <v>12.1426168033242</v>
      </c>
      <c r="L1637" s="2736"/>
    </row>
    <row r="1638" customFormat="false" ht="15.5" hidden="false" customHeight="false" outlineLevel="0" collapsed="false">
      <c r="A1638" s="2719"/>
      <c r="B1638" s="298" t="str">
        <f aca="false">крыша!A522</f>
        <v>ондулин</v>
      </c>
      <c r="C1638" s="2765" t="str">
        <f aca="false">крыша!B522</f>
        <v>м2</v>
      </c>
      <c r="D1638" s="298" t="n">
        <f aca="false">крыша!C522</f>
        <v>0</v>
      </c>
      <c r="E1638" s="298" t="n">
        <f aca="false">крыша!D522</f>
        <v>180</v>
      </c>
      <c r="F1638" s="298"/>
      <c r="G1638" s="122" t="n">
        <f aca="false">IF(F1638&gt;0,D1638*F1638,E1638*D1638)</f>
        <v>0</v>
      </c>
      <c r="H1638" s="85" t="n">
        <f aca="false">D1638*E1638*$H$1623</f>
        <v>0</v>
      </c>
      <c r="I1638" s="2784" t="n">
        <f aca="false">IF(G1638&gt;H1638,G1638,H1638)*$H$1622</f>
        <v>0</v>
      </c>
      <c r="J1638" s="2744"/>
      <c r="K1638" s="226" t="n">
        <f aca="false">D1638-J1638</f>
        <v>0</v>
      </c>
      <c r="L1638" s="2736"/>
    </row>
    <row r="1639" customFormat="false" ht="15.5" hidden="false" customHeight="false" outlineLevel="0" collapsed="false">
      <c r="A1639" s="2719"/>
      <c r="B1639" s="298" t="str">
        <f aca="false">крыша!A523</f>
        <v>Карнизная планка</v>
      </c>
      <c r="C1639" s="2765" t="str">
        <f aca="false">крыша!B523</f>
        <v>м.п.</v>
      </c>
      <c r="D1639" s="298" t="n">
        <f aca="false">крыша!C523</f>
        <v>0</v>
      </c>
      <c r="E1639" s="298" t="n">
        <f aca="false">крыша!D523</f>
        <v>190</v>
      </c>
      <c r="F1639" s="298"/>
      <c r="G1639" s="122" t="n">
        <f aca="false">IF(F1639&gt;0,D1639*F1639,E1639*D1639)</f>
        <v>0</v>
      </c>
      <c r="H1639" s="85" t="n">
        <f aca="false">D1639*E1639*$H$1623</f>
        <v>0</v>
      </c>
      <c r="I1639" s="2784" t="n">
        <f aca="false">IF(G1639&gt;H1639,G1639,H1639)*$H$1622</f>
        <v>0</v>
      </c>
      <c r="J1639" s="2744"/>
      <c r="K1639" s="226" t="n">
        <f aca="false">D1639-J1639</f>
        <v>0</v>
      </c>
      <c r="L1639" s="2736"/>
    </row>
    <row r="1640" customFormat="false" ht="15.5" hidden="false" customHeight="false" outlineLevel="0" collapsed="false">
      <c r="A1640" s="2719"/>
      <c r="B1640" s="298" t="str">
        <f aca="false">крыша!A524</f>
        <v>Торцевая планка</v>
      </c>
      <c r="C1640" s="2765" t="str">
        <f aca="false">крыша!B524</f>
        <v>м.п.</v>
      </c>
      <c r="D1640" s="298" t="n">
        <f aca="false">крыша!C524</f>
        <v>0</v>
      </c>
      <c r="E1640" s="298" t="n">
        <f aca="false">крыша!D524</f>
        <v>190</v>
      </c>
      <c r="F1640" s="298"/>
      <c r="G1640" s="122" t="n">
        <f aca="false">IF(F1640&gt;0,D1640*F1640,E1640*D1640)</f>
        <v>0</v>
      </c>
      <c r="H1640" s="85" t="n">
        <f aca="false">D1640*E1640*$H$1623</f>
        <v>0</v>
      </c>
      <c r="I1640" s="2784" t="n">
        <f aca="false">IF(G1640&gt;H1640,G1640,H1640)*$H$1622</f>
        <v>0</v>
      </c>
      <c r="J1640" s="2744"/>
      <c r="K1640" s="226" t="n">
        <f aca="false">D1640-J1640</f>
        <v>0</v>
      </c>
      <c r="L1640" s="2736"/>
    </row>
    <row r="1641" customFormat="false" ht="15.5" hidden="false" customHeight="false" outlineLevel="0" collapsed="false">
      <c r="A1641" s="2719"/>
      <c r="B1641" s="298" t="str">
        <f aca="false">крыша!A525</f>
        <v>Конек</v>
      </c>
      <c r="C1641" s="2765" t="str">
        <f aca="false">крыша!B525</f>
        <v>м.п.</v>
      </c>
      <c r="D1641" s="298" t="n">
        <f aca="false">крыша!C525</f>
        <v>0</v>
      </c>
      <c r="E1641" s="298" t="n">
        <f aca="false">крыша!D525</f>
        <v>200</v>
      </c>
      <c r="F1641" s="298"/>
      <c r="G1641" s="122" t="n">
        <f aca="false">IF(F1641&gt;0,D1641*F1641,E1641*D1641)</f>
        <v>0</v>
      </c>
      <c r="H1641" s="85" t="n">
        <f aca="false">D1641*E1641*$H$1623</f>
        <v>0</v>
      </c>
      <c r="I1641" s="2784" t="n">
        <f aca="false">IF(G1641&gt;H1641,G1641,H1641)*$H$1622</f>
        <v>0</v>
      </c>
      <c r="J1641" s="2744"/>
      <c r="K1641" s="226" t="n">
        <f aca="false">D1641-J1641</f>
        <v>0</v>
      </c>
      <c r="L1641" s="2736"/>
    </row>
    <row r="1642" customFormat="false" ht="15.5" hidden="false" customHeight="false" outlineLevel="0" collapsed="false">
      <c r="A1642" s="2719"/>
      <c r="B1642" s="298" t="str">
        <f aca="false">крыша!A526</f>
        <v>Ендова нижняя</v>
      </c>
      <c r="C1642" s="2765" t="str">
        <f aca="false">крыша!B526</f>
        <v>м.п.</v>
      </c>
      <c r="D1642" s="298" t="n">
        <f aca="false">крыша!C526</f>
        <v>0</v>
      </c>
      <c r="E1642" s="298" t="n">
        <f aca="false">крыша!D526</f>
        <v>160</v>
      </c>
      <c r="F1642" s="298"/>
      <c r="G1642" s="122" t="n">
        <f aca="false">IF(F1642&gt;0,D1642*F1642,E1642*D1642)</f>
        <v>0</v>
      </c>
      <c r="H1642" s="85" t="n">
        <f aca="false">D1642*E1642*$H$1623</f>
        <v>0</v>
      </c>
      <c r="I1642" s="2784" t="n">
        <f aca="false">IF(G1642&gt;H1642,G1642,H1642)*$H$1622</f>
        <v>0</v>
      </c>
      <c r="J1642" s="2744"/>
      <c r="K1642" s="226" t="n">
        <f aca="false">D1642-J1642</f>
        <v>0</v>
      </c>
      <c r="L1642" s="2736"/>
    </row>
    <row r="1643" customFormat="false" ht="15.5" hidden="false" customHeight="false" outlineLevel="0" collapsed="false">
      <c r="A1643" s="2719"/>
      <c r="B1643" s="298" t="str">
        <f aca="false">крыша!A527</f>
        <v>Ендова верхняя</v>
      </c>
      <c r="C1643" s="2765" t="str">
        <f aca="false">крыша!B527</f>
        <v>м.п.</v>
      </c>
      <c r="D1643" s="298" t="n">
        <f aca="false">крыша!C527</f>
        <v>0</v>
      </c>
      <c r="E1643" s="298" t="n">
        <f aca="false">крыша!D527</f>
        <v>190</v>
      </c>
      <c r="F1643" s="298"/>
      <c r="G1643" s="122" t="n">
        <f aca="false">IF(F1643&gt;0,D1643*F1643,E1643*D1643)</f>
        <v>0</v>
      </c>
      <c r="H1643" s="85" t="n">
        <f aca="false">D1643*E1643*$H$1623</f>
        <v>0</v>
      </c>
      <c r="I1643" s="2784" t="n">
        <f aca="false">IF(G1643&gt;H1643,G1643,H1643)*$H$1622</f>
        <v>0</v>
      </c>
      <c r="J1643" s="2744"/>
      <c r="K1643" s="226" t="n">
        <f aca="false">D1643-J1643</f>
        <v>0</v>
      </c>
      <c r="L1643" s="2736"/>
    </row>
    <row r="1644" customFormat="false" ht="15.5" hidden="false" customHeight="false" outlineLevel="0" collapsed="false">
      <c r="A1644" s="2719"/>
      <c r="B1644" s="298" t="str">
        <f aca="false">крыша!A528</f>
        <v>Планка примыкания</v>
      </c>
      <c r="C1644" s="2765" t="str">
        <f aca="false">крыша!B528</f>
        <v>м.п.</v>
      </c>
      <c r="D1644" s="298" t="n">
        <f aca="false">крыша!C528</f>
        <v>0</v>
      </c>
      <c r="E1644" s="298" t="n">
        <f aca="false">крыша!D528</f>
        <v>190</v>
      </c>
      <c r="F1644" s="298"/>
      <c r="G1644" s="122" t="n">
        <f aca="false">IF(F1644&gt;0,D1644*F1644,E1644*D1644)</f>
        <v>0</v>
      </c>
      <c r="H1644" s="85" t="n">
        <f aca="false">D1644*E1644*$H$1623</f>
        <v>0</v>
      </c>
      <c r="I1644" s="2784" t="n">
        <f aca="false">IF(G1644&gt;H1644,G1644,H1644)*$H$1622</f>
        <v>0</v>
      </c>
      <c r="J1644" s="2744"/>
      <c r="K1644" s="226" t="n">
        <f aca="false">D1644-J1644</f>
        <v>0</v>
      </c>
      <c r="L1644" s="2736"/>
    </row>
    <row r="1645" customFormat="false" ht="15.5" hidden="false" customHeight="false" outlineLevel="0" collapsed="false">
      <c r="A1645" s="2719"/>
      <c r="B1645" s="298" t="str">
        <f aca="false">крыша!A529</f>
        <v>Крепеж для ондулина</v>
      </c>
      <c r="C1645" s="2765" t="str">
        <f aca="false">крыша!B529</f>
        <v>шт</v>
      </c>
      <c r="D1645" s="298" t="n">
        <f aca="false">крыша!C529</f>
        <v>0</v>
      </c>
      <c r="E1645" s="298" t="n">
        <f aca="false">крыша!D529</f>
        <v>4.5</v>
      </c>
      <c r="F1645" s="298"/>
      <c r="G1645" s="122" t="n">
        <f aca="false">IF(F1645&gt;0,D1645*F1645,E1645*D1645)</f>
        <v>0</v>
      </c>
      <c r="H1645" s="85" t="n">
        <f aca="false">D1645*E1645*$H$1623</f>
        <v>0</v>
      </c>
      <c r="I1645" s="2784" t="n">
        <f aca="false">IF(G1645&gt;H1645,G1645,H1645)*$H$1622</f>
        <v>0</v>
      </c>
      <c r="J1645" s="2744"/>
      <c r="K1645" s="226" t="n">
        <f aca="false">D1645-J1645</f>
        <v>0</v>
      </c>
      <c r="L1645" s="2736"/>
    </row>
    <row r="1646" customFormat="false" ht="15.5" hidden="false" customHeight="false" outlineLevel="0" collapsed="false">
      <c r="A1646" s="2719"/>
      <c r="B1646" s="298" t="str">
        <f aca="false">крыша!A530</f>
        <v>Фанера Березовая марка ФК - влагостойкая,  18 мм</v>
      </c>
      <c r="C1646" s="2765" t="str">
        <f aca="false">крыша!B530</f>
        <v>м2</v>
      </c>
      <c r="D1646" s="298" t="n">
        <f aca="false">крыша!C530</f>
        <v>22.0375282918982</v>
      </c>
      <c r="E1646" s="298" t="n">
        <f aca="false">крыша!D530</f>
        <v>533.333333333333</v>
      </c>
      <c r="F1646" s="298"/>
      <c r="G1646" s="122" t="n">
        <f aca="false">IF(F1646&gt;0,D1646*F1646,E1646*D1646)</f>
        <v>11753.3484223457</v>
      </c>
      <c r="H1646" s="85" t="n">
        <f aca="false">D1646*E1646*$H$1623</f>
        <v>0</v>
      </c>
      <c r="I1646" s="2784" t="n">
        <f aca="false">IF(G1646&gt;H1646,G1646,H1646)*$H$1622</f>
        <v>0</v>
      </c>
      <c r="J1646" s="2744"/>
      <c r="K1646" s="226" t="n">
        <f aca="false">D1646-J1646</f>
        <v>22.0375282918982</v>
      </c>
      <c r="L1646" s="2736"/>
    </row>
    <row r="1647" customFormat="false" ht="15.5" hidden="false" customHeight="false" outlineLevel="0" collapsed="false">
      <c r="A1647" s="2719"/>
      <c r="B1647" s="298" t="str">
        <f aca="false">крыша!A531</f>
        <v>Рядовая черепица</v>
      </c>
      <c r="C1647" s="2765" t="str">
        <f aca="false">крыша!B531</f>
        <v>м2</v>
      </c>
      <c r="D1647" s="298" t="n">
        <f aca="false">крыша!C531</f>
        <v>0</v>
      </c>
      <c r="E1647" s="298" t="n">
        <f aca="false">крыша!D531</f>
        <v>360</v>
      </c>
      <c r="F1647" s="298"/>
      <c r="G1647" s="122" t="n">
        <f aca="false">IF(F1647&gt;0,D1647*F1647,E1647*D1647)</f>
        <v>0</v>
      </c>
      <c r="H1647" s="85" t="n">
        <f aca="false">D1647*E1647*$H$1623</f>
        <v>0</v>
      </c>
      <c r="I1647" s="2784" t="n">
        <f aca="false">IF(G1647&gt;H1647,G1647,H1647)*$H$1622</f>
        <v>0</v>
      </c>
      <c r="J1647" s="2744"/>
      <c r="K1647" s="226" t="n">
        <f aca="false">D1647-J1647</f>
        <v>0</v>
      </c>
      <c r="L1647" s="2736"/>
    </row>
    <row r="1648" customFormat="false" ht="15.5" hidden="false" customHeight="false" outlineLevel="0" collapsed="false">
      <c r="A1648" s="2719"/>
      <c r="B1648" s="298" t="str">
        <f aca="false">крыша!A532</f>
        <v>Металл оцинк защита (карниз)</v>
      </c>
      <c r="C1648" s="2765" t="str">
        <f aca="false">крыша!B532</f>
        <v>м.п.</v>
      </c>
      <c r="D1648" s="298" t="n">
        <f aca="false">крыша!C532</f>
        <v>0</v>
      </c>
      <c r="E1648" s="298" t="n">
        <f aca="false">крыша!D532</f>
        <v>200</v>
      </c>
      <c r="F1648" s="298"/>
      <c r="G1648" s="122" t="n">
        <f aca="false">IF(F1648&gt;0,D1648*F1648,E1648*D1648)</f>
        <v>0</v>
      </c>
      <c r="H1648" s="85" t="n">
        <f aca="false">D1648*E1648*$H$1623</f>
        <v>0</v>
      </c>
      <c r="I1648" s="2784" t="n">
        <f aca="false">IF(G1648&gt;H1648,G1648,H1648)*$H$1622</f>
        <v>0</v>
      </c>
      <c r="J1648" s="2744"/>
      <c r="K1648" s="226" t="n">
        <f aca="false">D1648-J1648</f>
        <v>0</v>
      </c>
      <c r="L1648" s="2736"/>
    </row>
    <row r="1649" customFormat="false" ht="15.5" hidden="false" customHeight="false" outlineLevel="0" collapsed="false">
      <c r="A1649" s="2719"/>
      <c r="B1649" s="298" t="str">
        <f aca="false">крыша!A533</f>
        <v>Подкладочный ковер</v>
      </c>
      <c r="C1649" s="2765" t="str">
        <f aca="false">крыша!B533</f>
        <v>м.п.</v>
      </c>
      <c r="D1649" s="298" t="n">
        <f aca="false">крыша!C533</f>
        <v>0</v>
      </c>
      <c r="E1649" s="298" t="n">
        <f aca="false">крыша!D533</f>
        <v>220</v>
      </c>
      <c r="F1649" s="298"/>
      <c r="G1649" s="122" t="n">
        <f aca="false">IF(F1649&gt;0,D1649*F1649,E1649*D1649)</f>
        <v>0</v>
      </c>
      <c r="H1649" s="85" t="n">
        <f aca="false">D1649*E1649*$H$1623</f>
        <v>0</v>
      </c>
      <c r="I1649" s="2784" t="n">
        <f aca="false">IF(G1649&gt;H1649,G1649,H1649)*$H$1622</f>
        <v>0</v>
      </c>
      <c r="J1649" s="2744"/>
      <c r="K1649" s="226" t="n">
        <f aca="false">D1649-J1649</f>
        <v>0</v>
      </c>
      <c r="L1649" s="2736"/>
    </row>
    <row r="1650" customFormat="false" ht="15.5" hidden="false" customHeight="false" outlineLevel="0" collapsed="false">
      <c r="A1650" s="2719"/>
      <c r="B1650" s="298" t="str">
        <f aca="false">крыша!A534</f>
        <v>Карнизная самоклеющаяся черепица</v>
      </c>
      <c r="C1650" s="2765" t="str">
        <f aca="false">крыша!B534</f>
        <v>м.п.</v>
      </c>
      <c r="D1650" s="298" t="n">
        <f aca="false">крыша!C534</f>
        <v>0</v>
      </c>
      <c r="E1650" s="298" t="n">
        <f aca="false">крыша!D534</f>
        <v>220</v>
      </c>
      <c r="F1650" s="298"/>
      <c r="G1650" s="122" t="n">
        <f aca="false">IF(F1650&gt;0,D1650*F1650,E1650*D1650)</f>
        <v>0</v>
      </c>
      <c r="H1650" s="85" t="n">
        <f aca="false">D1650*E1650*$H$1623</f>
        <v>0</v>
      </c>
      <c r="I1650" s="2784" t="n">
        <f aca="false">IF(G1650&gt;H1650,G1650,H1650)*$H$1622</f>
        <v>0</v>
      </c>
      <c r="J1650" s="2744"/>
      <c r="K1650" s="226" t="n">
        <f aca="false">D1650-J1650</f>
        <v>0</v>
      </c>
      <c r="L1650" s="2736"/>
    </row>
    <row r="1651" customFormat="false" ht="15.5" hidden="false" customHeight="false" outlineLevel="0" collapsed="false">
      <c r="A1651" s="2719"/>
      <c r="B1651" s="298" t="str">
        <f aca="false">крыша!A535</f>
        <v>Спец ковер ендова нижняя</v>
      </c>
      <c r="C1651" s="2765" t="str">
        <f aca="false">крыша!B535</f>
        <v>м.п.</v>
      </c>
      <c r="D1651" s="298" t="n">
        <f aca="false">крыша!C535</f>
        <v>0</v>
      </c>
      <c r="E1651" s="298" t="n">
        <f aca="false">крыша!D535</f>
        <v>200</v>
      </c>
      <c r="F1651" s="298"/>
      <c r="G1651" s="122" t="n">
        <f aca="false">IF(F1651&gt;0,D1651*F1651,E1651*D1651)</f>
        <v>0</v>
      </c>
      <c r="H1651" s="85" t="n">
        <f aca="false">D1651*E1651*$H$1623</f>
        <v>0</v>
      </c>
      <c r="I1651" s="2784" t="n">
        <f aca="false">IF(G1651&gt;H1651,G1651,H1651)*$H$1622</f>
        <v>0</v>
      </c>
      <c r="J1651" s="2744"/>
      <c r="K1651" s="226" t="n">
        <f aca="false">D1651-J1651</f>
        <v>0</v>
      </c>
      <c r="L1651" s="2736"/>
    </row>
    <row r="1652" customFormat="false" ht="15.5" hidden="false" customHeight="false" outlineLevel="0" collapsed="false">
      <c r="A1652" s="2719"/>
      <c r="B1652" s="298" t="str">
        <f aca="false">крыша!A536</f>
        <v>Коньковой элемент</v>
      </c>
      <c r="C1652" s="2765" t="str">
        <f aca="false">крыша!B536</f>
        <v>м.п.</v>
      </c>
      <c r="D1652" s="298" t="n">
        <f aca="false">крыша!C536</f>
        <v>0</v>
      </c>
      <c r="E1652" s="298" t="n">
        <f aca="false">крыша!D536</f>
        <v>250</v>
      </c>
      <c r="F1652" s="298"/>
      <c r="G1652" s="122" t="n">
        <f aca="false">IF(F1652&gt;0,D1652*F1652,E1652*D1652)</f>
        <v>0</v>
      </c>
      <c r="H1652" s="85" t="n">
        <f aca="false">D1652*E1652*$H$1623</f>
        <v>0</v>
      </c>
      <c r="I1652" s="2784" t="n">
        <f aca="false">IF(G1652&gt;H1652,G1652,H1652)*$H$1622</f>
        <v>0</v>
      </c>
      <c r="J1652" s="2744"/>
      <c r="K1652" s="226" t="n">
        <f aca="false">D1652-J1652</f>
        <v>0</v>
      </c>
      <c r="L1652" s="2736"/>
    </row>
    <row r="1653" customFormat="false" ht="15.5" hidden="false" customHeight="false" outlineLevel="0" collapsed="false">
      <c r="A1653" s="2719"/>
      <c r="B1653" s="298" t="str">
        <f aca="false">крыша!A537</f>
        <v>Планка премыкания</v>
      </c>
      <c r="C1653" s="2765" t="str">
        <f aca="false">крыша!B537</f>
        <v>м.п.</v>
      </c>
      <c r="D1653" s="298" t="n">
        <f aca="false">крыша!C537</f>
        <v>0</v>
      </c>
      <c r="E1653" s="298" t="n">
        <f aca="false">крыша!D537</f>
        <v>200</v>
      </c>
      <c r="F1653" s="298"/>
      <c r="G1653" s="122" t="n">
        <f aca="false">IF(F1653&gt;0,D1653*F1653,E1653*D1653)</f>
        <v>0</v>
      </c>
      <c r="H1653" s="85" t="n">
        <f aca="false">D1653*E1653*$H$1623</f>
        <v>0</v>
      </c>
      <c r="I1653" s="2784" t="n">
        <f aca="false">IF(G1653&gt;H1653,G1653,H1653)*$H$1622</f>
        <v>0</v>
      </c>
      <c r="J1653" s="2744"/>
      <c r="K1653" s="226" t="n">
        <f aca="false">D1653-J1653</f>
        <v>0</v>
      </c>
      <c r="L1653" s="2736"/>
    </row>
    <row r="1654" customFormat="false" ht="15.5" hidden="false" customHeight="false" outlineLevel="0" collapsed="false">
      <c r="A1654" s="2719"/>
      <c r="B1654" s="298" t="str">
        <f aca="false">крыша!A538</f>
        <v>Гвозди для крепления подкладочного ковра</v>
      </c>
      <c r="C1654" s="2765" t="str">
        <f aca="false">крыша!B538</f>
        <v>шт</v>
      </c>
      <c r="D1654" s="298" t="n">
        <f aca="false">крыша!C538</f>
        <v>0</v>
      </c>
      <c r="E1654" s="298" t="n">
        <f aca="false">крыша!D538</f>
        <v>0.012</v>
      </c>
      <c r="F1654" s="298"/>
      <c r="G1654" s="122" t="n">
        <f aca="false">IF(F1654&gt;0,D1654*F1654,E1654*D1654)</f>
        <v>0</v>
      </c>
      <c r="H1654" s="85" t="n">
        <f aca="false">D1654*E1654*$H$1623</f>
        <v>0</v>
      </c>
      <c r="I1654" s="2784" t="n">
        <f aca="false">IF(G1654&gt;H1654,G1654,H1654)*$H$1622</f>
        <v>0</v>
      </c>
      <c r="J1654" s="2744"/>
      <c r="K1654" s="226" t="n">
        <f aca="false">D1654-J1654</f>
        <v>0</v>
      </c>
      <c r="L1654" s="2736"/>
    </row>
    <row r="1655" customFormat="false" ht="15.5" hidden="false" customHeight="false" outlineLevel="0" collapsed="false">
      <c r="A1655" s="2719"/>
      <c r="B1655" s="298" t="str">
        <f aca="false">крыша!A539</f>
        <v>Гвозди для крепления черепицы</v>
      </c>
      <c r="C1655" s="2765" t="str">
        <f aca="false">крыша!B539</f>
        <v>шт</v>
      </c>
      <c r="D1655" s="298" t="n">
        <f aca="false">крыша!C539</f>
        <v>0</v>
      </c>
      <c r="E1655" s="298" t="n">
        <f aca="false">крыша!D539</f>
        <v>0.25</v>
      </c>
      <c r="F1655" s="298"/>
      <c r="G1655" s="122" t="n">
        <f aca="false">IF(F1655&gt;0,D1655*F1655,E1655*D1655)</f>
        <v>0</v>
      </c>
      <c r="H1655" s="85" t="n">
        <f aca="false">D1655*E1655*$H$1623</f>
        <v>0</v>
      </c>
      <c r="I1655" s="2784" t="n">
        <f aca="false">IF(G1655&gt;H1655,G1655,H1655)*$H$1622</f>
        <v>0</v>
      </c>
      <c r="J1655" s="2744"/>
      <c r="K1655" s="226" t="n">
        <f aca="false">D1655-J1655</f>
        <v>0</v>
      </c>
      <c r="L1655" s="2736"/>
    </row>
    <row r="1656" customFormat="false" ht="15.5" hidden="false" customHeight="false" outlineLevel="0" collapsed="false">
      <c r="A1656" s="2719"/>
      <c r="B1656" s="298" t="str">
        <f aca="false">крыша!A540</f>
        <v>Клей для монтажа черепицы</v>
      </c>
      <c r="C1656" s="2765" t="str">
        <f aca="false">крыша!B540</f>
        <v>кг</v>
      </c>
      <c r="D1656" s="298" t="n">
        <f aca="false">крыша!C540</f>
        <v>0</v>
      </c>
      <c r="E1656" s="298" t="n">
        <f aca="false">крыша!D540</f>
        <v>250</v>
      </c>
      <c r="F1656" s="298"/>
      <c r="G1656" s="122" t="n">
        <f aca="false">IF(F1656&gt;0,D1656*F1656,E1656*D1656)</f>
        <v>0</v>
      </c>
      <c r="H1656" s="85" t="n">
        <f aca="false">D1656*E1656*$H$1623</f>
        <v>0</v>
      </c>
      <c r="I1656" s="2784" t="n">
        <f aca="false">IF(G1656&gt;H1656,G1656,H1656)*$H$1622</f>
        <v>0</v>
      </c>
      <c r="J1656" s="2744"/>
      <c r="K1656" s="226" t="n">
        <f aca="false">D1656-J1656</f>
        <v>0</v>
      </c>
      <c r="L1656" s="2736"/>
    </row>
    <row r="1657" customFormat="false" ht="15.5" hidden="false" customHeight="false" outlineLevel="0" collapsed="false">
      <c r="A1657" s="2719"/>
      <c r="B1657" s="298" t="str">
        <f aca="false">крыша!A541</f>
        <v>лента дельта мульти бэнд</v>
      </c>
      <c r="C1657" s="2765" t="str">
        <f aca="false">крыша!B541</f>
        <v>шт</v>
      </c>
      <c r="D1657" s="298" t="n">
        <f aca="false">крыша!C541</f>
        <v>1.6695097190832</v>
      </c>
      <c r="E1657" s="298" t="n">
        <f aca="false">крыша!D541</f>
        <v>1200</v>
      </c>
      <c r="F1657" s="298"/>
      <c r="G1657" s="122" t="n">
        <f aca="false">IF(F1657&gt;0,D1657*F1657,E1657*D1657)</f>
        <v>2003.41166289984</v>
      </c>
      <c r="H1657" s="85" t="n">
        <f aca="false">D1657*E1657*$H$1623</f>
        <v>0</v>
      </c>
      <c r="I1657" s="2784" t="n">
        <f aca="false">IF(G1657&gt;H1657,G1657,H1657)*$H$1622</f>
        <v>0</v>
      </c>
      <c r="J1657" s="2744"/>
      <c r="K1657" s="226" t="n">
        <f aca="false">D1657-J1657</f>
        <v>1.6695097190832</v>
      </c>
      <c r="L1657" s="2736"/>
    </row>
    <row r="1658" customFormat="false" ht="15.5" hidden="false" customHeight="false" outlineLevel="0" collapsed="false">
      <c r="A1658" s="2719"/>
      <c r="B1658" s="298" t="str">
        <f aca="false">крыша!A542</f>
        <v>лента дельта sb-60</v>
      </c>
      <c r="C1658" s="2765" t="str">
        <f aca="false">крыша!B542</f>
        <v>шт</v>
      </c>
      <c r="D1658" s="298" t="n">
        <f aca="false">крыша!C542</f>
        <v>0.801364665159936</v>
      </c>
      <c r="E1658" s="298" t="n">
        <f aca="false">крыша!D542</f>
        <v>1100</v>
      </c>
      <c r="F1658" s="298"/>
      <c r="G1658" s="122" t="n">
        <f aca="false">IF(F1658&gt;0,D1658*F1658,E1658*D1658)</f>
        <v>881.50113167593</v>
      </c>
      <c r="H1658" s="85" t="n">
        <f aca="false">D1658*E1658*$H$1623</f>
        <v>0</v>
      </c>
      <c r="I1658" s="2784" t="n">
        <f aca="false">IF(G1658&gt;H1658,G1658,H1658)*$H$1622</f>
        <v>0</v>
      </c>
      <c r="J1658" s="2744"/>
      <c r="K1658" s="226" t="n">
        <f aca="false">D1658-J1658</f>
        <v>0.801364665159936</v>
      </c>
      <c r="L1658" s="2736"/>
    </row>
    <row r="1659" customFormat="false" ht="15.5" hidden="false" customHeight="false" outlineLevel="0" collapsed="false">
      <c r="A1659" s="2719"/>
      <c r="B1659" s="298" t="str">
        <f aca="false">крыша!A543</f>
        <v>Кровельный саморез</v>
      </c>
      <c r="C1659" s="2765" t="str">
        <f aca="false">крыша!B543</f>
        <v>шт</v>
      </c>
      <c r="D1659" s="298" t="n">
        <f aca="false">крыша!C543</f>
        <v>240.409399547981</v>
      </c>
      <c r="E1659" s="298" t="n">
        <f aca="false">крыша!D543</f>
        <v>2</v>
      </c>
      <c r="F1659" s="298"/>
      <c r="G1659" s="122" t="n">
        <f aca="false">IF(F1659&gt;0,D1659*F1659,E1659*D1659)</f>
        <v>480.818799095962</v>
      </c>
      <c r="H1659" s="85" t="n">
        <f aca="false">D1659*E1659*$H$1623</f>
        <v>0</v>
      </c>
      <c r="I1659" s="2784" t="n">
        <f aca="false">IF(G1659&gt;H1659,G1659,H1659)*$H$1622</f>
        <v>0</v>
      </c>
      <c r="J1659" s="2744"/>
      <c r="K1659" s="226" t="n">
        <f aca="false">D1659-J1659</f>
        <v>240.409399547981</v>
      </c>
      <c r="L1659" s="2736"/>
    </row>
    <row r="1660" customFormat="false" ht="15.5" hidden="false" customHeight="false" outlineLevel="0" collapsed="false">
      <c r="A1660" s="2719"/>
      <c r="B1660" s="298" t="str">
        <f aca="false">крыша!A544</f>
        <v>Гвозди ершоные 3,4 x 60</v>
      </c>
      <c r="C1660" s="2765" t="str">
        <f aca="false">крыша!B544</f>
        <v>кг</v>
      </c>
      <c r="D1660" s="298" t="n">
        <f aca="false">крыша!C544</f>
        <v>7.5918757751994</v>
      </c>
      <c r="E1660" s="298" t="n">
        <f aca="false">крыша!D544</f>
        <v>75.51</v>
      </c>
      <c r="F1660" s="298"/>
      <c r="G1660" s="122" t="n">
        <f aca="false">IF(F1660&gt;0,D1660*F1660,E1660*D1660)</f>
        <v>573.262539785306</v>
      </c>
      <c r="H1660" s="85" t="n">
        <f aca="false">D1660*E1660*$H$1623</f>
        <v>0</v>
      </c>
      <c r="I1660" s="2784" t="n">
        <f aca="false">IF(G1660&gt;H1660,G1660,H1660)*$H$1622</f>
        <v>0</v>
      </c>
      <c r="J1660" s="2744"/>
      <c r="K1660" s="226" t="n">
        <f aca="false">D1660-J1660</f>
        <v>7.5918757751994</v>
      </c>
      <c r="L1660" s="2736"/>
    </row>
    <row r="1661" customFormat="false" ht="15.5" hidden="false" customHeight="false" outlineLevel="0" collapsed="false">
      <c r="A1661" s="2719"/>
      <c r="B1661" s="298" t="str">
        <f aca="false">крыша!A545</f>
        <v>Гвозди ершоные 2,8 х 90</v>
      </c>
      <c r="C1661" s="2765" t="str">
        <f aca="false">крыша!B545</f>
        <v>кг</v>
      </c>
      <c r="D1661" s="298" t="n">
        <f aca="false">крыша!C545</f>
        <v>19.4214233930988</v>
      </c>
      <c r="E1661" s="298" t="n">
        <f aca="false">крыша!D545</f>
        <v>76.49</v>
      </c>
      <c r="F1661" s="298"/>
      <c r="G1661" s="122" t="n">
        <f aca="false">IF(F1661&gt;0,D1661*F1661,E1661*D1661)</f>
        <v>1485.54467533813</v>
      </c>
      <c r="H1661" s="85" t="n">
        <f aca="false">D1661*E1661*$H$1623</f>
        <v>0</v>
      </c>
      <c r="I1661" s="2784" t="n">
        <f aca="false">IF(G1661&gt;H1661,G1661,H1661)*$H$1622</f>
        <v>0</v>
      </c>
      <c r="J1661" s="2744"/>
      <c r="K1661" s="226" t="n">
        <f aca="false">D1661-J1661</f>
        <v>19.4214233930988</v>
      </c>
      <c r="L1661" s="2736"/>
    </row>
    <row r="1662" customFormat="false" ht="15.5" hidden="false" customHeight="false" outlineLevel="0" collapsed="false">
      <c r="A1662" s="2719"/>
      <c r="B1662" s="298" t="str">
        <f aca="false">крыша!A546</f>
        <v>Пластина соеденительная 100х240х2</v>
      </c>
      <c r="C1662" s="2765" t="str">
        <f aca="false">крыша!B546</f>
        <v>шт</v>
      </c>
      <c r="D1662" s="298" t="n">
        <f aca="false">крыша!C546</f>
        <v>18</v>
      </c>
      <c r="E1662" s="298" t="n">
        <f aca="false">крыша!D546</f>
        <v>31.54</v>
      </c>
      <c r="F1662" s="298"/>
      <c r="G1662" s="122" t="n">
        <f aca="false">IF(F1662&gt;0,D1662*F1662,E1662*D1662)</f>
        <v>567.72</v>
      </c>
      <c r="H1662" s="85" t="n">
        <f aca="false">D1662*E1662*$H$1623</f>
        <v>0</v>
      </c>
      <c r="I1662" s="2784" t="n">
        <f aca="false">IF(G1662&gt;H1662,G1662,H1662)*$H$1622</f>
        <v>0</v>
      </c>
      <c r="J1662" s="2744"/>
      <c r="K1662" s="226" t="n">
        <f aca="false">D1662-J1662</f>
        <v>18</v>
      </c>
      <c r="L1662" s="2736"/>
    </row>
    <row r="1663" customFormat="false" ht="15.5" hidden="false" customHeight="false" outlineLevel="0" collapsed="false">
      <c r="A1663" s="2719"/>
      <c r="B1663" s="298" t="str">
        <f aca="false">крыша!A547</f>
        <v>Уголок усиленный 90х70х55х2,5</v>
      </c>
      <c r="C1663" s="2765" t="str">
        <f aca="false">крыша!B547</f>
        <v>шт</v>
      </c>
      <c r="D1663" s="298" t="n">
        <f aca="false">крыша!C547</f>
        <v>18</v>
      </c>
      <c r="E1663" s="298" t="n">
        <f aca="false">крыша!D547</f>
        <v>30</v>
      </c>
      <c r="F1663" s="298"/>
      <c r="G1663" s="122" t="n">
        <f aca="false">IF(F1663&gt;0,D1663*F1663,E1663*D1663)</f>
        <v>540</v>
      </c>
      <c r="H1663" s="85" t="n">
        <f aca="false">D1663*E1663*$H$1623</f>
        <v>0</v>
      </c>
      <c r="I1663" s="2784" t="n">
        <f aca="false">IF(G1663&gt;H1663,G1663,H1663)*$H$1622</f>
        <v>0</v>
      </c>
      <c r="J1663" s="2744"/>
      <c r="K1663" s="226" t="n">
        <f aca="false">D1663-J1663</f>
        <v>18</v>
      </c>
      <c r="L1663" s="2736"/>
    </row>
    <row r="1664" customFormat="false" ht="15.5" hidden="false" customHeight="false" outlineLevel="0" collapsed="false">
      <c r="A1664" s="2719"/>
      <c r="B1664" s="2748" t="s">
        <v>4640</v>
      </c>
      <c r="C1664" s="2748"/>
      <c r="D1664" s="2748"/>
      <c r="E1664" s="2748"/>
      <c r="F1664" s="2748"/>
      <c r="G1664" s="2210" t="n">
        <f aca="false">SUM(G1624:G1663)*H1622</f>
        <v>0</v>
      </c>
      <c r="H1664" s="2210" t="n">
        <f aca="false">SUM(H1624:H1663)</f>
        <v>0</v>
      </c>
      <c r="I1664" s="2784" t="n">
        <f aca="false">IF(G1664&gt;H1664,G1664,H1664)*$H$1622</f>
        <v>0</v>
      </c>
      <c r="J1664" s="2744"/>
      <c r="K1664" s="226" t="n">
        <f aca="false">D1664-J1664</f>
        <v>0</v>
      </c>
      <c r="L1664" s="2736"/>
    </row>
    <row r="1665" customFormat="false" ht="15.5" hidden="false" customHeight="false" outlineLevel="0" collapsed="false">
      <c r="A1665" s="2719"/>
      <c r="B1665" s="2750" t="s">
        <v>1409</v>
      </c>
      <c r="C1665" s="2750"/>
      <c r="D1665" s="2750"/>
      <c r="E1665" s="2750"/>
      <c r="F1665" s="2750"/>
      <c r="G1665" s="905"/>
      <c r="H1665" s="2766" t="n">
        <f aca="false">H1622</f>
        <v>0</v>
      </c>
      <c r="I1665" s="2818" t="n">
        <f aca="false">H1665</f>
        <v>0</v>
      </c>
      <c r="J1665" s="2752"/>
      <c r="K1665" s="2753"/>
    </row>
    <row r="1666" customFormat="false" ht="15.5" hidden="false" customHeight="false" outlineLevel="0" collapsed="false">
      <c r="A1666" s="2712"/>
      <c r="B1666" s="2648" t="str">
        <f aca="false">крыша!G508</f>
        <v>монтаж стропил</v>
      </c>
      <c r="C1666" s="2765" t="s">
        <v>133</v>
      </c>
      <c r="D1666" s="298" t="n">
        <f aca="false">крыша!J508</f>
        <v>20.0341166289984</v>
      </c>
      <c r="E1666" s="177" t="n">
        <f aca="false">крыша!K508</f>
        <v>450</v>
      </c>
      <c r="F1666" s="177"/>
      <c r="G1666" s="122" t="n">
        <f aca="false">IF(F1666&gt;0,D1666*F1666,E1666*D1666)</f>
        <v>9015.35248304928</v>
      </c>
      <c r="H1666" s="2210" t="n">
        <f aca="false">D1666*E1666*$H$1665</f>
        <v>0</v>
      </c>
      <c r="I1666" s="2718" t="n">
        <f aca="false">IF(G1666&gt;H1666,G1666,H1666)*$H$1622</f>
        <v>0</v>
      </c>
      <c r="J1666" s="2712"/>
      <c r="K1666" s="2719"/>
    </row>
    <row r="1667" customFormat="false" ht="15.5" hidden="false" customHeight="false" outlineLevel="0" collapsed="false">
      <c r="A1667" s="2719"/>
      <c r="B1667" s="2648" t="str">
        <f aca="false">крыша!G509</f>
        <v>обрешетка</v>
      </c>
      <c r="C1667" s="2765" t="s">
        <v>133</v>
      </c>
      <c r="D1667" s="298" t="n">
        <f aca="false">крыша!J509</f>
        <v>20.0341166289984</v>
      </c>
      <c r="E1667" s="177" t="n">
        <f aca="false">крыша!K509</f>
        <v>100</v>
      </c>
      <c r="F1667" s="177"/>
      <c r="G1667" s="122" t="n">
        <f aca="false">IF(F1667&gt;0,D1667*F1667,E1667*D1667)</f>
        <v>2003.41166289984</v>
      </c>
      <c r="H1667" s="2210" t="n">
        <f aca="false">D1667*E1667*$H$1665</f>
        <v>0</v>
      </c>
      <c r="I1667" s="2718" t="n">
        <f aca="false">IF(G1667&gt;H1667,G1667,H1667)*$H$1622</f>
        <v>0</v>
      </c>
      <c r="J1667" s="2712"/>
      <c r="K1667" s="2719"/>
    </row>
    <row r="1668" customFormat="false" ht="15.5" hidden="false" customHeight="false" outlineLevel="0" collapsed="false">
      <c r="A1668" s="2719"/>
      <c r="B1668" s="2648" t="str">
        <f aca="false">крыша!G510</f>
        <v>контробеш</v>
      </c>
      <c r="C1668" s="2765" t="s">
        <v>133</v>
      </c>
      <c r="D1668" s="298" t="n">
        <f aca="false">крыша!J510</f>
        <v>20.0341166289984</v>
      </c>
      <c r="E1668" s="177" t="n">
        <f aca="false">крыша!K510</f>
        <v>100</v>
      </c>
      <c r="F1668" s="177"/>
      <c r="G1668" s="122" t="n">
        <f aca="false">IF(F1668&gt;0,D1668*F1668,E1668*D1668)</f>
        <v>2003.41166289984</v>
      </c>
      <c r="H1668" s="2210" t="n">
        <f aca="false">D1668*E1668*$H$1665</f>
        <v>0</v>
      </c>
      <c r="I1668" s="2718" t="n">
        <f aca="false">IF(G1668&gt;H1668,G1668,H1668)*$H$1622</f>
        <v>0</v>
      </c>
      <c r="J1668" s="2712"/>
      <c r="K1668" s="2719"/>
    </row>
    <row r="1669" customFormat="false" ht="15.5" hidden="false" customHeight="false" outlineLevel="0" collapsed="false">
      <c r="A1669" s="2719"/>
      <c r="B1669" s="2648" t="str">
        <f aca="false">крыша!G511</f>
        <v>мембрана</v>
      </c>
      <c r="C1669" s="2765" t="s">
        <v>133</v>
      </c>
      <c r="D1669" s="298" t="n">
        <f aca="false">крыша!J511</f>
        <v>0</v>
      </c>
      <c r="E1669" s="177" t="n">
        <f aca="false">крыша!K511</f>
        <v>100</v>
      </c>
      <c r="F1669" s="177"/>
      <c r="G1669" s="122" t="n">
        <f aca="false">IF(F1669&gt;0,D1669*F1669,E1669*D1669)</f>
        <v>0</v>
      </c>
      <c r="H1669" s="2210" t="n">
        <f aca="false">D1669*E1669*$H$1665</f>
        <v>0</v>
      </c>
      <c r="I1669" s="2718" t="n">
        <f aca="false">IF(G1669&gt;H1669,G1669,H1669)*$H$1622</f>
        <v>0</v>
      </c>
      <c r="J1669" s="2712"/>
      <c r="K1669" s="2719"/>
    </row>
    <row r="1670" customFormat="false" ht="15.5" hidden="false" customHeight="false" outlineLevel="0" collapsed="false">
      <c r="A1670" s="2719"/>
      <c r="B1670" s="2648" t="str">
        <f aca="false">крыша!G512</f>
        <v>пароизоляц</v>
      </c>
      <c r="C1670" s="2765" t="s">
        <v>133</v>
      </c>
      <c r="D1670" s="298" t="n">
        <f aca="false">крыша!J512</f>
        <v>0</v>
      </c>
      <c r="E1670" s="177" t="n">
        <f aca="false">крыша!K512</f>
        <v>100</v>
      </c>
      <c r="F1670" s="177"/>
      <c r="G1670" s="122" t="n">
        <f aca="false">IF(F1670&gt;0,D1670*F1670,E1670*D1670)</f>
        <v>0</v>
      </c>
      <c r="H1670" s="2210" t="n">
        <f aca="false">D1670*E1670*$H$1665</f>
        <v>0</v>
      </c>
      <c r="I1670" s="2718" t="n">
        <f aca="false">IF(G1670&gt;H1670,G1670,H1670)*$H$1622</f>
        <v>0</v>
      </c>
      <c r="J1670" s="2712"/>
      <c r="K1670" s="2719"/>
    </row>
    <row r="1671" customFormat="false" ht="15.5" hidden="false" customHeight="false" outlineLevel="0" collapsed="false">
      <c r="A1671" s="2719"/>
      <c r="B1671" s="2648" t="str">
        <f aca="false">крыша!G513</f>
        <v>утеплитель</v>
      </c>
      <c r="C1671" s="2765" t="s">
        <v>133</v>
      </c>
      <c r="D1671" s="298" t="n">
        <f aca="false">крыша!J513</f>
        <v>20.0341166289984</v>
      </c>
      <c r="E1671" s="177" t="n">
        <f aca="false">крыша!K513</f>
        <v>200</v>
      </c>
      <c r="F1671" s="177"/>
      <c r="G1671" s="122" t="n">
        <f aca="false">IF(F1671&gt;0,D1671*F1671,E1671*D1671)</f>
        <v>4006.82332579968</v>
      </c>
      <c r="H1671" s="2210" t="n">
        <f aca="false">D1671*E1671*$H$1665</f>
        <v>0</v>
      </c>
      <c r="I1671" s="2718" t="n">
        <f aca="false">IF(G1671&gt;H1671,G1671,H1671)*$H$1622</f>
        <v>0</v>
      </c>
      <c r="J1671" s="2712"/>
      <c r="K1671" s="2719"/>
    </row>
    <row r="1672" customFormat="false" ht="15.5" hidden="false" customHeight="false" outlineLevel="0" collapsed="false">
      <c r="A1672" s="2719"/>
      <c r="B1672" s="2648" t="str">
        <f aca="false">крыша!G514</f>
        <v>Монтаж металлочерепицы</v>
      </c>
      <c r="C1672" s="2765" t="s">
        <v>133</v>
      </c>
      <c r="D1672" s="298" t="n">
        <f aca="false">крыша!J514</f>
        <v>20.0341166289984</v>
      </c>
      <c r="E1672" s="177" t="n">
        <f aca="false">крыша!K514</f>
        <v>300</v>
      </c>
      <c r="F1672" s="177"/>
      <c r="G1672" s="122" t="n">
        <f aca="false">IF(F1672&gt;0,D1672*F1672,E1672*D1672)</f>
        <v>6010.23498869952</v>
      </c>
      <c r="H1672" s="2210" t="n">
        <f aca="false">D1672*E1672*$H$1665</f>
        <v>0</v>
      </c>
      <c r="I1672" s="2718" t="n">
        <f aca="false">IF(G1672&gt;H1672,G1672,H1672)*$H$1622</f>
        <v>0</v>
      </c>
      <c r="J1672" s="2712"/>
      <c r="K1672" s="2719"/>
    </row>
    <row r="1673" customFormat="false" ht="15.5" hidden="false" customHeight="false" outlineLevel="0" collapsed="false">
      <c r="A1673" s="2719"/>
      <c r="B1673" s="2648" t="str">
        <f aca="false">крыша!G515</f>
        <v>карнизная планка</v>
      </c>
      <c r="C1673" s="2765" t="s">
        <v>156</v>
      </c>
      <c r="D1673" s="298" t="n">
        <f aca="false">крыша!J515</f>
        <v>4</v>
      </c>
      <c r="E1673" s="177" t="n">
        <f aca="false">крыша!K515</f>
        <v>100</v>
      </c>
      <c r="F1673" s="177"/>
      <c r="G1673" s="122" t="n">
        <f aca="false">IF(F1673&gt;0,D1673*F1673,E1673*D1673)</f>
        <v>400</v>
      </c>
      <c r="H1673" s="2210" t="n">
        <f aca="false">D1673*E1673*$H$1665</f>
        <v>0</v>
      </c>
      <c r="I1673" s="2718" t="n">
        <f aca="false">IF(G1673&gt;H1673,G1673,H1673)*$H$1622</f>
        <v>0</v>
      </c>
      <c r="J1673" s="2712"/>
      <c r="K1673" s="2719"/>
    </row>
    <row r="1674" customFormat="false" ht="15.5" hidden="false" customHeight="false" outlineLevel="0" collapsed="false">
      <c r="A1674" s="2719"/>
      <c r="B1674" s="2648" t="str">
        <f aca="false">крыша!G516</f>
        <v>торцевая планка</v>
      </c>
      <c r="C1674" s="2765" t="s">
        <v>156</v>
      </c>
      <c r="D1674" s="298" t="n">
        <f aca="false">крыша!J516</f>
        <v>10.5442719099992</v>
      </c>
      <c r="E1674" s="177" t="n">
        <f aca="false">крыша!K516</f>
        <v>100</v>
      </c>
      <c r="F1674" s="177"/>
      <c r="G1674" s="122" t="n">
        <f aca="false">IF(F1674&gt;0,D1674*F1674,E1674*D1674)</f>
        <v>1054.42719099992</v>
      </c>
      <c r="H1674" s="2210" t="n">
        <f aca="false">D1674*E1674*$H$1665</f>
        <v>0</v>
      </c>
      <c r="I1674" s="2718" t="n">
        <f aca="false">IF(G1674&gt;H1674,G1674,H1674)*$H$1622</f>
        <v>0</v>
      </c>
      <c r="J1674" s="2712"/>
      <c r="K1674" s="2719"/>
    </row>
    <row r="1675" customFormat="false" ht="15.5" hidden="false" customHeight="false" outlineLevel="0" collapsed="false">
      <c r="A1675" s="2719"/>
      <c r="B1675" s="2648" t="str">
        <f aca="false">крыша!G517</f>
        <v>Монтаж ондулина</v>
      </c>
      <c r="C1675" s="2765" t="s">
        <v>133</v>
      </c>
      <c r="D1675" s="298" t="n">
        <f aca="false">крыша!J517</f>
        <v>0</v>
      </c>
      <c r="E1675" s="177" t="n">
        <f aca="false">крыша!K517</f>
        <v>300</v>
      </c>
      <c r="F1675" s="177"/>
      <c r="G1675" s="122" t="n">
        <f aca="false">IF(F1675&gt;0,D1675*F1675,E1675*D1675)</f>
        <v>0</v>
      </c>
      <c r="H1675" s="2210" t="n">
        <f aca="false">D1675*E1675*$H$1665</f>
        <v>0</v>
      </c>
      <c r="I1675" s="2718" t="n">
        <f aca="false">IF(G1675&gt;H1675,G1675,H1675)*$H$1622</f>
        <v>0</v>
      </c>
      <c r="J1675" s="2712"/>
      <c r="K1675" s="2719"/>
    </row>
    <row r="1676" customFormat="false" ht="15.5" hidden="false" customHeight="false" outlineLevel="0" collapsed="false">
      <c r="A1676" s="2719"/>
      <c r="B1676" s="2648" t="str">
        <f aca="false">крыша!G518</f>
        <v>Монтаж фанеры/osb</v>
      </c>
      <c r="C1676" s="2765" t="s">
        <v>133</v>
      </c>
      <c r="D1676" s="298" t="n">
        <f aca="false">крыша!J518</f>
        <v>20.0341166289984</v>
      </c>
      <c r="E1676" s="177" t="n">
        <f aca="false">крыша!K518</f>
        <v>200</v>
      </c>
      <c r="F1676" s="177"/>
      <c r="G1676" s="122" t="n">
        <f aca="false">IF(F1676&gt;0,D1676*F1676,E1676*D1676)</f>
        <v>4006.82332579968</v>
      </c>
      <c r="H1676" s="2210" t="n">
        <f aca="false">D1676*E1676*$H$1665</f>
        <v>0</v>
      </c>
      <c r="I1676" s="2718" t="n">
        <f aca="false">IF(G1676&gt;H1676,G1676,H1676)*$H$1622</f>
        <v>0</v>
      </c>
      <c r="J1676" s="2712"/>
      <c r="K1676" s="2719"/>
    </row>
    <row r="1677" customFormat="false" ht="15.5" hidden="false" customHeight="false" outlineLevel="0" collapsed="false">
      <c r="A1677" s="2719"/>
      <c r="B1677" s="2648" t="str">
        <f aca="false">крыша!G519</f>
        <v>монтаж подкладочного ковра</v>
      </c>
      <c r="C1677" s="2765" t="s">
        <v>133</v>
      </c>
      <c r="D1677" s="298" t="n">
        <f aca="false">крыша!J519</f>
        <v>0</v>
      </c>
      <c r="E1677" s="177" t="n">
        <f aca="false">крыша!K519</f>
        <v>150</v>
      </c>
      <c r="F1677" s="177"/>
      <c r="G1677" s="122" t="n">
        <f aca="false">IF(F1677&gt;0,D1677*F1677,E1677*D1677)</f>
        <v>0</v>
      </c>
      <c r="H1677" s="2210" t="n">
        <f aca="false">D1677*E1677*$H$1665</f>
        <v>0</v>
      </c>
      <c r="I1677" s="2718" t="n">
        <f aca="false">IF(G1677&gt;H1677,G1677,H1677)*$H$1622</f>
        <v>0</v>
      </c>
      <c r="J1677" s="2712"/>
      <c r="K1677" s="2719"/>
    </row>
    <row r="1678" customFormat="false" ht="15.5" hidden="false" customHeight="false" outlineLevel="0" collapsed="false">
      <c r="A1678" s="2719"/>
      <c r="B1678" s="2648" t="str">
        <f aca="false">крыша!G520</f>
        <v>Монтаж мягкой кровли</v>
      </c>
      <c r="C1678" s="2765" t="s">
        <v>133</v>
      </c>
      <c r="D1678" s="298" t="n">
        <f aca="false">крыша!J520</f>
        <v>0</v>
      </c>
      <c r="E1678" s="177" t="n">
        <f aca="false">крыша!K520</f>
        <v>350</v>
      </c>
      <c r="F1678" s="177"/>
      <c r="G1678" s="122" t="n">
        <f aca="false">IF(F1678&gt;0,D1678*F1678,E1678*D1678)</f>
        <v>0</v>
      </c>
      <c r="H1678" s="2210" t="n">
        <f aca="false">D1678*E1678*$H$1665</f>
        <v>0</v>
      </c>
      <c r="I1678" s="2718" t="n">
        <f aca="false">IF(G1678&gt;H1678,G1678,H1678)*$H$1622</f>
        <v>0</v>
      </c>
      <c r="J1678" s="2712"/>
      <c r="K1678" s="2719"/>
    </row>
    <row r="1679" customFormat="false" ht="15.5" hidden="false" customHeight="false" outlineLevel="0" collapsed="false">
      <c r="A1679" s="2719"/>
      <c r="B1679" s="2748" t="s">
        <v>4641</v>
      </c>
      <c r="C1679" s="2748"/>
      <c r="D1679" s="2748"/>
      <c r="E1679" s="2748"/>
      <c r="F1679" s="2748"/>
      <c r="G1679" s="2210" t="n">
        <f aca="false">SUM(G1666:G1678)*H1665</f>
        <v>0</v>
      </c>
      <c r="H1679" s="2210" t="n">
        <f aca="false">SUM(H1666:H1678)</f>
        <v>0</v>
      </c>
      <c r="I1679" s="2718" t="n">
        <f aca="false">IF(G1679&gt;H1679,G1679,H1679)*$H$1622</f>
        <v>0</v>
      </c>
      <c r="J1679" s="2712"/>
      <c r="K1679" s="2719"/>
    </row>
    <row r="1680" customFormat="false" ht="21" hidden="false" customHeight="false" outlineLevel="0" collapsed="false">
      <c r="A1680" s="2719"/>
      <c r="B1680" s="2830" t="s">
        <v>4662</v>
      </c>
      <c r="C1680" s="2830"/>
      <c r="D1680" s="2830"/>
      <c r="E1680" s="2830"/>
      <c r="F1680" s="2831"/>
      <c r="G1680" s="905"/>
      <c r="H1680" s="2832" t="n">
        <f aca="false">пристройка!D2</f>
        <v>0</v>
      </c>
      <c r="I1680" s="2818" t="n">
        <f aca="false">H1680</f>
        <v>0</v>
      </c>
      <c r="J1680" s="2712"/>
      <c r="K1680" s="2719"/>
    </row>
    <row r="1681" customFormat="false" ht="15.5" hidden="false" customHeight="false" outlineLevel="0" collapsed="false">
      <c r="A1681" s="2712"/>
      <c r="B1681" s="2775" t="s">
        <v>2720</v>
      </c>
      <c r="C1681" s="2775"/>
      <c r="D1681" s="2775"/>
      <c r="E1681" s="2775"/>
      <c r="F1681" s="2783"/>
      <c r="G1681" s="905"/>
      <c r="H1681" s="2776" t="n">
        <f aca="false">H1680</f>
        <v>0</v>
      </c>
      <c r="I1681" s="2818" t="n">
        <f aca="false">H1681</f>
        <v>0</v>
      </c>
      <c r="J1681" s="2732"/>
      <c r="K1681" s="2733"/>
    </row>
    <row r="1682" customFormat="false" ht="15.5" hidden="false" customHeight="false" outlineLevel="0" collapsed="false">
      <c r="A1682" s="2712"/>
      <c r="B1682" s="298" t="str">
        <f aca="false">пристройка!A210</f>
        <v>Доска сухая калиброванная, 190*45мм</v>
      </c>
      <c r="C1682" s="2765" t="str">
        <f aca="false">пристройка!B210</f>
        <v>м3</v>
      </c>
      <c r="D1682" s="298" t="n">
        <f aca="false">пристройка!C210</f>
        <v>0</v>
      </c>
      <c r="E1682" s="177" t="n">
        <f aca="false">пристройка!D210</f>
        <v>12500</v>
      </c>
      <c r="F1682" s="177"/>
      <c r="G1682" s="122" t="n">
        <f aca="false">IF(F1682&gt;0,D1682*F1682,E1682*D1682)</f>
        <v>0</v>
      </c>
      <c r="H1682" s="85" t="n">
        <f aca="false">D1682*E1682*$H$1681</f>
        <v>0</v>
      </c>
      <c r="I1682" s="2784" t="n">
        <f aca="false">IF(G1682&gt;H1682,G1682,H1682)*$H$1680</f>
        <v>0</v>
      </c>
      <c r="J1682" s="2744"/>
      <c r="K1682" s="226" t="n">
        <f aca="false">D1682-J1682</f>
        <v>0</v>
      </c>
      <c r="L1682" s="2736"/>
    </row>
    <row r="1683" customFormat="false" ht="15.5" hidden="false" customHeight="false" outlineLevel="0" collapsed="false">
      <c r="A1683" s="2719"/>
      <c r="B1683" s="298" t="str">
        <f aca="false">пристройка!A211</f>
        <v>Болты анкерные с гайкой 12,0 х 280</v>
      </c>
      <c r="C1683" s="2765" t="str">
        <f aca="false">пристройка!B211</f>
        <v>шт</v>
      </c>
      <c r="D1683" s="298" t="n">
        <f aca="false">пристройка!C211</f>
        <v>0</v>
      </c>
      <c r="E1683" s="177" t="n">
        <f aca="false">пристройка!D211</f>
        <v>27.1</v>
      </c>
      <c r="F1683" s="177"/>
      <c r="G1683" s="122" t="n">
        <f aca="false">IF(F1683&gt;0,D1683*F1683,E1683*D1683)</f>
        <v>0</v>
      </c>
      <c r="H1683" s="85" t="n">
        <f aca="false">D1683*E1683*$H$1681</f>
        <v>0</v>
      </c>
      <c r="I1683" s="2784" t="n">
        <f aca="false">IF(G1683&gt;H1683,G1683,H1683)*$H$1680</f>
        <v>0</v>
      </c>
      <c r="J1683" s="2744"/>
      <c r="K1683" s="226" t="n">
        <f aca="false">D1683-J1683</f>
        <v>0</v>
      </c>
      <c r="L1683" s="2736"/>
    </row>
    <row r="1684" customFormat="false" ht="15.5" hidden="false" customHeight="false" outlineLevel="0" collapsed="false">
      <c r="A1684" s="2719"/>
      <c r="B1684" s="298" t="str">
        <f aca="false">пристройка!A212</f>
        <v>Доска сухая, 200*50мм</v>
      </c>
      <c r="C1684" s="2765" t="str">
        <f aca="false">пристройка!B212</f>
        <v>м3</v>
      </c>
      <c r="D1684" s="298" t="n">
        <f aca="false">пристройка!C212</f>
        <v>0</v>
      </c>
      <c r="E1684" s="177" t="n">
        <f aca="false">пристройка!D212</f>
        <v>9000</v>
      </c>
      <c r="F1684" s="177"/>
      <c r="G1684" s="122" t="n">
        <f aca="false">IF(F1684&gt;0,D1684*F1684,E1684*D1684)</f>
        <v>0</v>
      </c>
      <c r="H1684" s="85" t="n">
        <f aca="false">D1684*E1684*$H$1681</f>
        <v>0</v>
      </c>
      <c r="I1684" s="2784" t="n">
        <f aca="false">IF(G1684&gt;H1684,G1684,H1684)*$H$1680</f>
        <v>0</v>
      </c>
      <c r="J1684" s="2744"/>
      <c r="K1684" s="226" t="n">
        <f aca="false">D1684-J1684</f>
        <v>0</v>
      </c>
      <c r="L1684" s="2736"/>
    </row>
    <row r="1685" customFormat="false" ht="15.5" hidden="false" customHeight="false" outlineLevel="0" collapsed="false">
      <c r="A1685" s="2719"/>
      <c r="B1685" s="298" t="str">
        <f aca="false">пристройка!A213</f>
        <v>бугель, доска</v>
      </c>
      <c r="C1685" s="2765" t="str">
        <f aca="false">пристройка!B213</f>
        <v>м3</v>
      </c>
      <c r="D1685" s="298" t="n">
        <f aca="false">пристройка!C213</f>
        <v>0</v>
      </c>
      <c r="E1685" s="177" t="n">
        <f aca="false">пристройка!D213</f>
        <v>9000</v>
      </c>
      <c r="F1685" s="177"/>
      <c r="G1685" s="122" t="n">
        <f aca="false">IF(F1685&gt;0,D1685*F1685,E1685*D1685)</f>
        <v>0</v>
      </c>
      <c r="H1685" s="85" t="n">
        <f aca="false">D1685*E1685*$H$1681</f>
        <v>0</v>
      </c>
      <c r="I1685" s="2784" t="n">
        <f aca="false">IF(G1685&gt;H1685,G1685,H1685)*$H$1680</f>
        <v>0</v>
      </c>
      <c r="J1685" s="2744"/>
      <c r="K1685" s="226" t="n">
        <f aca="false">D1685-J1685</f>
        <v>0</v>
      </c>
      <c r="L1685" s="2736"/>
    </row>
    <row r="1686" customFormat="false" ht="15.5" hidden="false" customHeight="false" outlineLevel="0" collapsed="false">
      <c r="A1686" s="2719"/>
      <c r="B1686" s="298" t="str">
        <f aca="false">пристройка!A214</f>
        <v>Сосна влаж,100*25мм</v>
      </c>
      <c r="C1686" s="2765" t="str">
        <f aca="false">пристройка!B214</f>
        <v>м3</v>
      </c>
      <c r="D1686" s="298" t="n">
        <f aca="false">пристройка!C214</f>
        <v>0</v>
      </c>
      <c r="E1686" s="177" t="n">
        <f aca="false">пристройка!D214</f>
        <v>6500</v>
      </c>
      <c r="F1686" s="177"/>
      <c r="G1686" s="122" t="n">
        <f aca="false">IF(F1686&gt;0,D1686*F1686,E1686*D1686)</f>
        <v>0</v>
      </c>
      <c r="H1686" s="85" t="n">
        <f aca="false">D1686*E1686*$H$1681</f>
        <v>0</v>
      </c>
      <c r="I1686" s="2784" t="n">
        <f aca="false">IF(G1686&gt;H1686,G1686,H1686)*$H$1680</f>
        <v>0</v>
      </c>
      <c r="J1686" s="2744"/>
      <c r="K1686" s="226" t="n">
        <f aca="false">D1686-J1686</f>
        <v>0</v>
      </c>
      <c r="L1686" s="2736"/>
    </row>
    <row r="1687" customFormat="false" ht="15.5" hidden="false" customHeight="false" outlineLevel="0" collapsed="false">
      <c r="A1687" s="2719"/>
      <c r="B1687" s="298" t="str">
        <f aca="false">пристройка!A215</f>
        <v>Доска сухая, калибр., 35*45мм</v>
      </c>
      <c r="C1687" s="2765" t="str">
        <f aca="false">пристройка!B215</f>
        <v>шт</v>
      </c>
      <c r="D1687" s="298" t="n">
        <f aca="false">пристройка!C215</f>
        <v>0</v>
      </c>
      <c r="E1687" s="177" t="n">
        <f aca="false">пристройка!D215</f>
        <v>12500</v>
      </c>
      <c r="F1687" s="177"/>
      <c r="G1687" s="122" t="n">
        <f aca="false">IF(F1687&gt;0,D1687*F1687,E1687*D1687)</f>
        <v>0</v>
      </c>
      <c r="H1687" s="85" t="n">
        <f aca="false">D1687*E1687*$H$1681</f>
        <v>0</v>
      </c>
      <c r="I1687" s="2784" t="n">
        <f aca="false">IF(G1687&gt;H1687,G1687,H1687)*$H$1680</f>
        <v>0</v>
      </c>
      <c r="J1687" s="2744"/>
      <c r="K1687" s="226" t="n">
        <f aca="false">D1687-J1687</f>
        <v>0</v>
      </c>
      <c r="L1687" s="2736"/>
    </row>
    <row r="1688" customFormat="false" ht="15.5" hidden="false" customHeight="false" outlineLevel="0" collapsed="false">
      <c r="A1688" s="2719"/>
      <c r="B1688" s="298" t="str">
        <f aca="false">пристройка!A216</f>
        <v>Мембраны Tyvek Soft</v>
      </c>
      <c r="C1688" s="2765" t="str">
        <f aca="false">пристройка!B216</f>
        <v>м2</v>
      </c>
      <c r="D1688" s="298" t="n">
        <f aca="false">пристройка!C216</f>
        <v>0</v>
      </c>
      <c r="E1688" s="298" t="n">
        <f aca="false">пристройка!D216</f>
        <v>86</v>
      </c>
      <c r="F1688" s="298"/>
      <c r="G1688" s="122" t="n">
        <f aca="false">IF(F1688&gt;0,D1688*F1688,E1688*D1688)</f>
        <v>0</v>
      </c>
      <c r="H1688" s="85" t="n">
        <f aca="false">D1688*E1688*$H$1681</f>
        <v>0</v>
      </c>
      <c r="I1688" s="2784" t="n">
        <f aca="false">IF(G1688&gt;H1688,G1688,H1688)*$H$1680</f>
        <v>0</v>
      </c>
      <c r="J1688" s="2744"/>
      <c r="K1688" s="226" t="n">
        <f aca="false">D1688-J1688</f>
        <v>0</v>
      </c>
      <c r="L1688" s="2736"/>
    </row>
    <row r="1689" customFormat="false" ht="15.5" hidden="false" customHeight="false" outlineLevel="0" collapsed="false">
      <c r="A1689" s="2719"/>
      <c r="B1689" s="298" t="str">
        <f aca="false">пристройка!A217</f>
        <v>Пленка Delta-Reflex</v>
      </c>
      <c r="C1689" s="2765" t="str">
        <f aca="false">пристройка!B217</f>
        <v>м2</v>
      </c>
      <c r="D1689" s="298" t="n">
        <f aca="false">пристройка!C217</f>
        <v>0</v>
      </c>
      <c r="E1689" s="298" t="n">
        <f aca="false">пристройка!D217</f>
        <v>156</v>
      </c>
      <c r="F1689" s="298"/>
      <c r="G1689" s="122" t="n">
        <f aca="false">IF(F1689&gt;0,D1689*F1689,E1689*D1689)</f>
        <v>0</v>
      </c>
      <c r="H1689" s="85" t="n">
        <f aca="false">D1689*E1689*$H$1681</f>
        <v>0</v>
      </c>
      <c r="I1689" s="2784" t="n">
        <f aca="false">IF(G1689&gt;H1689,G1689,H1689)*$H$1680</f>
        <v>0</v>
      </c>
      <c r="J1689" s="2744"/>
      <c r="K1689" s="226" t="n">
        <f aca="false">D1689-J1689</f>
        <v>0</v>
      </c>
      <c r="L1689" s="2736"/>
    </row>
    <row r="1690" customFormat="false" ht="15.5" hidden="false" customHeight="false" outlineLevel="0" collapsed="false">
      <c r="A1690" s="2719"/>
      <c r="B1690" s="298" t="str">
        <f aca="false">пристройка!A218</f>
        <v>Плитный,28кг/м3, технониколь, 200мм</v>
      </c>
      <c r="C1690" s="2765" t="str">
        <f aca="false">пристройка!B218</f>
        <v>м3</v>
      </c>
      <c r="D1690" s="298" t="n">
        <f aca="false">пристройка!C218</f>
        <v>0</v>
      </c>
      <c r="E1690" s="298" t="n">
        <f aca="false">пристройка!D218</f>
        <v>1700</v>
      </c>
      <c r="F1690" s="298"/>
      <c r="G1690" s="122" t="n">
        <f aca="false">IF(F1690&gt;0,D1690*F1690,E1690*D1690)</f>
        <v>0</v>
      </c>
      <c r="H1690" s="85" t="n">
        <f aca="false">D1690*E1690*$H$1681</f>
        <v>0</v>
      </c>
      <c r="I1690" s="2784" t="n">
        <f aca="false">IF(G1690&gt;H1690,G1690,H1690)*$H$1680</f>
        <v>0</v>
      </c>
      <c r="J1690" s="2744"/>
      <c r="K1690" s="226" t="n">
        <f aca="false">D1690-J1690</f>
        <v>0</v>
      </c>
      <c r="L1690" s="2736"/>
    </row>
    <row r="1691" customFormat="false" ht="15.5" hidden="false" customHeight="false" outlineLevel="0" collapsed="false">
      <c r="A1691" s="2719"/>
      <c r="B1691" s="298" t="str">
        <f aca="false">пристройка!A219</f>
        <v>металлочерепица</v>
      </c>
      <c r="C1691" s="2765" t="str">
        <f aca="false">пристройка!B219</f>
        <v>м2</v>
      </c>
      <c r="D1691" s="298" t="n">
        <f aca="false">пристройка!C219</f>
        <v>0</v>
      </c>
      <c r="E1691" s="177" t="n">
        <f aca="false">пристройка!D219</f>
        <v>250</v>
      </c>
      <c r="F1691" s="177"/>
      <c r="G1691" s="122" t="n">
        <f aca="false">IF(F1691&gt;0,D1691*F1691,E1691*D1691)</f>
        <v>0</v>
      </c>
      <c r="H1691" s="85" t="n">
        <f aca="false">D1691*E1691*$H$1681</f>
        <v>0</v>
      </c>
      <c r="I1691" s="2784" t="n">
        <f aca="false">IF(G1691&gt;H1691,G1691,H1691)*$H$1680</f>
        <v>0</v>
      </c>
      <c r="J1691" s="2744"/>
      <c r="K1691" s="226" t="n">
        <f aca="false">D1691-J1691</f>
        <v>0</v>
      </c>
      <c r="L1691" s="2736"/>
    </row>
    <row r="1692" customFormat="false" ht="15.5" hidden="false" customHeight="false" outlineLevel="0" collapsed="false">
      <c r="A1692" s="2719"/>
      <c r="B1692" s="298" t="str">
        <f aca="false">пристройка!A220</f>
        <v>Карнизная планка</v>
      </c>
      <c r="C1692" s="2765" t="str">
        <f aca="false">пристройка!B220</f>
        <v>м.п.</v>
      </c>
      <c r="D1692" s="298" t="n">
        <f aca="false">пристройка!C220</f>
        <v>0</v>
      </c>
      <c r="E1692" s="177" t="n">
        <f aca="false">пристройка!D220</f>
        <v>200</v>
      </c>
      <c r="F1692" s="177"/>
      <c r="G1692" s="122" t="n">
        <f aca="false">IF(F1692&gt;0,D1692*F1692,E1692*D1692)</f>
        <v>0</v>
      </c>
      <c r="H1692" s="85" t="n">
        <f aca="false">D1692*E1692*$H$1681</f>
        <v>0</v>
      </c>
      <c r="I1692" s="2784" t="n">
        <f aca="false">IF(G1692&gt;H1692,G1692,H1692)*$H$1680</f>
        <v>0</v>
      </c>
      <c r="J1692" s="2744"/>
      <c r="K1692" s="226" t="n">
        <f aca="false">D1692-J1692</f>
        <v>0</v>
      </c>
      <c r="L1692" s="2736"/>
    </row>
    <row r="1693" customFormat="false" ht="15.5" hidden="false" customHeight="false" outlineLevel="0" collapsed="false">
      <c r="A1693" s="2719"/>
      <c r="B1693" s="298" t="str">
        <f aca="false">пристройка!A221</f>
        <v>Торцевая планка</v>
      </c>
      <c r="C1693" s="2765" t="str">
        <f aca="false">пристройка!B221</f>
        <v>м.п.</v>
      </c>
      <c r="D1693" s="298" t="n">
        <f aca="false">пристройка!C221</f>
        <v>0</v>
      </c>
      <c r="E1693" s="298" t="n">
        <f aca="false">пристройка!D221</f>
        <v>200</v>
      </c>
      <c r="F1693" s="298"/>
      <c r="G1693" s="122" t="n">
        <f aca="false">IF(F1693&gt;0,D1693*F1693,E1693*D1693)</f>
        <v>0</v>
      </c>
      <c r="H1693" s="85" t="n">
        <f aca="false">D1693*E1693*$H$1681</f>
        <v>0</v>
      </c>
      <c r="I1693" s="2784" t="n">
        <f aca="false">IF(G1693&gt;H1693,G1693,H1693)*$H$1680</f>
        <v>0</v>
      </c>
      <c r="J1693" s="2744"/>
      <c r="K1693" s="226" t="n">
        <f aca="false">D1693-J1693</f>
        <v>0</v>
      </c>
      <c r="L1693" s="2736"/>
    </row>
    <row r="1694" customFormat="false" ht="15.5" hidden="false" customHeight="false" outlineLevel="0" collapsed="false">
      <c r="A1694" s="2719"/>
      <c r="B1694" s="298" t="str">
        <f aca="false">пристройка!A222</f>
        <v>Конек</v>
      </c>
      <c r="C1694" s="2765" t="str">
        <f aca="false">пристройка!B222</f>
        <v>м.п.</v>
      </c>
      <c r="D1694" s="298" t="n">
        <f aca="false">пристройка!C222</f>
        <v>0</v>
      </c>
      <c r="E1694" s="177" t="n">
        <f aca="false">пристройка!D222</f>
        <v>230</v>
      </c>
      <c r="F1694" s="177"/>
      <c r="G1694" s="122" t="n">
        <f aca="false">IF(F1694&gt;0,D1694*F1694,E1694*D1694)</f>
        <v>0</v>
      </c>
      <c r="H1694" s="85" t="n">
        <f aca="false">D1694*E1694*$H$1681</f>
        <v>0</v>
      </c>
      <c r="I1694" s="2784" t="n">
        <f aca="false">IF(G1694&gt;H1694,G1694,H1694)*$H$1680</f>
        <v>0</v>
      </c>
      <c r="J1694" s="2744"/>
      <c r="K1694" s="226" t="n">
        <f aca="false">D1694-J1694</f>
        <v>0</v>
      </c>
      <c r="L1694" s="2736"/>
    </row>
    <row r="1695" customFormat="false" ht="15.5" hidden="false" customHeight="false" outlineLevel="0" collapsed="false">
      <c r="A1695" s="2719"/>
      <c r="B1695" s="298" t="str">
        <f aca="false">пристройка!A223</f>
        <v>Ендова нижняя</v>
      </c>
      <c r="C1695" s="2765" t="str">
        <f aca="false">пристройка!B223</f>
        <v>м.п</v>
      </c>
      <c r="D1695" s="298" t="n">
        <f aca="false">пристройка!C223</f>
        <v>0</v>
      </c>
      <c r="E1695" s="298" t="n">
        <f aca="false">пристройка!D223</f>
        <v>160</v>
      </c>
      <c r="F1695" s="298"/>
      <c r="G1695" s="122" t="n">
        <f aca="false">IF(F1695&gt;0,D1695*F1695,E1695*D1695)</f>
        <v>0</v>
      </c>
      <c r="H1695" s="85" t="n">
        <f aca="false">D1695*E1695*$H$1681</f>
        <v>0</v>
      </c>
      <c r="I1695" s="2784" t="n">
        <f aca="false">IF(G1695&gt;H1695,G1695,H1695)*$H$1680</f>
        <v>0</v>
      </c>
      <c r="J1695" s="2744"/>
      <c r="K1695" s="226" t="n">
        <f aca="false">D1695-J1695</f>
        <v>0</v>
      </c>
      <c r="L1695" s="2736"/>
    </row>
    <row r="1696" customFormat="false" ht="15.5" hidden="false" customHeight="false" outlineLevel="0" collapsed="false">
      <c r="A1696" s="2719"/>
      <c r="B1696" s="298" t="str">
        <f aca="false">пристройка!A225</f>
        <v>Планка примыкания</v>
      </c>
      <c r="C1696" s="2765" t="str">
        <f aca="false">пристройка!B225</f>
        <v>м.п.</v>
      </c>
      <c r="D1696" s="298" t="n">
        <f aca="false">пристройка!C225</f>
        <v>0</v>
      </c>
      <c r="E1696" s="298" t="n">
        <f aca="false">пристройка!D225</f>
        <v>190</v>
      </c>
      <c r="F1696" s="298"/>
      <c r="G1696" s="122" t="n">
        <f aca="false">IF(F1696&gt;0,D1696*F1696,E1696*D1696)</f>
        <v>0</v>
      </c>
      <c r="H1696" s="85" t="n">
        <f aca="false">D1696*E1696*$H$1681</f>
        <v>0</v>
      </c>
      <c r="I1696" s="2784" t="n">
        <f aca="false">IF(G1696&gt;H1696,G1696,H1696)*$H$1680</f>
        <v>0</v>
      </c>
      <c r="J1696" s="2744"/>
      <c r="K1696" s="226" t="n">
        <f aca="false">D1696-J1696</f>
        <v>0</v>
      </c>
      <c r="L1696" s="2736"/>
    </row>
    <row r="1697" customFormat="false" ht="15.5" hidden="false" customHeight="false" outlineLevel="0" collapsed="false">
      <c r="A1697" s="2719"/>
      <c r="B1697" s="298" t="str">
        <f aca="false">пристройка!A226</f>
        <v>ондулин</v>
      </c>
      <c r="C1697" s="2765" t="str">
        <f aca="false">пристройка!B226</f>
        <v>м2</v>
      </c>
      <c r="D1697" s="298" t="n">
        <f aca="false">пристройка!C226</f>
        <v>0</v>
      </c>
      <c r="E1697" s="298" t="n">
        <f aca="false">пристройка!D226</f>
        <v>180</v>
      </c>
      <c r="F1697" s="298"/>
      <c r="G1697" s="122" t="n">
        <f aca="false">IF(F1697&gt;0,D1697*F1697,E1697*D1697)</f>
        <v>0</v>
      </c>
      <c r="H1697" s="85" t="n">
        <f aca="false">D1697*E1697*$H$1681</f>
        <v>0</v>
      </c>
      <c r="I1697" s="2784" t="n">
        <f aca="false">IF(G1697&gt;H1697,G1697,H1697)*$H$1680</f>
        <v>0</v>
      </c>
      <c r="J1697" s="2744"/>
      <c r="K1697" s="226" t="n">
        <f aca="false">D1697-J1697</f>
        <v>0</v>
      </c>
      <c r="L1697" s="2736"/>
    </row>
    <row r="1698" customFormat="false" ht="15.5" hidden="false" customHeight="false" outlineLevel="0" collapsed="false">
      <c r="A1698" s="2719"/>
      <c r="B1698" s="298" t="str">
        <f aca="false">пристройка!A227</f>
        <v>Карнизная планка</v>
      </c>
      <c r="C1698" s="2765" t="str">
        <f aca="false">пристройка!B227</f>
        <v>м.п.</v>
      </c>
      <c r="D1698" s="298" t="n">
        <f aca="false">пристройка!C227</f>
        <v>0</v>
      </c>
      <c r="E1698" s="298" t="n">
        <f aca="false">пристройка!D227</f>
        <v>190</v>
      </c>
      <c r="F1698" s="298"/>
      <c r="G1698" s="122" t="n">
        <f aca="false">IF(F1698&gt;0,D1698*F1698,E1698*D1698)</f>
        <v>0</v>
      </c>
      <c r="H1698" s="85" t="n">
        <f aca="false">D1698*E1698*$H$1681</f>
        <v>0</v>
      </c>
      <c r="I1698" s="2784" t="n">
        <f aca="false">IF(G1698&gt;H1698,G1698,H1698)*$H$1680</f>
        <v>0</v>
      </c>
      <c r="J1698" s="2744"/>
      <c r="K1698" s="226" t="n">
        <f aca="false">D1698-J1698</f>
        <v>0</v>
      </c>
      <c r="L1698" s="2736"/>
    </row>
    <row r="1699" customFormat="false" ht="15.5" hidden="false" customHeight="false" outlineLevel="0" collapsed="false">
      <c r="A1699" s="2719"/>
      <c r="B1699" s="298" t="str">
        <f aca="false">пристройка!A228</f>
        <v>Торцевая планка</v>
      </c>
      <c r="C1699" s="2765" t="str">
        <f aca="false">пристройка!B228</f>
        <v>м.п.</v>
      </c>
      <c r="D1699" s="298" t="n">
        <f aca="false">пристройка!C228</f>
        <v>0</v>
      </c>
      <c r="E1699" s="298" t="n">
        <f aca="false">пристройка!D228</f>
        <v>190</v>
      </c>
      <c r="F1699" s="298"/>
      <c r="G1699" s="122" t="n">
        <f aca="false">IF(F1699&gt;0,D1699*F1699,E1699*D1699)</f>
        <v>0</v>
      </c>
      <c r="H1699" s="85" t="n">
        <f aca="false">D1699*E1699*$H$1681</f>
        <v>0</v>
      </c>
      <c r="I1699" s="2784" t="n">
        <f aca="false">IF(G1699&gt;H1699,G1699,H1699)*$H$1680</f>
        <v>0</v>
      </c>
      <c r="J1699" s="2744"/>
      <c r="K1699" s="226" t="n">
        <f aca="false">D1699-J1699</f>
        <v>0</v>
      </c>
      <c r="L1699" s="2736"/>
    </row>
    <row r="1700" customFormat="false" ht="15.5" hidden="false" customHeight="false" outlineLevel="0" collapsed="false">
      <c r="A1700" s="2719"/>
      <c r="B1700" s="298" t="str">
        <f aca="false">пристройка!A229</f>
        <v>Конек</v>
      </c>
      <c r="C1700" s="2765" t="str">
        <f aca="false">пристройка!B229</f>
        <v>м.п.</v>
      </c>
      <c r="D1700" s="298" t="n">
        <f aca="false">пристройка!C229</f>
        <v>0</v>
      </c>
      <c r="E1700" s="298" t="n">
        <f aca="false">пристройка!D229</f>
        <v>200</v>
      </c>
      <c r="F1700" s="298"/>
      <c r="G1700" s="122" t="n">
        <f aca="false">IF(F1700&gt;0,D1700*F1700,E1700*D1700)</f>
        <v>0</v>
      </c>
      <c r="H1700" s="85" t="n">
        <f aca="false">D1700*E1700*$H$1681</f>
        <v>0</v>
      </c>
      <c r="I1700" s="2784" t="n">
        <f aca="false">IF(G1700&gt;H1700,G1700,H1700)*$H$1680</f>
        <v>0</v>
      </c>
      <c r="J1700" s="2744"/>
      <c r="K1700" s="226" t="n">
        <f aca="false">D1700-J1700</f>
        <v>0</v>
      </c>
      <c r="L1700" s="2736"/>
    </row>
    <row r="1701" customFormat="false" ht="15.5" hidden="false" customHeight="false" outlineLevel="0" collapsed="false">
      <c r="A1701" s="2719"/>
      <c r="B1701" s="298" t="str">
        <f aca="false">пристройка!A230</f>
        <v>Ендова нижняя</v>
      </c>
      <c r="C1701" s="2765" t="str">
        <f aca="false">пристройка!B230</f>
        <v>м.п.</v>
      </c>
      <c r="D1701" s="298" t="n">
        <f aca="false">пристройка!C230</f>
        <v>0</v>
      </c>
      <c r="E1701" s="298" t="n">
        <f aca="false">пристройка!D230</f>
        <v>160</v>
      </c>
      <c r="F1701" s="298"/>
      <c r="G1701" s="122" t="n">
        <f aca="false">IF(F1701&gt;0,D1701*F1701,E1701*D1701)</f>
        <v>0</v>
      </c>
      <c r="H1701" s="85" t="n">
        <f aca="false">D1701*E1701*$H$1681</f>
        <v>0</v>
      </c>
      <c r="I1701" s="2784" t="n">
        <f aca="false">IF(G1701&gt;H1701,G1701,H1701)*$H$1680</f>
        <v>0</v>
      </c>
      <c r="J1701" s="2744"/>
      <c r="K1701" s="226" t="n">
        <f aca="false">D1701-J1701</f>
        <v>0</v>
      </c>
      <c r="L1701" s="2736"/>
    </row>
    <row r="1702" customFormat="false" ht="15.5" hidden="false" customHeight="false" outlineLevel="0" collapsed="false">
      <c r="A1702" s="2719"/>
      <c r="B1702" s="298" t="str">
        <f aca="false">пристройка!A231</f>
        <v>Ендова верхняя</v>
      </c>
      <c r="C1702" s="2765" t="str">
        <f aca="false">пристройка!B231</f>
        <v>м.п.</v>
      </c>
      <c r="D1702" s="298" t="n">
        <f aca="false">пристройка!C231</f>
        <v>0</v>
      </c>
      <c r="E1702" s="298" t="n">
        <f aca="false">пристройка!D231</f>
        <v>190</v>
      </c>
      <c r="F1702" s="298"/>
      <c r="G1702" s="122" t="n">
        <f aca="false">IF(F1702&gt;0,D1702*F1702,E1702*D1702)</f>
        <v>0</v>
      </c>
      <c r="H1702" s="85" t="n">
        <f aca="false">D1702*E1702*$H$1681</f>
        <v>0</v>
      </c>
      <c r="I1702" s="2784" t="n">
        <f aca="false">IF(G1702&gt;H1702,G1702,H1702)*$H$1680</f>
        <v>0</v>
      </c>
      <c r="J1702" s="2744"/>
      <c r="K1702" s="226" t="n">
        <f aca="false">D1702-J1702</f>
        <v>0</v>
      </c>
      <c r="L1702" s="2736"/>
    </row>
    <row r="1703" customFormat="false" ht="15.5" hidden="false" customHeight="false" outlineLevel="0" collapsed="false">
      <c r="A1703" s="2719"/>
      <c r="B1703" s="298" t="str">
        <f aca="false">пристройка!A232</f>
        <v>Планка примыкания</v>
      </c>
      <c r="C1703" s="2765" t="str">
        <f aca="false">пристройка!B232</f>
        <v>м.п.</v>
      </c>
      <c r="D1703" s="298" t="n">
        <f aca="false">пристройка!C232</f>
        <v>0</v>
      </c>
      <c r="E1703" s="298" t="n">
        <f aca="false">пристройка!D232</f>
        <v>190</v>
      </c>
      <c r="F1703" s="298"/>
      <c r="G1703" s="122" t="n">
        <f aca="false">IF(F1703&gt;0,D1703*F1703,E1703*D1703)</f>
        <v>0</v>
      </c>
      <c r="H1703" s="85" t="n">
        <f aca="false">D1703*E1703*$H$1681</f>
        <v>0</v>
      </c>
      <c r="I1703" s="2784" t="n">
        <f aca="false">IF(G1703&gt;H1703,G1703,H1703)*$H$1680</f>
        <v>0</v>
      </c>
      <c r="J1703" s="2744"/>
      <c r="K1703" s="226" t="n">
        <f aca="false">D1703-J1703</f>
        <v>0</v>
      </c>
      <c r="L1703" s="2736"/>
    </row>
    <row r="1704" customFormat="false" ht="15.5" hidden="false" customHeight="false" outlineLevel="0" collapsed="false">
      <c r="A1704" s="2719"/>
      <c r="B1704" s="298" t="str">
        <f aca="false">пристройка!A233</f>
        <v>Крепеж для ондулина</v>
      </c>
      <c r="C1704" s="2765" t="str">
        <f aca="false">пристройка!B233</f>
        <v>шт</v>
      </c>
      <c r="D1704" s="298" t="n">
        <f aca="false">пристройка!C233</f>
        <v>0</v>
      </c>
      <c r="E1704" s="298" t="n">
        <f aca="false">пристройка!D233</f>
        <v>4.5</v>
      </c>
      <c r="F1704" s="298"/>
      <c r="G1704" s="122" t="n">
        <f aca="false">IF(F1704&gt;0,D1704*F1704,E1704*D1704)</f>
        <v>0</v>
      </c>
      <c r="H1704" s="85" t="n">
        <f aca="false">D1704*E1704*$H$1681</f>
        <v>0</v>
      </c>
      <c r="I1704" s="2784" t="n">
        <f aca="false">IF(G1704&gt;H1704,G1704,H1704)*$H$1680</f>
        <v>0</v>
      </c>
      <c r="J1704" s="2744"/>
      <c r="K1704" s="226" t="n">
        <f aca="false">D1704-J1704</f>
        <v>0</v>
      </c>
      <c r="L1704" s="2736"/>
    </row>
    <row r="1705" customFormat="false" ht="15.5" hidden="false" customHeight="false" outlineLevel="0" collapsed="false">
      <c r="A1705" s="2719"/>
      <c r="B1705" s="298" t="str">
        <f aca="false">пристройка!A234</f>
        <v>нет</v>
      </c>
      <c r="C1705" s="2765" t="str">
        <f aca="false">пристройка!B234</f>
        <v>м2</v>
      </c>
      <c r="D1705" s="298" t="n">
        <f aca="false">пристройка!C234</f>
        <v>0</v>
      </c>
      <c r="E1705" s="298" t="n">
        <f aca="false">пристройка!D234</f>
        <v>0</v>
      </c>
      <c r="F1705" s="298"/>
      <c r="G1705" s="122" t="n">
        <f aca="false">IF(F1705&gt;0,D1705*F1705,E1705*D1705)</f>
        <v>0</v>
      </c>
      <c r="H1705" s="85" t="n">
        <f aca="false">D1705*E1705*$H$1681</f>
        <v>0</v>
      </c>
      <c r="I1705" s="2784" t="n">
        <f aca="false">IF(G1705&gt;H1705,G1705,H1705)*$H$1680</f>
        <v>0</v>
      </c>
      <c r="J1705" s="2744"/>
      <c r="K1705" s="226" t="n">
        <f aca="false">D1705-J1705</f>
        <v>0</v>
      </c>
      <c r="L1705" s="2736"/>
    </row>
    <row r="1706" customFormat="false" ht="15.5" hidden="false" customHeight="false" outlineLevel="0" collapsed="false">
      <c r="A1706" s="2719"/>
      <c r="B1706" s="298" t="str">
        <f aca="false">пристройка!A235</f>
        <v>Рядовая черепица</v>
      </c>
      <c r="C1706" s="2765" t="str">
        <f aca="false">пристройка!B235</f>
        <v>м2</v>
      </c>
      <c r="D1706" s="298" t="n">
        <f aca="false">пристройка!C235</f>
        <v>0</v>
      </c>
      <c r="E1706" s="298" t="n">
        <f aca="false">пристройка!D235</f>
        <v>360</v>
      </c>
      <c r="F1706" s="298"/>
      <c r="G1706" s="122" t="n">
        <f aca="false">IF(F1706&gt;0,D1706*F1706,E1706*D1706)</f>
        <v>0</v>
      </c>
      <c r="H1706" s="85" t="n">
        <f aca="false">D1706*E1706*$H$1681</f>
        <v>0</v>
      </c>
      <c r="I1706" s="2784" t="n">
        <f aca="false">IF(G1706&gt;H1706,G1706,H1706)*$H$1680</f>
        <v>0</v>
      </c>
      <c r="J1706" s="2744"/>
      <c r="K1706" s="226" t="n">
        <f aca="false">D1706-J1706</f>
        <v>0</v>
      </c>
      <c r="L1706" s="2736"/>
    </row>
    <row r="1707" customFormat="false" ht="15.5" hidden="false" customHeight="false" outlineLevel="0" collapsed="false">
      <c r="A1707" s="2719"/>
      <c r="B1707" s="298" t="str">
        <f aca="false">пристройка!A236</f>
        <v>Металл оцинк защита (карниз)</v>
      </c>
      <c r="C1707" s="2765" t="str">
        <f aca="false">пристройка!B236</f>
        <v>м.п.</v>
      </c>
      <c r="D1707" s="298" t="n">
        <f aca="false">пристройка!C236</f>
        <v>0</v>
      </c>
      <c r="E1707" s="298" t="n">
        <f aca="false">пристройка!D236</f>
        <v>200</v>
      </c>
      <c r="F1707" s="298"/>
      <c r="G1707" s="122" t="n">
        <f aca="false">IF(F1707&gt;0,D1707*F1707,E1707*D1707)</f>
        <v>0</v>
      </c>
      <c r="H1707" s="85" t="n">
        <f aca="false">D1707*E1707*$H$1681</f>
        <v>0</v>
      </c>
      <c r="I1707" s="2784" t="n">
        <f aca="false">IF(G1707&gt;H1707,G1707,H1707)*$H$1680</f>
        <v>0</v>
      </c>
      <c r="J1707" s="2744"/>
      <c r="K1707" s="226" t="n">
        <f aca="false">D1707-J1707</f>
        <v>0</v>
      </c>
      <c r="L1707" s="2736"/>
    </row>
    <row r="1708" customFormat="false" ht="15.5" hidden="false" customHeight="false" outlineLevel="0" collapsed="false">
      <c r="A1708" s="2719"/>
      <c r="B1708" s="298" t="str">
        <f aca="false">пристройка!A237</f>
        <v>Подкладочный ковер</v>
      </c>
      <c r="C1708" s="2765" t="str">
        <f aca="false">пристройка!B237</f>
        <v>м.п.</v>
      </c>
      <c r="D1708" s="298" t="n">
        <f aca="false">пристройка!C237</f>
        <v>0</v>
      </c>
      <c r="E1708" s="298" t="n">
        <f aca="false">пристройка!D237</f>
        <v>220</v>
      </c>
      <c r="F1708" s="298"/>
      <c r="G1708" s="122" t="n">
        <f aca="false">IF(F1708&gt;0,D1708*F1708,E1708*D1708)</f>
        <v>0</v>
      </c>
      <c r="H1708" s="85" t="n">
        <f aca="false">D1708*E1708*$H$1681</f>
        <v>0</v>
      </c>
      <c r="I1708" s="2784" t="n">
        <f aca="false">IF(G1708&gt;H1708,G1708,H1708)*$H$1680</f>
        <v>0</v>
      </c>
      <c r="J1708" s="2744"/>
      <c r="K1708" s="226" t="n">
        <f aca="false">D1708-J1708</f>
        <v>0</v>
      </c>
      <c r="L1708" s="2736"/>
    </row>
    <row r="1709" customFormat="false" ht="15.5" hidden="false" customHeight="false" outlineLevel="0" collapsed="false">
      <c r="A1709" s="2719"/>
      <c r="B1709" s="298" t="str">
        <f aca="false">пристройка!A238</f>
        <v>Карнизная самоклеющаяся черепица</v>
      </c>
      <c r="C1709" s="2765" t="str">
        <f aca="false">пристройка!B238</f>
        <v>м.п.</v>
      </c>
      <c r="D1709" s="298" t="n">
        <f aca="false">пристройка!C238</f>
        <v>0</v>
      </c>
      <c r="E1709" s="298" t="n">
        <f aca="false">пристройка!D238</f>
        <v>220</v>
      </c>
      <c r="F1709" s="298"/>
      <c r="G1709" s="122" t="n">
        <f aca="false">IF(F1709&gt;0,D1709*F1709,E1709*D1709)</f>
        <v>0</v>
      </c>
      <c r="H1709" s="85" t="n">
        <f aca="false">D1709*E1709*$H$1681</f>
        <v>0</v>
      </c>
      <c r="I1709" s="2784" t="n">
        <f aca="false">IF(G1709&gt;H1709,G1709,H1709)*$H$1680</f>
        <v>0</v>
      </c>
      <c r="J1709" s="2744"/>
      <c r="K1709" s="226" t="n">
        <f aca="false">D1709-J1709</f>
        <v>0</v>
      </c>
      <c r="L1709" s="2736"/>
    </row>
    <row r="1710" customFormat="false" ht="15.5" hidden="false" customHeight="false" outlineLevel="0" collapsed="false">
      <c r="A1710" s="2719"/>
      <c r="B1710" s="298" t="str">
        <f aca="false">пристройка!A239</f>
        <v>Спец ковер ендова нижняя</v>
      </c>
      <c r="C1710" s="2765" t="str">
        <f aca="false">пристройка!B239</f>
        <v>м.п.</v>
      </c>
      <c r="D1710" s="298" t="n">
        <f aca="false">пристройка!C239</f>
        <v>0</v>
      </c>
      <c r="E1710" s="298" t="n">
        <f aca="false">пристройка!D239</f>
        <v>200</v>
      </c>
      <c r="F1710" s="298"/>
      <c r="G1710" s="122" t="n">
        <f aca="false">IF(F1710&gt;0,D1710*F1710,E1710*D1710)</f>
        <v>0</v>
      </c>
      <c r="H1710" s="85" t="n">
        <f aca="false">D1710*E1710*$H$1681</f>
        <v>0</v>
      </c>
      <c r="I1710" s="2784" t="n">
        <f aca="false">IF(G1710&gt;H1710,G1710,H1710)*$H$1680</f>
        <v>0</v>
      </c>
      <c r="J1710" s="2744"/>
      <c r="K1710" s="226" t="n">
        <f aca="false">D1710-J1710</f>
        <v>0</v>
      </c>
      <c r="L1710" s="2736"/>
    </row>
    <row r="1711" customFormat="false" ht="15.5" hidden="false" customHeight="false" outlineLevel="0" collapsed="false">
      <c r="A1711" s="2719"/>
      <c r="B1711" s="298" t="str">
        <f aca="false">пристройка!A240</f>
        <v>Коньковой элемент</v>
      </c>
      <c r="C1711" s="2765" t="str">
        <f aca="false">пристройка!B240</f>
        <v>м.п.</v>
      </c>
      <c r="D1711" s="298" t="n">
        <f aca="false">пристройка!C240</f>
        <v>0</v>
      </c>
      <c r="E1711" s="298" t="n">
        <f aca="false">пристройка!D240</f>
        <v>250</v>
      </c>
      <c r="F1711" s="298"/>
      <c r="G1711" s="122" t="n">
        <f aca="false">IF(F1711&gt;0,D1711*F1711,E1711*D1711)</f>
        <v>0</v>
      </c>
      <c r="H1711" s="85" t="n">
        <f aca="false">D1711*E1711*$H$1681</f>
        <v>0</v>
      </c>
      <c r="I1711" s="2784" t="n">
        <f aca="false">IF(G1711&gt;H1711,G1711,H1711)*$H$1680</f>
        <v>0</v>
      </c>
      <c r="J1711" s="2744"/>
      <c r="K1711" s="226" t="n">
        <f aca="false">D1711-J1711</f>
        <v>0</v>
      </c>
      <c r="L1711" s="2736"/>
    </row>
    <row r="1712" customFormat="false" ht="15.5" hidden="false" customHeight="false" outlineLevel="0" collapsed="false">
      <c r="A1712" s="2719"/>
      <c r="B1712" s="298" t="str">
        <f aca="false">пристройка!A241</f>
        <v>Планка премыкания</v>
      </c>
      <c r="C1712" s="2765" t="str">
        <f aca="false">пристройка!B241</f>
        <v>м.п.</v>
      </c>
      <c r="D1712" s="298" t="n">
        <f aca="false">пристройка!C241</f>
        <v>0</v>
      </c>
      <c r="E1712" s="298" t="n">
        <f aca="false">пристройка!D241</f>
        <v>200</v>
      </c>
      <c r="F1712" s="298"/>
      <c r="G1712" s="122" t="n">
        <f aca="false">IF(F1712&gt;0,D1712*F1712,E1712*D1712)</f>
        <v>0</v>
      </c>
      <c r="H1712" s="85" t="n">
        <f aca="false">D1712*E1712*$H$1681</f>
        <v>0</v>
      </c>
      <c r="I1712" s="2784" t="n">
        <f aca="false">IF(G1712&gt;H1712,G1712,H1712)*$H$1680</f>
        <v>0</v>
      </c>
      <c r="J1712" s="2744"/>
      <c r="K1712" s="226" t="n">
        <f aca="false">D1712-J1712</f>
        <v>0</v>
      </c>
      <c r="L1712" s="2736"/>
    </row>
    <row r="1713" customFormat="false" ht="15.5" hidden="false" customHeight="false" outlineLevel="0" collapsed="false">
      <c r="A1713" s="2719"/>
      <c r="B1713" s="298" t="str">
        <f aca="false">пристройка!A242</f>
        <v>Гвозди для крепления подкладочного ковра</v>
      </c>
      <c r="C1713" s="2765" t="str">
        <f aca="false">пристройка!B242</f>
        <v>шт</v>
      </c>
      <c r="D1713" s="298" t="n">
        <f aca="false">пристройка!C242</f>
        <v>0</v>
      </c>
      <c r="E1713" s="298" t="n">
        <f aca="false">пристройка!D242</f>
        <v>0.012</v>
      </c>
      <c r="F1713" s="298"/>
      <c r="G1713" s="122" t="n">
        <f aca="false">IF(F1713&gt;0,D1713*F1713,E1713*D1713)</f>
        <v>0</v>
      </c>
      <c r="H1713" s="85" t="n">
        <f aca="false">D1713*E1713*$H$1681</f>
        <v>0</v>
      </c>
      <c r="I1713" s="2784" t="n">
        <f aca="false">IF(G1713&gt;H1713,G1713,H1713)*$H$1680</f>
        <v>0</v>
      </c>
      <c r="J1713" s="2744"/>
      <c r="K1713" s="226" t="n">
        <f aca="false">D1713-J1713</f>
        <v>0</v>
      </c>
      <c r="L1713" s="2736"/>
    </row>
    <row r="1714" customFormat="false" ht="15.5" hidden="false" customHeight="false" outlineLevel="0" collapsed="false">
      <c r="A1714" s="2719"/>
      <c r="B1714" s="298" t="str">
        <f aca="false">пристройка!A243</f>
        <v>Гвозди для крепления черепицы</v>
      </c>
      <c r="C1714" s="2765" t="str">
        <f aca="false">пристройка!B243</f>
        <v>шт</v>
      </c>
      <c r="D1714" s="298" t="n">
        <f aca="false">пристройка!C243</f>
        <v>0</v>
      </c>
      <c r="E1714" s="298" t="n">
        <f aca="false">пристройка!D243</f>
        <v>0.25</v>
      </c>
      <c r="F1714" s="298"/>
      <c r="G1714" s="122" t="n">
        <f aca="false">IF(F1714&gt;0,D1714*F1714,E1714*D1714)</f>
        <v>0</v>
      </c>
      <c r="H1714" s="85" t="n">
        <f aca="false">D1714*E1714*$H$1681</f>
        <v>0</v>
      </c>
      <c r="I1714" s="2784" t="n">
        <f aca="false">IF(G1714&gt;H1714,G1714,H1714)*$H$1680</f>
        <v>0</v>
      </c>
      <c r="J1714" s="2744"/>
      <c r="K1714" s="226" t="n">
        <f aca="false">D1714-J1714</f>
        <v>0</v>
      </c>
      <c r="L1714" s="2736"/>
    </row>
    <row r="1715" customFormat="false" ht="15.5" hidden="false" customHeight="false" outlineLevel="0" collapsed="false">
      <c r="A1715" s="2719"/>
      <c r="B1715" s="298" t="str">
        <f aca="false">пристройка!A244</f>
        <v>Клей для монтажа черепицы</v>
      </c>
      <c r="C1715" s="2765" t="str">
        <f aca="false">пристройка!B244</f>
        <v>кг</v>
      </c>
      <c r="D1715" s="298" t="n">
        <f aca="false">пристройка!C244</f>
        <v>0</v>
      </c>
      <c r="E1715" s="298" t="n">
        <f aca="false">пристройка!D244</f>
        <v>250</v>
      </c>
      <c r="F1715" s="298"/>
      <c r="G1715" s="122" t="n">
        <f aca="false">IF(F1715&gt;0,D1715*F1715,E1715*D1715)</f>
        <v>0</v>
      </c>
      <c r="H1715" s="85" t="n">
        <f aca="false">D1715*E1715*$H$1681</f>
        <v>0</v>
      </c>
      <c r="I1715" s="2784" t="n">
        <f aca="false">IF(G1715&gt;H1715,G1715,H1715)*$H$1680</f>
        <v>0</v>
      </c>
      <c r="J1715" s="2744"/>
      <c r="K1715" s="226" t="n">
        <f aca="false">D1715-J1715</f>
        <v>0</v>
      </c>
      <c r="L1715" s="2736"/>
    </row>
    <row r="1716" customFormat="false" ht="15.5" hidden="false" customHeight="false" outlineLevel="0" collapsed="false">
      <c r="A1716" s="2719"/>
      <c r="B1716" s="298" t="str">
        <f aca="false">пристройка!A245</f>
        <v>желоб</v>
      </c>
      <c r="C1716" s="2765" t="str">
        <f aca="false">пристройка!B245</f>
        <v>м.п</v>
      </c>
      <c r="D1716" s="298" t="n">
        <f aca="false">пристройка!C245</f>
        <v>0</v>
      </c>
      <c r="E1716" s="298" t="n">
        <f aca="false">пристройка!D245</f>
        <v>300</v>
      </c>
      <c r="F1716" s="298"/>
      <c r="G1716" s="122" t="n">
        <f aca="false">IF(F1716&gt;0,D1716*F1716,E1716*D1716)</f>
        <v>0</v>
      </c>
      <c r="H1716" s="85" t="n">
        <f aca="false">D1716*E1716*$H$1681</f>
        <v>0</v>
      </c>
      <c r="I1716" s="2784" t="n">
        <f aca="false">IF(G1716&gt;H1716,G1716,H1716)*$H$1680</f>
        <v>0</v>
      </c>
      <c r="J1716" s="2744"/>
      <c r="K1716" s="226" t="n">
        <f aca="false">D1716-J1716</f>
        <v>0</v>
      </c>
      <c r="L1716" s="2736"/>
    </row>
    <row r="1717" customFormat="false" ht="15.5" hidden="false" customHeight="false" outlineLevel="0" collapsed="false">
      <c r="A1717" s="2719"/>
      <c r="B1717" s="298" t="str">
        <f aca="false">пристройка!A246</f>
        <v>отвод</v>
      </c>
      <c r="C1717" s="2765" t="str">
        <f aca="false">пристройка!B246</f>
        <v>шт</v>
      </c>
      <c r="D1717" s="298" t="n">
        <f aca="false">пристройка!C246</f>
        <v>0</v>
      </c>
      <c r="E1717" s="298" t="n">
        <f aca="false">пристройка!D246</f>
        <v>250</v>
      </c>
      <c r="F1717" s="298"/>
      <c r="G1717" s="122" t="n">
        <f aca="false">IF(F1717&gt;0,D1717*F1717,E1717*D1717)</f>
        <v>0</v>
      </c>
      <c r="H1717" s="85" t="n">
        <f aca="false">D1717*E1717*$H$1681</f>
        <v>0</v>
      </c>
      <c r="I1717" s="2784" t="n">
        <f aca="false">IF(G1717&gt;H1717,G1717,H1717)*$H$1680</f>
        <v>0</v>
      </c>
      <c r="J1717" s="2744"/>
      <c r="K1717" s="226" t="n">
        <f aca="false">D1717-J1717</f>
        <v>0</v>
      </c>
      <c r="L1717" s="2736"/>
    </row>
    <row r="1718" customFormat="false" ht="15.5" hidden="false" customHeight="false" outlineLevel="0" collapsed="false">
      <c r="A1718" s="2719"/>
      <c r="B1718" s="298" t="str">
        <f aca="false">пристройка!A247</f>
        <v>труба водосточная</v>
      </c>
      <c r="C1718" s="2765" t="str">
        <f aca="false">пристройка!B247</f>
        <v>м.п.</v>
      </c>
      <c r="D1718" s="298" t="n">
        <f aca="false">пристройка!C247</f>
        <v>0</v>
      </c>
      <c r="E1718" s="298" t="n">
        <f aca="false">пристройка!D247</f>
        <v>300</v>
      </c>
      <c r="F1718" s="298"/>
      <c r="G1718" s="122" t="n">
        <f aca="false">IF(F1718&gt;0,D1718*F1718,E1718*D1718)</f>
        <v>0</v>
      </c>
      <c r="H1718" s="85" t="n">
        <f aca="false">D1718*E1718*$H$1681</f>
        <v>0</v>
      </c>
      <c r="I1718" s="2784" t="n">
        <f aca="false">IF(G1718&gt;H1718,G1718,H1718)*$H$1680</f>
        <v>0</v>
      </c>
      <c r="J1718" s="2744"/>
      <c r="K1718" s="226" t="n">
        <f aca="false">D1718-J1718</f>
        <v>0</v>
      </c>
      <c r="L1718" s="2736"/>
    </row>
    <row r="1719" customFormat="false" ht="15.5" hidden="false" customHeight="false" outlineLevel="0" collapsed="false">
      <c r="A1719" s="2719"/>
      <c r="B1719" s="298" t="str">
        <f aca="false">пристройка!A248</f>
        <v>заглушка для желоба</v>
      </c>
      <c r="C1719" s="2765" t="str">
        <f aca="false">пристройка!B248</f>
        <v>шт</v>
      </c>
      <c r="D1719" s="298" t="n">
        <f aca="false">пристройка!C248</f>
        <v>0</v>
      </c>
      <c r="E1719" s="298" t="n">
        <f aca="false">пристройка!D248</f>
        <v>190</v>
      </c>
      <c r="F1719" s="298"/>
      <c r="G1719" s="122" t="n">
        <f aca="false">IF(F1719&gt;0,D1719*F1719,E1719*D1719)</f>
        <v>0</v>
      </c>
      <c r="H1719" s="85" t="n">
        <f aca="false">D1719*E1719*$H$1681</f>
        <v>0</v>
      </c>
      <c r="I1719" s="2784" t="n">
        <f aca="false">IF(G1719&gt;H1719,G1719,H1719)*$H$1680</f>
        <v>0</v>
      </c>
      <c r="J1719" s="2744"/>
      <c r="K1719" s="226" t="n">
        <f aca="false">D1719-J1719</f>
        <v>0</v>
      </c>
      <c r="L1719" s="2736"/>
    </row>
    <row r="1720" customFormat="false" ht="15.5" hidden="false" customHeight="false" outlineLevel="0" collapsed="false">
      <c r="A1720" s="2719"/>
      <c r="B1720" s="298" t="str">
        <f aca="false">пристройка!A249</f>
        <v>соеденитель для желоба</v>
      </c>
      <c r="C1720" s="2765" t="str">
        <f aca="false">пристройка!B249</f>
        <v>шт</v>
      </c>
      <c r="D1720" s="298" t="n">
        <f aca="false">пристройка!C249</f>
        <v>2</v>
      </c>
      <c r="E1720" s="177" t="n">
        <f aca="false">пристройка!D249</f>
        <v>180</v>
      </c>
      <c r="F1720" s="177"/>
      <c r="G1720" s="122" t="n">
        <f aca="false">IF(F1720&gt;0,D1720*F1720,E1720*D1720)</f>
        <v>360</v>
      </c>
      <c r="H1720" s="85" t="n">
        <f aca="false">D1720*E1720*$H$1681</f>
        <v>0</v>
      </c>
      <c r="I1720" s="2784" t="n">
        <f aca="false">IF(G1720&gt;H1720,G1720,H1720)*$H$1680</f>
        <v>0</v>
      </c>
      <c r="J1720" s="2744"/>
      <c r="K1720" s="226" t="n">
        <f aca="false">D1720-J1720</f>
        <v>2</v>
      </c>
      <c r="L1720" s="2736"/>
    </row>
    <row r="1721" customFormat="false" ht="15.5" hidden="false" customHeight="false" outlineLevel="0" collapsed="false">
      <c r="A1721" s="2719"/>
      <c r="B1721" s="298" t="str">
        <f aca="false">пристройка!A250</f>
        <v>кронштейн для желоба</v>
      </c>
      <c r="C1721" s="2765" t="str">
        <f aca="false">пристройка!B250</f>
        <v>шт</v>
      </c>
      <c r="D1721" s="298" t="n">
        <f aca="false">пристройка!C250</f>
        <v>0</v>
      </c>
      <c r="E1721" s="298" t="n">
        <f aca="false">пристройка!D250</f>
        <v>130</v>
      </c>
      <c r="F1721" s="298"/>
      <c r="G1721" s="122" t="n">
        <f aca="false">IF(F1721&gt;0,D1721*F1721,E1721*D1721)</f>
        <v>0</v>
      </c>
      <c r="H1721" s="85" t="n">
        <f aca="false">D1721*E1721*$H$1681</f>
        <v>0</v>
      </c>
      <c r="I1721" s="2784" t="n">
        <f aca="false">IF(G1721&gt;H1721,G1721,H1721)*$H$1680</f>
        <v>0</v>
      </c>
      <c r="J1721" s="2744"/>
      <c r="K1721" s="226" t="n">
        <f aca="false">D1721-J1721</f>
        <v>0</v>
      </c>
      <c r="L1721" s="2736"/>
    </row>
    <row r="1722" customFormat="false" ht="15.5" hidden="false" customHeight="false" outlineLevel="0" collapsed="false">
      <c r="A1722" s="2719"/>
      <c r="B1722" s="298" t="str">
        <f aca="false">пристройка!A251</f>
        <v>переход из желоба в трубу</v>
      </c>
      <c r="C1722" s="2765" t="str">
        <f aca="false">пристройка!B251</f>
        <v>шт</v>
      </c>
      <c r="D1722" s="298" t="n">
        <f aca="false">пристройка!C251</f>
        <v>0</v>
      </c>
      <c r="E1722" s="298" t="n">
        <f aca="false">пристройка!D251</f>
        <v>350</v>
      </c>
      <c r="F1722" s="298"/>
      <c r="G1722" s="122" t="n">
        <f aca="false">IF(F1722&gt;0,D1722*F1722,E1722*D1722)</f>
        <v>0</v>
      </c>
      <c r="H1722" s="85" t="n">
        <f aca="false">D1722*E1722*$H$1681</f>
        <v>0</v>
      </c>
      <c r="I1722" s="2784" t="n">
        <f aca="false">IF(G1722&gt;H1722,G1722,H1722)*$H$1680</f>
        <v>0</v>
      </c>
      <c r="J1722" s="2744"/>
      <c r="K1722" s="226" t="n">
        <f aca="false">D1722-J1722</f>
        <v>0</v>
      </c>
      <c r="L1722" s="2736"/>
    </row>
    <row r="1723" customFormat="false" ht="15.5" hidden="false" customHeight="false" outlineLevel="0" collapsed="false">
      <c r="A1723" s="2719"/>
      <c r="B1723" s="298" t="str">
        <f aca="false">пристройка!A252</f>
        <v>лента дельта мульти бэнд</v>
      </c>
      <c r="C1723" s="2765" t="str">
        <f aca="false">пристройка!B252</f>
        <v>шт</v>
      </c>
      <c r="D1723" s="298" t="n">
        <f aca="false">пристройка!C252</f>
        <v>0</v>
      </c>
      <c r="E1723" s="298" t="n">
        <f aca="false">пристройка!D252</f>
        <v>1200</v>
      </c>
      <c r="F1723" s="298"/>
      <c r="G1723" s="122" t="n">
        <f aca="false">IF(F1723&gt;0,D1723*F1723,E1723*D1723)</f>
        <v>0</v>
      </c>
      <c r="H1723" s="85" t="n">
        <f aca="false">D1723*E1723*$H$1681</f>
        <v>0</v>
      </c>
      <c r="I1723" s="2784" t="n">
        <f aca="false">IF(G1723&gt;H1723,G1723,H1723)*$H$1680</f>
        <v>0</v>
      </c>
      <c r="J1723" s="2744"/>
      <c r="K1723" s="226" t="n">
        <f aca="false">D1723-J1723</f>
        <v>0</v>
      </c>
      <c r="L1723" s="2736"/>
    </row>
    <row r="1724" customFormat="false" ht="15.5" hidden="false" customHeight="false" outlineLevel="0" collapsed="false">
      <c r="A1724" s="2719"/>
      <c r="B1724" s="298" t="str">
        <f aca="false">пристройка!A253</f>
        <v>лента дельта sb-60</v>
      </c>
      <c r="C1724" s="2765" t="str">
        <f aca="false">пристройка!B253</f>
        <v>шт</v>
      </c>
      <c r="D1724" s="298" t="n">
        <f aca="false">пристройка!C253</f>
        <v>0</v>
      </c>
      <c r="E1724" s="298" t="n">
        <f aca="false">пристройка!D253</f>
        <v>1100</v>
      </c>
      <c r="F1724" s="298"/>
      <c r="G1724" s="122" t="n">
        <f aca="false">IF(F1724&gt;0,D1724*F1724,E1724*D1724)</f>
        <v>0</v>
      </c>
      <c r="H1724" s="85" t="n">
        <f aca="false">D1724*E1724*$H$1681</f>
        <v>0</v>
      </c>
      <c r="I1724" s="2784" t="n">
        <f aca="false">IF(G1724&gt;H1724,G1724,H1724)*$H$1680</f>
        <v>0</v>
      </c>
      <c r="J1724" s="2744"/>
      <c r="K1724" s="226" t="n">
        <f aca="false">D1724-J1724</f>
        <v>0</v>
      </c>
      <c r="L1724" s="2736"/>
    </row>
    <row r="1725" customFormat="false" ht="15.5" hidden="false" customHeight="false" outlineLevel="0" collapsed="false">
      <c r="A1725" s="2719"/>
      <c r="B1725" s="298" t="str">
        <f aca="false">пристройка!A254</f>
        <v>Кровельный саморез</v>
      </c>
      <c r="C1725" s="2765" t="str">
        <f aca="false">пристройка!B254</f>
        <v>шт</v>
      </c>
      <c r="D1725" s="298" t="n">
        <f aca="false">пристройка!C254</f>
        <v>0</v>
      </c>
      <c r="E1725" s="298" t="n">
        <f aca="false">пристройка!D254</f>
        <v>2</v>
      </c>
      <c r="F1725" s="298"/>
      <c r="G1725" s="122" t="n">
        <f aca="false">IF(F1725&gt;0,D1725*F1725,E1725*D1725)</f>
        <v>0</v>
      </c>
      <c r="H1725" s="85" t="n">
        <f aca="false">D1725*E1725*$H$1681</f>
        <v>0</v>
      </c>
      <c r="I1725" s="2784" t="n">
        <f aca="false">IF(G1725&gt;H1725,G1725,H1725)*$H$1680</f>
        <v>0</v>
      </c>
      <c r="J1725" s="2744"/>
      <c r="K1725" s="226" t="n">
        <f aca="false">D1725-J1725</f>
        <v>0</v>
      </c>
      <c r="L1725" s="2736"/>
    </row>
    <row r="1726" customFormat="false" ht="15.5" hidden="false" customHeight="false" outlineLevel="0" collapsed="false">
      <c r="A1726" s="2719"/>
      <c r="B1726" s="298" t="str">
        <f aca="false">пристройка!A255</f>
        <v>Гвозди ершоные 3,4 x 60</v>
      </c>
      <c r="C1726" s="2765" t="str">
        <f aca="false">пристройка!B255</f>
        <v>кг</v>
      </c>
      <c r="D1726" s="298" t="n">
        <f aca="false">пристройка!C255</f>
        <v>0</v>
      </c>
      <c r="E1726" s="298" t="n">
        <f aca="false">пристройка!D255</f>
        <v>75.51</v>
      </c>
      <c r="F1726" s="298"/>
      <c r="G1726" s="122" t="n">
        <f aca="false">IF(F1726&gt;0,D1726*F1726,E1726*D1726)</f>
        <v>0</v>
      </c>
      <c r="H1726" s="85" t="n">
        <f aca="false">D1726*E1726*$H$1681</f>
        <v>0</v>
      </c>
      <c r="I1726" s="2784" t="n">
        <f aca="false">IF(G1726&gt;H1726,G1726,H1726)*$H$1680</f>
        <v>0</v>
      </c>
      <c r="J1726" s="2744"/>
      <c r="K1726" s="226" t="n">
        <f aca="false">D1726-J1726</f>
        <v>0</v>
      </c>
      <c r="L1726" s="2736"/>
    </row>
    <row r="1727" customFormat="false" ht="15.5" hidden="false" customHeight="false" outlineLevel="0" collapsed="false">
      <c r="A1727" s="2719"/>
      <c r="B1727" s="298" t="str">
        <f aca="false">пристройка!A256</f>
        <v>Гвозди ершоные 2,8 х 90</v>
      </c>
      <c r="C1727" s="2765" t="str">
        <f aca="false">пристройка!B256</f>
        <v>кг</v>
      </c>
      <c r="D1727" s="298" t="n">
        <f aca="false">пристройка!C256</f>
        <v>0</v>
      </c>
      <c r="E1727" s="177" t="n">
        <f aca="false">пристройка!D256</f>
        <v>76.49</v>
      </c>
      <c r="F1727" s="177"/>
      <c r="G1727" s="122" t="n">
        <f aca="false">IF(F1727&gt;0,D1727*F1727,E1727*D1727)</f>
        <v>0</v>
      </c>
      <c r="H1727" s="85" t="n">
        <f aca="false">D1727*E1727*$H$1681</f>
        <v>0</v>
      </c>
      <c r="I1727" s="2784" t="n">
        <f aca="false">IF(G1727&gt;H1727,G1727,H1727)*$H$1680</f>
        <v>0</v>
      </c>
      <c r="J1727" s="2744"/>
      <c r="K1727" s="226" t="n">
        <f aca="false">D1727-J1727</f>
        <v>0</v>
      </c>
      <c r="L1727" s="2736"/>
    </row>
    <row r="1728" customFormat="false" ht="15.5" hidden="false" customHeight="false" outlineLevel="0" collapsed="false">
      <c r="A1728" s="2719"/>
      <c r="B1728" s="298" t="str">
        <f aca="false">пристройка!A257</f>
        <v>Уголок усиленный 90х70х55х2,5</v>
      </c>
      <c r="C1728" s="2765" t="str">
        <f aca="false">пристройка!B257</f>
        <v>шт</v>
      </c>
      <c r="D1728" s="298" t="n">
        <f aca="false">пристройка!C257</f>
        <v>0</v>
      </c>
      <c r="E1728" s="298" t="n">
        <f aca="false">пристройка!D257</f>
        <v>30</v>
      </c>
      <c r="F1728" s="298"/>
      <c r="G1728" s="122" t="n">
        <f aca="false">IF(F1728&gt;0,D1728*F1728,E1728*D1728)</f>
        <v>0</v>
      </c>
      <c r="H1728" s="85" t="n">
        <f aca="false">D1728*E1728*$H$1681</f>
        <v>0</v>
      </c>
      <c r="I1728" s="2784" t="n">
        <f aca="false">IF(G1728&gt;H1728,G1728,H1728)*$H$1680</f>
        <v>0</v>
      </c>
      <c r="J1728" s="2744"/>
      <c r="K1728" s="226" t="n">
        <f aca="false">D1728-J1728</f>
        <v>0</v>
      </c>
      <c r="L1728" s="2736"/>
    </row>
    <row r="1729" customFormat="false" ht="15.5" hidden="false" customHeight="false" outlineLevel="0" collapsed="false">
      <c r="A1729" s="2719"/>
      <c r="B1729" s="2748" t="s">
        <v>4640</v>
      </c>
      <c r="C1729" s="2748"/>
      <c r="D1729" s="2748"/>
      <c r="E1729" s="2748"/>
      <c r="F1729" s="2748"/>
      <c r="G1729" s="2210" t="n">
        <f aca="false">SUM(G1682:G1728)*H1680</f>
        <v>0</v>
      </c>
      <c r="H1729" s="2210" t="n">
        <f aca="false">SUM(H1682:H1728)</f>
        <v>0</v>
      </c>
      <c r="I1729" s="2784" t="n">
        <f aca="false">IF(G1729&gt;H1729,G1729,H1729)*$H$1680</f>
        <v>0</v>
      </c>
      <c r="J1729" s="2744"/>
      <c r="K1729" s="226" t="n">
        <f aca="false">D1729-J1729</f>
        <v>0</v>
      </c>
      <c r="L1729" s="2736"/>
    </row>
    <row r="1730" customFormat="false" ht="15.5" hidden="false" customHeight="false" outlineLevel="0" collapsed="false">
      <c r="A1730" s="2719"/>
      <c r="B1730" s="2750" t="s">
        <v>1409</v>
      </c>
      <c r="C1730" s="2750"/>
      <c r="D1730" s="2750"/>
      <c r="E1730" s="2750"/>
      <c r="F1730" s="2785"/>
      <c r="G1730" s="905"/>
      <c r="H1730" s="2766" t="n">
        <f aca="false">H1680</f>
        <v>0</v>
      </c>
      <c r="I1730" s="2818" t="n">
        <f aca="false">H1730</f>
        <v>0</v>
      </c>
      <c r="J1730" s="2752"/>
      <c r="K1730" s="2753"/>
    </row>
    <row r="1731" customFormat="false" ht="15.5" hidden="false" customHeight="false" outlineLevel="0" collapsed="false">
      <c r="A1731" s="2712"/>
      <c r="B1731" s="2648" t="str">
        <f aca="false">пристройка!H210</f>
        <v>монтаж мауэрлат</v>
      </c>
      <c r="C1731" s="2765" t="str">
        <f aca="false">пристройка!I210</f>
        <v>м.п.</v>
      </c>
      <c r="D1731" s="122" t="n">
        <f aca="false">пристройка!J210</f>
        <v>0</v>
      </c>
      <c r="E1731" s="89" t="n">
        <f aca="false">пристройка!K210</f>
        <v>250</v>
      </c>
      <c r="F1731" s="89"/>
      <c r="G1731" s="122" t="n">
        <f aca="false">IF(F1731&gt;0,D1731*F1731,E1731*D1731)</f>
        <v>0</v>
      </c>
      <c r="H1731" s="2210" t="n">
        <f aca="false">D1731*E1731*$H$1730</f>
        <v>0</v>
      </c>
      <c r="I1731" s="2718" t="n">
        <f aca="false">IF(G1731&gt;H1731,G1731,H1731)*$H$1680</f>
        <v>0</v>
      </c>
      <c r="J1731" s="2712"/>
      <c r="K1731" s="2719"/>
    </row>
    <row r="1732" customFormat="false" ht="15.5" hidden="false" customHeight="false" outlineLevel="0" collapsed="false">
      <c r="A1732" s="2719"/>
      <c r="B1732" s="2648" t="str">
        <f aca="false">пристройка!H211</f>
        <v>монтаж стропил</v>
      </c>
      <c r="C1732" s="2765" t="str">
        <f aca="false">пристройка!I211</f>
        <v>м2</v>
      </c>
      <c r="D1732" s="122" t="n">
        <f aca="false">пристройка!J211</f>
        <v>0</v>
      </c>
      <c r="E1732" s="89" t="n">
        <f aca="false">пристройка!K211</f>
        <v>450</v>
      </c>
      <c r="F1732" s="89"/>
      <c r="G1732" s="122" t="n">
        <f aca="false">IF(F1732&gt;0,D1732*F1732,E1732*D1732)</f>
        <v>0</v>
      </c>
      <c r="H1732" s="2210" t="n">
        <f aca="false">D1732*E1732*$H$1730</f>
        <v>0</v>
      </c>
      <c r="I1732" s="2718" t="n">
        <f aca="false">IF(G1732&gt;H1732,G1732,H1732)*$H$1680</f>
        <v>0</v>
      </c>
      <c r="J1732" s="2712"/>
      <c r="K1732" s="2719"/>
    </row>
    <row r="1733" customFormat="false" ht="15.5" hidden="false" customHeight="false" outlineLevel="0" collapsed="false">
      <c r="A1733" s="2719"/>
      <c r="B1733" s="2648" t="str">
        <f aca="false">пристройка!H212</f>
        <v>обрешетка</v>
      </c>
      <c r="C1733" s="2765" t="str">
        <f aca="false">пристройка!I212</f>
        <v>м2</v>
      </c>
      <c r="D1733" s="122" t="n">
        <f aca="false">пристройка!J212</f>
        <v>0</v>
      </c>
      <c r="E1733" s="89" t="n">
        <f aca="false">пристройка!K212</f>
        <v>100</v>
      </c>
      <c r="F1733" s="89"/>
      <c r="G1733" s="122" t="n">
        <f aca="false">IF(F1733&gt;0,D1733*F1733,E1733*D1733)</f>
        <v>0</v>
      </c>
      <c r="H1733" s="2210" t="n">
        <f aca="false">D1733*E1733*$H$1730</f>
        <v>0</v>
      </c>
      <c r="I1733" s="2718" t="n">
        <f aca="false">IF(G1733&gt;H1733,G1733,H1733)*$H$1680</f>
        <v>0</v>
      </c>
      <c r="J1733" s="2712"/>
      <c r="K1733" s="2719"/>
    </row>
    <row r="1734" customFormat="false" ht="15.5" hidden="false" customHeight="false" outlineLevel="0" collapsed="false">
      <c r="A1734" s="2719"/>
      <c r="B1734" s="2648" t="str">
        <f aca="false">пристройка!H213</f>
        <v>контробеш</v>
      </c>
      <c r="C1734" s="2765" t="str">
        <f aca="false">пристройка!I213</f>
        <v>м2</v>
      </c>
      <c r="D1734" s="122" t="n">
        <f aca="false">пристройка!J213</f>
        <v>0</v>
      </c>
      <c r="E1734" s="89" t="n">
        <f aca="false">пристройка!K213</f>
        <v>100</v>
      </c>
      <c r="F1734" s="89"/>
      <c r="G1734" s="122" t="n">
        <f aca="false">IF(F1734&gt;0,D1734*F1734,E1734*D1734)</f>
        <v>0</v>
      </c>
      <c r="H1734" s="2210" t="n">
        <f aca="false">D1734*E1734*$H$1730</f>
        <v>0</v>
      </c>
      <c r="I1734" s="2718" t="n">
        <f aca="false">IF(G1734&gt;H1734,G1734,H1734)*$H$1680</f>
        <v>0</v>
      </c>
      <c r="J1734" s="2712"/>
      <c r="K1734" s="2719"/>
    </row>
    <row r="1735" customFormat="false" ht="15.5" hidden="false" customHeight="false" outlineLevel="0" collapsed="false">
      <c r="A1735" s="2719"/>
      <c r="B1735" s="2648" t="str">
        <f aca="false">пристройка!H214</f>
        <v>мембрана</v>
      </c>
      <c r="C1735" s="2765" t="str">
        <f aca="false">пристройка!I214</f>
        <v>м2</v>
      </c>
      <c r="D1735" s="122" t="n">
        <f aca="false">пристройка!J214</f>
        <v>0</v>
      </c>
      <c r="E1735" s="89" t="n">
        <f aca="false">пристройка!K214</f>
        <v>100</v>
      </c>
      <c r="F1735" s="89"/>
      <c r="G1735" s="122" t="n">
        <f aca="false">IF(F1735&gt;0,D1735*F1735,E1735*D1735)</f>
        <v>0</v>
      </c>
      <c r="H1735" s="2210" t="n">
        <f aca="false">D1735*E1735*$H$1730</f>
        <v>0</v>
      </c>
      <c r="I1735" s="2718" t="n">
        <f aca="false">IF(G1735&gt;H1735,G1735,H1735)*$H$1680</f>
        <v>0</v>
      </c>
      <c r="J1735" s="2712"/>
      <c r="K1735" s="2719"/>
    </row>
    <row r="1736" customFormat="false" ht="15.5" hidden="false" customHeight="false" outlineLevel="0" collapsed="false">
      <c r="A1736" s="2719"/>
      <c r="B1736" s="2648" t="str">
        <f aca="false">пристройка!H215</f>
        <v>пароизоляц</v>
      </c>
      <c r="C1736" s="2765" t="str">
        <f aca="false">пристройка!I215</f>
        <v>м2</v>
      </c>
      <c r="D1736" s="122" t="n">
        <f aca="false">пристройка!J215</f>
        <v>0</v>
      </c>
      <c r="E1736" s="89" t="n">
        <f aca="false">пристройка!K215</f>
        <v>100</v>
      </c>
      <c r="F1736" s="89"/>
      <c r="G1736" s="122" t="n">
        <f aca="false">IF(F1736&gt;0,D1736*F1736,E1736*D1736)</f>
        <v>0</v>
      </c>
      <c r="H1736" s="2210" t="n">
        <f aca="false">D1736*E1736*$H$1730</f>
        <v>0</v>
      </c>
      <c r="I1736" s="2718" t="n">
        <f aca="false">IF(G1736&gt;H1736,G1736,H1736)*$H$1680</f>
        <v>0</v>
      </c>
      <c r="J1736" s="2712"/>
      <c r="K1736" s="2719"/>
    </row>
    <row r="1737" customFormat="false" ht="15.5" hidden="false" customHeight="false" outlineLevel="0" collapsed="false">
      <c r="A1737" s="2719"/>
      <c r="B1737" s="2648" t="str">
        <f aca="false">пристройка!H216</f>
        <v>утеплитель</v>
      </c>
      <c r="C1737" s="2765" t="str">
        <f aca="false">пристройка!I216</f>
        <v>м2</v>
      </c>
      <c r="D1737" s="122" t="n">
        <f aca="false">пристройка!J216</f>
        <v>0</v>
      </c>
      <c r="E1737" s="89" t="n">
        <f aca="false">пристройка!K216</f>
        <v>200</v>
      </c>
      <c r="F1737" s="89"/>
      <c r="G1737" s="122" t="n">
        <f aca="false">IF(F1737&gt;0,D1737*F1737,E1737*D1737)</f>
        <v>0</v>
      </c>
      <c r="H1737" s="2210" t="n">
        <f aca="false">D1737*E1737*$H$1730</f>
        <v>0</v>
      </c>
      <c r="I1737" s="2718" t="n">
        <f aca="false">IF(G1737&gt;H1737,G1737,H1737)*$H$1680</f>
        <v>0</v>
      </c>
      <c r="J1737" s="2712"/>
      <c r="K1737" s="2719"/>
    </row>
    <row r="1738" customFormat="false" ht="15.5" hidden="false" customHeight="false" outlineLevel="0" collapsed="false">
      <c r="A1738" s="2719"/>
      <c r="B1738" s="2648" t="str">
        <f aca="false">пристройка!H217</f>
        <v>Монтаж металлочерепицы</v>
      </c>
      <c r="C1738" s="2765" t="str">
        <f aca="false">пристройка!I217</f>
        <v>м2</v>
      </c>
      <c r="D1738" s="122" t="n">
        <f aca="false">пристройка!J217</f>
        <v>0</v>
      </c>
      <c r="E1738" s="89" t="n">
        <f aca="false">пристройка!K217</f>
        <v>300</v>
      </c>
      <c r="F1738" s="89"/>
      <c r="G1738" s="122" t="n">
        <f aca="false">IF(F1738&gt;0,D1738*F1738,E1738*D1738)</f>
        <v>0</v>
      </c>
      <c r="H1738" s="2210" t="n">
        <f aca="false">D1738*E1738*$H$1730</f>
        <v>0</v>
      </c>
      <c r="I1738" s="2718" t="n">
        <f aca="false">IF(G1738&gt;H1738,G1738,H1738)*$H$1680</f>
        <v>0</v>
      </c>
      <c r="J1738" s="2712"/>
      <c r="K1738" s="2719"/>
    </row>
    <row r="1739" customFormat="false" ht="15.5" hidden="false" customHeight="false" outlineLevel="0" collapsed="false">
      <c r="A1739" s="2719"/>
      <c r="B1739" s="2648" t="str">
        <f aca="false">пристройка!H218</f>
        <v>карнизная планка</v>
      </c>
      <c r="C1739" s="2765" t="str">
        <f aca="false">пристройка!I218</f>
        <v>м2</v>
      </c>
      <c r="D1739" s="122" t="n">
        <f aca="false">пристройка!J218</f>
        <v>0</v>
      </c>
      <c r="E1739" s="89" t="n">
        <f aca="false">пристройка!K218</f>
        <v>100</v>
      </c>
      <c r="F1739" s="89"/>
      <c r="G1739" s="122" t="n">
        <f aca="false">IF(F1739&gt;0,D1739*F1739,E1739*D1739)</f>
        <v>0</v>
      </c>
      <c r="H1739" s="2210" t="n">
        <f aca="false">D1739*E1739*$H$1730</f>
        <v>0</v>
      </c>
      <c r="I1739" s="2718" t="n">
        <f aca="false">IF(G1739&gt;H1739,G1739,H1739)*$H$1680</f>
        <v>0</v>
      </c>
      <c r="J1739" s="2712"/>
      <c r="K1739" s="2719"/>
    </row>
    <row r="1740" customFormat="false" ht="15.5" hidden="false" customHeight="false" outlineLevel="0" collapsed="false">
      <c r="A1740" s="2719"/>
      <c r="B1740" s="2648" t="str">
        <f aca="false">пристройка!H219</f>
        <v>торцевая планка</v>
      </c>
      <c r="C1740" s="2765" t="str">
        <f aca="false">пристройка!I219</f>
        <v>м2</v>
      </c>
      <c r="D1740" s="122" t="n">
        <f aca="false">пристройка!J219</f>
        <v>0</v>
      </c>
      <c r="E1740" s="89" t="n">
        <f aca="false">пристройка!K219</f>
        <v>100</v>
      </c>
      <c r="F1740" s="89"/>
      <c r="G1740" s="122" t="n">
        <f aca="false">IF(F1740&gt;0,D1740*F1740,E1740*D1740)</f>
        <v>0</v>
      </c>
      <c r="H1740" s="2210" t="n">
        <f aca="false">D1740*E1740*$H$1730</f>
        <v>0</v>
      </c>
      <c r="I1740" s="2718" t="n">
        <f aca="false">IF(G1740&gt;H1740,G1740,H1740)*$H$1680</f>
        <v>0</v>
      </c>
      <c r="J1740" s="2712"/>
      <c r="K1740" s="2719"/>
    </row>
    <row r="1741" customFormat="false" ht="15.5" hidden="false" customHeight="false" outlineLevel="0" collapsed="false">
      <c r="A1741" s="2719"/>
      <c r="B1741" s="2648" t="str">
        <f aca="false">пристройка!H220</f>
        <v>желоб водосточный</v>
      </c>
      <c r="C1741" s="2765" t="str">
        <f aca="false">пристройка!I220</f>
        <v>м.п.</v>
      </c>
      <c r="D1741" s="122" t="n">
        <f aca="false">пристройка!J220</f>
        <v>0</v>
      </c>
      <c r="E1741" s="89" t="n">
        <f aca="false">пристройка!K220</f>
        <v>300</v>
      </c>
      <c r="F1741" s="89"/>
      <c r="G1741" s="122" t="n">
        <f aca="false">IF(F1741&gt;0,D1741*F1741,E1741*D1741)</f>
        <v>0</v>
      </c>
      <c r="H1741" s="2210" t="n">
        <f aca="false">D1741*E1741*$H$1730</f>
        <v>0</v>
      </c>
      <c r="I1741" s="2718" t="n">
        <f aca="false">IF(G1741&gt;H1741,G1741,H1741)*$H$1680</f>
        <v>0</v>
      </c>
      <c r="J1741" s="2712"/>
      <c r="K1741" s="2719"/>
    </row>
    <row r="1742" customFormat="false" ht="15.5" hidden="false" customHeight="false" outlineLevel="0" collapsed="false">
      <c r="A1742" s="2719"/>
      <c r="B1742" s="2648" t="str">
        <f aca="false">пристройка!H221</f>
        <v>труба водосточная</v>
      </c>
      <c r="C1742" s="2765" t="str">
        <f aca="false">пристройка!I221</f>
        <v>м.п.</v>
      </c>
      <c r="D1742" s="122" t="n">
        <f aca="false">пристройка!J221</f>
        <v>0</v>
      </c>
      <c r="E1742" s="89" t="n">
        <f aca="false">пристройка!K221</f>
        <v>300</v>
      </c>
      <c r="F1742" s="89"/>
      <c r="G1742" s="122" t="n">
        <f aca="false">IF(F1742&gt;0,D1742*F1742,E1742*D1742)</f>
        <v>0</v>
      </c>
      <c r="H1742" s="2210" t="n">
        <f aca="false">D1742*E1742*$H$1730</f>
        <v>0</v>
      </c>
      <c r="I1742" s="2718" t="n">
        <f aca="false">IF(G1742&gt;H1742,G1742,H1742)*$H$1680</f>
        <v>0</v>
      </c>
      <c r="J1742" s="2712"/>
      <c r="K1742" s="2719"/>
    </row>
    <row r="1743" customFormat="false" ht="15.5" hidden="false" customHeight="false" outlineLevel="0" collapsed="false">
      <c r="A1743" s="2719"/>
      <c r="B1743" s="2648" t="str">
        <f aca="false">пристройка!H222</f>
        <v>ендова внутр/наружн</v>
      </c>
      <c r="C1743" s="2765" t="str">
        <f aca="false">пристройка!I222</f>
        <v>м.п.</v>
      </c>
      <c r="D1743" s="122" t="n">
        <f aca="false">пристройка!J222</f>
        <v>0</v>
      </c>
      <c r="E1743" s="89" t="n">
        <f aca="false">пристройка!K222</f>
        <v>300</v>
      </c>
      <c r="F1743" s="89"/>
      <c r="G1743" s="122" t="n">
        <f aca="false">IF(F1743&gt;0,D1743*F1743,E1743*D1743)</f>
        <v>0</v>
      </c>
      <c r="H1743" s="2210" t="n">
        <f aca="false">D1743*E1743*$H$1730</f>
        <v>0</v>
      </c>
      <c r="I1743" s="2718" t="n">
        <f aca="false">IF(G1743&gt;H1743,G1743,H1743)*$H$1680</f>
        <v>0</v>
      </c>
      <c r="J1743" s="2712"/>
      <c r="K1743" s="2719"/>
    </row>
    <row r="1744" customFormat="false" ht="15.5" hidden="false" customHeight="false" outlineLevel="0" collapsed="false">
      <c r="A1744" s="2719"/>
      <c r="B1744" s="2648" t="str">
        <f aca="false">пристройка!H223</f>
        <v>Монтаж ондулина</v>
      </c>
      <c r="C1744" s="2765" t="str">
        <f aca="false">пристройка!I223</f>
        <v>м2</v>
      </c>
      <c r="D1744" s="122" t="n">
        <f aca="false">пристройка!J223</f>
        <v>0</v>
      </c>
      <c r="E1744" s="89" t="n">
        <f aca="false">пристройка!K223</f>
        <v>300</v>
      </c>
      <c r="F1744" s="89"/>
      <c r="G1744" s="122" t="n">
        <f aca="false">IF(F1744&gt;0,D1744*F1744,E1744*D1744)</f>
        <v>0</v>
      </c>
      <c r="H1744" s="2210" t="n">
        <f aca="false">D1744*E1744*$H$1730</f>
        <v>0</v>
      </c>
      <c r="I1744" s="2718" t="n">
        <f aca="false">IF(G1744&gt;H1744,G1744,H1744)*$H$1680</f>
        <v>0</v>
      </c>
      <c r="J1744" s="2712"/>
      <c r="K1744" s="2719"/>
    </row>
    <row r="1745" customFormat="false" ht="15.5" hidden="false" customHeight="false" outlineLevel="0" collapsed="false">
      <c r="A1745" s="2719"/>
      <c r="B1745" s="2648" t="str">
        <f aca="false">пристройка!H225</f>
        <v>Монтаж фанеры/osb</v>
      </c>
      <c r="C1745" s="2765" t="str">
        <f aca="false">пристройка!I225</f>
        <v>м2</v>
      </c>
      <c r="D1745" s="122" t="n">
        <f aca="false">пристройка!J225</f>
        <v>0</v>
      </c>
      <c r="E1745" s="89" t="n">
        <f aca="false">пристройка!K225</f>
        <v>200</v>
      </c>
      <c r="F1745" s="89"/>
      <c r="G1745" s="122" t="n">
        <f aca="false">IF(F1745&gt;0,D1745*F1745,E1745*D1745)</f>
        <v>0</v>
      </c>
      <c r="H1745" s="2210" t="n">
        <f aca="false">D1745*E1745*$H$1730</f>
        <v>0</v>
      </c>
      <c r="I1745" s="2718" t="n">
        <f aca="false">IF(G1745&gt;H1745,G1745,H1745)*$H$1680</f>
        <v>0</v>
      </c>
      <c r="J1745" s="2712"/>
      <c r="K1745" s="2719"/>
    </row>
    <row r="1746" customFormat="false" ht="15.5" hidden="false" customHeight="false" outlineLevel="0" collapsed="false">
      <c r="A1746" s="2719"/>
      <c r="B1746" s="2648" t="str">
        <f aca="false">пристройка!H226</f>
        <v>монтаж подкладочного ковра</v>
      </c>
      <c r="C1746" s="2765" t="str">
        <f aca="false">пристройка!I226</f>
        <v>м2</v>
      </c>
      <c r="D1746" s="122" t="n">
        <f aca="false">пристройка!J226</f>
        <v>0</v>
      </c>
      <c r="E1746" s="89" t="n">
        <f aca="false">пристройка!K226</f>
        <v>150</v>
      </c>
      <c r="F1746" s="89"/>
      <c r="G1746" s="122" t="n">
        <f aca="false">IF(F1746&gt;0,D1746*F1746,E1746*D1746)</f>
        <v>0</v>
      </c>
      <c r="H1746" s="2210" t="n">
        <f aca="false">D1746*E1746*$H$1730</f>
        <v>0</v>
      </c>
      <c r="I1746" s="2718" t="n">
        <f aca="false">IF(G1746&gt;H1746,G1746,H1746)*$H$1680</f>
        <v>0</v>
      </c>
      <c r="J1746" s="2712"/>
      <c r="K1746" s="2719"/>
    </row>
    <row r="1747" customFormat="false" ht="15.5" hidden="false" customHeight="false" outlineLevel="0" collapsed="false">
      <c r="A1747" s="2719"/>
      <c r="B1747" s="2648" t="str">
        <f aca="false">пристройка!H227</f>
        <v>Монтаж мягкой кровли</v>
      </c>
      <c r="C1747" s="2765" t="str">
        <f aca="false">пристройка!I227</f>
        <v>м2</v>
      </c>
      <c r="D1747" s="122" t="n">
        <f aca="false">пристройка!J227</f>
        <v>0</v>
      </c>
      <c r="E1747" s="89" t="n">
        <f aca="false">пристройка!K227</f>
        <v>350</v>
      </c>
      <c r="F1747" s="89"/>
      <c r="G1747" s="122" t="n">
        <f aca="false">IF(F1747&gt;0,D1747*F1747,E1747*D1747)</f>
        <v>0</v>
      </c>
      <c r="H1747" s="2210" t="n">
        <f aca="false">D1747*E1747*$H$1730</f>
        <v>0</v>
      </c>
      <c r="I1747" s="2718" t="n">
        <f aca="false">IF(G1747&gt;H1747,G1747,H1747)*$H$1680</f>
        <v>0</v>
      </c>
      <c r="J1747" s="2712"/>
      <c r="K1747" s="2719"/>
    </row>
    <row r="1748" customFormat="false" ht="15.5" hidden="false" customHeight="false" outlineLevel="0" collapsed="false">
      <c r="A1748" s="2719"/>
      <c r="B1748" s="2748" t="s">
        <v>4641</v>
      </c>
      <c r="C1748" s="2748"/>
      <c r="D1748" s="2748"/>
      <c r="E1748" s="2748"/>
      <c r="F1748" s="2748"/>
      <c r="G1748" s="2210" t="n">
        <f aca="false">SUM(G1731:G1747)*H1730</f>
        <v>0</v>
      </c>
      <c r="H1748" s="2210" t="n">
        <f aca="false">SUM(H1731:H1747)</f>
        <v>0</v>
      </c>
      <c r="I1748" s="2718" t="n">
        <f aca="false">IF(G1748&gt;H1748,G1748,H1748)*$H$1680</f>
        <v>0</v>
      </c>
      <c r="J1748" s="2712"/>
      <c r="K1748" s="2719"/>
    </row>
    <row r="1749" customFormat="false" ht="21" hidden="false" customHeight="false" outlineLevel="0" collapsed="false">
      <c r="A1749" s="2719"/>
      <c r="B1749" s="2830" t="s">
        <v>4663</v>
      </c>
      <c r="C1749" s="2830"/>
      <c r="D1749" s="2830"/>
      <c r="E1749" s="2830"/>
      <c r="F1749" s="2830"/>
      <c r="G1749" s="905"/>
      <c r="H1749" s="2832" t="n">
        <f aca="false">дома!D1229</f>
        <v>0</v>
      </c>
      <c r="I1749" s="2818" t="n">
        <f aca="false">H1749</f>
        <v>0</v>
      </c>
      <c r="J1749" s="2712"/>
      <c r="K1749" s="2719"/>
    </row>
    <row r="1750" customFormat="false" ht="15.5" hidden="false" customHeight="false" outlineLevel="0" collapsed="false">
      <c r="A1750" s="2719"/>
      <c r="B1750" s="2775" t="s">
        <v>2720</v>
      </c>
      <c r="C1750" s="2775"/>
      <c r="D1750" s="2775"/>
      <c r="E1750" s="2775"/>
      <c r="F1750" s="2775"/>
      <c r="G1750" s="905"/>
      <c r="H1750" s="2776" t="n">
        <f aca="false">H1749</f>
        <v>0</v>
      </c>
      <c r="I1750" s="2818" t="n">
        <f aca="false">H1750</f>
        <v>0</v>
      </c>
      <c r="J1750" s="2732"/>
      <c r="K1750" s="2733"/>
    </row>
    <row r="1751" customFormat="false" ht="15.5" hidden="false" customHeight="false" outlineLevel="0" collapsed="false">
      <c r="A1751" s="2719"/>
      <c r="B1751" s="298" t="str">
        <f aca="false">крыша!A575</f>
        <v>Брус естественной влажности, 100*100мм</v>
      </c>
      <c r="C1751" s="2765" t="str">
        <f aca="false">крыша!B575</f>
        <v>м3</v>
      </c>
      <c r="D1751" s="298" t="n">
        <f aca="false">крыша!C575</f>
        <v>0</v>
      </c>
      <c r="E1751" s="298" t="n">
        <f aca="false">крыша!D575</f>
        <v>6500</v>
      </c>
      <c r="F1751" s="298"/>
      <c r="G1751" s="122" t="n">
        <f aca="false">IF(F1751&gt;0,D1751*F1751,E1751*D1751)</f>
        <v>0</v>
      </c>
      <c r="H1751" s="85" t="n">
        <f aca="false">D1751*E1751*$H$1749</f>
        <v>0</v>
      </c>
      <c r="I1751" s="2784" t="n">
        <f aca="false">IF(G1751&gt;H1751,G1751,H1751)*$H$1749</f>
        <v>0</v>
      </c>
      <c r="J1751" s="2744"/>
      <c r="K1751" s="226" t="n">
        <f aca="false">D1751-J1751</f>
        <v>0</v>
      </c>
      <c r="L1751" s="2736"/>
    </row>
    <row r="1752" customFormat="false" ht="15.5" hidden="false" customHeight="false" outlineLevel="0" collapsed="false">
      <c r="A1752" s="2719"/>
      <c r="B1752" s="298" t="str">
        <f aca="false">крыша!A576</f>
        <v>Болты анкерные с гайкой 12,0 х 280</v>
      </c>
      <c r="C1752" s="2765" t="str">
        <f aca="false">крыша!B576</f>
        <v>шт</v>
      </c>
      <c r="D1752" s="298" t="n">
        <f aca="false">крыша!C576</f>
        <v>0</v>
      </c>
      <c r="E1752" s="298" t="n">
        <f aca="false">крыша!D576</f>
        <v>27.1</v>
      </c>
      <c r="F1752" s="298"/>
      <c r="G1752" s="122" t="n">
        <f aca="false">IF(F1752&gt;0,D1752*F1752,E1752*D1752)</f>
        <v>0</v>
      </c>
      <c r="H1752" s="85" t="n">
        <f aca="false">D1752*E1752*$H$1749</f>
        <v>0</v>
      </c>
      <c r="I1752" s="2784" t="n">
        <f aca="false">IF(G1752&gt;H1752,G1752,H1752)*$H$1749</f>
        <v>0</v>
      </c>
      <c r="J1752" s="2744"/>
      <c r="K1752" s="226" t="n">
        <f aca="false">D1752-J1752</f>
        <v>0</v>
      </c>
      <c r="L1752" s="2736"/>
    </row>
    <row r="1753" customFormat="false" ht="15.5" hidden="false" customHeight="false" outlineLevel="0" collapsed="false">
      <c r="A1753" s="2719"/>
      <c r="B1753" s="298" t="str">
        <f aca="false">крыша!A577</f>
        <v>Доска сухая, 200*50мм</v>
      </c>
      <c r="C1753" s="2765" t="str">
        <f aca="false">крыша!B577</f>
        <v>м3</v>
      </c>
      <c r="D1753" s="298" t="n">
        <f aca="false">крыша!C577</f>
        <v>0</v>
      </c>
      <c r="E1753" s="298" t="n">
        <f aca="false">крыша!D577</f>
        <v>9000</v>
      </c>
      <c r="F1753" s="298"/>
      <c r="G1753" s="122" t="n">
        <f aca="false">IF(F1753&gt;0,D1753*F1753,E1753*D1753)</f>
        <v>0</v>
      </c>
      <c r="H1753" s="85" t="n">
        <f aca="false">D1753*E1753*$H$1749</f>
        <v>0</v>
      </c>
      <c r="I1753" s="2784" t="n">
        <f aca="false">IF(G1753&gt;H1753,G1753,H1753)*$H$1749</f>
        <v>0</v>
      </c>
      <c r="J1753" s="2744"/>
      <c r="K1753" s="226" t="n">
        <f aca="false">D1753-J1753</f>
        <v>0</v>
      </c>
      <c r="L1753" s="2736"/>
    </row>
    <row r="1754" customFormat="false" ht="15.5" hidden="false" customHeight="false" outlineLevel="0" collapsed="false">
      <c r="A1754" s="2719"/>
      <c r="B1754" s="298" t="str">
        <f aca="false">крыша!A578</f>
        <v>Сосна влаж,100*25мм</v>
      </c>
      <c r="C1754" s="2765" t="str">
        <f aca="false">крыша!B578</f>
        <v>м3</v>
      </c>
      <c r="D1754" s="298" t="n">
        <f aca="false">крыша!C578</f>
        <v>0</v>
      </c>
      <c r="E1754" s="298" t="n">
        <f aca="false">крыша!D578</f>
        <v>6500</v>
      </c>
      <c r="F1754" s="298"/>
      <c r="G1754" s="122" t="n">
        <f aca="false">IF(F1754&gt;0,D1754*F1754,E1754*D1754)</f>
        <v>0</v>
      </c>
      <c r="H1754" s="85" t="n">
        <f aca="false">D1754*E1754*$H$1749</f>
        <v>0</v>
      </c>
      <c r="I1754" s="2784" t="n">
        <f aca="false">IF(G1754&gt;H1754,G1754,H1754)*$H$1749</f>
        <v>0</v>
      </c>
      <c r="J1754" s="2744"/>
      <c r="K1754" s="226" t="n">
        <f aca="false">D1754-J1754</f>
        <v>0</v>
      </c>
      <c r="L1754" s="2736"/>
    </row>
    <row r="1755" customFormat="false" ht="15.5" hidden="false" customHeight="false" outlineLevel="0" collapsed="false">
      <c r="A1755" s="2719"/>
      <c r="B1755" s="298" t="str">
        <f aca="false">крыша!A579</f>
        <v>Доска сухая, калибр., 35*45мм</v>
      </c>
      <c r="C1755" s="2765" t="str">
        <f aca="false">крыша!B579</f>
        <v>шт</v>
      </c>
      <c r="D1755" s="298" t="n">
        <f aca="false">крыша!C579</f>
        <v>0</v>
      </c>
      <c r="E1755" s="298" t="n">
        <f aca="false">крыша!D579</f>
        <v>12500</v>
      </c>
      <c r="F1755" s="298"/>
      <c r="G1755" s="122" t="n">
        <f aca="false">IF(F1755&gt;0,D1755*F1755,E1755*D1755)</f>
        <v>0</v>
      </c>
      <c r="H1755" s="85" t="n">
        <f aca="false">D1755*E1755*$H$1749</f>
        <v>0</v>
      </c>
      <c r="I1755" s="2784" t="n">
        <f aca="false">IF(G1755&gt;H1755,G1755,H1755)*$H$1749</f>
        <v>0</v>
      </c>
      <c r="J1755" s="2744"/>
      <c r="K1755" s="226" t="n">
        <f aca="false">D1755-J1755</f>
        <v>0</v>
      </c>
      <c r="L1755" s="2736"/>
    </row>
    <row r="1756" customFormat="false" ht="15.5" hidden="false" customHeight="false" outlineLevel="0" collapsed="false">
      <c r="A1756" s="2719"/>
      <c r="B1756" s="298" t="str">
        <f aca="false">крыша!A580</f>
        <v>нет ветроизоляции</v>
      </c>
      <c r="C1756" s="2765" t="str">
        <f aca="false">крыша!B580</f>
        <v>м2</v>
      </c>
      <c r="D1756" s="298" t="n">
        <f aca="false">крыша!C580</f>
        <v>0</v>
      </c>
      <c r="E1756" s="298" t="n">
        <f aca="false">крыша!D580</f>
        <v>0</v>
      </c>
      <c r="F1756" s="298"/>
      <c r="G1756" s="122" t="n">
        <f aca="false">IF(F1756&gt;0,D1756*F1756,E1756*D1756)</f>
        <v>0</v>
      </c>
      <c r="H1756" s="85" t="n">
        <f aca="false">D1756*E1756*$H$1749</f>
        <v>0</v>
      </c>
      <c r="I1756" s="2784" t="n">
        <f aca="false">IF(G1756&gt;H1756,G1756,H1756)*$H$1749</f>
        <v>0</v>
      </c>
      <c r="J1756" s="2744"/>
      <c r="K1756" s="226" t="n">
        <f aca="false">D1756-J1756</f>
        <v>0</v>
      </c>
      <c r="L1756" s="2736"/>
    </row>
    <row r="1757" customFormat="false" ht="15.5" hidden="false" customHeight="false" outlineLevel="0" collapsed="false">
      <c r="A1757" s="2719"/>
      <c r="B1757" s="298" t="str">
        <f aca="false">крыша!A581</f>
        <v>нет пароизоляции</v>
      </c>
      <c r="C1757" s="2765" t="str">
        <f aca="false">крыша!B581</f>
        <v>м2</v>
      </c>
      <c r="D1757" s="298" t="n">
        <f aca="false">крыша!C581</f>
        <v>0</v>
      </c>
      <c r="E1757" s="298" t="n">
        <f aca="false">крыша!D581</f>
        <v>0</v>
      </c>
      <c r="F1757" s="298"/>
      <c r="G1757" s="122" t="n">
        <f aca="false">IF(F1757&gt;0,D1757*F1757,E1757*D1757)</f>
        <v>0</v>
      </c>
      <c r="H1757" s="85" t="n">
        <f aca="false">D1757*E1757*$H$1749</f>
        <v>0</v>
      </c>
      <c r="I1757" s="2784" t="n">
        <f aca="false">IF(G1757&gt;H1757,G1757,H1757)*$H$1749</f>
        <v>0</v>
      </c>
      <c r="J1757" s="2744"/>
      <c r="K1757" s="226" t="n">
        <f aca="false">D1757-J1757</f>
        <v>0</v>
      </c>
      <c r="L1757" s="2736"/>
    </row>
    <row r="1758" customFormat="false" ht="15.5" hidden="false" customHeight="false" outlineLevel="0" collapsed="false">
      <c r="A1758" s="2719"/>
      <c r="B1758" s="298" t="str">
        <f aca="false">крыша!A582</f>
        <v>Плитный,28кг/м3, технониколь, 100мм</v>
      </c>
      <c r="C1758" s="2765" t="str">
        <f aca="false">крыша!B582</f>
        <v>м3</v>
      </c>
      <c r="D1758" s="298" t="n">
        <f aca="false">крыша!C582</f>
        <v>1.1256598192649</v>
      </c>
      <c r="E1758" s="298" t="n">
        <f aca="false">крыша!D582</f>
        <v>1700</v>
      </c>
      <c r="F1758" s="298"/>
      <c r="G1758" s="122" t="n">
        <f aca="false">IF(F1758&gt;0,D1758*F1758,E1758*D1758)</f>
        <v>1913.62169275032</v>
      </c>
      <c r="H1758" s="85" t="n">
        <f aca="false">D1758*E1758*$H$1749</f>
        <v>0</v>
      </c>
      <c r="I1758" s="2784" t="n">
        <f aca="false">IF(G1758&gt;H1758,G1758,H1758)*$H$1749</f>
        <v>0</v>
      </c>
      <c r="J1758" s="2744"/>
      <c r="K1758" s="226" t="n">
        <f aca="false">D1758-J1758</f>
        <v>1.1256598192649</v>
      </c>
      <c r="L1758" s="2736"/>
    </row>
    <row r="1759" customFormat="false" ht="15.5" hidden="false" customHeight="false" outlineLevel="0" collapsed="false">
      <c r="A1759" s="2719"/>
      <c r="B1759" s="298" t="str">
        <f aca="false">крыша!A583</f>
        <v>металлочерепица</v>
      </c>
      <c r="C1759" s="2765" t="str">
        <f aca="false">крыша!B583</f>
        <v>м2</v>
      </c>
      <c r="D1759" s="298" t="n">
        <f aca="false">крыша!C583</f>
        <v>0</v>
      </c>
      <c r="E1759" s="298" t="n">
        <f aca="false">крыша!D583</f>
        <v>250</v>
      </c>
      <c r="F1759" s="298"/>
      <c r="G1759" s="122" t="n">
        <f aca="false">IF(F1759&gt;0,D1759*F1759,E1759*D1759)</f>
        <v>0</v>
      </c>
      <c r="H1759" s="85" t="n">
        <f aca="false">D1759*E1759*$H$1749</f>
        <v>0</v>
      </c>
      <c r="I1759" s="2784" t="n">
        <f aca="false">IF(G1759&gt;H1759,G1759,H1759)*$H$1749</f>
        <v>0</v>
      </c>
      <c r="J1759" s="2744"/>
      <c r="K1759" s="226" t="n">
        <f aca="false">D1759-J1759</f>
        <v>0</v>
      </c>
      <c r="L1759" s="2736"/>
    </row>
    <row r="1760" customFormat="false" ht="15.5" hidden="false" customHeight="false" outlineLevel="0" collapsed="false">
      <c r="A1760" s="2719"/>
      <c r="B1760" s="298" t="str">
        <f aca="false">крыша!A584</f>
        <v>Карнизная планка</v>
      </c>
      <c r="C1760" s="2765" t="str">
        <f aca="false">крыша!B584</f>
        <v>м.п.</v>
      </c>
      <c r="D1760" s="298" t="n">
        <f aca="false">крыша!C584</f>
        <v>0</v>
      </c>
      <c r="E1760" s="298" t="n">
        <f aca="false">крыша!D584</f>
        <v>200</v>
      </c>
      <c r="F1760" s="298"/>
      <c r="G1760" s="122" t="n">
        <f aca="false">IF(F1760&gt;0,D1760*F1760,E1760*D1760)</f>
        <v>0</v>
      </c>
      <c r="H1760" s="85" t="n">
        <f aca="false">D1760*E1760*$H$1749</f>
        <v>0</v>
      </c>
      <c r="I1760" s="2784" t="n">
        <f aca="false">IF(G1760&gt;H1760,G1760,H1760)*$H$1749</f>
        <v>0</v>
      </c>
      <c r="J1760" s="2744"/>
      <c r="K1760" s="226" t="n">
        <f aca="false">D1760-J1760</f>
        <v>0</v>
      </c>
      <c r="L1760" s="2736"/>
    </row>
    <row r="1761" customFormat="false" ht="15.5" hidden="false" customHeight="false" outlineLevel="0" collapsed="false">
      <c r="A1761" s="2719"/>
      <c r="B1761" s="298" t="str">
        <f aca="false">крыша!A585</f>
        <v>Конек</v>
      </c>
      <c r="C1761" s="2765" t="str">
        <f aca="false">крыша!B585</f>
        <v>м.п.</v>
      </c>
      <c r="D1761" s="298" t="n">
        <f aca="false">крыша!C585</f>
        <v>0</v>
      </c>
      <c r="E1761" s="298" t="n">
        <f aca="false">крыша!D585</f>
        <v>230</v>
      </c>
      <c r="F1761" s="298"/>
      <c r="G1761" s="122" t="n">
        <f aca="false">IF(F1761&gt;0,D1761*F1761,E1761*D1761)</f>
        <v>0</v>
      </c>
      <c r="H1761" s="85" t="n">
        <f aca="false">D1761*E1761*$H$1749</f>
        <v>0</v>
      </c>
      <c r="I1761" s="2784" t="n">
        <f aca="false">IF(G1761&gt;H1761,G1761,H1761)*$H$1749</f>
        <v>0</v>
      </c>
      <c r="J1761" s="2744"/>
      <c r="K1761" s="226" t="n">
        <f aca="false">D1761-J1761</f>
        <v>0</v>
      </c>
      <c r="L1761" s="2736"/>
    </row>
    <row r="1762" customFormat="false" ht="15.5" hidden="false" customHeight="false" outlineLevel="0" collapsed="false">
      <c r="A1762" s="2719"/>
      <c r="B1762" s="298" t="str">
        <f aca="false">крыша!A586</f>
        <v>Ендова нижняя</v>
      </c>
      <c r="C1762" s="2765" t="str">
        <f aca="false">крыша!B586</f>
        <v>м.п</v>
      </c>
      <c r="D1762" s="298" t="n">
        <f aca="false">крыша!C586</f>
        <v>0</v>
      </c>
      <c r="E1762" s="298" t="n">
        <f aca="false">крыша!D586</f>
        <v>160</v>
      </c>
      <c r="F1762" s="298"/>
      <c r="G1762" s="122" t="n">
        <f aca="false">IF(F1762&gt;0,D1762*F1762,E1762*D1762)</f>
        <v>0</v>
      </c>
      <c r="H1762" s="85" t="n">
        <f aca="false">D1762*E1762*$H$1749</f>
        <v>0</v>
      </c>
      <c r="I1762" s="2784" t="n">
        <f aca="false">IF(G1762&gt;H1762,G1762,H1762)*$H$1749</f>
        <v>0</v>
      </c>
      <c r="J1762" s="2744"/>
      <c r="K1762" s="226" t="n">
        <f aca="false">D1762-J1762</f>
        <v>0</v>
      </c>
      <c r="L1762" s="2736"/>
    </row>
    <row r="1763" customFormat="false" ht="15.5" hidden="false" customHeight="false" outlineLevel="0" collapsed="false">
      <c r="A1763" s="2719"/>
      <c r="B1763" s="298" t="str">
        <f aca="false">крыша!A587</f>
        <v>Планка примыкания</v>
      </c>
      <c r="C1763" s="2765" t="str">
        <f aca="false">крыша!B587</f>
        <v>м.п</v>
      </c>
      <c r="D1763" s="298" t="n">
        <f aca="false">крыша!C587</f>
        <v>0</v>
      </c>
      <c r="E1763" s="298" t="n">
        <f aca="false">крыша!D587</f>
        <v>190</v>
      </c>
      <c r="F1763" s="298"/>
      <c r="G1763" s="122" t="n">
        <f aca="false">IF(F1763&gt;0,D1763*F1763,E1763*D1763)</f>
        <v>0</v>
      </c>
      <c r="H1763" s="85" t="n">
        <f aca="false">D1763*E1763*$H$1749</f>
        <v>0</v>
      </c>
      <c r="I1763" s="2784" t="n">
        <f aca="false">IF(G1763&gt;H1763,G1763,H1763)*$H$1749</f>
        <v>0</v>
      </c>
      <c r="J1763" s="2744"/>
      <c r="K1763" s="226" t="n">
        <f aca="false">D1763-J1763</f>
        <v>0</v>
      </c>
      <c r="L1763" s="2736"/>
    </row>
    <row r="1764" customFormat="false" ht="15.5" hidden="false" customHeight="false" outlineLevel="0" collapsed="false">
      <c r="A1764" s="2719"/>
      <c r="B1764" s="298" t="str">
        <f aca="false">крыша!A588</f>
        <v>ондулин</v>
      </c>
      <c r="C1764" s="2765" t="str">
        <f aca="false">крыша!B588</f>
        <v>м2</v>
      </c>
      <c r="D1764" s="298" t="n">
        <f aca="false">крыша!C588</f>
        <v>0</v>
      </c>
      <c r="E1764" s="298" t="n">
        <f aca="false">крыша!D588</f>
        <v>180</v>
      </c>
      <c r="F1764" s="298"/>
      <c r="G1764" s="122" t="n">
        <f aca="false">IF(F1764&gt;0,D1764*F1764,E1764*D1764)</f>
        <v>0</v>
      </c>
      <c r="H1764" s="85" t="n">
        <f aca="false">D1764*E1764*$H$1749</f>
        <v>0</v>
      </c>
      <c r="I1764" s="2784" t="n">
        <f aca="false">IF(G1764&gt;H1764,G1764,H1764)*$H$1749</f>
        <v>0</v>
      </c>
      <c r="J1764" s="2744"/>
      <c r="K1764" s="226" t="n">
        <f aca="false">D1764-J1764</f>
        <v>0</v>
      </c>
      <c r="L1764" s="2736"/>
    </row>
    <row r="1765" customFormat="false" ht="15.5" hidden="false" customHeight="false" outlineLevel="0" collapsed="false">
      <c r="A1765" s="2719"/>
      <c r="B1765" s="298" t="str">
        <f aca="false">крыша!A589</f>
        <v>Карнизная планка</v>
      </c>
      <c r="C1765" s="2765" t="str">
        <f aca="false">крыша!B589</f>
        <v>м.п.</v>
      </c>
      <c r="D1765" s="298" t="n">
        <f aca="false">крыша!C589</f>
        <v>0</v>
      </c>
      <c r="E1765" s="298" t="n">
        <f aca="false">крыша!D589</f>
        <v>190</v>
      </c>
      <c r="F1765" s="298"/>
      <c r="G1765" s="122" t="n">
        <f aca="false">IF(F1765&gt;0,D1765*F1765,E1765*D1765)</f>
        <v>0</v>
      </c>
      <c r="H1765" s="85" t="n">
        <f aca="false">D1765*E1765*$H$1749</f>
        <v>0</v>
      </c>
      <c r="I1765" s="2784" t="n">
        <f aca="false">IF(G1765&gt;H1765,G1765,H1765)*$H$1749</f>
        <v>0</v>
      </c>
      <c r="J1765" s="2744"/>
      <c r="K1765" s="226" t="n">
        <f aca="false">D1765-J1765</f>
        <v>0</v>
      </c>
      <c r="L1765" s="2736"/>
    </row>
    <row r="1766" customFormat="false" ht="15.5" hidden="false" customHeight="false" outlineLevel="0" collapsed="false">
      <c r="A1766" s="2719"/>
      <c r="B1766" s="298" t="str">
        <f aca="false">крыша!A590</f>
        <v>Торцевая планка</v>
      </c>
      <c r="C1766" s="2765" t="str">
        <f aca="false">крыша!B590</f>
        <v>м.п.</v>
      </c>
      <c r="D1766" s="298" t="n">
        <f aca="false">крыша!C590</f>
        <v>0</v>
      </c>
      <c r="E1766" s="298" t="n">
        <f aca="false">крыша!D590</f>
        <v>190</v>
      </c>
      <c r="F1766" s="298"/>
      <c r="G1766" s="122" t="n">
        <f aca="false">IF(F1766&gt;0,D1766*F1766,E1766*D1766)</f>
        <v>0</v>
      </c>
      <c r="H1766" s="85" t="n">
        <f aca="false">D1766*E1766*$H$1749</f>
        <v>0</v>
      </c>
      <c r="I1766" s="2784" t="n">
        <f aca="false">IF(G1766&gt;H1766,G1766,H1766)*$H$1749</f>
        <v>0</v>
      </c>
      <c r="J1766" s="2744"/>
      <c r="K1766" s="226" t="n">
        <f aca="false">D1766-J1766</f>
        <v>0</v>
      </c>
      <c r="L1766" s="2736"/>
    </row>
    <row r="1767" customFormat="false" ht="15.5" hidden="false" customHeight="false" outlineLevel="0" collapsed="false">
      <c r="A1767" s="2719"/>
      <c r="B1767" s="298" t="str">
        <f aca="false">крыша!A591</f>
        <v>Конек</v>
      </c>
      <c r="C1767" s="2765" t="str">
        <f aca="false">крыша!B591</f>
        <v>м.п.</v>
      </c>
      <c r="D1767" s="298" t="n">
        <f aca="false">крыша!C591</f>
        <v>0</v>
      </c>
      <c r="E1767" s="298" t="n">
        <f aca="false">крыша!D591</f>
        <v>200</v>
      </c>
      <c r="F1767" s="298"/>
      <c r="G1767" s="122" t="n">
        <f aca="false">IF(F1767&gt;0,D1767*F1767,E1767*D1767)</f>
        <v>0</v>
      </c>
      <c r="H1767" s="85" t="n">
        <f aca="false">D1767*E1767*$H$1749</f>
        <v>0</v>
      </c>
      <c r="I1767" s="2784" t="n">
        <f aca="false">IF(G1767&gt;H1767,G1767,H1767)*$H$1749</f>
        <v>0</v>
      </c>
      <c r="J1767" s="2744"/>
      <c r="K1767" s="226" t="n">
        <f aca="false">D1767-J1767</f>
        <v>0</v>
      </c>
      <c r="L1767" s="2736"/>
    </row>
    <row r="1768" customFormat="false" ht="15.5" hidden="false" customHeight="false" outlineLevel="0" collapsed="false">
      <c r="A1768" s="2719"/>
      <c r="B1768" s="298" t="str">
        <f aca="false">крыша!A592</f>
        <v>Ендова нижняя</v>
      </c>
      <c r="C1768" s="2765" t="str">
        <f aca="false">крыша!B592</f>
        <v>м.п.</v>
      </c>
      <c r="D1768" s="298" t="n">
        <f aca="false">крыша!C592</f>
        <v>0</v>
      </c>
      <c r="E1768" s="298" t="n">
        <f aca="false">крыша!D592</f>
        <v>160</v>
      </c>
      <c r="F1768" s="298"/>
      <c r="G1768" s="122" t="n">
        <f aca="false">IF(F1768&gt;0,D1768*F1768,E1768*D1768)</f>
        <v>0</v>
      </c>
      <c r="H1768" s="85" t="n">
        <f aca="false">D1768*E1768*$H$1749</f>
        <v>0</v>
      </c>
      <c r="I1768" s="2784" t="n">
        <f aca="false">IF(G1768&gt;H1768,G1768,H1768)*$H$1749</f>
        <v>0</v>
      </c>
      <c r="J1768" s="2744"/>
      <c r="K1768" s="226" t="n">
        <f aca="false">D1768-J1768</f>
        <v>0</v>
      </c>
      <c r="L1768" s="2736"/>
    </row>
    <row r="1769" customFormat="false" ht="15.5" hidden="false" customHeight="false" outlineLevel="0" collapsed="false">
      <c r="A1769" s="2719"/>
      <c r="B1769" s="298" t="str">
        <f aca="false">крыша!A593</f>
        <v>Ендова верхняя</v>
      </c>
      <c r="C1769" s="2765" t="str">
        <f aca="false">крыша!B593</f>
        <v>м.п.</v>
      </c>
      <c r="D1769" s="298" t="n">
        <f aca="false">крыша!C593</f>
        <v>0</v>
      </c>
      <c r="E1769" s="298" t="n">
        <f aca="false">крыша!D593</f>
        <v>190</v>
      </c>
      <c r="F1769" s="298"/>
      <c r="G1769" s="122" t="n">
        <f aca="false">IF(F1769&gt;0,D1769*F1769,E1769*D1769)</f>
        <v>0</v>
      </c>
      <c r="H1769" s="85" t="n">
        <f aca="false">D1769*E1769*$H$1749</f>
        <v>0</v>
      </c>
      <c r="I1769" s="2784" t="n">
        <f aca="false">IF(G1769&gt;H1769,G1769,H1769)*$H$1749</f>
        <v>0</v>
      </c>
      <c r="J1769" s="2744"/>
      <c r="K1769" s="226" t="n">
        <f aca="false">D1769-J1769</f>
        <v>0</v>
      </c>
      <c r="L1769" s="2736"/>
    </row>
    <row r="1770" customFormat="false" ht="15.5" hidden="false" customHeight="false" outlineLevel="0" collapsed="false">
      <c r="A1770" s="2719"/>
      <c r="B1770" s="298" t="str">
        <f aca="false">крыша!A594</f>
        <v>Планка примыкания</v>
      </c>
      <c r="C1770" s="2765" t="str">
        <f aca="false">крыша!B594</f>
        <v>м.п.</v>
      </c>
      <c r="D1770" s="298" t="n">
        <f aca="false">крыша!C594</f>
        <v>0</v>
      </c>
      <c r="E1770" s="298" t="n">
        <f aca="false">крыша!D594</f>
        <v>190</v>
      </c>
      <c r="F1770" s="298"/>
      <c r="G1770" s="122" t="n">
        <f aca="false">IF(F1770&gt;0,D1770*F1770,E1770*D1770)</f>
        <v>0</v>
      </c>
      <c r="H1770" s="85" t="n">
        <f aca="false">D1770*E1770*$H$1749</f>
        <v>0</v>
      </c>
      <c r="I1770" s="2784" t="n">
        <f aca="false">IF(G1770&gt;H1770,G1770,H1770)*$H$1749</f>
        <v>0</v>
      </c>
      <c r="J1770" s="2744"/>
      <c r="K1770" s="226" t="n">
        <f aca="false">D1770-J1770</f>
        <v>0</v>
      </c>
      <c r="L1770" s="2736"/>
    </row>
    <row r="1771" customFormat="false" ht="15.5" hidden="false" customHeight="false" outlineLevel="0" collapsed="false">
      <c r="A1771" s="2719"/>
      <c r="B1771" s="298" t="str">
        <f aca="false">крыша!A595</f>
        <v>Крепеж для ондулина</v>
      </c>
      <c r="C1771" s="2765" t="str">
        <f aca="false">крыша!B595</f>
        <v>шт</v>
      </c>
      <c r="D1771" s="298" t="n">
        <f aca="false">крыша!C595</f>
        <v>0</v>
      </c>
      <c r="E1771" s="298" t="n">
        <f aca="false">крыша!D595</f>
        <v>4.5</v>
      </c>
      <c r="F1771" s="298"/>
      <c r="G1771" s="122" t="n">
        <f aca="false">IF(F1771&gt;0,D1771*F1771,E1771*D1771)</f>
        <v>0</v>
      </c>
      <c r="H1771" s="85" t="n">
        <f aca="false">D1771*E1771*$H$1749</f>
        <v>0</v>
      </c>
      <c r="I1771" s="2784" t="n">
        <f aca="false">IF(G1771&gt;H1771,G1771,H1771)*$H$1749</f>
        <v>0</v>
      </c>
      <c r="J1771" s="2744"/>
      <c r="K1771" s="226" t="n">
        <f aca="false">D1771-J1771</f>
        <v>0</v>
      </c>
      <c r="L1771" s="2736"/>
    </row>
    <row r="1772" customFormat="false" ht="15.5" hidden="false" customHeight="false" outlineLevel="0" collapsed="false">
      <c r="A1772" s="2719"/>
      <c r="B1772" s="298" t="str">
        <f aca="false">крыша!A596</f>
        <v>нет</v>
      </c>
      <c r="C1772" s="2765" t="str">
        <f aca="false">крыша!B596</f>
        <v>м2</v>
      </c>
      <c r="D1772" s="298" t="n">
        <f aca="false">крыша!C596</f>
        <v>0</v>
      </c>
      <c r="E1772" s="298" t="n">
        <f aca="false">крыша!D596</f>
        <v>0</v>
      </c>
      <c r="F1772" s="298"/>
      <c r="G1772" s="122" t="n">
        <f aca="false">IF(F1772&gt;0,D1772*F1772,E1772*D1772)</f>
        <v>0</v>
      </c>
      <c r="H1772" s="85" t="n">
        <f aca="false">D1772*E1772*$H$1749</f>
        <v>0</v>
      </c>
      <c r="I1772" s="2784" t="n">
        <f aca="false">IF(G1772&gt;H1772,G1772,H1772)*$H$1749</f>
        <v>0</v>
      </c>
      <c r="J1772" s="2744"/>
      <c r="K1772" s="226" t="n">
        <f aca="false">D1772-J1772</f>
        <v>0</v>
      </c>
      <c r="L1772" s="2736"/>
    </row>
    <row r="1773" customFormat="false" ht="15.5" hidden="false" customHeight="false" outlineLevel="0" collapsed="false">
      <c r="A1773" s="2719"/>
      <c r="B1773" s="298" t="str">
        <f aca="false">крыша!A597</f>
        <v>Рядовая черепица</v>
      </c>
      <c r="C1773" s="2765" t="str">
        <f aca="false">крыша!B597</f>
        <v>м2</v>
      </c>
      <c r="D1773" s="298" t="n">
        <f aca="false">крыша!C597</f>
        <v>0</v>
      </c>
      <c r="E1773" s="298" t="n">
        <f aca="false">крыша!D597</f>
        <v>360</v>
      </c>
      <c r="F1773" s="298"/>
      <c r="G1773" s="122" t="n">
        <f aca="false">IF(F1773&gt;0,D1773*F1773,E1773*D1773)</f>
        <v>0</v>
      </c>
      <c r="H1773" s="85" t="n">
        <f aca="false">D1773*E1773*$H$1749</f>
        <v>0</v>
      </c>
      <c r="I1773" s="2784" t="n">
        <f aca="false">IF(G1773&gt;H1773,G1773,H1773)*$H$1749</f>
        <v>0</v>
      </c>
      <c r="J1773" s="2744"/>
      <c r="K1773" s="226" t="n">
        <f aca="false">D1773-J1773</f>
        <v>0</v>
      </c>
      <c r="L1773" s="2736"/>
    </row>
    <row r="1774" customFormat="false" ht="15.5" hidden="false" customHeight="false" outlineLevel="0" collapsed="false">
      <c r="A1774" s="2719"/>
      <c r="B1774" s="298" t="str">
        <f aca="false">крыша!A598</f>
        <v>Металл оцинк защита (карниз)</v>
      </c>
      <c r="C1774" s="2765" t="str">
        <f aca="false">крыша!B598</f>
        <v>м.п.</v>
      </c>
      <c r="D1774" s="298" t="n">
        <f aca="false">крыша!C598</f>
        <v>0</v>
      </c>
      <c r="E1774" s="298" t="n">
        <f aca="false">крыша!D598</f>
        <v>200</v>
      </c>
      <c r="F1774" s="298"/>
      <c r="G1774" s="122" t="n">
        <f aca="false">IF(F1774&gt;0,D1774*F1774,E1774*D1774)</f>
        <v>0</v>
      </c>
      <c r="H1774" s="85" t="n">
        <f aca="false">D1774*E1774*$H$1749</f>
        <v>0</v>
      </c>
      <c r="I1774" s="2784" t="n">
        <f aca="false">IF(G1774&gt;H1774,G1774,H1774)*$H$1749</f>
        <v>0</v>
      </c>
      <c r="J1774" s="2744"/>
      <c r="K1774" s="226" t="n">
        <f aca="false">D1774-J1774</f>
        <v>0</v>
      </c>
      <c r="L1774" s="2736"/>
    </row>
    <row r="1775" customFormat="false" ht="15.5" hidden="false" customHeight="false" outlineLevel="0" collapsed="false">
      <c r="A1775" s="2719"/>
      <c r="B1775" s="298" t="str">
        <f aca="false">крыша!A599</f>
        <v>Подкладочный ковер</v>
      </c>
      <c r="C1775" s="2765" t="str">
        <f aca="false">крыша!B599</f>
        <v>м.п.</v>
      </c>
      <c r="D1775" s="298" t="n">
        <f aca="false">крыша!C599</f>
        <v>0</v>
      </c>
      <c r="E1775" s="298" t="n">
        <f aca="false">крыша!D599</f>
        <v>220</v>
      </c>
      <c r="F1775" s="298"/>
      <c r="G1775" s="122" t="n">
        <f aca="false">IF(F1775&gt;0,D1775*F1775,E1775*D1775)</f>
        <v>0</v>
      </c>
      <c r="H1775" s="85" t="n">
        <f aca="false">D1775*E1775*$H$1749</f>
        <v>0</v>
      </c>
      <c r="I1775" s="2784" t="n">
        <f aca="false">IF(G1775&gt;H1775,G1775,H1775)*$H$1749</f>
        <v>0</v>
      </c>
      <c r="J1775" s="2744"/>
      <c r="K1775" s="226" t="n">
        <f aca="false">D1775-J1775</f>
        <v>0</v>
      </c>
      <c r="L1775" s="2736"/>
    </row>
    <row r="1776" customFormat="false" ht="15.5" hidden="false" customHeight="false" outlineLevel="0" collapsed="false">
      <c r="A1776" s="2719"/>
      <c r="B1776" s="298" t="str">
        <f aca="false">крыша!A600</f>
        <v>Карнизная самоклеющаяся черепица</v>
      </c>
      <c r="C1776" s="2765" t="str">
        <f aca="false">крыша!B600</f>
        <v>м.п.</v>
      </c>
      <c r="D1776" s="298" t="n">
        <f aca="false">крыша!C600</f>
        <v>0</v>
      </c>
      <c r="E1776" s="298" t="n">
        <f aca="false">крыша!D600</f>
        <v>220</v>
      </c>
      <c r="F1776" s="298"/>
      <c r="G1776" s="122" t="n">
        <f aca="false">IF(F1776&gt;0,D1776*F1776,E1776*D1776)</f>
        <v>0</v>
      </c>
      <c r="H1776" s="85" t="n">
        <f aca="false">D1776*E1776*$H$1749</f>
        <v>0</v>
      </c>
      <c r="I1776" s="2784" t="n">
        <f aca="false">IF(G1776&gt;H1776,G1776,H1776)*$H$1749</f>
        <v>0</v>
      </c>
      <c r="J1776" s="2744"/>
      <c r="K1776" s="226" t="n">
        <f aca="false">D1776-J1776</f>
        <v>0</v>
      </c>
      <c r="L1776" s="2736"/>
    </row>
    <row r="1777" customFormat="false" ht="15.5" hidden="false" customHeight="false" outlineLevel="0" collapsed="false">
      <c r="A1777" s="2719"/>
      <c r="B1777" s="298" t="str">
        <f aca="false">крыша!A601</f>
        <v>Спец ковер ендова нижняя</v>
      </c>
      <c r="C1777" s="2765" t="str">
        <f aca="false">крыша!B601</f>
        <v>м.п.</v>
      </c>
      <c r="D1777" s="298" t="n">
        <f aca="false">крыша!C601</f>
        <v>0</v>
      </c>
      <c r="E1777" s="298" t="n">
        <f aca="false">крыша!D601</f>
        <v>200</v>
      </c>
      <c r="F1777" s="298"/>
      <c r="G1777" s="122" t="n">
        <f aca="false">IF(F1777&gt;0,D1777*F1777,E1777*D1777)</f>
        <v>0</v>
      </c>
      <c r="H1777" s="85" t="n">
        <f aca="false">D1777*E1777*$H$1749</f>
        <v>0</v>
      </c>
      <c r="I1777" s="2784" t="n">
        <f aca="false">IF(G1777&gt;H1777,G1777,H1777)*$H$1749</f>
        <v>0</v>
      </c>
      <c r="J1777" s="2744"/>
      <c r="K1777" s="226" t="n">
        <f aca="false">D1777-J1777</f>
        <v>0</v>
      </c>
      <c r="L1777" s="2736"/>
    </row>
    <row r="1778" customFormat="false" ht="15.5" hidden="false" customHeight="false" outlineLevel="0" collapsed="false">
      <c r="A1778" s="2719"/>
      <c r="B1778" s="298" t="str">
        <f aca="false">крыша!A602</f>
        <v>Коньковой элемент</v>
      </c>
      <c r="C1778" s="2765" t="str">
        <f aca="false">крыша!B602</f>
        <v>м.п.</v>
      </c>
      <c r="D1778" s="298" t="n">
        <f aca="false">крыша!C602</f>
        <v>0</v>
      </c>
      <c r="E1778" s="298" t="n">
        <f aca="false">крыша!D602</f>
        <v>250</v>
      </c>
      <c r="F1778" s="298"/>
      <c r="G1778" s="122" t="n">
        <f aca="false">IF(F1778&gt;0,D1778*F1778,E1778*D1778)</f>
        <v>0</v>
      </c>
      <c r="H1778" s="85" t="n">
        <f aca="false">D1778*E1778*$H$1749</f>
        <v>0</v>
      </c>
      <c r="I1778" s="2784" t="n">
        <f aca="false">IF(G1778&gt;H1778,G1778,H1778)*$H$1749</f>
        <v>0</v>
      </c>
      <c r="J1778" s="2744"/>
      <c r="K1778" s="226" t="n">
        <f aca="false">D1778-J1778</f>
        <v>0</v>
      </c>
      <c r="L1778" s="2736"/>
    </row>
    <row r="1779" customFormat="false" ht="15.5" hidden="false" customHeight="false" outlineLevel="0" collapsed="false">
      <c r="A1779" s="2719"/>
      <c r="B1779" s="298" t="str">
        <f aca="false">крыша!A603</f>
        <v>Планка премыкания</v>
      </c>
      <c r="C1779" s="2765" t="str">
        <f aca="false">крыша!B603</f>
        <v>м.п.</v>
      </c>
      <c r="D1779" s="298" t="n">
        <f aca="false">крыша!C603</f>
        <v>0</v>
      </c>
      <c r="E1779" s="298" t="n">
        <f aca="false">крыша!D603</f>
        <v>200</v>
      </c>
      <c r="F1779" s="298"/>
      <c r="G1779" s="122" t="n">
        <f aca="false">IF(F1779&gt;0,D1779*F1779,E1779*D1779)</f>
        <v>0</v>
      </c>
      <c r="H1779" s="85" t="n">
        <f aca="false">D1779*E1779*$H$1749</f>
        <v>0</v>
      </c>
      <c r="I1779" s="2784" t="n">
        <f aca="false">IF(G1779&gt;H1779,G1779,H1779)*$H$1749</f>
        <v>0</v>
      </c>
      <c r="J1779" s="2744"/>
      <c r="K1779" s="226" t="n">
        <f aca="false">D1779-J1779</f>
        <v>0</v>
      </c>
      <c r="L1779" s="2736"/>
    </row>
    <row r="1780" customFormat="false" ht="15.5" hidden="false" customHeight="false" outlineLevel="0" collapsed="false">
      <c r="A1780" s="2719"/>
      <c r="B1780" s="298" t="str">
        <f aca="false">крыша!A604</f>
        <v>Гвозди для крепления подкладочного ковра</v>
      </c>
      <c r="C1780" s="2765" t="str">
        <f aca="false">крыша!B604</f>
        <v>шт</v>
      </c>
      <c r="D1780" s="298" t="n">
        <f aca="false">крыша!C604</f>
        <v>0</v>
      </c>
      <c r="E1780" s="298" t="n">
        <f aca="false">крыша!D604</f>
        <v>0.012</v>
      </c>
      <c r="F1780" s="298"/>
      <c r="G1780" s="122" t="n">
        <f aca="false">IF(F1780&gt;0,D1780*F1780,E1780*D1780)</f>
        <v>0</v>
      </c>
      <c r="H1780" s="85" t="n">
        <f aca="false">D1780*E1780*$H$1749</f>
        <v>0</v>
      </c>
      <c r="I1780" s="2784" t="n">
        <f aca="false">IF(G1780&gt;H1780,G1780,H1780)*$H$1749</f>
        <v>0</v>
      </c>
      <c r="J1780" s="2744"/>
      <c r="K1780" s="226" t="n">
        <f aca="false">D1780-J1780</f>
        <v>0</v>
      </c>
      <c r="L1780" s="2736"/>
    </row>
    <row r="1781" customFormat="false" ht="15.5" hidden="false" customHeight="false" outlineLevel="0" collapsed="false">
      <c r="A1781" s="2719"/>
      <c r="B1781" s="298" t="str">
        <f aca="false">крыша!A605</f>
        <v>Гвозди для крепления черепицы</v>
      </c>
      <c r="C1781" s="2765" t="str">
        <f aca="false">крыша!B605</f>
        <v>шт</v>
      </c>
      <c r="D1781" s="298" t="n">
        <f aca="false">крыша!C605</f>
        <v>0</v>
      </c>
      <c r="E1781" s="298" t="n">
        <f aca="false">крыша!D605</f>
        <v>0.25</v>
      </c>
      <c r="F1781" s="298"/>
      <c r="G1781" s="122" t="n">
        <f aca="false">IF(F1781&gt;0,D1781*F1781,E1781*D1781)</f>
        <v>0</v>
      </c>
      <c r="H1781" s="85" t="n">
        <f aca="false">D1781*E1781*$H$1749</f>
        <v>0</v>
      </c>
      <c r="I1781" s="2784" t="n">
        <f aca="false">IF(G1781&gt;H1781,G1781,H1781)*$H$1749</f>
        <v>0</v>
      </c>
      <c r="J1781" s="2744"/>
      <c r="K1781" s="226" t="n">
        <f aca="false">D1781-J1781</f>
        <v>0</v>
      </c>
      <c r="L1781" s="2736"/>
    </row>
    <row r="1782" customFormat="false" ht="15.5" hidden="false" customHeight="false" outlineLevel="0" collapsed="false">
      <c r="A1782" s="2719"/>
      <c r="B1782" s="298" t="str">
        <f aca="false">крыша!A606</f>
        <v>Клей для монтажа черепицы</v>
      </c>
      <c r="C1782" s="2765" t="str">
        <f aca="false">крыша!B606</f>
        <v>кг</v>
      </c>
      <c r="D1782" s="298" t="n">
        <f aca="false">крыша!C606</f>
        <v>0</v>
      </c>
      <c r="E1782" s="298" t="n">
        <f aca="false">крыша!D606</f>
        <v>250</v>
      </c>
      <c r="F1782" s="298"/>
      <c r="G1782" s="122" t="n">
        <f aca="false">IF(F1782&gt;0,D1782*F1782,E1782*D1782)</f>
        <v>0</v>
      </c>
      <c r="H1782" s="85" t="n">
        <f aca="false">D1782*E1782*$H$1749</f>
        <v>0</v>
      </c>
      <c r="I1782" s="2784" t="n">
        <f aca="false">IF(G1782&gt;H1782,G1782,H1782)*$H$1749</f>
        <v>0</v>
      </c>
      <c r="J1782" s="2744"/>
      <c r="K1782" s="226" t="n">
        <f aca="false">D1782-J1782</f>
        <v>0</v>
      </c>
      <c r="L1782" s="2736"/>
    </row>
    <row r="1783" customFormat="false" ht="15.5" hidden="false" customHeight="false" outlineLevel="0" collapsed="false">
      <c r="A1783" s="2719"/>
      <c r="B1783" s="298" t="str">
        <f aca="false">крыша!A607</f>
        <v>желоб</v>
      </c>
      <c r="C1783" s="2765" t="str">
        <f aca="false">крыша!B607</f>
        <v>м.п</v>
      </c>
      <c r="D1783" s="298" t="n">
        <f aca="false">крыша!C607</f>
        <v>0</v>
      </c>
      <c r="E1783" s="298" t="n">
        <f aca="false">крыша!D607</f>
        <v>300</v>
      </c>
      <c r="F1783" s="298"/>
      <c r="G1783" s="122" t="n">
        <f aca="false">IF(F1783&gt;0,D1783*F1783,E1783*D1783)</f>
        <v>0</v>
      </c>
      <c r="H1783" s="85" t="n">
        <f aca="false">D1783*E1783*$H$1749</f>
        <v>0</v>
      </c>
      <c r="I1783" s="2784" t="n">
        <f aca="false">IF(G1783&gt;H1783,G1783,H1783)*$H$1749</f>
        <v>0</v>
      </c>
      <c r="J1783" s="2744"/>
      <c r="K1783" s="226" t="n">
        <f aca="false">D1783-J1783</f>
        <v>0</v>
      </c>
      <c r="L1783" s="2736"/>
    </row>
    <row r="1784" customFormat="false" ht="15.5" hidden="false" customHeight="false" outlineLevel="0" collapsed="false">
      <c r="A1784" s="2719"/>
      <c r="B1784" s="298" t="str">
        <f aca="false">крыша!A608</f>
        <v>отвод</v>
      </c>
      <c r="C1784" s="2765" t="str">
        <f aca="false">крыша!B608</f>
        <v>шт</v>
      </c>
      <c r="D1784" s="298" t="n">
        <f aca="false">крыша!C608</f>
        <v>4</v>
      </c>
      <c r="E1784" s="298" t="n">
        <f aca="false">крыша!D608</f>
        <v>250</v>
      </c>
      <c r="F1784" s="298"/>
      <c r="G1784" s="122" t="n">
        <f aca="false">IF(F1784&gt;0,D1784*F1784,E1784*D1784)</f>
        <v>1000</v>
      </c>
      <c r="H1784" s="85" t="n">
        <f aca="false">D1784*E1784*$H$1749</f>
        <v>0</v>
      </c>
      <c r="I1784" s="2784" t="n">
        <f aca="false">IF(G1784&gt;H1784,G1784,H1784)*$H$1749</f>
        <v>0</v>
      </c>
      <c r="J1784" s="2744"/>
      <c r="K1784" s="226" t="n">
        <f aca="false">D1784-J1784</f>
        <v>4</v>
      </c>
      <c r="L1784" s="2736"/>
    </row>
    <row r="1785" customFormat="false" ht="15.5" hidden="false" customHeight="false" outlineLevel="0" collapsed="false">
      <c r="A1785" s="2719"/>
      <c r="B1785" s="298" t="str">
        <f aca="false">крыша!A609</f>
        <v>труба водосточная</v>
      </c>
      <c r="C1785" s="2765" t="str">
        <f aca="false">крыша!B609</f>
        <v>м.п.</v>
      </c>
      <c r="D1785" s="298" t="n">
        <f aca="false">крыша!C609</f>
        <v>0</v>
      </c>
      <c r="E1785" s="298" t="n">
        <f aca="false">крыша!D609</f>
        <v>300</v>
      </c>
      <c r="F1785" s="298"/>
      <c r="G1785" s="122" t="n">
        <f aca="false">IF(F1785&gt;0,D1785*F1785,E1785*D1785)</f>
        <v>0</v>
      </c>
      <c r="H1785" s="85" t="n">
        <f aca="false">D1785*E1785*$H$1749</f>
        <v>0</v>
      </c>
      <c r="I1785" s="2784" t="n">
        <f aca="false">IF(G1785&gt;H1785,G1785,H1785)*$H$1749</f>
        <v>0</v>
      </c>
      <c r="J1785" s="2744"/>
      <c r="K1785" s="226" t="n">
        <f aca="false">D1785-J1785</f>
        <v>0</v>
      </c>
      <c r="L1785" s="2736"/>
    </row>
    <row r="1786" customFormat="false" ht="15.5" hidden="false" customHeight="false" outlineLevel="0" collapsed="false">
      <c r="A1786" s="2719"/>
      <c r="B1786" s="298" t="str">
        <f aca="false">крыша!A610</f>
        <v>заглушка для желоба</v>
      </c>
      <c r="C1786" s="2765" t="str">
        <f aca="false">крыша!B610</f>
        <v>шт</v>
      </c>
      <c r="D1786" s="298" t="n">
        <f aca="false">крыша!C610</f>
        <v>0</v>
      </c>
      <c r="E1786" s="298" t="n">
        <f aca="false">крыша!D610</f>
        <v>190</v>
      </c>
      <c r="F1786" s="298"/>
      <c r="G1786" s="122" t="n">
        <f aca="false">IF(F1786&gt;0,D1786*F1786,E1786*D1786)</f>
        <v>0</v>
      </c>
      <c r="H1786" s="85" t="n">
        <f aca="false">D1786*E1786*$H$1749</f>
        <v>0</v>
      </c>
      <c r="I1786" s="2784" t="n">
        <f aca="false">IF(G1786&gt;H1786,G1786,H1786)*$H$1749</f>
        <v>0</v>
      </c>
      <c r="J1786" s="2744"/>
      <c r="K1786" s="226" t="n">
        <f aca="false">D1786-J1786</f>
        <v>0</v>
      </c>
      <c r="L1786" s="2736"/>
    </row>
    <row r="1787" customFormat="false" ht="15.5" hidden="false" customHeight="false" outlineLevel="0" collapsed="false">
      <c r="A1787" s="2719"/>
      <c r="B1787" s="298" t="str">
        <f aca="false">крыша!A611</f>
        <v>соеденитель для желоба</v>
      </c>
      <c r="C1787" s="2765" t="str">
        <f aca="false">крыша!B611</f>
        <v>шт</v>
      </c>
      <c r="D1787" s="298" t="n">
        <f aca="false">крыша!C611</f>
        <v>0</v>
      </c>
      <c r="E1787" s="298" t="n">
        <f aca="false">крыша!D611</f>
        <v>180</v>
      </c>
      <c r="F1787" s="298"/>
      <c r="G1787" s="122" t="n">
        <f aca="false">IF(F1787&gt;0,D1787*F1787,E1787*D1787)</f>
        <v>0</v>
      </c>
      <c r="H1787" s="85" t="n">
        <f aca="false">D1787*E1787*$H$1749</f>
        <v>0</v>
      </c>
      <c r="I1787" s="2784" t="n">
        <f aca="false">IF(G1787&gt;H1787,G1787,H1787)*$H$1749</f>
        <v>0</v>
      </c>
      <c r="J1787" s="2744"/>
      <c r="K1787" s="226" t="n">
        <f aca="false">D1787-J1787</f>
        <v>0</v>
      </c>
      <c r="L1787" s="2736"/>
    </row>
    <row r="1788" customFormat="false" ht="15.5" hidden="false" customHeight="false" outlineLevel="0" collapsed="false">
      <c r="A1788" s="2719"/>
      <c r="B1788" s="298" t="str">
        <f aca="false">крыша!A612</f>
        <v>кронштейн для желоба</v>
      </c>
      <c r="C1788" s="2765" t="str">
        <f aca="false">крыша!B612</f>
        <v>шт</v>
      </c>
      <c r="D1788" s="298" t="n">
        <f aca="false">крыша!C612</f>
        <v>0</v>
      </c>
      <c r="E1788" s="298" t="n">
        <f aca="false">крыша!D612</f>
        <v>130</v>
      </c>
      <c r="F1788" s="298"/>
      <c r="G1788" s="122" t="n">
        <f aca="false">IF(F1788&gt;0,D1788*F1788,E1788*D1788)</f>
        <v>0</v>
      </c>
      <c r="H1788" s="85" t="n">
        <f aca="false">D1788*E1788*$H$1749</f>
        <v>0</v>
      </c>
      <c r="I1788" s="2784" t="n">
        <f aca="false">IF(G1788&gt;H1788,G1788,H1788)*$H$1749</f>
        <v>0</v>
      </c>
      <c r="J1788" s="2744"/>
      <c r="K1788" s="226" t="n">
        <f aca="false">D1788-J1788</f>
        <v>0</v>
      </c>
      <c r="L1788" s="2736"/>
    </row>
    <row r="1789" customFormat="false" ht="15.5" hidden="false" customHeight="false" outlineLevel="0" collapsed="false">
      <c r="A1789" s="2719"/>
      <c r="B1789" s="298" t="str">
        <f aca="false">крыша!A613</f>
        <v>переход из желоба в трубу</v>
      </c>
      <c r="C1789" s="2765" t="str">
        <f aca="false">крыша!B613</f>
        <v>шт</v>
      </c>
      <c r="D1789" s="298" t="n">
        <f aca="false">крыша!C613</f>
        <v>2</v>
      </c>
      <c r="E1789" s="298" t="n">
        <f aca="false">крыша!D613</f>
        <v>350</v>
      </c>
      <c r="F1789" s="298"/>
      <c r="G1789" s="122" t="n">
        <f aca="false">IF(F1789&gt;0,D1789*F1789,E1789*D1789)</f>
        <v>700</v>
      </c>
      <c r="H1789" s="85" t="n">
        <f aca="false">D1789*E1789*$H$1749</f>
        <v>0</v>
      </c>
      <c r="I1789" s="2784" t="n">
        <f aca="false">IF(G1789&gt;H1789,G1789,H1789)*$H$1749</f>
        <v>0</v>
      </c>
      <c r="J1789" s="2744"/>
      <c r="K1789" s="226" t="n">
        <f aca="false">D1789-J1789</f>
        <v>2</v>
      </c>
      <c r="L1789" s="2736"/>
    </row>
    <row r="1790" customFormat="false" ht="15.5" hidden="false" customHeight="false" outlineLevel="0" collapsed="false">
      <c r="A1790" s="2719"/>
      <c r="B1790" s="298" t="str">
        <f aca="false">крыша!A614</f>
        <v>лента дельта мульти бэнд</v>
      </c>
      <c r="C1790" s="2765" t="str">
        <f aca="false">крыша!B614</f>
        <v>шт</v>
      </c>
      <c r="D1790" s="298" t="n">
        <f aca="false">крыша!C614</f>
        <v>0</v>
      </c>
      <c r="E1790" s="298" t="n">
        <f aca="false">крыша!D614</f>
        <v>1200</v>
      </c>
      <c r="F1790" s="298"/>
      <c r="G1790" s="122" t="n">
        <f aca="false">IF(F1790&gt;0,D1790*F1790,E1790*D1790)</f>
        <v>0</v>
      </c>
      <c r="H1790" s="85" t="n">
        <f aca="false">D1790*E1790*$H$1749</f>
        <v>0</v>
      </c>
      <c r="I1790" s="2784" t="n">
        <f aca="false">IF(G1790&gt;H1790,G1790,H1790)*$H$1749</f>
        <v>0</v>
      </c>
      <c r="J1790" s="2744"/>
      <c r="K1790" s="226" t="n">
        <f aca="false">D1790-J1790</f>
        <v>0</v>
      </c>
      <c r="L1790" s="2736"/>
    </row>
    <row r="1791" customFormat="false" ht="15.5" hidden="false" customHeight="false" outlineLevel="0" collapsed="false">
      <c r="A1791" s="2719"/>
      <c r="B1791" s="298" t="str">
        <f aca="false">крыша!A615</f>
        <v>лента дельта sb-60</v>
      </c>
      <c r="C1791" s="2765" t="str">
        <f aca="false">крыша!B615</f>
        <v>шт</v>
      </c>
      <c r="D1791" s="298" t="n">
        <f aca="false">крыша!C615</f>
        <v>0</v>
      </c>
      <c r="E1791" s="298" t="n">
        <f aca="false">крыша!D615</f>
        <v>1100</v>
      </c>
      <c r="F1791" s="298"/>
      <c r="G1791" s="122" t="n">
        <f aca="false">IF(F1791&gt;0,D1791*F1791,E1791*D1791)</f>
        <v>0</v>
      </c>
      <c r="H1791" s="85" t="n">
        <f aca="false">D1791*E1791*$H$1749</f>
        <v>0</v>
      </c>
      <c r="I1791" s="2784" t="n">
        <f aca="false">IF(G1791&gt;H1791,G1791,H1791)*$H$1749</f>
        <v>0</v>
      </c>
      <c r="J1791" s="2744"/>
      <c r="K1791" s="226" t="n">
        <f aca="false">D1791-J1791</f>
        <v>0</v>
      </c>
      <c r="L1791" s="2736"/>
    </row>
    <row r="1792" customFormat="false" ht="15.5" hidden="false" customHeight="false" outlineLevel="0" collapsed="false">
      <c r="A1792" s="2719"/>
      <c r="B1792" s="298" t="str">
        <f aca="false">крыша!A616</f>
        <v>Кровельный саморез</v>
      </c>
      <c r="C1792" s="2765" t="str">
        <f aca="false">крыша!B616</f>
        <v>шт</v>
      </c>
      <c r="D1792" s="298" t="n">
        <f aca="false">крыша!C616</f>
        <v>0</v>
      </c>
      <c r="E1792" s="298" t="n">
        <f aca="false">крыша!D616</f>
        <v>2</v>
      </c>
      <c r="F1792" s="298"/>
      <c r="G1792" s="122" t="n">
        <f aca="false">IF(F1792&gt;0,D1792*F1792,E1792*D1792)</f>
        <v>0</v>
      </c>
      <c r="H1792" s="85" t="n">
        <f aca="false">D1792*E1792*$H$1749</f>
        <v>0</v>
      </c>
      <c r="I1792" s="2784" t="n">
        <f aca="false">IF(G1792&gt;H1792,G1792,H1792)*$H$1749</f>
        <v>0</v>
      </c>
      <c r="J1792" s="2744"/>
      <c r="K1792" s="226" t="n">
        <f aca="false">D1792-J1792</f>
        <v>0</v>
      </c>
      <c r="L1792" s="2736"/>
    </row>
    <row r="1793" customFormat="false" ht="15.5" hidden="false" customHeight="false" outlineLevel="0" collapsed="false">
      <c r="A1793" s="2719"/>
      <c r="B1793" s="298" t="str">
        <f aca="false">крыша!A617</f>
        <v>Гвозди ершоные 3,4 x 60</v>
      </c>
      <c r="C1793" s="2765" t="str">
        <f aca="false">крыша!B617</f>
        <v>кг</v>
      </c>
      <c r="D1793" s="298" t="n">
        <f aca="false">крыша!C617</f>
        <v>0</v>
      </c>
      <c r="E1793" s="298" t="n">
        <f aca="false">крыша!D617</f>
        <v>75.51</v>
      </c>
      <c r="F1793" s="298"/>
      <c r="G1793" s="122" t="n">
        <f aca="false">IF(F1793&gt;0,D1793*F1793,E1793*D1793)</f>
        <v>0</v>
      </c>
      <c r="H1793" s="85" t="n">
        <f aca="false">D1793*E1793*$H$1749</f>
        <v>0</v>
      </c>
      <c r="I1793" s="2784" t="n">
        <f aca="false">IF(G1793&gt;H1793,G1793,H1793)*$H$1749</f>
        <v>0</v>
      </c>
      <c r="J1793" s="2744"/>
      <c r="K1793" s="226" t="n">
        <f aca="false">D1793-J1793</f>
        <v>0</v>
      </c>
      <c r="L1793" s="2736"/>
    </row>
    <row r="1794" customFormat="false" ht="15.5" hidden="false" customHeight="false" outlineLevel="0" collapsed="false">
      <c r="A1794" s="2719"/>
      <c r="B1794" s="298" t="str">
        <f aca="false">крыша!A618</f>
        <v>Гвозди ершоные 2,8 х 90</v>
      </c>
      <c r="C1794" s="2765" t="str">
        <f aca="false">крыша!B618</f>
        <v>кг</v>
      </c>
      <c r="D1794" s="298" t="n">
        <f aca="false">крыша!C618</f>
        <v>0</v>
      </c>
      <c r="E1794" s="298" t="n">
        <f aca="false">крыша!D618</f>
        <v>76.49</v>
      </c>
      <c r="F1794" s="298"/>
      <c r="G1794" s="122" t="n">
        <f aca="false">IF(F1794&gt;0,D1794*F1794,E1794*D1794)</f>
        <v>0</v>
      </c>
      <c r="H1794" s="85" t="n">
        <f aca="false">D1794*E1794*$H$1749</f>
        <v>0</v>
      </c>
      <c r="I1794" s="2784" t="n">
        <f aca="false">IF(G1794&gt;H1794,G1794,H1794)*$H$1749</f>
        <v>0</v>
      </c>
      <c r="J1794" s="2744"/>
      <c r="K1794" s="226" t="n">
        <f aca="false">D1794-J1794</f>
        <v>0</v>
      </c>
      <c r="L1794" s="2736"/>
    </row>
    <row r="1795" customFormat="false" ht="15.5" hidden="false" customHeight="false" outlineLevel="0" collapsed="false">
      <c r="A1795" s="2719"/>
      <c r="B1795" s="298" t="str">
        <f aca="false">крыша!A619</f>
        <v>Пластина соеденительная 100х240х2</v>
      </c>
      <c r="C1795" s="2765" t="str">
        <f aca="false">крыша!B619</f>
        <v>шт</v>
      </c>
      <c r="D1795" s="298" t="n">
        <f aca="false">крыша!C619</f>
        <v>2.3</v>
      </c>
      <c r="E1795" s="298" t="n">
        <f aca="false">крыша!D619</f>
        <v>31.54</v>
      </c>
      <c r="F1795" s="298"/>
      <c r="G1795" s="122" t="n">
        <f aca="false">IF(F1795&gt;0,D1795*F1795,E1795*D1795)</f>
        <v>72.542</v>
      </c>
      <c r="H1795" s="85" t="n">
        <f aca="false">D1795*E1795*$H$1749</f>
        <v>0</v>
      </c>
      <c r="I1795" s="2784" t="n">
        <f aca="false">IF(G1795&gt;H1795,G1795,H1795)*$H$1749</f>
        <v>0</v>
      </c>
      <c r="J1795" s="2744"/>
      <c r="K1795" s="226" t="n">
        <f aca="false">D1795-J1795</f>
        <v>2.3</v>
      </c>
      <c r="L1795" s="2736"/>
    </row>
    <row r="1796" customFormat="false" ht="15.5" hidden="false" customHeight="false" outlineLevel="0" collapsed="false">
      <c r="A1796" s="2719"/>
      <c r="B1796" s="298" t="str">
        <f aca="false">крыша!A620</f>
        <v>Уголок усиленный 90х70х55х2,5</v>
      </c>
      <c r="C1796" s="2765" t="str">
        <f aca="false">крыша!B620</f>
        <v>шт</v>
      </c>
      <c r="D1796" s="298" t="n">
        <f aca="false">крыша!C620</f>
        <v>3.45</v>
      </c>
      <c r="E1796" s="298" t="n">
        <f aca="false">крыша!D620</f>
        <v>30</v>
      </c>
      <c r="F1796" s="298"/>
      <c r="G1796" s="122" t="n">
        <f aca="false">IF(F1796&gt;0,D1796*F1796,E1796*D1796)</f>
        <v>103.5</v>
      </c>
      <c r="H1796" s="85" t="n">
        <f aca="false">D1796*E1796*$H$1749</f>
        <v>0</v>
      </c>
      <c r="I1796" s="2784" t="n">
        <f aca="false">IF(G1796&gt;H1796,G1796,H1796)*$H$1749</f>
        <v>0</v>
      </c>
      <c r="J1796" s="2744"/>
      <c r="K1796" s="226" t="n">
        <f aca="false">D1796-J1796</f>
        <v>3.45</v>
      </c>
      <c r="L1796" s="2736"/>
    </row>
    <row r="1797" customFormat="false" ht="15.5" hidden="false" customHeight="false" outlineLevel="0" collapsed="false">
      <c r="A1797" s="2719"/>
      <c r="B1797" s="2748" t="s">
        <v>4640</v>
      </c>
      <c r="C1797" s="2748"/>
      <c r="D1797" s="2748"/>
      <c r="E1797" s="2748"/>
      <c r="F1797" s="2748"/>
      <c r="G1797" s="2210" t="n">
        <f aca="false">SUM(G1751:G1796)*H1749</f>
        <v>0</v>
      </c>
      <c r="H1797" s="2210" t="n">
        <f aca="false">SUM(H1751:H1796)</f>
        <v>0</v>
      </c>
      <c r="I1797" s="2784" t="n">
        <f aca="false">IF(G1797&gt;H1797,G1797,H1797)*$H$1749</f>
        <v>0</v>
      </c>
      <c r="J1797" s="2744"/>
      <c r="K1797" s="226" t="n">
        <f aca="false">D1797-J1797</f>
        <v>0</v>
      </c>
      <c r="L1797" s="2736"/>
    </row>
    <row r="1798" customFormat="false" ht="15.5" hidden="false" customHeight="false" outlineLevel="0" collapsed="false">
      <c r="A1798" s="2719"/>
      <c r="B1798" s="2750" t="s">
        <v>1409</v>
      </c>
      <c r="C1798" s="2750"/>
      <c r="D1798" s="2750"/>
      <c r="E1798" s="2750"/>
      <c r="F1798" s="2750"/>
      <c r="G1798" s="905"/>
      <c r="H1798" s="2766" t="n">
        <f aca="false">H1749</f>
        <v>0</v>
      </c>
      <c r="I1798" s="2818" t="n">
        <f aca="false">H1798</f>
        <v>0</v>
      </c>
      <c r="J1798" s="2752"/>
      <c r="K1798" s="2753"/>
    </row>
    <row r="1799" customFormat="false" ht="15.5" hidden="false" customHeight="false" outlineLevel="0" collapsed="false">
      <c r="A1799" s="2719"/>
      <c r="B1799" s="2648" t="str">
        <f aca="false">крыша!G576</f>
        <v>монтаж мауэрлат</v>
      </c>
      <c r="C1799" s="2765" t="str">
        <f aca="false">крыша!I576</f>
        <v>м.п.</v>
      </c>
      <c r="D1799" s="298" t="n">
        <f aca="false">крыша!J576</f>
        <v>0</v>
      </c>
      <c r="E1799" s="177" t="n">
        <f aca="false">крыша!K576</f>
        <v>250</v>
      </c>
      <c r="F1799" s="177"/>
      <c r="G1799" s="122" t="n">
        <f aca="false">IF(F1799&gt;0,D1799*F1799,E1799*D1799)</f>
        <v>0</v>
      </c>
      <c r="H1799" s="2210" t="n">
        <f aca="false">D1799*E1799*$H$1798</f>
        <v>0</v>
      </c>
      <c r="I1799" s="2718" t="n">
        <f aca="false">IF(G1799&gt;H1799,G1799,H1799)*$H$1749</f>
        <v>0</v>
      </c>
      <c r="J1799" s="2712"/>
      <c r="L1799" s="878"/>
      <c r="M1799" s="878"/>
      <c r="N1799" s="878"/>
    </row>
    <row r="1800" customFormat="false" ht="15.5" hidden="false" customHeight="false" outlineLevel="0" collapsed="false">
      <c r="A1800" s="2719"/>
      <c r="B1800" s="2648" t="str">
        <f aca="false">крыша!G577</f>
        <v>монтаж стропил</v>
      </c>
      <c r="C1800" s="2765" t="str">
        <f aca="false">крыша!I577</f>
        <v>м2</v>
      </c>
      <c r="D1800" s="298" t="n">
        <f aca="false">крыша!J577</f>
        <v>0</v>
      </c>
      <c r="E1800" s="177" t="n">
        <f aca="false">крыша!K577</f>
        <v>450</v>
      </c>
      <c r="F1800" s="177"/>
      <c r="G1800" s="122" t="n">
        <f aca="false">IF(F1800&gt;0,D1800*F1800,E1800*D1800)</f>
        <v>0</v>
      </c>
      <c r="H1800" s="2210" t="n">
        <f aca="false">D1800*E1800*$H$1798</f>
        <v>0</v>
      </c>
      <c r="I1800" s="2718" t="n">
        <f aca="false">IF(G1800&gt;H1800,G1800,H1800)*$H$1749</f>
        <v>0</v>
      </c>
      <c r="J1800" s="2712"/>
      <c r="L1800" s="878"/>
      <c r="M1800" s="878"/>
      <c r="N1800" s="878"/>
    </row>
    <row r="1801" customFormat="false" ht="15.5" hidden="false" customHeight="false" outlineLevel="0" collapsed="false">
      <c r="A1801" s="2719"/>
      <c r="B1801" s="2648" t="str">
        <f aca="false">крыша!G578</f>
        <v>обрешетка</v>
      </c>
      <c r="C1801" s="2765" t="str">
        <f aca="false">крыша!I578</f>
        <v>м2</v>
      </c>
      <c r="D1801" s="298" t="n">
        <f aca="false">крыша!J578</f>
        <v>0</v>
      </c>
      <c r="E1801" s="177" t="n">
        <f aca="false">крыша!K578</f>
        <v>100</v>
      </c>
      <c r="F1801" s="177"/>
      <c r="G1801" s="122" t="n">
        <f aca="false">IF(F1801&gt;0,D1801*F1801,E1801*D1801)</f>
        <v>0</v>
      </c>
      <c r="H1801" s="2210" t="n">
        <f aca="false">D1801*E1801*$H$1798</f>
        <v>0</v>
      </c>
      <c r="I1801" s="2718" t="n">
        <f aca="false">IF(G1801&gt;H1801,G1801,H1801)*$H$1749</f>
        <v>0</v>
      </c>
      <c r="J1801" s="2712"/>
      <c r="L1801" s="878"/>
      <c r="M1801" s="878"/>
      <c r="N1801" s="878"/>
    </row>
    <row r="1802" customFormat="false" ht="15.5" hidden="false" customHeight="false" outlineLevel="0" collapsed="false">
      <c r="A1802" s="2719"/>
      <c r="B1802" s="2648" t="str">
        <f aca="false">крыша!G579</f>
        <v>контробеш</v>
      </c>
      <c r="C1802" s="2765" t="str">
        <f aca="false">крыша!I579</f>
        <v>м2</v>
      </c>
      <c r="D1802" s="298" t="n">
        <f aca="false">крыша!J579</f>
        <v>0</v>
      </c>
      <c r="E1802" s="177" t="n">
        <f aca="false">крыша!K579</f>
        <v>100</v>
      </c>
      <c r="F1802" s="177"/>
      <c r="G1802" s="122" t="n">
        <f aca="false">IF(F1802&gt;0,D1802*F1802,E1802*D1802)</f>
        <v>0</v>
      </c>
      <c r="H1802" s="2210" t="n">
        <f aca="false">D1802*E1802*$H$1798</f>
        <v>0</v>
      </c>
      <c r="I1802" s="2718" t="n">
        <f aca="false">IF(G1802&gt;H1802,G1802,H1802)*$H$1749</f>
        <v>0</v>
      </c>
      <c r="J1802" s="2712"/>
      <c r="L1802" s="878"/>
      <c r="M1802" s="878"/>
      <c r="N1802" s="878"/>
    </row>
    <row r="1803" customFormat="false" ht="15.5" hidden="false" customHeight="false" outlineLevel="0" collapsed="false">
      <c r="A1803" s="2719"/>
      <c r="B1803" s="2648" t="str">
        <f aca="false">крыша!G580</f>
        <v>мембрана</v>
      </c>
      <c r="C1803" s="2765" t="str">
        <f aca="false">крыша!I580</f>
        <v>м2</v>
      </c>
      <c r="D1803" s="298" t="n">
        <f aca="false">крыша!J580</f>
        <v>0</v>
      </c>
      <c r="E1803" s="177" t="n">
        <f aca="false">крыша!K580</f>
        <v>100</v>
      </c>
      <c r="F1803" s="177"/>
      <c r="G1803" s="122" t="n">
        <f aca="false">IF(F1803&gt;0,D1803*F1803,E1803*D1803)</f>
        <v>0</v>
      </c>
      <c r="H1803" s="2210" t="n">
        <f aca="false">D1803*E1803*$H$1798</f>
        <v>0</v>
      </c>
      <c r="I1803" s="2718" t="n">
        <f aca="false">IF(G1803&gt;H1803,G1803,H1803)*$H$1749</f>
        <v>0</v>
      </c>
      <c r="J1803" s="2712"/>
      <c r="L1803" s="878"/>
      <c r="M1803" s="878"/>
      <c r="N1803" s="878"/>
    </row>
    <row r="1804" customFormat="false" ht="15.5" hidden="false" customHeight="false" outlineLevel="0" collapsed="false">
      <c r="A1804" s="2719"/>
      <c r="B1804" s="2648" t="str">
        <f aca="false">крыша!G581</f>
        <v>пароизоляц</v>
      </c>
      <c r="C1804" s="2765" t="str">
        <f aca="false">крыша!I581</f>
        <v>м2</v>
      </c>
      <c r="D1804" s="298" t="n">
        <f aca="false">крыша!J581</f>
        <v>0</v>
      </c>
      <c r="E1804" s="177" t="n">
        <f aca="false">крыша!K581</f>
        <v>100</v>
      </c>
      <c r="F1804" s="177"/>
      <c r="G1804" s="122" t="n">
        <f aca="false">IF(F1804&gt;0,D1804*F1804,E1804*D1804)</f>
        <v>0</v>
      </c>
      <c r="H1804" s="2210" t="n">
        <f aca="false">D1804*E1804*$H$1798</f>
        <v>0</v>
      </c>
      <c r="I1804" s="2718" t="n">
        <f aca="false">IF(G1804&gt;H1804,G1804,H1804)*$H$1749</f>
        <v>0</v>
      </c>
      <c r="J1804" s="2712"/>
      <c r="L1804" s="878"/>
      <c r="M1804" s="878"/>
      <c r="N1804" s="878"/>
    </row>
    <row r="1805" customFormat="false" ht="15.5" hidden="false" customHeight="false" outlineLevel="0" collapsed="false">
      <c r="A1805" s="2719"/>
      <c r="B1805" s="2648" t="str">
        <f aca="false">крыша!G582</f>
        <v>утеплитель</v>
      </c>
      <c r="C1805" s="2765" t="str">
        <f aca="false">крыша!I582</f>
        <v>м2</v>
      </c>
      <c r="D1805" s="298" t="n">
        <f aca="false">крыша!J582</f>
        <v>0</v>
      </c>
      <c r="E1805" s="177" t="n">
        <f aca="false">крыша!K582</f>
        <v>200</v>
      </c>
      <c r="F1805" s="177"/>
      <c r="G1805" s="122" t="n">
        <f aca="false">IF(F1805&gt;0,D1805*F1805,E1805*D1805)</f>
        <v>0</v>
      </c>
      <c r="H1805" s="2210" t="n">
        <f aca="false">D1805*E1805*$H$1798</f>
        <v>0</v>
      </c>
      <c r="I1805" s="2718" t="n">
        <f aca="false">IF(G1805&gt;H1805,G1805,H1805)*$H$1749</f>
        <v>0</v>
      </c>
      <c r="J1805" s="2712"/>
      <c r="L1805" s="878"/>
      <c r="M1805" s="878"/>
      <c r="N1805" s="878"/>
    </row>
    <row r="1806" customFormat="false" ht="15.5" hidden="false" customHeight="false" outlineLevel="0" collapsed="false">
      <c r="A1806" s="2719"/>
      <c r="B1806" s="2648" t="str">
        <f aca="false">крыша!G583</f>
        <v>Монтаж металлочерепицы</v>
      </c>
      <c r="C1806" s="2765" t="str">
        <f aca="false">крыша!I583</f>
        <v>м2</v>
      </c>
      <c r="D1806" s="298" t="n">
        <f aca="false">крыша!J583</f>
        <v>0</v>
      </c>
      <c r="E1806" s="177" t="n">
        <f aca="false">крыша!K583</f>
        <v>300</v>
      </c>
      <c r="F1806" s="177"/>
      <c r="G1806" s="122" t="n">
        <f aca="false">IF(F1806&gt;0,D1806*F1806,E1806*D1806)</f>
        <v>0</v>
      </c>
      <c r="H1806" s="2210" t="n">
        <f aca="false">D1806*E1806*$H$1798</f>
        <v>0</v>
      </c>
      <c r="I1806" s="2718" t="n">
        <f aca="false">IF(G1806&gt;H1806,G1806,H1806)*$H$1749</f>
        <v>0</v>
      </c>
      <c r="J1806" s="2712"/>
      <c r="L1806" s="878"/>
      <c r="M1806" s="878"/>
      <c r="N1806" s="878"/>
    </row>
    <row r="1807" customFormat="false" ht="15.5" hidden="false" customHeight="false" outlineLevel="0" collapsed="false">
      <c r="A1807" s="2719"/>
      <c r="B1807" s="2648" t="str">
        <f aca="false">крыша!G584</f>
        <v>карнизная планка</v>
      </c>
      <c r="C1807" s="2765" t="str">
        <f aca="false">крыша!I584</f>
        <v>м2</v>
      </c>
      <c r="D1807" s="298" t="n">
        <f aca="false">крыша!J584</f>
        <v>0</v>
      </c>
      <c r="E1807" s="177" t="n">
        <f aca="false">крыша!K584</f>
        <v>100</v>
      </c>
      <c r="F1807" s="177"/>
      <c r="G1807" s="122" t="n">
        <f aca="false">IF(F1807&gt;0,D1807*F1807,E1807*D1807)</f>
        <v>0</v>
      </c>
      <c r="H1807" s="2210" t="n">
        <f aca="false">D1807*E1807*$H$1798</f>
        <v>0</v>
      </c>
      <c r="I1807" s="2718" t="n">
        <f aca="false">IF(G1807&gt;H1807,G1807,H1807)*$H$1749</f>
        <v>0</v>
      </c>
      <c r="J1807" s="2712"/>
      <c r="L1807" s="878"/>
      <c r="M1807" s="878"/>
      <c r="N1807" s="878"/>
    </row>
    <row r="1808" customFormat="false" ht="15.5" hidden="false" customHeight="false" outlineLevel="0" collapsed="false">
      <c r="A1808" s="2719"/>
      <c r="B1808" s="2648" t="str">
        <f aca="false">крыша!G585</f>
        <v>желоб водосточный</v>
      </c>
      <c r="C1808" s="2765" t="str">
        <f aca="false">крыша!I585</f>
        <v>м.п.</v>
      </c>
      <c r="D1808" s="298" t="n">
        <f aca="false">крыша!J585</f>
        <v>0</v>
      </c>
      <c r="E1808" s="177" t="n">
        <f aca="false">крыша!K585</f>
        <v>300</v>
      </c>
      <c r="F1808" s="177"/>
      <c r="G1808" s="122" t="n">
        <f aca="false">IF(F1808&gt;0,D1808*F1808,E1808*D1808)</f>
        <v>0</v>
      </c>
      <c r="H1808" s="2210" t="n">
        <f aca="false">D1808*E1808*$H$1798</f>
        <v>0</v>
      </c>
      <c r="I1808" s="2718" t="n">
        <f aca="false">IF(G1808&gt;H1808,G1808,H1808)*$H$1749</f>
        <v>0</v>
      </c>
      <c r="J1808" s="2712"/>
      <c r="L1808" s="878"/>
      <c r="M1808" s="878"/>
      <c r="N1808" s="878"/>
    </row>
    <row r="1809" customFormat="false" ht="15.5" hidden="false" customHeight="false" outlineLevel="0" collapsed="false">
      <c r="A1809" s="2719"/>
      <c r="B1809" s="2648" t="str">
        <f aca="false">крыша!G586</f>
        <v>труба водосточная</v>
      </c>
      <c r="C1809" s="2765" t="str">
        <f aca="false">крыша!I586</f>
        <v>м.п.</v>
      </c>
      <c r="D1809" s="298" t="n">
        <f aca="false">крыша!J586</f>
        <v>0</v>
      </c>
      <c r="E1809" s="177" t="n">
        <f aca="false">крыша!K586</f>
        <v>300</v>
      </c>
      <c r="F1809" s="177"/>
      <c r="G1809" s="122" t="n">
        <f aca="false">IF(F1809&gt;0,D1809*F1809,E1809*D1809)</f>
        <v>0</v>
      </c>
      <c r="H1809" s="2210" t="n">
        <f aca="false">D1809*E1809*$H$1798</f>
        <v>0</v>
      </c>
      <c r="I1809" s="2718" t="n">
        <f aca="false">IF(G1809&gt;H1809,G1809,H1809)*$H$1749</f>
        <v>0</v>
      </c>
      <c r="J1809" s="2712"/>
      <c r="L1809" s="878"/>
      <c r="M1809" s="878"/>
      <c r="N1809" s="878"/>
    </row>
    <row r="1810" customFormat="false" ht="15.5" hidden="false" customHeight="false" outlineLevel="0" collapsed="false">
      <c r="A1810" s="2719"/>
      <c r="B1810" s="2648" t="str">
        <f aca="false">крыша!G587</f>
        <v>ендова внутр/наружн</v>
      </c>
      <c r="C1810" s="2765" t="str">
        <f aca="false">крыша!I587</f>
        <v>м.п.</v>
      </c>
      <c r="D1810" s="298" t="n">
        <f aca="false">крыша!J587</f>
        <v>0</v>
      </c>
      <c r="E1810" s="177" t="n">
        <f aca="false">крыша!K587</f>
        <v>300</v>
      </c>
      <c r="F1810" s="177"/>
      <c r="G1810" s="122" t="n">
        <f aca="false">IF(F1810&gt;0,D1810*F1810,E1810*D1810)</f>
        <v>0</v>
      </c>
      <c r="H1810" s="2210" t="n">
        <f aca="false">D1810*E1810*$H$1798</f>
        <v>0</v>
      </c>
      <c r="I1810" s="2718" t="n">
        <f aca="false">IF(G1810&gt;H1810,G1810,H1810)*$H$1749</f>
        <v>0</v>
      </c>
      <c r="J1810" s="2712"/>
      <c r="L1810" s="878"/>
      <c r="M1810" s="878"/>
      <c r="N1810" s="878"/>
    </row>
    <row r="1811" customFormat="false" ht="15.5" hidden="false" customHeight="false" outlineLevel="0" collapsed="false">
      <c r="A1811" s="2719"/>
      <c r="B1811" s="2648" t="str">
        <f aca="false">крыша!G588</f>
        <v>Монтаж фанеры/osb</v>
      </c>
      <c r="C1811" s="2765" t="str">
        <f aca="false">крыша!I588</f>
        <v>м2</v>
      </c>
      <c r="D1811" s="298" t="n">
        <f aca="false">крыша!J588</f>
        <v>0</v>
      </c>
      <c r="E1811" s="177" t="n">
        <f aca="false">крыша!K588</f>
        <v>200</v>
      </c>
      <c r="F1811" s="177"/>
      <c r="G1811" s="122" t="n">
        <f aca="false">IF(F1811&gt;0,D1811*F1811,E1811*D1811)</f>
        <v>0</v>
      </c>
      <c r="H1811" s="2210" t="n">
        <f aca="false">D1811*E1811*$H$1798</f>
        <v>0</v>
      </c>
      <c r="I1811" s="2718" t="n">
        <f aca="false">IF(G1811&gt;H1811,G1811,H1811)*$H$1749</f>
        <v>0</v>
      </c>
      <c r="J1811" s="2712"/>
      <c r="L1811" s="878"/>
      <c r="M1811" s="878"/>
      <c r="N1811" s="878"/>
    </row>
    <row r="1812" customFormat="false" ht="15.5" hidden="false" customHeight="false" outlineLevel="0" collapsed="false">
      <c r="A1812" s="2719"/>
      <c r="B1812" s="2648" t="str">
        <f aca="false">крыша!G589</f>
        <v>монтаж подкладочного ковра</v>
      </c>
      <c r="C1812" s="2765" t="str">
        <f aca="false">крыша!I589</f>
        <v>м2</v>
      </c>
      <c r="D1812" s="298" t="n">
        <f aca="false">крыша!J589</f>
        <v>0</v>
      </c>
      <c r="E1812" s="177" t="n">
        <f aca="false">крыша!K589</f>
        <v>150</v>
      </c>
      <c r="F1812" s="177"/>
      <c r="G1812" s="122" t="n">
        <f aca="false">IF(F1812&gt;0,D1812*F1812,E1812*D1812)</f>
        <v>0</v>
      </c>
      <c r="H1812" s="2210" t="n">
        <f aca="false">D1812*E1812*$H$1798</f>
        <v>0</v>
      </c>
      <c r="I1812" s="2718" t="n">
        <f aca="false">IF(G1812&gt;H1812,G1812,H1812)*$H$1749</f>
        <v>0</v>
      </c>
      <c r="J1812" s="2712"/>
      <c r="L1812" s="878"/>
      <c r="M1812" s="878"/>
      <c r="N1812" s="878"/>
    </row>
    <row r="1813" customFormat="false" ht="15.5" hidden="false" customHeight="false" outlineLevel="0" collapsed="false">
      <c r="A1813" s="2719"/>
      <c r="B1813" s="2648" t="str">
        <f aca="false">крыша!G590</f>
        <v>Монтаж мягкой кровли</v>
      </c>
      <c r="C1813" s="2765" t="str">
        <f aca="false">крыша!I590</f>
        <v>м2</v>
      </c>
      <c r="D1813" s="298" t="n">
        <f aca="false">крыша!J590</f>
        <v>0</v>
      </c>
      <c r="E1813" s="177" t="n">
        <f aca="false">крыша!K590</f>
        <v>350</v>
      </c>
      <c r="F1813" s="177"/>
      <c r="G1813" s="122" t="n">
        <f aca="false">IF(F1813&gt;0,D1813*F1813,E1813*D1813)</f>
        <v>0</v>
      </c>
      <c r="H1813" s="2210" t="n">
        <f aca="false">D1813*E1813*$H$1798</f>
        <v>0</v>
      </c>
      <c r="I1813" s="2718" t="n">
        <f aca="false">IF(G1813&gt;H1813,G1813,H1813)*$H$1749</f>
        <v>0</v>
      </c>
      <c r="J1813" s="2712"/>
      <c r="L1813" s="878"/>
      <c r="M1813" s="878"/>
      <c r="N1813" s="878"/>
    </row>
    <row r="1814" customFormat="false" ht="15.5" hidden="false" customHeight="false" outlineLevel="0" collapsed="false">
      <c r="A1814" s="2719"/>
      <c r="B1814" s="2748" t="s">
        <v>4641</v>
      </c>
      <c r="C1814" s="2748"/>
      <c r="D1814" s="2748"/>
      <c r="E1814" s="2748"/>
      <c r="F1814" s="2748"/>
      <c r="G1814" s="2210" t="n">
        <f aca="false">SUM(G1799:G1813)*H1798</f>
        <v>0</v>
      </c>
      <c r="H1814" s="2210" t="n">
        <f aca="false">SUM(H1799:H1813)</f>
        <v>0</v>
      </c>
      <c r="I1814" s="2718" t="n">
        <f aca="false">IF(G1814&gt;H1814,G1814,H1814)*$H$1749</f>
        <v>0</v>
      </c>
      <c r="J1814" s="2712"/>
      <c r="K1814" s="2719"/>
    </row>
    <row r="1815" customFormat="false" ht="21" hidden="false" customHeight="false" outlineLevel="0" collapsed="false">
      <c r="A1815" s="2719"/>
      <c r="B1815" s="2762" t="s">
        <v>4664</v>
      </c>
      <c r="C1815" s="2762"/>
      <c r="D1815" s="2762"/>
      <c r="E1815" s="2762"/>
      <c r="F1815" s="2782"/>
      <c r="G1815" s="905"/>
      <c r="H1815" s="2756" t="n">
        <f aca="false">дома!D2019*дома!G2093</f>
        <v>0</v>
      </c>
      <c r="I1815" s="2818" t="n">
        <f aca="false">H1815</f>
        <v>0</v>
      </c>
      <c r="J1815" s="2712"/>
      <c r="K1815" s="2719"/>
    </row>
    <row r="1816" customFormat="false" ht="15.5" hidden="false" customHeight="false" outlineLevel="0" collapsed="false">
      <c r="A1816" s="2712"/>
      <c r="B1816" s="2775" t="s">
        <v>2720</v>
      </c>
      <c r="C1816" s="2775"/>
      <c r="D1816" s="2775"/>
      <c r="E1816" s="2775"/>
      <c r="F1816" s="2783"/>
      <c r="G1816" s="905"/>
      <c r="H1816" s="2776" t="n">
        <f aca="false">H1815</f>
        <v>0</v>
      </c>
      <c r="I1816" s="2818" t="n">
        <f aca="false">H1816</f>
        <v>0</v>
      </c>
      <c r="J1816" s="2732"/>
      <c r="K1816" s="2733"/>
    </row>
    <row r="1817" customFormat="false" ht="15.5" hidden="false" customHeight="false" outlineLevel="0" collapsed="false">
      <c r="A1817" s="2719"/>
      <c r="B1817" s="122" t="str">
        <f aca="false">дома!A2136</f>
        <v>Доска сухая, 200*50мм</v>
      </c>
      <c r="C1817" s="88" t="str">
        <f aca="false">дома!B2136</f>
        <v>м3</v>
      </c>
      <c r="D1817" s="122" t="n">
        <f aca="false">дома!C2136</f>
        <v>0</v>
      </c>
      <c r="E1817" s="89" t="n">
        <f aca="false">дома!D2136</f>
        <v>9000</v>
      </c>
      <c r="F1817" s="89"/>
      <c r="G1817" s="122" t="n">
        <f aca="false">IF(F1817&gt;0,D1817*F1817,E1817*D1817)</f>
        <v>0</v>
      </c>
      <c r="H1817" s="2210" t="n">
        <f aca="false">D1817*E1817*$H$1816</f>
        <v>0</v>
      </c>
      <c r="I1817" s="2784" t="n">
        <f aca="false">IF(G1817&gt;H1817,G1817,H1817)*$H$1815</f>
        <v>0</v>
      </c>
      <c r="J1817" s="2744"/>
      <c r="K1817" s="226" t="n">
        <f aca="false">D1817-J1817</f>
        <v>0</v>
      </c>
      <c r="L1817" s="2736"/>
    </row>
    <row r="1818" customFormat="false" ht="15.5" hidden="false" customHeight="false" outlineLevel="0" collapsed="false">
      <c r="A1818" s="2719"/>
      <c r="B1818" s="122" t="str">
        <f aca="false">дома!A2137</f>
        <v>Сосна влаж,100*25мм</v>
      </c>
      <c r="C1818" s="88" t="str">
        <f aca="false">дома!B2137</f>
        <v>м3</v>
      </c>
      <c r="D1818" s="122" t="n">
        <f aca="false">дома!C2137</f>
        <v>0</v>
      </c>
      <c r="E1818" s="89" t="n">
        <f aca="false">дома!D2137</f>
        <v>6500</v>
      </c>
      <c r="F1818" s="89"/>
      <c r="G1818" s="122" t="n">
        <f aca="false">IF(F1818&gt;0,D1818*F1818,E1818*D1818)</f>
        <v>0</v>
      </c>
      <c r="H1818" s="2210" t="n">
        <f aca="false">D1818*E1818*$H$1816</f>
        <v>0</v>
      </c>
      <c r="I1818" s="2784" t="n">
        <f aca="false">IF(G1818&gt;H1818,G1818,H1818)*$H$1815</f>
        <v>0</v>
      </c>
      <c r="J1818" s="2744"/>
      <c r="K1818" s="226" t="n">
        <f aca="false">D1818-J1818</f>
        <v>0</v>
      </c>
      <c r="L1818" s="2736"/>
    </row>
    <row r="1819" customFormat="false" ht="15.5" hidden="false" customHeight="false" outlineLevel="0" collapsed="false">
      <c r="A1819" s="2719"/>
      <c r="B1819" s="122" t="str">
        <f aca="false">дома!A2138</f>
        <v>Доска сухая, калибр., 35*45мм</v>
      </c>
      <c r="C1819" s="88" t="str">
        <f aca="false">дома!B2138</f>
        <v>шт</v>
      </c>
      <c r="D1819" s="122" t="n">
        <f aca="false">дома!C2138</f>
        <v>0</v>
      </c>
      <c r="E1819" s="89" t="n">
        <f aca="false">дома!D2138</f>
        <v>12500</v>
      </c>
      <c r="F1819" s="89"/>
      <c r="G1819" s="122" t="n">
        <f aca="false">IF(F1819&gt;0,D1819*F1819,E1819*D1819)</f>
        <v>0</v>
      </c>
      <c r="H1819" s="2210" t="n">
        <f aca="false">D1819*E1819*$H$1816</f>
        <v>0</v>
      </c>
      <c r="I1819" s="2784" t="n">
        <f aca="false">IF(G1819&gt;H1819,G1819,H1819)*$H$1815</f>
        <v>0</v>
      </c>
      <c r="J1819" s="2744"/>
      <c r="K1819" s="226" t="n">
        <f aca="false">D1819-J1819</f>
        <v>0</v>
      </c>
      <c r="L1819" s="2736"/>
    </row>
    <row r="1820" customFormat="false" ht="15.5" hidden="false" customHeight="false" outlineLevel="0" collapsed="false">
      <c r="A1820" s="2719"/>
      <c r="B1820" s="122" t="str">
        <f aca="false">дома!A2139</f>
        <v>нет ветроизоляции</v>
      </c>
      <c r="C1820" s="88" t="str">
        <f aca="false">дома!B2139</f>
        <v>м2</v>
      </c>
      <c r="D1820" s="122" t="n">
        <f aca="false">дома!C2139</f>
        <v>0</v>
      </c>
      <c r="E1820" s="122" t="n">
        <f aca="false">дома!D2139</f>
        <v>0</v>
      </c>
      <c r="F1820" s="122"/>
      <c r="G1820" s="122" t="n">
        <f aca="false">IF(F1820&gt;0,D1820*F1820,E1820*D1820)</f>
        <v>0</v>
      </c>
      <c r="H1820" s="2210" t="n">
        <f aca="false">D1820*E1820*$H$1816</f>
        <v>0</v>
      </c>
      <c r="I1820" s="2784" t="n">
        <f aca="false">IF(G1820&gt;H1820,G1820,H1820)*$H$1815</f>
        <v>0</v>
      </c>
      <c r="J1820" s="2744"/>
      <c r="K1820" s="226" t="n">
        <f aca="false">D1820-J1820</f>
        <v>0</v>
      </c>
      <c r="L1820" s="2736"/>
    </row>
    <row r="1821" customFormat="false" ht="15.5" hidden="false" customHeight="false" outlineLevel="0" collapsed="false">
      <c r="A1821" s="2719"/>
      <c r="B1821" s="122" t="str">
        <f aca="false">дома!A2140</f>
        <v>металлочерепица</v>
      </c>
      <c r="C1821" s="88" t="str">
        <f aca="false">дома!B2140</f>
        <v>м2</v>
      </c>
      <c r="D1821" s="122" t="n">
        <f aca="false">дома!C2140</f>
        <v>0</v>
      </c>
      <c r="E1821" s="89" t="n">
        <f aca="false">дома!D2140</f>
        <v>250</v>
      </c>
      <c r="F1821" s="89"/>
      <c r="G1821" s="122" t="n">
        <f aca="false">IF(F1821&gt;0,D1821*F1821,E1821*D1821)</f>
        <v>0</v>
      </c>
      <c r="H1821" s="2210" t="n">
        <f aca="false">D1821*E1821*$H$1816</f>
        <v>0</v>
      </c>
      <c r="I1821" s="2784" t="n">
        <f aca="false">IF(G1821&gt;H1821,G1821,H1821)*$H$1815</f>
        <v>0</v>
      </c>
      <c r="J1821" s="2744"/>
      <c r="K1821" s="226" t="n">
        <f aca="false">D1821-J1821</f>
        <v>0</v>
      </c>
      <c r="L1821" s="2736"/>
    </row>
    <row r="1822" customFormat="false" ht="15.5" hidden="false" customHeight="false" outlineLevel="0" collapsed="false">
      <c r="A1822" s="2719"/>
      <c r="B1822" s="122" t="str">
        <f aca="false">дома!A2141</f>
        <v>карнизная планка</v>
      </c>
      <c r="C1822" s="88" t="str">
        <f aca="false">дома!B2141</f>
        <v>м.п.</v>
      </c>
      <c r="D1822" s="122" t="n">
        <f aca="false">дома!C2141</f>
        <v>0</v>
      </c>
      <c r="E1822" s="89" t="n">
        <f aca="false">дома!D2141</f>
        <v>200</v>
      </c>
      <c r="F1822" s="89"/>
      <c r="G1822" s="122" t="n">
        <f aca="false">IF(F1822&gt;0,D1822*F1822,E1822*D1822)</f>
        <v>0</v>
      </c>
      <c r="H1822" s="2210" t="n">
        <f aca="false">D1822*E1822*$H$1816</f>
        <v>0</v>
      </c>
      <c r="I1822" s="2784" t="n">
        <f aca="false">IF(G1822&gt;H1822,G1822,H1822)*$H$1815</f>
        <v>0</v>
      </c>
      <c r="J1822" s="2744"/>
      <c r="K1822" s="226" t="n">
        <f aca="false">D1822-J1822</f>
        <v>0</v>
      </c>
      <c r="L1822" s="2736"/>
    </row>
    <row r="1823" customFormat="false" ht="15.5" hidden="false" customHeight="false" outlineLevel="0" collapsed="false">
      <c r="A1823" s="2719"/>
      <c r="B1823" s="122" t="str">
        <f aca="false">дома!A2142</f>
        <v>торцевая планка</v>
      </c>
      <c r="C1823" s="88" t="str">
        <f aca="false">дома!B2142</f>
        <v>м.п.</v>
      </c>
      <c r="D1823" s="122" t="n">
        <f aca="false">дома!C2142</f>
        <v>0</v>
      </c>
      <c r="E1823" s="89" t="n">
        <f aca="false">дома!D2142</f>
        <v>200</v>
      </c>
      <c r="F1823" s="89"/>
      <c r="G1823" s="122" t="n">
        <f aca="false">IF(F1823&gt;0,D1823*F1823,E1823*D1823)</f>
        <v>0</v>
      </c>
      <c r="H1823" s="2210" t="n">
        <f aca="false">D1823*E1823*$H$1816</f>
        <v>0</v>
      </c>
      <c r="I1823" s="2784" t="n">
        <f aca="false">IF(G1823&gt;H1823,G1823,H1823)*$H$1815</f>
        <v>0</v>
      </c>
      <c r="J1823" s="2744"/>
      <c r="K1823" s="226" t="n">
        <f aca="false">D1823-J1823</f>
        <v>0</v>
      </c>
      <c r="L1823" s="2736"/>
    </row>
    <row r="1824" customFormat="false" ht="15.5" hidden="false" customHeight="false" outlineLevel="0" collapsed="false">
      <c r="A1824" s="2719"/>
      <c r="B1824" s="122" t="str">
        <f aca="false">дома!A2143</f>
        <v>конек</v>
      </c>
      <c r="C1824" s="88" t="str">
        <f aca="false">дома!B2143</f>
        <v>м.п.</v>
      </c>
      <c r="D1824" s="122" t="n">
        <f aca="false">дома!C2143</f>
        <v>0</v>
      </c>
      <c r="E1824" s="89" t="n">
        <f aca="false">дома!D2143</f>
        <v>230</v>
      </c>
      <c r="F1824" s="89"/>
      <c r="G1824" s="122" t="n">
        <f aca="false">IF(F1824&gt;0,D1824*F1824,E1824*D1824)</f>
        <v>0</v>
      </c>
      <c r="H1824" s="2210" t="n">
        <f aca="false">D1824*E1824*$H$1816</f>
        <v>0</v>
      </c>
      <c r="I1824" s="2784" t="n">
        <f aca="false">IF(G1824&gt;H1824,G1824,H1824)*$H$1815</f>
        <v>0</v>
      </c>
      <c r="J1824" s="2744"/>
      <c r="K1824" s="226" t="n">
        <f aca="false">D1824-J1824</f>
        <v>0</v>
      </c>
      <c r="L1824" s="2736"/>
    </row>
    <row r="1825" customFormat="false" ht="15.5" hidden="false" customHeight="false" outlineLevel="0" collapsed="false">
      <c r="A1825" s="2719"/>
      <c r="B1825" s="122" t="str">
        <f aca="false">дома!A2144</f>
        <v>ондулин</v>
      </c>
      <c r="C1825" s="88" t="str">
        <f aca="false">дома!B2144</f>
        <v>м2</v>
      </c>
      <c r="D1825" s="122" t="n">
        <f aca="false">дома!C2144</f>
        <v>0</v>
      </c>
      <c r="E1825" s="122" t="n">
        <f aca="false">дома!D2144</f>
        <v>180</v>
      </c>
      <c r="F1825" s="122"/>
      <c r="G1825" s="122" t="n">
        <f aca="false">IF(F1825&gt;0,D1825*F1825,E1825*D1825)</f>
        <v>0</v>
      </c>
      <c r="H1825" s="2210" t="n">
        <f aca="false">D1825*E1825*$H$1816</f>
        <v>0</v>
      </c>
      <c r="I1825" s="2784" t="n">
        <f aca="false">IF(G1825&gt;H1825,G1825,H1825)*$H$1815</f>
        <v>0</v>
      </c>
      <c r="J1825" s="2744"/>
      <c r="K1825" s="226" t="n">
        <f aca="false">D1825-J1825</f>
        <v>0</v>
      </c>
      <c r="L1825" s="2736"/>
    </row>
    <row r="1826" customFormat="false" ht="15.5" hidden="false" customHeight="false" outlineLevel="0" collapsed="false">
      <c r="A1826" s="2719"/>
      <c r="B1826" s="122" t="str">
        <f aca="false">дома!A2145</f>
        <v>Карнизная планка</v>
      </c>
      <c r="C1826" s="88" t="str">
        <f aca="false">дома!B2145</f>
        <v>м.п.</v>
      </c>
      <c r="D1826" s="122" t="n">
        <f aca="false">дома!C2145</f>
        <v>0</v>
      </c>
      <c r="E1826" s="122" t="n">
        <f aca="false">дома!D2145</f>
        <v>190</v>
      </c>
      <c r="F1826" s="122"/>
      <c r="G1826" s="122" t="n">
        <f aca="false">IF(F1826&gt;0,D1826*F1826,E1826*D1826)</f>
        <v>0</v>
      </c>
      <c r="H1826" s="2210" t="n">
        <f aca="false">D1826*E1826*$H$1816</f>
        <v>0</v>
      </c>
      <c r="I1826" s="2784" t="n">
        <f aca="false">IF(G1826&gt;H1826,G1826,H1826)*$H$1815</f>
        <v>0</v>
      </c>
      <c r="J1826" s="2744"/>
      <c r="K1826" s="226" t="n">
        <f aca="false">D1826-J1826</f>
        <v>0</v>
      </c>
      <c r="L1826" s="2736"/>
    </row>
    <row r="1827" customFormat="false" ht="15.5" hidden="false" customHeight="false" outlineLevel="0" collapsed="false">
      <c r="A1827" s="2719"/>
      <c r="B1827" s="122" t="str">
        <f aca="false">дома!A2146</f>
        <v>Торцевая планка</v>
      </c>
      <c r="C1827" s="88" t="str">
        <f aca="false">дома!B2146</f>
        <v>м.п.</v>
      </c>
      <c r="D1827" s="122" t="n">
        <f aca="false">дома!C2146</f>
        <v>0</v>
      </c>
      <c r="E1827" s="122" t="n">
        <f aca="false">дома!D2146</f>
        <v>190</v>
      </c>
      <c r="F1827" s="122"/>
      <c r="G1827" s="122" t="n">
        <f aca="false">IF(F1827&gt;0,D1827*F1827,E1827*D1827)</f>
        <v>0</v>
      </c>
      <c r="H1827" s="2210" t="n">
        <f aca="false">D1827*E1827*$H$1816</f>
        <v>0</v>
      </c>
      <c r="I1827" s="2784" t="n">
        <f aca="false">IF(G1827&gt;H1827,G1827,H1827)*$H$1815</f>
        <v>0</v>
      </c>
      <c r="J1827" s="2744"/>
      <c r="K1827" s="226" t="n">
        <f aca="false">D1827-J1827</f>
        <v>0</v>
      </c>
      <c r="L1827" s="2736"/>
    </row>
    <row r="1828" customFormat="false" ht="15.5" hidden="false" customHeight="false" outlineLevel="0" collapsed="false">
      <c r="A1828" s="2719"/>
      <c r="B1828" s="122" t="str">
        <f aca="false">дома!A2147</f>
        <v>Конек</v>
      </c>
      <c r="C1828" s="88" t="str">
        <f aca="false">дома!B2147</f>
        <v>м.п.</v>
      </c>
      <c r="D1828" s="122" t="n">
        <f aca="false">дома!C2147</f>
        <v>0</v>
      </c>
      <c r="E1828" s="122" t="n">
        <f aca="false">дома!D2147</f>
        <v>200</v>
      </c>
      <c r="F1828" s="122"/>
      <c r="G1828" s="122" t="n">
        <f aca="false">IF(F1828&gt;0,D1828*F1828,E1828*D1828)</f>
        <v>0</v>
      </c>
      <c r="H1828" s="2210" t="n">
        <f aca="false">D1828*E1828*$H$1816</f>
        <v>0</v>
      </c>
      <c r="I1828" s="2784" t="n">
        <f aca="false">IF(G1828&gt;H1828,G1828,H1828)*$H$1815</f>
        <v>0</v>
      </c>
      <c r="J1828" s="2744"/>
      <c r="K1828" s="226" t="n">
        <f aca="false">D1828-J1828</f>
        <v>0</v>
      </c>
      <c r="L1828" s="2736"/>
    </row>
    <row r="1829" customFormat="false" ht="15.5" hidden="false" customHeight="false" outlineLevel="0" collapsed="false">
      <c r="A1829" s="2719"/>
      <c r="B1829" s="122" t="str">
        <f aca="false">дома!A2148</f>
        <v>Ендова нижняя</v>
      </c>
      <c r="C1829" s="88" t="str">
        <f aca="false">дома!B2148</f>
        <v>м.п.</v>
      </c>
      <c r="D1829" s="122" t="n">
        <f aca="false">дома!C2148</f>
        <v>0</v>
      </c>
      <c r="E1829" s="122" t="n">
        <f aca="false">дома!D2148</f>
        <v>160</v>
      </c>
      <c r="F1829" s="122"/>
      <c r="G1829" s="122" t="n">
        <f aca="false">IF(F1829&gt;0,D1829*F1829,E1829*D1829)</f>
        <v>0</v>
      </c>
      <c r="H1829" s="2210" t="n">
        <f aca="false">D1829*E1829*$H$1816</f>
        <v>0</v>
      </c>
      <c r="I1829" s="2784" t="n">
        <f aca="false">IF(G1829&gt;H1829,G1829,H1829)*$H$1815</f>
        <v>0</v>
      </c>
      <c r="J1829" s="2744"/>
      <c r="K1829" s="226" t="n">
        <f aca="false">D1829-J1829</f>
        <v>0</v>
      </c>
      <c r="L1829" s="2736"/>
    </row>
    <row r="1830" customFormat="false" ht="15.5" hidden="false" customHeight="false" outlineLevel="0" collapsed="false">
      <c r="A1830" s="2719"/>
      <c r="B1830" s="122" t="str">
        <f aca="false">дома!A2149</f>
        <v>Ендова верхняя</v>
      </c>
      <c r="C1830" s="88" t="str">
        <f aca="false">дома!B2149</f>
        <v>м.п.</v>
      </c>
      <c r="D1830" s="122" t="n">
        <f aca="false">дома!C2149</f>
        <v>0</v>
      </c>
      <c r="E1830" s="122" t="n">
        <f aca="false">дома!D2149</f>
        <v>190</v>
      </c>
      <c r="F1830" s="122"/>
      <c r="G1830" s="122" t="n">
        <f aca="false">IF(F1830&gt;0,D1830*F1830,E1830*D1830)</f>
        <v>0</v>
      </c>
      <c r="H1830" s="2210" t="n">
        <f aca="false">D1830*E1830*$H$1816</f>
        <v>0</v>
      </c>
      <c r="I1830" s="2784" t="n">
        <f aca="false">IF(G1830&gt;H1830,G1830,H1830)*$H$1815</f>
        <v>0</v>
      </c>
      <c r="J1830" s="2744"/>
      <c r="K1830" s="226" t="n">
        <f aca="false">D1830-J1830</f>
        <v>0</v>
      </c>
      <c r="L1830" s="2736"/>
    </row>
    <row r="1831" customFormat="false" ht="15.5" hidden="false" customHeight="false" outlineLevel="0" collapsed="false">
      <c r="A1831" s="2719"/>
      <c r="B1831" s="122" t="str">
        <f aca="false">дома!A2150</f>
        <v>Планка примыкания</v>
      </c>
      <c r="C1831" s="88" t="str">
        <f aca="false">дома!B2150</f>
        <v>м.п.</v>
      </c>
      <c r="D1831" s="122" t="n">
        <f aca="false">дома!C2150</f>
        <v>0</v>
      </c>
      <c r="E1831" s="122" t="n">
        <f aca="false">дома!D2150</f>
        <v>190</v>
      </c>
      <c r="F1831" s="122"/>
      <c r="G1831" s="122" t="n">
        <f aca="false">IF(F1831&gt;0,D1831*F1831,E1831*D1831)</f>
        <v>0</v>
      </c>
      <c r="H1831" s="2210" t="n">
        <f aca="false">D1831*E1831*$H$1816</f>
        <v>0</v>
      </c>
      <c r="I1831" s="2784" t="n">
        <f aca="false">IF(G1831&gt;H1831,G1831,H1831)*$H$1815</f>
        <v>0</v>
      </c>
      <c r="J1831" s="2744"/>
      <c r="K1831" s="226" t="n">
        <f aca="false">D1831-J1831</f>
        <v>0</v>
      </c>
      <c r="L1831" s="2736"/>
    </row>
    <row r="1832" customFormat="false" ht="15.5" hidden="false" customHeight="false" outlineLevel="0" collapsed="false">
      <c r="A1832" s="2719"/>
      <c r="B1832" s="122" t="str">
        <f aca="false">дома!A2151</f>
        <v>Крепеж для ондулина</v>
      </c>
      <c r="C1832" s="88" t="str">
        <f aca="false">дома!B2151</f>
        <v>шт</v>
      </c>
      <c r="D1832" s="122" t="n">
        <f aca="false">дома!C2151</f>
        <v>0</v>
      </c>
      <c r="E1832" s="122" t="n">
        <f aca="false">дома!D2151</f>
        <v>4.5</v>
      </c>
      <c r="F1832" s="122"/>
      <c r="G1832" s="122" t="n">
        <f aca="false">IF(F1832&gt;0,D1832*F1832,E1832*D1832)</f>
        <v>0</v>
      </c>
      <c r="H1832" s="2210" t="n">
        <f aca="false">D1832*E1832*$H$1816</f>
        <v>0</v>
      </c>
      <c r="I1832" s="2784" t="n">
        <f aca="false">IF(G1832&gt;H1832,G1832,H1832)*$H$1815</f>
        <v>0</v>
      </c>
      <c r="J1832" s="2744"/>
      <c r="K1832" s="226" t="n">
        <f aca="false">D1832-J1832</f>
        <v>0</v>
      </c>
      <c r="L1832" s="2736"/>
    </row>
    <row r="1833" customFormat="false" ht="15.5" hidden="false" customHeight="false" outlineLevel="0" collapsed="false">
      <c r="A1833" s="2719"/>
      <c r="B1833" s="122" t="str">
        <f aca="false">дома!A2152</f>
        <v>нет</v>
      </c>
      <c r="C1833" s="88" t="str">
        <f aca="false">дома!B2152</f>
        <v>м2</v>
      </c>
      <c r="D1833" s="122" t="n">
        <f aca="false">дома!C2152</f>
        <v>21.4120474499754</v>
      </c>
      <c r="E1833" s="122" t="n">
        <f aca="false">дома!D2152</f>
        <v>0</v>
      </c>
      <c r="F1833" s="122"/>
      <c r="G1833" s="122" t="n">
        <f aca="false">IF(F1833&gt;0,D1833*F1833,E1833*D1833)</f>
        <v>0</v>
      </c>
      <c r="H1833" s="2210" t="n">
        <f aca="false">D1833*E1833*$H$1816</f>
        <v>0</v>
      </c>
      <c r="I1833" s="2784" t="n">
        <f aca="false">IF(G1833&gt;H1833,G1833,H1833)*$H$1815</f>
        <v>0</v>
      </c>
      <c r="J1833" s="2744"/>
      <c r="K1833" s="226" t="n">
        <f aca="false">D1833-J1833</f>
        <v>21.4120474499754</v>
      </c>
      <c r="L1833" s="2736"/>
    </row>
    <row r="1834" customFormat="false" ht="15.5" hidden="false" customHeight="false" outlineLevel="0" collapsed="false">
      <c r="A1834" s="2719"/>
      <c r="B1834" s="122" t="str">
        <f aca="false">дома!A2153</f>
        <v>Рядовая черепица</v>
      </c>
      <c r="C1834" s="88" t="str">
        <f aca="false">дома!B2153</f>
        <v>м2</v>
      </c>
      <c r="D1834" s="122" t="n">
        <f aca="false">дома!C2153</f>
        <v>0</v>
      </c>
      <c r="E1834" s="122" t="n">
        <f aca="false">дома!D2153</f>
        <v>360</v>
      </c>
      <c r="F1834" s="122"/>
      <c r="G1834" s="122" t="n">
        <f aca="false">IF(F1834&gt;0,D1834*F1834,E1834*D1834)</f>
        <v>0</v>
      </c>
      <c r="H1834" s="2210" t="n">
        <f aca="false">D1834*E1834*$H$1816</f>
        <v>0</v>
      </c>
      <c r="I1834" s="2784" t="n">
        <f aca="false">IF(G1834&gt;H1834,G1834,H1834)*$H$1815</f>
        <v>0</v>
      </c>
      <c r="J1834" s="2744"/>
      <c r="K1834" s="226" t="n">
        <f aca="false">D1834-J1834</f>
        <v>0</v>
      </c>
      <c r="L1834" s="2736"/>
    </row>
    <row r="1835" customFormat="false" ht="15.5" hidden="false" customHeight="false" outlineLevel="0" collapsed="false">
      <c r="A1835" s="2719"/>
      <c r="B1835" s="122" t="str">
        <f aca="false">дома!A2154</f>
        <v>Металл оцинк защита (карниз)</v>
      </c>
      <c r="C1835" s="88" t="str">
        <f aca="false">дома!B2154</f>
        <v>м.п.</v>
      </c>
      <c r="D1835" s="122" t="n">
        <f aca="false">дома!C2154</f>
        <v>0</v>
      </c>
      <c r="E1835" s="122" t="n">
        <f aca="false">дома!D2154</f>
        <v>200</v>
      </c>
      <c r="F1835" s="122"/>
      <c r="G1835" s="122" t="n">
        <f aca="false">IF(F1835&gt;0,D1835*F1835,E1835*D1835)</f>
        <v>0</v>
      </c>
      <c r="H1835" s="2210" t="n">
        <f aca="false">D1835*E1835*$H$1816</f>
        <v>0</v>
      </c>
      <c r="I1835" s="2784" t="n">
        <f aca="false">IF(G1835&gt;H1835,G1835,H1835)*$H$1815</f>
        <v>0</v>
      </c>
      <c r="J1835" s="2744"/>
      <c r="K1835" s="226" t="n">
        <f aca="false">D1835-J1835</f>
        <v>0</v>
      </c>
      <c r="L1835" s="2736"/>
    </row>
    <row r="1836" customFormat="false" ht="15.5" hidden="false" customHeight="false" outlineLevel="0" collapsed="false">
      <c r="A1836" s="2719"/>
      <c r="B1836" s="122" t="str">
        <f aca="false">дома!A2155</f>
        <v>Подкладочный ковер</v>
      </c>
      <c r="C1836" s="88" t="str">
        <f aca="false">дома!B2155</f>
        <v>м.п.</v>
      </c>
      <c r="D1836" s="122" t="n">
        <f aca="false">дома!C2155</f>
        <v>0</v>
      </c>
      <c r="E1836" s="122" t="n">
        <f aca="false">дома!D2155</f>
        <v>220</v>
      </c>
      <c r="F1836" s="122"/>
      <c r="G1836" s="122" t="n">
        <f aca="false">IF(F1836&gt;0,D1836*F1836,E1836*D1836)</f>
        <v>0</v>
      </c>
      <c r="H1836" s="2210" t="n">
        <f aca="false">D1836*E1836*$H$1816</f>
        <v>0</v>
      </c>
      <c r="I1836" s="2784" t="n">
        <f aca="false">IF(G1836&gt;H1836,G1836,H1836)*$H$1815</f>
        <v>0</v>
      </c>
      <c r="J1836" s="2744"/>
      <c r="K1836" s="226" t="n">
        <f aca="false">D1836-J1836</f>
        <v>0</v>
      </c>
      <c r="L1836" s="2736"/>
    </row>
    <row r="1837" customFormat="false" ht="15.5" hidden="false" customHeight="false" outlineLevel="0" collapsed="false">
      <c r="A1837" s="2719"/>
      <c r="B1837" s="122" t="str">
        <f aca="false">дома!A2156</f>
        <v>Карнизная самоклеющаяся черепица</v>
      </c>
      <c r="C1837" s="88" t="str">
        <f aca="false">дома!B2156</f>
        <v>м.п.</v>
      </c>
      <c r="D1837" s="122" t="n">
        <f aca="false">дома!C2156</f>
        <v>0</v>
      </c>
      <c r="E1837" s="122" t="n">
        <f aca="false">дома!D2156</f>
        <v>220</v>
      </c>
      <c r="F1837" s="122"/>
      <c r="G1837" s="122" t="n">
        <f aca="false">IF(F1837&gt;0,D1837*F1837,E1837*D1837)</f>
        <v>0</v>
      </c>
      <c r="H1837" s="2210" t="n">
        <f aca="false">D1837*E1837*$H$1816</f>
        <v>0</v>
      </c>
      <c r="I1837" s="2784" t="n">
        <f aca="false">IF(G1837&gt;H1837,G1837,H1837)*$H$1815</f>
        <v>0</v>
      </c>
      <c r="J1837" s="2744"/>
      <c r="K1837" s="226" t="n">
        <f aca="false">D1837-J1837</f>
        <v>0</v>
      </c>
      <c r="L1837" s="2736"/>
    </row>
    <row r="1838" customFormat="false" ht="15.5" hidden="false" customHeight="false" outlineLevel="0" collapsed="false">
      <c r="A1838" s="2719"/>
      <c r="B1838" s="122" t="str">
        <f aca="false">дома!A2157</f>
        <v>Спец ковер ендова нижняя</v>
      </c>
      <c r="C1838" s="88" t="str">
        <f aca="false">дома!B2157</f>
        <v>м.п.</v>
      </c>
      <c r="D1838" s="122" t="n">
        <f aca="false">дома!C2157</f>
        <v>0</v>
      </c>
      <c r="E1838" s="122" t="n">
        <f aca="false">дома!D2157</f>
        <v>200</v>
      </c>
      <c r="F1838" s="122"/>
      <c r="G1838" s="122" t="n">
        <f aca="false">IF(F1838&gt;0,D1838*F1838,E1838*D1838)</f>
        <v>0</v>
      </c>
      <c r="H1838" s="2210" t="n">
        <f aca="false">D1838*E1838*$H$1816</f>
        <v>0</v>
      </c>
      <c r="I1838" s="2784" t="n">
        <f aca="false">IF(G1838&gt;H1838,G1838,H1838)*$H$1815</f>
        <v>0</v>
      </c>
      <c r="J1838" s="2744"/>
      <c r="K1838" s="226" t="n">
        <f aca="false">D1838-J1838</f>
        <v>0</v>
      </c>
      <c r="L1838" s="2736"/>
    </row>
    <row r="1839" customFormat="false" ht="15.5" hidden="false" customHeight="false" outlineLevel="0" collapsed="false">
      <c r="A1839" s="2719"/>
      <c r="B1839" s="122" t="str">
        <f aca="false">дома!A2158</f>
        <v>Коньковой элемент</v>
      </c>
      <c r="C1839" s="88" t="str">
        <f aca="false">дома!B2158</f>
        <v>м.п.</v>
      </c>
      <c r="D1839" s="122" t="n">
        <f aca="false">дома!C2158</f>
        <v>0</v>
      </c>
      <c r="E1839" s="122" t="n">
        <f aca="false">дома!D2158</f>
        <v>250</v>
      </c>
      <c r="F1839" s="122"/>
      <c r="G1839" s="122" t="n">
        <f aca="false">IF(F1839&gt;0,D1839*F1839,E1839*D1839)</f>
        <v>0</v>
      </c>
      <c r="H1839" s="2210" t="n">
        <f aca="false">D1839*E1839*$H$1816</f>
        <v>0</v>
      </c>
      <c r="I1839" s="2784" t="n">
        <f aca="false">IF(G1839&gt;H1839,G1839,H1839)*$H$1815</f>
        <v>0</v>
      </c>
      <c r="J1839" s="2744"/>
      <c r="K1839" s="226" t="n">
        <f aca="false">D1839-J1839</f>
        <v>0</v>
      </c>
      <c r="L1839" s="2736"/>
    </row>
    <row r="1840" customFormat="false" ht="15.5" hidden="false" customHeight="false" outlineLevel="0" collapsed="false">
      <c r="A1840" s="2719"/>
      <c r="B1840" s="122" t="str">
        <f aca="false">дома!A2159</f>
        <v>Планка премыкания</v>
      </c>
      <c r="C1840" s="88" t="str">
        <f aca="false">дома!B2159</f>
        <v>м.п.</v>
      </c>
      <c r="D1840" s="122" t="n">
        <f aca="false">дома!C2159</f>
        <v>0</v>
      </c>
      <c r="E1840" s="122" t="n">
        <f aca="false">дома!D2159</f>
        <v>200</v>
      </c>
      <c r="F1840" s="122"/>
      <c r="G1840" s="122" t="n">
        <f aca="false">IF(F1840&gt;0,D1840*F1840,E1840*D1840)</f>
        <v>0</v>
      </c>
      <c r="H1840" s="2210" t="n">
        <f aca="false">D1840*E1840*$H$1816</f>
        <v>0</v>
      </c>
      <c r="I1840" s="2784" t="n">
        <f aca="false">IF(G1840&gt;H1840,G1840,H1840)*$H$1815</f>
        <v>0</v>
      </c>
      <c r="J1840" s="2744"/>
      <c r="K1840" s="226" t="n">
        <f aca="false">D1840-J1840</f>
        <v>0</v>
      </c>
      <c r="L1840" s="2736"/>
    </row>
    <row r="1841" customFormat="false" ht="15.5" hidden="false" customHeight="false" outlineLevel="0" collapsed="false">
      <c r="A1841" s="2719"/>
      <c r="B1841" s="122" t="str">
        <f aca="false">дома!A2160</f>
        <v>Гвозди для крепления подкладочного ковра</v>
      </c>
      <c r="C1841" s="88" t="str">
        <f aca="false">дома!B2160</f>
        <v>шт</v>
      </c>
      <c r="D1841" s="122" t="n">
        <f aca="false">дома!C2160</f>
        <v>0</v>
      </c>
      <c r="E1841" s="122" t="n">
        <f aca="false">дома!D2160</f>
        <v>0.012</v>
      </c>
      <c r="F1841" s="122"/>
      <c r="G1841" s="122" t="n">
        <f aca="false">IF(F1841&gt;0,D1841*F1841,E1841*D1841)</f>
        <v>0</v>
      </c>
      <c r="H1841" s="2210" t="n">
        <f aca="false">D1841*E1841*$H$1816</f>
        <v>0</v>
      </c>
      <c r="I1841" s="2784" t="n">
        <f aca="false">IF(G1841&gt;H1841,G1841,H1841)*$H$1815</f>
        <v>0</v>
      </c>
      <c r="J1841" s="2744"/>
      <c r="K1841" s="226" t="n">
        <f aca="false">D1841-J1841</f>
        <v>0</v>
      </c>
      <c r="L1841" s="2736"/>
    </row>
    <row r="1842" customFormat="false" ht="15.5" hidden="false" customHeight="false" outlineLevel="0" collapsed="false">
      <c r="A1842" s="2719"/>
      <c r="B1842" s="122" t="str">
        <f aca="false">дома!A2161</f>
        <v>Гвозди для крепления черепицы</v>
      </c>
      <c r="C1842" s="88" t="str">
        <f aca="false">дома!B2161</f>
        <v>шт</v>
      </c>
      <c r="D1842" s="122" t="n">
        <f aca="false">дома!C2161</f>
        <v>0</v>
      </c>
      <c r="E1842" s="122" t="n">
        <f aca="false">дома!D2161</f>
        <v>0.25</v>
      </c>
      <c r="F1842" s="122"/>
      <c r="G1842" s="122" t="n">
        <f aca="false">IF(F1842&gt;0,D1842*F1842,E1842*D1842)</f>
        <v>0</v>
      </c>
      <c r="H1842" s="2210" t="n">
        <f aca="false">D1842*E1842*$H$1816</f>
        <v>0</v>
      </c>
      <c r="I1842" s="2784" t="n">
        <f aca="false">IF(G1842&gt;H1842,G1842,H1842)*$H$1815</f>
        <v>0</v>
      </c>
      <c r="J1842" s="2744"/>
      <c r="K1842" s="226" t="n">
        <f aca="false">D1842-J1842</f>
        <v>0</v>
      </c>
      <c r="L1842" s="2736"/>
    </row>
    <row r="1843" customFormat="false" ht="15.5" hidden="false" customHeight="false" outlineLevel="0" collapsed="false">
      <c r="A1843" s="2719"/>
      <c r="B1843" s="122" t="str">
        <f aca="false">дома!A2162</f>
        <v>Клей для монтажа черепицы</v>
      </c>
      <c r="C1843" s="88" t="str">
        <f aca="false">дома!B2162</f>
        <v>кг</v>
      </c>
      <c r="D1843" s="122" t="n">
        <f aca="false">дома!C2162</f>
        <v>0</v>
      </c>
      <c r="E1843" s="122" t="n">
        <f aca="false">дома!D2162</f>
        <v>250</v>
      </c>
      <c r="F1843" s="122"/>
      <c r="G1843" s="122" t="n">
        <f aca="false">IF(F1843&gt;0,D1843*F1843,E1843*D1843)</f>
        <v>0</v>
      </c>
      <c r="H1843" s="2210" t="n">
        <f aca="false">D1843*E1843*$H$1816</f>
        <v>0</v>
      </c>
      <c r="I1843" s="2784" t="n">
        <f aca="false">IF(G1843&gt;H1843,G1843,H1843)*$H$1815</f>
        <v>0</v>
      </c>
      <c r="J1843" s="2744"/>
      <c r="K1843" s="226" t="n">
        <f aca="false">D1843-J1843</f>
        <v>0</v>
      </c>
      <c r="L1843" s="2736"/>
    </row>
    <row r="1844" customFormat="false" ht="15.5" hidden="false" customHeight="false" outlineLevel="0" collapsed="false">
      <c r="A1844" s="2719"/>
      <c r="B1844" s="122" t="str">
        <f aca="false">дома!A2163</f>
        <v>желоб</v>
      </c>
      <c r="C1844" s="88" t="str">
        <f aca="false">дома!B2163</f>
        <v>м.п</v>
      </c>
      <c r="D1844" s="122" t="n">
        <f aca="false">дома!C2163</f>
        <v>7.6</v>
      </c>
      <c r="E1844" s="89" t="n">
        <f aca="false">дома!D2163</f>
        <v>300</v>
      </c>
      <c r="F1844" s="89"/>
      <c r="G1844" s="122" t="n">
        <f aca="false">IF(F1844&gt;0,D1844*F1844,E1844*D1844)</f>
        <v>2280</v>
      </c>
      <c r="H1844" s="2210" t="n">
        <f aca="false">D1844*E1844*$H$1816</f>
        <v>0</v>
      </c>
      <c r="I1844" s="2784" t="n">
        <f aca="false">IF(G1844&gt;H1844,G1844,H1844)*$H$1815</f>
        <v>0</v>
      </c>
      <c r="J1844" s="2744"/>
      <c r="K1844" s="226" t="n">
        <f aca="false">D1844-J1844</f>
        <v>7.6</v>
      </c>
      <c r="L1844" s="2736"/>
    </row>
    <row r="1845" customFormat="false" ht="15.5" hidden="false" customHeight="false" outlineLevel="0" collapsed="false">
      <c r="A1845" s="2719"/>
      <c r="B1845" s="122" t="str">
        <f aca="false">дома!A2164</f>
        <v>отвод</v>
      </c>
      <c r="C1845" s="88" t="str">
        <f aca="false">дома!B2164</f>
        <v>шт</v>
      </c>
      <c r="D1845" s="122" t="n">
        <f aca="false">дома!C2164</f>
        <v>0</v>
      </c>
      <c r="E1845" s="89" t="n">
        <f aca="false">дома!D2164</f>
        <v>250</v>
      </c>
      <c r="F1845" s="89"/>
      <c r="G1845" s="122" t="n">
        <f aca="false">IF(F1845&gt;0,D1845*F1845,E1845*D1845)</f>
        <v>0</v>
      </c>
      <c r="H1845" s="2210" t="n">
        <f aca="false">D1845*E1845*$H$1816</f>
        <v>0</v>
      </c>
      <c r="I1845" s="2784" t="n">
        <f aca="false">IF(G1845&gt;H1845,G1845,H1845)*$H$1815</f>
        <v>0</v>
      </c>
      <c r="J1845" s="2744"/>
      <c r="K1845" s="226" t="n">
        <f aca="false">D1845-J1845</f>
        <v>0</v>
      </c>
      <c r="L1845" s="2736"/>
    </row>
    <row r="1846" customFormat="false" ht="15.5" hidden="false" customHeight="false" outlineLevel="0" collapsed="false">
      <c r="A1846" s="2719"/>
      <c r="B1846" s="122" t="str">
        <f aca="false">дома!A2165</f>
        <v>труба водосточная</v>
      </c>
      <c r="C1846" s="88" t="str">
        <f aca="false">дома!B2165</f>
        <v>м.п.</v>
      </c>
      <c r="D1846" s="122" t="n">
        <f aca="false">дома!C2165</f>
        <v>3.7</v>
      </c>
      <c r="E1846" s="89" t="n">
        <f aca="false">дома!D2165</f>
        <v>300</v>
      </c>
      <c r="F1846" s="89"/>
      <c r="G1846" s="122" t="n">
        <f aca="false">IF(F1846&gt;0,D1846*F1846,E1846*D1846)</f>
        <v>1110</v>
      </c>
      <c r="H1846" s="2210" t="n">
        <f aca="false">D1846*E1846*$H$1816</f>
        <v>0</v>
      </c>
      <c r="I1846" s="2784" t="n">
        <f aca="false">IF(G1846&gt;H1846,G1846,H1846)*$H$1815</f>
        <v>0</v>
      </c>
      <c r="J1846" s="2744"/>
      <c r="K1846" s="226" t="n">
        <f aca="false">D1846-J1846</f>
        <v>3.7</v>
      </c>
      <c r="L1846" s="2736"/>
    </row>
    <row r="1847" customFormat="false" ht="15.5" hidden="false" customHeight="false" outlineLevel="0" collapsed="false">
      <c r="A1847" s="2719"/>
      <c r="B1847" s="122" t="str">
        <f aca="false">дома!A2166</f>
        <v>заглушка для желоба</v>
      </c>
      <c r="C1847" s="88" t="str">
        <f aca="false">дома!B2166</f>
        <v>шт</v>
      </c>
      <c r="D1847" s="122" t="n">
        <f aca="false">дома!C2166</f>
        <v>0</v>
      </c>
      <c r="E1847" s="89" t="n">
        <f aca="false">дома!D2166</f>
        <v>190</v>
      </c>
      <c r="F1847" s="89"/>
      <c r="G1847" s="122" t="n">
        <f aca="false">IF(F1847&gt;0,D1847*F1847,E1847*D1847)</f>
        <v>0</v>
      </c>
      <c r="H1847" s="2210" t="n">
        <f aca="false">D1847*E1847*$H$1816</f>
        <v>0</v>
      </c>
      <c r="I1847" s="2784" t="n">
        <f aca="false">IF(G1847&gt;H1847,G1847,H1847)*$H$1815</f>
        <v>0</v>
      </c>
      <c r="J1847" s="2744"/>
      <c r="K1847" s="226" t="n">
        <f aca="false">D1847-J1847</f>
        <v>0</v>
      </c>
      <c r="L1847" s="2736"/>
    </row>
    <row r="1848" customFormat="false" ht="15.5" hidden="false" customHeight="false" outlineLevel="0" collapsed="false">
      <c r="A1848" s="2719"/>
      <c r="B1848" s="122" t="str">
        <f aca="false">дома!A2167</f>
        <v>соеденитель для желоба</v>
      </c>
      <c r="C1848" s="88" t="str">
        <f aca="false">дома!B2167</f>
        <v>шт</v>
      </c>
      <c r="D1848" s="122" t="n">
        <f aca="false">дома!C2167</f>
        <v>0</v>
      </c>
      <c r="E1848" s="89" t="n">
        <f aca="false">дома!D2167</f>
        <v>180</v>
      </c>
      <c r="F1848" s="89"/>
      <c r="G1848" s="122" t="n">
        <f aca="false">IF(F1848&gt;0,D1848*F1848,E1848*D1848)</f>
        <v>0</v>
      </c>
      <c r="H1848" s="2210" t="n">
        <f aca="false">D1848*E1848*$H$1816</f>
        <v>0</v>
      </c>
      <c r="I1848" s="2784" t="n">
        <f aca="false">IF(G1848&gt;H1848,G1848,H1848)*$H$1815</f>
        <v>0</v>
      </c>
      <c r="J1848" s="2744"/>
      <c r="K1848" s="226" t="n">
        <f aca="false">D1848-J1848</f>
        <v>0</v>
      </c>
      <c r="L1848" s="2736"/>
    </row>
    <row r="1849" customFormat="false" ht="15.5" hidden="false" customHeight="false" outlineLevel="0" collapsed="false">
      <c r="A1849" s="2719"/>
      <c r="B1849" s="122" t="str">
        <f aca="false">дома!A2168</f>
        <v>кронштейн для желоба</v>
      </c>
      <c r="C1849" s="88" t="str">
        <f aca="false">дома!B2168</f>
        <v>шт</v>
      </c>
      <c r="D1849" s="122" t="n">
        <f aca="false">дома!C2168</f>
        <v>0</v>
      </c>
      <c r="E1849" s="89" t="n">
        <f aca="false">дома!D2168</f>
        <v>130</v>
      </c>
      <c r="F1849" s="89"/>
      <c r="G1849" s="122" t="n">
        <f aca="false">IF(F1849&gt;0,D1849*F1849,E1849*D1849)</f>
        <v>0</v>
      </c>
      <c r="H1849" s="2210" t="n">
        <f aca="false">D1849*E1849*$H$1816</f>
        <v>0</v>
      </c>
      <c r="I1849" s="2784" t="n">
        <f aca="false">IF(G1849&gt;H1849,G1849,H1849)*$H$1815</f>
        <v>0</v>
      </c>
      <c r="J1849" s="2744"/>
      <c r="K1849" s="226" t="n">
        <f aca="false">D1849-J1849</f>
        <v>0</v>
      </c>
      <c r="L1849" s="2736"/>
    </row>
    <row r="1850" customFormat="false" ht="15.5" hidden="false" customHeight="false" outlineLevel="0" collapsed="false">
      <c r="A1850" s="2719"/>
      <c r="B1850" s="122" t="str">
        <f aca="false">дома!A2169</f>
        <v>переход из желоба в трубу</v>
      </c>
      <c r="C1850" s="88" t="str">
        <f aca="false">дома!B2169</f>
        <v>шт</v>
      </c>
      <c r="D1850" s="122" t="n">
        <f aca="false">дома!C2169</f>
        <v>0</v>
      </c>
      <c r="E1850" s="89" t="n">
        <f aca="false">дома!D2169</f>
        <v>350</v>
      </c>
      <c r="F1850" s="89"/>
      <c r="G1850" s="122" t="n">
        <f aca="false">IF(F1850&gt;0,D1850*F1850,E1850*D1850)</f>
        <v>0</v>
      </c>
      <c r="H1850" s="2210" t="n">
        <f aca="false">D1850*E1850*$H$1816</f>
        <v>0</v>
      </c>
      <c r="I1850" s="2784" t="n">
        <f aca="false">IF(G1850&gt;H1850,G1850,H1850)*$H$1815</f>
        <v>0</v>
      </c>
      <c r="J1850" s="2744"/>
      <c r="K1850" s="226" t="n">
        <f aca="false">D1850-J1850</f>
        <v>0</v>
      </c>
      <c r="L1850" s="2736"/>
    </row>
    <row r="1851" customFormat="false" ht="15.5" hidden="false" customHeight="false" outlineLevel="0" collapsed="false">
      <c r="A1851" s="2719"/>
      <c r="B1851" s="122" t="str">
        <f aca="false">дома!A2170</f>
        <v>лента дельта мульти бэнд</v>
      </c>
      <c r="C1851" s="88" t="str">
        <f aca="false">дома!B2170</f>
        <v>шт</v>
      </c>
      <c r="D1851" s="122" t="n">
        <f aca="false">дома!C2170</f>
        <v>0</v>
      </c>
      <c r="E1851" s="89" t="n">
        <f aca="false">дома!D2170</f>
        <v>1200</v>
      </c>
      <c r="F1851" s="89"/>
      <c r="G1851" s="122" t="n">
        <f aca="false">IF(F1851&gt;0,D1851*F1851,E1851*D1851)</f>
        <v>0</v>
      </c>
      <c r="H1851" s="2210" t="n">
        <f aca="false">D1851*E1851*$H$1816</f>
        <v>0</v>
      </c>
      <c r="I1851" s="2784" t="n">
        <f aca="false">IF(G1851&gt;H1851,G1851,H1851)*$H$1815</f>
        <v>0</v>
      </c>
      <c r="J1851" s="2744"/>
      <c r="K1851" s="226" t="n">
        <f aca="false">D1851-J1851</f>
        <v>0</v>
      </c>
      <c r="L1851" s="2736"/>
    </row>
    <row r="1852" customFormat="false" ht="15.5" hidden="false" customHeight="false" outlineLevel="0" collapsed="false">
      <c r="A1852" s="2719"/>
      <c r="B1852" s="122" t="str">
        <f aca="false">дома!A2171</f>
        <v>лента дельта sb-60</v>
      </c>
      <c r="C1852" s="88" t="str">
        <f aca="false">дома!B2171</f>
        <v>шт</v>
      </c>
      <c r="D1852" s="122" t="n">
        <f aca="false">дома!C2171</f>
        <v>0</v>
      </c>
      <c r="E1852" s="89" t="n">
        <f aca="false">дома!D2171</f>
        <v>1100</v>
      </c>
      <c r="F1852" s="89"/>
      <c r="G1852" s="122" t="n">
        <f aca="false">IF(F1852&gt;0,D1852*F1852,E1852*D1852)</f>
        <v>0</v>
      </c>
      <c r="H1852" s="2210" t="n">
        <f aca="false">D1852*E1852*$H$1816</f>
        <v>0</v>
      </c>
      <c r="I1852" s="2784" t="n">
        <f aca="false">IF(G1852&gt;H1852,G1852,H1852)*$H$1815</f>
        <v>0</v>
      </c>
      <c r="J1852" s="2744"/>
      <c r="K1852" s="226" t="n">
        <f aca="false">D1852-J1852</f>
        <v>0</v>
      </c>
      <c r="L1852" s="2736"/>
    </row>
    <row r="1853" customFormat="false" ht="15.5" hidden="false" customHeight="false" outlineLevel="0" collapsed="false">
      <c r="A1853" s="2719"/>
      <c r="B1853" s="122" t="str">
        <f aca="false">дома!A2172</f>
        <v>Кровельный саморез</v>
      </c>
      <c r="C1853" s="88" t="str">
        <f aca="false">дома!B2172</f>
        <v>шт</v>
      </c>
      <c r="D1853" s="122" t="n">
        <f aca="false">дома!C2172</f>
        <v>0</v>
      </c>
      <c r="E1853" s="89" t="n">
        <f aca="false">дома!D2172</f>
        <v>2</v>
      </c>
      <c r="F1853" s="89"/>
      <c r="G1853" s="122" t="n">
        <f aca="false">IF(F1853&gt;0,D1853*F1853,E1853*D1853)</f>
        <v>0</v>
      </c>
      <c r="H1853" s="2210" t="n">
        <f aca="false">D1853*E1853*$H$1816</f>
        <v>0</v>
      </c>
      <c r="I1853" s="2784" t="n">
        <f aca="false">IF(G1853&gt;H1853,G1853,H1853)*$H$1815</f>
        <v>0</v>
      </c>
      <c r="J1853" s="2744"/>
      <c r="K1853" s="226" t="n">
        <f aca="false">D1853-J1853</f>
        <v>0</v>
      </c>
      <c r="L1853" s="2736"/>
    </row>
    <row r="1854" customFormat="false" ht="15.5" hidden="false" customHeight="false" outlineLevel="0" collapsed="false">
      <c r="A1854" s="2719"/>
      <c r="B1854" s="122" t="str">
        <f aca="false">дома!A2173</f>
        <v>Гвозди ершоные 3,4 x 60</v>
      </c>
      <c r="C1854" s="88" t="str">
        <f aca="false">дома!B2173</f>
        <v>кг</v>
      </c>
      <c r="D1854" s="122" t="n">
        <f aca="false">дома!C2173</f>
        <v>0</v>
      </c>
      <c r="E1854" s="89" t="n">
        <f aca="false">дома!D2173</f>
        <v>75.51</v>
      </c>
      <c r="F1854" s="89"/>
      <c r="G1854" s="122" t="n">
        <f aca="false">IF(F1854&gt;0,D1854*F1854,E1854*D1854)</f>
        <v>0</v>
      </c>
      <c r="H1854" s="2210" t="n">
        <f aca="false">D1854*E1854*$H$1816</f>
        <v>0</v>
      </c>
      <c r="I1854" s="2784" t="n">
        <f aca="false">IF(G1854&gt;H1854,G1854,H1854)*$H$1815</f>
        <v>0</v>
      </c>
      <c r="J1854" s="2744"/>
      <c r="K1854" s="226" t="n">
        <f aca="false">D1854-J1854</f>
        <v>0</v>
      </c>
      <c r="L1854" s="2736"/>
    </row>
    <row r="1855" customFormat="false" ht="15.5" hidden="false" customHeight="false" outlineLevel="0" collapsed="false">
      <c r="A1855" s="2719"/>
      <c r="B1855" s="122" t="str">
        <f aca="false">дома!A2174</f>
        <v>Гвозди ершоные 2,8 х 90</v>
      </c>
      <c r="C1855" s="88" t="str">
        <f aca="false">дома!B2174</f>
        <v>шт</v>
      </c>
      <c r="D1855" s="122" t="n">
        <f aca="false">дома!C2174</f>
        <v>0</v>
      </c>
      <c r="E1855" s="89" t="n">
        <f aca="false">дома!D2174</f>
        <v>76.49</v>
      </c>
      <c r="F1855" s="89"/>
      <c r="G1855" s="122" t="n">
        <f aca="false">IF(F1855&gt;0,D1855*F1855,E1855*D1855)</f>
        <v>0</v>
      </c>
      <c r="H1855" s="2210" t="n">
        <f aca="false">D1855*E1855*$H$1816</f>
        <v>0</v>
      </c>
      <c r="I1855" s="2784" t="n">
        <f aca="false">IF(G1855&gt;H1855,G1855,H1855)*$H$1815</f>
        <v>0</v>
      </c>
      <c r="J1855" s="2744"/>
      <c r="K1855" s="226" t="n">
        <f aca="false">D1855-J1855</f>
        <v>0</v>
      </c>
      <c r="L1855" s="2736"/>
    </row>
    <row r="1856" customFormat="false" ht="15.5" hidden="false" customHeight="false" outlineLevel="0" collapsed="false">
      <c r="A1856" s="2719"/>
      <c r="B1856" s="122" t="str">
        <f aca="false">дома!A2175</f>
        <v>Пластина соеденительная 100х240х2</v>
      </c>
      <c r="C1856" s="88" t="str">
        <f aca="false">дома!B2175</f>
        <v>шт</v>
      </c>
      <c r="D1856" s="122" t="n">
        <f aca="false">дома!C2175</f>
        <v>0</v>
      </c>
      <c r="E1856" s="89" t="n">
        <f aca="false">дома!D2175</f>
        <v>31.54</v>
      </c>
      <c r="F1856" s="89"/>
      <c r="G1856" s="122" t="n">
        <f aca="false">IF(F1856&gt;0,D1856*F1856,E1856*D1856)</f>
        <v>0</v>
      </c>
      <c r="H1856" s="2210" t="n">
        <f aca="false">D1856*E1856*$H$1816</f>
        <v>0</v>
      </c>
      <c r="I1856" s="2784" t="n">
        <f aca="false">IF(G1856&gt;H1856,G1856,H1856)*$H$1815</f>
        <v>0</v>
      </c>
      <c r="J1856" s="2744"/>
      <c r="K1856" s="226" t="n">
        <f aca="false">D1856-J1856</f>
        <v>0</v>
      </c>
      <c r="L1856" s="2736"/>
    </row>
    <row r="1857" customFormat="false" ht="15.5" hidden="false" customHeight="false" outlineLevel="0" collapsed="false">
      <c r="A1857" s="2719"/>
      <c r="B1857" s="122" t="str">
        <f aca="false">дома!A2176</f>
        <v>Уголок усиленный 90х70х55х2,5</v>
      </c>
      <c r="C1857" s="88" t="str">
        <f aca="false">дома!B2176</f>
        <v>шт</v>
      </c>
      <c r="D1857" s="122" t="n">
        <f aca="false">дома!C2176</f>
        <v>0</v>
      </c>
      <c r="E1857" s="89" t="n">
        <f aca="false">дома!D2176</f>
        <v>30</v>
      </c>
      <c r="F1857" s="89"/>
      <c r="G1857" s="122" t="n">
        <f aca="false">IF(F1857&gt;0,D1857*F1857,E1857*D1857)</f>
        <v>0</v>
      </c>
      <c r="H1857" s="2210" t="n">
        <f aca="false">D1857*E1857*$H$1816</f>
        <v>0</v>
      </c>
      <c r="I1857" s="2784" t="n">
        <f aca="false">IF(G1857&gt;H1857,G1857,H1857)*$H$1815</f>
        <v>0</v>
      </c>
      <c r="J1857" s="2744"/>
      <c r="K1857" s="226" t="n">
        <f aca="false">D1857-J1857</f>
        <v>0</v>
      </c>
      <c r="L1857" s="2736"/>
    </row>
    <row r="1858" customFormat="false" ht="15.5" hidden="false" customHeight="false" outlineLevel="0" collapsed="false">
      <c r="A1858" s="2719"/>
      <c r="B1858" s="2748" t="s">
        <v>4640</v>
      </c>
      <c r="C1858" s="2748"/>
      <c r="D1858" s="2748"/>
      <c r="E1858" s="2748"/>
      <c r="F1858" s="2748"/>
      <c r="G1858" s="2210" t="n">
        <f aca="false">SUM(G1817:G1857)*H1815</f>
        <v>0</v>
      </c>
      <c r="H1858" s="2210" t="n">
        <f aca="false">SUM(H1817:H1857)</f>
        <v>0</v>
      </c>
      <c r="I1858" s="2784" t="n">
        <f aca="false">IF(G1858&gt;H1858,G1858,H1858)*$H$1815</f>
        <v>0</v>
      </c>
      <c r="J1858" s="2744"/>
      <c r="K1858" s="226" t="n">
        <f aca="false">D1858-J1858</f>
        <v>0</v>
      </c>
      <c r="L1858" s="2736"/>
    </row>
    <row r="1859" customFormat="false" ht="15.5" hidden="false" customHeight="false" outlineLevel="0" collapsed="false">
      <c r="A1859" s="2719"/>
      <c r="B1859" s="2833" t="s">
        <v>1409</v>
      </c>
      <c r="C1859" s="2833"/>
      <c r="D1859" s="2833"/>
      <c r="E1859" s="2833"/>
      <c r="F1859" s="2834"/>
      <c r="G1859" s="905"/>
      <c r="H1859" s="2766" t="n">
        <f aca="false">H1815</f>
        <v>0</v>
      </c>
      <c r="I1859" s="2818" t="n">
        <f aca="false">H1859</f>
        <v>0</v>
      </c>
      <c r="J1859" s="2752"/>
      <c r="K1859" s="2753"/>
    </row>
    <row r="1860" customFormat="false" ht="15.5" hidden="false" customHeight="false" outlineLevel="0" collapsed="false">
      <c r="A1860" s="2719"/>
      <c r="B1860" s="122" t="str">
        <f aca="false">дома!G2136</f>
        <v>монтаж стропил</v>
      </c>
      <c r="C1860" s="88" t="str">
        <f aca="false">дома!J2136</f>
        <v>м2</v>
      </c>
      <c r="D1860" s="122" t="n">
        <f aca="false">дома!K2136</f>
        <v>0</v>
      </c>
      <c r="E1860" s="89" t="n">
        <f aca="false">дома!L2136</f>
        <v>450</v>
      </c>
      <c r="F1860" s="89"/>
      <c r="G1860" s="122" t="n">
        <f aca="false">IF(F1860&gt;0,D1860*F1860,E1860*D1860)</f>
        <v>0</v>
      </c>
      <c r="H1860" s="2210" t="n">
        <f aca="false">D1860*E1860*$H$1859</f>
        <v>0</v>
      </c>
      <c r="I1860" s="2718" t="n">
        <f aca="false">IF(G1860&gt;H1860,G1860,H1860)*$H$1815</f>
        <v>0</v>
      </c>
      <c r="J1860" s="2712"/>
      <c r="K1860" s="2719"/>
    </row>
    <row r="1861" customFormat="false" ht="15.5" hidden="false" customHeight="false" outlineLevel="0" collapsed="false">
      <c r="A1861" s="2719"/>
      <c r="B1861" s="122" t="str">
        <f aca="false">дома!G2137</f>
        <v>обрешетка</v>
      </c>
      <c r="C1861" s="88" t="str">
        <f aca="false">дома!J2137</f>
        <v>м2</v>
      </c>
      <c r="D1861" s="122" t="n">
        <f aca="false">дома!K2137</f>
        <v>0</v>
      </c>
      <c r="E1861" s="89" t="n">
        <f aca="false">дома!L2137</f>
        <v>100</v>
      </c>
      <c r="F1861" s="89"/>
      <c r="G1861" s="122" t="n">
        <f aca="false">IF(F1861&gt;0,D1861*F1861,E1861*D1861)</f>
        <v>0</v>
      </c>
      <c r="H1861" s="2210" t="n">
        <f aca="false">D1861*E1861*$H$1859</f>
        <v>0</v>
      </c>
      <c r="I1861" s="2718" t="n">
        <f aca="false">IF(G1861&gt;H1861,G1861,H1861)*$H$1815</f>
        <v>0</v>
      </c>
      <c r="J1861" s="2712"/>
      <c r="K1861" s="2719"/>
    </row>
    <row r="1862" customFormat="false" ht="15.5" hidden="false" customHeight="false" outlineLevel="0" collapsed="false">
      <c r="A1862" s="2719"/>
      <c r="B1862" s="122" t="str">
        <f aca="false">дома!G2138</f>
        <v>контробеш</v>
      </c>
      <c r="C1862" s="88" t="str">
        <f aca="false">дома!J2138</f>
        <v>м2</v>
      </c>
      <c r="D1862" s="122" t="n">
        <f aca="false">дома!K2138</f>
        <v>0</v>
      </c>
      <c r="E1862" s="89" t="n">
        <f aca="false">дома!L2138</f>
        <v>100</v>
      </c>
      <c r="F1862" s="89"/>
      <c r="G1862" s="122" t="n">
        <f aca="false">IF(F1862&gt;0,D1862*F1862,E1862*D1862)</f>
        <v>0</v>
      </c>
      <c r="H1862" s="2210" t="n">
        <f aca="false">D1862*E1862*$H$1859</f>
        <v>0</v>
      </c>
      <c r="I1862" s="2718" t="n">
        <f aca="false">IF(G1862&gt;H1862,G1862,H1862)*$H$1815</f>
        <v>0</v>
      </c>
      <c r="J1862" s="2712"/>
      <c r="K1862" s="2719"/>
    </row>
    <row r="1863" customFormat="false" ht="15.5" hidden="false" customHeight="false" outlineLevel="0" collapsed="false">
      <c r="A1863" s="2719"/>
      <c r="B1863" s="122" t="str">
        <f aca="false">дома!G2139</f>
        <v>мембрана</v>
      </c>
      <c r="C1863" s="88" t="str">
        <f aca="false">дома!J2139</f>
        <v>м2</v>
      </c>
      <c r="D1863" s="122" t="n">
        <f aca="false">дома!K2139</f>
        <v>0</v>
      </c>
      <c r="E1863" s="89" t="n">
        <f aca="false">дома!L2139</f>
        <v>100</v>
      </c>
      <c r="F1863" s="89"/>
      <c r="G1863" s="122" t="n">
        <f aca="false">IF(F1863&gt;0,D1863*F1863,E1863*D1863)</f>
        <v>0</v>
      </c>
      <c r="H1863" s="2210" t="n">
        <f aca="false">D1863*E1863*$H$1859</f>
        <v>0</v>
      </c>
      <c r="I1863" s="2718" t="n">
        <f aca="false">IF(G1863&gt;H1863,G1863,H1863)*$H$1815</f>
        <v>0</v>
      </c>
      <c r="J1863" s="2712"/>
      <c r="K1863" s="2719"/>
    </row>
    <row r="1864" customFormat="false" ht="15.5" hidden="false" customHeight="false" outlineLevel="0" collapsed="false">
      <c r="A1864" s="2719"/>
      <c r="B1864" s="122" t="str">
        <f aca="false">дома!G2140</f>
        <v>Монтаж металлочерепицы</v>
      </c>
      <c r="C1864" s="88" t="str">
        <f aca="false">дома!J2140</f>
        <v>м2</v>
      </c>
      <c r="D1864" s="122" t="n">
        <f aca="false">дома!K2140</f>
        <v>0</v>
      </c>
      <c r="E1864" s="89" t="n">
        <f aca="false">дома!L2140</f>
        <v>300</v>
      </c>
      <c r="F1864" s="89"/>
      <c r="G1864" s="122" t="n">
        <f aca="false">IF(F1864&gt;0,D1864*F1864,E1864*D1864)</f>
        <v>0</v>
      </c>
      <c r="H1864" s="2210" t="n">
        <f aca="false">D1864*E1864*$H$1859</f>
        <v>0</v>
      </c>
      <c r="I1864" s="2718" t="n">
        <f aca="false">IF(G1864&gt;H1864,G1864,H1864)*$H$1815</f>
        <v>0</v>
      </c>
      <c r="J1864" s="2712"/>
      <c r="K1864" s="2719"/>
    </row>
    <row r="1865" customFormat="false" ht="15.5" hidden="false" customHeight="false" outlineLevel="0" collapsed="false">
      <c r="A1865" s="2719"/>
      <c r="B1865" s="122" t="str">
        <f aca="false">дома!G2141</f>
        <v>карнизная планка</v>
      </c>
      <c r="C1865" s="88" t="str">
        <f aca="false">дома!J2141</f>
        <v>м2</v>
      </c>
      <c r="D1865" s="122" t="n">
        <f aca="false">дома!K2141</f>
        <v>0</v>
      </c>
      <c r="E1865" s="89" t="n">
        <f aca="false">дома!L2141</f>
        <v>100</v>
      </c>
      <c r="F1865" s="89"/>
      <c r="G1865" s="122" t="n">
        <f aca="false">IF(F1865&gt;0,D1865*F1865,E1865*D1865)</f>
        <v>0</v>
      </c>
      <c r="H1865" s="2210" t="n">
        <f aca="false">D1865*E1865*$H$1859</f>
        <v>0</v>
      </c>
      <c r="I1865" s="2718" t="n">
        <f aca="false">IF(G1865&gt;H1865,G1865,H1865)*$H$1815</f>
        <v>0</v>
      </c>
      <c r="J1865" s="2712"/>
      <c r="K1865" s="2719"/>
    </row>
    <row r="1866" customFormat="false" ht="15.5" hidden="false" customHeight="false" outlineLevel="0" collapsed="false">
      <c r="A1866" s="2719"/>
      <c r="B1866" s="122" t="str">
        <f aca="false">дома!G2142</f>
        <v>торцевая планка</v>
      </c>
      <c r="C1866" s="88" t="str">
        <f aca="false">дома!J2142</f>
        <v>м2</v>
      </c>
      <c r="D1866" s="122" t="n">
        <f aca="false">дома!K2142</f>
        <v>0</v>
      </c>
      <c r="E1866" s="89" t="n">
        <f aca="false">дома!L2142</f>
        <v>100</v>
      </c>
      <c r="F1866" s="89"/>
      <c r="G1866" s="122" t="n">
        <f aca="false">IF(F1866&gt;0,D1866*F1866,E1866*D1866)</f>
        <v>0</v>
      </c>
      <c r="H1866" s="2210" t="n">
        <f aca="false">D1866*E1866*$H$1859</f>
        <v>0</v>
      </c>
      <c r="I1866" s="2718" t="n">
        <f aca="false">IF(G1866&gt;H1866,G1866,H1866)*$H$1815</f>
        <v>0</v>
      </c>
      <c r="J1866" s="2712"/>
      <c r="K1866" s="2719"/>
    </row>
    <row r="1867" customFormat="false" ht="15.5" hidden="false" customHeight="false" outlineLevel="0" collapsed="false">
      <c r="A1867" s="2719"/>
      <c r="B1867" s="122" t="str">
        <f aca="false">дома!G2143</f>
        <v>желоб водосточный</v>
      </c>
      <c r="C1867" s="88" t="str">
        <f aca="false">дома!J2143</f>
        <v>м.п.</v>
      </c>
      <c r="D1867" s="122" t="n">
        <f aca="false">дома!K2143</f>
        <v>0</v>
      </c>
      <c r="E1867" s="89" t="n">
        <f aca="false">дома!L2143</f>
        <v>300</v>
      </c>
      <c r="F1867" s="89"/>
      <c r="G1867" s="122" t="n">
        <f aca="false">IF(F1867&gt;0,D1867*F1867,E1867*D1867)</f>
        <v>0</v>
      </c>
      <c r="H1867" s="2210" t="n">
        <f aca="false">D1867*E1867*$H$1859</f>
        <v>0</v>
      </c>
      <c r="I1867" s="2718" t="n">
        <f aca="false">IF(G1867&gt;H1867,G1867,H1867)*$H$1815</f>
        <v>0</v>
      </c>
      <c r="J1867" s="2712"/>
      <c r="K1867" s="2719"/>
    </row>
    <row r="1868" customFormat="false" ht="15.5" hidden="false" customHeight="false" outlineLevel="0" collapsed="false">
      <c r="A1868" s="2719"/>
      <c r="B1868" s="122" t="str">
        <f aca="false">дома!G2144</f>
        <v>труба водосточная</v>
      </c>
      <c r="C1868" s="88" t="str">
        <f aca="false">дома!J2144</f>
        <v>м.п.</v>
      </c>
      <c r="D1868" s="122" t="n">
        <f aca="false">дома!K2144</f>
        <v>0</v>
      </c>
      <c r="E1868" s="89" t="n">
        <f aca="false">дома!L2144</f>
        <v>300</v>
      </c>
      <c r="F1868" s="89"/>
      <c r="G1868" s="122" t="n">
        <f aca="false">IF(F1868&gt;0,D1868*F1868,E1868*D1868)</f>
        <v>0</v>
      </c>
      <c r="H1868" s="2210" t="n">
        <f aca="false">D1868*E1868*$H$1859</f>
        <v>0</v>
      </c>
      <c r="I1868" s="2718" t="n">
        <f aca="false">IF(G1868&gt;H1868,G1868,H1868)*$H$1815</f>
        <v>0</v>
      </c>
      <c r="J1868" s="2712"/>
      <c r="K1868" s="2719"/>
    </row>
    <row r="1869" customFormat="false" ht="15.5" hidden="false" customHeight="false" outlineLevel="0" collapsed="false">
      <c r="A1869" s="2719"/>
      <c r="B1869" s="122" t="str">
        <f aca="false">дома!G2145</f>
        <v>Монтаж ондулина</v>
      </c>
      <c r="C1869" s="88" t="str">
        <f aca="false">дома!J2145</f>
        <v>м2</v>
      </c>
      <c r="D1869" s="122" t="n">
        <f aca="false">дома!K2145</f>
        <v>0</v>
      </c>
      <c r="E1869" s="89" t="n">
        <f aca="false">дома!L2145</f>
        <v>300</v>
      </c>
      <c r="F1869" s="89"/>
      <c r="G1869" s="122" t="n">
        <f aca="false">IF(F1869&gt;0,D1869*F1869,E1869*D1869)</f>
        <v>0</v>
      </c>
      <c r="H1869" s="2210" t="n">
        <f aca="false">D1869*E1869*$H$1859</f>
        <v>0</v>
      </c>
      <c r="I1869" s="2718" t="n">
        <f aca="false">IF(G1869&gt;H1869,G1869,H1869)*$H$1815</f>
        <v>0</v>
      </c>
      <c r="J1869" s="2712"/>
      <c r="K1869" s="2719"/>
    </row>
    <row r="1870" customFormat="false" ht="15.5" hidden="false" customHeight="false" outlineLevel="0" collapsed="false">
      <c r="A1870" s="2719"/>
      <c r="B1870" s="122" t="str">
        <f aca="false">дома!G2146</f>
        <v>Монтаж фанеры/osb</v>
      </c>
      <c r="C1870" s="88" t="str">
        <f aca="false">дома!J2146</f>
        <v>м2</v>
      </c>
      <c r="D1870" s="122" t="n">
        <f aca="false">дома!K2146</f>
        <v>0</v>
      </c>
      <c r="E1870" s="89" t="n">
        <f aca="false">дома!L2146</f>
        <v>200</v>
      </c>
      <c r="F1870" s="89"/>
      <c r="G1870" s="122" t="n">
        <f aca="false">IF(F1870&gt;0,D1870*F1870,E1870*D1870)</f>
        <v>0</v>
      </c>
      <c r="H1870" s="2210" t="n">
        <f aca="false">D1870*E1870*$H$1859</f>
        <v>0</v>
      </c>
      <c r="I1870" s="2718" t="n">
        <f aca="false">IF(G1870&gt;H1870,G1870,H1870)*$H$1815</f>
        <v>0</v>
      </c>
      <c r="J1870" s="2712"/>
      <c r="K1870" s="2719"/>
    </row>
    <row r="1871" customFormat="false" ht="15.5" hidden="false" customHeight="false" outlineLevel="0" collapsed="false">
      <c r="A1871" s="2719"/>
      <c r="B1871" s="122" t="str">
        <f aca="false">дома!G2147</f>
        <v>монтаж подкладочного ковра</v>
      </c>
      <c r="C1871" s="88" t="str">
        <f aca="false">дома!J2147</f>
        <v>м2</v>
      </c>
      <c r="D1871" s="122" t="n">
        <f aca="false">дома!K2147</f>
        <v>0</v>
      </c>
      <c r="E1871" s="89" t="n">
        <f aca="false">дома!L2147</f>
        <v>150</v>
      </c>
      <c r="F1871" s="89"/>
      <c r="G1871" s="122" t="n">
        <f aca="false">IF(F1871&gt;0,D1871*F1871,E1871*D1871)</f>
        <v>0</v>
      </c>
      <c r="H1871" s="2210" t="n">
        <f aca="false">D1871*E1871*$H$1859</f>
        <v>0</v>
      </c>
      <c r="I1871" s="2718" t="n">
        <f aca="false">IF(G1871&gt;H1871,G1871,H1871)*$H$1815</f>
        <v>0</v>
      </c>
      <c r="J1871" s="2712"/>
      <c r="K1871" s="2719"/>
    </row>
    <row r="1872" customFormat="false" ht="15.5" hidden="false" customHeight="false" outlineLevel="0" collapsed="false">
      <c r="A1872" s="2719"/>
      <c r="B1872" s="122" t="str">
        <f aca="false">дома!G2148</f>
        <v>Монтаж мягкой кровли</v>
      </c>
      <c r="C1872" s="88" t="str">
        <f aca="false">дома!J2148</f>
        <v>м2</v>
      </c>
      <c r="D1872" s="122" t="n">
        <f aca="false">дома!K2148</f>
        <v>0</v>
      </c>
      <c r="E1872" s="89" t="n">
        <f aca="false">дома!L2148</f>
        <v>350</v>
      </c>
      <c r="F1872" s="89"/>
      <c r="G1872" s="122" t="n">
        <f aca="false">IF(F1872&gt;0,D1872*F1872,E1872*D1872)</f>
        <v>0</v>
      </c>
      <c r="H1872" s="2210" t="n">
        <f aca="false">D1872*E1872*$H$1859</f>
        <v>0</v>
      </c>
      <c r="I1872" s="2718" t="n">
        <f aca="false">IF(G1872&gt;H1872,G1872,H1872)*$H$1815</f>
        <v>0</v>
      </c>
      <c r="J1872" s="2712"/>
      <c r="K1872" s="2719"/>
    </row>
    <row r="1873" customFormat="false" ht="15.5" hidden="false" customHeight="false" outlineLevel="0" collapsed="false">
      <c r="A1873" s="2719"/>
      <c r="B1873" s="2748" t="s">
        <v>4641</v>
      </c>
      <c r="C1873" s="2748"/>
      <c r="D1873" s="2748"/>
      <c r="E1873" s="2748"/>
      <c r="F1873" s="2748"/>
      <c r="G1873" s="2210" t="n">
        <f aca="false">SUM(G1860:G1872)*H1859</f>
        <v>0</v>
      </c>
      <c r="H1873" s="2210" t="n">
        <f aca="false">SUM(H1860:H1872)</f>
        <v>0</v>
      </c>
      <c r="I1873" s="2718" t="n">
        <f aca="false">IF(G1873&gt;H1873,G1873,H1873)*$H$1815</f>
        <v>0</v>
      </c>
      <c r="J1873" s="2712"/>
      <c r="K1873" s="2719"/>
    </row>
    <row r="1874" customFormat="false" ht="21" hidden="false" customHeight="false" outlineLevel="0" collapsed="false">
      <c r="A1874" s="2719"/>
      <c r="B1874" s="2762" t="s">
        <v>4665</v>
      </c>
      <c r="C1874" s="2762"/>
      <c r="D1874" s="2762"/>
      <c r="E1874" s="2762"/>
      <c r="F1874" s="2823"/>
      <c r="G1874" s="905"/>
      <c r="H1874" s="2770" t="n">
        <f aca="false">VLOOKUP('Ввод данных'!F693,связи1!A2:B3,2,0)</f>
        <v>0</v>
      </c>
      <c r="I1874" s="2818" t="n">
        <f aca="false">H1874</f>
        <v>0</v>
      </c>
      <c r="J1874" s="2712"/>
      <c r="K1874" s="2719"/>
    </row>
    <row r="1875" customFormat="false" ht="15.5" hidden="false" customHeight="false" outlineLevel="0" collapsed="false">
      <c r="A1875" s="2719"/>
      <c r="B1875" s="2775" t="s">
        <v>2720</v>
      </c>
      <c r="C1875" s="2775"/>
      <c r="D1875" s="2775"/>
      <c r="E1875" s="2775"/>
      <c r="F1875" s="2498"/>
      <c r="G1875" s="905"/>
      <c r="H1875" s="2770" t="n">
        <f aca="false">H1874</f>
        <v>0</v>
      </c>
      <c r="I1875" s="2818" t="n">
        <f aca="false">H1875</f>
        <v>0</v>
      </c>
      <c r="J1875" s="2732"/>
      <c r="K1875" s="2733"/>
    </row>
    <row r="1876" customFormat="false" ht="15.5" hidden="false" customHeight="false" outlineLevel="0" collapsed="false">
      <c r="A1876" s="2719"/>
      <c r="B1876" s="639" t="str">
        <f aca="false">дома!A2278</f>
        <v>Доска сухая, 150*50мм</v>
      </c>
      <c r="C1876" s="238" t="str">
        <f aca="false">дома!B2278</f>
        <v>м3</v>
      </c>
      <c r="D1876" s="245" t="n">
        <f aca="false">дома!C2278</f>
        <v>0.158290972598336</v>
      </c>
      <c r="E1876" s="23" t="n">
        <f aca="false">дома!D2278</f>
        <v>9000</v>
      </c>
      <c r="F1876" s="23"/>
      <c r="G1876" s="122" t="n">
        <f aca="false">IF(F1876&gt;0,D1876*F1876,E1876*D1876)</f>
        <v>1424.61875338502</v>
      </c>
      <c r="H1876" s="2210" t="n">
        <f aca="false">D1876*E1876*$H$1874</f>
        <v>0</v>
      </c>
      <c r="I1876" s="2784" t="n">
        <f aca="false">IF(G1876&gt;H1876,G1876,H1876)*$H$1874</f>
        <v>0</v>
      </c>
      <c r="J1876" s="2744"/>
      <c r="K1876" s="226" t="n">
        <f aca="false">D1876-J1876</f>
        <v>0.158290972598336</v>
      </c>
      <c r="L1876" s="2736"/>
    </row>
    <row r="1877" customFormat="false" ht="15.5" hidden="false" customHeight="false" outlineLevel="0" collapsed="false">
      <c r="A1877" s="2719"/>
      <c r="B1877" s="639" t="str">
        <f aca="false">дома!A2279</f>
        <v>Сосна влаж,100*25мм</v>
      </c>
      <c r="C1877" s="238" t="str">
        <f aca="false">дома!B2279</f>
        <v>м3</v>
      </c>
      <c r="D1877" s="245" t="n">
        <f aca="false">дома!C2279</f>
        <v>0.0461886835048411</v>
      </c>
      <c r="E1877" s="23" t="n">
        <f aca="false">дома!D2279</f>
        <v>6500</v>
      </c>
      <c r="F1877" s="23"/>
      <c r="G1877" s="122" t="n">
        <f aca="false">IF(F1877&gt;0,D1877*F1877,E1877*D1877)</f>
        <v>300.226442781467</v>
      </c>
      <c r="H1877" s="2210" t="n">
        <f aca="false">D1877*E1877*$H$1874</f>
        <v>0</v>
      </c>
      <c r="I1877" s="2784" t="n">
        <f aca="false">IF(G1877&gt;H1877,G1877,H1877)*$H$1874</f>
        <v>0</v>
      </c>
      <c r="J1877" s="2744"/>
      <c r="K1877" s="226" t="n">
        <f aca="false">D1877-J1877</f>
        <v>0.0461886835048411</v>
      </c>
      <c r="L1877" s="2736"/>
    </row>
    <row r="1878" customFormat="false" ht="15.5" hidden="false" customHeight="false" outlineLevel="0" collapsed="false">
      <c r="A1878" s="2719"/>
      <c r="B1878" s="639" t="str">
        <f aca="false">дома!A2280</f>
        <v>нет</v>
      </c>
      <c r="C1878" s="238" t="str">
        <f aca="false">дома!B2280</f>
        <v>м2</v>
      </c>
      <c r="D1878" s="245" t="n">
        <f aca="false">дома!C2280</f>
        <v>0</v>
      </c>
      <c r="E1878" s="23" t="n">
        <f aca="false">дома!D2280</f>
        <v>0</v>
      </c>
      <c r="F1878" s="23"/>
      <c r="G1878" s="122" t="n">
        <f aca="false">IF(F1878&gt;0,D1878*F1878,E1878*D1878)</f>
        <v>0</v>
      </c>
      <c r="H1878" s="2210" t="n">
        <f aca="false">D1878*E1878*$H$1874</f>
        <v>0</v>
      </c>
      <c r="I1878" s="2784" t="n">
        <f aca="false">IF(G1878&gt;H1878,G1878,H1878)*$H$1874</f>
        <v>0</v>
      </c>
      <c r="J1878" s="2744"/>
      <c r="K1878" s="226" t="n">
        <f aca="false">D1878-J1878</f>
        <v>0</v>
      </c>
      <c r="L1878" s="2736"/>
    </row>
    <row r="1879" customFormat="false" ht="15.5" hidden="false" customHeight="false" outlineLevel="0" collapsed="false">
      <c r="A1879" s="2719"/>
      <c r="B1879" s="639" t="str">
        <f aca="false">дома!A2281</f>
        <v>нет</v>
      </c>
      <c r="C1879" s="238" t="str">
        <f aca="false">дома!B2281</f>
        <v>м2</v>
      </c>
      <c r="D1879" s="245" t="n">
        <f aca="false">дома!C2281</f>
        <v>7.39018936077457</v>
      </c>
      <c r="E1879" s="23" t="n">
        <f aca="false">дома!D2281</f>
        <v>0</v>
      </c>
      <c r="F1879" s="23"/>
      <c r="G1879" s="122" t="n">
        <f aca="false">IF(F1879&gt;0,D1879*F1879,E1879*D1879)</f>
        <v>0</v>
      </c>
      <c r="H1879" s="2210" t="n">
        <f aca="false">D1879*E1879*$H$1874</f>
        <v>0</v>
      </c>
      <c r="I1879" s="2784" t="n">
        <f aca="false">IF(G1879&gt;H1879,G1879,H1879)*$H$1874</f>
        <v>0</v>
      </c>
      <c r="J1879" s="2744"/>
      <c r="K1879" s="226" t="n">
        <f aca="false">D1879-J1879</f>
        <v>7.39018936077457</v>
      </c>
      <c r="L1879" s="2736"/>
    </row>
    <row r="1880" customFormat="false" ht="15.5" hidden="false" customHeight="false" outlineLevel="0" collapsed="false">
      <c r="A1880" s="2719"/>
      <c r="B1880" s="639" t="str">
        <f aca="false">дома!A2282</f>
        <v>Мембраны Tyvek Solid</v>
      </c>
      <c r="C1880" s="238" t="str">
        <f aca="false">дома!B2282</f>
        <v>м2</v>
      </c>
      <c r="D1880" s="245" t="n">
        <f aca="false">дома!C2282</f>
        <v>7.39018936077457</v>
      </c>
      <c r="E1880" s="23" t="n">
        <f aca="false">дома!D2282</f>
        <v>99</v>
      </c>
      <c r="F1880" s="23"/>
      <c r="G1880" s="122" t="n">
        <f aca="false">IF(F1880&gt;0,D1880*F1880,E1880*D1880)</f>
        <v>731.628746716682</v>
      </c>
      <c r="H1880" s="2210" t="n">
        <f aca="false">D1880*E1880*$H$1874</f>
        <v>0</v>
      </c>
      <c r="I1880" s="2784" t="n">
        <f aca="false">IF(G1880&gt;H1880,G1880,H1880)*$H$1874</f>
        <v>0</v>
      </c>
      <c r="J1880" s="2744"/>
      <c r="K1880" s="226" t="n">
        <f aca="false">D1880-J1880</f>
        <v>7.39018936077457</v>
      </c>
      <c r="L1880" s="2736"/>
    </row>
    <row r="1881" customFormat="false" ht="15.5" hidden="false" customHeight="false" outlineLevel="0" collapsed="false">
      <c r="A1881" s="2719"/>
      <c r="B1881" s="639" t="str">
        <f aca="false">дома!A2283</f>
        <v>металлочерепица</v>
      </c>
      <c r="C1881" s="238" t="str">
        <f aca="false">дома!B2283</f>
        <v>м2</v>
      </c>
      <c r="D1881" s="245" t="n">
        <f aca="false">дома!C2283</f>
        <v>7.39018936077457</v>
      </c>
      <c r="E1881" s="23" t="n">
        <f aca="false">дома!D2283</f>
        <v>250</v>
      </c>
      <c r="F1881" s="23"/>
      <c r="G1881" s="122" t="n">
        <f aca="false">IF(F1881&gt;0,D1881*F1881,E1881*D1881)</f>
        <v>1847.54734019364</v>
      </c>
      <c r="H1881" s="2210" t="n">
        <f aca="false">D1881*E1881*$H$1874</f>
        <v>0</v>
      </c>
      <c r="I1881" s="2784" t="n">
        <f aca="false">IF(G1881&gt;H1881,G1881,H1881)*$H$1874</f>
        <v>0</v>
      </c>
      <c r="J1881" s="2744"/>
      <c r="K1881" s="226" t="n">
        <f aca="false">D1881-J1881</f>
        <v>7.39018936077457</v>
      </c>
      <c r="L1881" s="2736"/>
    </row>
    <row r="1882" customFormat="false" ht="15.5" hidden="false" customHeight="false" outlineLevel="0" collapsed="false">
      <c r="A1882" s="2719"/>
      <c r="B1882" s="639" t="str">
        <f aca="false">дома!A2284</f>
        <v>карнизная планка</v>
      </c>
      <c r="C1882" s="238" t="str">
        <f aca="false">дома!B2284</f>
        <v>м.п.</v>
      </c>
      <c r="D1882" s="245" t="n">
        <f aca="false">дома!C2284</f>
        <v>4.18</v>
      </c>
      <c r="E1882" s="23" t="n">
        <f aca="false">дома!D2284</f>
        <v>200</v>
      </c>
      <c r="F1882" s="23"/>
      <c r="G1882" s="122" t="n">
        <f aca="false">IF(F1882&gt;0,D1882*F1882,E1882*D1882)</f>
        <v>836</v>
      </c>
      <c r="H1882" s="2210" t="n">
        <f aca="false">D1882*E1882*$H$1874</f>
        <v>0</v>
      </c>
      <c r="I1882" s="2784" t="n">
        <f aca="false">IF(G1882&gt;H1882,G1882,H1882)*$H$1874</f>
        <v>0</v>
      </c>
      <c r="J1882" s="2744"/>
      <c r="K1882" s="226" t="n">
        <f aca="false">D1882-J1882</f>
        <v>4.18</v>
      </c>
      <c r="L1882" s="2736"/>
    </row>
    <row r="1883" customFormat="false" ht="15.5" hidden="false" customHeight="false" outlineLevel="0" collapsed="false">
      <c r="A1883" s="2719"/>
      <c r="B1883" s="639" t="str">
        <f aca="false">дома!A2285</f>
        <v>торцевая планка</v>
      </c>
      <c r="C1883" s="238" t="str">
        <f aca="false">дома!B2285</f>
        <v>м.п.</v>
      </c>
      <c r="D1883" s="245" t="n">
        <f aca="false">дома!C2285</f>
        <v>3.56544223546141</v>
      </c>
      <c r="E1883" s="23" t="n">
        <f aca="false">дома!D2285</f>
        <v>200</v>
      </c>
      <c r="F1883" s="23"/>
      <c r="G1883" s="122" t="n">
        <f aca="false">IF(F1883&gt;0,D1883*F1883,E1883*D1883)</f>
        <v>713.088447092283</v>
      </c>
      <c r="H1883" s="2210" t="n">
        <f aca="false">D1883*E1883*$H$1874</f>
        <v>0</v>
      </c>
      <c r="I1883" s="2784" t="n">
        <f aca="false">IF(G1883&gt;H1883,G1883,H1883)*$H$1874</f>
        <v>0</v>
      </c>
      <c r="J1883" s="2744"/>
      <c r="K1883" s="226" t="n">
        <f aca="false">D1883-J1883</f>
        <v>3.56544223546141</v>
      </c>
      <c r="L1883" s="2736"/>
    </row>
    <row r="1884" customFormat="false" ht="15.5" hidden="false" customHeight="false" outlineLevel="0" collapsed="false">
      <c r="A1884" s="2719"/>
      <c r="B1884" s="639" t="str">
        <f aca="false">дома!A2286</f>
        <v>конек</v>
      </c>
      <c r="C1884" s="238" t="str">
        <f aca="false">дома!B2286</f>
        <v>м.п.</v>
      </c>
      <c r="D1884" s="245" t="n">
        <f aca="false">дома!C2286</f>
        <v>0</v>
      </c>
      <c r="E1884" s="23" t="n">
        <f aca="false">дома!D2286</f>
        <v>230</v>
      </c>
      <c r="F1884" s="23"/>
      <c r="G1884" s="122" t="n">
        <f aca="false">IF(F1884&gt;0,D1884*F1884,E1884*D1884)</f>
        <v>0</v>
      </c>
      <c r="H1884" s="2210" t="n">
        <f aca="false">D1884*E1884*$H$1874</f>
        <v>0</v>
      </c>
      <c r="I1884" s="2784" t="n">
        <f aca="false">IF(G1884&gt;H1884,G1884,H1884)*$H$1874</f>
        <v>0</v>
      </c>
      <c r="J1884" s="2744"/>
      <c r="K1884" s="226" t="n">
        <f aca="false">D1884-J1884</f>
        <v>0</v>
      </c>
      <c r="L1884" s="2736"/>
    </row>
    <row r="1885" customFormat="false" ht="15.5" hidden="false" customHeight="false" outlineLevel="0" collapsed="false">
      <c r="A1885" s="2719"/>
      <c r="B1885" s="639" t="str">
        <f aca="false">дома!A2287</f>
        <v>ондулин</v>
      </c>
      <c r="C1885" s="238" t="str">
        <f aca="false">дома!B2287</f>
        <v>м2</v>
      </c>
      <c r="D1885" s="245" t="n">
        <f aca="false">дома!C2287</f>
        <v>0</v>
      </c>
      <c r="E1885" s="23" t="n">
        <f aca="false">дома!D2287</f>
        <v>180</v>
      </c>
      <c r="F1885" s="23"/>
      <c r="G1885" s="122" t="n">
        <f aca="false">IF(F1885&gt;0,D1885*F1885,E1885*D1885)</f>
        <v>0</v>
      </c>
      <c r="H1885" s="2210" t="n">
        <f aca="false">D1885*E1885*$H$1874</f>
        <v>0</v>
      </c>
      <c r="I1885" s="2784" t="n">
        <f aca="false">IF(G1885&gt;H1885,G1885,H1885)*$H$1874</f>
        <v>0</v>
      </c>
      <c r="J1885" s="2744"/>
      <c r="K1885" s="226" t="n">
        <f aca="false">D1885-J1885</f>
        <v>0</v>
      </c>
      <c r="L1885" s="2736"/>
    </row>
    <row r="1886" customFormat="false" ht="15.5" hidden="false" customHeight="false" outlineLevel="0" collapsed="false">
      <c r="A1886" s="2719"/>
      <c r="B1886" s="639" t="str">
        <f aca="false">дома!A2288</f>
        <v>Карнизная планка</v>
      </c>
      <c r="C1886" s="238" t="str">
        <f aca="false">дома!B2288</f>
        <v>м.п.</v>
      </c>
      <c r="D1886" s="245" t="n">
        <f aca="false">дома!C2288</f>
        <v>0</v>
      </c>
      <c r="E1886" s="23" t="n">
        <f aca="false">дома!D2288</f>
        <v>190</v>
      </c>
      <c r="F1886" s="23"/>
      <c r="G1886" s="122" t="n">
        <f aca="false">IF(F1886&gt;0,D1886*F1886,E1886*D1886)</f>
        <v>0</v>
      </c>
      <c r="H1886" s="2210" t="n">
        <f aca="false">D1886*E1886*$H$1874</f>
        <v>0</v>
      </c>
      <c r="I1886" s="2784" t="n">
        <f aca="false">IF(G1886&gt;H1886,G1886,H1886)*$H$1874</f>
        <v>0</v>
      </c>
      <c r="J1886" s="2744"/>
      <c r="K1886" s="226" t="n">
        <f aca="false">D1886-J1886</f>
        <v>0</v>
      </c>
      <c r="L1886" s="2736"/>
    </row>
    <row r="1887" customFormat="false" ht="15.5" hidden="false" customHeight="false" outlineLevel="0" collapsed="false">
      <c r="A1887" s="2719"/>
      <c r="B1887" s="639" t="str">
        <f aca="false">дома!A2289</f>
        <v>Торцевая планка</v>
      </c>
      <c r="C1887" s="238" t="str">
        <f aca="false">дома!B2289</f>
        <v>м.п.</v>
      </c>
      <c r="D1887" s="245" t="n">
        <f aca="false">дома!C2289</f>
        <v>0</v>
      </c>
      <c r="E1887" s="23" t="n">
        <f aca="false">дома!D2289</f>
        <v>190</v>
      </c>
      <c r="F1887" s="23"/>
      <c r="G1887" s="122" t="n">
        <f aca="false">IF(F1887&gt;0,D1887*F1887,E1887*D1887)</f>
        <v>0</v>
      </c>
      <c r="H1887" s="2210" t="n">
        <f aca="false">D1887*E1887*$H$1874</f>
        <v>0</v>
      </c>
      <c r="I1887" s="2784" t="n">
        <f aca="false">IF(G1887&gt;H1887,G1887,H1887)*$H$1874</f>
        <v>0</v>
      </c>
      <c r="J1887" s="2744"/>
      <c r="K1887" s="226" t="n">
        <f aca="false">D1887-J1887</f>
        <v>0</v>
      </c>
      <c r="L1887" s="2736"/>
    </row>
    <row r="1888" customFormat="false" ht="15.5" hidden="false" customHeight="false" outlineLevel="0" collapsed="false">
      <c r="A1888" s="2719"/>
      <c r="B1888" s="639" t="str">
        <f aca="false">дома!A2290</f>
        <v>Конек</v>
      </c>
      <c r="C1888" s="238" t="str">
        <f aca="false">дома!B2290</f>
        <v>м.п.</v>
      </c>
      <c r="D1888" s="245" t="n">
        <f aca="false">дома!C2290</f>
        <v>0</v>
      </c>
      <c r="E1888" s="23" t="n">
        <f aca="false">дома!D2290</f>
        <v>200</v>
      </c>
      <c r="F1888" s="23"/>
      <c r="G1888" s="122" t="n">
        <f aca="false">IF(F1888&gt;0,D1888*F1888,E1888*D1888)</f>
        <v>0</v>
      </c>
      <c r="H1888" s="2210" t="n">
        <f aca="false">D1888*E1888*$H$1874</f>
        <v>0</v>
      </c>
      <c r="I1888" s="2784" t="n">
        <f aca="false">IF(G1888&gt;H1888,G1888,H1888)*$H$1874</f>
        <v>0</v>
      </c>
      <c r="J1888" s="2744"/>
      <c r="K1888" s="226" t="n">
        <f aca="false">D1888-J1888</f>
        <v>0</v>
      </c>
      <c r="L1888" s="2736"/>
    </row>
    <row r="1889" customFormat="false" ht="15.5" hidden="false" customHeight="false" outlineLevel="0" collapsed="false">
      <c r="A1889" s="2719"/>
      <c r="B1889" s="639" t="str">
        <f aca="false">дома!A2291</f>
        <v>Ендова нижняя</v>
      </c>
      <c r="C1889" s="238" t="str">
        <f aca="false">дома!B2291</f>
        <v>м.п.</v>
      </c>
      <c r="D1889" s="245" t="n">
        <f aca="false">дома!C2291</f>
        <v>0</v>
      </c>
      <c r="E1889" s="23" t="n">
        <f aca="false">дома!D2291</f>
        <v>160</v>
      </c>
      <c r="F1889" s="23"/>
      <c r="G1889" s="122" t="n">
        <f aca="false">IF(F1889&gt;0,D1889*F1889,E1889*D1889)</f>
        <v>0</v>
      </c>
      <c r="H1889" s="2210" t="n">
        <f aca="false">D1889*E1889*$H$1874</f>
        <v>0</v>
      </c>
      <c r="I1889" s="2784" t="n">
        <f aca="false">IF(G1889&gt;H1889,G1889,H1889)*$H$1874</f>
        <v>0</v>
      </c>
      <c r="J1889" s="2744"/>
      <c r="K1889" s="226" t="n">
        <f aca="false">D1889-J1889</f>
        <v>0</v>
      </c>
      <c r="L1889" s="2736"/>
    </row>
    <row r="1890" customFormat="false" ht="15.5" hidden="false" customHeight="false" outlineLevel="0" collapsed="false">
      <c r="A1890" s="2719"/>
      <c r="B1890" s="639" t="str">
        <f aca="false">дома!A2292</f>
        <v>Ендова верхняя</v>
      </c>
      <c r="C1890" s="238" t="str">
        <f aca="false">дома!B2292</f>
        <v>м.п.</v>
      </c>
      <c r="D1890" s="245" t="n">
        <f aca="false">дома!C2292</f>
        <v>0</v>
      </c>
      <c r="E1890" s="23" t="n">
        <f aca="false">дома!D2292</f>
        <v>190</v>
      </c>
      <c r="F1890" s="23"/>
      <c r="G1890" s="122" t="n">
        <f aca="false">IF(F1890&gt;0,D1890*F1890,E1890*D1890)</f>
        <v>0</v>
      </c>
      <c r="H1890" s="2210" t="n">
        <f aca="false">D1890*E1890*$H$1874</f>
        <v>0</v>
      </c>
      <c r="I1890" s="2784" t="n">
        <f aca="false">IF(G1890&gt;H1890,G1890,H1890)*$H$1874</f>
        <v>0</v>
      </c>
      <c r="J1890" s="2744"/>
      <c r="K1890" s="226" t="n">
        <f aca="false">D1890-J1890</f>
        <v>0</v>
      </c>
      <c r="L1890" s="2736"/>
    </row>
    <row r="1891" customFormat="false" ht="15.5" hidden="false" customHeight="false" outlineLevel="0" collapsed="false">
      <c r="A1891" s="2719"/>
      <c r="B1891" s="639" t="str">
        <f aca="false">дома!A2293</f>
        <v>Планка примыкания</v>
      </c>
      <c r="C1891" s="238" t="str">
        <f aca="false">дома!B2293</f>
        <v>м.п.</v>
      </c>
      <c r="D1891" s="245" t="n">
        <f aca="false">дома!C2293</f>
        <v>0</v>
      </c>
      <c r="E1891" s="23" t="n">
        <f aca="false">дома!D2293</f>
        <v>190</v>
      </c>
      <c r="F1891" s="23"/>
      <c r="G1891" s="122" t="n">
        <f aca="false">IF(F1891&gt;0,D1891*F1891,E1891*D1891)</f>
        <v>0</v>
      </c>
      <c r="H1891" s="2210" t="n">
        <f aca="false">D1891*E1891*$H$1874</f>
        <v>0</v>
      </c>
      <c r="I1891" s="2784" t="n">
        <f aca="false">IF(G1891&gt;H1891,G1891,H1891)*$H$1874</f>
        <v>0</v>
      </c>
      <c r="J1891" s="2744"/>
      <c r="K1891" s="226" t="n">
        <f aca="false">D1891-J1891</f>
        <v>0</v>
      </c>
      <c r="L1891" s="2736"/>
    </row>
    <row r="1892" customFormat="false" ht="15.5" hidden="false" customHeight="false" outlineLevel="0" collapsed="false">
      <c r="A1892" s="2719"/>
      <c r="B1892" s="639" t="str">
        <f aca="false">дома!A2294</f>
        <v>Крепеж для ондулина</v>
      </c>
      <c r="C1892" s="238" t="str">
        <f aca="false">дома!B2294</f>
        <v>шт</v>
      </c>
      <c r="D1892" s="245" t="n">
        <f aca="false">дома!C2294</f>
        <v>0</v>
      </c>
      <c r="E1892" s="23" t="n">
        <f aca="false">дома!D2294</f>
        <v>4.5</v>
      </c>
      <c r="F1892" s="23"/>
      <c r="G1892" s="122" t="n">
        <f aca="false">IF(F1892&gt;0,D1892*F1892,E1892*D1892)</f>
        <v>0</v>
      </c>
      <c r="H1892" s="2210" t="n">
        <f aca="false">D1892*E1892*$H$1874</f>
        <v>0</v>
      </c>
      <c r="I1892" s="2784" t="n">
        <f aca="false">IF(G1892&gt;H1892,G1892,H1892)*$H$1874</f>
        <v>0</v>
      </c>
      <c r="J1892" s="2744"/>
      <c r="K1892" s="226" t="n">
        <f aca="false">D1892-J1892</f>
        <v>0</v>
      </c>
      <c r="L1892" s="2736"/>
    </row>
    <row r="1893" customFormat="false" ht="15.5" hidden="false" customHeight="false" outlineLevel="0" collapsed="false">
      <c r="A1893" s="2719"/>
      <c r="B1893" s="639" t="str">
        <f aca="false">дома!A2295</f>
        <v>Рядовая черепица</v>
      </c>
      <c r="C1893" s="238" t="str">
        <f aca="false">дома!B2295</f>
        <v>м2</v>
      </c>
      <c r="D1893" s="245" t="n">
        <f aca="false">дома!C2295</f>
        <v>0</v>
      </c>
      <c r="E1893" s="23" t="n">
        <f aca="false">дома!D2295</f>
        <v>360</v>
      </c>
      <c r="F1893" s="23"/>
      <c r="G1893" s="122" t="n">
        <f aca="false">IF(F1893&gt;0,D1893*F1893,E1893*D1893)</f>
        <v>0</v>
      </c>
      <c r="H1893" s="2210" t="n">
        <f aca="false">D1893*E1893*$H$1874</f>
        <v>0</v>
      </c>
      <c r="I1893" s="2784" t="n">
        <f aca="false">IF(G1893&gt;H1893,G1893,H1893)*$H$1874</f>
        <v>0</v>
      </c>
      <c r="J1893" s="2744"/>
      <c r="K1893" s="226" t="n">
        <f aca="false">D1893-J1893</f>
        <v>0</v>
      </c>
      <c r="L1893" s="2736"/>
    </row>
    <row r="1894" customFormat="false" ht="15.5" hidden="false" customHeight="false" outlineLevel="0" collapsed="false">
      <c r="A1894" s="2719"/>
      <c r="B1894" s="639" t="str">
        <f aca="false">дома!A2296</f>
        <v>Металл оцинк защита (карниз)</v>
      </c>
      <c r="C1894" s="238" t="str">
        <f aca="false">дома!B2296</f>
        <v>м.п.</v>
      </c>
      <c r="D1894" s="245" t="n">
        <f aca="false">дома!C2296</f>
        <v>0</v>
      </c>
      <c r="E1894" s="23" t="n">
        <f aca="false">дома!D2296</f>
        <v>200</v>
      </c>
      <c r="F1894" s="23"/>
      <c r="G1894" s="122" t="n">
        <f aca="false">IF(F1894&gt;0,D1894*F1894,E1894*D1894)</f>
        <v>0</v>
      </c>
      <c r="H1894" s="2210" t="n">
        <f aca="false">D1894*E1894*$H$1874</f>
        <v>0</v>
      </c>
      <c r="I1894" s="2784" t="n">
        <f aca="false">IF(G1894&gt;H1894,G1894,H1894)*$H$1874</f>
        <v>0</v>
      </c>
      <c r="J1894" s="2744"/>
      <c r="K1894" s="226" t="n">
        <f aca="false">D1894-J1894</f>
        <v>0</v>
      </c>
      <c r="L1894" s="2736"/>
    </row>
    <row r="1895" customFormat="false" ht="15.5" hidden="false" customHeight="false" outlineLevel="0" collapsed="false">
      <c r="A1895" s="2719"/>
      <c r="B1895" s="639" t="str">
        <f aca="false">дома!A2297</f>
        <v>Подкладочный ковер</v>
      </c>
      <c r="C1895" s="238" t="str">
        <f aca="false">дома!B2297</f>
        <v>м.п.</v>
      </c>
      <c r="D1895" s="245" t="n">
        <f aca="false">дома!C2297</f>
        <v>0</v>
      </c>
      <c r="E1895" s="23" t="n">
        <f aca="false">дома!D2297</f>
        <v>220</v>
      </c>
      <c r="F1895" s="23"/>
      <c r="G1895" s="122" t="n">
        <f aca="false">IF(F1895&gt;0,D1895*F1895,E1895*D1895)</f>
        <v>0</v>
      </c>
      <c r="H1895" s="2210" t="n">
        <f aca="false">D1895*E1895*$H$1874</f>
        <v>0</v>
      </c>
      <c r="I1895" s="2784" t="n">
        <f aca="false">IF(G1895&gt;H1895,G1895,H1895)*$H$1874</f>
        <v>0</v>
      </c>
      <c r="J1895" s="2744"/>
      <c r="K1895" s="226" t="n">
        <f aca="false">D1895-J1895</f>
        <v>0</v>
      </c>
      <c r="L1895" s="2736"/>
    </row>
    <row r="1896" customFormat="false" ht="15.5" hidden="false" customHeight="false" outlineLevel="0" collapsed="false">
      <c r="A1896" s="2719"/>
      <c r="B1896" s="639" t="str">
        <f aca="false">дома!A2298</f>
        <v>Карнизная самоклеющаяся черепица</v>
      </c>
      <c r="C1896" s="238" t="str">
        <f aca="false">дома!B2298</f>
        <v>м.п.</v>
      </c>
      <c r="D1896" s="245" t="n">
        <f aca="false">дома!C2298</f>
        <v>0</v>
      </c>
      <c r="E1896" s="23" t="n">
        <f aca="false">дома!D2298</f>
        <v>220</v>
      </c>
      <c r="F1896" s="23"/>
      <c r="G1896" s="122" t="n">
        <f aca="false">IF(F1896&gt;0,D1896*F1896,E1896*D1896)</f>
        <v>0</v>
      </c>
      <c r="H1896" s="2210" t="n">
        <f aca="false">D1896*E1896*$H$1874</f>
        <v>0</v>
      </c>
      <c r="I1896" s="2784" t="n">
        <f aca="false">IF(G1896&gt;H1896,G1896,H1896)*$H$1874</f>
        <v>0</v>
      </c>
      <c r="J1896" s="2744"/>
      <c r="K1896" s="226" t="n">
        <f aca="false">D1896-J1896</f>
        <v>0</v>
      </c>
      <c r="L1896" s="2736"/>
    </row>
    <row r="1897" customFormat="false" ht="15.5" hidden="false" customHeight="false" outlineLevel="0" collapsed="false">
      <c r="A1897" s="2719"/>
      <c r="B1897" s="639" t="str">
        <f aca="false">дома!A2299</f>
        <v>Спец ковер ендова нижняя</v>
      </c>
      <c r="C1897" s="238" t="str">
        <f aca="false">дома!B2299</f>
        <v>м.п.</v>
      </c>
      <c r="D1897" s="245" t="n">
        <f aca="false">дома!C2299</f>
        <v>0</v>
      </c>
      <c r="E1897" s="23" t="n">
        <f aca="false">дома!D2299</f>
        <v>200</v>
      </c>
      <c r="F1897" s="23"/>
      <c r="G1897" s="122" t="n">
        <f aca="false">IF(F1897&gt;0,D1897*F1897,E1897*D1897)</f>
        <v>0</v>
      </c>
      <c r="H1897" s="2210" t="n">
        <f aca="false">D1897*E1897*$H$1874</f>
        <v>0</v>
      </c>
      <c r="I1897" s="2784" t="n">
        <f aca="false">IF(G1897&gt;H1897,G1897,H1897)*$H$1874</f>
        <v>0</v>
      </c>
      <c r="J1897" s="2744"/>
      <c r="K1897" s="226" t="n">
        <f aca="false">D1897-J1897</f>
        <v>0</v>
      </c>
      <c r="L1897" s="2736"/>
    </row>
    <row r="1898" customFormat="false" ht="15.5" hidden="false" customHeight="false" outlineLevel="0" collapsed="false">
      <c r="A1898" s="2719"/>
      <c r="B1898" s="639" t="str">
        <f aca="false">дома!A2300</f>
        <v>Коньковой элемент</v>
      </c>
      <c r="C1898" s="238" t="str">
        <f aca="false">дома!B2300</f>
        <v>м.п.</v>
      </c>
      <c r="D1898" s="245" t="n">
        <f aca="false">дома!C2300</f>
        <v>0</v>
      </c>
      <c r="E1898" s="23" t="n">
        <f aca="false">дома!D2300</f>
        <v>250</v>
      </c>
      <c r="F1898" s="23"/>
      <c r="G1898" s="122" t="n">
        <f aca="false">IF(F1898&gt;0,D1898*F1898,E1898*D1898)</f>
        <v>0</v>
      </c>
      <c r="H1898" s="2210" t="n">
        <f aca="false">D1898*E1898*$H$1874</f>
        <v>0</v>
      </c>
      <c r="I1898" s="2784" t="n">
        <f aca="false">IF(G1898&gt;H1898,G1898,H1898)*$H$1874</f>
        <v>0</v>
      </c>
      <c r="J1898" s="2744"/>
      <c r="K1898" s="226" t="n">
        <f aca="false">D1898-J1898</f>
        <v>0</v>
      </c>
      <c r="L1898" s="2736"/>
    </row>
    <row r="1899" customFormat="false" ht="15.5" hidden="false" customHeight="false" outlineLevel="0" collapsed="false">
      <c r="A1899" s="2719"/>
      <c r="B1899" s="639" t="str">
        <f aca="false">дома!A2301</f>
        <v>Планка премыкания</v>
      </c>
      <c r="C1899" s="238" t="str">
        <f aca="false">дома!B2301</f>
        <v>м.п.</v>
      </c>
      <c r="D1899" s="245" t="n">
        <f aca="false">дома!C2301</f>
        <v>0</v>
      </c>
      <c r="E1899" s="23" t="n">
        <f aca="false">дома!D2301</f>
        <v>200</v>
      </c>
      <c r="F1899" s="23"/>
      <c r="G1899" s="122" t="n">
        <f aca="false">IF(F1899&gt;0,D1899*F1899,E1899*D1899)</f>
        <v>0</v>
      </c>
      <c r="H1899" s="2210" t="n">
        <f aca="false">D1899*E1899*$H$1874</f>
        <v>0</v>
      </c>
      <c r="I1899" s="2784" t="n">
        <f aca="false">IF(G1899&gt;H1899,G1899,H1899)*$H$1874</f>
        <v>0</v>
      </c>
      <c r="J1899" s="2744"/>
      <c r="K1899" s="226" t="n">
        <f aca="false">D1899-J1899</f>
        <v>0</v>
      </c>
      <c r="L1899" s="2736"/>
    </row>
    <row r="1900" customFormat="false" ht="15.5" hidden="false" customHeight="false" outlineLevel="0" collapsed="false">
      <c r="A1900" s="2719"/>
      <c r="B1900" s="639" t="str">
        <f aca="false">дома!A2302</f>
        <v>Гвозди для крепления подкладочного ковра</v>
      </c>
      <c r="C1900" s="238" t="str">
        <f aca="false">дома!B2302</f>
        <v>шт</v>
      </c>
      <c r="D1900" s="245" t="n">
        <f aca="false">дома!C2302</f>
        <v>0</v>
      </c>
      <c r="E1900" s="23" t="n">
        <f aca="false">дома!D2302</f>
        <v>0.012</v>
      </c>
      <c r="F1900" s="23"/>
      <c r="G1900" s="122" t="n">
        <f aca="false">IF(F1900&gt;0,D1900*F1900,E1900*D1900)</f>
        <v>0</v>
      </c>
      <c r="H1900" s="2210" t="n">
        <f aca="false">D1900*E1900*$H$1874</f>
        <v>0</v>
      </c>
      <c r="I1900" s="2784" t="n">
        <f aca="false">IF(G1900&gt;H1900,G1900,H1900)*$H$1874</f>
        <v>0</v>
      </c>
      <c r="J1900" s="2744"/>
      <c r="K1900" s="226" t="n">
        <f aca="false">D1900-J1900</f>
        <v>0</v>
      </c>
      <c r="L1900" s="2736"/>
    </row>
    <row r="1901" customFormat="false" ht="15.5" hidden="false" customHeight="false" outlineLevel="0" collapsed="false">
      <c r="A1901" s="2719"/>
      <c r="B1901" s="639" t="str">
        <f aca="false">дома!A2303</f>
        <v>Гвозди для крепления черепицы</v>
      </c>
      <c r="C1901" s="238" t="str">
        <f aca="false">дома!B2303</f>
        <v>шт</v>
      </c>
      <c r="D1901" s="245" t="n">
        <f aca="false">дома!C2303</f>
        <v>0</v>
      </c>
      <c r="E1901" s="23" t="n">
        <f aca="false">дома!D2303</f>
        <v>0.25</v>
      </c>
      <c r="F1901" s="23"/>
      <c r="G1901" s="122" t="n">
        <f aca="false">IF(F1901&gt;0,D1901*F1901,E1901*D1901)</f>
        <v>0</v>
      </c>
      <c r="H1901" s="2210" t="n">
        <f aca="false">D1901*E1901*$H$1874</f>
        <v>0</v>
      </c>
      <c r="I1901" s="2784" t="n">
        <f aca="false">IF(G1901&gt;H1901,G1901,H1901)*$H$1874</f>
        <v>0</v>
      </c>
      <c r="J1901" s="2744"/>
      <c r="K1901" s="226" t="n">
        <f aca="false">D1901-J1901</f>
        <v>0</v>
      </c>
      <c r="L1901" s="2736"/>
    </row>
    <row r="1902" customFormat="false" ht="15.5" hidden="false" customHeight="false" outlineLevel="0" collapsed="false">
      <c r="A1902" s="2719"/>
      <c r="B1902" s="639" t="str">
        <f aca="false">дома!A2304</f>
        <v>Клей для монтажа черепицы</v>
      </c>
      <c r="C1902" s="238" t="str">
        <f aca="false">дома!B2304</f>
        <v>кг</v>
      </c>
      <c r="D1902" s="245" t="n">
        <f aca="false">дома!C2304</f>
        <v>0</v>
      </c>
      <c r="E1902" s="23" t="n">
        <f aca="false">дома!D2304</f>
        <v>250</v>
      </c>
      <c r="F1902" s="23"/>
      <c r="G1902" s="122" t="n">
        <f aca="false">IF(F1902&gt;0,D1902*F1902,E1902*D1902)</f>
        <v>0</v>
      </c>
      <c r="H1902" s="2210" t="n">
        <f aca="false">D1902*E1902*$H$1874</f>
        <v>0</v>
      </c>
      <c r="I1902" s="2784" t="n">
        <f aca="false">IF(G1902&gt;H1902,G1902,H1902)*$H$1874</f>
        <v>0</v>
      </c>
      <c r="J1902" s="2744"/>
      <c r="K1902" s="226" t="n">
        <f aca="false">D1902-J1902</f>
        <v>0</v>
      </c>
      <c r="L1902" s="2736"/>
    </row>
    <row r="1903" customFormat="false" ht="15.5" hidden="false" customHeight="false" outlineLevel="0" collapsed="false">
      <c r="A1903" s="2719"/>
      <c r="B1903" s="639" t="str">
        <f aca="false">дома!A2305</f>
        <v>желоб</v>
      </c>
      <c r="C1903" s="238" t="str">
        <f aca="false">дома!B2305</f>
        <v>м.п</v>
      </c>
      <c r="D1903" s="245" t="n">
        <f aca="false">дома!C2305</f>
        <v>4.18</v>
      </c>
      <c r="E1903" s="23" t="n">
        <f aca="false">дома!D2305</f>
        <v>300</v>
      </c>
      <c r="F1903" s="23"/>
      <c r="G1903" s="122" t="n">
        <f aca="false">IF(F1903&gt;0,D1903*F1903,E1903*D1903)</f>
        <v>1254</v>
      </c>
      <c r="H1903" s="2210" t="n">
        <f aca="false">D1903*E1903*$H$1874</f>
        <v>0</v>
      </c>
      <c r="I1903" s="2784" t="n">
        <f aca="false">IF(G1903&gt;H1903,G1903,H1903)*$H$1874</f>
        <v>0</v>
      </c>
      <c r="J1903" s="2744"/>
      <c r="K1903" s="226" t="n">
        <f aca="false">D1903-J1903</f>
        <v>4.18</v>
      </c>
      <c r="L1903" s="2736"/>
    </row>
    <row r="1904" customFormat="false" ht="15.5" hidden="false" customHeight="false" outlineLevel="0" collapsed="false">
      <c r="A1904" s="2719"/>
      <c r="B1904" s="639" t="str">
        <f aca="false">дома!A2306</f>
        <v>отвод</v>
      </c>
      <c r="C1904" s="238" t="str">
        <f aca="false">дома!B2306</f>
        <v>шт</v>
      </c>
      <c r="D1904" s="245" t="n">
        <f aca="false">дома!C2306</f>
        <v>2</v>
      </c>
      <c r="E1904" s="23" t="n">
        <f aca="false">дома!D2306</f>
        <v>250</v>
      </c>
      <c r="F1904" s="23"/>
      <c r="G1904" s="122" t="n">
        <f aca="false">IF(F1904&gt;0,D1904*F1904,E1904*D1904)</f>
        <v>500</v>
      </c>
      <c r="H1904" s="2210" t="n">
        <f aca="false">D1904*E1904*$H$1874</f>
        <v>0</v>
      </c>
      <c r="I1904" s="2784" t="n">
        <f aca="false">IF(G1904&gt;H1904,G1904,H1904)*$H$1874</f>
        <v>0</v>
      </c>
      <c r="J1904" s="2744"/>
      <c r="K1904" s="226" t="n">
        <f aca="false">D1904-J1904</f>
        <v>2</v>
      </c>
      <c r="L1904" s="2736"/>
    </row>
    <row r="1905" customFormat="false" ht="15.5" hidden="false" customHeight="false" outlineLevel="0" collapsed="false">
      <c r="A1905" s="2719"/>
      <c r="B1905" s="639" t="str">
        <f aca="false">дома!A2307</f>
        <v>труба водосточная</v>
      </c>
      <c r="C1905" s="238" t="str">
        <f aca="false">дома!B2307</f>
        <v>м.п.</v>
      </c>
      <c r="D1905" s="245" t="n">
        <f aca="false">дома!C2307</f>
        <v>0</v>
      </c>
      <c r="E1905" s="23" t="n">
        <f aca="false">дома!D2307</f>
        <v>300</v>
      </c>
      <c r="F1905" s="23"/>
      <c r="G1905" s="122" t="n">
        <f aca="false">IF(F1905&gt;0,D1905*F1905,E1905*D1905)</f>
        <v>0</v>
      </c>
      <c r="H1905" s="2210" t="n">
        <f aca="false">D1905*E1905*$H$1874</f>
        <v>0</v>
      </c>
      <c r="I1905" s="2784" t="n">
        <f aca="false">IF(G1905&gt;H1905,G1905,H1905)*$H$1874</f>
        <v>0</v>
      </c>
      <c r="J1905" s="2744"/>
      <c r="K1905" s="226" t="n">
        <f aca="false">D1905-J1905</f>
        <v>0</v>
      </c>
      <c r="L1905" s="2736"/>
    </row>
    <row r="1906" customFormat="false" ht="15.5" hidden="false" customHeight="false" outlineLevel="0" collapsed="false">
      <c r="A1906" s="2719"/>
      <c r="B1906" s="639" t="str">
        <f aca="false">дома!A2308</f>
        <v>заглушка для желоба</v>
      </c>
      <c r="C1906" s="238" t="str">
        <f aca="false">дома!B2308</f>
        <v>шт</v>
      </c>
      <c r="D1906" s="245" t="n">
        <f aca="false">дома!C2308</f>
        <v>2</v>
      </c>
      <c r="E1906" s="23" t="n">
        <f aca="false">дома!D2308</f>
        <v>190</v>
      </c>
      <c r="F1906" s="23"/>
      <c r="G1906" s="122" t="n">
        <f aca="false">IF(F1906&gt;0,D1906*F1906,E1906*D1906)</f>
        <v>380</v>
      </c>
      <c r="H1906" s="2210" t="n">
        <f aca="false">D1906*E1906*$H$1874</f>
        <v>0</v>
      </c>
      <c r="I1906" s="2784" t="n">
        <f aca="false">IF(G1906&gt;H1906,G1906,H1906)*$H$1874</f>
        <v>0</v>
      </c>
      <c r="J1906" s="2744"/>
      <c r="K1906" s="226" t="n">
        <f aca="false">D1906-J1906</f>
        <v>2</v>
      </c>
      <c r="L1906" s="2736"/>
    </row>
    <row r="1907" customFormat="false" ht="15.5" hidden="false" customHeight="false" outlineLevel="0" collapsed="false">
      <c r="A1907" s="2719"/>
      <c r="B1907" s="639" t="str">
        <f aca="false">дома!A2309</f>
        <v>соеденитель для желоба</v>
      </c>
      <c r="C1907" s="238" t="str">
        <f aca="false">дома!B2309</f>
        <v>шт</v>
      </c>
      <c r="D1907" s="245" t="n">
        <f aca="false">дома!C2309</f>
        <v>2</v>
      </c>
      <c r="E1907" s="23" t="n">
        <f aca="false">дома!D2309</f>
        <v>180</v>
      </c>
      <c r="F1907" s="23"/>
      <c r="G1907" s="122" t="n">
        <f aca="false">IF(F1907&gt;0,D1907*F1907,E1907*D1907)</f>
        <v>360</v>
      </c>
      <c r="H1907" s="2210" t="n">
        <f aca="false">D1907*E1907*$H$1874</f>
        <v>0</v>
      </c>
      <c r="I1907" s="2784" t="n">
        <f aca="false">IF(G1907&gt;H1907,G1907,H1907)*$H$1874</f>
        <v>0</v>
      </c>
      <c r="J1907" s="2744"/>
      <c r="K1907" s="226" t="n">
        <f aca="false">D1907-J1907</f>
        <v>2</v>
      </c>
      <c r="L1907" s="2736"/>
    </row>
    <row r="1908" customFormat="false" ht="15.5" hidden="false" customHeight="false" outlineLevel="0" collapsed="false">
      <c r="A1908" s="2719"/>
      <c r="B1908" s="639" t="str">
        <f aca="false">дома!A2310</f>
        <v>кронштейн для желоба</v>
      </c>
      <c r="C1908" s="238" t="str">
        <f aca="false">дома!B2310</f>
        <v>шт</v>
      </c>
      <c r="D1908" s="245" t="n">
        <f aca="false">дома!C2310</f>
        <v>10.45</v>
      </c>
      <c r="E1908" s="23" t="n">
        <f aca="false">дома!D2310</f>
        <v>130</v>
      </c>
      <c r="F1908" s="23"/>
      <c r="G1908" s="122" t="n">
        <f aca="false">IF(F1908&gt;0,D1908*F1908,E1908*D1908)</f>
        <v>1358.5</v>
      </c>
      <c r="H1908" s="2210" t="n">
        <f aca="false">D1908*E1908*$H$1874</f>
        <v>0</v>
      </c>
      <c r="I1908" s="2784" t="n">
        <f aca="false">IF(G1908&gt;H1908,G1908,H1908)*$H$1874</f>
        <v>0</v>
      </c>
      <c r="J1908" s="2744"/>
      <c r="K1908" s="226" t="n">
        <f aca="false">D1908-J1908</f>
        <v>10.45</v>
      </c>
      <c r="L1908" s="2736"/>
    </row>
    <row r="1909" customFormat="false" ht="15.5" hidden="false" customHeight="false" outlineLevel="0" collapsed="false">
      <c r="A1909" s="2719"/>
      <c r="B1909" s="639" t="str">
        <f aca="false">дома!A2311</f>
        <v>переход из желоба в трубу</v>
      </c>
      <c r="C1909" s="238" t="str">
        <f aca="false">дома!B2311</f>
        <v>шт</v>
      </c>
      <c r="D1909" s="245" t="n">
        <f aca="false">дома!C2311</f>
        <v>2</v>
      </c>
      <c r="E1909" s="23" t="n">
        <f aca="false">дома!D2311</f>
        <v>350</v>
      </c>
      <c r="F1909" s="23"/>
      <c r="G1909" s="122" t="n">
        <f aca="false">IF(F1909&gt;0,D1909*F1909,E1909*D1909)</f>
        <v>700</v>
      </c>
      <c r="H1909" s="2210" t="n">
        <f aca="false">D1909*E1909*$H$1874</f>
        <v>0</v>
      </c>
      <c r="I1909" s="2784" t="n">
        <f aca="false">IF(G1909&gt;H1909,G1909,H1909)*$H$1874</f>
        <v>0</v>
      </c>
      <c r="J1909" s="2744"/>
      <c r="K1909" s="226" t="n">
        <f aca="false">D1909-J1909</f>
        <v>2</v>
      </c>
      <c r="L1909" s="2736"/>
    </row>
    <row r="1910" customFormat="false" ht="15.5" hidden="false" customHeight="false" outlineLevel="0" collapsed="false">
      <c r="A1910" s="2719"/>
      <c r="B1910" s="639" t="str">
        <f aca="false">дома!A2312</f>
        <v>лента дельта мульти бэнд</v>
      </c>
      <c r="C1910" s="238" t="str">
        <f aca="false">дома!B2312</f>
        <v>шт</v>
      </c>
      <c r="D1910" s="245" t="n">
        <f aca="false">дома!C2312</f>
        <v>0.175956889542252</v>
      </c>
      <c r="E1910" s="23" t="n">
        <f aca="false">дома!D2312</f>
        <v>1200</v>
      </c>
      <c r="F1910" s="23"/>
      <c r="G1910" s="122" t="n">
        <f aca="false">IF(F1910&gt;0,D1910*F1910,E1910*D1910)</f>
        <v>211.148267450702</v>
      </c>
      <c r="H1910" s="2210" t="n">
        <f aca="false">D1910*E1910*$H$1874</f>
        <v>0</v>
      </c>
      <c r="I1910" s="2784" t="n">
        <f aca="false">IF(G1910&gt;H1910,G1910,H1910)*$H$1874</f>
        <v>0</v>
      </c>
      <c r="J1910" s="2744"/>
      <c r="K1910" s="226" t="n">
        <f aca="false">D1910-J1910</f>
        <v>0.175956889542252</v>
      </c>
      <c r="L1910" s="2736"/>
    </row>
    <row r="1911" customFormat="false" ht="15.5" hidden="false" customHeight="false" outlineLevel="0" collapsed="false">
      <c r="A1911" s="2719"/>
      <c r="B1911" s="639" t="str">
        <f aca="false">дома!A2313</f>
        <v>лента дельта sb-60</v>
      </c>
      <c r="C1911" s="238" t="str">
        <f aca="false">дома!B2313</f>
        <v>шт</v>
      </c>
      <c r="D1911" s="245" t="n">
        <f aca="false">дома!C2313</f>
        <v>0.136855358532862</v>
      </c>
      <c r="E1911" s="23" t="n">
        <f aca="false">дома!D2313</f>
        <v>1100</v>
      </c>
      <c r="F1911" s="23"/>
      <c r="G1911" s="122" t="n">
        <f aca="false">IF(F1911&gt;0,D1911*F1911,E1911*D1911)</f>
        <v>150.540894386149</v>
      </c>
      <c r="H1911" s="2210" t="n">
        <f aca="false">D1911*E1911*$H$1874</f>
        <v>0</v>
      </c>
      <c r="I1911" s="2784" t="n">
        <f aca="false">IF(G1911&gt;H1911,G1911,H1911)*$H$1874</f>
        <v>0</v>
      </c>
      <c r="J1911" s="2744"/>
      <c r="K1911" s="226" t="n">
        <f aca="false">D1911-J1911</f>
        <v>0.136855358532862</v>
      </c>
      <c r="L1911" s="2736"/>
    </row>
    <row r="1912" customFormat="false" ht="15.5" hidden="false" customHeight="false" outlineLevel="0" collapsed="false">
      <c r="A1912" s="2719"/>
      <c r="B1912" s="639" t="str">
        <f aca="false">дома!A2314</f>
        <v>Кровельный саморез</v>
      </c>
      <c r="C1912" s="238" t="str">
        <f aca="false">дома!B2314</f>
        <v>шт</v>
      </c>
      <c r="D1912" s="245" t="n">
        <f aca="false">дома!C2314</f>
        <v>73.9018936077457</v>
      </c>
      <c r="E1912" s="23" t="n">
        <f aca="false">дома!D2314</f>
        <v>2</v>
      </c>
      <c r="F1912" s="23"/>
      <c r="G1912" s="122" t="n">
        <f aca="false">IF(F1912&gt;0,D1912*F1912,E1912*D1912)</f>
        <v>147.803787215491</v>
      </c>
      <c r="H1912" s="2210" t="n">
        <f aca="false">D1912*E1912*$H$1874</f>
        <v>0</v>
      </c>
      <c r="I1912" s="2784" t="n">
        <f aca="false">IF(G1912&gt;H1912,G1912,H1912)*$H$1874</f>
        <v>0</v>
      </c>
      <c r="J1912" s="2744"/>
      <c r="K1912" s="226" t="n">
        <f aca="false">D1912-J1912</f>
        <v>73.9018936077457</v>
      </c>
      <c r="L1912" s="2736"/>
    </row>
    <row r="1913" customFormat="false" ht="15.5" hidden="false" customHeight="false" outlineLevel="0" collapsed="false">
      <c r="A1913" s="2719"/>
      <c r="B1913" s="2748" t="s">
        <v>4640</v>
      </c>
      <c r="C1913" s="2748"/>
      <c r="D1913" s="2748"/>
      <c r="E1913" s="2748"/>
      <c r="F1913" s="2748"/>
      <c r="G1913" s="2210" t="n">
        <f aca="false">SUM(G1876:G1912)*H1874</f>
        <v>0</v>
      </c>
      <c r="H1913" s="2210" t="n">
        <f aca="false">SUM(H1876:H1912)</f>
        <v>0</v>
      </c>
      <c r="I1913" s="2784" t="n">
        <f aca="false">IF(G1913&gt;H1913,G1913,H1913)*$H$1874</f>
        <v>0</v>
      </c>
      <c r="J1913" s="2744"/>
      <c r="K1913" s="226" t="n">
        <f aca="false">D1913-J1913</f>
        <v>0</v>
      </c>
      <c r="L1913" s="2736"/>
    </row>
    <row r="1914" customFormat="false" ht="15.5" hidden="false" customHeight="false" outlineLevel="0" collapsed="false">
      <c r="A1914" s="2719"/>
      <c r="B1914" s="2833" t="s">
        <v>1409</v>
      </c>
      <c r="C1914" s="2833"/>
      <c r="D1914" s="2833"/>
      <c r="E1914" s="2833"/>
      <c r="F1914" s="2835"/>
      <c r="G1914" s="905"/>
      <c r="H1914" s="2770" t="n">
        <f aca="false">H1874</f>
        <v>0</v>
      </c>
      <c r="I1914" s="2818" t="n">
        <f aca="false">H1914</f>
        <v>0</v>
      </c>
      <c r="J1914" s="2752"/>
      <c r="K1914" s="2753"/>
    </row>
    <row r="1915" customFormat="false" ht="15.5" hidden="false" customHeight="false" outlineLevel="0" collapsed="false">
      <c r="A1915" s="2719"/>
      <c r="B1915" s="639" t="str">
        <f aca="false">дома!G2278</f>
        <v>монтаж стропил</v>
      </c>
      <c r="C1915" s="238" t="str">
        <f aca="false">дома!J2278</f>
        <v>м2</v>
      </c>
      <c r="D1915" s="245" t="n">
        <f aca="false">дома!K2278</f>
        <v>6.15849113397881</v>
      </c>
      <c r="E1915" s="23" t="n">
        <f aca="false">дома!L2278</f>
        <v>450</v>
      </c>
      <c r="F1915" s="23"/>
      <c r="G1915" s="122" t="n">
        <f aca="false">IF(F1915&gt;0,D1915*F1915,E1915*D1915)</f>
        <v>2771.32101029046</v>
      </c>
      <c r="H1915" s="2210" t="n">
        <f aca="false">D1915*E1915*$H$1914</f>
        <v>0</v>
      </c>
      <c r="I1915" s="2718" t="n">
        <f aca="false">IF(G1915&gt;H1915,G1915,H1915)*$H$1874</f>
        <v>0</v>
      </c>
      <c r="J1915" s="2712"/>
      <c r="K1915" s="2719"/>
    </row>
    <row r="1916" customFormat="false" ht="15.5" hidden="false" customHeight="false" outlineLevel="0" collapsed="false">
      <c r="A1916" s="2719"/>
      <c r="B1916" s="639" t="str">
        <f aca="false">дома!G2279</f>
        <v>обрешетка</v>
      </c>
      <c r="C1916" s="238" t="str">
        <f aca="false">дома!J2279</f>
        <v>м2</v>
      </c>
      <c r="D1916" s="245" t="n">
        <f aca="false">дома!K2279</f>
        <v>6.15849113397881</v>
      </c>
      <c r="E1916" s="23" t="n">
        <f aca="false">дома!L2279</f>
        <v>100</v>
      </c>
      <c r="F1916" s="23"/>
      <c r="G1916" s="122" t="n">
        <f aca="false">IF(F1916&gt;0,D1916*F1916,E1916*D1916)</f>
        <v>615.849113397881</v>
      </c>
      <c r="H1916" s="2210" t="n">
        <f aca="false">D1916*E1916*$H$1914</f>
        <v>0</v>
      </c>
      <c r="I1916" s="2718" t="n">
        <f aca="false">IF(G1916&gt;H1916,G1916,H1916)*$H$1874</f>
        <v>0</v>
      </c>
      <c r="J1916" s="2712"/>
      <c r="K1916" s="2719"/>
    </row>
    <row r="1917" customFormat="false" ht="15.5" hidden="false" customHeight="false" outlineLevel="0" collapsed="false">
      <c r="A1917" s="2719"/>
      <c r="B1917" s="639" t="str">
        <f aca="false">дома!G2280</f>
        <v>контробеш</v>
      </c>
      <c r="C1917" s="238" t="str">
        <f aca="false">дома!J2280</f>
        <v>м2</v>
      </c>
      <c r="D1917" s="245" t="n">
        <f aca="false">дома!K2280</f>
        <v>0</v>
      </c>
      <c r="E1917" s="23" t="n">
        <f aca="false">дома!L2280</f>
        <v>100</v>
      </c>
      <c r="F1917" s="23"/>
      <c r="G1917" s="122" t="n">
        <f aca="false">IF(F1917&gt;0,D1917*F1917,E1917*D1917)</f>
        <v>0</v>
      </c>
      <c r="H1917" s="2210" t="n">
        <f aca="false">D1917*E1917*$H$1914</f>
        <v>0</v>
      </c>
      <c r="I1917" s="2718" t="n">
        <f aca="false">IF(G1917&gt;H1917,G1917,H1917)*$H$1874</f>
        <v>0</v>
      </c>
      <c r="J1917" s="2712"/>
      <c r="K1917" s="2719"/>
    </row>
    <row r="1918" customFormat="false" ht="15.5" hidden="false" customHeight="false" outlineLevel="0" collapsed="false">
      <c r="A1918" s="2719"/>
      <c r="B1918" s="639" t="str">
        <f aca="false">дома!G2281</f>
        <v>мембрана</v>
      </c>
      <c r="C1918" s="238" t="str">
        <f aca="false">дома!J2281</f>
        <v>м2</v>
      </c>
      <c r="D1918" s="245" t="n">
        <f aca="false">дома!K2281</f>
        <v>6.15849113397881</v>
      </c>
      <c r="E1918" s="23" t="n">
        <f aca="false">дома!L2281</f>
        <v>100</v>
      </c>
      <c r="F1918" s="23"/>
      <c r="G1918" s="122" t="n">
        <f aca="false">IF(F1918&gt;0,D1918*F1918,E1918*D1918)</f>
        <v>615.849113397881</v>
      </c>
      <c r="H1918" s="2210" t="n">
        <f aca="false">D1918*E1918*$H$1914</f>
        <v>0</v>
      </c>
      <c r="I1918" s="2718" t="n">
        <f aca="false">IF(G1918&gt;H1918,G1918,H1918)*$H$1874</f>
        <v>0</v>
      </c>
      <c r="J1918" s="2712"/>
      <c r="K1918" s="2719"/>
    </row>
    <row r="1919" customFormat="false" ht="15.5" hidden="false" customHeight="false" outlineLevel="0" collapsed="false">
      <c r="A1919" s="2719"/>
      <c r="B1919" s="639" t="str">
        <f aca="false">дома!G2282</f>
        <v>Монтаж металлочерепицы</v>
      </c>
      <c r="C1919" s="238" t="str">
        <f aca="false">дома!J2282</f>
        <v>м2</v>
      </c>
      <c r="D1919" s="245" t="n">
        <f aca="false">дома!K2282</f>
        <v>6.15849113397881</v>
      </c>
      <c r="E1919" s="23" t="n">
        <f aca="false">дома!L2282</f>
        <v>300</v>
      </c>
      <c r="F1919" s="23"/>
      <c r="G1919" s="122" t="n">
        <f aca="false">IF(F1919&gt;0,D1919*F1919,E1919*D1919)</f>
        <v>1847.54734019364</v>
      </c>
      <c r="H1919" s="2210" t="n">
        <f aca="false">D1919*E1919*$H$1914</f>
        <v>0</v>
      </c>
      <c r="I1919" s="2718" t="n">
        <f aca="false">IF(G1919&gt;H1919,G1919,H1919)*$H$1874</f>
        <v>0</v>
      </c>
      <c r="J1919" s="2712"/>
      <c r="K1919" s="2719"/>
    </row>
    <row r="1920" customFormat="false" ht="15.5" hidden="false" customHeight="false" outlineLevel="0" collapsed="false">
      <c r="A1920" s="2719"/>
      <c r="B1920" s="639" t="str">
        <f aca="false">дома!G2283</f>
        <v>карнизная планка</v>
      </c>
      <c r="C1920" s="238" t="str">
        <f aca="false">дома!J2283</f>
        <v>м2</v>
      </c>
      <c r="D1920" s="245" t="n">
        <f aca="false">дома!K2283</f>
        <v>4.18</v>
      </c>
      <c r="E1920" s="23" t="n">
        <f aca="false">дома!L2283</f>
        <v>100</v>
      </c>
      <c r="F1920" s="23"/>
      <c r="G1920" s="122" t="n">
        <f aca="false">IF(F1920&gt;0,D1920*F1920,E1920*D1920)</f>
        <v>418</v>
      </c>
      <c r="H1920" s="2210" t="n">
        <f aca="false">D1920*E1920*$H$1914</f>
        <v>0</v>
      </c>
      <c r="I1920" s="2718" t="n">
        <f aca="false">IF(G1920&gt;H1920,G1920,H1920)*$H$1874</f>
        <v>0</v>
      </c>
      <c r="J1920" s="2712"/>
      <c r="K1920" s="2719"/>
    </row>
    <row r="1921" customFormat="false" ht="15.5" hidden="false" customHeight="false" outlineLevel="0" collapsed="false">
      <c r="A1921" s="2719"/>
      <c r="B1921" s="639" t="str">
        <f aca="false">дома!G2284</f>
        <v>торцевая планка</v>
      </c>
      <c r="C1921" s="238" t="str">
        <f aca="false">дома!J2284</f>
        <v>м2</v>
      </c>
      <c r="D1921" s="245" t="n">
        <f aca="false">дома!K2284</f>
        <v>3.56544223546141</v>
      </c>
      <c r="E1921" s="23" t="n">
        <f aca="false">дома!L2284</f>
        <v>100</v>
      </c>
      <c r="F1921" s="23"/>
      <c r="G1921" s="122" t="n">
        <f aca="false">IF(F1921&gt;0,D1921*F1921,E1921*D1921)</f>
        <v>356.544223546141</v>
      </c>
      <c r="H1921" s="2210" t="n">
        <f aca="false">D1921*E1921*$H$1914</f>
        <v>0</v>
      </c>
      <c r="I1921" s="2718" t="n">
        <f aca="false">IF(G1921&gt;H1921,G1921,H1921)*$H$1874</f>
        <v>0</v>
      </c>
      <c r="J1921" s="2712"/>
      <c r="K1921" s="2719"/>
    </row>
    <row r="1922" customFormat="false" ht="15.5" hidden="false" customHeight="false" outlineLevel="0" collapsed="false">
      <c r="A1922" s="2719"/>
      <c r="B1922" s="639" t="str">
        <f aca="false">дома!G2285</f>
        <v>желоб водосточный</v>
      </c>
      <c r="C1922" s="238" t="str">
        <f aca="false">дома!J2285</f>
        <v>м.п.</v>
      </c>
      <c r="D1922" s="245" t="n">
        <f aca="false">дома!K2285</f>
        <v>4.18</v>
      </c>
      <c r="E1922" s="23" t="n">
        <f aca="false">дома!L2285</f>
        <v>300</v>
      </c>
      <c r="F1922" s="23"/>
      <c r="G1922" s="122" t="n">
        <f aca="false">IF(F1922&gt;0,D1922*F1922,E1922*D1922)</f>
        <v>1254</v>
      </c>
      <c r="H1922" s="2210" t="n">
        <f aca="false">D1922*E1922*$H$1914</f>
        <v>0</v>
      </c>
      <c r="I1922" s="2718" t="n">
        <f aca="false">IF(G1922&gt;H1922,G1922,H1922)*$H$1874</f>
        <v>0</v>
      </c>
      <c r="J1922" s="2712"/>
      <c r="K1922" s="2719"/>
    </row>
    <row r="1923" customFormat="false" ht="15.5" hidden="false" customHeight="false" outlineLevel="0" collapsed="false">
      <c r="A1923" s="2719"/>
      <c r="B1923" s="639" t="str">
        <f aca="false">дома!G2286</f>
        <v>труба водосточная</v>
      </c>
      <c r="C1923" s="238" t="str">
        <f aca="false">дома!J2286</f>
        <v>м.п.</v>
      </c>
      <c r="D1923" s="245" t="n">
        <f aca="false">дома!K2286</f>
        <v>0</v>
      </c>
      <c r="E1923" s="23" t="n">
        <f aca="false">дома!L2286</f>
        <v>300</v>
      </c>
      <c r="F1923" s="23"/>
      <c r="G1923" s="122" t="n">
        <f aca="false">IF(F1923&gt;0,D1923*F1923,E1923*D1923)</f>
        <v>0</v>
      </c>
      <c r="H1923" s="2210" t="n">
        <f aca="false">D1923*E1923*$H$1914</f>
        <v>0</v>
      </c>
      <c r="I1923" s="2718" t="n">
        <f aca="false">IF(G1923&gt;H1923,G1923,H1923)*$H$1874</f>
        <v>0</v>
      </c>
      <c r="J1923" s="2712"/>
      <c r="K1923" s="2719"/>
    </row>
    <row r="1924" customFormat="false" ht="15.5" hidden="false" customHeight="false" outlineLevel="0" collapsed="false">
      <c r="A1924" s="2719"/>
      <c r="B1924" s="639" t="str">
        <f aca="false">дома!G2287</f>
        <v>Монтаж ондулина</v>
      </c>
      <c r="C1924" s="238" t="str">
        <f aca="false">дома!J2287</f>
        <v>м2</v>
      </c>
      <c r="D1924" s="245" t="n">
        <f aca="false">дома!K2287</f>
        <v>0</v>
      </c>
      <c r="E1924" s="23" t="n">
        <f aca="false">дома!L2287</f>
        <v>300</v>
      </c>
      <c r="F1924" s="23"/>
      <c r="G1924" s="122" t="n">
        <f aca="false">IF(F1924&gt;0,D1924*F1924,E1924*D1924)</f>
        <v>0</v>
      </c>
      <c r="H1924" s="2210" t="n">
        <f aca="false">D1924*E1924*$H$1914</f>
        <v>0</v>
      </c>
      <c r="I1924" s="2718" t="n">
        <f aca="false">IF(G1924&gt;H1924,G1924,H1924)*$H$1874</f>
        <v>0</v>
      </c>
      <c r="J1924" s="2712"/>
      <c r="K1924" s="2719"/>
    </row>
    <row r="1925" customFormat="false" ht="15.5" hidden="false" customHeight="false" outlineLevel="0" collapsed="false">
      <c r="A1925" s="2719"/>
      <c r="B1925" s="639" t="str">
        <f aca="false">дома!G2288</f>
        <v>Монтаж фанеры/osb</v>
      </c>
      <c r="C1925" s="238" t="str">
        <f aca="false">дома!J2288</f>
        <v>м2</v>
      </c>
      <c r="D1925" s="245" t="n">
        <f aca="false">дома!K2288</f>
        <v>0</v>
      </c>
      <c r="E1925" s="23" t="n">
        <f aca="false">дома!L2288</f>
        <v>200</v>
      </c>
      <c r="F1925" s="23"/>
      <c r="G1925" s="122" t="n">
        <f aca="false">IF(F1925&gt;0,D1925*F1925,E1925*D1925)</f>
        <v>0</v>
      </c>
      <c r="H1925" s="2210" t="n">
        <f aca="false">D1925*E1925*$H$1914</f>
        <v>0</v>
      </c>
      <c r="I1925" s="2718" t="n">
        <f aca="false">IF(G1925&gt;H1925,G1925,H1925)*$H$1874</f>
        <v>0</v>
      </c>
      <c r="J1925" s="2712"/>
      <c r="K1925" s="2719"/>
    </row>
    <row r="1926" customFormat="false" ht="15.5" hidden="false" customHeight="false" outlineLevel="0" collapsed="false">
      <c r="A1926" s="2719"/>
      <c r="B1926" s="639" t="str">
        <f aca="false">дома!G2289</f>
        <v>монтаж подкладочного ковра</v>
      </c>
      <c r="C1926" s="238" t="str">
        <f aca="false">дома!J2289</f>
        <v>м2</v>
      </c>
      <c r="D1926" s="245" t="n">
        <f aca="false">дома!K2289</f>
        <v>0</v>
      </c>
      <c r="E1926" s="23" t="n">
        <f aca="false">дома!L2289</f>
        <v>150</v>
      </c>
      <c r="F1926" s="23"/>
      <c r="G1926" s="122" t="n">
        <f aca="false">IF(F1926&gt;0,D1926*F1926,E1926*D1926)</f>
        <v>0</v>
      </c>
      <c r="H1926" s="2210" t="n">
        <f aca="false">D1926*E1926*$H$1914</f>
        <v>0</v>
      </c>
      <c r="I1926" s="2718" t="n">
        <f aca="false">IF(G1926&gt;H1926,G1926,H1926)*$H$1874</f>
        <v>0</v>
      </c>
      <c r="J1926" s="2712"/>
      <c r="K1926" s="2719"/>
    </row>
    <row r="1927" customFormat="false" ht="15.5" hidden="false" customHeight="false" outlineLevel="0" collapsed="false">
      <c r="A1927" s="2719"/>
      <c r="B1927" s="639" t="str">
        <f aca="false">дома!G2290</f>
        <v>Монтаж мягкой кровли</v>
      </c>
      <c r="C1927" s="238" t="str">
        <f aca="false">дома!J2290</f>
        <v>м2</v>
      </c>
      <c r="D1927" s="245" t="n">
        <f aca="false">дома!K2290</f>
        <v>0</v>
      </c>
      <c r="E1927" s="23" t="n">
        <f aca="false">дома!L2290</f>
        <v>350</v>
      </c>
      <c r="F1927" s="23"/>
      <c r="G1927" s="122" t="n">
        <f aca="false">IF(F1927&gt;0,D1927*F1927,E1927*D1927)</f>
        <v>0</v>
      </c>
      <c r="H1927" s="2210" t="n">
        <f aca="false">D1927*E1927*$H$1914</f>
        <v>0</v>
      </c>
      <c r="I1927" s="2718" t="n">
        <f aca="false">IF(G1927&gt;H1927,G1927,H1927)*$H$1874</f>
        <v>0</v>
      </c>
      <c r="J1927" s="2712"/>
      <c r="K1927" s="2719"/>
    </row>
    <row r="1928" customFormat="false" ht="15.5" hidden="false" customHeight="false" outlineLevel="0" collapsed="false">
      <c r="A1928" s="2719"/>
      <c r="B1928" s="639" t="str">
        <f aca="false">дома!G2291</f>
        <v>Монтаж планки примыкания</v>
      </c>
      <c r="C1928" s="238" t="str">
        <f aca="false">дома!J2291</f>
        <v>м.п.</v>
      </c>
      <c r="D1928" s="245" t="n">
        <f aca="false">дома!K2291</f>
        <v>0</v>
      </c>
      <c r="E1928" s="23" t="n">
        <f aca="false">дома!L2291</f>
        <v>200</v>
      </c>
      <c r="F1928" s="23"/>
      <c r="G1928" s="122" t="n">
        <f aca="false">IF(F1928&gt;0,D1928*F1928,E1928*D1928)</f>
        <v>0</v>
      </c>
      <c r="H1928" s="2210" t="n">
        <f aca="false">D1928*E1928*$H$1914</f>
        <v>0</v>
      </c>
      <c r="I1928" s="2718" t="n">
        <f aca="false">IF(G1928&gt;H1928,G1928,H1928)*$H$1874</f>
        <v>0</v>
      </c>
      <c r="J1928" s="2712"/>
      <c r="K1928" s="2719"/>
    </row>
    <row r="1929" customFormat="false" ht="15.5" hidden="false" customHeight="false" outlineLevel="0" collapsed="false">
      <c r="A1929" s="2719"/>
      <c r="B1929" s="2748" t="s">
        <v>4641</v>
      </c>
      <c r="C1929" s="2748"/>
      <c r="D1929" s="2748"/>
      <c r="E1929" s="2748"/>
      <c r="F1929" s="2748"/>
      <c r="G1929" s="2210" t="n">
        <f aca="false">SUM(G1915:G1928)*H1914</f>
        <v>0</v>
      </c>
      <c r="H1929" s="2210" t="n">
        <f aca="false">SUM(H1915:H1928)</f>
        <v>0</v>
      </c>
      <c r="I1929" s="2718" t="n">
        <f aca="false">IF(G1929&gt;H1929,G1929,H1929)*$H$1874</f>
        <v>0</v>
      </c>
      <c r="J1929" s="2712"/>
      <c r="K1929" s="2719"/>
    </row>
    <row r="1930" customFormat="false" ht="21" hidden="false" customHeight="false" outlineLevel="0" collapsed="false">
      <c r="A1930" s="2719"/>
      <c r="B1930" s="2762" t="s">
        <v>4666</v>
      </c>
      <c r="C1930" s="2762"/>
      <c r="D1930" s="2762"/>
      <c r="E1930" s="2762"/>
      <c r="F1930" s="2762"/>
      <c r="G1930" s="905"/>
      <c r="H1930" s="2774" t="n">
        <f aca="false">VLOOKUP('Ввод данных'!AC67,связи1!A2:B3,2,0)</f>
        <v>0</v>
      </c>
      <c r="I1930" s="2818" t="n">
        <f aca="false">H1930</f>
        <v>0</v>
      </c>
      <c r="J1930" s="2712"/>
      <c r="K1930" s="2719"/>
    </row>
    <row r="1931" customFormat="false" ht="15.5" hidden="false" customHeight="false" outlineLevel="0" collapsed="false">
      <c r="A1931" s="2712"/>
      <c r="B1931" s="2775" t="s">
        <v>2720</v>
      </c>
      <c r="C1931" s="2775"/>
      <c r="D1931" s="2775"/>
      <c r="E1931" s="2775"/>
      <c r="F1931" s="2775"/>
      <c r="G1931" s="905"/>
      <c r="H1931" s="2776" t="n">
        <f aca="false">H1930</f>
        <v>0</v>
      </c>
      <c r="I1931" s="2818" t="n">
        <f aca="false">H1931</f>
        <v>0</v>
      </c>
      <c r="J1931" s="2732"/>
      <c r="K1931" s="2733"/>
    </row>
    <row r="1932" customFormat="false" ht="15.5" hidden="false" customHeight="false" outlineLevel="0" collapsed="false">
      <c r="A1932" s="2712"/>
      <c r="B1932" s="298" t="str">
        <f aca="false">отделка!A393</f>
        <v>окна</v>
      </c>
      <c r="C1932" s="2765" t="str">
        <f aca="false">отделка!B393</f>
        <v>м2</v>
      </c>
      <c r="D1932" s="298" t="n">
        <f aca="false">отделка!C393</f>
        <v>1.2</v>
      </c>
      <c r="E1932" s="298" t="n">
        <f aca="false">отделка!D393</f>
        <v>3500</v>
      </c>
      <c r="F1932" s="298"/>
      <c r="G1932" s="122" t="n">
        <f aca="false">IF(F1932&gt;0,D1932*F1932,E1932*D1932)</f>
        <v>4200</v>
      </c>
      <c r="H1932" s="85" t="n">
        <f aca="false">D1932*E1932*$H$1931</f>
        <v>0</v>
      </c>
      <c r="I1932" s="2784" t="n">
        <f aca="false">IF(G1932&gt;H1932,G1932,H1932)*$H$1930</f>
        <v>0</v>
      </c>
      <c r="J1932" s="2744"/>
      <c r="K1932" s="226" t="n">
        <f aca="false">D1932-J1932</f>
        <v>1.2</v>
      </c>
      <c r="L1932" s="2736"/>
    </row>
    <row r="1933" customFormat="false" ht="15.5" hidden="false" customHeight="false" outlineLevel="0" collapsed="false">
      <c r="A1933" s="2719"/>
      <c r="B1933" s="298" t="str">
        <f aca="false">отделка!A394</f>
        <v>подоконник</v>
      </c>
      <c r="C1933" s="2765" t="str">
        <f aca="false">отделка!B394</f>
        <v>м.п.</v>
      </c>
      <c r="D1933" s="298" t="n">
        <f aca="false">отделка!C394</f>
        <v>1</v>
      </c>
      <c r="E1933" s="298" t="n">
        <f aca="false">отделка!D394</f>
        <v>200</v>
      </c>
      <c r="F1933" s="298"/>
      <c r="G1933" s="122" t="n">
        <f aca="false">IF(F1933&gt;0,D1933*F1933,E1933*D1933)</f>
        <v>200</v>
      </c>
      <c r="H1933" s="85" t="n">
        <f aca="false">D1933*E1933*$H$1931</f>
        <v>0</v>
      </c>
      <c r="I1933" s="2784" t="n">
        <f aca="false">IF(G1933&gt;H1933,G1933,H1933)*$H$1930</f>
        <v>0</v>
      </c>
      <c r="J1933" s="2744"/>
      <c r="K1933" s="226" t="n">
        <f aca="false">D1933-J1933</f>
        <v>1</v>
      </c>
      <c r="L1933" s="2736"/>
    </row>
    <row r="1934" customFormat="false" ht="15.5" hidden="false" customHeight="false" outlineLevel="0" collapsed="false">
      <c r="A1934" s="2719"/>
      <c r="B1934" s="298" t="str">
        <f aca="false">отделка!A395</f>
        <v>направляющие для откосов внутр</v>
      </c>
      <c r="C1934" s="2765" t="str">
        <f aca="false">отделка!B395</f>
        <v>шт</v>
      </c>
      <c r="D1934" s="298" t="n">
        <f aca="false">отделка!C395</f>
        <v>3.4</v>
      </c>
      <c r="E1934" s="298" t="n">
        <f aca="false">отделка!D395</f>
        <v>50</v>
      </c>
      <c r="F1934" s="298"/>
      <c r="G1934" s="122" t="n">
        <f aca="false">IF(F1934&gt;0,D1934*F1934,E1934*D1934)</f>
        <v>170</v>
      </c>
      <c r="H1934" s="85" t="n">
        <f aca="false">D1934*E1934*$H$1931</f>
        <v>0</v>
      </c>
      <c r="I1934" s="2784" t="n">
        <f aca="false">IF(G1934&gt;H1934,G1934,H1934)*$H$1930</f>
        <v>0</v>
      </c>
      <c r="J1934" s="2744"/>
      <c r="K1934" s="226" t="n">
        <f aca="false">D1934-J1934</f>
        <v>3.4</v>
      </c>
      <c r="L1934" s="2736"/>
    </row>
    <row r="1935" customFormat="false" ht="15.5" hidden="false" customHeight="false" outlineLevel="0" collapsed="false">
      <c r="A1935" s="2719"/>
      <c r="B1935" s="298" t="str">
        <f aca="false">отделка!A396</f>
        <v>откосы внутр</v>
      </c>
      <c r="C1935" s="2765" t="str">
        <f aca="false">отделка!B396</f>
        <v>шт</v>
      </c>
      <c r="D1935" s="298" t="n">
        <f aca="false">отделка!C396</f>
        <v>3.4</v>
      </c>
      <c r="E1935" s="298" t="n">
        <f aca="false">отделка!D396</f>
        <v>100</v>
      </c>
      <c r="F1935" s="298"/>
      <c r="G1935" s="122" t="n">
        <f aca="false">IF(F1935&gt;0,D1935*F1935,E1935*D1935)</f>
        <v>340</v>
      </c>
      <c r="H1935" s="85" t="n">
        <f aca="false">D1935*E1935*$H$1931</f>
        <v>0</v>
      </c>
      <c r="I1935" s="2784" t="n">
        <f aca="false">IF(G1935&gt;H1935,G1935,H1935)*$H$1930</f>
        <v>0</v>
      </c>
      <c r="J1935" s="2744"/>
      <c r="K1935" s="226" t="n">
        <f aca="false">D1935-J1935</f>
        <v>3.4</v>
      </c>
      <c r="L1935" s="2736"/>
    </row>
    <row r="1936" customFormat="false" ht="15.5" hidden="false" customHeight="false" outlineLevel="0" collapsed="false">
      <c r="A1936" s="2719"/>
      <c r="B1936" s="298" t="str">
        <f aca="false">отделка!A397</f>
        <v>уголок для откосов внутр</v>
      </c>
      <c r="C1936" s="2765" t="str">
        <f aca="false">отделка!B397</f>
        <v>шт</v>
      </c>
      <c r="D1936" s="298" t="n">
        <f aca="false">отделка!C397</f>
        <v>3.4</v>
      </c>
      <c r="E1936" s="298" t="n">
        <f aca="false">отделка!D397</f>
        <v>50</v>
      </c>
      <c r="F1936" s="298"/>
      <c r="G1936" s="122" t="n">
        <f aca="false">IF(F1936&gt;0,D1936*F1936,E1936*D1936)</f>
        <v>170</v>
      </c>
      <c r="H1936" s="85" t="n">
        <f aca="false">D1936*E1936*$H$1931</f>
        <v>0</v>
      </c>
      <c r="I1936" s="2784" t="n">
        <f aca="false">IF(G1936&gt;H1936,G1936,H1936)*$H$1930</f>
        <v>0</v>
      </c>
      <c r="J1936" s="2744"/>
      <c r="K1936" s="226" t="n">
        <f aca="false">D1936-J1936</f>
        <v>3.4</v>
      </c>
      <c r="L1936" s="2736"/>
    </row>
    <row r="1937" customFormat="false" ht="15.5" hidden="false" customHeight="false" outlineLevel="0" collapsed="false">
      <c r="A1937" s="2719"/>
      <c r="B1937" s="298" t="str">
        <f aca="false">отделка!A398</f>
        <v>отлив</v>
      </c>
      <c r="C1937" s="2765" t="str">
        <f aca="false">отделка!B398</f>
        <v>шт</v>
      </c>
      <c r="D1937" s="298" t="n">
        <f aca="false">отделка!C398</f>
        <v>0</v>
      </c>
      <c r="E1937" s="298" t="n">
        <f aca="false">отделка!D398</f>
        <v>130</v>
      </c>
      <c r="F1937" s="298"/>
      <c r="G1937" s="122" t="n">
        <f aca="false">IF(F1937&gt;0,D1937*F1937,E1937*D1937)</f>
        <v>0</v>
      </c>
      <c r="H1937" s="85" t="n">
        <f aca="false">D1937*E1937*$H$1931</f>
        <v>0</v>
      </c>
      <c r="I1937" s="2784" t="n">
        <f aca="false">IF(G1937&gt;H1937,G1937,H1937)*$H$1930</f>
        <v>0</v>
      </c>
      <c r="J1937" s="2744"/>
      <c r="K1937" s="226" t="n">
        <f aca="false">D1937-J1937</f>
        <v>0</v>
      </c>
      <c r="L1937" s="2736"/>
    </row>
    <row r="1938" customFormat="false" ht="15.5" hidden="false" customHeight="false" outlineLevel="0" collapsed="false">
      <c r="A1938" s="2719"/>
      <c r="B1938" s="298" t="str">
        <f aca="false">отделка!A399</f>
        <v>откосы нар</v>
      </c>
      <c r="C1938" s="2765" t="str">
        <f aca="false">отделка!B399</f>
        <v>шт</v>
      </c>
      <c r="D1938" s="298" t="n">
        <f aca="false">отделка!C399</f>
        <v>0</v>
      </c>
      <c r="E1938" s="298" t="n">
        <f aca="false">отделка!D399</f>
        <v>150</v>
      </c>
      <c r="F1938" s="298"/>
      <c r="G1938" s="122" t="n">
        <f aca="false">IF(F1938&gt;0,D1938*F1938,E1938*D1938)</f>
        <v>0</v>
      </c>
      <c r="H1938" s="85" t="n">
        <f aca="false">D1938*E1938*$H$1931</f>
        <v>0</v>
      </c>
      <c r="I1938" s="2784" t="n">
        <f aca="false">IF(G1938&gt;H1938,G1938,H1938)*$H$1930</f>
        <v>0</v>
      </c>
      <c r="J1938" s="2744"/>
      <c r="K1938" s="226" t="n">
        <f aca="false">D1938-J1938</f>
        <v>0</v>
      </c>
      <c r="L1938" s="2736"/>
    </row>
    <row r="1939" customFormat="false" ht="15.5" hidden="false" customHeight="false" outlineLevel="0" collapsed="false">
      <c r="A1939" s="2719"/>
      <c r="B1939" s="298" t="str">
        <f aca="false">отделка!A400</f>
        <v>направляющие для откосов нар</v>
      </c>
      <c r="C1939" s="2765" t="str">
        <f aca="false">отделка!B400</f>
        <v>шт</v>
      </c>
      <c r="D1939" s="298" t="n">
        <f aca="false">отделка!C400</f>
        <v>0</v>
      </c>
      <c r="E1939" s="298" t="n">
        <f aca="false">отделка!D400</f>
        <v>80</v>
      </c>
      <c r="F1939" s="298"/>
      <c r="G1939" s="122" t="n">
        <f aca="false">IF(F1939&gt;0,D1939*F1939,E1939*D1939)</f>
        <v>0</v>
      </c>
      <c r="H1939" s="85" t="n">
        <f aca="false">D1939*E1939*$H$1931</f>
        <v>0</v>
      </c>
      <c r="I1939" s="2784" t="n">
        <f aca="false">IF(G1939&gt;H1939,G1939,H1939)*$H$1930</f>
        <v>0</v>
      </c>
      <c r="J1939" s="2744"/>
      <c r="K1939" s="226" t="n">
        <f aca="false">D1939-J1939</f>
        <v>0</v>
      </c>
      <c r="L1939" s="2736"/>
    </row>
    <row r="1940" customFormat="false" ht="15.5" hidden="false" customHeight="false" outlineLevel="0" collapsed="false">
      <c r="A1940" s="2719"/>
      <c r="B1940" s="298" t="str">
        <f aca="false">отделка!A401</f>
        <v>уголок для откосов нар</v>
      </c>
      <c r="C1940" s="2765" t="str">
        <f aca="false">отделка!B401</f>
        <v>шт</v>
      </c>
      <c r="D1940" s="298" t="n">
        <f aca="false">отделка!C401</f>
        <v>0</v>
      </c>
      <c r="E1940" s="298" t="n">
        <f aca="false">отделка!D401</f>
        <v>60</v>
      </c>
      <c r="F1940" s="298"/>
      <c r="G1940" s="122" t="n">
        <f aca="false">IF(F1940&gt;0,D1940*F1940,E1940*D1940)</f>
        <v>0</v>
      </c>
      <c r="H1940" s="85" t="n">
        <f aca="false">D1940*E1940*$H$1931</f>
        <v>0</v>
      </c>
      <c r="I1940" s="2784" t="n">
        <f aca="false">IF(G1940&gt;H1940,G1940,H1940)*$H$1930</f>
        <v>0</v>
      </c>
      <c r="J1940" s="2744"/>
      <c r="K1940" s="226" t="n">
        <f aca="false">D1940-J1940</f>
        <v>0</v>
      </c>
      <c r="L1940" s="2736"/>
    </row>
    <row r="1941" customFormat="false" ht="15.5" hidden="false" customHeight="false" outlineLevel="0" collapsed="false">
      <c r="A1941" s="2719"/>
      <c r="B1941" s="298" t="str">
        <f aca="false">отделка!A402</f>
        <v>ветроизоляция окон</v>
      </c>
      <c r="C1941" s="2765" t="str">
        <f aca="false">отделка!B402</f>
        <v>м.п.</v>
      </c>
      <c r="D1941" s="298" t="n">
        <f aca="false">отделка!C402</f>
        <v>0</v>
      </c>
      <c r="E1941" s="298" t="n">
        <f aca="false">отделка!D402</f>
        <v>40</v>
      </c>
      <c r="F1941" s="298"/>
      <c r="G1941" s="122" t="n">
        <f aca="false">IF(F1941&gt;0,D1941*F1941,E1941*D1941)</f>
        <v>0</v>
      </c>
      <c r="H1941" s="85" t="n">
        <f aca="false">D1941*E1941*$H$1931</f>
        <v>0</v>
      </c>
      <c r="I1941" s="2784" t="n">
        <f aca="false">IF(G1941&gt;H1941,G1941,H1941)*$H$1930</f>
        <v>0</v>
      </c>
      <c r="J1941" s="2744"/>
      <c r="K1941" s="226" t="n">
        <f aca="false">D1941-J1941</f>
        <v>0</v>
      </c>
      <c r="L1941" s="2736"/>
    </row>
    <row r="1942" customFormat="false" ht="15.5" hidden="false" customHeight="false" outlineLevel="0" collapsed="false">
      <c r="A1942" s="2719"/>
      <c r="B1942" s="298" t="str">
        <f aca="false">отделка!A403</f>
        <v>пароизоляция окон</v>
      </c>
      <c r="C1942" s="2765" t="str">
        <f aca="false">отделка!B403</f>
        <v>шт</v>
      </c>
      <c r="D1942" s="298" t="n">
        <f aca="false">отделка!C403</f>
        <v>3.4</v>
      </c>
      <c r="E1942" s="298" t="n">
        <f aca="false">отделка!D403</f>
        <v>40</v>
      </c>
      <c r="F1942" s="298"/>
      <c r="G1942" s="122" t="n">
        <f aca="false">IF(F1942&gt;0,D1942*F1942,E1942*D1942)</f>
        <v>136</v>
      </c>
      <c r="H1942" s="85" t="n">
        <f aca="false">D1942*E1942*$H$1931</f>
        <v>0</v>
      </c>
      <c r="I1942" s="2784" t="n">
        <f aca="false">IF(G1942&gt;H1942,G1942,H1942)*$H$1930</f>
        <v>0</v>
      </c>
      <c r="J1942" s="2744"/>
      <c r="K1942" s="226" t="n">
        <f aca="false">D1942-J1942</f>
        <v>3.4</v>
      </c>
      <c r="L1942" s="2736"/>
    </row>
    <row r="1943" customFormat="false" ht="15.5" hidden="false" customHeight="false" outlineLevel="0" collapsed="false">
      <c r="A1943" s="2719"/>
      <c r="B1943" s="298" t="str">
        <f aca="false">отделка!A404</f>
        <v>крепления</v>
      </c>
      <c r="C1943" s="2765" t="str">
        <f aca="false">отделка!B404</f>
        <v>шт</v>
      </c>
      <c r="D1943" s="298" t="n">
        <f aca="false">отделка!C404</f>
        <v>8</v>
      </c>
      <c r="E1943" s="298" t="n">
        <f aca="false">отделка!D404</f>
        <v>15</v>
      </c>
      <c r="F1943" s="298"/>
      <c r="G1943" s="122" t="n">
        <f aca="false">IF(F1943&gt;0,D1943*F1943,E1943*D1943)</f>
        <v>120</v>
      </c>
      <c r="H1943" s="85" t="n">
        <f aca="false">D1943*E1943*$H$1931</f>
        <v>0</v>
      </c>
      <c r="I1943" s="2784" t="n">
        <f aca="false">IF(G1943&gt;H1943,G1943,H1943)*$H$1930</f>
        <v>0</v>
      </c>
      <c r="J1943" s="2744"/>
      <c r="K1943" s="226" t="n">
        <f aca="false">D1943-J1943</f>
        <v>8</v>
      </c>
      <c r="L1943" s="2736"/>
    </row>
    <row r="1944" customFormat="false" ht="15.5" hidden="false" customHeight="false" outlineLevel="0" collapsed="false">
      <c r="A1944" s="2719"/>
      <c r="B1944" s="298" t="str">
        <f aca="false">отделка!A405</f>
        <v>Пена монтажная, всесезонняя 800мл</v>
      </c>
      <c r="C1944" s="2765" t="str">
        <f aca="false">отделка!B405</f>
        <v>шт</v>
      </c>
      <c r="D1944" s="298" t="n">
        <f aca="false">отделка!C405</f>
        <v>1</v>
      </c>
      <c r="E1944" s="298" t="n">
        <f aca="false">отделка!D405</f>
        <v>300</v>
      </c>
      <c r="F1944" s="298"/>
      <c r="G1944" s="122" t="n">
        <f aca="false">IF(F1944&gt;0,D1944*F1944,E1944*D1944)</f>
        <v>300</v>
      </c>
      <c r="H1944" s="85" t="n">
        <f aca="false">D1944*E1944*$H$1931</f>
        <v>0</v>
      </c>
      <c r="I1944" s="2784" t="n">
        <f aca="false">IF(G1944&gt;H1944,G1944,H1944)*$H$1930</f>
        <v>0</v>
      </c>
      <c r="J1944" s="2744"/>
      <c r="K1944" s="226" t="n">
        <f aca="false">D1944-J1944</f>
        <v>1</v>
      </c>
      <c r="L1944" s="2736"/>
    </row>
    <row r="1945" customFormat="false" ht="15.5" hidden="false" customHeight="false" outlineLevel="0" collapsed="false">
      <c r="A1945" s="2719"/>
      <c r="B1945" s="298" t="str">
        <f aca="false">отделка!A406</f>
        <v>Французские окна</v>
      </c>
      <c r="C1945" s="2765" t="str">
        <f aca="false">отделка!B406</f>
        <v>м2</v>
      </c>
      <c r="D1945" s="298" t="n">
        <f aca="false">отделка!C406</f>
        <v>0</v>
      </c>
      <c r="E1945" s="298" t="n">
        <f aca="false">отделка!D406</f>
        <v>6000</v>
      </c>
      <c r="F1945" s="298"/>
      <c r="G1945" s="122" t="n">
        <f aca="false">IF(F1945&gt;0,D1945*F1945,E1945*D1945)</f>
        <v>0</v>
      </c>
      <c r="H1945" s="85" t="n">
        <f aca="false">D1945*E1945*$H$1931</f>
        <v>0</v>
      </c>
      <c r="I1945" s="2784" t="n">
        <f aca="false">IF(G1945&gt;H1945,G1945,H1945)*$H$1930</f>
        <v>0</v>
      </c>
      <c r="J1945" s="2744"/>
      <c r="K1945" s="226" t="n">
        <f aca="false">D1945-J1945</f>
        <v>0</v>
      </c>
      <c r="L1945" s="2736"/>
    </row>
    <row r="1946" customFormat="false" ht="15.5" hidden="false" customHeight="false" outlineLevel="0" collapsed="false">
      <c r="A1946" s="2719"/>
      <c r="B1946" s="298" t="str">
        <f aca="false">отделка!A407</f>
        <v>анкерный болт для крепления окно фр</v>
      </c>
      <c r="C1946" s="2765" t="str">
        <f aca="false">отделка!B407</f>
        <v>шт</v>
      </c>
      <c r="D1946" s="298" t="n">
        <f aca="false">отделка!C407</f>
        <v>0</v>
      </c>
      <c r="E1946" s="298" t="n">
        <f aca="false">отделка!D407</f>
        <v>20</v>
      </c>
      <c r="F1946" s="298"/>
      <c r="G1946" s="122" t="n">
        <f aca="false">IF(F1946&gt;0,D1946*F1946,E1946*D1946)</f>
        <v>0</v>
      </c>
      <c r="H1946" s="85" t="n">
        <f aca="false">D1946*E1946*$H$1931</f>
        <v>0</v>
      </c>
      <c r="I1946" s="2784" t="n">
        <f aca="false">IF(G1946&gt;H1946,G1946,H1946)*$H$1930</f>
        <v>0</v>
      </c>
      <c r="J1946" s="2744"/>
      <c r="K1946" s="226" t="n">
        <f aca="false">D1946-J1946</f>
        <v>0</v>
      </c>
      <c r="L1946" s="2736"/>
    </row>
    <row r="1947" customFormat="false" ht="15.5" hidden="false" customHeight="false" outlineLevel="0" collapsed="false">
      <c r="A1947" s="2719"/>
      <c r="B1947" s="298" t="str">
        <f aca="false">отделка!A408</f>
        <v>Пена монтажная, всесезонняя 800мл</v>
      </c>
      <c r="C1947" s="2765" t="str">
        <f aca="false">отделка!B408</f>
        <v>шт</v>
      </c>
      <c r="D1947" s="298" t="n">
        <f aca="false">отделка!C408</f>
        <v>0</v>
      </c>
      <c r="E1947" s="298" t="n">
        <f aca="false">отделка!D408</f>
        <v>300</v>
      </c>
      <c r="F1947" s="298"/>
      <c r="G1947" s="122" t="n">
        <f aca="false">IF(F1947&gt;0,D1947*F1947,E1947*D1947)</f>
        <v>0</v>
      </c>
      <c r="H1947" s="85" t="n">
        <f aca="false">D1947*E1947*$H$1931</f>
        <v>0</v>
      </c>
      <c r="I1947" s="2784" t="n">
        <f aca="false">IF(G1947&gt;H1947,G1947,H1947)*$H$1930</f>
        <v>0</v>
      </c>
      <c r="J1947" s="2744"/>
      <c r="K1947" s="226" t="n">
        <f aca="false">D1947-J1947</f>
        <v>0</v>
      </c>
      <c r="L1947" s="2736"/>
    </row>
    <row r="1948" customFormat="false" ht="15.5" hidden="false" customHeight="false" outlineLevel="0" collapsed="false">
      <c r="A1948" s="2719"/>
      <c r="B1948" s="298" t="str">
        <f aca="false">отделка!A409</f>
        <v>пластины для крепления</v>
      </c>
      <c r="C1948" s="2765" t="str">
        <f aca="false">отделка!B409</f>
        <v>шт</v>
      </c>
      <c r="D1948" s="298" t="n">
        <f aca="false">отделка!C409</f>
        <v>0</v>
      </c>
      <c r="E1948" s="298" t="n">
        <f aca="false">отделка!D409</f>
        <v>25</v>
      </c>
      <c r="F1948" s="298"/>
      <c r="G1948" s="122" t="n">
        <f aca="false">IF(F1948&gt;0,D1948*F1948,E1948*D1948)</f>
        <v>0</v>
      </c>
      <c r="H1948" s="85" t="n">
        <f aca="false">D1948*E1948*$H$1931</f>
        <v>0</v>
      </c>
      <c r="I1948" s="2784" t="n">
        <f aca="false">IF(G1948&gt;H1948,G1948,H1948)*$H$1930</f>
        <v>0</v>
      </c>
      <c r="J1948" s="2744"/>
      <c r="K1948" s="226" t="n">
        <f aca="false">D1948-J1948</f>
        <v>0</v>
      </c>
      <c r="L1948" s="2736"/>
    </row>
    <row r="1949" customFormat="false" ht="15.5" hidden="false" customHeight="false" outlineLevel="0" collapsed="false">
      <c r="A1949" s="2719"/>
      <c r="B1949" s="298" t="str">
        <f aca="false">отделка!A410</f>
        <v>Двери входные</v>
      </c>
      <c r="C1949" s="2765" t="str">
        <f aca="false">отделка!B410</f>
        <v>шт</v>
      </c>
      <c r="D1949" s="298" t="n">
        <f aca="false">отделка!C410</f>
        <v>0</v>
      </c>
      <c r="E1949" s="298" t="n">
        <f aca="false">отделка!D410</f>
        <v>12000</v>
      </c>
      <c r="F1949" s="298"/>
      <c r="G1949" s="122" t="n">
        <f aca="false">IF(F1949&gt;0,D1949*F1949,E1949*D1949)</f>
        <v>0</v>
      </c>
      <c r="H1949" s="85" t="n">
        <f aca="false">D1949*E1949*$H$1931</f>
        <v>0</v>
      </c>
      <c r="I1949" s="2784" t="n">
        <f aca="false">IF(G1949&gt;H1949,G1949,H1949)*$H$1930</f>
        <v>0</v>
      </c>
      <c r="J1949" s="2744"/>
      <c r="K1949" s="226" t="n">
        <f aca="false">D1949-J1949</f>
        <v>0</v>
      </c>
      <c r="L1949" s="2736"/>
    </row>
    <row r="1950" customFormat="false" ht="15.5" hidden="false" customHeight="false" outlineLevel="0" collapsed="false">
      <c r="A1950" s="2719"/>
      <c r="B1950" s="298" t="str">
        <f aca="false">отделка!A411</f>
        <v>Анкер болт, 12*200</v>
      </c>
      <c r="C1950" s="2765" t="str">
        <f aca="false">отделка!B411</f>
        <v>шт</v>
      </c>
      <c r="D1950" s="298" t="n">
        <f aca="false">отделка!C411</f>
        <v>0</v>
      </c>
      <c r="E1950" s="298" t="n">
        <f aca="false">отделка!D411</f>
        <v>0</v>
      </c>
      <c r="F1950" s="298"/>
      <c r="G1950" s="122" t="n">
        <f aca="false">IF(F1950&gt;0,D1950*F1950,E1950*D1950)</f>
        <v>0</v>
      </c>
      <c r="H1950" s="85" t="n">
        <f aca="false">D1950*E1950*$H$1931</f>
        <v>0</v>
      </c>
      <c r="I1950" s="2784" t="n">
        <f aca="false">IF(G1950&gt;H1950,G1950,H1950)*$H$1930</f>
        <v>0</v>
      </c>
      <c r="J1950" s="2744"/>
      <c r="K1950" s="226" t="n">
        <f aca="false">D1950-J1950</f>
        <v>0</v>
      </c>
      <c r="L1950" s="2736"/>
    </row>
    <row r="1951" customFormat="false" ht="15.5" hidden="false" customHeight="false" outlineLevel="0" collapsed="false">
      <c r="A1951" s="2719"/>
      <c r="B1951" s="298" t="str">
        <f aca="false">отделка!A412</f>
        <v>Пена монтажная</v>
      </c>
      <c r="C1951" s="2765" t="str">
        <f aca="false">отделка!B412</f>
        <v>шт</v>
      </c>
      <c r="D1951" s="298" t="n">
        <f aca="false">отделка!C412</f>
        <v>0</v>
      </c>
      <c r="E1951" s="298" t="n">
        <f aca="false">отделка!D412</f>
        <v>0</v>
      </c>
      <c r="F1951" s="298"/>
      <c r="G1951" s="122" t="n">
        <f aca="false">IF(F1951&gt;0,D1951*F1951,E1951*D1951)</f>
        <v>0</v>
      </c>
      <c r="H1951" s="85" t="n">
        <f aca="false">D1951*E1951*$H$1931</f>
        <v>0</v>
      </c>
      <c r="I1951" s="2784" t="n">
        <f aca="false">IF(G1951&gt;H1951,G1951,H1951)*$H$1930</f>
        <v>0</v>
      </c>
      <c r="J1951" s="2744"/>
      <c r="K1951" s="226" t="n">
        <f aca="false">D1951-J1951</f>
        <v>0</v>
      </c>
      <c r="L1951" s="2736"/>
    </row>
    <row r="1952" customFormat="false" ht="15.5" hidden="false" customHeight="false" outlineLevel="0" collapsed="false">
      <c r="A1952" s="2719"/>
      <c r="B1952" s="2748" t="s">
        <v>4640</v>
      </c>
      <c r="C1952" s="2748"/>
      <c r="D1952" s="2748"/>
      <c r="E1952" s="2748"/>
      <c r="F1952" s="2748"/>
      <c r="G1952" s="2210" t="n">
        <f aca="false">SUM(G1932:G1951)*H1930</f>
        <v>0</v>
      </c>
      <c r="H1952" s="2210" t="n">
        <f aca="false">SUM(H1932:H1951)</f>
        <v>0</v>
      </c>
      <c r="I1952" s="2784" t="n">
        <f aca="false">IF(G1952&gt;H1952,G1952,H1952)*$H$1930</f>
        <v>0</v>
      </c>
      <c r="J1952" s="2744"/>
      <c r="K1952" s="226" t="n">
        <f aca="false">D1952-J1952</f>
        <v>0</v>
      </c>
      <c r="L1952" s="2736"/>
    </row>
    <row r="1953" customFormat="false" ht="15.5" hidden="false" customHeight="false" outlineLevel="0" collapsed="false">
      <c r="A1953" s="2719"/>
      <c r="B1953" s="2750" t="s">
        <v>1409</v>
      </c>
      <c r="C1953" s="2750"/>
      <c r="D1953" s="2750"/>
      <c r="E1953" s="2750"/>
      <c r="F1953" s="2750"/>
      <c r="G1953" s="905"/>
      <c r="H1953" s="2766" t="n">
        <f aca="false">H1930</f>
        <v>0</v>
      </c>
      <c r="I1953" s="2818" t="n">
        <f aca="false">H1953</f>
        <v>0</v>
      </c>
      <c r="J1953" s="2752"/>
      <c r="K1953" s="2753"/>
    </row>
    <row r="1954" customFormat="false" ht="15.5" hidden="false" customHeight="false" outlineLevel="0" collapsed="false">
      <c r="A1954" s="2712"/>
      <c r="B1954" s="2648" t="s">
        <v>1516</v>
      </c>
      <c r="C1954" s="2765" t="s">
        <v>159</v>
      </c>
      <c r="D1954" s="298" t="n">
        <f aca="false">отделка!J393</f>
        <v>1</v>
      </c>
      <c r="E1954" s="89" t="n">
        <f aca="false">отделка!K393</f>
        <v>1000</v>
      </c>
      <c r="F1954" s="89"/>
      <c r="G1954" s="122" t="n">
        <f aca="false">IF(F1954&gt;0,D1954*F1954,E1954*D1954)</f>
        <v>1000</v>
      </c>
      <c r="H1954" s="2210" t="n">
        <f aca="false">D1954*E1954*$H$1953</f>
        <v>0</v>
      </c>
      <c r="I1954" s="2718" t="n">
        <f aca="false">IF(G1954&gt;H1954,G1954,H1954)*$H$1930</f>
        <v>0</v>
      </c>
      <c r="J1954" s="2712"/>
      <c r="K1954" s="2719"/>
    </row>
    <row r="1955" customFormat="false" ht="15.5" hidden="false" customHeight="false" outlineLevel="0" collapsed="false">
      <c r="A1955" s="2719"/>
      <c r="B1955" s="2648" t="s">
        <v>1517</v>
      </c>
      <c r="C1955" s="2765" t="s">
        <v>159</v>
      </c>
      <c r="D1955" s="298" t="n">
        <f aca="false">отделка!J394</f>
        <v>1</v>
      </c>
      <c r="E1955" s="89" t="n">
        <f aca="false">отделка!K394</f>
        <v>400</v>
      </c>
      <c r="F1955" s="89"/>
      <c r="G1955" s="122" t="n">
        <f aca="false">IF(F1955&gt;0,D1955*F1955,E1955*D1955)</f>
        <v>400</v>
      </c>
      <c r="H1955" s="2210" t="n">
        <f aca="false">D1955*E1955*$H$1953</f>
        <v>0</v>
      </c>
      <c r="I1955" s="2718" t="n">
        <f aca="false">IF(G1955&gt;H1955,G1955,H1955)*$H$1930</f>
        <v>0</v>
      </c>
      <c r="L1955" s="878"/>
      <c r="M1955" s="878"/>
    </row>
    <row r="1956" customFormat="false" ht="15.5" hidden="false" customHeight="false" outlineLevel="0" collapsed="false">
      <c r="A1956" s="2719"/>
      <c r="B1956" s="2648" t="s">
        <v>3929</v>
      </c>
      <c r="C1956" s="2765" t="s">
        <v>159</v>
      </c>
      <c r="D1956" s="298" t="n">
        <f aca="false">отделка!J395</f>
        <v>3.4</v>
      </c>
      <c r="E1956" s="89" t="n">
        <f aca="false">отделка!K395</f>
        <v>150</v>
      </c>
      <c r="F1956" s="89"/>
      <c r="G1956" s="122" t="n">
        <f aca="false">IF(F1956&gt;0,D1956*F1956,E1956*D1956)</f>
        <v>510</v>
      </c>
      <c r="H1956" s="2210" t="n">
        <f aca="false">D1956*E1956*$H$1953</f>
        <v>0</v>
      </c>
      <c r="I1956" s="2718" t="n">
        <f aca="false">IF(G1956&gt;H1956,G1956,H1956)*$H$1930</f>
        <v>0</v>
      </c>
      <c r="L1956" s="878"/>
      <c r="M1956" s="878"/>
    </row>
    <row r="1957" customFormat="false" ht="15.5" hidden="false" customHeight="false" outlineLevel="0" collapsed="false">
      <c r="A1957" s="2719"/>
      <c r="B1957" s="2648" t="s">
        <v>3930</v>
      </c>
      <c r="C1957" s="2765" t="s">
        <v>159</v>
      </c>
      <c r="D1957" s="298" t="n">
        <f aca="false">отделка!J396</f>
        <v>3.4</v>
      </c>
      <c r="E1957" s="89" t="n">
        <f aca="false">отделка!K396</f>
        <v>50</v>
      </c>
      <c r="F1957" s="89"/>
      <c r="G1957" s="122" t="n">
        <f aca="false">IF(F1957&gt;0,D1957*F1957,E1957*D1957)</f>
        <v>170</v>
      </c>
      <c r="H1957" s="2210" t="n">
        <f aca="false">D1957*E1957*$H$1953</f>
        <v>0</v>
      </c>
      <c r="I1957" s="2718" t="n">
        <f aca="false">IF(G1957&gt;H1957,G1957,H1957)*$H$1930</f>
        <v>0</v>
      </c>
      <c r="L1957" s="878"/>
      <c r="M1957" s="878"/>
    </row>
    <row r="1958" customFormat="false" ht="15.5" hidden="false" customHeight="false" outlineLevel="0" collapsed="false">
      <c r="A1958" s="2719"/>
      <c r="B1958" s="2648" t="s">
        <v>3931</v>
      </c>
      <c r="C1958" s="2765" t="s">
        <v>159</v>
      </c>
      <c r="D1958" s="298" t="n">
        <f aca="false">отделка!J397</f>
        <v>3.4</v>
      </c>
      <c r="E1958" s="89" t="n">
        <f aca="false">отделка!K397</f>
        <v>50</v>
      </c>
      <c r="F1958" s="89"/>
      <c r="G1958" s="122" t="n">
        <f aca="false">IF(F1958&gt;0,D1958*F1958,E1958*D1958)</f>
        <v>170</v>
      </c>
      <c r="H1958" s="2210" t="n">
        <f aca="false">D1958*E1958*$H$1953</f>
        <v>0</v>
      </c>
      <c r="I1958" s="2718" t="n">
        <f aca="false">IF(G1958&gt;H1958,G1958,H1958)*$H$1930</f>
        <v>0</v>
      </c>
      <c r="J1958" s="2712"/>
      <c r="K1958" s="2719"/>
    </row>
    <row r="1959" customFormat="false" ht="15.5" hidden="false" customHeight="false" outlineLevel="0" collapsed="false">
      <c r="A1959" s="2719"/>
      <c r="B1959" s="2648" t="s">
        <v>1521</v>
      </c>
      <c r="C1959" s="2765" t="s">
        <v>159</v>
      </c>
      <c r="D1959" s="298" t="n">
        <f aca="false">отделка!J398</f>
        <v>0</v>
      </c>
      <c r="E1959" s="89" t="n">
        <f aca="false">отделка!K398</f>
        <v>150</v>
      </c>
      <c r="F1959" s="89"/>
      <c r="G1959" s="122" t="n">
        <f aca="false">IF(F1959&gt;0,D1959*F1959,E1959*D1959)</f>
        <v>0</v>
      </c>
      <c r="H1959" s="2210" t="n">
        <f aca="false">D1959*E1959*$H$1953</f>
        <v>0</v>
      </c>
      <c r="I1959" s="2718" t="n">
        <f aca="false">IF(G1959&gt;H1959,G1959,H1959)*$H$1930</f>
        <v>0</v>
      </c>
      <c r="J1959" s="2712"/>
      <c r="K1959" s="2719"/>
    </row>
    <row r="1960" customFormat="false" ht="15.5" hidden="false" customHeight="false" outlineLevel="0" collapsed="false">
      <c r="A1960" s="2719"/>
      <c r="B1960" s="2648" t="s">
        <v>3932</v>
      </c>
      <c r="C1960" s="2765" t="s">
        <v>159</v>
      </c>
      <c r="D1960" s="298" t="n">
        <f aca="false">отделка!J399</f>
        <v>0</v>
      </c>
      <c r="E1960" s="89" t="n">
        <f aca="false">отделка!K399</f>
        <v>250</v>
      </c>
      <c r="F1960" s="89"/>
      <c r="G1960" s="122" t="n">
        <f aca="false">IF(F1960&gt;0,D1960*F1960,E1960*D1960)</f>
        <v>0</v>
      </c>
      <c r="H1960" s="2210" t="n">
        <f aca="false">D1960*E1960*$H$1953</f>
        <v>0</v>
      </c>
      <c r="I1960" s="2718" t="n">
        <f aca="false">IF(G1960&gt;H1960,G1960,H1960)*$H$1930</f>
        <v>0</v>
      </c>
      <c r="J1960" s="2712"/>
      <c r="K1960" s="2719"/>
    </row>
    <row r="1961" customFormat="false" ht="15.5" hidden="false" customHeight="false" outlineLevel="0" collapsed="false">
      <c r="A1961" s="2719"/>
      <c r="B1961" s="2648" t="s">
        <v>3933</v>
      </c>
      <c r="C1961" s="2765" t="s">
        <v>159</v>
      </c>
      <c r="D1961" s="298" t="n">
        <f aca="false">отделка!J400</f>
        <v>0</v>
      </c>
      <c r="E1961" s="89" t="n">
        <f aca="false">отделка!K400</f>
        <v>50</v>
      </c>
      <c r="F1961" s="89"/>
      <c r="G1961" s="122" t="n">
        <f aca="false">IF(F1961&gt;0,D1961*F1961,E1961*D1961)</f>
        <v>0</v>
      </c>
      <c r="H1961" s="2210" t="n">
        <f aca="false">D1961*E1961*$H$1953</f>
        <v>0</v>
      </c>
      <c r="I1961" s="2718" t="n">
        <f aca="false">IF(G1961&gt;H1961,G1961,H1961)*$H$1930</f>
        <v>0</v>
      </c>
      <c r="J1961" s="2712"/>
      <c r="K1961" s="2719"/>
    </row>
    <row r="1962" customFormat="false" ht="15.5" hidden="false" customHeight="false" outlineLevel="0" collapsed="false">
      <c r="A1962" s="2719"/>
      <c r="B1962" s="2648" t="s">
        <v>3934</v>
      </c>
      <c r="C1962" s="2765" t="s">
        <v>159</v>
      </c>
      <c r="D1962" s="298" t="n">
        <f aca="false">отделка!J401</f>
        <v>0</v>
      </c>
      <c r="E1962" s="89" t="n">
        <f aca="false">отделка!K401</f>
        <v>50</v>
      </c>
      <c r="F1962" s="89"/>
      <c r="G1962" s="122" t="n">
        <f aca="false">IF(F1962&gt;0,D1962*F1962,E1962*D1962)</f>
        <v>0</v>
      </c>
      <c r="H1962" s="2210" t="n">
        <f aca="false">D1962*E1962*$H$1953</f>
        <v>0</v>
      </c>
      <c r="I1962" s="2718" t="n">
        <f aca="false">IF(G1962&gt;H1962,G1962,H1962)*$H$1930</f>
        <v>0</v>
      </c>
      <c r="J1962" s="2712"/>
      <c r="K1962" s="2719"/>
    </row>
    <row r="1963" customFormat="false" ht="15.5" hidden="false" customHeight="false" outlineLevel="0" collapsed="false">
      <c r="A1963" s="2719"/>
      <c r="B1963" s="2648" t="s">
        <v>1525</v>
      </c>
      <c r="C1963" s="2765" t="s">
        <v>156</v>
      </c>
      <c r="D1963" s="298" t="n">
        <f aca="false">отделка!J402</f>
        <v>0</v>
      </c>
      <c r="E1963" s="89" t="n">
        <f aca="false">отделка!K402</f>
        <v>50</v>
      </c>
      <c r="F1963" s="89"/>
      <c r="G1963" s="122" t="n">
        <f aca="false">IF(F1963&gt;0,D1963*F1963,E1963*D1963)</f>
        <v>0</v>
      </c>
      <c r="H1963" s="2210" t="n">
        <f aca="false">D1963*E1963*$H$1953</f>
        <v>0</v>
      </c>
      <c r="I1963" s="2718" t="n">
        <f aca="false">IF(G1963&gt;H1963,G1963,H1963)*$H$1930</f>
        <v>0</v>
      </c>
      <c r="J1963" s="2712"/>
      <c r="K1963" s="2719"/>
    </row>
    <row r="1964" customFormat="false" ht="15.5" hidden="false" customHeight="false" outlineLevel="0" collapsed="false">
      <c r="A1964" s="2719"/>
      <c r="B1964" s="2648" t="s">
        <v>1526</v>
      </c>
      <c r="C1964" s="2765" t="s">
        <v>156</v>
      </c>
      <c r="D1964" s="298" t="n">
        <f aca="false">отделка!J403</f>
        <v>3.4</v>
      </c>
      <c r="E1964" s="89" t="n">
        <f aca="false">отделка!K403</f>
        <v>50</v>
      </c>
      <c r="F1964" s="89"/>
      <c r="G1964" s="122" t="n">
        <f aca="false">IF(F1964&gt;0,D1964*F1964,E1964*D1964)</f>
        <v>170</v>
      </c>
      <c r="H1964" s="2210" t="n">
        <f aca="false">D1964*E1964*$H$1953</f>
        <v>0</v>
      </c>
      <c r="I1964" s="2718" t="n">
        <f aca="false">IF(G1964&gt;H1964,G1964,H1964)*$H$1930</f>
        <v>0</v>
      </c>
      <c r="J1964" s="2712"/>
      <c r="K1964" s="2719"/>
    </row>
    <row r="1965" customFormat="false" ht="15.5" hidden="false" customHeight="false" outlineLevel="0" collapsed="false">
      <c r="A1965" s="2719"/>
      <c r="B1965" s="2648" t="str">
        <f aca="false">'Смета Внутр'!B1949</f>
        <v>Двери входные</v>
      </c>
      <c r="C1965" s="2765" t="s">
        <v>159</v>
      </c>
      <c r="D1965" s="298" t="n">
        <f aca="false">отделка!J404</f>
        <v>0</v>
      </c>
      <c r="E1965" s="89" t="n">
        <f aca="false">отделка!K404</f>
        <v>2000</v>
      </c>
      <c r="F1965" s="89"/>
      <c r="G1965" s="122" t="n">
        <f aca="false">IF(F1965&gt;0,D1965*F1965,E1965*D1965)</f>
        <v>0</v>
      </c>
      <c r="H1965" s="2210" t="n">
        <f aca="false">D1965*E1965*$H$1953</f>
        <v>0</v>
      </c>
      <c r="I1965" s="2718" t="n">
        <f aca="false">IF(G1965&gt;H1965,G1965,H1965)*$H$1930</f>
        <v>0</v>
      </c>
      <c r="J1965" s="2712"/>
      <c r="K1965" s="2719"/>
    </row>
    <row r="1966" customFormat="false" ht="15.5" hidden="false" customHeight="false" outlineLevel="0" collapsed="false">
      <c r="A1966" s="2719"/>
      <c r="B1966" s="87" t="s">
        <v>3935</v>
      </c>
      <c r="C1966" s="88" t="s">
        <v>159</v>
      </c>
      <c r="D1966" s="298" t="n">
        <f aca="false">отделка!J405</f>
        <v>0</v>
      </c>
      <c r="E1966" s="89" t="n">
        <f aca="false">отделка!K405</f>
        <v>4500</v>
      </c>
      <c r="F1966" s="89"/>
      <c r="G1966" s="122" t="n">
        <f aca="false">IF(F1966&gt;0,D1966*F1966,E1966*D1966)</f>
        <v>0</v>
      </c>
      <c r="H1966" s="2210" t="n">
        <f aca="false">D1966*E1966*$H$1953</f>
        <v>0</v>
      </c>
      <c r="I1966" s="2718" t="n">
        <f aca="false">IF(G1966&gt;H1966,G1966,H1966)*$H$1930</f>
        <v>0</v>
      </c>
      <c r="J1966" s="2712"/>
      <c r="K1966" s="2719"/>
    </row>
    <row r="1967" customFormat="false" ht="15.5" hidden="false" customHeight="false" outlineLevel="0" collapsed="false">
      <c r="A1967" s="2719"/>
      <c r="B1967" s="2748" t="s">
        <v>4641</v>
      </c>
      <c r="C1967" s="2748"/>
      <c r="D1967" s="2748"/>
      <c r="E1967" s="2748"/>
      <c r="F1967" s="2748"/>
      <c r="G1967" s="2210" t="n">
        <f aca="false">SUM(G1954:G1966)*H1953</f>
        <v>0</v>
      </c>
      <c r="H1967" s="2210" t="n">
        <f aca="false">SUM(H1954:H1966)</f>
        <v>0</v>
      </c>
      <c r="I1967" s="2718" t="n">
        <f aca="false">IF(G1967&gt;H1967,G1967,H1967)*$H$1930</f>
        <v>0</v>
      </c>
      <c r="J1967" s="2712"/>
      <c r="K1967" s="2719"/>
    </row>
    <row r="1968" customFormat="false" ht="21" hidden="false" customHeight="false" outlineLevel="0" collapsed="false">
      <c r="A1968" s="2719"/>
      <c r="B1968" s="2762" t="s">
        <v>1235</v>
      </c>
      <c r="C1968" s="2762"/>
      <c r="D1968" s="2762"/>
      <c r="E1968" s="2762"/>
      <c r="F1968" s="2762"/>
      <c r="G1968" s="905"/>
      <c r="H1968" s="2774" t="n">
        <f aca="false">VLOOKUP('Ввод данных'!F1154,связи1!A2:B3,2,0)</f>
        <v>0</v>
      </c>
      <c r="I1968" s="2818" t="n">
        <f aca="false">H1968</f>
        <v>0</v>
      </c>
      <c r="J1968" s="2712"/>
      <c r="K1968" s="2719"/>
    </row>
    <row r="1969" customFormat="false" ht="15.5" hidden="false" customHeight="false" outlineLevel="0" collapsed="false">
      <c r="A1969" s="2712"/>
      <c r="B1969" s="2775" t="s">
        <v>2720</v>
      </c>
      <c r="C1969" s="2775"/>
      <c r="D1969" s="2775"/>
      <c r="E1969" s="2775"/>
      <c r="F1969" s="2775"/>
      <c r="G1969" s="905"/>
      <c r="H1969" s="2776" t="n">
        <f aca="false">H1968</f>
        <v>0</v>
      </c>
      <c r="I1969" s="2818" t="n">
        <f aca="false">H1969</f>
        <v>0</v>
      </c>
      <c r="J1969" s="2732"/>
      <c r="K1969" s="2733"/>
    </row>
    <row r="1970" customFormat="false" ht="15.5" hidden="false" customHeight="false" outlineLevel="0" collapsed="false">
      <c r="A1970" s="2712"/>
      <c r="B1970" s="298" t="s">
        <v>1237</v>
      </c>
      <c r="C1970" s="2765" t="s">
        <v>159</v>
      </c>
      <c r="D1970" s="298" t="n">
        <f aca="false">отделка!C426</f>
        <v>18</v>
      </c>
      <c r="E1970" s="89" t="n">
        <f aca="false">отделка!D426</f>
        <v>400</v>
      </c>
      <c r="F1970" s="89"/>
      <c r="G1970" s="122" t="n">
        <f aca="false">IF(F1970&gt;0,D1970*F1970,E1970*D1970)</f>
        <v>7200</v>
      </c>
      <c r="H1970" s="85" t="n">
        <f aca="false">D1970*E1970*$H$1969</f>
        <v>0</v>
      </c>
      <c r="I1970" s="2784" t="n">
        <f aca="false">IF(G1970&gt;H1970,G1970,H1970)*$H$1968</f>
        <v>0</v>
      </c>
      <c r="J1970" s="2744"/>
      <c r="K1970" s="226" t="n">
        <f aca="false">D1970-J1970</f>
        <v>18</v>
      </c>
      <c r="L1970" s="2736"/>
    </row>
    <row r="1971" customFormat="false" ht="15.5" hidden="false" customHeight="false" outlineLevel="0" collapsed="false">
      <c r="A1971" s="2719"/>
      <c r="B1971" s="298" t="s">
        <v>1238</v>
      </c>
      <c r="C1971" s="2765" t="s">
        <v>159</v>
      </c>
      <c r="D1971" s="298" t="n">
        <f aca="false">отделка!C427</f>
        <v>1</v>
      </c>
      <c r="E1971" s="89" t="n">
        <f aca="false">отделка!D427</f>
        <v>2000</v>
      </c>
      <c r="F1971" s="89"/>
      <c r="G1971" s="122" t="n">
        <f aca="false">IF(F1971&gt;0,D1971*F1971,E1971*D1971)</f>
        <v>2000</v>
      </c>
      <c r="H1971" s="85" t="n">
        <f aca="false">D1971*E1971*$H$1969</f>
        <v>0</v>
      </c>
      <c r="I1971" s="2784" t="n">
        <f aca="false">IF(G1971&gt;H1971,G1971,H1971)*$H$1968</f>
        <v>0</v>
      </c>
      <c r="J1971" s="2744"/>
      <c r="K1971" s="226" t="n">
        <f aca="false">D1971-J1971</f>
        <v>1</v>
      </c>
      <c r="L1971" s="2736"/>
    </row>
    <row r="1972" customFormat="false" ht="15.5" hidden="false" customHeight="false" outlineLevel="0" collapsed="false">
      <c r="A1972" s="2719"/>
      <c r="B1972" s="298" t="s">
        <v>1239</v>
      </c>
      <c r="C1972" s="2765" t="s">
        <v>159</v>
      </c>
      <c r="D1972" s="298" t="n">
        <f aca="false">отделка!C428</f>
        <v>4</v>
      </c>
      <c r="E1972" s="89" t="n">
        <f aca="false">отделка!D428</f>
        <v>1000</v>
      </c>
      <c r="F1972" s="89"/>
      <c r="G1972" s="122" t="n">
        <f aca="false">IF(F1972&gt;0,D1972*F1972,E1972*D1972)</f>
        <v>4000</v>
      </c>
      <c r="H1972" s="85" t="n">
        <f aca="false">D1972*E1972*$H$1969</f>
        <v>0</v>
      </c>
      <c r="I1972" s="2784" t="n">
        <f aca="false">IF(G1972&gt;H1972,G1972,H1972)*$H$1968</f>
        <v>0</v>
      </c>
      <c r="J1972" s="2744"/>
      <c r="K1972" s="226" t="n">
        <f aca="false">D1972-J1972</f>
        <v>4</v>
      </c>
      <c r="L1972" s="2736"/>
    </row>
    <row r="1973" customFormat="false" ht="15.5" hidden="false" customHeight="false" outlineLevel="0" collapsed="false">
      <c r="A1973" s="2719"/>
      <c r="B1973" s="298" t="s">
        <v>1240</v>
      </c>
      <c r="C1973" s="2765" t="s">
        <v>159</v>
      </c>
      <c r="D1973" s="298" t="n">
        <f aca="false">отделка!C429</f>
        <v>1</v>
      </c>
      <c r="E1973" s="89" t="n">
        <f aca="false">отделка!D429</f>
        <v>900</v>
      </c>
      <c r="F1973" s="89"/>
      <c r="G1973" s="122" t="n">
        <f aca="false">IF(F1973&gt;0,D1973*F1973,E1973*D1973)</f>
        <v>900</v>
      </c>
      <c r="H1973" s="85" t="n">
        <f aca="false">D1973*E1973*$H$1969</f>
        <v>0</v>
      </c>
      <c r="I1973" s="2784" t="n">
        <f aca="false">IF(G1973&gt;H1973,G1973,H1973)*$H$1968</f>
        <v>0</v>
      </c>
      <c r="J1973" s="2744"/>
      <c r="K1973" s="226" t="n">
        <f aca="false">D1973-J1973</f>
        <v>1</v>
      </c>
      <c r="L1973" s="2736"/>
    </row>
    <row r="1974" customFormat="false" ht="15.5" hidden="false" customHeight="false" outlineLevel="0" collapsed="false">
      <c r="A1974" s="2719"/>
      <c r="B1974" s="298" t="s">
        <v>1241</v>
      </c>
      <c r="C1974" s="2765" t="s">
        <v>159</v>
      </c>
      <c r="D1974" s="298" t="n">
        <f aca="false">отделка!C430</f>
        <v>2</v>
      </c>
      <c r="E1974" s="89" t="n">
        <f aca="false">отделка!D430</f>
        <v>500</v>
      </c>
      <c r="F1974" s="89"/>
      <c r="G1974" s="122" t="n">
        <f aca="false">IF(F1974&gt;0,D1974*F1974,E1974*D1974)</f>
        <v>1000</v>
      </c>
      <c r="H1974" s="85" t="n">
        <f aca="false">D1974*E1974*$H$1969</f>
        <v>0</v>
      </c>
      <c r="I1974" s="2784" t="n">
        <f aca="false">IF(G1974&gt;H1974,G1974,H1974)*$H$1968</f>
        <v>0</v>
      </c>
      <c r="J1974" s="2744"/>
      <c r="K1974" s="226" t="n">
        <f aca="false">D1974-J1974</f>
        <v>2</v>
      </c>
      <c r="L1974" s="2736"/>
    </row>
    <row r="1975" customFormat="false" ht="15.5" hidden="false" customHeight="false" outlineLevel="0" collapsed="false">
      <c r="A1975" s="2719"/>
      <c r="B1975" s="298" t="s">
        <v>1242</v>
      </c>
      <c r="C1975" s="2765" t="s">
        <v>159</v>
      </c>
      <c r="D1975" s="298" t="n">
        <f aca="false">отделка!C431</f>
        <v>4</v>
      </c>
      <c r="E1975" s="89" t="n">
        <f aca="false">отделка!D431</f>
        <v>1500</v>
      </c>
      <c r="F1975" s="89"/>
      <c r="G1975" s="122" t="n">
        <f aca="false">IF(F1975&gt;0,D1975*F1975,E1975*D1975)</f>
        <v>6000</v>
      </c>
      <c r="H1975" s="85" t="n">
        <f aca="false">D1975*E1975*$H$1969</f>
        <v>0</v>
      </c>
      <c r="I1975" s="2784" t="n">
        <f aca="false">IF(G1975&gt;H1975,G1975,H1975)*$H$1968</f>
        <v>0</v>
      </c>
      <c r="J1975" s="2744"/>
      <c r="K1975" s="226" t="n">
        <f aca="false">D1975-J1975</f>
        <v>4</v>
      </c>
      <c r="L1975" s="2736"/>
    </row>
    <row r="1976" customFormat="false" ht="15.5" hidden="false" customHeight="false" outlineLevel="0" collapsed="false">
      <c r="A1976" s="2719"/>
      <c r="B1976" s="298" t="s">
        <v>1243</v>
      </c>
      <c r="C1976" s="2765" t="s">
        <v>159</v>
      </c>
      <c r="D1976" s="298" t="n">
        <f aca="false">отделка!C432</f>
        <v>108</v>
      </c>
      <c r="E1976" s="89" t="n">
        <f aca="false">отделка!D432</f>
        <v>15</v>
      </c>
      <c r="F1976" s="89"/>
      <c r="G1976" s="122" t="n">
        <f aca="false">IF(F1976&gt;0,D1976*F1976,E1976*D1976)</f>
        <v>1620</v>
      </c>
      <c r="H1976" s="85" t="n">
        <f aca="false">D1976*E1976*$H$1969</f>
        <v>0</v>
      </c>
      <c r="I1976" s="2784" t="n">
        <f aca="false">IF(G1976&gt;H1976,G1976,H1976)*$H$1968</f>
        <v>0</v>
      </c>
      <c r="J1976" s="2744"/>
      <c r="K1976" s="226" t="n">
        <f aca="false">D1976-J1976</f>
        <v>108</v>
      </c>
      <c r="L1976" s="2736"/>
    </row>
    <row r="1977" customFormat="false" ht="15.5" hidden="false" customHeight="false" outlineLevel="0" collapsed="false">
      <c r="A1977" s="2719"/>
      <c r="B1977" s="298" t="s">
        <v>1244</v>
      </c>
      <c r="C1977" s="2765" t="s">
        <v>159</v>
      </c>
      <c r="D1977" s="298" t="n">
        <f aca="false">отделка!C433</f>
        <v>8</v>
      </c>
      <c r="E1977" s="89" t="n">
        <f aca="false">отделка!D433</f>
        <v>20</v>
      </c>
      <c r="F1977" s="89"/>
      <c r="G1977" s="122" t="n">
        <f aca="false">IF(F1977&gt;0,D1977*F1977,E1977*D1977)</f>
        <v>160</v>
      </c>
      <c r="H1977" s="85" t="n">
        <f aca="false">D1977*E1977*$H$1969</f>
        <v>0</v>
      </c>
      <c r="I1977" s="2784" t="n">
        <f aca="false">IF(G1977&gt;H1977,G1977,H1977)*$H$1968</f>
        <v>0</v>
      </c>
      <c r="J1977" s="2744"/>
      <c r="K1977" s="226" t="n">
        <f aca="false">D1977-J1977</f>
        <v>8</v>
      </c>
      <c r="L1977" s="2736"/>
    </row>
    <row r="1978" customFormat="false" ht="15.5" hidden="false" customHeight="false" outlineLevel="0" collapsed="false">
      <c r="A1978" s="2719"/>
      <c r="B1978" s="298" t="s">
        <v>1245</v>
      </c>
      <c r="C1978" s="2765" t="s">
        <v>159</v>
      </c>
      <c r="D1978" s="298" t="n">
        <f aca="false">отделка!C434</f>
        <v>4</v>
      </c>
      <c r="E1978" s="89" t="n">
        <f aca="false">отделка!D434</f>
        <v>200</v>
      </c>
      <c r="F1978" s="89"/>
      <c r="G1978" s="122" t="n">
        <f aca="false">IF(F1978&gt;0,D1978*F1978,E1978*D1978)</f>
        <v>800</v>
      </c>
      <c r="H1978" s="85" t="n">
        <f aca="false">D1978*E1978*$H$1969</f>
        <v>0</v>
      </c>
      <c r="I1978" s="2784" t="n">
        <f aca="false">IF(G1978&gt;H1978,G1978,H1978)*$H$1968</f>
        <v>0</v>
      </c>
      <c r="J1978" s="2744"/>
      <c r="K1978" s="226" t="n">
        <f aca="false">D1978-J1978</f>
        <v>4</v>
      </c>
      <c r="L1978" s="2736"/>
    </row>
    <row r="1979" customFormat="false" ht="15.5" hidden="false" customHeight="false" outlineLevel="0" collapsed="false">
      <c r="A1979" s="2719"/>
      <c r="B1979" s="298" t="s">
        <v>1246</v>
      </c>
      <c r="C1979" s="2765" t="s">
        <v>159</v>
      </c>
      <c r="D1979" s="298" t="n">
        <f aca="false">отделка!C435</f>
        <v>25</v>
      </c>
      <c r="E1979" s="89" t="n">
        <f aca="false">отделка!D435</f>
        <v>100</v>
      </c>
      <c r="F1979" s="89"/>
      <c r="G1979" s="122" t="n">
        <f aca="false">IF(F1979&gt;0,D1979*F1979,E1979*D1979)</f>
        <v>2500</v>
      </c>
      <c r="H1979" s="85" t="n">
        <f aca="false">D1979*E1979*$H$1969</f>
        <v>0</v>
      </c>
      <c r="I1979" s="2784" t="n">
        <f aca="false">IF(G1979&gt;H1979,G1979,H1979)*$H$1968</f>
        <v>0</v>
      </c>
      <c r="J1979" s="2744"/>
      <c r="K1979" s="226" t="n">
        <f aca="false">D1979-J1979</f>
        <v>25</v>
      </c>
      <c r="L1979" s="2736"/>
    </row>
    <row r="1980" customFormat="false" ht="15.5" hidden="false" customHeight="false" outlineLevel="0" collapsed="false">
      <c r="A1980" s="2719"/>
      <c r="B1980" s="2748" t="s">
        <v>4640</v>
      </c>
      <c r="C1980" s="2748"/>
      <c r="D1980" s="2748"/>
      <c r="E1980" s="2748"/>
      <c r="F1980" s="2748"/>
      <c r="G1980" s="2210" t="n">
        <f aca="false">SUM(G1970:G1979)*H1968</f>
        <v>0</v>
      </c>
      <c r="H1980" s="2210" t="n">
        <f aca="false">SUM(H1970:H1979)</f>
        <v>0</v>
      </c>
      <c r="I1980" s="2784" t="n">
        <f aca="false">IF(G1980&gt;H1980,G1980,H1980)*$H$1968</f>
        <v>0</v>
      </c>
      <c r="J1980" s="2744"/>
      <c r="K1980" s="226" t="n">
        <f aca="false">D1980-J1980</f>
        <v>0</v>
      </c>
      <c r="L1980" s="2736"/>
    </row>
    <row r="1981" customFormat="false" ht="15.5" hidden="false" customHeight="false" outlineLevel="0" collapsed="false">
      <c r="A1981" s="2719"/>
      <c r="B1981" s="2750" t="s">
        <v>1409</v>
      </c>
      <c r="C1981" s="2750"/>
      <c r="D1981" s="2750"/>
      <c r="E1981" s="2750"/>
      <c r="F1981" s="2750"/>
      <c r="G1981" s="905"/>
      <c r="H1981" s="2766" t="n">
        <f aca="false">H1968</f>
        <v>0</v>
      </c>
      <c r="I1981" s="2818" t="n">
        <f aca="false">H1981</f>
        <v>0</v>
      </c>
      <c r="J1981" s="2752"/>
      <c r="K1981" s="2753"/>
    </row>
    <row r="1982" customFormat="false" ht="15.5" hidden="false" customHeight="false" outlineLevel="0" collapsed="false">
      <c r="A1982" s="2712"/>
      <c r="B1982" s="2648" t="s">
        <v>4667</v>
      </c>
      <c r="C1982" s="2765" t="s">
        <v>159</v>
      </c>
      <c r="D1982" s="298" t="n">
        <f aca="false">отделка!I426</f>
        <v>1</v>
      </c>
      <c r="E1982" s="89" t="n">
        <f aca="false">отделка!J426</f>
        <v>20000</v>
      </c>
      <c r="F1982" s="89"/>
      <c r="G1982" s="122" t="n">
        <f aca="false">IF(F1982&gt;0,D1982*F1982,E1982*D1982)</f>
        <v>20000</v>
      </c>
      <c r="H1982" s="85" t="n">
        <f aca="false">D1982*E1982*$H$1981</f>
        <v>0</v>
      </c>
      <c r="I1982" s="2718" t="n">
        <f aca="false">IF(G1982&gt;H1982,G1982,H1982)*$H$1968</f>
        <v>0</v>
      </c>
      <c r="J1982" s="2712"/>
      <c r="K1982" s="2719"/>
    </row>
    <row r="1983" customFormat="false" ht="15.5" hidden="false" customHeight="false" outlineLevel="0" collapsed="false">
      <c r="A1983" s="2719"/>
      <c r="B1983" s="2748" t="s">
        <v>4641</v>
      </c>
      <c r="C1983" s="2748"/>
      <c r="D1983" s="2748"/>
      <c r="E1983" s="2748"/>
      <c r="F1983" s="2748"/>
      <c r="G1983" s="2210" t="n">
        <f aca="false">SUM(G1982:G1982)*H1981</f>
        <v>0</v>
      </c>
      <c r="H1983" s="2210" t="n">
        <f aca="false">SUM(H1982:H1982)</f>
        <v>0</v>
      </c>
      <c r="I1983" s="2718" t="n">
        <f aca="false">IF(G1983&gt;H1983,G1983,H1983)*$H$1968</f>
        <v>0</v>
      </c>
      <c r="J1983" s="2712"/>
      <c r="K1983" s="2719"/>
    </row>
    <row r="1984" customFormat="false" ht="21" hidden="false" customHeight="false" outlineLevel="0" collapsed="false">
      <c r="A1984" s="2719"/>
      <c r="B1984" s="2768" t="s">
        <v>3982</v>
      </c>
      <c r="C1984" s="2768"/>
      <c r="D1984" s="2768"/>
      <c r="E1984" s="2768"/>
      <c r="F1984" s="2768"/>
      <c r="G1984" s="2768"/>
      <c r="H1984" s="2770" t="n">
        <f aca="false">VLOOKUP('Ввод данных'!F1126,связи1!A2:B3,2,0)</f>
        <v>0</v>
      </c>
      <c r="I1984" s="2718"/>
      <c r="J1984" s="2732"/>
      <c r="K1984" s="2733"/>
    </row>
    <row r="1985" customFormat="false" ht="15.5" hidden="false" customHeight="false" outlineLevel="0" collapsed="false">
      <c r="A1985" s="2719"/>
      <c r="B1985" s="2836" t="s">
        <v>2720</v>
      </c>
      <c r="C1985" s="2836"/>
      <c r="D1985" s="2836"/>
      <c r="E1985" s="2836"/>
      <c r="F1985" s="2836"/>
      <c r="G1985" s="2836"/>
      <c r="H1985" s="2837" t="n">
        <f aca="false">H1984</f>
        <v>0</v>
      </c>
      <c r="I1985" s="2784"/>
      <c r="J1985" s="19"/>
      <c r="K1985" s="2404"/>
      <c r="L1985" s="2736"/>
    </row>
    <row r="1986" customFormat="false" ht="15.5" hidden="false" customHeight="false" outlineLevel="0" collapsed="false">
      <c r="A1986" s="2719"/>
      <c r="B1986" s="639" t="str">
        <f aca="false">отделка!A748</f>
        <v>Арматура А1 8 мм</v>
      </c>
      <c r="C1986" s="657" t="s">
        <v>156</v>
      </c>
      <c r="D1986" s="657" t="n">
        <f aca="false">отделка!D748</f>
        <v>52</v>
      </c>
      <c r="E1986" s="23" t="n">
        <f aca="false">отделка!C748</f>
        <v>17.538</v>
      </c>
      <c r="F1986" s="2748"/>
      <c r="G1986" s="122" t="n">
        <f aca="false">IF(F1986&gt;0,D1986*F1986,E1986*D1986)</f>
        <v>911.976</v>
      </c>
      <c r="H1986" s="85" t="n">
        <f aca="false">D1986*E1986*$H$1984</f>
        <v>0</v>
      </c>
      <c r="I1986" s="2784" t="n">
        <f aca="false">IF(G1986&gt;H1986,G1986,H1986)*$H$1984</f>
        <v>0</v>
      </c>
      <c r="J1986" s="2744"/>
      <c r="K1986" s="226" t="n">
        <f aca="false">D1986-J1986</f>
        <v>52</v>
      </c>
      <c r="L1986" s="2736"/>
    </row>
    <row r="1987" customFormat="false" ht="15.5" hidden="false" customHeight="false" outlineLevel="0" collapsed="false">
      <c r="A1987" s="2719"/>
      <c r="B1987" s="639" t="str">
        <f aca="false">отделка!A750</f>
        <v>Доска 50/150</v>
      </c>
      <c r="C1987" s="657" t="s">
        <v>156</v>
      </c>
      <c r="D1987" s="23" t="n">
        <f aca="false">отделка!D750</f>
        <v>10</v>
      </c>
      <c r="E1987" s="23" t="n">
        <f aca="false">отделка!C750</f>
        <v>67.5</v>
      </c>
      <c r="F1987" s="2748"/>
      <c r="G1987" s="122" t="n">
        <f aca="false">IF(F1987&gt;0,D1987*F1987,E1987*D1987)</f>
        <v>675</v>
      </c>
      <c r="H1987" s="85" t="n">
        <f aca="false">D1987*E1987*$H$1984</f>
        <v>0</v>
      </c>
      <c r="I1987" s="2784" t="n">
        <f aca="false">IF(G1987&gt;H1987,G1987,H1987)*$H$1984</f>
        <v>0</v>
      </c>
      <c r="J1987" s="2744"/>
      <c r="K1987" s="226" t="n">
        <f aca="false">D1987-J1987</f>
        <v>10</v>
      </c>
      <c r="L1987" s="2736"/>
    </row>
    <row r="1988" customFormat="false" ht="15.5" hidden="false" customHeight="false" outlineLevel="0" collapsed="false">
      <c r="A1988" s="2719"/>
      <c r="B1988" s="639" t="str">
        <f aca="false">отделка!A751</f>
        <v>OSB-3 КНР (для наружных работ), 12мм</v>
      </c>
      <c r="C1988" s="657" t="s">
        <v>133</v>
      </c>
      <c r="D1988" s="23" t="n">
        <f aca="false">отделка!D751</f>
        <v>7</v>
      </c>
      <c r="E1988" s="23" t="n">
        <f aca="false">отделка!C751</f>
        <v>245</v>
      </c>
      <c r="F1988" s="2748"/>
      <c r="G1988" s="122" t="n">
        <f aca="false">IF(F1988&gt;0,D1988*F1988,E1988*D1988)</f>
        <v>1715</v>
      </c>
      <c r="H1988" s="85" t="n">
        <f aca="false">D1988*E1988*$H$1984</f>
        <v>0</v>
      </c>
      <c r="I1988" s="2784" t="n">
        <f aca="false">IF(G1988&gt;H1988,G1988,H1988)*$H$1984</f>
        <v>0</v>
      </c>
      <c r="J1988" s="2744"/>
      <c r="K1988" s="226" t="n">
        <f aca="false">D1988-J1988</f>
        <v>7</v>
      </c>
      <c r="L1988" s="2736"/>
    </row>
    <row r="1989" customFormat="false" ht="15.5" hidden="false" customHeight="false" outlineLevel="0" collapsed="false">
      <c r="A1989" s="2719"/>
      <c r="B1989" s="639" t="str">
        <f aca="false">отделка!A752</f>
        <v>Бетон, м350</v>
      </c>
      <c r="C1989" s="657" t="s">
        <v>135</v>
      </c>
      <c r="D1989" s="23" t="n">
        <f aca="false">отделка!D752</f>
        <v>0.424</v>
      </c>
      <c r="E1989" s="23" t="n">
        <f aca="false">отделка!C752</f>
        <v>3500</v>
      </c>
      <c r="F1989" s="2748"/>
      <c r="G1989" s="122" t="n">
        <f aca="false">IF(F1989&gt;0,D1989*F1989,E1989*D1989)</f>
        <v>1484</v>
      </c>
      <c r="H1989" s="85" t="n">
        <f aca="false">D1989*E1989*$H$1984</f>
        <v>0</v>
      </c>
      <c r="I1989" s="2784" t="n">
        <f aca="false">IF(G1989&gt;H1989,G1989,H1989)*$H$1984</f>
        <v>0</v>
      </c>
      <c r="J1989" s="2744"/>
      <c r="K1989" s="226" t="n">
        <f aca="false">D1989-J1989</f>
        <v>0.424</v>
      </c>
      <c r="L1989" s="2736"/>
    </row>
    <row r="1990" customFormat="false" ht="15.5" hidden="false" customHeight="false" outlineLevel="0" collapsed="false">
      <c r="A1990" s="2719"/>
      <c r="B1990" s="639" t="str">
        <f aca="false">отделка!A753</f>
        <v>Саморезы 3,5 x 55</v>
      </c>
      <c r="C1990" s="657" t="s">
        <v>188</v>
      </c>
      <c r="D1990" s="23" t="n">
        <f aca="false">отделка!D753</f>
        <v>1</v>
      </c>
      <c r="E1990" s="23" t="n">
        <f aca="false">отделка!C753</f>
        <v>105.62</v>
      </c>
      <c r="F1990" s="2748"/>
      <c r="G1990" s="122" t="n">
        <f aca="false">IF(F1990&gt;0,D1990*F1990,E1990*D1990)</f>
        <v>105.62</v>
      </c>
      <c r="H1990" s="85" t="n">
        <f aca="false">D1990*E1990*$H$1984</f>
        <v>0</v>
      </c>
      <c r="I1990" s="2784" t="n">
        <f aca="false">IF(G1990&gt;H1990,G1990,H1990)*$H$1984</f>
        <v>0</v>
      </c>
      <c r="J1990" s="2744"/>
      <c r="K1990" s="226" t="n">
        <f aca="false">D1990-J1990</f>
        <v>1</v>
      </c>
      <c r="L1990" s="2736"/>
    </row>
    <row r="1991" customFormat="false" ht="15.5" hidden="false" customHeight="false" outlineLevel="0" collapsed="false">
      <c r="A1991" s="2719"/>
      <c r="B1991" s="639" t="str">
        <f aca="false">отделка!A754</f>
        <v>Нет техники</v>
      </c>
      <c r="C1991" s="657" t="s">
        <v>154</v>
      </c>
      <c r="D1991" s="23" t="n">
        <f aca="false">отделка!D754</f>
        <v>0</v>
      </c>
      <c r="E1991" s="23" t="n">
        <f aca="false">отделка!C754</f>
        <v>0</v>
      </c>
      <c r="F1991" s="2748"/>
      <c r="G1991" s="122" t="n">
        <f aca="false">IF(F1991&gt;0,D1991*F1991,E1991*D1991)</f>
        <v>0</v>
      </c>
      <c r="H1991" s="85" t="n">
        <f aca="false">D1991*E1991*$H$1984</f>
        <v>0</v>
      </c>
      <c r="I1991" s="2784" t="n">
        <f aca="false">IF(G1991&gt;H1991,G1991,H1991)*$H$1984</f>
        <v>0</v>
      </c>
      <c r="J1991" s="2744"/>
      <c r="K1991" s="226" t="n">
        <f aca="false">D1991-J1991</f>
        <v>0</v>
      </c>
      <c r="L1991" s="2736"/>
    </row>
    <row r="1992" customFormat="false" ht="15.5" hidden="false" customHeight="false" outlineLevel="0" collapsed="false">
      <c r="A1992" s="2719"/>
      <c r="B1992" s="639" t="str">
        <f aca="false">отделка!A755</f>
        <v>Нет техники</v>
      </c>
      <c r="C1992" s="657" t="s">
        <v>799</v>
      </c>
      <c r="D1992" s="23" t="n">
        <f aca="false">отделка!D755</f>
        <v>3</v>
      </c>
      <c r="E1992" s="23" t="n">
        <f aca="false">отделка!C755</f>
        <v>0</v>
      </c>
      <c r="F1992" s="2748"/>
      <c r="G1992" s="122" t="n">
        <f aca="false">IF(F1992&gt;0,D1992*F1992,E1992*D1992)</f>
        <v>0</v>
      </c>
      <c r="H1992" s="85" t="n">
        <f aca="false">D1992*E1992*$H$1984</f>
        <v>0</v>
      </c>
      <c r="I1992" s="2784" t="n">
        <f aca="false">IF(G1992&gt;H1992,G1992,H1992)*$H$1984</f>
        <v>0</v>
      </c>
      <c r="J1992" s="2744"/>
      <c r="K1992" s="226" t="n">
        <f aca="false">D1992-J1992</f>
        <v>3</v>
      </c>
      <c r="L1992" s="2736"/>
    </row>
    <row r="1993" customFormat="false" ht="15.5" hidden="false" customHeight="false" outlineLevel="0" collapsed="false">
      <c r="A1993" s="2719"/>
      <c r="B1993" s="639" t="str">
        <f aca="false">отделка!A756</f>
        <v>Доп. Расходы</v>
      </c>
      <c r="C1993" s="657" t="s">
        <v>2432</v>
      </c>
      <c r="D1993" s="657" t="n">
        <v>1</v>
      </c>
      <c r="E1993" s="23" t="n">
        <f aca="false">отделка!C756</f>
        <v>2000</v>
      </c>
      <c r="F1993" s="2748"/>
      <c r="G1993" s="122" t="n">
        <f aca="false">IF(F1993&gt;0,D1993*F1993,E1993*D1993)</f>
        <v>2000</v>
      </c>
      <c r="H1993" s="85" t="n">
        <f aca="false">D1993*E1993*$H$1984</f>
        <v>0</v>
      </c>
      <c r="I1993" s="2784" t="n">
        <f aca="false">IF(G1993&gt;H1993,G1993,H1993)*$H$1984</f>
        <v>0</v>
      </c>
      <c r="J1993" s="2744"/>
      <c r="K1993" s="226" t="n">
        <f aca="false">D1993-J1993</f>
        <v>1</v>
      </c>
      <c r="L1993" s="2736"/>
    </row>
    <row r="1994" customFormat="false" ht="15.5" hidden="false" customHeight="false" outlineLevel="0" collapsed="false">
      <c r="A1994" s="2719"/>
      <c r="B1994" s="2748" t="s">
        <v>4640</v>
      </c>
      <c r="C1994" s="2748"/>
      <c r="D1994" s="2748"/>
      <c r="E1994" s="2748"/>
      <c r="F1994" s="2793"/>
      <c r="G1994" s="2210" t="n">
        <f aca="false">SUM(G1986:G1993)</f>
        <v>6891.596</v>
      </c>
      <c r="H1994" s="2210" t="n">
        <f aca="false">SUM(H1986:H1993)</f>
        <v>0</v>
      </c>
      <c r="I1994" s="2718" t="n">
        <f aca="false">IF(G1994&gt;H1994,G1994,H1994)*$H$1984</f>
        <v>0</v>
      </c>
      <c r="J1994" s="2752"/>
      <c r="K1994" s="2753"/>
    </row>
    <row r="1995" customFormat="false" ht="15.5" hidden="false" customHeight="false" outlineLevel="0" collapsed="false">
      <c r="A1995" s="2719"/>
      <c r="B1995" s="2794" t="s">
        <v>1409</v>
      </c>
      <c r="C1995" s="2794"/>
      <c r="D1995" s="2794"/>
      <c r="E1995" s="2794"/>
      <c r="F1995" s="2794"/>
      <c r="G1995" s="2794"/>
      <c r="H1995" s="2770" t="n">
        <f aca="false">H1984</f>
        <v>0</v>
      </c>
      <c r="I1995" s="2718"/>
      <c r="J1995" s="2732"/>
      <c r="K1995" s="2733"/>
    </row>
    <row r="1996" customFormat="false" ht="15.5" hidden="false" customHeight="false" outlineLevel="0" collapsed="false">
      <c r="A1996" s="2719"/>
      <c r="B1996" s="639" t="str">
        <f aca="false">отделка!A757</f>
        <v>Монтаж лестницы</v>
      </c>
      <c r="C1996" s="657" t="s">
        <v>2432</v>
      </c>
      <c r="D1996" s="657" t="n">
        <v>1</v>
      </c>
      <c r="E1996" s="23" t="n">
        <f aca="false">отделка!C757</f>
        <v>50000</v>
      </c>
      <c r="F1996" s="2748"/>
      <c r="G1996" s="122" t="n">
        <f aca="false">IF(F1996&gt;0,D1996*F1996,E1996*D1996)</f>
        <v>50000</v>
      </c>
      <c r="H1996" s="85" t="n">
        <f aca="false">D1996*E1996*$H$1995</f>
        <v>0</v>
      </c>
      <c r="I1996" s="2784" t="n">
        <f aca="false">IF(G1996&gt;H1996,G1996,H1996)*$H$1995</f>
        <v>0</v>
      </c>
      <c r="J1996" s="19"/>
      <c r="K1996" s="2838"/>
      <c r="L1996" s="2736"/>
    </row>
    <row r="1997" customFormat="false" ht="15.5" hidden="false" customHeight="false" outlineLevel="0" collapsed="false">
      <c r="A1997" s="2719"/>
      <c r="B1997" s="2748" t="s">
        <v>4641</v>
      </c>
      <c r="C1997" s="2748"/>
      <c r="D1997" s="2748"/>
      <c r="E1997" s="2748"/>
      <c r="F1997" s="2793"/>
      <c r="G1997" s="2210" t="n">
        <f aca="false">SUM(G1996)</f>
        <v>50000</v>
      </c>
      <c r="H1997" s="2210" t="n">
        <f aca="false">SUM(H1996)</f>
        <v>0</v>
      </c>
      <c r="I1997" s="2784" t="n">
        <f aca="false">IF(G1997&gt;H1997,G1997,H1997)*$H$1995</f>
        <v>0</v>
      </c>
      <c r="J1997" s="2752"/>
      <c r="K1997" s="2753"/>
    </row>
    <row r="1998" customFormat="false" ht="21" hidden="false" customHeight="false" outlineLevel="0" collapsed="false">
      <c r="A1998" s="2719"/>
      <c r="B1998" s="2769" t="s">
        <v>4668</v>
      </c>
      <c r="C1998" s="2769"/>
      <c r="D1998" s="2769"/>
      <c r="E1998" s="2769"/>
      <c r="F1998" s="2769"/>
      <c r="G1998" s="2769"/>
      <c r="H1998" s="2770" t="n">
        <f aca="false">VLOOKUP('Ввод данных'!F1146,связи1!A2:B3,2,0)</f>
        <v>0</v>
      </c>
      <c r="I1998" s="2718"/>
      <c r="J1998" s="2752"/>
      <c r="K1998" s="2753"/>
    </row>
    <row r="1999" customFormat="false" ht="15.5" hidden="false" customHeight="false" outlineLevel="0" collapsed="false">
      <c r="A1999" s="2719"/>
      <c r="B1999" s="2836" t="s">
        <v>2720</v>
      </c>
      <c r="C1999" s="2836"/>
      <c r="D1999" s="2836"/>
      <c r="E1999" s="2836"/>
      <c r="F1999" s="2836"/>
      <c r="G1999" s="2836"/>
      <c r="H1999" s="2839" t="n">
        <f aca="false">H1998</f>
        <v>0</v>
      </c>
      <c r="I1999" s="2718"/>
      <c r="J1999" s="2840"/>
      <c r="K1999" s="2841"/>
    </row>
    <row r="2000" customFormat="false" ht="15.5" hidden="false" customHeight="false" outlineLevel="0" collapsed="false">
      <c r="A2000" s="2719"/>
      <c r="B2000" s="2842" t="str">
        <f aca="false">'Ввод данных'!A1147</f>
        <v>Бетонная лестница 2</v>
      </c>
      <c r="C2000" s="657" t="s">
        <v>799</v>
      </c>
      <c r="D2000" s="657" t="n">
        <f aca="false">'Ввод данных'!B1147</f>
        <v>1</v>
      </c>
      <c r="E2000" s="657" t="n">
        <f aca="false">VLOOKUP(B2000,'Прайс лист'!B115:G124,6,0)*D2000</f>
        <v>30000</v>
      </c>
      <c r="F2000" s="2748"/>
      <c r="G2000" s="122" t="n">
        <f aca="false">IF(F2000&gt;0,D2000*F2000,E2000*D2000)</f>
        <v>30000</v>
      </c>
      <c r="H2000" s="85" t="n">
        <f aca="false">D2000*E2000*$H$1998</f>
        <v>0</v>
      </c>
      <c r="I2000" s="2718" t="n">
        <f aca="false">IF(G2000&gt;H2000,G2000,H2000)*$H$1998</f>
        <v>0</v>
      </c>
      <c r="J2000" s="2744"/>
      <c r="K2000" s="226" t="n">
        <f aca="false">D2000-J2000</f>
        <v>1</v>
      </c>
      <c r="L2000" s="2736"/>
    </row>
    <row r="2001" customFormat="false" ht="15.5" hidden="false" customHeight="false" outlineLevel="0" collapsed="false">
      <c r="A2001" s="2719"/>
      <c r="B2001" s="2842" t="str">
        <f aca="false">'Ввод данных'!A1148</f>
        <v>Нет</v>
      </c>
      <c r="C2001" s="657" t="s">
        <v>799</v>
      </c>
      <c r="D2001" s="657" t="n">
        <f aca="false">'Ввод данных'!B1148</f>
        <v>2</v>
      </c>
      <c r="E2001" s="657" t="n">
        <f aca="false">VLOOKUP(B2001,'Прайс лист'!B115:G124,5,0)*D2001</f>
        <v>0</v>
      </c>
      <c r="F2001" s="2748"/>
      <c r="G2001" s="122" t="n">
        <f aca="false">IF(F2001&gt;0,D2001*F2001,E2001*D2001)</f>
        <v>0</v>
      </c>
      <c r="H2001" s="85" t="n">
        <f aca="false">D2001*E2001*$H$1998</f>
        <v>0</v>
      </c>
      <c r="I2001" s="2718" t="n">
        <f aca="false">IF(G2001&gt;H2001,G2001,H2001)*$H$1998</f>
        <v>0</v>
      </c>
      <c r="J2001" s="2744"/>
      <c r="K2001" s="226" t="n">
        <f aca="false">D2001-J2001</f>
        <v>2</v>
      </c>
      <c r="L2001" s="2736"/>
    </row>
    <row r="2002" customFormat="false" ht="15.5" hidden="false" customHeight="false" outlineLevel="0" collapsed="false">
      <c r="A2002" s="2719"/>
      <c r="B2002" s="2842" t="str">
        <f aca="false">'Ввод данных'!A1149</f>
        <v>Доп. Расходы</v>
      </c>
      <c r="C2002" s="657" t="s">
        <v>2432</v>
      </c>
      <c r="D2002" s="878" t="n">
        <v>1</v>
      </c>
      <c r="E2002" s="657" t="n">
        <f aca="false">'Ввод данных'!C1149</f>
        <v>2000</v>
      </c>
      <c r="F2002" s="2748"/>
      <c r="G2002" s="122" t="n">
        <f aca="false">IF(F2002&gt;0,D2002*F2002,E2002*D2002)</f>
        <v>2000</v>
      </c>
      <c r="H2002" s="85" t="n">
        <f aca="false">D2002*E2002*$H$1998</f>
        <v>0</v>
      </c>
      <c r="I2002" s="2718" t="n">
        <f aca="false">IF(G2002&gt;H2002,G2002,H2002)*$H$1998</f>
        <v>0</v>
      </c>
      <c r="J2002" s="2744"/>
      <c r="K2002" s="226" t="n">
        <f aca="false">E2002-J2002</f>
        <v>2000</v>
      </c>
      <c r="L2002" s="2736"/>
    </row>
    <row r="2003" customFormat="false" ht="15.5" hidden="false" customHeight="false" outlineLevel="0" collapsed="false">
      <c r="A2003" s="2719"/>
      <c r="B2003" s="2842" t="str">
        <f aca="false">'Ввод данных'!A1150</f>
        <v>Нет техники</v>
      </c>
      <c r="C2003" s="657" t="s">
        <v>154</v>
      </c>
      <c r="D2003" s="657" t="n">
        <f aca="false">'Ввод данных'!C1150</f>
        <v>0</v>
      </c>
      <c r="E2003" s="657" t="n">
        <f aca="false">VLOOKUP(B2003,'Прайс лист'!B180:G194,6,0)</f>
        <v>0</v>
      </c>
      <c r="F2003" s="2748"/>
      <c r="G2003" s="122" t="n">
        <f aca="false">IF(F2003&gt;0,D2003*F2003,E2003*D2003)</f>
        <v>0</v>
      </c>
      <c r="H2003" s="85" t="n">
        <f aca="false">D2003*E2003*$H$1998</f>
        <v>0</v>
      </c>
      <c r="I2003" s="2718" t="n">
        <f aca="false">IF(G2003&gt;H2003,G2003,H2003)*$H$1998</f>
        <v>0</v>
      </c>
      <c r="J2003" s="2744"/>
      <c r="K2003" s="226" t="n">
        <f aca="false">D2003-J2003</f>
        <v>0</v>
      </c>
      <c r="L2003" s="2736"/>
    </row>
    <row r="2004" customFormat="false" ht="15.5" hidden="false" customHeight="false" outlineLevel="0" collapsed="false">
      <c r="A2004" s="2719"/>
      <c r="B2004" s="2842" t="str">
        <f aca="false">'Ввод данных'!A1151</f>
        <v>Нет техники</v>
      </c>
      <c r="C2004" s="657" t="s">
        <v>799</v>
      </c>
      <c r="D2004" s="657" t="n">
        <f aca="false">'Ввод данных'!C1151</f>
        <v>3</v>
      </c>
      <c r="E2004" s="657" t="n">
        <f aca="false">VLOOKUP(B2004,'Прайс лист'!B180:G194,6,0)</f>
        <v>0</v>
      </c>
      <c r="F2004" s="2748"/>
      <c r="G2004" s="122" t="n">
        <f aca="false">IF(F2004&gt;0,D2004*F2004,E2004*D2004)</f>
        <v>0</v>
      </c>
      <c r="H2004" s="85" t="n">
        <f aca="false">D2004*E2004*$H$1998</f>
        <v>0</v>
      </c>
      <c r="I2004" s="2718" t="n">
        <f aca="false">IF(G2004&gt;H2004,G2004,H2004)*$H$1998</f>
        <v>0</v>
      </c>
      <c r="J2004" s="2744"/>
      <c r="K2004" s="226" t="n">
        <f aca="false">D2004-J2004</f>
        <v>3</v>
      </c>
      <c r="L2004" s="2736"/>
    </row>
    <row r="2005" customFormat="false" ht="15.5" hidden="false" customHeight="false" outlineLevel="0" collapsed="false">
      <c r="A2005" s="2719"/>
      <c r="B2005" s="2748" t="s">
        <v>4640</v>
      </c>
      <c r="C2005" s="2748"/>
      <c r="D2005" s="2748"/>
      <c r="E2005" s="2748"/>
      <c r="F2005" s="2793"/>
      <c r="G2005" s="2210" t="n">
        <f aca="false">SUM(G2000:G2004)</f>
        <v>32000</v>
      </c>
      <c r="H2005" s="85" t="n">
        <f aca="false">SUM(H2000:H2004)</f>
        <v>0</v>
      </c>
      <c r="I2005" s="2718" t="n">
        <f aca="false">IF(G2005&gt;H2005,G2005,H2005)*$H$1998</f>
        <v>0</v>
      </c>
      <c r="J2005" s="2752"/>
      <c r="K2005" s="2753"/>
    </row>
    <row r="2006" customFormat="false" ht="15.5" hidden="false" customHeight="false" outlineLevel="0" collapsed="false">
      <c r="A2006" s="2719"/>
      <c r="B2006" s="2843" t="s">
        <v>1409</v>
      </c>
      <c r="C2006" s="2843"/>
      <c r="D2006" s="2843"/>
      <c r="E2006" s="2843"/>
      <c r="F2006" s="2843"/>
      <c r="G2006" s="2843"/>
      <c r="H2006" s="2770" t="n">
        <f aca="false">H1998</f>
        <v>0</v>
      </c>
      <c r="I2006" s="2718"/>
      <c r="J2006" s="2752"/>
      <c r="K2006" s="2753"/>
    </row>
    <row r="2007" customFormat="false" ht="15.5" hidden="false" customHeight="false" outlineLevel="0" collapsed="false">
      <c r="A2007" s="2719"/>
      <c r="B2007" s="2842" t="str">
        <f aca="false">'Ввод данных'!A1152</f>
        <v>Монтаж готовой бетонной лестницы 2</v>
      </c>
      <c r="C2007" s="218" t="s">
        <v>2432</v>
      </c>
      <c r="D2007" s="657" t="n">
        <f aca="false">'Ввод данных'!C1152</f>
        <v>1</v>
      </c>
      <c r="E2007" s="657" t="n">
        <f aca="false">VLOOKUP(B2007,'Прайс лист'!B1891:G1899,6,0)</f>
        <v>10000</v>
      </c>
      <c r="F2007" s="2836"/>
      <c r="G2007" s="122" t="n">
        <f aca="false">IF(F2007&gt;0,D2007*F2007,E2007*D2007)</f>
        <v>10000</v>
      </c>
      <c r="H2007" s="85" t="n">
        <f aca="false">D2007*E2007*$H$1998</f>
        <v>0</v>
      </c>
      <c r="I2007" s="2718" t="n">
        <f aca="false">IF(G2007&gt;H2007,G2007,H2007)*$H$1998</f>
        <v>0</v>
      </c>
      <c r="J2007" s="2752"/>
      <c r="K2007" s="2753"/>
    </row>
    <row r="2008" customFormat="false" ht="15.5" hidden="false" customHeight="false" outlineLevel="0" collapsed="false">
      <c r="A2008" s="2719"/>
      <c r="B2008" s="2748" t="s">
        <v>4641</v>
      </c>
      <c r="C2008" s="2748"/>
      <c r="D2008" s="2748"/>
      <c r="E2008" s="2748"/>
      <c r="F2008" s="2793"/>
      <c r="G2008" s="2210" t="n">
        <f aca="false">SUM(G2007)</f>
        <v>10000</v>
      </c>
      <c r="H2008" s="2210" t="n">
        <f aca="false">SUM(H2007)</f>
        <v>0</v>
      </c>
      <c r="I2008" s="2718" t="n">
        <f aca="false">IF(G2008&gt;H2008,G2008,H2008)*$H$1998</f>
        <v>0</v>
      </c>
      <c r="J2008" s="2752"/>
      <c r="K2008" s="2753"/>
    </row>
    <row r="2009" customFormat="false" ht="21" hidden="false" customHeight="false" outlineLevel="0" collapsed="false">
      <c r="A2009" s="2719"/>
      <c r="B2009" s="2844" t="s">
        <v>1529</v>
      </c>
      <c r="C2009" s="2844"/>
      <c r="D2009" s="2844"/>
      <c r="E2009" s="2844"/>
      <c r="F2009" s="2844"/>
      <c r="G2009" s="905"/>
      <c r="H2009" s="2811" t="n">
        <f aca="false">VLOOKUP('Ввод данных'!AC70,связи1!A2:B3,2,0)</f>
        <v>0</v>
      </c>
      <c r="I2009" s="2818" t="n">
        <f aca="false">H2009</f>
        <v>0</v>
      </c>
      <c r="J2009" s="2712"/>
      <c r="K2009" s="2719"/>
    </row>
    <row r="2010" customFormat="false" ht="15.5" hidden="false" customHeight="false" outlineLevel="0" collapsed="false">
      <c r="A2010" s="2719"/>
      <c r="B2010" s="2824" t="s">
        <v>2720</v>
      </c>
      <c r="C2010" s="2824"/>
      <c r="D2010" s="2824"/>
      <c r="E2010" s="2824"/>
      <c r="F2010" s="2824"/>
      <c r="G2010" s="905"/>
      <c r="H2010" s="2845" t="n">
        <f aca="false">H2009</f>
        <v>0</v>
      </c>
      <c r="I2010" s="2818" t="n">
        <f aca="false">H2010</f>
        <v>0</v>
      </c>
      <c r="J2010" s="2732"/>
      <c r="K2010" s="2733"/>
    </row>
    <row r="2011" customFormat="false" ht="15.5" hidden="false" customHeight="false" outlineLevel="0" collapsed="false">
      <c r="A2011" s="2719"/>
      <c r="B2011" s="122" t="str">
        <f aca="false">отделка!A714</f>
        <v>MR10 78X160</v>
      </c>
      <c r="C2011" s="88" t="s">
        <v>159</v>
      </c>
      <c r="D2011" s="2119" t="n">
        <f aca="false">отделка!F714</f>
        <v>1</v>
      </c>
      <c r="E2011" s="2846" t="n">
        <f aca="false">отделка!H714</f>
        <v>22353</v>
      </c>
      <c r="F2011" s="2846"/>
      <c r="G2011" s="122" t="n">
        <f aca="false">IF(F2011&gt;0,D2011*F2011,E2011*D2011)</f>
        <v>22353</v>
      </c>
      <c r="H2011" s="2210" t="n">
        <f aca="false">D2011*E2011*$H$2009</f>
        <v>0</v>
      </c>
      <c r="I2011" s="2784" t="n">
        <f aca="false">IF(G2011&gt;H2011,G2011,H2011)*$H$2009</f>
        <v>0</v>
      </c>
      <c r="J2011" s="2744"/>
      <c r="K2011" s="226" t="n">
        <f aca="false">D2011-J2011</f>
        <v>1</v>
      </c>
      <c r="L2011" s="2736"/>
    </row>
    <row r="2012" customFormat="false" ht="15.5" hidden="false" customHeight="false" outlineLevel="0" collapsed="false">
      <c r="A2012" s="2719"/>
      <c r="B2012" s="122" t="str">
        <f aca="false">отделка!A715</f>
        <v>MR08 78X140</v>
      </c>
      <c r="C2012" s="88" t="s">
        <v>159</v>
      </c>
      <c r="D2012" s="2119" t="n">
        <f aca="false">отделка!F715</f>
        <v>2</v>
      </c>
      <c r="E2012" s="2846" t="n">
        <f aca="false">отделка!H715</f>
        <v>21506</v>
      </c>
      <c r="F2012" s="2846"/>
      <c r="G2012" s="122" t="n">
        <f aca="false">IF(F2012&gt;0,D2012*F2012,E2012*D2012)</f>
        <v>43012</v>
      </c>
      <c r="H2012" s="2210" t="n">
        <f aca="false">D2012*E2012*$H$2009</f>
        <v>0</v>
      </c>
      <c r="I2012" s="2784" t="n">
        <f aca="false">IF(G2012&gt;H2012,G2012,H2012)*$H$2009</f>
        <v>0</v>
      </c>
      <c r="J2012" s="2744"/>
      <c r="K2012" s="226" t="n">
        <f aca="false">D2012-J2012</f>
        <v>2</v>
      </c>
      <c r="L2012" s="2736"/>
    </row>
    <row r="2013" customFormat="false" ht="15.5" hidden="false" customHeight="false" outlineLevel="0" collapsed="false">
      <c r="A2013" s="2719"/>
      <c r="B2013" s="122" t="str">
        <f aca="false">отделка!A716</f>
        <v>MR10 78X160</v>
      </c>
      <c r="C2013" s="88" t="s">
        <v>159</v>
      </c>
      <c r="D2013" s="2119" t="n">
        <f aca="false">отделка!F716</f>
        <v>5</v>
      </c>
      <c r="E2013" s="2846" t="n">
        <f aca="false">отделка!H716</f>
        <v>22353</v>
      </c>
      <c r="F2013" s="2846"/>
      <c r="G2013" s="122" t="n">
        <f aca="false">IF(F2013&gt;0,D2013*F2013,E2013*D2013)</f>
        <v>111765</v>
      </c>
      <c r="H2013" s="2210" t="n">
        <f aca="false">D2013*E2013*$H$2009</f>
        <v>0</v>
      </c>
      <c r="I2013" s="2784" t="n">
        <f aca="false">IF(G2013&gt;H2013,G2013,H2013)*$H$2009</f>
        <v>0</v>
      </c>
      <c r="J2013" s="2744"/>
      <c r="K2013" s="226" t="n">
        <f aca="false">D2013-J2013</f>
        <v>5</v>
      </c>
      <c r="L2013" s="2736"/>
    </row>
    <row r="2014" customFormat="false" ht="15.5" hidden="false" customHeight="false" outlineLevel="0" collapsed="false">
      <c r="A2014" s="2719"/>
      <c r="B2014" s="122" t="str">
        <f aca="false">отделка!A717</f>
        <v>MR04 78X98</v>
      </c>
      <c r="C2014" s="88" t="s">
        <v>159</v>
      </c>
      <c r="D2014" s="2119" t="n">
        <f aca="false">отделка!F717</f>
        <v>0</v>
      </c>
      <c r="E2014" s="2846" t="n">
        <f aca="false">отделка!H717</f>
        <v>18658</v>
      </c>
      <c r="F2014" s="2846"/>
      <c r="G2014" s="122" t="n">
        <f aca="false">IF(F2014&gt;0,D2014*F2014,E2014*D2014)</f>
        <v>0</v>
      </c>
      <c r="H2014" s="2210" t="n">
        <f aca="false">D2014*E2014*$H$2009</f>
        <v>0</v>
      </c>
      <c r="I2014" s="2784" t="n">
        <f aca="false">IF(G2014&gt;H2014,G2014,H2014)*$H$2009</f>
        <v>0</v>
      </c>
      <c r="J2014" s="2744"/>
      <c r="K2014" s="226" t="n">
        <f aca="false">D2014-J2014</f>
        <v>0</v>
      </c>
      <c r="L2014" s="2736"/>
    </row>
    <row r="2015" customFormat="false" ht="15.5" hidden="false" customHeight="false" outlineLevel="0" collapsed="false">
      <c r="A2015" s="2719"/>
      <c r="B2015" s="2748" t="s">
        <v>4640</v>
      </c>
      <c r="C2015" s="2748"/>
      <c r="D2015" s="2748"/>
      <c r="E2015" s="2748"/>
      <c r="F2015" s="2748"/>
      <c r="G2015" s="2210" t="n">
        <f aca="false">SUM(G2011:G2014)*H2009</f>
        <v>0</v>
      </c>
      <c r="H2015" s="2210" t="n">
        <f aca="false">SUM(H2011:H2014)</f>
        <v>0</v>
      </c>
      <c r="I2015" s="2784" t="n">
        <f aca="false">IF(G2015&gt;H2015,G2015,H2015)*$H$2009</f>
        <v>0</v>
      </c>
      <c r="J2015" s="2744"/>
      <c r="K2015" s="226" t="n">
        <f aca="false">D2015-J2015</f>
        <v>0</v>
      </c>
      <c r="L2015" s="2736"/>
    </row>
    <row r="2016" customFormat="false" ht="15.5" hidden="false" customHeight="false" outlineLevel="0" collapsed="false">
      <c r="A2016" s="2719"/>
      <c r="B2016" s="2750" t="s">
        <v>1409</v>
      </c>
      <c r="C2016" s="2750"/>
      <c r="D2016" s="2750"/>
      <c r="E2016" s="2750"/>
      <c r="F2016" s="2825"/>
      <c r="G2016" s="905"/>
      <c r="H2016" s="2770" t="n">
        <f aca="false">H2010</f>
        <v>0</v>
      </c>
      <c r="I2016" s="2818" t="n">
        <f aca="false">H2016</f>
        <v>0</v>
      </c>
      <c r="J2016" s="2752"/>
      <c r="K2016" s="2753"/>
    </row>
    <row r="2017" customFormat="false" ht="15.5" hidden="false" customHeight="false" outlineLevel="0" collapsed="false">
      <c r="A2017" s="2719"/>
      <c r="B2017" s="2119" t="str">
        <f aca="false">отделка!A714</f>
        <v>MR10 78X160</v>
      </c>
      <c r="C2017" s="88" t="s">
        <v>159</v>
      </c>
      <c r="D2017" s="122" t="n">
        <f aca="false">отделка!K714</f>
        <v>1</v>
      </c>
      <c r="E2017" s="89" t="n">
        <f aca="false">отделка!L714</f>
        <v>4200</v>
      </c>
      <c r="F2017" s="89"/>
      <c r="G2017" s="122" t="n">
        <f aca="false">IF(F2017&gt;0,D2017*F2017,E2017*D2017)</f>
        <v>4200</v>
      </c>
      <c r="H2017" s="2210" t="n">
        <f aca="false">D2017*E2017*$H$2009</f>
        <v>0</v>
      </c>
      <c r="I2017" s="2718" t="n">
        <f aca="false">IF(G2017&gt;H2017,G2017,H2017)*$H$2009</f>
        <v>0</v>
      </c>
      <c r="J2017" s="2712"/>
      <c r="K2017" s="2719"/>
    </row>
    <row r="2018" customFormat="false" ht="15.5" hidden="false" customHeight="false" outlineLevel="0" collapsed="false">
      <c r="A2018" s="2719"/>
      <c r="B2018" s="2119" t="str">
        <f aca="false">отделка!A715</f>
        <v>MR08 78X140</v>
      </c>
      <c r="C2018" s="88" t="s">
        <v>159</v>
      </c>
      <c r="D2018" s="122" t="n">
        <f aca="false">отделка!K715</f>
        <v>2</v>
      </c>
      <c r="E2018" s="89" t="n">
        <f aca="false">отделка!L715</f>
        <v>4000</v>
      </c>
      <c r="F2018" s="89"/>
      <c r="G2018" s="122" t="n">
        <f aca="false">IF(F2018&gt;0,D2018*F2018,E2018*D2018)</f>
        <v>8000</v>
      </c>
      <c r="H2018" s="2210" t="n">
        <f aca="false">D2018*E2018*$H$2009</f>
        <v>0</v>
      </c>
      <c r="I2018" s="2718" t="n">
        <f aca="false">IF(G2018&gt;H2018,G2018,H2018)*$H$2009</f>
        <v>0</v>
      </c>
      <c r="J2018" s="2712"/>
      <c r="K2018" s="2719"/>
    </row>
    <row r="2019" customFormat="false" ht="15.5" hidden="false" customHeight="false" outlineLevel="0" collapsed="false">
      <c r="A2019" s="2719"/>
      <c r="B2019" s="2119" t="str">
        <f aca="false">отделка!A716</f>
        <v>MR10 78X160</v>
      </c>
      <c r="C2019" s="88" t="s">
        <v>159</v>
      </c>
      <c r="D2019" s="122" t="n">
        <f aca="false">отделка!K716</f>
        <v>5</v>
      </c>
      <c r="E2019" s="89" t="n">
        <f aca="false">отделка!L716</f>
        <v>4200</v>
      </c>
      <c r="F2019" s="89"/>
      <c r="G2019" s="122" t="n">
        <f aca="false">IF(F2019&gt;0,D2019*F2019,E2019*D2019)</f>
        <v>21000</v>
      </c>
      <c r="H2019" s="2210" t="n">
        <f aca="false">D2019*E2019*$H$2009</f>
        <v>0</v>
      </c>
      <c r="I2019" s="2718" t="n">
        <f aca="false">IF(G2019&gt;H2019,G2019,H2019)*$H$2009</f>
        <v>0</v>
      </c>
      <c r="J2019" s="2712"/>
      <c r="K2019" s="2719"/>
    </row>
    <row r="2020" customFormat="false" ht="15.5" hidden="false" customHeight="false" outlineLevel="0" collapsed="false">
      <c r="A2020" s="2719"/>
      <c r="B2020" s="2119" t="str">
        <f aca="false">отделка!A717</f>
        <v>MR04 78X98</v>
      </c>
      <c r="C2020" s="88" t="s">
        <v>159</v>
      </c>
      <c r="D2020" s="122" t="n">
        <f aca="false">отделка!K717</f>
        <v>0</v>
      </c>
      <c r="E2020" s="89" t="n">
        <f aca="false">отделка!L717</f>
        <v>3700</v>
      </c>
      <c r="F2020" s="89"/>
      <c r="G2020" s="122" t="n">
        <f aca="false">IF(F2020&gt;0,D2020*F2020,E2020*D2020)</f>
        <v>0</v>
      </c>
      <c r="H2020" s="2210" t="n">
        <f aca="false">D2020*E2020*$H$2009</f>
        <v>0</v>
      </c>
      <c r="I2020" s="2718" t="n">
        <f aca="false">IF(G2020&gt;H2020,G2020,H2020)*$H$2009</f>
        <v>0</v>
      </c>
      <c r="J2020" s="2712"/>
      <c r="K2020" s="2719"/>
    </row>
    <row r="2021" customFormat="false" ht="15.5" hidden="false" customHeight="false" outlineLevel="0" collapsed="false">
      <c r="A2021" s="2719"/>
      <c r="B2021" s="2748" t="s">
        <v>4641</v>
      </c>
      <c r="C2021" s="2748"/>
      <c r="D2021" s="2748"/>
      <c r="E2021" s="2748"/>
      <c r="F2021" s="2748"/>
      <c r="G2021" s="2210" t="n">
        <f aca="false">SUM(G2017:G2020)*H2016</f>
        <v>0</v>
      </c>
      <c r="H2021" s="2210" t="n">
        <f aca="false">SUM(H2017:H2020)</f>
        <v>0</v>
      </c>
      <c r="I2021" s="2718" t="n">
        <f aca="false">IF(G2021&gt;H2021,G2021,H2021)*$H$2009</f>
        <v>0</v>
      </c>
      <c r="J2021" s="2712"/>
      <c r="K2021" s="2719"/>
    </row>
    <row r="2022" customFormat="false" ht="21" hidden="false" customHeight="false" outlineLevel="0" collapsed="false">
      <c r="A2022" s="2719"/>
      <c r="B2022" s="2762" t="s">
        <v>1247</v>
      </c>
      <c r="C2022" s="2762"/>
      <c r="D2022" s="2762"/>
      <c r="E2022" s="2762"/>
      <c r="F2022" s="2762"/>
      <c r="G2022" s="905"/>
      <c r="H2022" s="2774" t="n">
        <f aca="false">VLOOKUP('Ввод данных'!F1216,связи1!A2:B3,2,0)</f>
        <v>0</v>
      </c>
      <c r="I2022" s="2818" t="n">
        <f aca="false">H2022</f>
        <v>0</v>
      </c>
      <c r="J2022" s="2712"/>
      <c r="K2022" s="2719"/>
    </row>
    <row r="2023" customFormat="false" ht="15.5" hidden="false" customHeight="false" outlineLevel="0" collapsed="false">
      <c r="A2023" s="2712"/>
      <c r="B2023" s="2775" t="s">
        <v>2720</v>
      </c>
      <c r="C2023" s="2775"/>
      <c r="D2023" s="2775"/>
      <c r="E2023" s="2775"/>
      <c r="F2023" s="2775"/>
      <c r="G2023" s="905"/>
      <c r="H2023" s="2776" t="n">
        <f aca="false">H2022</f>
        <v>0</v>
      </c>
      <c r="I2023" s="2818" t="n">
        <f aca="false">H2023</f>
        <v>0</v>
      </c>
      <c r="J2023" s="2732"/>
      <c r="K2023" s="2733"/>
    </row>
    <row r="2024" customFormat="false" ht="15.5" hidden="false" customHeight="false" outlineLevel="0" collapsed="false">
      <c r="A2024" s="2712"/>
      <c r="B2024" s="2765" t="s">
        <v>3964</v>
      </c>
      <c r="C2024" s="2765"/>
      <c r="D2024" s="2765"/>
      <c r="E2024" s="2765"/>
      <c r="F2024" s="2765"/>
      <c r="G2024" s="122" t="n">
        <f aca="false">IF(F2024&gt;0,D2024*F2024,E2024*D2024)</f>
        <v>0</v>
      </c>
      <c r="H2024" s="2839" t="n">
        <f aca="false">IF(SUM(H2025:H2048)&gt;0,1,0)</f>
        <v>0</v>
      </c>
      <c r="I2024" s="2784" t="n">
        <f aca="false">IF(G2024&gt;H2024,G2024,H2024)*$H$2022</f>
        <v>0</v>
      </c>
      <c r="J2024" s="2744"/>
      <c r="K2024" s="226"/>
      <c r="L2024" s="2736"/>
    </row>
    <row r="2025" customFormat="false" ht="15.5" hidden="false" customHeight="false" outlineLevel="0" collapsed="false">
      <c r="A2025" s="2719"/>
      <c r="B2025" s="298" t="str">
        <f aca="false">отделка!A509</f>
        <v>Г-образный профиль 40*40, 9мм</v>
      </c>
      <c r="C2025" s="2765" t="str">
        <f aca="false">отделка!B509</f>
        <v>м.п.</v>
      </c>
      <c r="D2025" s="298" t="n">
        <f aca="false">отделка!C509</f>
        <v>243.54</v>
      </c>
      <c r="E2025" s="298" t="n">
        <f aca="false">отделка!D509</f>
        <v>47</v>
      </c>
      <c r="F2025" s="298"/>
      <c r="G2025" s="122" t="n">
        <f aca="false">IF(F2025&gt;0,D2025*F2025,E2025*D2025)</f>
        <v>11446.38</v>
      </c>
      <c r="H2025" s="2210" t="n">
        <f aca="false">D2025*E2025*$H$2023</f>
        <v>0</v>
      </c>
      <c r="I2025" s="2784" t="n">
        <f aca="false">IF(G2025&gt;H2025,G2025,H2025)*$H$2022</f>
        <v>0</v>
      </c>
      <c r="J2025" s="2744"/>
      <c r="K2025" s="226" t="n">
        <f aca="false">D2025-J2025</f>
        <v>243.54</v>
      </c>
      <c r="L2025" s="2736"/>
    </row>
    <row r="2026" customFormat="false" ht="15.5" hidden="false" customHeight="false" outlineLevel="0" collapsed="false">
      <c r="A2026" s="2719"/>
      <c r="B2026" s="298" t="str">
        <f aca="false">отделка!A510</f>
        <v>Фасадный кронштейн КК 90</v>
      </c>
      <c r="C2026" s="2765" t="str">
        <f aca="false">отделка!B510</f>
        <v>шт</v>
      </c>
      <c r="D2026" s="298" t="n">
        <f aca="false">отделка!C510</f>
        <v>584.496</v>
      </c>
      <c r="E2026" s="298" t="n">
        <f aca="false">отделка!D510</f>
        <v>15</v>
      </c>
      <c r="F2026" s="298"/>
      <c r="G2026" s="122" t="n">
        <f aca="false">IF(F2026&gt;0,D2026*F2026,E2026*D2026)</f>
        <v>8767.44</v>
      </c>
      <c r="H2026" s="2210" t="n">
        <f aca="false">D2026*E2026*$H$2023</f>
        <v>0</v>
      </c>
      <c r="I2026" s="2784" t="n">
        <f aca="false">IF(G2026&gt;H2026,G2026,H2026)*$H$2022</f>
        <v>0</v>
      </c>
      <c r="J2026" s="2744"/>
      <c r="K2026" s="226" t="n">
        <f aca="false">D2026-J2026</f>
        <v>584.496</v>
      </c>
      <c r="L2026" s="2736"/>
    </row>
    <row r="2027" customFormat="false" ht="15.5" hidden="false" customHeight="false" outlineLevel="0" collapsed="false">
      <c r="A2027" s="2719"/>
      <c r="B2027" s="298" t="str">
        <f aca="false">отделка!A511</f>
        <v>Саморезы 3,5 x 45</v>
      </c>
      <c r="C2027" s="2765" t="str">
        <f aca="false">отделка!B511</f>
        <v>шт</v>
      </c>
      <c r="D2027" s="298" t="n">
        <f aca="false">отделка!C511</f>
        <v>1168.992</v>
      </c>
      <c r="E2027" s="298" t="n">
        <f aca="false">отделка!D511</f>
        <v>0.25</v>
      </c>
      <c r="F2027" s="298"/>
      <c r="G2027" s="122" t="n">
        <f aca="false">IF(F2027&gt;0,D2027*F2027,E2027*D2027)</f>
        <v>292.248</v>
      </c>
      <c r="H2027" s="2210" t="n">
        <f aca="false">D2027*E2027*$H$2023</f>
        <v>0</v>
      </c>
      <c r="I2027" s="2784" t="n">
        <f aca="false">IF(G2027&gt;H2027,G2027,H2027)*$H$2022</f>
        <v>0</v>
      </c>
      <c r="J2027" s="2744"/>
      <c r="K2027" s="226" t="n">
        <f aca="false">D2027-J2027</f>
        <v>1168.992</v>
      </c>
      <c r="L2027" s="2736"/>
    </row>
    <row r="2028" customFormat="false" ht="15.5" hidden="false" customHeight="false" outlineLevel="0" collapsed="false">
      <c r="A2028" s="2719"/>
      <c r="B2028" s="298" t="str">
        <f aca="false">отделка!A512</f>
        <v>Болты анкерные с гайкой 10,0 х 97</v>
      </c>
      <c r="C2028" s="2765" t="str">
        <f aca="false">отделка!B512</f>
        <v>шт</v>
      </c>
      <c r="D2028" s="298" t="n">
        <f aca="false">отделка!C512</f>
        <v>1168.992</v>
      </c>
      <c r="E2028" s="298" t="n">
        <f aca="false">отделка!D512</f>
        <v>7.4</v>
      </c>
      <c r="F2028" s="298"/>
      <c r="G2028" s="122" t="n">
        <f aca="false">IF(F2028&gt;0,D2028*F2028,E2028*D2028)</f>
        <v>8650.5408</v>
      </c>
      <c r="H2028" s="2210" t="n">
        <f aca="false">D2028*E2028*$H$2023</f>
        <v>0</v>
      </c>
      <c r="I2028" s="2784" t="n">
        <f aca="false">IF(G2028&gt;H2028,G2028,H2028)*$H$2022</f>
        <v>0</v>
      </c>
      <c r="J2028" s="2744"/>
      <c r="K2028" s="226" t="n">
        <f aca="false">D2028-J2028</f>
        <v>1168.992</v>
      </c>
      <c r="L2028" s="2736"/>
    </row>
    <row r="2029" customFormat="false" ht="15.5" hidden="false" customHeight="false" outlineLevel="0" collapsed="false">
      <c r="A2029" s="2719"/>
      <c r="B2029" s="298" t="str">
        <f aca="false">отделка!A513</f>
        <v>0,7НФ/150/75 Аренберг</v>
      </c>
      <c r="C2029" s="2765" t="str">
        <f aca="false">отделка!B513</f>
        <v>м2</v>
      </c>
      <c r="D2029" s="298" t="n">
        <f aca="false">отделка!C513</f>
        <v>95.04</v>
      </c>
      <c r="E2029" s="298" t="n">
        <f aca="false">отделка!D513</f>
        <v>1052</v>
      </c>
      <c r="F2029" s="298"/>
      <c r="G2029" s="122" t="n">
        <f aca="false">IF(F2029&gt;0,D2029*F2029,E2029*D2029)</f>
        <v>99982.08</v>
      </c>
      <c r="H2029" s="2210" t="n">
        <f aca="false">D2029*E2029*$H$2023</f>
        <v>0</v>
      </c>
      <c r="I2029" s="2784" t="n">
        <f aca="false">IF(G2029&gt;H2029,G2029,H2029)*$H$2022</f>
        <v>0</v>
      </c>
      <c r="J2029" s="2744"/>
      <c r="K2029" s="226" t="n">
        <f aca="false">D2029-J2029</f>
        <v>95.04</v>
      </c>
      <c r="L2029" s="2736"/>
    </row>
    <row r="2030" customFormat="false" ht="15.5" hidden="false" customHeight="false" outlineLevel="0" collapsed="false">
      <c r="A2030" s="2719"/>
      <c r="B2030" s="298" t="str">
        <f aca="false">отделка!A514</f>
        <v>Цемент, мешок, 50кг</v>
      </c>
      <c r="C2030" s="2765" t="str">
        <f aca="false">отделка!B514</f>
        <v>меш</v>
      </c>
      <c r="D2030" s="298" t="n">
        <f aca="false">отделка!C514</f>
        <v>532.224</v>
      </c>
      <c r="E2030" s="298" t="n">
        <f aca="false">отделка!D514</f>
        <v>250</v>
      </c>
      <c r="F2030" s="298"/>
      <c r="G2030" s="122" t="n">
        <f aca="false">IF(F2030&gt;0,D2030*F2030,E2030*D2030)</f>
        <v>133056</v>
      </c>
      <c r="H2030" s="2210" t="n">
        <f aca="false">D2030*E2030*$H$2023</f>
        <v>0</v>
      </c>
      <c r="I2030" s="2784" t="n">
        <f aca="false">IF(G2030&gt;H2030,G2030,H2030)*$H$2022</f>
        <v>0</v>
      </c>
      <c r="J2030" s="2744"/>
      <c r="K2030" s="226" t="n">
        <f aca="false">D2030-J2030</f>
        <v>532.224</v>
      </c>
      <c r="L2030" s="2736"/>
    </row>
    <row r="2031" customFormat="false" ht="15.5" hidden="false" customHeight="false" outlineLevel="0" collapsed="false">
      <c r="A2031" s="2719"/>
      <c r="B2031" s="298" t="str">
        <f aca="false">отделка!A515</f>
        <v>Песок, м3</v>
      </c>
      <c r="C2031" s="2765" t="str">
        <f aca="false">отделка!B515</f>
        <v>м3</v>
      </c>
      <c r="D2031" s="298" t="n">
        <f aca="false">отделка!C515</f>
        <v>38.016</v>
      </c>
      <c r="E2031" s="298" t="n">
        <f aca="false">отделка!D515</f>
        <v>250</v>
      </c>
      <c r="F2031" s="298"/>
      <c r="G2031" s="122" t="n">
        <f aca="false">IF(F2031&gt;0,D2031*F2031,E2031*D2031)</f>
        <v>9504</v>
      </c>
      <c r="H2031" s="2210" t="n">
        <f aca="false">D2031*E2031*$H$2023</f>
        <v>0</v>
      </c>
      <c r="I2031" s="2784" t="n">
        <f aca="false">IF(G2031&gt;H2031,G2031,H2031)*$H$2022</f>
        <v>0</v>
      </c>
      <c r="J2031" s="2744"/>
      <c r="K2031" s="226" t="n">
        <f aca="false">D2031-J2031</f>
        <v>38.016</v>
      </c>
      <c r="L2031" s="2736"/>
    </row>
    <row r="2032" customFormat="false" ht="15.5" hidden="false" customHeight="false" outlineLevel="0" collapsed="false">
      <c r="A2032" s="2719"/>
      <c r="B2032" s="298" t="str">
        <f aca="false">отделка!A516</f>
        <v>Кладочная сетка, 100*100/150*150/200*200мм</v>
      </c>
      <c r="C2032" s="2765" t="str">
        <f aca="false">отделка!B516</f>
        <v>м2</v>
      </c>
      <c r="D2032" s="298" t="n">
        <f aca="false">отделка!C516</f>
        <v>19.8</v>
      </c>
      <c r="E2032" s="298" t="n">
        <f aca="false">отделка!D516</f>
        <v>70</v>
      </c>
      <c r="F2032" s="298"/>
      <c r="G2032" s="122" t="n">
        <f aca="false">IF(F2032&gt;0,D2032*F2032,E2032*D2032)</f>
        <v>1386</v>
      </c>
      <c r="H2032" s="2210" t="n">
        <f aca="false">D2032*E2032*$H$2023</f>
        <v>0</v>
      </c>
      <c r="I2032" s="2784" t="n">
        <f aca="false">IF(G2032&gt;H2032,G2032,H2032)*$H$2022</f>
        <v>0</v>
      </c>
      <c r="J2032" s="2744"/>
      <c r="K2032" s="226" t="n">
        <f aca="false">D2032-J2032</f>
        <v>19.8</v>
      </c>
      <c r="L2032" s="2736"/>
    </row>
    <row r="2033" customFormat="false" ht="15.5" hidden="false" customHeight="false" outlineLevel="0" collapsed="false">
      <c r="A2033" s="2719"/>
      <c r="B2033" s="298" t="str">
        <f aca="false">отделка!A517</f>
        <v>сайдинг виниловый</v>
      </c>
      <c r="C2033" s="2765" t="str">
        <f aca="false">отделка!B517</f>
        <v>м2</v>
      </c>
      <c r="D2033" s="298" t="n">
        <f aca="false">отделка!C517</f>
        <v>0</v>
      </c>
      <c r="E2033" s="298" t="n">
        <f aca="false">отделка!D517</f>
        <v>350</v>
      </c>
      <c r="F2033" s="298"/>
      <c r="G2033" s="122" t="n">
        <f aca="false">IF(F2033&gt;0,D2033*F2033,E2033*D2033)</f>
        <v>0</v>
      </c>
      <c r="H2033" s="2210" t="n">
        <f aca="false">D2033*E2033*$H$2023</f>
        <v>0</v>
      </c>
      <c r="I2033" s="2784" t="n">
        <f aca="false">IF(G2033&gt;H2033,G2033,H2033)*$H$2022</f>
        <v>0</v>
      </c>
      <c r="J2033" s="2744"/>
      <c r="K2033" s="226" t="n">
        <f aca="false">D2033-J2033</f>
        <v>0</v>
      </c>
      <c r="L2033" s="2736"/>
    </row>
    <row r="2034" customFormat="false" ht="15.5" hidden="false" customHeight="false" outlineLevel="0" collapsed="false">
      <c r="A2034" s="2719"/>
      <c r="B2034" s="298" t="str">
        <f aca="false">отделка!A518</f>
        <v>доборные элементы для винил сайдинга</v>
      </c>
      <c r="C2034" s="2765" t="str">
        <f aca="false">отделка!B518</f>
        <v>шт</v>
      </c>
      <c r="D2034" s="298" t="n">
        <f aca="false">отделка!C518</f>
        <v>0</v>
      </c>
      <c r="E2034" s="298" t="n">
        <f aca="false">отделка!D518</f>
        <v>300</v>
      </c>
      <c r="F2034" s="298"/>
      <c r="G2034" s="122" t="n">
        <f aca="false">IF(F2034&gt;0,D2034*F2034,E2034*D2034)</f>
        <v>0</v>
      </c>
      <c r="H2034" s="2210" t="n">
        <f aca="false">D2034*E2034*$H$2023</f>
        <v>0</v>
      </c>
      <c r="I2034" s="2784" t="n">
        <f aca="false">IF(G2034&gt;H2034,G2034,H2034)*$H$2022</f>
        <v>0</v>
      </c>
      <c r="J2034" s="2744"/>
      <c r="K2034" s="226" t="n">
        <f aca="false">D2034-J2034</f>
        <v>0</v>
      </c>
      <c r="L2034" s="2736"/>
    </row>
    <row r="2035" customFormat="false" ht="15.5" hidden="false" customHeight="false" outlineLevel="0" collapsed="false">
      <c r="A2035" s="2719"/>
      <c r="B2035" s="298" t="str">
        <f aca="false">отделка!A519</f>
        <v>сайдинг металлический</v>
      </c>
      <c r="C2035" s="2765" t="str">
        <f aca="false">отделка!B519</f>
        <v>м2</v>
      </c>
      <c r="D2035" s="298" t="n">
        <f aca="false">отделка!C519</f>
        <v>0</v>
      </c>
      <c r="E2035" s="298" t="n">
        <f aca="false">отделка!D519</f>
        <v>550</v>
      </c>
      <c r="F2035" s="298"/>
      <c r="G2035" s="122" t="n">
        <f aca="false">IF(F2035&gt;0,D2035*F2035,E2035*D2035)</f>
        <v>0</v>
      </c>
      <c r="H2035" s="2210" t="n">
        <f aca="false">D2035*E2035*$H$2023</f>
        <v>0</v>
      </c>
      <c r="I2035" s="2784" t="n">
        <f aca="false">IF(G2035&gt;H2035,G2035,H2035)*$H$2022</f>
        <v>0</v>
      </c>
      <c r="J2035" s="2744"/>
      <c r="K2035" s="226" t="n">
        <f aca="false">D2035-J2035</f>
        <v>0</v>
      </c>
      <c r="L2035" s="2736"/>
    </row>
    <row r="2036" customFormat="false" ht="15.5" hidden="false" customHeight="false" outlineLevel="0" collapsed="false">
      <c r="A2036" s="2719"/>
      <c r="B2036" s="298" t="str">
        <f aca="false">отделка!A520</f>
        <v>доборные элементы для метал сайдинга</v>
      </c>
      <c r="C2036" s="2765" t="str">
        <f aca="false">отделка!B520</f>
        <v>шт</v>
      </c>
      <c r="D2036" s="298" t="n">
        <f aca="false">отделка!C520</f>
        <v>0</v>
      </c>
      <c r="E2036" s="298" t="n">
        <f aca="false">отделка!D520</f>
        <v>350</v>
      </c>
      <c r="F2036" s="298"/>
      <c r="G2036" s="122" t="n">
        <f aca="false">IF(F2036&gt;0,D2036*F2036,E2036*D2036)</f>
        <v>0</v>
      </c>
      <c r="H2036" s="2210" t="n">
        <f aca="false">D2036*E2036*$H$2023</f>
        <v>0</v>
      </c>
      <c r="I2036" s="2784" t="n">
        <f aca="false">IF(G2036&gt;H2036,G2036,H2036)*$H$2022</f>
        <v>0</v>
      </c>
      <c r="J2036" s="2744"/>
      <c r="K2036" s="226" t="n">
        <f aca="false">D2036-J2036</f>
        <v>0</v>
      </c>
      <c r="L2036" s="2736"/>
    </row>
    <row r="2037" customFormat="false" ht="15.5" hidden="false" customHeight="false" outlineLevel="0" collapsed="false">
      <c r="A2037" s="2719"/>
      <c r="B2037" s="298" t="n">
        <f aca="false">отделка!A521</f>
        <v>0</v>
      </c>
      <c r="C2037" s="2765" t="str">
        <f aca="false">отделка!B521</f>
        <v>м2</v>
      </c>
      <c r="D2037" s="298" t="n">
        <f aca="false">отделка!C521</f>
        <v>0</v>
      </c>
      <c r="E2037" s="298" t="n">
        <f aca="false">отделка!D521</f>
        <v>0</v>
      </c>
      <c r="F2037" s="298"/>
      <c r="G2037" s="122" t="n">
        <f aca="false">IF(F2037&gt;0,D2037*F2037,E2037*D2037)</f>
        <v>0</v>
      </c>
      <c r="H2037" s="2210" t="n">
        <f aca="false">D2037*E2037*$H$2023</f>
        <v>0</v>
      </c>
      <c r="I2037" s="2784" t="n">
        <f aca="false">IF(G2037&gt;H2037,G2037,H2037)*$H$2022</f>
        <v>0</v>
      </c>
      <c r="J2037" s="2744"/>
      <c r="K2037" s="226" t="n">
        <f aca="false">D2037-J2037</f>
        <v>0</v>
      </c>
      <c r="L2037" s="2736"/>
    </row>
    <row r="2038" customFormat="false" ht="15.5" hidden="false" customHeight="false" outlineLevel="0" collapsed="false">
      <c r="A2038" s="2719"/>
      <c r="B2038" s="298" t="str">
        <f aca="false">отделка!A523</f>
        <v>крепления для планкена, змейка</v>
      </c>
      <c r="C2038" s="2765" t="str">
        <f aca="false">отделка!B523</f>
        <v>шт</v>
      </c>
      <c r="D2038" s="298" t="n">
        <f aca="false">отделка!C523</f>
        <v>0</v>
      </c>
      <c r="E2038" s="298" t="n">
        <f aca="false">отделка!D523</f>
        <v>15</v>
      </c>
      <c r="F2038" s="298"/>
      <c r="G2038" s="122" t="n">
        <f aca="false">IF(F2038&gt;0,D2038*F2038,E2038*D2038)</f>
        <v>0</v>
      </c>
      <c r="H2038" s="2210" t="n">
        <f aca="false">D2038*E2038*$H$2023</f>
        <v>0</v>
      </c>
      <c r="I2038" s="2784" t="n">
        <f aca="false">IF(G2038&gt;H2038,G2038,H2038)*$H$2022</f>
        <v>0</v>
      </c>
      <c r="J2038" s="2744"/>
      <c r="K2038" s="226" t="n">
        <f aca="false">D2038-J2038</f>
        <v>0</v>
      </c>
      <c r="L2038" s="2736"/>
    </row>
    <row r="2039" customFormat="false" ht="15.5" hidden="false" customHeight="false" outlineLevel="0" collapsed="false">
      <c r="A2039" s="2719"/>
      <c r="B2039" s="298" t="n">
        <f aca="false">отделка!A524</f>
        <v>0</v>
      </c>
      <c r="C2039" s="2765" t="str">
        <f aca="false">отделка!B524</f>
        <v>м2</v>
      </c>
      <c r="D2039" s="298" t="n">
        <f aca="false">отделка!C524</f>
        <v>0</v>
      </c>
      <c r="E2039" s="298" t="n">
        <f aca="false">отделка!D524</f>
        <v>1000</v>
      </c>
      <c r="F2039" s="298"/>
      <c r="G2039" s="122" t="n">
        <f aca="false">IF(F2039&gt;0,D2039*F2039,E2039*D2039)</f>
        <v>0</v>
      </c>
      <c r="H2039" s="2210" t="n">
        <f aca="false">D2039*E2039*$H$2023</f>
        <v>0</v>
      </c>
      <c r="I2039" s="2784" t="n">
        <f aca="false">IF(G2039&gt;H2039,G2039,H2039)*$H$2022</f>
        <v>0</v>
      </c>
      <c r="J2039" s="2744"/>
      <c r="K2039" s="226" t="n">
        <f aca="false">D2039-J2039</f>
        <v>0</v>
      </c>
      <c r="L2039" s="2736"/>
    </row>
    <row r="2040" customFormat="false" ht="15.5" hidden="false" customHeight="false" outlineLevel="0" collapsed="false">
      <c r="A2040" s="2719"/>
      <c r="B2040" s="298" t="n">
        <f aca="false">отделка!A525</f>
        <v>0</v>
      </c>
      <c r="C2040" s="2765" t="str">
        <f aca="false">отделка!B525</f>
        <v>м2</v>
      </c>
      <c r="D2040" s="298" t="n">
        <f aca="false">отделка!C525</f>
        <v>0</v>
      </c>
      <c r="E2040" s="298" t="n">
        <f aca="false">отделка!D525</f>
        <v>0</v>
      </c>
      <c r="F2040" s="298"/>
      <c r="G2040" s="122" t="n">
        <f aca="false">IF(F2040&gt;0,D2040*F2040,E2040*D2040)</f>
        <v>0</v>
      </c>
      <c r="H2040" s="2210" t="n">
        <f aca="false">D2040*E2040*$H$2023</f>
        <v>0</v>
      </c>
      <c r="I2040" s="2784" t="n">
        <f aca="false">IF(G2040&gt;H2040,G2040,H2040)*$H$2022</f>
        <v>0</v>
      </c>
      <c r="J2040" s="2744"/>
      <c r="K2040" s="226" t="n">
        <f aca="false">D2040-J2040</f>
        <v>0</v>
      </c>
      <c r="L2040" s="2736"/>
    </row>
    <row r="2041" customFormat="false" ht="15.5" hidden="false" customHeight="false" outlineLevel="0" collapsed="false">
      <c r="A2041" s="2719"/>
      <c r="B2041" s="298" t="str">
        <f aca="false">отделка!A526</f>
        <v>клей для камня</v>
      </c>
      <c r="C2041" s="2765" t="str">
        <f aca="false">отделка!B526</f>
        <v>меш</v>
      </c>
      <c r="D2041" s="298" t="n">
        <f aca="false">отделка!C526</f>
        <v>0</v>
      </c>
      <c r="E2041" s="298" t="n">
        <f aca="false">отделка!D526</f>
        <v>250</v>
      </c>
      <c r="F2041" s="298"/>
      <c r="G2041" s="122" t="n">
        <f aca="false">IF(F2041&gt;0,D2041*F2041,E2041*D2041)</f>
        <v>0</v>
      </c>
      <c r="H2041" s="2210" t="n">
        <f aca="false">D2041*E2041*$H$2023</f>
        <v>0</v>
      </c>
      <c r="I2041" s="2784" t="n">
        <f aca="false">IF(G2041&gt;H2041,G2041,H2041)*$H$2022</f>
        <v>0</v>
      </c>
      <c r="J2041" s="2744"/>
      <c r="K2041" s="226" t="n">
        <f aca="false">D2041-J2041</f>
        <v>0</v>
      </c>
      <c r="L2041" s="2736"/>
    </row>
    <row r="2042" customFormat="false" ht="15.5" hidden="false" customHeight="false" outlineLevel="0" collapsed="false">
      <c r="A2042" s="2719"/>
      <c r="B2042" s="298" t="str">
        <f aca="false">отделка!A527</f>
        <v>Грунт  1</v>
      </c>
      <c r="C2042" s="2765" t="str">
        <f aca="false">отделка!B527</f>
        <v>л</v>
      </c>
      <c r="D2042" s="298" t="n">
        <f aca="false">отделка!C527</f>
        <v>95.04</v>
      </c>
      <c r="E2042" s="298" t="n">
        <f aca="false">отделка!D527</f>
        <v>100</v>
      </c>
      <c r="F2042" s="298"/>
      <c r="G2042" s="122" t="n">
        <f aca="false">IF(F2042&gt;0,D2042*F2042,E2042*D2042)</f>
        <v>9504</v>
      </c>
      <c r="H2042" s="2210" t="n">
        <f aca="false">D2042*E2042*$H$2023</f>
        <v>0</v>
      </c>
      <c r="I2042" s="2784" t="n">
        <f aca="false">IF(G2042&gt;H2042,G2042,H2042)*$H$2022</f>
        <v>0</v>
      </c>
      <c r="J2042" s="2744"/>
      <c r="K2042" s="226" t="n">
        <f aca="false">D2042-J2042</f>
        <v>95.04</v>
      </c>
      <c r="L2042" s="2736"/>
    </row>
    <row r="2043" customFormat="false" ht="15.5" hidden="false" customHeight="false" outlineLevel="0" collapsed="false">
      <c r="A2043" s="2719"/>
      <c r="B2043" s="298" t="str">
        <f aca="false">отделка!A528</f>
        <v>"Тонерол" Антисептик  бесцветный  1л</v>
      </c>
      <c r="C2043" s="2765" t="str">
        <f aca="false">отделка!B528</f>
        <v>л</v>
      </c>
      <c r="D2043" s="298" t="n">
        <f aca="false">отделка!C528</f>
        <v>0</v>
      </c>
      <c r="E2043" s="298" t="n">
        <f aca="false">отделка!D528</f>
        <v>305</v>
      </c>
      <c r="F2043" s="298"/>
      <c r="G2043" s="122" t="n">
        <f aca="false">IF(F2043&gt;0,D2043*F2043,E2043*D2043)</f>
        <v>0</v>
      </c>
      <c r="H2043" s="2210" t="n">
        <f aca="false">D2043*E2043*$H$2023</f>
        <v>0</v>
      </c>
      <c r="I2043" s="2784" t="n">
        <f aca="false">IF(G2043&gt;H2043,G2043,H2043)*$H$2022</f>
        <v>0</v>
      </c>
      <c r="J2043" s="2744"/>
      <c r="K2043" s="226" t="n">
        <f aca="false">D2043-J2043</f>
        <v>0</v>
      </c>
      <c r="L2043" s="2736"/>
    </row>
    <row r="2044" customFormat="false" ht="15.5" hidden="false" customHeight="false" outlineLevel="0" collapsed="false">
      <c r="A2044" s="2719"/>
      <c r="B2044" s="298" t="str">
        <f aca="false">отделка!A529</f>
        <v>Лак для поверхностей 1</v>
      </c>
      <c r="C2044" s="2765" t="str">
        <f aca="false">отделка!B529</f>
        <v>л</v>
      </c>
      <c r="D2044" s="298" t="n">
        <f aca="false">отделка!C529</f>
        <v>0</v>
      </c>
      <c r="E2044" s="298" t="n">
        <f aca="false">отделка!D529</f>
        <v>120</v>
      </c>
      <c r="F2044" s="298"/>
      <c r="G2044" s="122" t="n">
        <f aca="false">IF(F2044&gt;0,D2044*F2044,E2044*D2044)</f>
        <v>0</v>
      </c>
      <c r="H2044" s="2210" t="n">
        <f aca="false">D2044*E2044*$H$2023</f>
        <v>0</v>
      </c>
      <c r="I2044" s="2784" t="n">
        <f aca="false">IF(G2044&gt;H2044,G2044,H2044)*$H$2022</f>
        <v>0</v>
      </c>
      <c r="J2044" s="2744"/>
      <c r="K2044" s="226" t="n">
        <f aca="false">D2044-J2044</f>
        <v>0</v>
      </c>
      <c r="L2044" s="2736"/>
    </row>
    <row r="2045" customFormat="false" ht="15.5" hidden="false" customHeight="false" outlineLevel="0" collapsed="false">
      <c r="A2045" s="2719"/>
      <c r="B2045" s="298" t="str">
        <f aca="false">отделка!A530</f>
        <v>Плитный,28кг/м3, технониколь, 100мм</v>
      </c>
      <c r="C2045" s="2765" t="str">
        <f aca="false">отделка!B530</f>
        <v>м3</v>
      </c>
      <c r="D2045" s="298" t="n">
        <f aca="false">отделка!C530</f>
        <v>11.88</v>
      </c>
      <c r="E2045" s="298" t="n">
        <f aca="false">отделка!D530</f>
        <v>1700</v>
      </c>
      <c r="F2045" s="298"/>
      <c r="G2045" s="122" t="n">
        <f aca="false">IF(F2045&gt;0,D2045*F2045,E2045*D2045)</f>
        <v>20196</v>
      </c>
      <c r="H2045" s="2210" t="n">
        <f aca="false">D2045*E2045*$H$2023</f>
        <v>0</v>
      </c>
      <c r="I2045" s="2784" t="n">
        <f aca="false">IF(G2045&gt;H2045,G2045,H2045)*$H$2022</f>
        <v>0</v>
      </c>
      <c r="J2045" s="2744"/>
      <c r="K2045" s="226" t="n">
        <f aca="false">D2045-J2045</f>
        <v>11.88</v>
      </c>
      <c r="L2045" s="2736"/>
    </row>
    <row r="2046" customFormat="false" ht="15.5" hidden="false" customHeight="false" outlineLevel="0" collapsed="false">
      <c r="A2046" s="2719"/>
      <c r="B2046" s="298" t="n">
        <f aca="false">отделка!A531</f>
        <v>0</v>
      </c>
      <c r="C2046" s="2765" t="str">
        <f aca="false">отделка!B531</f>
        <v>меш</v>
      </c>
      <c r="D2046" s="298" t="n">
        <f aca="false">отделка!C531</f>
        <v>0</v>
      </c>
      <c r="E2046" s="298" t="n">
        <f aca="false">отделка!D531</f>
        <v>0</v>
      </c>
      <c r="F2046" s="298"/>
      <c r="G2046" s="122" t="n">
        <f aca="false">IF(F2046&gt;0,D2046*F2046,E2046*D2046)</f>
        <v>0</v>
      </c>
      <c r="H2046" s="2210" t="n">
        <f aca="false">D2046*E2046*$H$2023</f>
        <v>0</v>
      </c>
      <c r="I2046" s="2784" t="n">
        <f aca="false">IF(G2046&gt;H2046,G2046,H2046)*$H$2022</f>
        <v>0</v>
      </c>
      <c r="J2046" s="2744"/>
      <c r="K2046" s="226" t="n">
        <f aca="false">D2046-J2046</f>
        <v>0</v>
      </c>
      <c r="L2046" s="2736"/>
    </row>
    <row r="2047" customFormat="false" ht="15.5" hidden="false" customHeight="false" outlineLevel="0" collapsed="false">
      <c r="A2047" s="2719"/>
      <c r="B2047" s="298" t="str">
        <f aca="false">отделка!A532</f>
        <v>Сетка штукатурная ПВС 40 Оцинкованная рулон</v>
      </c>
      <c r="C2047" s="2765" t="str">
        <f aca="false">отделка!B532</f>
        <v>м2</v>
      </c>
      <c r="D2047" s="298" t="n">
        <f aca="false">отделка!C532</f>
        <v>0</v>
      </c>
      <c r="E2047" s="298" t="n">
        <f aca="false">отделка!D532</f>
        <v>15</v>
      </c>
      <c r="F2047" s="298"/>
      <c r="G2047" s="122" t="n">
        <f aca="false">IF(F2047&gt;0,D2047*F2047,E2047*D2047)</f>
        <v>0</v>
      </c>
      <c r="H2047" s="2210" t="n">
        <f aca="false">D2047*E2047*$H$2023</f>
        <v>0</v>
      </c>
      <c r="I2047" s="2784" t="n">
        <f aca="false">IF(G2047&gt;H2047,G2047,H2047)*$H$2022</f>
        <v>0</v>
      </c>
      <c r="J2047" s="2744"/>
      <c r="K2047" s="226" t="n">
        <f aca="false">D2047-J2047</f>
        <v>0</v>
      </c>
      <c r="L2047" s="2736"/>
    </row>
    <row r="2048" customFormat="false" ht="15.5" hidden="false" customHeight="false" outlineLevel="0" collapsed="false">
      <c r="A2048" s="2719"/>
      <c r="B2048" s="298" t="str">
        <f aca="false">отделка!A533</f>
        <v>Штукатурка для наружних работ</v>
      </c>
      <c r="C2048" s="2765" t="s">
        <v>133</v>
      </c>
      <c r="D2048" s="298" t="n">
        <f aca="false">отделка!C533</f>
        <v>0</v>
      </c>
      <c r="E2048" s="298" t="n">
        <f aca="false">отделка!D533</f>
        <v>390</v>
      </c>
      <c r="F2048" s="298"/>
      <c r="G2048" s="122" t="n">
        <f aca="false">IF(F2048&gt;0,D2048*F2048,E2048*D2048)</f>
        <v>0</v>
      </c>
      <c r="H2048" s="2210" t="n">
        <f aca="false">D2048*E2048*$H$2023</f>
        <v>0</v>
      </c>
      <c r="I2048" s="2784" t="n">
        <f aca="false">IF(G2048&gt;H2048,G2048,H2048)*$H$2022</f>
        <v>0</v>
      </c>
      <c r="J2048" s="2744"/>
      <c r="K2048" s="226" t="n">
        <f aca="false">D2048-J2048</f>
        <v>0</v>
      </c>
      <c r="L2048" s="2736"/>
    </row>
    <row r="2049" customFormat="false" ht="15.5" hidden="false" customHeight="false" outlineLevel="0" collapsed="false">
      <c r="A2049" s="2719"/>
      <c r="B2049" s="2765" t="s">
        <v>1568</v>
      </c>
      <c r="C2049" s="2765"/>
      <c r="D2049" s="2765"/>
      <c r="E2049" s="2765"/>
      <c r="F2049" s="2765"/>
      <c r="G2049" s="122" t="n">
        <f aca="false">IF(F2049&gt;0,D2049*F2049,E2049*D2049)</f>
        <v>0</v>
      </c>
      <c r="H2049" s="2839" t="n">
        <f aca="false">IF(SUM(H2050:H2060)&gt;0,1,0)</f>
        <v>0</v>
      </c>
      <c r="I2049" s="2784" t="n">
        <f aca="false">IF(G2049&gt;H2049,G2049,H2049)*$H$2022</f>
        <v>0</v>
      </c>
      <c r="J2049" s="2744"/>
      <c r="K2049" s="226" t="n">
        <f aca="false">D2049-J2049</f>
        <v>0</v>
      </c>
      <c r="L2049" s="2736"/>
    </row>
    <row r="2050" customFormat="false" ht="15.5" hidden="false" customHeight="false" outlineLevel="0" collapsed="false">
      <c r="A2050" s="2719"/>
      <c r="B2050" s="298" t="str">
        <f aca="false">отделка!A535</f>
        <v>отлив металлический</v>
      </c>
      <c r="C2050" s="2765" t="str">
        <f aca="false">отделка!B535</f>
        <v>м.п.</v>
      </c>
      <c r="D2050" s="298" t="n">
        <f aca="false">отделка!C535</f>
        <v>56</v>
      </c>
      <c r="E2050" s="298" t="n">
        <f aca="false">отделка!D535</f>
        <v>100</v>
      </c>
      <c r="F2050" s="298"/>
      <c r="G2050" s="122" t="n">
        <f aca="false">IF(F2050&gt;0,D2050*F2050,E2050*D2050)</f>
        <v>5600</v>
      </c>
      <c r="H2050" s="2210" t="n">
        <f aca="false">D2050*E2050*$H$2023</f>
        <v>0</v>
      </c>
      <c r="I2050" s="2784" t="n">
        <f aca="false">IF(G2050&gt;H2050,G2050,H2050)*$H$2022</f>
        <v>0</v>
      </c>
      <c r="J2050" s="2744"/>
      <c r="K2050" s="226" t="n">
        <f aca="false">D2050-J2050</f>
        <v>56</v>
      </c>
      <c r="L2050" s="2736"/>
    </row>
    <row r="2051" customFormat="false" ht="15.5" hidden="false" customHeight="false" outlineLevel="0" collapsed="false">
      <c r="A2051" s="2719"/>
      <c r="B2051" s="298" t="str">
        <f aca="false">отделка!A536</f>
        <v>сайдинг металлический</v>
      </c>
      <c r="C2051" s="2765" t="str">
        <f aca="false">отделка!B536</f>
        <v>м2</v>
      </c>
      <c r="D2051" s="298" t="n">
        <f aca="false">отделка!C536</f>
        <v>0</v>
      </c>
      <c r="E2051" s="298" t="n">
        <f aca="false">отделка!D536</f>
        <v>550</v>
      </c>
      <c r="F2051" s="298"/>
      <c r="G2051" s="122" t="n">
        <f aca="false">IF(F2051&gt;0,D2051*F2051,E2051*D2051)</f>
        <v>0</v>
      </c>
      <c r="H2051" s="2210" t="n">
        <f aca="false">D2051*E2051*$H$2023</f>
        <v>0</v>
      </c>
      <c r="I2051" s="2784" t="n">
        <f aca="false">IF(G2051&gt;H2051,G2051,H2051)*$H$2022</f>
        <v>0</v>
      </c>
      <c r="J2051" s="2744"/>
      <c r="K2051" s="226" t="n">
        <f aca="false">D2051-J2051</f>
        <v>0</v>
      </c>
      <c r="L2051" s="2736"/>
    </row>
    <row r="2052" customFormat="false" ht="15.5" hidden="false" customHeight="false" outlineLevel="0" collapsed="false">
      <c r="A2052" s="2719"/>
      <c r="B2052" s="298" t="str">
        <f aca="false">отделка!A537</f>
        <v>камень природный</v>
      </c>
      <c r="C2052" s="2765" t="str">
        <f aca="false">отделка!B537</f>
        <v>м2</v>
      </c>
      <c r="D2052" s="298" t="n">
        <f aca="false">отделка!C537</f>
        <v>22.4</v>
      </c>
      <c r="E2052" s="298" t="n">
        <f aca="false">отделка!D537</f>
        <v>600</v>
      </c>
      <c r="F2052" s="298"/>
      <c r="G2052" s="122" t="n">
        <f aca="false">IF(F2052&gt;0,D2052*F2052,E2052*D2052)</f>
        <v>13440</v>
      </c>
      <c r="H2052" s="2210" t="n">
        <f aca="false">D2052*E2052*$H$2023</f>
        <v>0</v>
      </c>
      <c r="I2052" s="2784" t="n">
        <f aca="false">IF(G2052&gt;H2052,G2052,H2052)*$H$2022</f>
        <v>0</v>
      </c>
      <c r="J2052" s="2744"/>
      <c r="K2052" s="226" t="n">
        <f aca="false">D2052-J2052</f>
        <v>22.4</v>
      </c>
      <c r="L2052" s="2736"/>
    </row>
    <row r="2053" customFormat="false" ht="15.5" hidden="false" customHeight="false" outlineLevel="0" collapsed="false">
      <c r="A2053" s="2719"/>
      <c r="B2053" s="298" t="str">
        <f aca="false">отделка!A538</f>
        <v>камень искуственный</v>
      </c>
      <c r="C2053" s="2765" t="str">
        <f aca="false">отделка!B538</f>
        <v>м2</v>
      </c>
      <c r="D2053" s="298" t="n">
        <f aca="false">отделка!C538</f>
        <v>0</v>
      </c>
      <c r="E2053" s="298" t="n">
        <f aca="false">отделка!D538</f>
        <v>1000</v>
      </c>
      <c r="F2053" s="298"/>
      <c r="G2053" s="122" t="n">
        <f aca="false">IF(F2053&gt;0,D2053*F2053,E2053*D2053)</f>
        <v>0</v>
      </c>
      <c r="H2053" s="2210" t="n">
        <f aca="false">D2053*E2053*$H$2023</f>
        <v>0</v>
      </c>
      <c r="I2053" s="2784" t="n">
        <f aca="false">IF(G2053&gt;H2053,G2053,H2053)*$H$2022</f>
        <v>0</v>
      </c>
      <c r="J2053" s="2744"/>
      <c r="K2053" s="226" t="n">
        <f aca="false">D2053-J2053</f>
        <v>0</v>
      </c>
      <c r="L2053" s="2736"/>
    </row>
    <row r="2054" customFormat="false" ht="15.5" hidden="false" customHeight="false" outlineLevel="0" collapsed="false">
      <c r="A2054" s="2719"/>
      <c r="B2054" s="298" t="str">
        <f aca="false">отделка!A539</f>
        <v>клей для камня</v>
      </c>
      <c r="C2054" s="2765" t="str">
        <f aca="false">отделка!B539</f>
        <v>меш</v>
      </c>
      <c r="D2054" s="298" t="n">
        <f aca="false">отделка!C539</f>
        <v>7.46666666666667</v>
      </c>
      <c r="E2054" s="298" t="n">
        <f aca="false">отделка!D539</f>
        <v>250</v>
      </c>
      <c r="F2054" s="298"/>
      <c r="G2054" s="122" t="n">
        <f aca="false">IF(F2054&gt;0,D2054*F2054,E2054*D2054)</f>
        <v>1866.66666666667</v>
      </c>
      <c r="H2054" s="2210" t="n">
        <f aca="false">D2054*E2054*$H$2023</f>
        <v>0</v>
      </c>
      <c r="I2054" s="2784" t="n">
        <f aca="false">IF(G2054&gt;H2054,G2054,H2054)*$H$2022</f>
        <v>0</v>
      </c>
      <c r="J2054" s="2744"/>
      <c r="K2054" s="226" t="n">
        <f aca="false">D2054-J2054</f>
        <v>7.46666666666667</v>
      </c>
      <c r="L2054" s="2736"/>
    </row>
    <row r="2055" customFormat="false" ht="15.5" hidden="false" customHeight="false" outlineLevel="0" collapsed="false">
      <c r="A2055" s="2719"/>
      <c r="B2055" s="298" t="str">
        <f aca="false">отделка!A540</f>
        <v>Грунт  1</v>
      </c>
      <c r="C2055" s="2765" t="str">
        <f aca="false">отделка!B540</f>
        <v>л</v>
      </c>
      <c r="D2055" s="298" t="n">
        <f aca="false">отделка!C540</f>
        <v>0</v>
      </c>
      <c r="E2055" s="298" t="n">
        <f aca="false">отделка!D540</f>
        <v>100</v>
      </c>
      <c r="F2055" s="298"/>
      <c r="G2055" s="122" t="n">
        <f aca="false">IF(F2055&gt;0,D2055*F2055,E2055*D2055)</f>
        <v>0</v>
      </c>
      <c r="H2055" s="2210" t="n">
        <f aca="false">D2055*E2055*$H$2023</f>
        <v>0</v>
      </c>
      <c r="I2055" s="2784" t="n">
        <f aca="false">IF(G2055&gt;H2055,G2055,H2055)*$H$2022</f>
        <v>0</v>
      </c>
      <c r="J2055" s="2744"/>
      <c r="K2055" s="226" t="n">
        <f aca="false">D2055-J2055</f>
        <v>0</v>
      </c>
      <c r="L2055" s="2736"/>
    </row>
    <row r="2056" customFormat="false" ht="15.5" hidden="false" customHeight="false" outlineLevel="0" collapsed="false">
      <c r="A2056" s="2719"/>
      <c r="B2056" s="298" t="str">
        <f aca="false">отделка!A541</f>
        <v>нет</v>
      </c>
      <c r="C2056" s="2765" t="str">
        <f aca="false">отделка!B541</f>
        <v>м.п.</v>
      </c>
      <c r="D2056" s="298" t="n">
        <f aca="false">отделка!C541</f>
        <v>45.28</v>
      </c>
      <c r="E2056" s="298" t="n">
        <f aca="false">отделка!D541</f>
        <v>0</v>
      </c>
      <c r="F2056" s="298"/>
      <c r="G2056" s="122" t="n">
        <f aca="false">IF(F2056&gt;0,D2056*F2056,E2056*D2056)</f>
        <v>0</v>
      </c>
      <c r="H2056" s="2210" t="n">
        <f aca="false">D2056*E2056*$H$2023</f>
        <v>0</v>
      </c>
      <c r="I2056" s="2784" t="n">
        <f aca="false">IF(G2056&gt;H2056,G2056,H2056)*$H$2022</f>
        <v>0</v>
      </c>
      <c r="J2056" s="2744"/>
      <c r="K2056" s="226" t="n">
        <f aca="false">D2056-J2056</f>
        <v>45.28</v>
      </c>
      <c r="L2056" s="2736"/>
    </row>
    <row r="2057" customFormat="false" ht="15.5" hidden="false" customHeight="false" outlineLevel="0" collapsed="false">
      <c r="A2057" s="2719"/>
      <c r="B2057" s="298" t="str">
        <f aca="false">отделка!A542</f>
        <v>Фасадный кронштейн КК 120</v>
      </c>
      <c r="C2057" s="2765" t="str">
        <f aca="false">отделка!B542</f>
        <v>шт</v>
      </c>
      <c r="D2057" s="298" t="n">
        <f aca="false">отделка!C542</f>
        <v>168</v>
      </c>
      <c r="E2057" s="298" t="n">
        <f aca="false">отделка!D542</f>
        <v>19</v>
      </c>
      <c r="F2057" s="298"/>
      <c r="G2057" s="122" t="n">
        <f aca="false">IF(F2057&gt;0,D2057*F2057,E2057*D2057)</f>
        <v>3192</v>
      </c>
      <c r="H2057" s="2210" t="n">
        <f aca="false">D2057*E2057*$H$2023</f>
        <v>0</v>
      </c>
      <c r="I2057" s="2784" t="n">
        <f aca="false">IF(G2057&gt;H2057,G2057,H2057)*$H$2022</f>
        <v>0</v>
      </c>
      <c r="J2057" s="2744"/>
      <c r="K2057" s="226" t="n">
        <f aca="false">D2057-J2057</f>
        <v>168</v>
      </c>
      <c r="L2057" s="2736"/>
    </row>
    <row r="2058" customFormat="false" ht="15.5" hidden="false" customHeight="false" outlineLevel="0" collapsed="false">
      <c r="A2058" s="2719"/>
      <c r="B2058" s="298" t="str">
        <f aca="false">отделка!A543</f>
        <v>Болты анкерные с гайкой 10,0 х 97</v>
      </c>
      <c r="C2058" s="2765" t="str">
        <f aca="false">отделка!B543</f>
        <v>шт</v>
      </c>
      <c r="D2058" s="298" t="n">
        <f aca="false">отделка!C543</f>
        <v>336</v>
      </c>
      <c r="E2058" s="298" t="n">
        <f aca="false">отделка!D543</f>
        <v>7.4</v>
      </c>
      <c r="F2058" s="298"/>
      <c r="G2058" s="122" t="n">
        <f aca="false">IF(F2058&gt;0,D2058*F2058,E2058*D2058)</f>
        <v>2486.4</v>
      </c>
      <c r="H2058" s="2210" t="n">
        <f aca="false">D2058*E2058*$H$2023</f>
        <v>0</v>
      </c>
      <c r="I2058" s="2784" t="n">
        <f aca="false">IF(G2058&gt;H2058,G2058,H2058)*$H$2022</f>
        <v>0</v>
      </c>
      <c r="J2058" s="2744"/>
      <c r="K2058" s="226" t="n">
        <f aca="false">D2058-J2058</f>
        <v>336</v>
      </c>
      <c r="L2058" s="2736"/>
    </row>
    <row r="2059" customFormat="false" ht="15.5" hidden="false" customHeight="false" outlineLevel="0" collapsed="false">
      <c r="A2059" s="2719"/>
      <c r="B2059" s="298" t="str">
        <f aca="false">отделка!A544</f>
        <v>Саморезы 3,5 x 45</v>
      </c>
      <c r="C2059" s="2765" t="s">
        <v>159</v>
      </c>
      <c r="D2059" s="298" t="n">
        <f aca="false">отделка!C544</f>
        <v>336</v>
      </c>
      <c r="E2059" s="298" t="n">
        <f aca="false">отделка!D544</f>
        <v>0.25</v>
      </c>
      <c r="F2059" s="298"/>
      <c r="G2059" s="122" t="n">
        <f aca="false">IF(F2059&gt;0,D2059*F2059,E2059*D2059)</f>
        <v>84</v>
      </c>
      <c r="H2059" s="2210" t="n">
        <f aca="false">D2059*E2059*$H$2023</f>
        <v>0</v>
      </c>
      <c r="I2059" s="2784" t="n">
        <f aca="false">IF(G2059&gt;H2059,G2059,H2059)*$H$2022</f>
        <v>0</v>
      </c>
      <c r="J2059" s="2744"/>
      <c r="K2059" s="226" t="n">
        <f aca="false">D2059-J2059</f>
        <v>336</v>
      </c>
      <c r="L2059" s="2736"/>
    </row>
    <row r="2060" customFormat="false" ht="15.5" hidden="false" customHeight="false" outlineLevel="0" collapsed="false">
      <c r="A2060" s="2719"/>
      <c r="B2060" s="298" t="str">
        <f aca="false">отделка!A545</f>
        <v>Плоский шифер 8 мм</v>
      </c>
      <c r="C2060" s="2765" t="str">
        <f aca="false">отделка!B545</f>
        <v>м2</v>
      </c>
      <c r="D2060" s="298" t="n">
        <f aca="false">отделка!C545</f>
        <v>0</v>
      </c>
      <c r="E2060" s="298" t="n">
        <f aca="false">отделка!D545</f>
        <v>85</v>
      </c>
      <c r="F2060" s="298"/>
      <c r="G2060" s="122" t="n">
        <f aca="false">IF(F2060&gt;0,D2060*F2060,E2060*D2060)</f>
        <v>0</v>
      </c>
      <c r="H2060" s="2210" t="n">
        <f aca="false">D2060*E2060*$H$2023</f>
        <v>0</v>
      </c>
      <c r="I2060" s="2784" t="n">
        <f aca="false">IF(G2060&gt;H2060,G2060,H2060)*$H$2022</f>
        <v>0</v>
      </c>
      <c r="J2060" s="2744"/>
      <c r="K2060" s="226" t="n">
        <f aca="false">D2060-J2060</f>
        <v>0</v>
      </c>
      <c r="L2060" s="2736"/>
    </row>
    <row r="2061" customFormat="false" ht="15.5" hidden="false" customHeight="false" outlineLevel="0" collapsed="false">
      <c r="A2061" s="2719"/>
      <c r="B2061" s="2765" t="s">
        <v>3965</v>
      </c>
      <c r="C2061" s="2765"/>
      <c r="D2061" s="2765"/>
      <c r="E2061" s="2765"/>
      <c r="F2061" s="2765"/>
      <c r="G2061" s="122" t="n">
        <f aca="false">IF(F2061&gt;0,D2061*F2061,E2061*D2061)</f>
        <v>0</v>
      </c>
      <c r="H2061" s="2839" t="n">
        <f aca="false">IF(SUM(H2062:H2068)&gt;0,1,0)</f>
        <v>0</v>
      </c>
      <c r="I2061" s="2784" t="n">
        <f aca="false">IF(G2061&gt;H2061,G2061,H2061)*$H$2022</f>
        <v>0</v>
      </c>
      <c r="J2061" s="2744"/>
      <c r="K2061" s="226" t="n">
        <f aca="false">D2061-J2061</f>
        <v>0</v>
      </c>
      <c r="L2061" s="2736"/>
    </row>
    <row r="2062" customFormat="false" ht="15.5" hidden="false" customHeight="false" outlineLevel="0" collapsed="false">
      <c r="A2062" s="2719"/>
      <c r="B2062" s="298" t="str">
        <f aca="false">отделка!A547</f>
        <v>планкен</v>
      </c>
      <c r="C2062" s="2765" t="str">
        <f aca="false">отделка!B547</f>
        <v>м2</v>
      </c>
      <c r="D2062" s="298" t="n">
        <f aca="false">отделка!C547</f>
        <v>0</v>
      </c>
      <c r="E2062" s="298" t="n">
        <f aca="false">отделка!D547</f>
        <v>0</v>
      </c>
      <c r="F2062" s="298"/>
      <c r="G2062" s="122" t="n">
        <f aca="false">IF(F2062&gt;0,D2062*F2062,E2062*D2062)</f>
        <v>0</v>
      </c>
      <c r="H2062" s="2210" t="n">
        <f aca="false">D2062*E2062*$H$2023</f>
        <v>0</v>
      </c>
      <c r="I2062" s="2784" t="n">
        <f aca="false">IF(G2062&gt;H2062,G2062,H2062)*$H$2022</f>
        <v>0</v>
      </c>
      <c r="J2062" s="2744"/>
      <c r="K2062" s="226" t="n">
        <f aca="false">D2062-J2062</f>
        <v>0</v>
      </c>
      <c r="L2062" s="2736"/>
    </row>
    <row r="2063" customFormat="false" ht="15.5" hidden="false" customHeight="false" outlineLevel="0" collapsed="false">
      <c r="A2063" s="2719"/>
      <c r="B2063" s="298" t="str">
        <f aca="false">отделка!A548</f>
        <v>Доска сухая, калибр., 35*45мм</v>
      </c>
      <c r="C2063" s="2765" t="str">
        <f aca="false">отделка!B548</f>
        <v>м.п.</v>
      </c>
      <c r="D2063" s="298" t="n">
        <f aca="false">отделка!C548</f>
        <v>112</v>
      </c>
      <c r="E2063" s="298" t="n">
        <f aca="false">отделка!D548</f>
        <v>19.6875</v>
      </c>
      <c r="F2063" s="298"/>
      <c r="G2063" s="122" t="n">
        <f aca="false">IF(F2063&gt;0,D2063*F2063,E2063*D2063)</f>
        <v>2205</v>
      </c>
      <c r="H2063" s="2210" t="n">
        <f aca="false">D2063*E2063*$H$2023</f>
        <v>0</v>
      </c>
      <c r="I2063" s="2784" t="n">
        <f aca="false">IF(G2063&gt;H2063,G2063,H2063)*$H$2022</f>
        <v>0</v>
      </c>
      <c r="J2063" s="2744"/>
      <c r="K2063" s="226" t="n">
        <f aca="false">D2063-J2063</f>
        <v>112</v>
      </c>
      <c r="L2063" s="2736"/>
    </row>
    <row r="2064" customFormat="false" ht="15.5" hidden="false" customHeight="false" outlineLevel="0" collapsed="false">
      <c r="A2064" s="2719"/>
      <c r="B2064" s="298" t="str">
        <f aca="false">отделка!A549</f>
        <v>сайдинг</v>
      </c>
      <c r="C2064" s="2765" t="str">
        <f aca="false">отделка!B549</f>
        <v>м2</v>
      </c>
      <c r="D2064" s="298" t="n">
        <f aca="false">отделка!C549</f>
        <v>0</v>
      </c>
      <c r="E2064" s="298" t="n">
        <f aca="false">отделка!D549</f>
        <v>350</v>
      </c>
      <c r="F2064" s="298"/>
      <c r="G2064" s="122" t="n">
        <f aca="false">IF(F2064&gt;0,D2064*F2064,E2064*D2064)</f>
        <v>0</v>
      </c>
      <c r="H2064" s="2210" t="n">
        <f aca="false">D2064*E2064*$H$2023</f>
        <v>0</v>
      </c>
      <c r="I2064" s="2784" t="n">
        <f aca="false">IF(G2064&gt;H2064,G2064,H2064)*$H$2022</f>
        <v>0</v>
      </c>
      <c r="J2064" s="2744"/>
      <c r="K2064" s="226" t="n">
        <f aca="false">D2064-J2064</f>
        <v>0</v>
      </c>
      <c r="L2064" s="2736"/>
    </row>
    <row r="2065" customFormat="false" ht="15.5" hidden="false" customHeight="false" outlineLevel="0" collapsed="false">
      <c r="A2065" s="2719"/>
      <c r="B2065" s="298" t="str">
        <f aca="false">отделка!A550</f>
        <v>торцевая планка винил</v>
      </c>
      <c r="C2065" s="2765" t="str">
        <f aca="false">отделка!B550</f>
        <v>м.п.</v>
      </c>
      <c r="D2065" s="298" t="n">
        <f aca="false">отделка!C550</f>
        <v>0</v>
      </c>
      <c r="E2065" s="298" t="n">
        <f aca="false">отделка!D550</f>
        <v>60</v>
      </c>
      <c r="F2065" s="298"/>
      <c r="G2065" s="122" t="n">
        <f aca="false">IF(F2065&gt;0,D2065*F2065,E2065*D2065)</f>
        <v>0</v>
      </c>
      <c r="H2065" s="2210" t="n">
        <f aca="false">D2065*E2065*$H$2023</f>
        <v>0</v>
      </c>
      <c r="I2065" s="2784" t="n">
        <f aca="false">IF(G2065&gt;H2065,G2065,H2065)*$H$2022</f>
        <v>0</v>
      </c>
      <c r="J2065" s="2744"/>
      <c r="K2065" s="226" t="n">
        <f aca="false">D2065-J2065</f>
        <v>0</v>
      </c>
      <c r="L2065" s="2736"/>
    </row>
    <row r="2066" customFormat="false" ht="15.5" hidden="false" customHeight="false" outlineLevel="0" collapsed="false">
      <c r="A2066" s="2719"/>
      <c r="B2066" s="298" t="str">
        <f aca="false">отделка!A551</f>
        <v>стартовый профиль для сайдинга</v>
      </c>
      <c r="C2066" s="2765" t="str">
        <f aca="false">отделка!B551</f>
        <v>м.п.</v>
      </c>
      <c r="D2066" s="298" t="n">
        <f aca="false">отделка!C551</f>
        <v>0</v>
      </c>
      <c r="E2066" s="298" t="n">
        <f aca="false">отделка!D551</f>
        <v>40</v>
      </c>
      <c r="F2066" s="298"/>
      <c r="G2066" s="122" t="n">
        <f aca="false">IF(F2066&gt;0,D2066*F2066,E2066*D2066)</f>
        <v>0</v>
      </c>
      <c r="H2066" s="2210" t="n">
        <f aca="false">D2066*E2066*$H$2023</f>
        <v>0</v>
      </c>
      <c r="I2066" s="2784" t="n">
        <f aca="false">IF(G2066&gt;H2066,G2066,H2066)*$H$2022</f>
        <v>0</v>
      </c>
      <c r="J2066" s="2744"/>
      <c r="K2066" s="226" t="n">
        <f aca="false">D2066-J2066</f>
        <v>0</v>
      </c>
      <c r="L2066" s="2736"/>
    </row>
    <row r="2067" customFormat="false" ht="15.5" hidden="false" customHeight="false" outlineLevel="0" collapsed="false">
      <c r="A2067" s="2719"/>
      <c r="B2067" s="298" t="str">
        <f aca="false">отделка!A552</f>
        <v>Саморезы 3,5 x 45</v>
      </c>
      <c r="C2067" s="2765" t="str">
        <f aca="false">отделка!B552</f>
        <v>шт</v>
      </c>
      <c r="D2067" s="298" t="n">
        <f aca="false">отделка!C552</f>
        <v>336</v>
      </c>
      <c r="E2067" s="298" t="n">
        <f aca="false">отделка!D552</f>
        <v>0.25</v>
      </c>
      <c r="F2067" s="298"/>
      <c r="G2067" s="122" t="n">
        <f aca="false">IF(F2067&gt;0,D2067*F2067,E2067*D2067)</f>
        <v>84</v>
      </c>
      <c r="H2067" s="2210" t="n">
        <f aca="false">D2067*E2067*$H$2023</f>
        <v>0</v>
      </c>
      <c r="I2067" s="2784" t="n">
        <f aca="false">IF(G2067&gt;H2067,G2067,H2067)*$H$2022</f>
        <v>0</v>
      </c>
      <c r="J2067" s="2744"/>
      <c r="K2067" s="226" t="n">
        <f aca="false">D2067-J2067</f>
        <v>336</v>
      </c>
      <c r="L2067" s="2736"/>
    </row>
    <row r="2068" customFormat="false" ht="15.5" hidden="false" customHeight="false" outlineLevel="0" collapsed="false">
      <c r="A2068" s="2719"/>
      <c r="B2068" s="298" t="str">
        <f aca="false">отделка!A553</f>
        <v>Саморезы 4,2 х 75</v>
      </c>
      <c r="C2068" s="2765" t="str">
        <f aca="false">отделка!B553</f>
        <v>шт</v>
      </c>
      <c r="D2068" s="298" t="n">
        <f aca="false">отделка!C553</f>
        <v>0</v>
      </c>
      <c r="E2068" s="298" t="n">
        <f aca="false">отделка!D553</f>
        <v>0.45</v>
      </c>
      <c r="F2068" s="298"/>
      <c r="G2068" s="122" t="n">
        <f aca="false">IF(F2068&gt;0,D2068*F2068,E2068*D2068)</f>
        <v>0</v>
      </c>
      <c r="H2068" s="2210" t="n">
        <f aca="false">D2068*E2068*$H$2023</f>
        <v>0</v>
      </c>
      <c r="I2068" s="2784" t="n">
        <f aca="false">IF(G2068&gt;H2068,G2068,H2068)*$H$2022</f>
        <v>0</v>
      </c>
      <c r="J2068" s="2744"/>
      <c r="K2068" s="226" t="n">
        <f aca="false">D2068-J2068</f>
        <v>0</v>
      </c>
      <c r="L2068" s="2736"/>
    </row>
    <row r="2069" customFormat="false" ht="15.5" hidden="false" customHeight="false" outlineLevel="0" collapsed="false">
      <c r="A2069" s="2719"/>
      <c r="B2069" s="2748" t="s">
        <v>4640</v>
      </c>
      <c r="C2069" s="2748"/>
      <c r="D2069" s="2748"/>
      <c r="E2069" s="2748"/>
      <c r="F2069" s="2748"/>
      <c r="G2069" s="2210" t="n">
        <f aca="false">SUM(G2025:G2068)*H2022</f>
        <v>0</v>
      </c>
      <c r="H2069" s="2210" t="n">
        <f aca="false">SUM(H2025:H2068)</f>
        <v>0</v>
      </c>
      <c r="I2069" s="2784" t="n">
        <f aca="false">IF(G2069&gt;H2069,G2069,H2069)*$H$2022</f>
        <v>0</v>
      </c>
      <c r="J2069" s="2744"/>
      <c r="K2069" s="226" t="n">
        <f aca="false">D2069-J2069</f>
        <v>0</v>
      </c>
      <c r="L2069" s="2736"/>
    </row>
    <row r="2070" customFormat="false" ht="15.5" hidden="false" customHeight="false" outlineLevel="0" collapsed="false">
      <c r="A2070" s="2719"/>
      <c r="B2070" s="2750" t="s">
        <v>1409</v>
      </c>
      <c r="C2070" s="2750"/>
      <c r="D2070" s="2750"/>
      <c r="E2070" s="2750"/>
      <c r="F2070" s="2750"/>
      <c r="G2070" s="905"/>
      <c r="H2070" s="2766" t="n">
        <f aca="false">H2022</f>
        <v>0</v>
      </c>
      <c r="I2070" s="2818" t="n">
        <f aca="false">H2070</f>
        <v>0</v>
      </c>
      <c r="L2070" s="878"/>
      <c r="M2070" s="878"/>
    </row>
    <row r="2071" customFormat="false" ht="15.5" hidden="false" customHeight="false" outlineLevel="0" collapsed="false">
      <c r="A2071" s="2712"/>
      <c r="B2071" s="2765" t="s">
        <v>1552</v>
      </c>
      <c r="C2071" s="2765"/>
      <c r="D2071" s="2765"/>
      <c r="E2071" s="2765"/>
      <c r="F2071" s="2765"/>
      <c r="G2071" s="122" t="n">
        <f aca="false">IF(F2071&gt;0,D2071*F2071,E2071*D2071)</f>
        <v>0</v>
      </c>
      <c r="H2071" s="2839" t="n">
        <f aca="false">IF(SUM(H2072:H2085)&gt;0,1,0)</f>
        <v>0</v>
      </c>
      <c r="I2071" s="2718" t="n">
        <f aca="false">IF(G2071&gt;H2071,G2071,H2071)*$H$2022</f>
        <v>0</v>
      </c>
      <c r="L2071" s="878"/>
      <c r="M2071" s="878"/>
    </row>
    <row r="2072" customFormat="false" ht="15.5" hidden="false" customHeight="false" outlineLevel="0" collapsed="false">
      <c r="A2072" s="2719"/>
      <c r="B2072" s="2648" t="str">
        <f aca="false">отделка!G509</f>
        <v>кладка кирпича облицов</v>
      </c>
      <c r="C2072" s="2765" t="str">
        <f aca="false">отделка!I509</f>
        <v>м2</v>
      </c>
      <c r="D2072" s="298" t="n">
        <f aca="false">отделка!J509</f>
        <v>118.8</v>
      </c>
      <c r="E2072" s="177" t="n">
        <f aca="false">отделка!K509</f>
        <v>500</v>
      </c>
      <c r="F2072" s="177"/>
      <c r="G2072" s="122" t="n">
        <f aca="false">IF(F2072&gt;0,D2072*F2072,E2072*D2072)</f>
        <v>59400</v>
      </c>
      <c r="H2072" s="2210" t="n">
        <f aca="false">D2072*E2072*$H$2070</f>
        <v>0</v>
      </c>
      <c r="I2072" s="2718" t="n">
        <f aca="false">IF(G2072&gt;H2072,G2072,H2072)*$H$2022</f>
        <v>0</v>
      </c>
      <c r="L2072" s="878"/>
      <c r="M2072" s="878"/>
    </row>
    <row r="2073" customFormat="false" ht="15.5" hidden="false" customHeight="false" outlineLevel="0" collapsed="false">
      <c r="A2073" s="2719"/>
      <c r="B2073" s="2648" t="str">
        <f aca="false">отделка!G510</f>
        <v>монтаж подсистемы</v>
      </c>
      <c r="C2073" s="2765" t="str">
        <f aca="false">отделка!I510</f>
        <v>м2</v>
      </c>
      <c r="D2073" s="298" t="n">
        <f aca="false">отделка!J510</f>
        <v>118.8</v>
      </c>
      <c r="E2073" s="177" t="n">
        <f aca="false">отделка!K510</f>
        <v>200</v>
      </c>
      <c r="F2073" s="177"/>
      <c r="G2073" s="122" t="n">
        <f aca="false">IF(F2073&gt;0,D2073*F2073,E2073*D2073)</f>
        <v>23760</v>
      </c>
      <c r="H2073" s="2210" t="n">
        <f aca="false">D2073*E2073*$H$2070</f>
        <v>0</v>
      </c>
      <c r="I2073" s="2718" t="n">
        <f aca="false">IF(G2073&gt;H2073,G2073,H2073)*$H$2022</f>
        <v>0</v>
      </c>
      <c r="J2073" s="2712"/>
      <c r="K2073" s="2719"/>
    </row>
    <row r="2074" customFormat="false" ht="15.5" hidden="false" customHeight="false" outlineLevel="0" collapsed="false">
      <c r="A2074" s="2719"/>
      <c r="B2074" s="2648" t="str">
        <f aca="false">отделка!G511</f>
        <v>сайдинг виниловый</v>
      </c>
      <c r="C2074" s="2765" t="str">
        <f aca="false">отделка!I511</f>
        <v>м2</v>
      </c>
      <c r="D2074" s="298" t="n">
        <f aca="false">отделка!J511</f>
        <v>0</v>
      </c>
      <c r="E2074" s="177" t="n">
        <f aca="false">отделка!K511</f>
        <v>300</v>
      </c>
      <c r="F2074" s="177"/>
      <c r="G2074" s="122" t="n">
        <f aca="false">IF(F2074&gt;0,D2074*F2074,E2074*D2074)</f>
        <v>0</v>
      </c>
      <c r="H2074" s="2210" t="n">
        <f aca="false">D2074*E2074*$H$2070</f>
        <v>0</v>
      </c>
      <c r="I2074" s="2718" t="n">
        <f aca="false">IF(G2074&gt;H2074,G2074,H2074)*$H$2022</f>
        <v>0</v>
      </c>
      <c r="J2074" s="2712"/>
      <c r="K2074" s="2719"/>
    </row>
    <row r="2075" customFormat="false" ht="15.5" hidden="false" customHeight="false" outlineLevel="0" collapsed="false">
      <c r="A2075" s="2719"/>
      <c r="B2075" s="2648" t="str">
        <f aca="false">отделка!G512</f>
        <v>сайдинг металл</v>
      </c>
      <c r="C2075" s="2765" t="str">
        <f aca="false">отделка!I512</f>
        <v>м2</v>
      </c>
      <c r="D2075" s="298" t="n">
        <f aca="false">отделка!J512</f>
        <v>0</v>
      </c>
      <c r="E2075" s="177" t="n">
        <f aca="false">отделка!K512</f>
        <v>350</v>
      </c>
      <c r="F2075" s="177"/>
      <c r="G2075" s="122" t="n">
        <f aca="false">IF(F2075&gt;0,D2075*F2075,E2075*D2075)</f>
        <v>0</v>
      </c>
      <c r="H2075" s="2210" t="n">
        <f aca="false">D2075*E2075*$H$2070</f>
        <v>0</v>
      </c>
      <c r="I2075" s="2718" t="n">
        <f aca="false">IF(G2075&gt;H2075,G2075,H2075)*$H$2022</f>
        <v>0</v>
      </c>
      <c r="J2075" s="2712"/>
      <c r="K2075" s="2719"/>
    </row>
    <row r="2076" customFormat="false" ht="15.5" hidden="false" customHeight="false" outlineLevel="0" collapsed="false">
      <c r="A2076" s="2719"/>
      <c r="B2076" s="2648" t="str">
        <f aca="false">отделка!G513</f>
        <v>планкен</v>
      </c>
      <c r="C2076" s="2765" t="str">
        <f aca="false">отделка!I513</f>
        <v>м2</v>
      </c>
      <c r="D2076" s="298" t="n">
        <f aca="false">отделка!J513</f>
        <v>0</v>
      </c>
      <c r="E2076" s="177" t="n">
        <f aca="false">отделка!K513</f>
        <v>500</v>
      </c>
      <c r="F2076" s="177"/>
      <c r="G2076" s="122" t="n">
        <f aca="false">IF(F2076&gt;0,D2076*F2076,E2076*D2076)</f>
        <v>0</v>
      </c>
      <c r="H2076" s="2210" t="n">
        <f aca="false">D2076*E2076*$H$2070</f>
        <v>0</v>
      </c>
      <c r="I2076" s="2718" t="n">
        <f aca="false">IF(G2076&gt;H2076,G2076,H2076)*$H$2022</f>
        <v>0</v>
      </c>
      <c r="J2076" s="2712"/>
      <c r="K2076" s="2719"/>
    </row>
    <row r="2077" customFormat="false" ht="15.5" hidden="false" customHeight="false" outlineLevel="0" collapsed="false">
      <c r="A2077" s="2719"/>
      <c r="B2077" s="2648" t="str">
        <f aca="false">отделка!G514</f>
        <v>камень</v>
      </c>
      <c r="C2077" s="2765" t="str">
        <f aca="false">отделка!I514</f>
        <v>м2</v>
      </c>
      <c r="D2077" s="298" t="n">
        <f aca="false">отделка!J514</f>
        <v>0</v>
      </c>
      <c r="E2077" s="177" t="n">
        <f aca="false">отделка!K514</f>
        <v>600</v>
      </c>
      <c r="F2077" s="177"/>
      <c r="G2077" s="122" t="n">
        <f aca="false">IF(F2077&gt;0,D2077*F2077,E2077*D2077)</f>
        <v>0</v>
      </c>
      <c r="H2077" s="2210" t="n">
        <f aca="false">D2077*E2077*$H$2070</f>
        <v>0</v>
      </c>
      <c r="I2077" s="2718" t="n">
        <f aca="false">IF(G2077&gt;H2077,G2077,H2077)*$H$2022</f>
        <v>0</v>
      </c>
      <c r="J2077" s="2712"/>
      <c r="K2077" s="2719"/>
    </row>
    <row r="2078" customFormat="false" ht="15.5" hidden="false" customHeight="false" outlineLevel="0" collapsed="false">
      <c r="A2078" s="2719"/>
      <c r="B2078" s="2648" t="str">
        <f aca="false">отделка!G515</f>
        <v>окрашивание поверхности</v>
      </c>
      <c r="C2078" s="2765" t="str">
        <f aca="false">отделка!I515</f>
        <v>м2</v>
      </c>
      <c r="D2078" s="298" t="n">
        <f aca="false">отделка!J515</f>
        <v>0</v>
      </c>
      <c r="E2078" s="177" t="n">
        <f aca="false">отделка!K515</f>
        <v>200</v>
      </c>
      <c r="F2078" s="177"/>
      <c r="G2078" s="122" t="n">
        <f aca="false">IF(F2078&gt;0,D2078*F2078,E2078*D2078)</f>
        <v>0</v>
      </c>
      <c r="H2078" s="2210" t="n">
        <f aca="false">D2078*E2078*$H$2070</f>
        <v>0</v>
      </c>
      <c r="I2078" s="2718" t="n">
        <f aca="false">IF(G2078&gt;H2078,G2078,H2078)*$H$2022</f>
        <v>0</v>
      </c>
      <c r="J2078" s="2712"/>
      <c r="K2078" s="2719"/>
    </row>
    <row r="2079" customFormat="false" ht="15.5" hidden="false" customHeight="false" outlineLevel="0" collapsed="false">
      <c r="A2079" s="2719"/>
      <c r="B2079" s="2648" t="str">
        <f aca="false">отделка!G516</f>
        <v>лакирование пов-ти</v>
      </c>
      <c r="C2079" s="2765" t="str">
        <f aca="false">отделка!I516</f>
        <v>м2</v>
      </c>
      <c r="D2079" s="298" t="n">
        <f aca="false">отделка!J516</f>
        <v>0</v>
      </c>
      <c r="E2079" s="177" t="n">
        <f aca="false">отделка!K516</f>
        <v>300</v>
      </c>
      <c r="F2079" s="177"/>
      <c r="G2079" s="122" t="n">
        <f aca="false">IF(F2079&gt;0,D2079*F2079,E2079*D2079)</f>
        <v>0</v>
      </c>
      <c r="H2079" s="2210" t="n">
        <f aca="false">D2079*E2079*$H$2070</f>
        <v>0</v>
      </c>
      <c r="I2079" s="2718" t="n">
        <f aca="false">IF(G2079&gt;H2079,G2079,H2079)*$H$2022</f>
        <v>0</v>
      </c>
      <c r="J2079" s="2712"/>
      <c r="K2079" s="2719"/>
    </row>
    <row r="2080" customFormat="false" ht="15.5" hidden="false" customHeight="false" outlineLevel="0" collapsed="false">
      <c r="A2080" s="2719"/>
      <c r="B2080" s="2648" t="str">
        <f aca="false">отделка!G517</f>
        <v>монтаж плоский шифер</v>
      </c>
      <c r="C2080" s="2765" t="str">
        <f aca="false">отделка!I517</f>
        <v>м2</v>
      </c>
      <c r="D2080" s="298" t="n">
        <f aca="false">отделка!J517</f>
        <v>0</v>
      </c>
      <c r="E2080" s="177" t="n">
        <f aca="false">отделка!K517</f>
        <v>120</v>
      </c>
      <c r="F2080" s="177"/>
      <c r="G2080" s="122" t="n">
        <f aca="false">IF(F2080&gt;0,D2080*F2080,E2080*D2080)</f>
        <v>0</v>
      </c>
      <c r="H2080" s="2210" t="n">
        <f aca="false">D2080*E2080*$H$2070</f>
        <v>0</v>
      </c>
      <c r="I2080" s="2718" t="n">
        <f aca="false">IF(G2080&gt;H2080,G2080,H2080)*$H$2022</f>
        <v>0</v>
      </c>
      <c r="J2080" s="2712"/>
      <c r="K2080" s="2719"/>
    </row>
    <row r="2081" customFormat="false" ht="15.5" hidden="false" customHeight="false" outlineLevel="0" collapsed="false">
      <c r="A2081" s="2719"/>
      <c r="B2081" s="2648" t="str">
        <f aca="false">отделка!G518</f>
        <v>имитация бруса</v>
      </c>
      <c r="C2081" s="2765" t="s">
        <v>133</v>
      </c>
      <c r="D2081" s="298" t="n">
        <f aca="false">отделка!J518</f>
        <v>0</v>
      </c>
      <c r="E2081" s="177" t="n">
        <f aca="false">отделка!K518</f>
        <v>400</v>
      </c>
      <c r="F2081" s="177"/>
      <c r="G2081" s="122" t="n">
        <f aca="false">IF(F2081&gt;0,D2081*F2081,E2081*D2081)</f>
        <v>0</v>
      </c>
      <c r="H2081" s="2210" t="n">
        <f aca="false">D2081*E2081*$H$2070</f>
        <v>0</v>
      </c>
      <c r="I2081" s="2718" t="n">
        <f aca="false">IF(G2081&gt;H2081,G2081,H2081)*$H$2022</f>
        <v>0</v>
      </c>
      <c r="J2081" s="2712"/>
      <c r="K2081" s="2719"/>
    </row>
    <row r="2082" customFormat="false" ht="15.5" hidden="false" customHeight="false" outlineLevel="0" collapsed="false">
      <c r="A2082" s="2719"/>
      <c r="B2082" s="2648" t="str">
        <f aca="false">отделка!G519</f>
        <v>Утепление наружних стен</v>
      </c>
      <c r="C2082" s="2765" t="str">
        <f aca="false">отделка!I519</f>
        <v>м2</v>
      </c>
      <c r="D2082" s="298" t="n">
        <f aca="false">отделка!J519</f>
        <v>118.8</v>
      </c>
      <c r="E2082" s="177" t="n">
        <f aca="false">отделка!K519</f>
        <v>200</v>
      </c>
      <c r="F2082" s="177"/>
      <c r="G2082" s="122" t="n">
        <f aca="false">IF(F2082&gt;0,D2082*F2082,E2082*D2082)</f>
        <v>23760</v>
      </c>
      <c r="H2082" s="2210" t="n">
        <f aca="false">D2082*E2082*$H$2070</f>
        <v>0</v>
      </c>
      <c r="I2082" s="2718" t="n">
        <f aca="false">IF(G2082&gt;H2082,G2082,H2082)*$H$2022</f>
        <v>0</v>
      </c>
      <c r="J2082" s="2712"/>
      <c r="K2082" s="2719"/>
    </row>
    <row r="2083" customFormat="false" ht="15.5" hidden="false" customHeight="false" outlineLevel="0" collapsed="false">
      <c r="A2083" s="2719"/>
      <c r="B2083" s="2648" t="str">
        <f aca="false">отделка!G520</f>
        <v>Оштукатуривание поверхности, подготовка</v>
      </c>
      <c r="C2083" s="2765" t="str">
        <f aca="false">отделка!I520</f>
        <v>м2</v>
      </c>
      <c r="D2083" s="298" t="n">
        <f aca="false">отделка!J520</f>
        <v>0</v>
      </c>
      <c r="E2083" s="177" t="n">
        <f aca="false">отделка!K520</f>
        <v>400</v>
      </c>
      <c r="F2083" s="177"/>
      <c r="G2083" s="122" t="n">
        <f aca="false">IF(F2083&gt;0,D2083*F2083,E2083*D2083)</f>
        <v>0</v>
      </c>
      <c r="H2083" s="2210" t="n">
        <f aca="false">D2083*E2083*$H$2070</f>
        <v>0</v>
      </c>
      <c r="I2083" s="2718" t="n">
        <f aca="false">IF(G2083&gt;H2083,G2083,H2083)*$H$2022</f>
        <v>0</v>
      </c>
      <c r="J2083" s="2712"/>
      <c r="K2083" s="2719"/>
    </row>
    <row r="2084" customFormat="false" ht="15.5" hidden="false" customHeight="false" outlineLevel="0" collapsed="false">
      <c r="A2084" s="2719"/>
      <c r="B2084" s="2648" t="str">
        <f aca="false">отделка!G521</f>
        <v>Наклейка сетки</v>
      </c>
      <c r="C2084" s="2765" t="str">
        <f aca="false">отделка!I521</f>
        <v>м2</v>
      </c>
      <c r="D2084" s="298" t="n">
        <f aca="false">отделка!J521</f>
        <v>0</v>
      </c>
      <c r="E2084" s="177" t="n">
        <f aca="false">отделка!K521</f>
        <v>200</v>
      </c>
      <c r="F2084" s="177"/>
      <c r="G2084" s="122" t="n">
        <f aca="false">IF(F2084&gt;0,D2084*F2084,E2084*D2084)</f>
        <v>0</v>
      </c>
      <c r="H2084" s="2210" t="n">
        <f aca="false">D2084*E2084*$H$2070</f>
        <v>0</v>
      </c>
      <c r="I2084" s="2718" t="n">
        <f aca="false">IF(G2084&gt;H2084,G2084,H2084)*$H$2022</f>
        <v>0</v>
      </c>
      <c r="J2084" s="2712"/>
      <c r="K2084" s="2719"/>
    </row>
    <row r="2085" customFormat="false" ht="15.5" hidden="false" customHeight="false" outlineLevel="0" collapsed="false">
      <c r="A2085" s="2719"/>
      <c r="B2085" s="2648" t="str">
        <f aca="false">отделка!G522</f>
        <v>Нанесение декоративной штукатурки</v>
      </c>
      <c r="C2085" s="2765" t="str">
        <f aca="false">отделка!I522</f>
        <v>м2</v>
      </c>
      <c r="D2085" s="298" t="n">
        <f aca="false">отделка!J522</f>
        <v>0</v>
      </c>
      <c r="E2085" s="177" t="n">
        <f aca="false">отделка!K522</f>
        <v>600</v>
      </c>
      <c r="F2085" s="177"/>
      <c r="G2085" s="122" t="n">
        <f aca="false">IF(F2085&gt;0,D2085*F2085,E2085*D2085)</f>
        <v>0</v>
      </c>
      <c r="H2085" s="2210" t="n">
        <f aca="false">D2085*E2085*$H$2070</f>
        <v>0</v>
      </c>
      <c r="I2085" s="2718" t="n">
        <f aca="false">IF(G2085&gt;H2085,G2085,H2085)*$H$2022</f>
        <v>0</v>
      </c>
      <c r="J2085" s="2712"/>
      <c r="K2085" s="2719"/>
    </row>
    <row r="2086" customFormat="false" ht="15.5" hidden="false" customHeight="false" outlineLevel="0" collapsed="false">
      <c r="A2086" s="2719"/>
      <c r="B2086" s="2765" t="s">
        <v>1568</v>
      </c>
      <c r="C2086" s="2765"/>
      <c r="D2086" s="2765"/>
      <c r="E2086" s="2765"/>
      <c r="F2086" s="2765"/>
      <c r="G2086" s="122" t="n">
        <f aca="false">IF(F2086&gt;0,D2086*F2086,E2086*D2086)</f>
        <v>0</v>
      </c>
      <c r="H2086" s="2839" t="n">
        <f aca="false">IF(SUM(H2087:H2092)&gt;0,1,0)</f>
        <v>0</v>
      </c>
      <c r="I2086" s="2718" t="n">
        <f aca="false">IF(G2086&gt;H2086,G2086,H2086)*$H$2022</f>
        <v>0</v>
      </c>
      <c r="J2086" s="2712"/>
      <c r="K2086" s="2719"/>
    </row>
    <row r="2087" customFormat="false" ht="15.5" hidden="false" customHeight="false" outlineLevel="0" collapsed="false">
      <c r="A2087" s="2719"/>
      <c r="B2087" s="2648" t="s">
        <v>1554</v>
      </c>
      <c r="C2087" s="2765" t="s">
        <v>133</v>
      </c>
      <c r="D2087" s="298" t="n">
        <f aca="false">отделка!J524</f>
        <v>0</v>
      </c>
      <c r="E2087" s="89" t="n">
        <f aca="false">отделка!K524</f>
        <v>200</v>
      </c>
      <c r="F2087" s="89"/>
      <c r="G2087" s="122" t="n">
        <f aca="false">IF(F2087&gt;0,D2087*F2087,E2087*D2087)</f>
        <v>0</v>
      </c>
      <c r="H2087" s="2210" t="n">
        <f aca="false">D2087*E2087*$H$2070</f>
        <v>0</v>
      </c>
      <c r="I2087" s="2718" t="n">
        <f aca="false">IF(G2087&gt;H2087,G2087,H2087)*$H$2022</f>
        <v>0</v>
      </c>
      <c r="J2087" s="2712"/>
      <c r="K2087" s="2719"/>
    </row>
    <row r="2088" customFormat="false" ht="15.5" hidden="false" customHeight="false" outlineLevel="0" collapsed="false">
      <c r="A2088" s="2719"/>
      <c r="B2088" s="2648" t="s">
        <v>1569</v>
      </c>
      <c r="C2088" s="2765" t="s">
        <v>156</v>
      </c>
      <c r="D2088" s="298" t="n">
        <f aca="false">отделка!J525</f>
        <v>56</v>
      </c>
      <c r="E2088" s="89" t="n">
        <f aca="false">отделка!K525</f>
        <v>120</v>
      </c>
      <c r="F2088" s="89"/>
      <c r="G2088" s="122" t="n">
        <f aca="false">IF(F2088&gt;0,D2088*F2088,E2088*D2088)</f>
        <v>6720</v>
      </c>
      <c r="H2088" s="2210" t="n">
        <f aca="false">D2088*E2088*$H$2070</f>
        <v>0</v>
      </c>
      <c r="I2088" s="2718" t="n">
        <f aca="false">IF(G2088&gt;H2088,G2088,H2088)*$H$2022</f>
        <v>0</v>
      </c>
      <c r="J2088" s="2712"/>
      <c r="K2088" s="2719"/>
    </row>
    <row r="2089" customFormat="false" ht="15.5" hidden="false" customHeight="false" outlineLevel="0" collapsed="false">
      <c r="A2089" s="2719"/>
      <c r="B2089" s="2648" t="s">
        <v>1559</v>
      </c>
      <c r="C2089" s="2765" t="s">
        <v>133</v>
      </c>
      <c r="D2089" s="298" t="n">
        <f aca="false">отделка!J526</f>
        <v>22.4</v>
      </c>
      <c r="E2089" s="89" t="n">
        <f aca="false">отделка!K526</f>
        <v>120</v>
      </c>
      <c r="F2089" s="89"/>
      <c r="G2089" s="122" t="n">
        <f aca="false">IF(F2089&gt;0,D2089*F2089,E2089*D2089)</f>
        <v>2688</v>
      </c>
      <c r="H2089" s="2210" t="n">
        <f aca="false">D2089*E2089*$H$2070</f>
        <v>0</v>
      </c>
      <c r="I2089" s="2718" t="n">
        <f aca="false">IF(G2089&gt;H2089,G2089,H2089)*$H$2022</f>
        <v>0</v>
      </c>
      <c r="J2089" s="2712"/>
      <c r="K2089" s="2719"/>
    </row>
    <row r="2090" customFormat="false" ht="15.5" hidden="false" customHeight="false" outlineLevel="0" collapsed="false">
      <c r="A2090" s="2719"/>
      <c r="B2090" s="2648" t="s">
        <v>1570</v>
      </c>
      <c r="C2090" s="2765" t="s">
        <v>133</v>
      </c>
      <c r="D2090" s="298" t="n">
        <f aca="false">отделка!J527</f>
        <v>0</v>
      </c>
      <c r="E2090" s="89" t="n">
        <f aca="false">отделка!K527</f>
        <v>350</v>
      </c>
      <c r="F2090" s="89"/>
      <c r="G2090" s="122" t="n">
        <f aca="false">IF(F2090&gt;0,D2090*F2090,E2090*D2090)</f>
        <v>0</v>
      </c>
      <c r="H2090" s="2210" t="n">
        <f aca="false">D2090*E2090*$H$2070</f>
        <v>0</v>
      </c>
      <c r="I2090" s="2718" t="n">
        <f aca="false">IF(G2090&gt;H2090,G2090,H2090)*$H$2022</f>
        <v>0</v>
      </c>
      <c r="J2090" s="2712"/>
      <c r="K2090" s="2719"/>
    </row>
    <row r="2091" customFormat="false" ht="15.5" hidden="false" customHeight="false" outlineLevel="0" collapsed="false">
      <c r="A2091" s="2719"/>
      <c r="B2091" s="2648" t="s">
        <v>1571</v>
      </c>
      <c r="C2091" s="2765" t="s">
        <v>133</v>
      </c>
      <c r="D2091" s="298" t="n">
        <f aca="false">отделка!J528</f>
        <v>22.4</v>
      </c>
      <c r="E2091" s="89" t="n">
        <f aca="false">отделка!K528</f>
        <v>900</v>
      </c>
      <c r="F2091" s="89"/>
      <c r="G2091" s="122" t="n">
        <f aca="false">IF(F2091&gt;0,D2091*F2091,E2091*D2091)</f>
        <v>20160</v>
      </c>
      <c r="H2091" s="2210" t="n">
        <f aca="false">D2091*E2091*$H$2070</f>
        <v>0</v>
      </c>
      <c r="I2091" s="2718" t="n">
        <f aca="false">IF(G2091&gt;H2091,G2091,H2091)*$H$2022</f>
        <v>0</v>
      </c>
      <c r="J2091" s="2712"/>
      <c r="K2091" s="2719"/>
    </row>
    <row r="2092" customFormat="false" ht="15.5" hidden="false" customHeight="false" outlineLevel="0" collapsed="false">
      <c r="A2092" s="2719"/>
      <c r="B2092" s="2648" t="s">
        <v>1572</v>
      </c>
      <c r="C2092" s="2765" t="s">
        <v>133</v>
      </c>
      <c r="D2092" s="298" t="n">
        <f aca="false">отделка!J529</f>
        <v>0</v>
      </c>
      <c r="E2092" s="89" t="n">
        <f aca="false">отделка!K529</f>
        <v>800</v>
      </c>
      <c r="F2092" s="89"/>
      <c r="G2092" s="122" t="n">
        <f aca="false">IF(F2092&gt;0,D2092*F2092,E2092*D2092)</f>
        <v>0</v>
      </c>
      <c r="H2092" s="2210" t="n">
        <f aca="false">D2092*E2092*$H$2070</f>
        <v>0</v>
      </c>
      <c r="I2092" s="2718" t="n">
        <f aca="false">IF(G2092&gt;H2092,G2092,H2092)*$H$2022</f>
        <v>0</v>
      </c>
      <c r="J2092" s="2712"/>
      <c r="K2092" s="2719"/>
    </row>
    <row r="2093" customFormat="false" ht="15.5" hidden="false" customHeight="false" outlineLevel="0" collapsed="false">
      <c r="A2093" s="2719"/>
      <c r="B2093" s="2765" t="s">
        <v>1573</v>
      </c>
      <c r="C2093" s="2765"/>
      <c r="D2093" s="2765"/>
      <c r="E2093" s="2765"/>
      <c r="F2093" s="2765"/>
      <c r="G2093" s="122" t="n">
        <f aca="false">IF(F2093&gt;0,D2093*F2093,E2093*D2093)</f>
        <v>0</v>
      </c>
      <c r="H2093" s="2839" t="n">
        <f aca="false">IF(SUM(H2094:H2096)&gt;0,1,0)</f>
        <v>0</v>
      </c>
      <c r="I2093" s="2718" t="n">
        <f aca="false">IF(G2093&gt;H2093,G2093,H2093)*$H$2022</f>
        <v>0</v>
      </c>
      <c r="J2093" s="2712"/>
      <c r="K2093" s="2719"/>
    </row>
    <row r="2094" customFormat="false" ht="15.5" hidden="false" customHeight="false" outlineLevel="0" collapsed="false">
      <c r="A2094" s="2719"/>
      <c r="B2094" s="2648" t="s">
        <v>1256</v>
      </c>
      <c r="C2094" s="2765" t="s">
        <v>133</v>
      </c>
      <c r="D2094" s="298" t="n">
        <f aca="false">отделка!J531</f>
        <v>0</v>
      </c>
      <c r="E2094" s="89" t="n">
        <f aca="false">отделка!K531</f>
        <v>600</v>
      </c>
      <c r="F2094" s="89"/>
      <c r="G2094" s="122" t="n">
        <f aca="false">IF(F2094&gt;0,D2094*F2094,E2094*D2094)</f>
        <v>0</v>
      </c>
      <c r="H2094" s="2210" t="n">
        <f aca="false">D2094*E2094*$H$2070</f>
        <v>0</v>
      </c>
      <c r="I2094" s="2718" t="n">
        <f aca="false">IF(G2094&gt;H2094,G2094,H2094)*$H$2022</f>
        <v>0</v>
      </c>
      <c r="J2094" s="2712"/>
      <c r="K2094" s="2719"/>
    </row>
    <row r="2095" customFormat="false" ht="15.5" hidden="false" customHeight="false" outlineLevel="0" collapsed="false">
      <c r="A2095" s="2719"/>
      <c r="B2095" s="2648" t="s">
        <v>1574</v>
      </c>
      <c r="C2095" s="2765" t="s">
        <v>133</v>
      </c>
      <c r="D2095" s="298" t="n">
        <f aca="false">отделка!J532</f>
        <v>0</v>
      </c>
      <c r="E2095" s="89" t="n">
        <f aca="false">отделка!K532</f>
        <v>500</v>
      </c>
      <c r="F2095" s="89"/>
      <c r="G2095" s="122" t="n">
        <f aca="false">IF(F2095&gt;0,D2095*F2095,E2095*D2095)</f>
        <v>0</v>
      </c>
      <c r="H2095" s="2210" t="n">
        <f aca="false">D2095*E2095*$H$2070</f>
        <v>0</v>
      </c>
      <c r="I2095" s="2718" t="n">
        <f aca="false">IF(G2095&gt;H2095,G2095,H2095)*$H$2022</f>
        <v>0</v>
      </c>
      <c r="J2095" s="2712"/>
      <c r="K2095" s="2719"/>
    </row>
    <row r="2096" customFormat="false" ht="15.5" hidden="false" customHeight="false" outlineLevel="0" collapsed="false">
      <c r="A2096" s="2719"/>
      <c r="B2096" s="2648" t="s">
        <v>1575</v>
      </c>
      <c r="C2096" s="2765" t="s">
        <v>133</v>
      </c>
      <c r="D2096" s="298" t="n">
        <f aca="false">отделка!J533</f>
        <v>118.8</v>
      </c>
      <c r="E2096" s="89" t="n">
        <f aca="false">отделка!K533</f>
        <v>100</v>
      </c>
      <c r="F2096" s="89"/>
      <c r="G2096" s="122" t="n">
        <f aca="false">IF(F2096&gt;0,D2096*F2096,E2096*D2096)</f>
        <v>11880</v>
      </c>
      <c r="H2096" s="2210" t="n">
        <f aca="false">D2096*E2096*$H$2070</f>
        <v>0</v>
      </c>
      <c r="I2096" s="2718" t="n">
        <f aca="false">IF(G2096&gt;H2096,G2096,H2096)*$H$2022</f>
        <v>0</v>
      </c>
      <c r="J2096" s="2712"/>
      <c r="K2096" s="2719"/>
    </row>
    <row r="2097" customFormat="false" ht="15.5" hidden="false" customHeight="false" outlineLevel="0" collapsed="false">
      <c r="A2097" s="2719"/>
      <c r="B2097" s="2748" t="s">
        <v>4641</v>
      </c>
      <c r="C2097" s="2748"/>
      <c r="D2097" s="2748"/>
      <c r="E2097" s="2748"/>
      <c r="F2097" s="2748"/>
      <c r="G2097" s="2210" t="n">
        <f aca="false">SUM(G2071:G2096)*H2070</f>
        <v>0</v>
      </c>
      <c r="H2097" s="2210" t="n">
        <f aca="false">SUM(H2071:H2096)</f>
        <v>0</v>
      </c>
      <c r="I2097" s="2718" t="n">
        <f aca="false">IF(G2097&gt;H2097,G2097,H2097)*$H$2022</f>
        <v>0</v>
      </c>
      <c r="J2097" s="2712"/>
      <c r="K2097" s="2719"/>
    </row>
    <row r="2098" customFormat="false" ht="21" hidden="false" customHeight="false" outlineLevel="0" collapsed="false">
      <c r="A2098" s="2719"/>
      <c r="B2098" s="2762" t="s">
        <v>4669</v>
      </c>
      <c r="C2098" s="2762"/>
      <c r="D2098" s="2762"/>
      <c r="E2098" s="2762"/>
      <c r="F2098" s="2762"/>
      <c r="G2098" s="905"/>
      <c r="H2098" s="2774" t="n">
        <f aca="false">VLOOKUP('Ввод данных'!F1262,связи1!A2:B3,2,0)</f>
        <v>0</v>
      </c>
      <c r="I2098" s="2818" t="n">
        <f aca="false">H2098</f>
        <v>0</v>
      </c>
      <c r="J2098" s="2712"/>
      <c r="K2098" s="2719"/>
    </row>
    <row r="2099" customFormat="false" ht="15.5" hidden="false" customHeight="false" outlineLevel="0" collapsed="false">
      <c r="A2099" s="2712"/>
      <c r="B2099" s="2775" t="s">
        <v>2720</v>
      </c>
      <c r="C2099" s="2775"/>
      <c r="D2099" s="2775"/>
      <c r="E2099" s="2775"/>
      <c r="F2099" s="2775"/>
      <c r="G2099" s="905"/>
      <c r="H2099" s="2776" t="n">
        <f aca="false">H2098</f>
        <v>0</v>
      </c>
      <c r="I2099" s="2818" t="n">
        <f aca="false">H2099</f>
        <v>0</v>
      </c>
      <c r="J2099" s="2732"/>
      <c r="K2099" s="2733"/>
    </row>
    <row r="2100" customFormat="false" ht="15.5" hidden="false" customHeight="false" outlineLevel="0" collapsed="false">
      <c r="A2100" s="2712"/>
      <c r="B2100" s="2765" t="s">
        <v>4670</v>
      </c>
      <c r="C2100" s="2765"/>
      <c r="D2100" s="2765"/>
      <c r="E2100" s="2765"/>
      <c r="F2100" s="2765"/>
      <c r="G2100" s="122" t="n">
        <f aca="false">IF(F2100&gt;0,D2100*F2100,E2100*D2100)</f>
        <v>0</v>
      </c>
      <c r="H2100" s="2839" t="n">
        <f aca="false">IF(SUM(H2101:H2124)&gt;0,1,0)</f>
        <v>0</v>
      </c>
      <c r="I2100" s="2784" t="n">
        <f aca="false">IF(G2100&gt;H2100,G2100,H2100)*$H$2098</f>
        <v>0</v>
      </c>
      <c r="J2100" s="2744"/>
      <c r="K2100" s="226" t="n">
        <f aca="false">D2100-J2100</f>
        <v>0</v>
      </c>
      <c r="L2100" s="2736"/>
    </row>
    <row r="2101" customFormat="false" ht="15.5" hidden="false" customHeight="false" outlineLevel="0" collapsed="false">
      <c r="A2101" s="2719"/>
      <c r="B2101" s="298" t="s">
        <v>1268</v>
      </c>
      <c r="C2101" s="2765" t="s">
        <v>133</v>
      </c>
      <c r="D2101" s="298" t="n">
        <f aca="false">отделка!C630</f>
        <v>0</v>
      </c>
      <c r="E2101" s="89" t="n">
        <f aca="false">отделка!D630</f>
        <v>90</v>
      </c>
      <c r="F2101" s="89"/>
      <c r="G2101" s="122" t="n">
        <f aca="false">IF(F2101&gt;0,D2101*F2101,E2101*D2101)</f>
        <v>0</v>
      </c>
      <c r="H2101" s="2210" t="n">
        <f aca="false">D2101*E2101*$H$2099</f>
        <v>0</v>
      </c>
      <c r="I2101" s="2784" t="n">
        <f aca="false">IF(G2101&gt;H2101,G2101,H2101)*$H$2098</f>
        <v>0</v>
      </c>
      <c r="J2101" s="2744"/>
      <c r="K2101" s="226" t="n">
        <f aca="false">D2101-J2101</f>
        <v>0</v>
      </c>
      <c r="L2101" s="2736"/>
    </row>
    <row r="2102" customFormat="false" ht="15.5" hidden="false" customHeight="false" outlineLevel="0" collapsed="false">
      <c r="A2102" s="2719"/>
      <c r="B2102" s="298" t="s">
        <v>1269</v>
      </c>
      <c r="C2102" s="2765" t="s">
        <v>159</v>
      </c>
      <c r="D2102" s="298" t="n">
        <f aca="false">отделка!C631</f>
        <v>0</v>
      </c>
      <c r="E2102" s="89" t="n">
        <f aca="false">отделка!D631</f>
        <v>100</v>
      </c>
      <c r="F2102" s="89"/>
      <c r="G2102" s="122" t="n">
        <f aca="false">IF(F2102&gt;0,D2102*F2102,E2102*D2102)</f>
        <v>0</v>
      </c>
      <c r="H2102" s="2210" t="n">
        <f aca="false">D2102*E2102*$H$2099</f>
        <v>0</v>
      </c>
      <c r="I2102" s="2784" t="n">
        <f aca="false">IF(G2102&gt;H2102,G2102,H2102)*$H$2098</f>
        <v>0</v>
      </c>
      <c r="J2102" s="2744"/>
      <c r="K2102" s="226" t="n">
        <f aca="false">D2102-J2102</f>
        <v>0</v>
      </c>
      <c r="L2102" s="2736"/>
    </row>
    <row r="2103" customFormat="false" ht="15.5" hidden="false" customHeight="false" outlineLevel="0" collapsed="false">
      <c r="A2103" s="2719"/>
      <c r="B2103" s="298" t="s">
        <v>1270</v>
      </c>
      <c r="C2103" s="2765" t="s">
        <v>159</v>
      </c>
      <c r="D2103" s="298" t="n">
        <f aca="false">отделка!C632</f>
        <v>0</v>
      </c>
      <c r="E2103" s="89" t="n">
        <f aca="false">отделка!D632</f>
        <v>100</v>
      </c>
      <c r="F2103" s="89"/>
      <c r="G2103" s="122" t="n">
        <f aca="false">IF(F2103&gt;0,D2103*F2103,E2103*D2103)</f>
        <v>0</v>
      </c>
      <c r="H2103" s="2210" t="n">
        <f aca="false">D2103*E2103*$H$2099</f>
        <v>0</v>
      </c>
      <c r="I2103" s="2784" t="n">
        <f aca="false">IF(G2103&gt;H2103,G2103,H2103)*$H$2098</f>
        <v>0</v>
      </c>
      <c r="J2103" s="2744"/>
      <c r="K2103" s="226" t="n">
        <f aca="false">D2103-J2103</f>
        <v>0</v>
      </c>
      <c r="L2103" s="2736"/>
    </row>
    <row r="2104" customFormat="false" ht="15.5" hidden="false" customHeight="false" outlineLevel="0" collapsed="false">
      <c r="A2104" s="2719"/>
      <c r="B2104" s="298" t="s">
        <v>1271</v>
      </c>
      <c r="C2104" s="2765" t="s">
        <v>159</v>
      </c>
      <c r="D2104" s="298" t="n">
        <f aca="false">отделка!C633</f>
        <v>0</v>
      </c>
      <c r="E2104" s="89" t="n">
        <f aca="false">отделка!D633</f>
        <v>9</v>
      </c>
      <c r="F2104" s="89"/>
      <c r="G2104" s="122" t="n">
        <f aca="false">IF(F2104&gt;0,D2104*F2104,E2104*D2104)</f>
        <v>0</v>
      </c>
      <c r="H2104" s="2210" t="n">
        <f aca="false">D2104*E2104*$H$2099</f>
        <v>0</v>
      </c>
      <c r="I2104" s="2784" t="n">
        <f aca="false">IF(G2104&gt;H2104,G2104,H2104)*$H$2098</f>
        <v>0</v>
      </c>
      <c r="J2104" s="2744"/>
      <c r="K2104" s="226" t="n">
        <f aca="false">D2104-J2104</f>
        <v>0</v>
      </c>
      <c r="L2104" s="2736"/>
    </row>
    <row r="2105" customFormat="false" ht="15.5" hidden="false" customHeight="false" outlineLevel="0" collapsed="false">
      <c r="A2105" s="2719"/>
      <c r="B2105" s="298" t="s">
        <v>1272</v>
      </c>
      <c r="C2105" s="2765" t="s">
        <v>159</v>
      </c>
      <c r="D2105" s="298" t="n">
        <f aca="false">отделка!C634</f>
        <v>0</v>
      </c>
      <c r="E2105" s="89" t="n">
        <f aca="false">отделка!D634</f>
        <v>0.025</v>
      </c>
      <c r="F2105" s="89"/>
      <c r="G2105" s="122" t="n">
        <f aca="false">IF(F2105&gt;0,D2105*F2105,E2105*D2105)</f>
        <v>0</v>
      </c>
      <c r="H2105" s="2210" t="n">
        <f aca="false">D2105*E2105*$H$2099</f>
        <v>0</v>
      </c>
      <c r="I2105" s="2784" t="n">
        <f aca="false">IF(G2105&gt;H2105,G2105,H2105)*$H$2098</f>
        <v>0</v>
      </c>
      <c r="J2105" s="2744"/>
      <c r="K2105" s="226" t="n">
        <f aca="false">D2105-J2105</f>
        <v>0</v>
      </c>
      <c r="L2105" s="2736"/>
    </row>
    <row r="2106" customFormat="false" ht="15.5" hidden="false" customHeight="false" outlineLevel="0" collapsed="false">
      <c r="A2106" s="2719"/>
      <c r="B2106" s="298" t="s">
        <v>1273</v>
      </c>
      <c r="C2106" s="2765" t="s">
        <v>159</v>
      </c>
      <c r="D2106" s="298" t="n">
        <f aca="false">отделка!C635</f>
        <v>0</v>
      </c>
      <c r="E2106" s="89" t="n">
        <f aca="false">отделка!D635</f>
        <v>0.025</v>
      </c>
      <c r="F2106" s="89"/>
      <c r="G2106" s="122" t="n">
        <f aca="false">IF(F2106&gt;0,D2106*F2106,E2106*D2106)</f>
        <v>0</v>
      </c>
      <c r="H2106" s="2210" t="n">
        <f aca="false">D2106*E2106*$H$2099</f>
        <v>0</v>
      </c>
      <c r="I2106" s="2784" t="n">
        <f aca="false">IF(G2106&gt;H2106,G2106,H2106)*$H$2098</f>
        <v>0</v>
      </c>
      <c r="J2106" s="2744"/>
      <c r="K2106" s="226" t="n">
        <f aca="false">D2106-J2106</f>
        <v>0</v>
      </c>
      <c r="L2106" s="2736"/>
    </row>
    <row r="2107" customFormat="false" ht="15.5" hidden="false" customHeight="false" outlineLevel="0" collapsed="false">
      <c r="A2107" s="2719"/>
      <c r="B2107" s="298" t="s">
        <v>1274</v>
      </c>
      <c r="C2107" s="2765" t="s">
        <v>159</v>
      </c>
      <c r="D2107" s="298" t="n">
        <f aca="false">отделка!C636</f>
        <v>0</v>
      </c>
      <c r="E2107" s="89" t="n">
        <f aca="false">отделка!D636</f>
        <v>500</v>
      </c>
      <c r="F2107" s="89"/>
      <c r="G2107" s="122" t="n">
        <f aca="false">IF(F2107&gt;0,D2107*F2107,E2107*D2107)</f>
        <v>0</v>
      </c>
      <c r="H2107" s="2210" t="n">
        <f aca="false">D2107*E2107*$H$2099</f>
        <v>0</v>
      </c>
      <c r="I2107" s="2784" t="n">
        <f aca="false">IF(G2107&gt;H2107,G2107,H2107)*$H$2098</f>
        <v>0</v>
      </c>
      <c r="J2107" s="2744"/>
      <c r="K2107" s="226" t="n">
        <f aca="false">D2107-J2107</f>
        <v>0</v>
      </c>
      <c r="L2107" s="2736"/>
    </row>
    <row r="2108" customFormat="false" ht="15.5" hidden="false" customHeight="false" outlineLevel="0" collapsed="false">
      <c r="A2108" s="2719"/>
      <c r="B2108" s="298" t="s">
        <v>1275</v>
      </c>
      <c r="C2108" s="2765" t="s">
        <v>159</v>
      </c>
      <c r="D2108" s="298" t="n">
        <f aca="false">отделка!C637</f>
        <v>0</v>
      </c>
      <c r="E2108" s="89" t="n">
        <f aca="false">отделка!D637</f>
        <v>500</v>
      </c>
      <c r="F2108" s="89"/>
      <c r="G2108" s="122" t="n">
        <f aca="false">IF(F2108&gt;0,D2108*F2108,E2108*D2108)</f>
        <v>0</v>
      </c>
      <c r="H2108" s="2210" t="n">
        <f aca="false">D2108*E2108*$H$2099</f>
        <v>0</v>
      </c>
      <c r="I2108" s="2784" t="n">
        <f aca="false">IF(G2108&gt;H2108,G2108,H2108)*$H$2098</f>
        <v>0</v>
      </c>
      <c r="J2108" s="2744"/>
      <c r="K2108" s="226" t="n">
        <f aca="false">D2108-J2108</f>
        <v>0</v>
      </c>
      <c r="L2108" s="2736"/>
    </row>
    <row r="2109" customFormat="false" ht="15.5" hidden="false" customHeight="false" outlineLevel="0" collapsed="false">
      <c r="A2109" s="2719"/>
      <c r="B2109" s="298" t="s">
        <v>1276</v>
      </c>
      <c r="C2109" s="2765" t="s">
        <v>159</v>
      </c>
      <c r="D2109" s="298" t="n">
        <f aca="false">отделка!C638</f>
        <v>0</v>
      </c>
      <c r="E2109" s="89" t="n">
        <f aca="false">отделка!D638</f>
        <v>400</v>
      </c>
      <c r="F2109" s="89"/>
      <c r="G2109" s="122" t="n">
        <f aca="false">IF(F2109&gt;0,D2109*F2109,E2109*D2109)</f>
        <v>0</v>
      </c>
      <c r="H2109" s="2210" t="n">
        <f aca="false">D2109*E2109*$H$2099</f>
        <v>0</v>
      </c>
      <c r="I2109" s="2784" t="n">
        <f aca="false">IF(G2109&gt;H2109,G2109,H2109)*$H$2098</f>
        <v>0</v>
      </c>
      <c r="J2109" s="2744"/>
      <c r="K2109" s="226" t="n">
        <f aca="false">D2109-J2109</f>
        <v>0</v>
      </c>
      <c r="L2109" s="2736"/>
    </row>
    <row r="2110" customFormat="false" ht="15.5" hidden="false" customHeight="false" outlineLevel="0" collapsed="false">
      <c r="A2110" s="2719"/>
      <c r="B2110" s="298" t="s">
        <v>1277</v>
      </c>
      <c r="C2110" s="2765" t="s">
        <v>159</v>
      </c>
      <c r="D2110" s="298" t="n">
        <f aca="false">отделка!C639</f>
        <v>0</v>
      </c>
      <c r="E2110" s="89" t="n">
        <f aca="false">отделка!D639</f>
        <v>100</v>
      </c>
      <c r="F2110" s="89"/>
      <c r="G2110" s="122" t="n">
        <f aca="false">IF(F2110&gt;0,D2110*F2110,E2110*D2110)</f>
        <v>0</v>
      </c>
      <c r="H2110" s="2210" t="n">
        <f aca="false">D2110*E2110*$H$2099</f>
        <v>0</v>
      </c>
      <c r="I2110" s="2784" t="n">
        <f aca="false">IF(G2110&gt;H2110,G2110,H2110)*$H$2098</f>
        <v>0</v>
      </c>
      <c r="J2110" s="2744"/>
      <c r="K2110" s="226" t="n">
        <f aca="false">D2110-J2110</f>
        <v>0</v>
      </c>
      <c r="L2110" s="2736"/>
    </row>
    <row r="2111" customFormat="false" ht="15.5" hidden="false" customHeight="false" outlineLevel="0" collapsed="false">
      <c r="A2111" s="2719"/>
      <c r="B2111" s="298" t="s">
        <v>1278</v>
      </c>
      <c r="C2111" s="2765" t="s">
        <v>133</v>
      </c>
      <c r="D2111" s="298" t="n">
        <f aca="false">отделка!C640</f>
        <v>0</v>
      </c>
      <c r="E2111" s="89" t="n">
        <f aca="false">отделка!D640</f>
        <v>30</v>
      </c>
      <c r="F2111" s="89"/>
      <c r="G2111" s="122" t="n">
        <f aca="false">IF(F2111&gt;0,D2111*F2111,E2111*D2111)</f>
        <v>0</v>
      </c>
      <c r="H2111" s="2210" t="n">
        <f aca="false">D2111*E2111*$H$2099</f>
        <v>0</v>
      </c>
      <c r="I2111" s="2784" t="n">
        <f aca="false">IF(G2111&gt;H2111,G2111,H2111)*$H$2098</f>
        <v>0</v>
      </c>
      <c r="J2111" s="2744"/>
      <c r="K2111" s="226" t="n">
        <f aca="false">D2111-J2111</f>
        <v>0</v>
      </c>
      <c r="L2111" s="2736"/>
    </row>
    <row r="2112" customFormat="false" ht="15.5" hidden="false" customHeight="false" outlineLevel="0" collapsed="false">
      <c r="A2112" s="2719"/>
      <c r="B2112" s="298" t="s">
        <v>1279</v>
      </c>
      <c r="C2112" s="2765" t="s">
        <v>159</v>
      </c>
      <c r="D2112" s="298" t="n">
        <f aca="false">отделка!C641</f>
        <v>0</v>
      </c>
      <c r="E2112" s="89" t="n">
        <f aca="false">отделка!D641</f>
        <v>120</v>
      </c>
      <c r="F2112" s="89"/>
      <c r="G2112" s="122" t="n">
        <f aca="false">IF(F2112&gt;0,D2112*F2112,E2112*D2112)</f>
        <v>0</v>
      </c>
      <c r="H2112" s="2210" t="n">
        <f aca="false">D2112*E2112*$H$2099</f>
        <v>0</v>
      </c>
      <c r="I2112" s="2784" t="n">
        <f aca="false">IF(G2112&gt;H2112,G2112,H2112)*$H$2098</f>
        <v>0</v>
      </c>
      <c r="J2112" s="2744"/>
      <c r="K2112" s="226" t="n">
        <f aca="false">D2112-J2112</f>
        <v>0</v>
      </c>
      <c r="L2112" s="2736"/>
    </row>
    <row r="2113" customFormat="false" ht="15.5" hidden="false" customHeight="false" outlineLevel="0" collapsed="false">
      <c r="A2113" s="2719"/>
      <c r="B2113" s="298" t="s">
        <v>1280</v>
      </c>
      <c r="C2113" s="2765" t="s">
        <v>159</v>
      </c>
      <c r="D2113" s="298" t="n">
        <f aca="false">отделка!C642</f>
        <v>0</v>
      </c>
      <c r="E2113" s="89" t="n">
        <f aca="false">отделка!D642</f>
        <v>900</v>
      </c>
      <c r="F2113" s="89"/>
      <c r="G2113" s="122" t="n">
        <f aca="false">IF(F2113&gt;0,D2113*F2113,E2113*D2113)</f>
        <v>0</v>
      </c>
      <c r="H2113" s="2210" t="n">
        <f aca="false">D2113*E2113*$H$2099</f>
        <v>0</v>
      </c>
      <c r="I2113" s="2784" t="n">
        <f aca="false">IF(G2113&gt;H2113,G2113,H2113)*$H$2098</f>
        <v>0</v>
      </c>
      <c r="J2113" s="2744"/>
      <c r="K2113" s="226" t="n">
        <f aca="false">D2113-J2113</f>
        <v>0</v>
      </c>
      <c r="L2113" s="2736"/>
    </row>
    <row r="2114" customFormat="false" ht="15.5" hidden="false" customHeight="false" outlineLevel="0" collapsed="false">
      <c r="A2114" s="2719"/>
      <c r="B2114" s="471" t="s">
        <v>1255</v>
      </c>
      <c r="C2114" s="2765" t="s">
        <v>133</v>
      </c>
      <c r="D2114" s="298" t="n">
        <f aca="false">отделка!C643</f>
        <v>0</v>
      </c>
      <c r="E2114" s="89" t="n">
        <f aca="false">отделка!D643</f>
        <v>350</v>
      </c>
      <c r="F2114" s="89"/>
      <c r="G2114" s="122" t="n">
        <f aca="false">IF(F2114&gt;0,D2114*F2114,E2114*D2114)</f>
        <v>0</v>
      </c>
      <c r="H2114" s="2210" t="n">
        <f aca="false">D2114*E2114*$H$2099</f>
        <v>0</v>
      </c>
      <c r="I2114" s="2784" t="n">
        <f aca="false">IF(G2114&gt;H2114,G2114,H2114)*$H$2098</f>
        <v>0</v>
      </c>
      <c r="J2114" s="2744"/>
      <c r="K2114" s="226" t="n">
        <f aca="false">D2114-J2114</f>
        <v>0</v>
      </c>
      <c r="L2114" s="2736"/>
    </row>
    <row r="2115" customFormat="false" ht="15.5" hidden="false" customHeight="false" outlineLevel="0" collapsed="false">
      <c r="A2115" s="2719"/>
      <c r="B2115" s="471" t="s">
        <v>1281</v>
      </c>
      <c r="C2115" s="2765" t="s">
        <v>133</v>
      </c>
      <c r="D2115" s="298" t="n">
        <f aca="false">отделка!C644</f>
        <v>0</v>
      </c>
      <c r="E2115" s="89" t="n">
        <f aca="false">отделка!D644</f>
        <v>500</v>
      </c>
      <c r="F2115" s="89"/>
      <c r="G2115" s="122" t="n">
        <f aca="false">IF(F2115&gt;0,D2115*F2115,E2115*D2115)</f>
        <v>0</v>
      </c>
      <c r="H2115" s="2210" t="n">
        <f aca="false">D2115*E2115*$H$2099</f>
        <v>0</v>
      </c>
      <c r="I2115" s="2784" t="n">
        <f aca="false">IF(G2115&gt;H2115,G2115,H2115)*$H$2098</f>
        <v>0</v>
      </c>
      <c r="J2115" s="2744"/>
      <c r="K2115" s="226" t="n">
        <f aca="false">D2115-J2115</f>
        <v>0</v>
      </c>
      <c r="L2115" s="2736"/>
    </row>
    <row r="2116" customFormat="false" ht="15.5" hidden="false" customHeight="false" outlineLevel="0" collapsed="false">
      <c r="A2116" s="2719"/>
      <c r="B2116" s="471" t="s">
        <v>1282</v>
      </c>
      <c r="C2116" s="2765" t="s">
        <v>133</v>
      </c>
      <c r="D2116" s="298" t="n">
        <f aca="false">отделка!C645</f>
        <v>0</v>
      </c>
      <c r="E2116" s="89" t="n">
        <f aca="false">отделка!D645</f>
        <v>250</v>
      </c>
      <c r="F2116" s="89"/>
      <c r="G2116" s="122" t="n">
        <f aca="false">IF(F2116&gt;0,D2116*F2116,E2116*D2116)</f>
        <v>0</v>
      </c>
      <c r="H2116" s="2210" t="n">
        <f aca="false">D2116*E2116*$H$2099</f>
        <v>0</v>
      </c>
      <c r="I2116" s="2784" t="n">
        <f aca="false">IF(G2116&gt;H2116,G2116,H2116)*$H$2098</f>
        <v>0</v>
      </c>
      <c r="J2116" s="2744"/>
      <c r="K2116" s="226" t="n">
        <f aca="false">D2116-J2116</f>
        <v>0</v>
      </c>
      <c r="L2116" s="2736"/>
    </row>
    <row r="2117" customFormat="false" ht="15.5" hidden="false" customHeight="false" outlineLevel="0" collapsed="false">
      <c r="A2117" s="2719"/>
      <c r="B2117" s="471" t="s">
        <v>1283</v>
      </c>
      <c r="C2117" s="2765" t="s">
        <v>156</v>
      </c>
      <c r="D2117" s="298" t="n">
        <f aca="false">отделка!C646</f>
        <v>0</v>
      </c>
      <c r="E2117" s="89" t="n">
        <f aca="false">отделка!D646</f>
        <v>6</v>
      </c>
      <c r="F2117" s="89"/>
      <c r="G2117" s="122" t="n">
        <f aca="false">IF(F2117&gt;0,D2117*F2117,E2117*D2117)</f>
        <v>0</v>
      </c>
      <c r="H2117" s="2210" t="n">
        <f aca="false">D2117*E2117*$H$2099</f>
        <v>0</v>
      </c>
      <c r="I2117" s="2784" t="n">
        <f aca="false">IF(G2117&gt;H2117,G2117,H2117)*$H$2098</f>
        <v>0</v>
      </c>
      <c r="J2117" s="2744"/>
      <c r="K2117" s="226" t="n">
        <f aca="false">D2117-J2117</f>
        <v>0</v>
      </c>
      <c r="L2117" s="2736"/>
    </row>
    <row r="2118" customFormat="false" ht="15.5" hidden="false" customHeight="false" outlineLevel="0" collapsed="false">
      <c r="A2118" s="2719"/>
      <c r="B2118" s="471" t="s">
        <v>1284</v>
      </c>
      <c r="C2118" s="2765" t="s">
        <v>159</v>
      </c>
      <c r="D2118" s="298" t="n">
        <f aca="false">отделка!C647</f>
        <v>0</v>
      </c>
      <c r="E2118" s="89" t="n">
        <f aca="false">отделка!D647</f>
        <v>8</v>
      </c>
      <c r="F2118" s="89"/>
      <c r="G2118" s="122" t="n">
        <f aca="false">IF(F2118&gt;0,D2118*F2118,E2118*D2118)</f>
        <v>0</v>
      </c>
      <c r="H2118" s="2210" t="n">
        <f aca="false">D2118*E2118*$H$2099</f>
        <v>0</v>
      </c>
      <c r="I2118" s="2784" t="n">
        <f aca="false">IF(G2118&gt;H2118,G2118,H2118)*$H$2098</f>
        <v>0</v>
      </c>
      <c r="J2118" s="2744"/>
      <c r="K2118" s="226" t="n">
        <f aca="false">D2118-J2118</f>
        <v>0</v>
      </c>
      <c r="L2118" s="2736"/>
    </row>
    <row r="2119" customFormat="false" ht="15.5" hidden="false" customHeight="false" outlineLevel="0" collapsed="false">
      <c r="A2119" s="2719"/>
      <c r="B2119" s="471" t="s">
        <v>1285</v>
      </c>
      <c r="C2119" s="2765" t="s">
        <v>159</v>
      </c>
      <c r="D2119" s="298" t="n">
        <f aca="false">отделка!C648</f>
        <v>0</v>
      </c>
      <c r="E2119" s="89" t="n">
        <f aca="false">отделка!D648</f>
        <v>0.02</v>
      </c>
      <c r="F2119" s="89"/>
      <c r="G2119" s="122" t="n">
        <f aca="false">IF(F2119&gt;0,D2119*F2119,E2119*D2119)</f>
        <v>0</v>
      </c>
      <c r="H2119" s="2210" t="n">
        <f aca="false">D2119*E2119*$H$2099</f>
        <v>0</v>
      </c>
      <c r="I2119" s="2784" t="n">
        <f aca="false">IF(G2119&gt;H2119,G2119,H2119)*$H$2098</f>
        <v>0</v>
      </c>
      <c r="J2119" s="2744"/>
      <c r="K2119" s="226" t="n">
        <f aca="false">D2119-J2119</f>
        <v>0</v>
      </c>
      <c r="L2119" s="2736"/>
    </row>
    <row r="2120" customFormat="false" ht="15.5" hidden="false" customHeight="false" outlineLevel="0" collapsed="false">
      <c r="A2120" s="2719"/>
      <c r="B2120" s="298" t="s">
        <v>1286</v>
      </c>
      <c r="C2120" s="2765" t="s">
        <v>159</v>
      </c>
      <c r="D2120" s="298" t="n">
        <f aca="false">отделка!C649</f>
        <v>0</v>
      </c>
      <c r="E2120" s="89" t="n">
        <f aca="false">отделка!D649</f>
        <v>0.02</v>
      </c>
      <c r="F2120" s="89"/>
      <c r="G2120" s="122" t="n">
        <f aca="false">IF(F2120&gt;0,D2120*F2120,E2120*D2120)</f>
        <v>0</v>
      </c>
      <c r="H2120" s="2210" t="n">
        <f aca="false">D2120*E2120*$H$2099</f>
        <v>0</v>
      </c>
      <c r="I2120" s="2784" t="n">
        <f aca="false">IF(G2120&gt;H2120,G2120,H2120)*$H$2098</f>
        <v>0</v>
      </c>
      <c r="J2120" s="2744"/>
      <c r="K2120" s="226" t="n">
        <f aca="false">D2120-J2120</f>
        <v>0</v>
      </c>
      <c r="L2120" s="2736"/>
    </row>
    <row r="2121" customFormat="false" ht="15.5" hidden="false" customHeight="false" outlineLevel="0" collapsed="false">
      <c r="A2121" s="2719"/>
      <c r="B2121" s="298" t="str">
        <f aca="false">отделка!G534</f>
        <v>Монтаж евровагонка</v>
      </c>
      <c r="C2121" s="2765" t="str">
        <f aca="false">отделка!I534</f>
        <v>м2</v>
      </c>
      <c r="D2121" s="298" t="n">
        <f aca="false">отделка!J534</f>
        <v>0</v>
      </c>
      <c r="E2121" s="177" t="n">
        <f aca="false">отделка!K534</f>
        <v>400</v>
      </c>
      <c r="F2121" s="177"/>
      <c r="G2121" s="122" t="n">
        <f aca="false">IF(F2121&gt;0,D2121*F2121,E2121*D2121)</f>
        <v>0</v>
      </c>
      <c r="H2121" s="2210" t="n">
        <f aca="false">D2121*E2121*$H$2099</f>
        <v>0</v>
      </c>
      <c r="I2121" s="2784" t="n">
        <f aca="false">IF(G2121&gt;H2121,G2121,H2121)*$H$2098</f>
        <v>0</v>
      </c>
      <c r="J2121" s="2744"/>
      <c r="K2121" s="226" t="n">
        <f aca="false">D2121-J2121</f>
        <v>0</v>
      </c>
      <c r="L2121" s="2736"/>
    </row>
    <row r="2122" customFormat="false" ht="15.5" hidden="false" customHeight="false" outlineLevel="0" collapsed="false">
      <c r="A2122" s="2719"/>
      <c r="B2122" s="298" t="str">
        <f aca="false">отделка!G535</f>
        <v>Монтаж вагонка штиль</v>
      </c>
      <c r="C2122" s="2765" t="str">
        <f aca="false">отделка!I535</f>
        <v>м2</v>
      </c>
      <c r="D2122" s="298" t="n">
        <f aca="false">отделка!J535</f>
        <v>0</v>
      </c>
      <c r="E2122" s="177" t="n">
        <f aca="false">отделка!K535</f>
        <v>400</v>
      </c>
      <c r="F2122" s="177"/>
      <c r="G2122" s="122" t="n">
        <f aca="false">IF(F2122&gt;0,D2122*F2122,E2122*D2122)</f>
        <v>0</v>
      </c>
      <c r="H2122" s="2210" t="n">
        <f aca="false">D2122*E2122*$H$2099</f>
        <v>0</v>
      </c>
      <c r="I2122" s="2784" t="n">
        <f aca="false">IF(G2122&gt;H2122,G2122,H2122)*$H$2098</f>
        <v>0</v>
      </c>
      <c r="J2122" s="2744"/>
      <c r="K2122" s="226" t="n">
        <f aca="false">D2122-J2122</f>
        <v>0</v>
      </c>
      <c r="L2122" s="2736"/>
    </row>
    <row r="2123" customFormat="false" ht="15.5" hidden="false" customHeight="false" outlineLevel="0" collapsed="false">
      <c r="A2123" s="2719"/>
      <c r="B2123" s="298" t="str">
        <f aca="false">отделка!G536</f>
        <v>Монтаж софт лайн</v>
      </c>
      <c r="C2123" s="2765" t="str">
        <f aca="false">отделка!I536</f>
        <v>м2</v>
      </c>
      <c r="D2123" s="298" t="n">
        <f aca="false">отделка!J536</f>
        <v>0</v>
      </c>
      <c r="E2123" s="177" t="n">
        <f aca="false">отделка!K536</f>
        <v>400</v>
      </c>
      <c r="F2123" s="177"/>
      <c r="G2123" s="122" t="n">
        <f aca="false">IF(F2123&gt;0,D2123*F2123,E2123*D2123)</f>
        <v>0</v>
      </c>
      <c r="H2123" s="2210" t="n">
        <f aca="false">D2123*E2123*$H$2099</f>
        <v>0</v>
      </c>
      <c r="I2123" s="2784" t="n">
        <f aca="false">IF(G2123&gt;H2123,G2123,H2123)*$H$2098</f>
        <v>0</v>
      </c>
      <c r="J2123" s="2744"/>
      <c r="K2123" s="226" t="n">
        <f aca="false">D2123-J2123</f>
        <v>0</v>
      </c>
      <c r="L2123" s="2736"/>
    </row>
    <row r="2124" customFormat="false" ht="15.5" hidden="false" customHeight="false" outlineLevel="0" collapsed="false">
      <c r="A2124" s="2719"/>
      <c r="B2124" s="298" t="str">
        <f aca="false">отделка!G537</f>
        <v>Монтаж блокхаус</v>
      </c>
      <c r="C2124" s="2765" t="str">
        <f aca="false">отделка!I537</f>
        <v>м2</v>
      </c>
      <c r="D2124" s="298" t="n">
        <f aca="false">отделка!J537</f>
        <v>0</v>
      </c>
      <c r="E2124" s="177" t="n">
        <f aca="false">отделка!K537</f>
        <v>400</v>
      </c>
      <c r="F2124" s="177"/>
      <c r="G2124" s="122" t="n">
        <f aca="false">IF(F2124&gt;0,D2124*F2124,E2124*D2124)</f>
        <v>0</v>
      </c>
      <c r="H2124" s="2210" t="n">
        <f aca="false">D2124*E2124*$H$2099</f>
        <v>0</v>
      </c>
      <c r="I2124" s="2784" t="n">
        <f aca="false">IF(G2124&gt;H2124,G2124,H2124)*$H$2098</f>
        <v>0</v>
      </c>
      <c r="J2124" s="2744"/>
      <c r="K2124" s="226" t="n">
        <f aca="false">D2124-J2124</f>
        <v>0</v>
      </c>
      <c r="L2124" s="2736"/>
    </row>
    <row r="2125" customFormat="false" ht="15.5" hidden="false" customHeight="false" outlineLevel="0" collapsed="false">
      <c r="A2125" s="2719"/>
      <c r="B2125" s="2765" t="s">
        <v>2386</v>
      </c>
      <c r="C2125" s="2765"/>
      <c r="D2125" s="2765"/>
      <c r="E2125" s="2765"/>
      <c r="F2125" s="2765"/>
      <c r="G2125" s="122" t="n">
        <f aca="false">IF(F2125&gt;0,D2125*F2125,E2125*D2125)</f>
        <v>0</v>
      </c>
      <c r="H2125" s="2839" t="n">
        <f aca="false">IF(SUM(H2126:H2148)&gt;0,1,0)</f>
        <v>0</v>
      </c>
      <c r="I2125" s="2784" t="n">
        <f aca="false">IF(G2125&gt;H2125,G2125,H2125)*$H$2098</f>
        <v>0</v>
      </c>
      <c r="J2125" s="2744"/>
      <c r="K2125" s="226" t="n">
        <f aca="false">D2125-J2125</f>
        <v>0</v>
      </c>
      <c r="L2125" s="2736"/>
    </row>
    <row r="2126" customFormat="false" ht="15.5" hidden="false" customHeight="false" outlineLevel="0" collapsed="false">
      <c r="A2126" s="2719"/>
      <c r="B2126" s="298" t="s">
        <v>1288</v>
      </c>
      <c r="C2126" s="2765" t="s">
        <v>133</v>
      </c>
      <c r="D2126" s="298" t="n">
        <f aca="false">отделка!C651</f>
        <v>0</v>
      </c>
      <c r="E2126" s="89" t="n">
        <f aca="false">отделка!D651</f>
        <v>80</v>
      </c>
      <c r="F2126" s="89"/>
      <c r="G2126" s="122" t="n">
        <f aca="false">IF(F2126&gt;0,D2126*F2126,E2126*D2126)</f>
        <v>0</v>
      </c>
      <c r="H2126" s="2210" t="n">
        <f aca="false">D2126*E2126*$H$2099</f>
        <v>0</v>
      </c>
      <c r="I2126" s="2784" t="n">
        <f aca="false">IF(G2126&gt;H2126,G2126,H2126)*$H$2098</f>
        <v>0</v>
      </c>
      <c r="J2126" s="2744"/>
      <c r="K2126" s="226" t="n">
        <f aca="false">D2126-J2126</f>
        <v>0</v>
      </c>
      <c r="L2126" s="2736"/>
    </row>
    <row r="2127" customFormat="false" ht="15.5" hidden="false" customHeight="false" outlineLevel="0" collapsed="false">
      <c r="A2127" s="2719"/>
      <c r="B2127" s="298" t="s">
        <v>1269</v>
      </c>
      <c r="C2127" s="2765" t="s">
        <v>159</v>
      </c>
      <c r="D2127" s="298" t="n">
        <f aca="false">отделка!C652</f>
        <v>0</v>
      </c>
      <c r="E2127" s="89" t="n">
        <f aca="false">отделка!D652</f>
        <v>100</v>
      </c>
      <c r="F2127" s="89"/>
      <c r="G2127" s="122" t="n">
        <f aca="false">IF(F2127&gt;0,D2127*F2127,E2127*D2127)</f>
        <v>0</v>
      </c>
      <c r="H2127" s="2210" t="n">
        <f aca="false">D2127*E2127*$H$2099</f>
        <v>0</v>
      </c>
      <c r="I2127" s="2784" t="n">
        <f aca="false">IF(G2127&gt;H2127,G2127,H2127)*$H$2098</f>
        <v>0</v>
      </c>
      <c r="J2127" s="2744"/>
      <c r="K2127" s="226" t="n">
        <f aca="false">D2127-J2127</f>
        <v>0</v>
      </c>
      <c r="L2127" s="2736"/>
    </row>
    <row r="2128" customFormat="false" ht="15.5" hidden="false" customHeight="false" outlineLevel="0" collapsed="false">
      <c r="A2128" s="2719"/>
      <c r="B2128" s="298" t="s">
        <v>1270</v>
      </c>
      <c r="C2128" s="2765" t="s">
        <v>159</v>
      </c>
      <c r="D2128" s="298" t="n">
        <f aca="false">отделка!C653</f>
        <v>0</v>
      </c>
      <c r="E2128" s="89" t="n">
        <f aca="false">отделка!D653</f>
        <v>100</v>
      </c>
      <c r="F2128" s="89"/>
      <c r="G2128" s="122" t="n">
        <f aca="false">IF(F2128&gt;0,D2128*F2128,E2128*D2128)</f>
        <v>0</v>
      </c>
      <c r="H2128" s="2210" t="n">
        <f aca="false">D2128*E2128*$H$2099</f>
        <v>0</v>
      </c>
      <c r="I2128" s="2784" t="n">
        <f aca="false">IF(G2128&gt;H2128,G2128,H2128)*$H$2098</f>
        <v>0</v>
      </c>
      <c r="J2128" s="2744"/>
      <c r="K2128" s="226" t="n">
        <f aca="false">D2128-J2128</f>
        <v>0</v>
      </c>
      <c r="L2128" s="2736"/>
    </row>
    <row r="2129" customFormat="false" ht="15.5" hidden="false" customHeight="false" outlineLevel="0" collapsed="false">
      <c r="A2129" s="2719"/>
      <c r="B2129" s="298" t="s">
        <v>1271</v>
      </c>
      <c r="C2129" s="2765" t="s">
        <v>159</v>
      </c>
      <c r="D2129" s="298" t="n">
        <f aca="false">отделка!C654</f>
        <v>0</v>
      </c>
      <c r="E2129" s="89" t="n">
        <f aca="false">отделка!D654</f>
        <v>9</v>
      </c>
      <c r="F2129" s="89"/>
      <c r="G2129" s="122" t="n">
        <f aca="false">IF(F2129&gt;0,D2129*F2129,E2129*D2129)</f>
        <v>0</v>
      </c>
      <c r="H2129" s="2210" t="n">
        <f aca="false">D2129*E2129*$H$2099</f>
        <v>0</v>
      </c>
      <c r="I2129" s="2784" t="n">
        <f aca="false">IF(G2129&gt;H2129,G2129,H2129)*$H$2098</f>
        <v>0</v>
      </c>
      <c r="J2129" s="2744"/>
      <c r="K2129" s="226" t="n">
        <f aca="false">D2129-J2129</f>
        <v>0</v>
      </c>
      <c r="L2129" s="2736"/>
    </row>
    <row r="2130" customFormat="false" ht="15.5" hidden="false" customHeight="false" outlineLevel="0" collapsed="false">
      <c r="A2130" s="2719"/>
      <c r="B2130" s="298" t="s">
        <v>1272</v>
      </c>
      <c r="C2130" s="2765" t="s">
        <v>159</v>
      </c>
      <c r="D2130" s="298" t="n">
        <f aca="false">отделка!C655</f>
        <v>0</v>
      </c>
      <c r="E2130" s="89" t="n">
        <f aca="false">отделка!D655</f>
        <v>0.025</v>
      </c>
      <c r="F2130" s="89"/>
      <c r="G2130" s="122" t="n">
        <f aca="false">IF(F2130&gt;0,D2130*F2130,E2130*D2130)</f>
        <v>0</v>
      </c>
      <c r="H2130" s="2210" t="n">
        <f aca="false">D2130*E2130*$H$2099</f>
        <v>0</v>
      </c>
      <c r="I2130" s="2784" t="n">
        <f aca="false">IF(G2130&gt;H2130,G2130,H2130)*$H$2098</f>
        <v>0</v>
      </c>
      <c r="J2130" s="2744"/>
      <c r="K2130" s="226" t="n">
        <f aca="false">D2130-J2130</f>
        <v>0</v>
      </c>
      <c r="L2130" s="2736"/>
    </row>
    <row r="2131" customFormat="false" ht="15.5" hidden="false" customHeight="false" outlineLevel="0" collapsed="false">
      <c r="A2131" s="2719"/>
      <c r="B2131" s="298" t="s">
        <v>1273</v>
      </c>
      <c r="C2131" s="2765" t="s">
        <v>159</v>
      </c>
      <c r="D2131" s="298" t="n">
        <f aca="false">отделка!C656</f>
        <v>0</v>
      </c>
      <c r="E2131" s="89" t="n">
        <f aca="false">отделка!D656</f>
        <v>0.025</v>
      </c>
      <c r="F2131" s="89"/>
      <c r="G2131" s="122" t="n">
        <f aca="false">IF(F2131&gt;0,D2131*F2131,E2131*D2131)</f>
        <v>0</v>
      </c>
      <c r="H2131" s="2210" t="n">
        <f aca="false">D2131*E2131*$H$2099</f>
        <v>0</v>
      </c>
      <c r="I2131" s="2784" t="n">
        <f aca="false">IF(G2131&gt;H2131,G2131,H2131)*$H$2098</f>
        <v>0</v>
      </c>
      <c r="J2131" s="2744"/>
      <c r="K2131" s="226" t="n">
        <f aca="false">D2131-J2131</f>
        <v>0</v>
      </c>
      <c r="L2131" s="2736"/>
    </row>
    <row r="2132" customFormat="false" ht="15.5" hidden="false" customHeight="false" outlineLevel="0" collapsed="false">
      <c r="A2132" s="2719"/>
      <c r="B2132" s="298" t="s">
        <v>1274</v>
      </c>
      <c r="C2132" s="2765" t="s">
        <v>159</v>
      </c>
      <c r="D2132" s="298" t="n">
        <f aca="false">отделка!C657</f>
        <v>0</v>
      </c>
      <c r="E2132" s="89" t="n">
        <f aca="false">отделка!D657</f>
        <v>500</v>
      </c>
      <c r="F2132" s="89"/>
      <c r="G2132" s="122" t="n">
        <f aca="false">IF(F2132&gt;0,D2132*F2132,E2132*D2132)</f>
        <v>0</v>
      </c>
      <c r="H2132" s="2210" t="n">
        <f aca="false">D2132*E2132*$H$2099</f>
        <v>0</v>
      </c>
      <c r="I2132" s="2784" t="n">
        <f aca="false">IF(G2132&gt;H2132,G2132,H2132)*$H$2098</f>
        <v>0</v>
      </c>
      <c r="J2132" s="2744"/>
      <c r="K2132" s="226" t="n">
        <f aca="false">D2132-J2132</f>
        <v>0</v>
      </c>
      <c r="L2132" s="2736"/>
    </row>
    <row r="2133" customFormat="false" ht="15.5" hidden="false" customHeight="false" outlineLevel="0" collapsed="false">
      <c r="A2133" s="2719"/>
      <c r="B2133" s="298" t="s">
        <v>1275</v>
      </c>
      <c r="C2133" s="2765" t="s">
        <v>159</v>
      </c>
      <c r="D2133" s="298" t="n">
        <f aca="false">отделка!C658</f>
        <v>0</v>
      </c>
      <c r="E2133" s="89" t="n">
        <f aca="false">отделка!D658</f>
        <v>500</v>
      </c>
      <c r="F2133" s="89"/>
      <c r="G2133" s="122" t="n">
        <f aca="false">IF(F2133&gt;0,D2133*F2133,E2133*D2133)</f>
        <v>0</v>
      </c>
      <c r="H2133" s="2210" t="n">
        <f aca="false">D2133*E2133*$H$2099</f>
        <v>0</v>
      </c>
      <c r="I2133" s="2784" t="n">
        <f aca="false">IF(G2133&gt;H2133,G2133,H2133)*$H$2098</f>
        <v>0</v>
      </c>
      <c r="J2133" s="2744"/>
      <c r="K2133" s="226" t="n">
        <f aca="false">D2133-J2133</f>
        <v>0</v>
      </c>
      <c r="L2133" s="2736"/>
    </row>
    <row r="2134" customFormat="false" ht="15.5" hidden="false" customHeight="false" outlineLevel="0" collapsed="false">
      <c r="A2134" s="2719"/>
      <c r="B2134" s="298" t="s">
        <v>1276</v>
      </c>
      <c r="C2134" s="2765" t="s">
        <v>159</v>
      </c>
      <c r="D2134" s="298" t="n">
        <f aca="false">отделка!C659</f>
        <v>0</v>
      </c>
      <c r="E2134" s="89" t="n">
        <f aca="false">отделка!D659</f>
        <v>400</v>
      </c>
      <c r="F2134" s="89"/>
      <c r="G2134" s="122" t="n">
        <f aca="false">IF(F2134&gt;0,D2134*F2134,E2134*D2134)</f>
        <v>0</v>
      </c>
      <c r="H2134" s="2210" t="n">
        <f aca="false">D2134*E2134*$H$2099</f>
        <v>0</v>
      </c>
      <c r="I2134" s="2784" t="n">
        <f aca="false">IF(G2134&gt;H2134,G2134,H2134)*$H$2098</f>
        <v>0</v>
      </c>
      <c r="J2134" s="2744"/>
      <c r="K2134" s="226" t="n">
        <f aca="false">D2134-J2134</f>
        <v>0</v>
      </c>
      <c r="L2134" s="2736"/>
    </row>
    <row r="2135" customFormat="false" ht="15.5" hidden="false" customHeight="false" outlineLevel="0" collapsed="false">
      <c r="A2135" s="2719"/>
      <c r="B2135" s="298" t="s">
        <v>1277</v>
      </c>
      <c r="C2135" s="2765" t="s">
        <v>159</v>
      </c>
      <c r="D2135" s="298" t="n">
        <f aca="false">отделка!C660</f>
        <v>0</v>
      </c>
      <c r="E2135" s="89" t="n">
        <f aca="false">отделка!D660</f>
        <v>100</v>
      </c>
      <c r="F2135" s="89"/>
      <c r="G2135" s="122" t="n">
        <f aca="false">IF(F2135&gt;0,D2135*F2135,E2135*D2135)</f>
        <v>0</v>
      </c>
      <c r="H2135" s="2210" t="n">
        <f aca="false">D2135*E2135*$H$2099</f>
        <v>0</v>
      </c>
      <c r="I2135" s="2784" t="n">
        <f aca="false">IF(G2135&gt;H2135,G2135,H2135)*$H$2098</f>
        <v>0</v>
      </c>
      <c r="J2135" s="2744"/>
      <c r="K2135" s="226" t="n">
        <f aca="false">D2135-J2135</f>
        <v>0</v>
      </c>
      <c r="L2135" s="2736"/>
    </row>
    <row r="2136" customFormat="false" ht="15.5" hidden="false" customHeight="false" outlineLevel="0" collapsed="false">
      <c r="A2136" s="2719"/>
      <c r="B2136" s="298" t="s">
        <v>1289</v>
      </c>
      <c r="C2136" s="2765" t="s">
        <v>159</v>
      </c>
      <c r="D2136" s="298" t="n">
        <f aca="false">отделка!C661</f>
        <v>0</v>
      </c>
      <c r="E2136" s="89" t="n">
        <f aca="false">отделка!D661</f>
        <v>1200</v>
      </c>
      <c r="F2136" s="89"/>
      <c r="G2136" s="122" t="n">
        <f aca="false">IF(F2136&gt;0,D2136*F2136,E2136*D2136)</f>
        <v>0</v>
      </c>
      <c r="H2136" s="2210" t="n">
        <f aca="false">D2136*E2136*$H$2099</f>
        <v>0</v>
      </c>
      <c r="I2136" s="2784" t="n">
        <f aca="false">IF(G2136&gt;H2136,G2136,H2136)*$H$2098</f>
        <v>0</v>
      </c>
      <c r="J2136" s="2744"/>
      <c r="K2136" s="226" t="n">
        <f aca="false">D2136-J2136</f>
        <v>0</v>
      </c>
      <c r="L2136" s="2736"/>
    </row>
    <row r="2137" customFormat="false" ht="15.5" hidden="false" customHeight="false" outlineLevel="0" collapsed="false">
      <c r="A2137" s="2719"/>
      <c r="B2137" s="298" t="s">
        <v>1290</v>
      </c>
      <c r="C2137" s="2765" t="s">
        <v>156</v>
      </c>
      <c r="D2137" s="298" t="n">
        <f aca="false">отделка!C662</f>
        <v>0</v>
      </c>
      <c r="E2137" s="89" t="n">
        <f aca="false">отделка!D662</f>
        <v>10</v>
      </c>
      <c r="F2137" s="89"/>
      <c r="G2137" s="122" t="n">
        <f aca="false">IF(F2137&gt;0,D2137*F2137,E2137*D2137)</f>
        <v>0</v>
      </c>
      <c r="H2137" s="2210" t="n">
        <f aca="false">D2137*E2137*$H$2099</f>
        <v>0</v>
      </c>
      <c r="I2137" s="2784" t="n">
        <f aca="false">IF(G2137&gt;H2137,G2137,H2137)*$H$2098</f>
        <v>0</v>
      </c>
      <c r="J2137" s="2744"/>
      <c r="K2137" s="226" t="n">
        <f aca="false">D2137-J2137</f>
        <v>0</v>
      </c>
      <c r="L2137" s="2736"/>
    </row>
    <row r="2138" customFormat="false" ht="15.5" hidden="false" customHeight="false" outlineLevel="0" collapsed="false">
      <c r="A2138" s="2719"/>
      <c r="B2138" s="298" t="s">
        <v>1291</v>
      </c>
      <c r="C2138" s="2765" t="s">
        <v>159</v>
      </c>
      <c r="D2138" s="298" t="n">
        <f aca="false">отделка!C663</f>
        <v>0</v>
      </c>
      <c r="E2138" s="89" t="n">
        <f aca="false">отделка!D663</f>
        <v>100</v>
      </c>
      <c r="F2138" s="89"/>
      <c r="G2138" s="122" t="n">
        <f aca="false">IF(F2138&gt;0,D2138*F2138,E2138*D2138)</f>
        <v>0</v>
      </c>
      <c r="H2138" s="2210" t="n">
        <f aca="false">D2138*E2138*$H$2099</f>
        <v>0</v>
      </c>
      <c r="I2138" s="2784" t="n">
        <f aca="false">IF(G2138&gt;H2138,G2138,H2138)*$H$2098</f>
        <v>0</v>
      </c>
      <c r="J2138" s="2744"/>
      <c r="K2138" s="226" t="n">
        <f aca="false">D2138-J2138</f>
        <v>0</v>
      </c>
      <c r="L2138" s="2736"/>
    </row>
    <row r="2139" customFormat="false" ht="15.5" hidden="false" customHeight="false" outlineLevel="0" collapsed="false">
      <c r="A2139" s="2719"/>
      <c r="B2139" s="298" t="s">
        <v>1292</v>
      </c>
      <c r="C2139" s="2765" t="s">
        <v>159</v>
      </c>
      <c r="D2139" s="298" t="n">
        <f aca="false">отделка!C664</f>
        <v>0</v>
      </c>
      <c r="E2139" s="89" t="n">
        <f aca="false">отделка!D664</f>
        <v>190</v>
      </c>
      <c r="F2139" s="89"/>
      <c r="G2139" s="122" t="n">
        <f aca="false">IF(F2139&gt;0,D2139*F2139,E2139*D2139)</f>
        <v>0</v>
      </c>
      <c r="H2139" s="2210" t="n">
        <f aca="false">D2139*E2139*$H$2099</f>
        <v>0</v>
      </c>
      <c r="I2139" s="2784" t="n">
        <f aca="false">IF(G2139&gt;H2139,G2139,H2139)*$H$2098</f>
        <v>0</v>
      </c>
      <c r="J2139" s="2744"/>
      <c r="K2139" s="226" t="n">
        <f aca="false">D2139-J2139</f>
        <v>0</v>
      </c>
      <c r="L2139" s="2736"/>
    </row>
    <row r="2140" customFormat="false" ht="15.5" hidden="false" customHeight="false" outlineLevel="0" collapsed="false">
      <c r="A2140" s="2719"/>
      <c r="B2140" s="298" t="s">
        <v>1293</v>
      </c>
      <c r="C2140" s="2765" t="s">
        <v>133</v>
      </c>
      <c r="D2140" s="298" t="n">
        <f aca="false">отделка!C665</f>
        <v>0</v>
      </c>
      <c r="E2140" s="89" t="n">
        <f aca="false">отделка!D665</f>
        <v>120</v>
      </c>
      <c r="F2140" s="89"/>
      <c r="G2140" s="122" t="n">
        <f aca="false">IF(F2140&gt;0,D2140*F2140,E2140*D2140)</f>
        <v>0</v>
      </c>
      <c r="H2140" s="2210" t="n">
        <f aca="false">D2140*E2140*$H$2099</f>
        <v>0</v>
      </c>
      <c r="I2140" s="2784" t="n">
        <f aca="false">IF(G2140&gt;H2140,G2140,H2140)*$H$2098</f>
        <v>0</v>
      </c>
      <c r="J2140" s="2744"/>
      <c r="K2140" s="226" t="n">
        <f aca="false">D2140-J2140</f>
        <v>0</v>
      </c>
      <c r="L2140" s="2736"/>
    </row>
    <row r="2141" customFormat="false" ht="15.5" hidden="false" customHeight="false" outlineLevel="0" collapsed="false">
      <c r="A2141" s="2719"/>
      <c r="B2141" s="298" t="s">
        <v>1294</v>
      </c>
      <c r="C2141" s="2765" t="s">
        <v>133</v>
      </c>
      <c r="D2141" s="298" t="n">
        <f aca="false">отделка!C666</f>
        <v>0</v>
      </c>
      <c r="E2141" s="89" t="n">
        <f aca="false">отделка!D666</f>
        <v>400</v>
      </c>
      <c r="F2141" s="89"/>
      <c r="G2141" s="122" t="n">
        <f aca="false">IF(F2141&gt;0,D2141*F2141,E2141*D2141)</f>
        <v>0</v>
      </c>
      <c r="H2141" s="2210" t="n">
        <f aca="false">D2141*E2141*$H$2099</f>
        <v>0</v>
      </c>
      <c r="I2141" s="2784" t="n">
        <f aca="false">IF(G2141&gt;H2141,G2141,H2141)*$H$2098</f>
        <v>0</v>
      </c>
      <c r="J2141" s="2744"/>
      <c r="K2141" s="226" t="n">
        <f aca="false">D2141-J2141</f>
        <v>0</v>
      </c>
      <c r="L2141" s="2736"/>
    </row>
    <row r="2142" customFormat="false" ht="15.5" hidden="false" customHeight="false" outlineLevel="0" collapsed="false">
      <c r="A2142" s="2719"/>
      <c r="B2142" s="471" t="s">
        <v>1255</v>
      </c>
      <c r="C2142" s="2765" t="s">
        <v>133</v>
      </c>
      <c r="D2142" s="298" t="n">
        <f aca="false">отделка!C667</f>
        <v>0</v>
      </c>
      <c r="E2142" s="89" t="n">
        <f aca="false">отделка!D667</f>
        <v>350</v>
      </c>
      <c r="F2142" s="89"/>
      <c r="G2142" s="122" t="n">
        <f aca="false">IF(F2142&gt;0,D2142*F2142,E2142*D2142)</f>
        <v>0</v>
      </c>
      <c r="H2142" s="2210" t="n">
        <f aca="false">D2142*E2142*$H$2099</f>
        <v>0</v>
      </c>
      <c r="I2142" s="2784" t="n">
        <f aca="false">IF(G2142&gt;H2142,G2142,H2142)*$H$2098</f>
        <v>0</v>
      </c>
      <c r="J2142" s="2744"/>
      <c r="K2142" s="226" t="n">
        <f aca="false">D2142-J2142</f>
        <v>0</v>
      </c>
      <c r="L2142" s="2736"/>
    </row>
    <row r="2143" customFormat="false" ht="15.5" hidden="false" customHeight="false" outlineLevel="0" collapsed="false">
      <c r="A2143" s="2719"/>
      <c r="B2143" s="471" t="s">
        <v>1281</v>
      </c>
      <c r="C2143" s="2765" t="s">
        <v>133</v>
      </c>
      <c r="D2143" s="298" t="n">
        <f aca="false">отделка!C668</f>
        <v>0</v>
      </c>
      <c r="E2143" s="89" t="n">
        <f aca="false">отделка!D668</f>
        <v>500</v>
      </c>
      <c r="F2143" s="89"/>
      <c r="G2143" s="122" t="n">
        <f aca="false">IF(F2143&gt;0,D2143*F2143,E2143*D2143)</f>
        <v>0</v>
      </c>
      <c r="H2143" s="2210" t="n">
        <f aca="false">D2143*E2143*$H$2099</f>
        <v>0</v>
      </c>
      <c r="I2143" s="2784" t="n">
        <f aca="false">IF(G2143&gt;H2143,G2143,H2143)*$H$2098</f>
        <v>0</v>
      </c>
      <c r="J2143" s="2744"/>
      <c r="K2143" s="226" t="n">
        <f aca="false">D2143-J2143</f>
        <v>0</v>
      </c>
      <c r="L2143" s="2736"/>
    </row>
    <row r="2144" customFormat="false" ht="15.5" hidden="false" customHeight="false" outlineLevel="0" collapsed="false">
      <c r="A2144" s="2719"/>
      <c r="B2144" s="471" t="s">
        <v>1282</v>
      </c>
      <c r="C2144" s="2765" t="s">
        <v>133</v>
      </c>
      <c r="D2144" s="298" t="n">
        <f aca="false">отделка!C669</f>
        <v>0</v>
      </c>
      <c r="E2144" s="89" t="n">
        <f aca="false">отделка!D669</f>
        <v>250</v>
      </c>
      <c r="F2144" s="89"/>
      <c r="G2144" s="122" t="n">
        <f aca="false">IF(F2144&gt;0,D2144*F2144,E2144*D2144)</f>
        <v>0</v>
      </c>
      <c r="H2144" s="2210" t="n">
        <f aca="false">D2144*E2144*$H$2099</f>
        <v>0</v>
      </c>
      <c r="I2144" s="2784" t="n">
        <f aca="false">IF(G2144&gt;H2144,G2144,H2144)*$H$2098</f>
        <v>0</v>
      </c>
      <c r="J2144" s="2744"/>
      <c r="K2144" s="226" t="n">
        <f aca="false">D2144-J2144</f>
        <v>0</v>
      </c>
      <c r="L2144" s="2736"/>
    </row>
    <row r="2145" customFormat="false" ht="15.5" hidden="false" customHeight="false" outlineLevel="0" collapsed="false">
      <c r="A2145" s="2719"/>
      <c r="B2145" s="471" t="s">
        <v>1283</v>
      </c>
      <c r="C2145" s="2765" t="s">
        <v>156</v>
      </c>
      <c r="D2145" s="298" t="n">
        <f aca="false">отделка!C670</f>
        <v>0</v>
      </c>
      <c r="E2145" s="89" t="n">
        <f aca="false">отделка!D670</f>
        <v>6</v>
      </c>
      <c r="F2145" s="89"/>
      <c r="G2145" s="122" t="n">
        <f aca="false">IF(F2145&gt;0,D2145*F2145,E2145*D2145)</f>
        <v>0</v>
      </c>
      <c r="H2145" s="2210" t="n">
        <f aca="false">D2145*E2145*$H$2099</f>
        <v>0</v>
      </c>
      <c r="I2145" s="2784" t="n">
        <f aca="false">IF(G2145&gt;H2145,G2145,H2145)*$H$2098</f>
        <v>0</v>
      </c>
      <c r="J2145" s="2744"/>
      <c r="K2145" s="226" t="n">
        <f aca="false">D2145-J2145</f>
        <v>0</v>
      </c>
      <c r="L2145" s="2736"/>
    </row>
    <row r="2146" customFormat="false" ht="15.5" hidden="false" customHeight="false" outlineLevel="0" collapsed="false">
      <c r="A2146" s="2719"/>
      <c r="B2146" s="471" t="s">
        <v>1284</v>
      </c>
      <c r="C2146" s="2765" t="s">
        <v>159</v>
      </c>
      <c r="D2146" s="298" t="n">
        <f aca="false">отделка!C671</f>
        <v>0</v>
      </c>
      <c r="E2146" s="89" t="n">
        <f aca="false">отделка!D671</f>
        <v>8</v>
      </c>
      <c r="F2146" s="89"/>
      <c r="G2146" s="122" t="n">
        <f aca="false">IF(F2146&gt;0,D2146*F2146,E2146*D2146)</f>
        <v>0</v>
      </c>
      <c r="H2146" s="2210" t="n">
        <f aca="false">D2146*E2146*$H$2099</f>
        <v>0</v>
      </c>
      <c r="I2146" s="2784" t="n">
        <f aca="false">IF(G2146&gt;H2146,G2146,H2146)*$H$2098</f>
        <v>0</v>
      </c>
      <c r="J2146" s="2744"/>
      <c r="K2146" s="226" t="n">
        <f aca="false">D2146-J2146</f>
        <v>0</v>
      </c>
      <c r="L2146" s="2736"/>
    </row>
    <row r="2147" customFormat="false" ht="15.5" hidden="false" customHeight="false" outlineLevel="0" collapsed="false">
      <c r="A2147" s="2719"/>
      <c r="B2147" s="471" t="s">
        <v>1285</v>
      </c>
      <c r="C2147" s="2765" t="s">
        <v>159</v>
      </c>
      <c r="D2147" s="298" t="n">
        <f aca="false">отделка!C672</f>
        <v>0</v>
      </c>
      <c r="E2147" s="89" t="n">
        <f aca="false">отделка!D672</f>
        <v>0.02</v>
      </c>
      <c r="F2147" s="89"/>
      <c r="G2147" s="122" t="n">
        <f aca="false">IF(F2147&gt;0,D2147*F2147,E2147*D2147)</f>
        <v>0</v>
      </c>
      <c r="H2147" s="2210" t="n">
        <f aca="false">D2147*E2147*$H$2099</f>
        <v>0</v>
      </c>
      <c r="I2147" s="2784" t="n">
        <f aca="false">IF(G2147&gt;H2147,G2147,H2147)*$H$2098</f>
        <v>0</v>
      </c>
      <c r="J2147" s="2744"/>
      <c r="K2147" s="226" t="n">
        <f aca="false">D2147-J2147</f>
        <v>0</v>
      </c>
      <c r="L2147" s="2736"/>
    </row>
    <row r="2148" customFormat="false" ht="15.5" hidden="false" customHeight="false" outlineLevel="0" collapsed="false">
      <c r="A2148" s="2719"/>
      <c r="B2148" s="298" t="s">
        <v>1286</v>
      </c>
      <c r="C2148" s="2765" t="s">
        <v>159</v>
      </c>
      <c r="D2148" s="298" t="n">
        <f aca="false">отделка!C673</f>
        <v>0</v>
      </c>
      <c r="E2148" s="89" t="n">
        <f aca="false">отделка!D673</f>
        <v>0.02</v>
      </c>
      <c r="F2148" s="89"/>
      <c r="G2148" s="122" t="n">
        <f aca="false">IF(F2148&gt;0,D2148*F2148,E2148*D2148)</f>
        <v>0</v>
      </c>
      <c r="H2148" s="2210" t="n">
        <f aca="false">D2148*E2148*$H$2099</f>
        <v>0</v>
      </c>
      <c r="I2148" s="2784" t="n">
        <f aca="false">IF(G2148&gt;H2148,G2148,H2148)*$H$2098</f>
        <v>0</v>
      </c>
      <c r="J2148" s="2744"/>
      <c r="K2148" s="226" t="n">
        <f aca="false">D2148-J2148</f>
        <v>0</v>
      </c>
      <c r="L2148" s="2736"/>
    </row>
    <row r="2149" customFormat="false" ht="15.5" hidden="false" customHeight="false" outlineLevel="0" collapsed="false">
      <c r="A2149" s="2719"/>
      <c r="B2149" s="2765" t="s">
        <v>4671</v>
      </c>
      <c r="C2149" s="2765"/>
      <c r="D2149" s="2765"/>
      <c r="E2149" s="2765"/>
      <c r="F2149" s="2765"/>
      <c r="G2149" s="122" t="n">
        <f aca="false">IF(F2149&gt;0,D2149*F2149,E2149*D2149)</f>
        <v>0</v>
      </c>
      <c r="H2149" s="2839" t="n">
        <f aca="false">IF(SUM(H2150:H2159)&gt;0,1,0)</f>
        <v>0</v>
      </c>
      <c r="I2149" s="2784" t="n">
        <f aca="false">IF(G2149&gt;H2149,G2149,H2149)*$H$2098</f>
        <v>0</v>
      </c>
      <c r="J2149" s="2744"/>
      <c r="K2149" s="226" t="n">
        <f aca="false">D2149-J2149</f>
        <v>0</v>
      </c>
      <c r="L2149" s="2736"/>
    </row>
    <row r="2150" customFormat="false" ht="15.5" hidden="false" customHeight="false" outlineLevel="0" collapsed="false">
      <c r="A2150" s="2719"/>
      <c r="B2150" s="298" t="s">
        <v>1296</v>
      </c>
      <c r="C2150" s="2765" t="s">
        <v>133</v>
      </c>
      <c r="D2150" s="298" t="n">
        <f aca="false">отделка!C675</f>
        <v>0</v>
      </c>
      <c r="E2150" s="89" t="n">
        <f aca="false">отделка!D675</f>
        <v>50</v>
      </c>
      <c r="F2150" s="89"/>
      <c r="G2150" s="122" t="n">
        <f aca="false">IF(F2150&gt;0,D2150*F2150,E2150*D2150)</f>
        <v>0</v>
      </c>
      <c r="H2150" s="2210" t="n">
        <f aca="false">D2150*E2150*$H$2099</f>
        <v>0</v>
      </c>
      <c r="I2150" s="2784" t="n">
        <f aca="false">IF(G2150&gt;H2150,G2150,H2150)*$H$2098</f>
        <v>0</v>
      </c>
      <c r="J2150" s="2744"/>
      <c r="K2150" s="226" t="n">
        <f aca="false">D2150-J2150</f>
        <v>0</v>
      </c>
      <c r="L2150" s="2736"/>
    </row>
    <row r="2151" customFormat="false" ht="15.5" hidden="false" customHeight="false" outlineLevel="0" collapsed="false">
      <c r="A2151" s="2719"/>
      <c r="B2151" s="298" t="s">
        <v>1297</v>
      </c>
      <c r="C2151" s="2765" t="s">
        <v>133</v>
      </c>
      <c r="D2151" s="298" t="n">
        <f aca="false">отделка!C676</f>
        <v>0</v>
      </c>
      <c r="E2151" s="89" t="n">
        <f aca="false">отделка!D676</f>
        <v>350</v>
      </c>
      <c r="F2151" s="89"/>
      <c r="G2151" s="122" t="n">
        <f aca="false">IF(F2151&gt;0,D2151*F2151,E2151*D2151)</f>
        <v>0</v>
      </c>
      <c r="H2151" s="2210" t="n">
        <f aca="false">D2151*E2151*$H$2099</f>
        <v>0</v>
      </c>
      <c r="I2151" s="2784" t="n">
        <f aca="false">IF(G2151&gt;H2151,G2151,H2151)*$H$2098</f>
        <v>0</v>
      </c>
      <c r="J2151" s="2744"/>
      <c r="K2151" s="226" t="n">
        <f aca="false">D2151-J2151</f>
        <v>0</v>
      </c>
      <c r="L2151" s="2736"/>
    </row>
    <row r="2152" customFormat="false" ht="15.5" hidden="false" customHeight="false" outlineLevel="0" collapsed="false">
      <c r="A2152" s="2719"/>
      <c r="B2152" s="298" t="s">
        <v>1298</v>
      </c>
      <c r="C2152" s="2765" t="s">
        <v>133</v>
      </c>
      <c r="D2152" s="298" t="n">
        <f aca="false">отделка!C677</f>
        <v>94</v>
      </c>
      <c r="E2152" s="89" t="n">
        <f aca="false">отделка!D677</f>
        <v>450</v>
      </c>
      <c r="F2152" s="89"/>
      <c r="G2152" s="122" t="n">
        <f aca="false">IF(F2152&gt;0,D2152*F2152,E2152*D2152)</f>
        <v>42300</v>
      </c>
      <c r="H2152" s="2210" t="n">
        <f aca="false">D2152*E2152*$H$2099</f>
        <v>0</v>
      </c>
      <c r="I2152" s="2784" t="n">
        <f aca="false">IF(G2152&gt;H2152,G2152,H2152)*$H$2098</f>
        <v>0</v>
      </c>
      <c r="J2152" s="2744"/>
      <c r="K2152" s="226" t="n">
        <f aca="false">D2152-J2152</f>
        <v>94</v>
      </c>
      <c r="L2152" s="2736"/>
    </row>
    <row r="2153" customFormat="false" ht="15.5" hidden="false" customHeight="false" outlineLevel="0" collapsed="false">
      <c r="A2153" s="2719"/>
      <c r="B2153" s="298" t="s">
        <v>1299</v>
      </c>
      <c r="C2153" s="2765" t="s">
        <v>159</v>
      </c>
      <c r="D2153" s="298" t="n">
        <f aca="false">отделка!C678</f>
        <v>0</v>
      </c>
      <c r="E2153" s="89" t="n">
        <f aca="false">отделка!D678</f>
        <v>35</v>
      </c>
      <c r="F2153" s="89"/>
      <c r="G2153" s="122" t="n">
        <f aca="false">IF(F2153&gt;0,D2153*F2153,E2153*D2153)</f>
        <v>0</v>
      </c>
      <c r="H2153" s="2210" t="n">
        <f aca="false">D2153*E2153*$H$2099</f>
        <v>0</v>
      </c>
      <c r="I2153" s="2784" t="n">
        <f aca="false">IF(G2153&gt;H2153,G2153,H2153)*$H$2098</f>
        <v>0</v>
      </c>
      <c r="J2153" s="2744"/>
      <c r="K2153" s="226" t="n">
        <f aca="false">D2153-J2153</f>
        <v>0</v>
      </c>
      <c r="L2153" s="2736"/>
    </row>
    <row r="2154" customFormat="false" ht="15.5" hidden="false" customHeight="false" outlineLevel="0" collapsed="false">
      <c r="A2154" s="2719"/>
      <c r="B2154" s="298" t="s">
        <v>1300</v>
      </c>
      <c r="C2154" s="2765" t="s">
        <v>156</v>
      </c>
      <c r="D2154" s="298" t="n">
        <f aca="false">отделка!C679</f>
        <v>0</v>
      </c>
      <c r="E2154" s="89" t="n">
        <f aca="false">отделка!D679</f>
        <v>35</v>
      </c>
      <c r="F2154" s="89"/>
      <c r="G2154" s="122" t="n">
        <f aca="false">IF(F2154&gt;0,D2154*F2154,E2154*D2154)</f>
        <v>0</v>
      </c>
      <c r="H2154" s="2210" t="n">
        <f aca="false">D2154*E2154*$H$2099</f>
        <v>0</v>
      </c>
      <c r="I2154" s="2784" t="n">
        <f aca="false">IF(G2154&gt;H2154,G2154,H2154)*$H$2098</f>
        <v>0</v>
      </c>
      <c r="J2154" s="2744"/>
      <c r="K2154" s="226" t="n">
        <f aca="false">D2154-J2154</f>
        <v>0</v>
      </c>
      <c r="L2154" s="2736"/>
    </row>
    <row r="2155" customFormat="false" ht="15.5" hidden="false" customHeight="false" outlineLevel="0" collapsed="false">
      <c r="A2155" s="2719"/>
      <c r="B2155" s="298" t="s">
        <v>1301</v>
      </c>
      <c r="C2155" s="2765" t="s">
        <v>133</v>
      </c>
      <c r="D2155" s="298" t="n">
        <f aca="false">отделка!C680</f>
        <v>0</v>
      </c>
      <c r="E2155" s="89" t="n">
        <f aca="false">отделка!D680</f>
        <v>500</v>
      </c>
      <c r="F2155" s="89"/>
      <c r="G2155" s="122" t="n">
        <f aca="false">IF(F2155&gt;0,D2155*F2155,E2155*D2155)</f>
        <v>0</v>
      </c>
      <c r="H2155" s="2210" t="n">
        <f aca="false">D2155*E2155*$H$2099</f>
        <v>0</v>
      </c>
      <c r="I2155" s="2784" t="n">
        <f aca="false">IF(G2155&gt;H2155,G2155,H2155)*$H$2098</f>
        <v>0</v>
      </c>
      <c r="J2155" s="2744"/>
      <c r="K2155" s="226" t="n">
        <f aca="false">D2155-J2155</f>
        <v>0</v>
      </c>
      <c r="L2155" s="2736"/>
    </row>
    <row r="2156" customFormat="false" ht="15.5" hidden="false" customHeight="false" outlineLevel="0" collapsed="false">
      <c r="A2156" s="2719"/>
      <c r="B2156" s="298" t="s">
        <v>1302</v>
      </c>
      <c r="C2156" s="2765" t="s">
        <v>159</v>
      </c>
      <c r="D2156" s="298" t="n">
        <f aca="false">отделка!C681</f>
        <v>0</v>
      </c>
      <c r="E2156" s="89" t="n">
        <f aca="false">отделка!D681</f>
        <v>250</v>
      </c>
      <c r="F2156" s="89"/>
      <c r="G2156" s="122" t="n">
        <f aca="false">IF(F2156&gt;0,D2156*F2156,E2156*D2156)</f>
        <v>0</v>
      </c>
      <c r="H2156" s="2210" t="n">
        <f aca="false">D2156*E2156*$H$2099</f>
        <v>0</v>
      </c>
      <c r="I2156" s="2784" t="n">
        <f aca="false">IF(G2156&gt;H2156,G2156,H2156)*$H$2098</f>
        <v>0</v>
      </c>
      <c r="J2156" s="2744"/>
      <c r="K2156" s="226" t="n">
        <f aca="false">D2156-J2156</f>
        <v>0</v>
      </c>
      <c r="L2156" s="2736"/>
    </row>
    <row r="2157" customFormat="false" ht="15.5" hidden="false" customHeight="false" outlineLevel="0" collapsed="false">
      <c r="A2157" s="2719"/>
      <c r="B2157" s="298" t="s">
        <v>1274</v>
      </c>
      <c r="C2157" s="2765" t="s">
        <v>159</v>
      </c>
      <c r="D2157" s="298" t="n">
        <f aca="false">отделка!C682</f>
        <v>0</v>
      </c>
      <c r="E2157" s="89" t="n">
        <f aca="false">отделка!D682</f>
        <v>500</v>
      </c>
      <c r="F2157" s="89"/>
      <c r="G2157" s="122" t="n">
        <f aca="false">IF(F2157&gt;0,D2157*F2157,E2157*D2157)</f>
        <v>0</v>
      </c>
      <c r="H2157" s="2210" t="n">
        <f aca="false">D2157*E2157*$H$2099</f>
        <v>0</v>
      </c>
      <c r="I2157" s="2784" t="n">
        <f aca="false">IF(G2157&gt;H2157,G2157,H2157)*$H$2098</f>
        <v>0</v>
      </c>
      <c r="J2157" s="2744"/>
      <c r="K2157" s="226" t="n">
        <f aca="false">D2157-J2157</f>
        <v>0</v>
      </c>
      <c r="L2157" s="2736"/>
    </row>
    <row r="2158" customFormat="false" ht="15.5" hidden="false" customHeight="false" outlineLevel="0" collapsed="false">
      <c r="A2158" s="2719"/>
      <c r="B2158" s="298" t="s">
        <v>1303</v>
      </c>
      <c r="C2158" s="2765" t="s">
        <v>159</v>
      </c>
      <c r="D2158" s="298" t="n">
        <f aca="false">отделка!C683</f>
        <v>0</v>
      </c>
      <c r="E2158" s="89" t="n">
        <f aca="false">отделка!D683</f>
        <v>200</v>
      </c>
      <c r="F2158" s="89"/>
      <c r="G2158" s="122" t="n">
        <f aca="false">IF(F2158&gt;0,D2158*F2158,E2158*D2158)</f>
        <v>0</v>
      </c>
      <c r="H2158" s="2210" t="n">
        <f aca="false">D2158*E2158*$H$2099</f>
        <v>0</v>
      </c>
      <c r="I2158" s="2784" t="n">
        <f aca="false">IF(G2158&gt;H2158,G2158,H2158)*$H$2098</f>
        <v>0</v>
      </c>
      <c r="J2158" s="2744"/>
      <c r="K2158" s="226" t="n">
        <f aca="false">D2158-J2158</f>
        <v>0</v>
      </c>
      <c r="L2158" s="2736"/>
    </row>
    <row r="2159" customFormat="false" ht="15.5" hidden="false" customHeight="false" outlineLevel="0" collapsed="false">
      <c r="A2159" s="2719"/>
      <c r="B2159" s="298" t="s">
        <v>1304</v>
      </c>
      <c r="C2159" s="2765" t="s">
        <v>159</v>
      </c>
      <c r="D2159" s="298" t="n">
        <f aca="false">отделка!C684</f>
        <v>0</v>
      </c>
      <c r="E2159" s="89" t="n">
        <f aca="false">отделка!D684</f>
        <v>400</v>
      </c>
      <c r="F2159" s="89"/>
      <c r="G2159" s="122" t="n">
        <f aca="false">IF(F2159&gt;0,D2159*F2159,E2159*D2159)</f>
        <v>0</v>
      </c>
      <c r="H2159" s="2210" t="n">
        <f aca="false">D2159*E2159*$H$2099</f>
        <v>0</v>
      </c>
      <c r="I2159" s="2784" t="n">
        <f aca="false">IF(G2159&gt;H2159,G2159,H2159)*$H$2098</f>
        <v>0</v>
      </c>
      <c r="J2159" s="2744"/>
      <c r="K2159" s="226" t="n">
        <f aca="false">D2159-J2159</f>
        <v>0</v>
      </c>
      <c r="L2159" s="2736"/>
    </row>
    <row r="2160" customFormat="false" ht="15.5" hidden="false" customHeight="false" outlineLevel="0" collapsed="false">
      <c r="A2160" s="2719"/>
      <c r="B2160" s="2765" t="s">
        <v>1305</v>
      </c>
      <c r="C2160" s="2765"/>
      <c r="D2160" s="2765"/>
      <c r="E2160" s="2765"/>
      <c r="F2160" s="2847"/>
      <c r="G2160" s="122" t="n">
        <f aca="false">IF(F2160&gt;0,D2160*F2160,E2160*D2160)</f>
        <v>0</v>
      </c>
      <c r="H2160" s="2839" t="n">
        <f aca="false">IF(SUM(H2161:H2171)&gt;0,1,0)</f>
        <v>0</v>
      </c>
      <c r="I2160" s="2784" t="n">
        <f aca="false">IF(G2160&gt;H2160,G2160,H2160)*$H$2098</f>
        <v>0</v>
      </c>
      <c r="J2160" s="2744"/>
      <c r="K2160" s="226" t="n">
        <f aca="false">D2160-J2160</f>
        <v>0</v>
      </c>
      <c r="L2160" s="2736"/>
    </row>
    <row r="2161" customFormat="false" ht="15.5" hidden="false" customHeight="false" outlineLevel="0" collapsed="false">
      <c r="A2161" s="2719"/>
      <c r="B2161" s="298" t="s">
        <v>1306</v>
      </c>
      <c r="C2161" s="2765" t="s">
        <v>133</v>
      </c>
      <c r="D2161" s="298" t="n">
        <f aca="false">отделка!C686</f>
        <v>0</v>
      </c>
      <c r="E2161" s="89" t="n">
        <f aca="false">отделка!D686</f>
        <v>500</v>
      </c>
      <c r="F2161" s="89"/>
      <c r="G2161" s="122" t="n">
        <f aca="false">IF(F2161&gt;0,D2161*F2161,E2161*D2161)</f>
        <v>0</v>
      </c>
      <c r="H2161" s="2210" t="n">
        <f aca="false">D2161*E2161*$H$2099</f>
        <v>0</v>
      </c>
      <c r="I2161" s="2784" t="n">
        <f aca="false">IF(G2161&gt;H2161,G2161,H2161)*$H$2098</f>
        <v>0</v>
      </c>
      <c r="J2161" s="2744"/>
      <c r="K2161" s="226" t="n">
        <f aca="false">D2161-J2161</f>
        <v>0</v>
      </c>
      <c r="L2161" s="2736"/>
    </row>
    <row r="2162" customFormat="false" ht="15.5" hidden="false" customHeight="false" outlineLevel="0" collapsed="false">
      <c r="A2162" s="2719"/>
      <c r="B2162" s="298" t="s">
        <v>1307</v>
      </c>
      <c r="C2162" s="2765" t="s">
        <v>133</v>
      </c>
      <c r="D2162" s="298" t="n">
        <f aca="false">отделка!C687</f>
        <v>0</v>
      </c>
      <c r="E2162" s="89" t="n">
        <f aca="false">отделка!D687</f>
        <v>500</v>
      </c>
      <c r="F2162" s="89"/>
      <c r="G2162" s="122" t="n">
        <f aca="false">IF(F2162&gt;0,D2162*F2162,E2162*D2162)</f>
        <v>0</v>
      </c>
      <c r="H2162" s="2210" t="n">
        <f aca="false">D2162*E2162*$H$2099</f>
        <v>0</v>
      </c>
      <c r="I2162" s="2784" t="n">
        <f aca="false">IF(G2162&gt;H2162,G2162,H2162)*$H$2098</f>
        <v>0</v>
      </c>
      <c r="J2162" s="2744"/>
      <c r="K2162" s="226" t="n">
        <f aca="false">D2162-J2162</f>
        <v>0</v>
      </c>
      <c r="L2162" s="2736"/>
    </row>
    <row r="2163" customFormat="false" ht="15.5" hidden="false" customHeight="false" outlineLevel="0" collapsed="false">
      <c r="A2163" s="2719"/>
      <c r="B2163" s="298" t="s">
        <v>1308</v>
      </c>
      <c r="C2163" s="2765" t="s">
        <v>133</v>
      </c>
      <c r="D2163" s="298" t="n">
        <f aca="false">отделка!C688</f>
        <v>0</v>
      </c>
      <c r="E2163" s="89" t="n">
        <f aca="false">отделка!D688</f>
        <v>500</v>
      </c>
      <c r="F2163" s="89"/>
      <c r="G2163" s="122" t="n">
        <f aca="false">IF(F2163&gt;0,D2163*F2163,E2163*D2163)</f>
        <v>0</v>
      </c>
      <c r="H2163" s="2210" t="n">
        <f aca="false">D2163*E2163*$H$2099</f>
        <v>0</v>
      </c>
      <c r="I2163" s="2784" t="n">
        <f aca="false">IF(G2163&gt;H2163,G2163,H2163)*$H$2098</f>
        <v>0</v>
      </c>
      <c r="J2163" s="2744"/>
      <c r="K2163" s="226" t="n">
        <f aca="false">D2163-J2163</f>
        <v>0</v>
      </c>
      <c r="L2163" s="2736"/>
    </row>
    <row r="2164" customFormat="false" ht="15.5" hidden="false" customHeight="false" outlineLevel="0" collapsed="false">
      <c r="A2164" s="2719"/>
      <c r="B2164" s="298" t="s">
        <v>1302</v>
      </c>
      <c r="C2164" s="2765" t="s">
        <v>159</v>
      </c>
      <c r="D2164" s="298" t="n">
        <f aca="false">отделка!C689</f>
        <v>0</v>
      </c>
      <c r="E2164" s="89" t="n">
        <f aca="false">отделка!D689</f>
        <v>250</v>
      </c>
      <c r="F2164" s="89"/>
      <c r="G2164" s="122" t="n">
        <f aca="false">IF(F2164&gt;0,D2164*F2164,E2164*D2164)</f>
        <v>0</v>
      </c>
      <c r="H2164" s="2210" t="n">
        <f aca="false">D2164*E2164*$H$2099</f>
        <v>0</v>
      </c>
      <c r="I2164" s="2784" t="n">
        <f aca="false">IF(G2164&gt;H2164,G2164,H2164)*$H$2098</f>
        <v>0</v>
      </c>
      <c r="J2164" s="2744"/>
      <c r="K2164" s="226" t="n">
        <f aca="false">D2164-J2164</f>
        <v>0</v>
      </c>
      <c r="L2164" s="2736"/>
    </row>
    <row r="2165" customFormat="false" ht="15.5" hidden="false" customHeight="false" outlineLevel="0" collapsed="false">
      <c r="A2165" s="2719"/>
      <c r="B2165" s="298" t="s">
        <v>1274</v>
      </c>
      <c r="C2165" s="2765" t="s">
        <v>159</v>
      </c>
      <c r="D2165" s="298" t="n">
        <f aca="false">отделка!C690</f>
        <v>0</v>
      </c>
      <c r="E2165" s="89" t="n">
        <f aca="false">отделка!D690</f>
        <v>500</v>
      </c>
      <c r="F2165" s="89"/>
      <c r="G2165" s="122" t="n">
        <f aca="false">IF(F2165&gt;0,D2165*F2165,E2165*D2165)</f>
        <v>0</v>
      </c>
      <c r="H2165" s="2210" t="n">
        <f aca="false">D2165*E2165*$H$2099</f>
        <v>0</v>
      </c>
      <c r="I2165" s="2784" t="n">
        <f aca="false">IF(G2165&gt;H2165,G2165,H2165)*$H$2098</f>
        <v>0</v>
      </c>
      <c r="J2165" s="2744"/>
      <c r="K2165" s="226" t="n">
        <f aca="false">D2165-J2165</f>
        <v>0</v>
      </c>
      <c r="L2165" s="2736"/>
    </row>
    <row r="2166" customFormat="false" ht="15.5" hidden="false" customHeight="false" outlineLevel="0" collapsed="false">
      <c r="A2166" s="2719"/>
      <c r="B2166" s="298" t="s">
        <v>1309</v>
      </c>
      <c r="C2166" s="2765" t="s">
        <v>159</v>
      </c>
      <c r="D2166" s="298" t="n">
        <f aca="false">отделка!C691</f>
        <v>0</v>
      </c>
      <c r="E2166" s="89" t="n">
        <f aca="false">отделка!D691</f>
        <v>200</v>
      </c>
      <c r="F2166" s="89"/>
      <c r="G2166" s="122" t="n">
        <f aca="false">IF(F2166&gt;0,D2166*F2166,E2166*D2166)</f>
        <v>0</v>
      </c>
      <c r="H2166" s="2210" t="n">
        <f aca="false">D2166*E2166*$H$2099</f>
        <v>0</v>
      </c>
      <c r="I2166" s="2784" t="n">
        <f aca="false">IF(G2166&gt;H2166,G2166,H2166)*$H$2098</f>
        <v>0</v>
      </c>
      <c r="J2166" s="2744"/>
      <c r="K2166" s="226" t="n">
        <f aca="false">D2166-J2166</f>
        <v>0</v>
      </c>
      <c r="L2166" s="2736"/>
    </row>
    <row r="2167" customFormat="false" ht="15.5" hidden="false" customHeight="false" outlineLevel="0" collapsed="false">
      <c r="A2167" s="2719"/>
      <c r="B2167" s="298" t="s">
        <v>1304</v>
      </c>
      <c r="C2167" s="2765" t="s">
        <v>159</v>
      </c>
      <c r="D2167" s="298" t="n">
        <f aca="false">отделка!C692</f>
        <v>0</v>
      </c>
      <c r="E2167" s="89" t="n">
        <f aca="false">отделка!D692</f>
        <v>400</v>
      </c>
      <c r="F2167" s="89"/>
      <c r="G2167" s="122" t="n">
        <f aca="false">IF(F2167&gt;0,D2167*F2167,E2167*D2167)</f>
        <v>0</v>
      </c>
      <c r="H2167" s="2210" t="n">
        <f aca="false">D2167*E2167*$H$2099</f>
        <v>0</v>
      </c>
      <c r="I2167" s="2784" t="n">
        <f aca="false">IF(G2167&gt;H2167,G2167,H2167)*$H$2098</f>
        <v>0</v>
      </c>
      <c r="J2167" s="2744"/>
      <c r="K2167" s="226" t="n">
        <f aca="false">D2167-J2167</f>
        <v>0</v>
      </c>
      <c r="L2167" s="2736"/>
    </row>
    <row r="2168" customFormat="false" ht="15.5" hidden="false" customHeight="false" outlineLevel="0" collapsed="false">
      <c r="A2168" s="2719"/>
      <c r="B2168" s="298" t="s">
        <v>1310</v>
      </c>
      <c r="C2168" s="2765" t="s">
        <v>133</v>
      </c>
      <c r="D2168" s="298" t="n">
        <f aca="false">отделка!C693</f>
        <v>0</v>
      </c>
      <c r="E2168" s="89" t="n">
        <f aca="false">отделка!D693</f>
        <v>250</v>
      </c>
      <c r="F2168" s="89"/>
      <c r="G2168" s="122" t="n">
        <f aca="false">IF(F2168&gt;0,D2168*F2168,E2168*D2168)</f>
        <v>0</v>
      </c>
      <c r="H2168" s="2210" t="n">
        <f aca="false">D2168*E2168*$H$2099</f>
        <v>0</v>
      </c>
      <c r="I2168" s="2784" t="n">
        <f aca="false">IF(G2168&gt;H2168,G2168,H2168)*$H$2098</f>
        <v>0</v>
      </c>
      <c r="J2168" s="2744"/>
      <c r="K2168" s="226" t="n">
        <f aca="false">D2168-J2168</f>
        <v>0</v>
      </c>
      <c r="L2168" s="2736"/>
    </row>
    <row r="2169" customFormat="false" ht="15.5" hidden="false" customHeight="false" outlineLevel="0" collapsed="false">
      <c r="A2169" s="2719"/>
      <c r="B2169" s="298" t="s">
        <v>1311</v>
      </c>
      <c r="C2169" s="2765" t="s">
        <v>133</v>
      </c>
      <c r="D2169" s="298" t="n">
        <f aca="false">отделка!C694</f>
        <v>0</v>
      </c>
      <c r="E2169" s="89" t="n">
        <f aca="false">отделка!D694</f>
        <v>250</v>
      </c>
      <c r="F2169" s="89"/>
      <c r="G2169" s="122" t="n">
        <f aca="false">IF(F2169&gt;0,D2169*F2169,E2169*D2169)</f>
        <v>0</v>
      </c>
      <c r="H2169" s="2210" t="n">
        <f aca="false">D2169*E2169*$H$2099</f>
        <v>0</v>
      </c>
      <c r="I2169" s="2784" t="n">
        <f aca="false">IF(G2169&gt;H2169,G2169,H2169)*$H$2098</f>
        <v>0</v>
      </c>
      <c r="J2169" s="2744"/>
      <c r="K2169" s="226" t="n">
        <f aca="false">D2169-J2169</f>
        <v>0</v>
      </c>
      <c r="L2169" s="2736"/>
    </row>
    <row r="2170" customFormat="false" ht="15.5" hidden="false" customHeight="false" outlineLevel="0" collapsed="false">
      <c r="A2170" s="2719"/>
      <c r="B2170" s="298" t="s">
        <v>1312</v>
      </c>
      <c r="C2170" s="2765" t="s">
        <v>159</v>
      </c>
      <c r="D2170" s="298" t="n">
        <f aca="false">отделка!C695</f>
        <v>0</v>
      </c>
      <c r="E2170" s="89" t="n">
        <f aca="false">отделка!D695</f>
        <v>120</v>
      </c>
      <c r="F2170" s="89"/>
      <c r="G2170" s="122" t="n">
        <f aca="false">IF(F2170&gt;0,D2170*F2170,E2170*D2170)</f>
        <v>0</v>
      </c>
      <c r="H2170" s="2210" t="n">
        <f aca="false">D2170*E2170*$H$2099</f>
        <v>0</v>
      </c>
      <c r="I2170" s="2784" t="n">
        <f aca="false">IF(G2170&gt;H2170,G2170,H2170)*$H$2098</f>
        <v>0</v>
      </c>
      <c r="J2170" s="2744"/>
      <c r="K2170" s="226" t="n">
        <f aca="false">D2170-J2170</f>
        <v>0</v>
      </c>
      <c r="L2170" s="2736"/>
    </row>
    <row r="2171" customFormat="false" ht="15.5" hidden="false" customHeight="false" outlineLevel="0" collapsed="false">
      <c r="A2171" s="2719"/>
      <c r="B2171" s="298" t="s">
        <v>1294</v>
      </c>
      <c r="C2171" s="2765" t="s">
        <v>133</v>
      </c>
      <c r="D2171" s="298" t="n">
        <f aca="false">отделка!C696</f>
        <v>0</v>
      </c>
      <c r="E2171" s="89" t="n">
        <f aca="false">отделка!D696</f>
        <v>400</v>
      </c>
      <c r="F2171" s="89"/>
      <c r="G2171" s="122" t="n">
        <f aca="false">IF(F2171&gt;0,D2171*F2171,E2171*D2171)</f>
        <v>0</v>
      </c>
      <c r="H2171" s="2210" t="n">
        <f aca="false">D2171*E2171*$H$2099</f>
        <v>0</v>
      </c>
      <c r="I2171" s="2784" t="n">
        <f aca="false">IF(G2171&gt;H2171,G2171,H2171)*$H$2098</f>
        <v>0</v>
      </c>
      <c r="J2171" s="2744"/>
      <c r="K2171" s="226" t="n">
        <f aca="false">D2171-J2171</f>
        <v>0</v>
      </c>
      <c r="L2171" s="2736"/>
    </row>
    <row r="2172" customFormat="false" ht="15.5" hidden="false" customHeight="false" outlineLevel="0" collapsed="false">
      <c r="A2172" s="2719"/>
      <c r="B2172" s="2765" t="s">
        <v>1313</v>
      </c>
      <c r="C2172" s="2765"/>
      <c r="D2172" s="2765"/>
      <c r="E2172" s="2765"/>
      <c r="F2172" s="2765"/>
      <c r="G2172" s="122" t="n">
        <f aca="false">IF(F2172&gt;0,D2172*F2172,E2172*D2172)</f>
        <v>0</v>
      </c>
      <c r="H2172" s="2839" t="n">
        <f aca="false">IF(SUM(H2173:H2178)&gt;0,1,0)</f>
        <v>0</v>
      </c>
      <c r="I2172" s="2784" t="n">
        <f aca="false">IF(G2172&gt;H2172,G2172,H2172)*$H$2098</f>
        <v>0</v>
      </c>
      <c r="J2172" s="2744"/>
      <c r="K2172" s="226" t="n">
        <f aca="false">D2172-J2172</f>
        <v>0</v>
      </c>
      <c r="L2172" s="2736"/>
    </row>
    <row r="2173" customFormat="false" ht="15.5" hidden="false" customHeight="false" outlineLevel="0" collapsed="false">
      <c r="A2173" s="2719"/>
      <c r="B2173" s="298" t="s">
        <v>1314</v>
      </c>
      <c r="C2173" s="2765" t="s">
        <v>159</v>
      </c>
      <c r="D2173" s="298" t="n">
        <f aca="false">отделка!C698</f>
        <v>0</v>
      </c>
      <c r="E2173" s="89" t="n">
        <f aca="false">отделка!D698</f>
        <v>1900</v>
      </c>
      <c r="F2173" s="89"/>
      <c r="G2173" s="122" t="n">
        <f aca="false">IF(F2173&gt;0,D2173*F2173,E2173*D2173)</f>
        <v>0</v>
      </c>
      <c r="H2173" s="2210" t="n">
        <f aca="false">D2173*E2173*$H$2099</f>
        <v>0</v>
      </c>
      <c r="I2173" s="2784" t="n">
        <f aca="false">IF(G2173&gt;H2173,G2173,H2173)*$H$2098</f>
        <v>0</v>
      </c>
      <c r="J2173" s="2744"/>
      <c r="K2173" s="226" t="n">
        <f aca="false">D2173-J2173</f>
        <v>0</v>
      </c>
      <c r="L2173" s="2736"/>
    </row>
    <row r="2174" customFormat="false" ht="15.5" hidden="false" customHeight="false" outlineLevel="0" collapsed="false">
      <c r="A2174" s="2719"/>
      <c r="B2174" s="298" t="s">
        <v>1315</v>
      </c>
      <c r="C2174" s="2765" t="s">
        <v>159</v>
      </c>
      <c r="D2174" s="298" t="n">
        <f aca="false">отделка!C699</f>
        <v>0</v>
      </c>
      <c r="E2174" s="89" t="n">
        <f aca="false">отделка!D699</f>
        <v>250</v>
      </c>
      <c r="F2174" s="89"/>
      <c r="G2174" s="122" t="n">
        <f aca="false">IF(F2174&gt;0,D2174*F2174,E2174*D2174)</f>
        <v>0</v>
      </c>
      <c r="H2174" s="2210" t="n">
        <f aca="false">D2174*E2174*$H$2099</f>
        <v>0</v>
      </c>
      <c r="I2174" s="2784" t="n">
        <f aca="false">IF(G2174&gt;H2174,G2174,H2174)*$H$2098</f>
        <v>0</v>
      </c>
      <c r="J2174" s="2744"/>
      <c r="K2174" s="226" t="n">
        <f aca="false">D2174-J2174</f>
        <v>0</v>
      </c>
      <c r="L2174" s="2736"/>
    </row>
    <row r="2175" customFormat="false" ht="15.5" hidden="false" customHeight="false" outlineLevel="0" collapsed="false">
      <c r="A2175" s="2719"/>
      <c r="B2175" s="298" t="s">
        <v>1316</v>
      </c>
      <c r="C2175" s="2765" t="s">
        <v>159</v>
      </c>
      <c r="D2175" s="298" t="n">
        <f aca="false">отделка!C700</f>
        <v>0</v>
      </c>
      <c r="E2175" s="89" t="n">
        <f aca="false">отделка!D700</f>
        <v>100</v>
      </c>
      <c r="F2175" s="89"/>
      <c r="G2175" s="122" t="n">
        <f aca="false">IF(F2175&gt;0,D2175*F2175,E2175*D2175)</f>
        <v>0</v>
      </c>
      <c r="H2175" s="2210" t="n">
        <f aca="false">D2175*E2175*$H$2099</f>
        <v>0</v>
      </c>
      <c r="I2175" s="2784" t="n">
        <f aca="false">IF(G2175&gt;H2175,G2175,H2175)*$H$2098</f>
        <v>0</v>
      </c>
      <c r="J2175" s="2744"/>
      <c r="K2175" s="226" t="n">
        <f aca="false">D2175-J2175</f>
        <v>0</v>
      </c>
      <c r="L2175" s="2736"/>
    </row>
    <row r="2176" customFormat="false" ht="15.5" hidden="false" customHeight="false" outlineLevel="0" collapsed="false">
      <c r="A2176" s="2719"/>
      <c r="B2176" s="298" t="s">
        <v>1317</v>
      </c>
      <c r="C2176" s="2765" t="s">
        <v>159</v>
      </c>
      <c r="D2176" s="298" t="n">
        <f aca="false">отделка!C701</f>
        <v>0</v>
      </c>
      <c r="E2176" s="89" t="n">
        <f aca="false">отделка!D701</f>
        <v>100</v>
      </c>
      <c r="F2176" s="89"/>
      <c r="G2176" s="122" t="n">
        <f aca="false">IF(F2176&gt;0,D2176*F2176,E2176*D2176)</f>
        <v>0</v>
      </c>
      <c r="H2176" s="2210" t="n">
        <f aca="false">D2176*E2176*$H$2099</f>
        <v>0</v>
      </c>
      <c r="I2176" s="2784" t="n">
        <f aca="false">IF(G2176&gt;H2176,G2176,H2176)*$H$2098</f>
        <v>0</v>
      </c>
      <c r="J2176" s="2744"/>
      <c r="K2176" s="226" t="n">
        <f aca="false">D2176-J2176</f>
        <v>0</v>
      </c>
      <c r="L2176" s="2736"/>
    </row>
    <row r="2177" customFormat="false" ht="15.5" hidden="false" customHeight="false" outlineLevel="0" collapsed="false">
      <c r="A2177" s="2719"/>
      <c r="B2177" s="298" t="s">
        <v>1318</v>
      </c>
      <c r="C2177" s="2765" t="s">
        <v>159</v>
      </c>
      <c r="D2177" s="298" t="n">
        <f aca="false">отделка!C702</f>
        <v>0</v>
      </c>
      <c r="E2177" s="89" t="n">
        <f aca="false">отделка!D702</f>
        <v>250</v>
      </c>
      <c r="F2177" s="89"/>
      <c r="G2177" s="122" t="n">
        <f aca="false">IF(F2177&gt;0,D2177*F2177,E2177*D2177)</f>
        <v>0</v>
      </c>
      <c r="H2177" s="2210" t="n">
        <f aca="false">D2177*E2177*$H$2099</f>
        <v>0</v>
      </c>
      <c r="I2177" s="2784" t="n">
        <f aca="false">IF(G2177&gt;H2177,G2177,H2177)*$H$2098</f>
        <v>0</v>
      </c>
      <c r="J2177" s="2744"/>
      <c r="K2177" s="226" t="n">
        <f aca="false">D2177-J2177</f>
        <v>0</v>
      </c>
      <c r="L2177" s="2736"/>
    </row>
    <row r="2178" customFormat="false" ht="15.5" hidden="false" customHeight="false" outlineLevel="0" collapsed="false">
      <c r="A2178" s="2719"/>
      <c r="B2178" s="298" t="s">
        <v>1319</v>
      </c>
      <c r="C2178" s="2765" t="s">
        <v>159</v>
      </c>
      <c r="D2178" s="298" t="n">
        <f aca="false">отделка!C703</f>
        <v>0</v>
      </c>
      <c r="E2178" s="89" t="n">
        <f aca="false">отделка!D703</f>
        <v>500</v>
      </c>
      <c r="F2178" s="89"/>
      <c r="G2178" s="122" t="n">
        <f aca="false">IF(F2178&gt;0,D2178*F2178,E2178*D2178)</f>
        <v>0</v>
      </c>
      <c r="H2178" s="2210" t="n">
        <f aca="false">D2178*E2178*$H$2099</f>
        <v>0</v>
      </c>
      <c r="I2178" s="2784" t="n">
        <f aca="false">IF(G2178&gt;H2178,G2178,H2178)*$H$2098</f>
        <v>0</v>
      </c>
      <c r="J2178" s="2744"/>
      <c r="K2178" s="226" t="n">
        <f aca="false">D2178-J2178</f>
        <v>0</v>
      </c>
      <c r="L2178" s="2736"/>
    </row>
    <row r="2179" customFormat="false" ht="15.5" hidden="false" customHeight="false" outlineLevel="0" collapsed="false">
      <c r="A2179" s="2719"/>
      <c r="B2179" s="2748" t="s">
        <v>4640</v>
      </c>
      <c r="C2179" s="2748"/>
      <c r="D2179" s="2748"/>
      <c r="E2179" s="2748"/>
      <c r="F2179" s="2748"/>
      <c r="G2179" s="2210" t="n">
        <f aca="false">SUM(G2101:G2178)*H2098</f>
        <v>0</v>
      </c>
      <c r="H2179" s="2210" t="n">
        <f aca="false">SUM(H2101:H2178)</f>
        <v>0</v>
      </c>
      <c r="I2179" s="2784" t="n">
        <f aca="false">IF(G2179&gt;H2179,G2179,H2179)*$H$2098</f>
        <v>0</v>
      </c>
      <c r="J2179" s="2744"/>
      <c r="K2179" s="226"/>
      <c r="L2179" s="2736"/>
    </row>
    <row r="2180" customFormat="false" ht="15.5" hidden="false" customHeight="false" outlineLevel="0" collapsed="false">
      <c r="A2180" s="2719"/>
      <c r="B2180" s="2750" t="s">
        <v>1409</v>
      </c>
      <c r="C2180" s="2750"/>
      <c r="D2180" s="2750"/>
      <c r="E2180" s="2750"/>
      <c r="F2180" s="2750"/>
      <c r="G2180" s="905"/>
      <c r="H2180" s="2766" t="n">
        <f aca="false">H2098</f>
        <v>0</v>
      </c>
      <c r="I2180" s="2818" t="n">
        <f aca="false">H2180</f>
        <v>0</v>
      </c>
      <c r="J2180" s="2752"/>
      <c r="K2180" s="2753"/>
    </row>
    <row r="2181" customFormat="false" ht="15.5" hidden="false" customHeight="false" outlineLevel="0" collapsed="false">
      <c r="A2181" s="2712"/>
      <c r="B2181" s="2765" t="s">
        <v>1552</v>
      </c>
      <c r="C2181" s="2765"/>
      <c r="D2181" s="2765"/>
      <c r="E2181" s="2765"/>
      <c r="F2181" s="2765"/>
      <c r="G2181" s="122" t="n">
        <f aca="false">IF(F2181&gt;0,D2181*F2181,E2181*D2181)</f>
        <v>0</v>
      </c>
      <c r="H2181" s="2839" t="n">
        <f aca="false">IF(SUM(H2182:H2191)&gt;0,1,0)</f>
        <v>0</v>
      </c>
      <c r="I2181" s="2718" t="n">
        <f aca="false">IF(G2181&gt;H2181,G2181,H2181)*$H$2098</f>
        <v>0</v>
      </c>
      <c r="L2181" s="878"/>
      <c r="M2181" s="878"/>
    </row>
    <row r="2182" customFormat="false" ht="15.5" hidden="false" customHeight="false" outlineLevel="0" collapsed="false">
      <c r="A2182" s="2719"/>
      <c r="B2182" s="2648" t="s">
        <v>1577</v>
      </c>
      <c r="C2182" s="2765" t="s">
        <v>133</v>
      </c>
      <c r="D2182" s="298" t="n">
        <f aca="false">отделка!J630</f>
        <v>0</v>
      </c>
      <c r="E2182" s="89" t="n">
        <f aca="false">отделка!K630</f>
        <v>100</v>
      </c>
      <c r="F2182" s="89"/>
      <c r="G2182" s="122" t="n">
        <f aca="false">IF(F2182&gt;0,D2182*F2182,E2182*D2182)</f>
        <v>0</v>
      </c>
      <c r="H2182" s="2210" t="n">
        <f aca="false">D2182*E2182*$H$2180</f>
        <v>0</v>
      </c>
      <c r="I2182" s="2718" t="n">
        <f aca="false">IF(G2182&gt;H2182,G2182,H2182)*$H$2098</f>
        <v>0</v>
      </c>
      <c r="L2182" s="878"/>
      <c r="M2182" s="878"/>
    </row>
    <row r="2183" customFormat="false" ht="15.5" hidden="false" customHeight="false" outlineLevel="0" collapsed="false">
      <c r="A2183" s="2719"/>
      <c r="B2183" s="2648" t="s">
        <v>1554</v>
      </c>
      <c r="C2183" s="2765" t="s">
        <v>133</v>
      </c>
      <c r="D2183" s="298" t="n">
        <f aca="false">отделка!J631</f>
        <v>0</v>
      </c>
      <c r="E2183" s="89" t="n">
        <f aca="false">отделка!K631</f>
        <v>90</v>
      </c>
      <c r="F2183" s="89"/>
      <c r="G2183" s="122" t="n">
        <f aca="false">IF(F2183&gt;0,D2183*F2183,E2183*D2183)</f>
        <v>0</v>
      </c>
      <c r="H2183" s="2210" t="n">
        <f aca="false">D2183*E2183*$H$2180</f>
        <v>0</v>
      </c>
      <c r="I2183" s="2718" t="n">
        <f aca="false">IF(G2183&gt;H2183,G2183,H2183)*$H$2098</f>
        <v>0</v>
      </c>
      <c r="L2183" s="878"/>
      <c r="M2183" s="878"/>
    </row>
    <row r="2184" customFormat="false" ht="15.5" hidden="false" customHeight="false" outlineLevel="0" collapsed="false">
      <c r="A2184" s="2719"/>
      <c r="B2184" s="2648" t="s">
        <v>1578</v>
      </c>
      <c r="C2184" s="2765" t="s">
        <v>133</v>
      </c>
      <c r="D2184" s="298" t="n">
        <f aca="false">отделка!J632</f>
        <v>0</v>
      </c>
      <c r="E2184" s="89" t="n">
        <f aca="false">отделка!K632</f>
        <v>50</v>
      </c>
      <c r="F2184" s="89"/>
      <c r="G2184" s="122" t="n">
        <f aca="false">IF(F2184&gt;0,D2184*F2184,E2184*D2184)</f>
        <v>0</v>
      </c>
      <c r="H2184" s="2210" t="n">
        <f aca="false">D2184*E2184*$H$2180</f>
        <v>0</v>
      </c>
      <c r="I2184" s="2718" t="n">
        <f aca="false">IF(G2184&gt;H2184,G2184,H2184)*$H$2098</f>
        <v>0</v>
      </c>
      <c r="J2184" s="2712"/>
      <c r="K2184" s="2719"/>
    </row>
    <row r="2185" customFormat="false" ht="15.5" hidden="false" customHeight="false" outlineLevel="0" collapsed="false">
      <c r="A2185" s="2719"/>
      <c r="B2185" s="298" t="s">
        <v>1579</v>
      </c>
      <c r="C2185" s="2765" t="s">
        <v>133</v>
      </c>
      <c r="D2185" s="298" t="n">
        <f aca="false">отделка!J633</f>
        <v>0</v>
      </c>
      <c r="E2185" s="89" t="n">
        <f aca="false">отделка!K633</f>
        <v>100</v>
      </c>
      <c r="F2185" s="89"/>
      <c r="G2185" s="122" t="n">
        <f aca="false">IF(F2185&gt;0,D2185*F2185,E2185*D2185)</f>
        <v>0</v>
      </c>
      <c r="H2185" s="2210" t="n">
        <f aca="false">D2185*E2185*$H$2180</f>
        <v>0</v>
      </c>
      <c r="I2185" s="2718" t="n">
        <f aca="false">IF(G2185&gt;H2185,G2185,H2185)*$H$2098</f>
        <v>0</v>
      </c>
      <c r="J2185" s="2712"/>
      <c r="K2185" s="2719"/>
    </row>
    <row r="2186" customFormat="false" ht="15.5" hidden="false" customHeight="false" outlineLevel="0" collapsed="false">
      <c r="A2186" s="2719"/>
      <c r="B2186" s="298" t="s">
        <v>1580</v>
      </c>
      <c r="C2186" s="2765" t="s">
        <v>133</v>
      </c>
      <c r="D2186" s="298" t="n">
        <f aca="false">отделка!J634</f>
        <v>0</v>
      </c>
      <c r="E2186" s="89" t="n">
        <f aca="false">отделка!K634</f>
        <v>120</v>
      </c>
      <c r="F2186" s="89"/>
      <c r="G2186" s="122" t="n">
        <f aca="false">IF(F2186&gt;0,D2186*F2186,E2186*D2186)</f>
        <v>0</v>
      </c>
      <c r="H2186" s="2210" t="n">
        <f aca="false">D2186*E2186*$H$2180</f>
        <v>0</v>
      </c>
      <c r="I2186" s="2718" t="n">
        <f aca="false">IF(G2186&gt;H2186,G2186,H2186)*$H$2098</f>
        <v>0</v>
      </c>
      <c r="J2186" s="2712"/>
      <c r="K2186" s="2719"/>
    </row>
    <row r="2187" customFormat="false" ht="15.5" hidden="false" customHeight="false" outlineLevel="0" collapsed="false">
      <c r="A2187" s="2719"/>
      <c r="B2187" s="298" t="s">
        <v>1581</v>
      </c>
      <c r="C2187" s="2765" t="s">
        <v>133</v>
      </c>
      <c r="D2187" s="298" t="n">
        <f aca="false">отделка!J635</f>
        <v>0</v>
      </c>
      <c r="E2187" s="89" t="n">
        <f aca="false">отделка!K635</f>
        <v>100</v>
      </c>
      <c r="F2187" s="89"/>
      <c r="G2187" s="122" t="n">
        <f aca="false">IF(F2187&gt;0,D2187*F2187,E2187*D2187)</f>
        <v>0</v>
      </c>
      <c r="H2187" s="2210" t="n">
        <f aca="false">D2187*E2187*$H$2180</f>
        <v>0</v>
      </c>
      <c r="I2187" s="2718" t="n">
        <f aca="false">IF(G2187&gt;H2187,G2187,H2187)*$H$2098</f>
        <v>0</v>
      </c>
      <c r="J2187" s="2712"/>
      <c r="K2187" s="2719"/>
    </row>
    <row r="2188" customFormat="false" ht="15.5" hidden="false" customHeight="false" outlineLevel="0" collapsed="false">
      <c r="A2188" s="2719"/>
      <c r="B2188" s="471" t="s">
        <v>1255</v>
      </c>
      <c r="C2188" s="2765" t="s">
        <v>133</v>
      </c>
      <c r="D2188" s="298" t="n">
        <f aca="false">отделка!J636</f>
        <v>0</v>
      </c>
      <c r="E2188" s="89" t="n">
        <f aca="false">отделка!K636</f>
        <v>400</v>
      </c>
      <c r="F2188" s="89"/>
      <c r="G2188" s="122" t="n">
        <f aca="false">IF(F2188&gt;0,D2188*F2188,E2188*D2188)</f>
        <v>0</v>
      </c>
      <c r="H2188" s="2210" t="n">
        <f aca="false">D2188*E2188*$H$2180</f>
        <v>0</v>
      </c>
      <c r="I2188" s="2718" t="n">
        <f aca="false">IF(G2188&gt;H2188,G2188,H2188)*$H$2098</f>
        <v>0</v>
      </c>
      <c r="J2188" s="2712"/>
      <c r="K2188" s="2719"/>
    </row>
    <row r="2189" customFormat="false" ht="15.5" hidden="false" customHeight="false" outlineLevel="0" collapsed="false">
      <c r="A2189" s="2719"/>
      <c r="B2189" s="471" t="s">
        <v>1281</v>
      </c>
      <c r="C2189" s="2765" t="s">
        <v>133</v>
      </c>
      <c r="D2189" s="298" t="n">
        <f aca="false">отделка!J637</f>
        <v>0</v>
      </c>
      <c r="E2189" s="89" t="n">
        <f aca="false">отделка!K637</f>
        <v>400</v>
      </c>
      <c r="F2189" s="89"/>
      <c r="G2189" s="122" t="n">
        <f aca="false">IF(F2189&gt;0,D2189*F2189,E2189*D2189)</f>
        <v>0</v>
      </c>
      <c r="H2189" s="2210" t="n">
        <f aca="false">D2189*E2189*$H$2180</f>
        <v>0</v>
      </c>
      <c r="I2189" s="2718" t="n">
        <f aca="false">IF(G2189&gt;H2189,G2189,H2189)*$H$2098</f>
        <v>0</v>
      </c>
      <c r="J2189" s="2712"/>
      <c r="K2189" s="2719"/>
    </row>
    <row r="2190" customFormat="false" ht="15.5" hidden="false" customHeight="false" outlineLevel="0" collapsed="false">
      <c r="A2190" s="2719"/>
      <c r="B2190" s="471" t="s">
        <v>1282</v>
      </c>
      <c r="C2190" s="2765" t="s">
        <v>133</v>
      </c>
      <c r="D2190" s="298" t="n">
        <f aca="false">отделка!J638</f>
        <v>0</v>
      </c>
      <c r="E2190" s="89" t="n">
        <f aca="false">отделка!K638</f>
        <v>400</v>
      </c>
      <c r="F2190" s="89"/>
      <c r="G2190" s="122" t="n">
        <f aca="false">IF(F2190&gt;0,D2190*F2190,E2190*D2190)</f>
        <v>0</v>
      </c>
      <c r="H2190" s="2210" t="n">
        <f aca="false">D2190*E2190*$H$2180</f>
        <v>0</v>
      </c>
      <c r="I2190" s="2718" t="n">
        <f aca="false">IF(G2190&gt;H2190,G2190,H2190)*$H$2098</f>
        <v>0</v>
      </c>
      <c r="J2190" s="2712"/>
      <c r="K2190" s="2719"/>
    </row>
    <row r="2191" customFormat="false" ht="15.5" hidden="false" customHeight="false" outlineLevel="0" collapsed="false">
      <c r="A2191" s="2719"/>
      <c r="B2191" s="471" t="s">
        <v>1283</v>
      </c>
      <c r="C2191" s="2765" t="s">
        <v>133</v>
      </c>
      <c r="D2191" s="298" t="n">
        <f aca="false">отделка!J639</f>
        <v>0</v>
      </c>
      <c r="E2191" s="89" t="n">
        <f aca="false">отделка!K639</f>
        <v>100</v>
      </c>
      <c r="F2191" s="89"/>
      <c r="G2191" s="122" t="n">
        <f aca="false">IF(F2191&gt;0,D2191*F2191,E2191*D2191)</f>
        <v>0</v>
      </c>
      <c r="H2191" s="2210" t="n">
        <f aca="false">D2191*E2191*$H$2180</f>
        <v>0</v>
      </c>
      <c r="I2191" s="2718" t="n">
        <f aca="false">IF(G2191&gt;H2191,G2191,H2191)*$H$2098</f>
        <v>0</v>
      </c>
      <c r="J2191" s="2712"/>
      <c r="K2191" s="2719"/>
    </row>
    <row r="2192" customFormat="false" ht="15.5" hidden="false" customHeight="false" outlineLevel="0" collapsed="false">
      <c r="A2192" s="2719"/>
      <c r="B2192" s="2765" t="s">
        <v>1582</v>
      </c>
      <c r="C2192" s="2765"/>
      <c r="D2192" s="2765"/>
      <c r="E2192" s="2765"/>
      <c r="F2192" s="2765"/>
      <c r="G2192" s="122" t="n">
        <f aca="false">IF(F2192&gt;0,D2192*F2192,E2192*D2192)</f>
        <v>0</v>
      </c>
      <c r="H2192" s="2839" t="n">
        <f aca="false">IF(SUM(H2193:H2205)&gt;0,1,0)</f>
        <v>0</v>
      </c>
      <c r="I2192" s="2718" t="n">
        <f aca="false">IF(G2192&gt;H2192,G2192,H2192)*$H$2098</f>
        <v>0</v>
      </c>
      <c r="J2192" s="2712"/>
      <c r="K2192" s="2719"/>
    </row>
    <row r="2193" customFormat="false" ht="15.5" hidden="false" customHeight="false" outlineLevel="0" collapsed="false">
      <c r="A2193" s="2719"/>
      <c r="B2193" s="2648" t="s">
        <v>1583</v>
      </c>
      <c r="C2193" s="2765" t="s">
        <v>133</v>
      </c>
      <c r="D2193" s="298" t="n">
        <f aca="false">отделка!J641</f>
        <v>0</v>
      </c>
      <c r="E2193" s="89" t="n">
        <f aca="false">отделка!K641</f>
        <v>150</v>
      </c>
      <c r="F2193" s="89"/>
      <c r="G2193" s="122" t="n">
        <f aca="false">IF(F2193&gt;0,D2193*F2193,E2193*D2193)</f>
        <v>0</v>
      </c>
      <c r="H2193" s="2210" t="n">
        <f aca="false">D2193*E2193*$H$2180</f>
        <v>0</v>
      </c>
      <c r="I2193" s="2718" t="n">
        <f aca="false">IF(G2193&gt;H2193,G2193,H2193)*$H$2098</f>
        <v>0</v>
      </c>
      <c r="J2193" s="2712"/>
      <c r="K2193" s="2719"/>
    </row>
    <row r="2194" customFormat="false" ht="15.5" hidden="false" customHeight="false" outlineLevel="0" collapsed="false">
      <c r="A2194" s="2719"/>
      <c r="B2194" s="2648" t="s">
        <v>1554</v>
      </c>
      <c r="C2194" s="2765" t="s">
        <v>133</v>
      </c>
      <c r="D2194" s="298" t="n">
        <f aca="false">отделка!J642</f>
        <v>0</v>
      </c>
      <c r="E2194" s="89" t="n">
        <f aca="false">отделка!K642</f>
        <v>120</v>
      </c>
      <c r="F2194" s="89"/>
      <c r="G2194" s="122" t="n">
        <f aca="false">IF(F2194&gt;0,D2194*F2194,E2194*D2194)</f>
        <v>0</v>
      </c>
      <c r="H2194" s="2210" t="n">
        <f aca="false">D2194*E2194*$H$2180</f>
        <v>0</v>
      </c>
      <c r="I2194" s="2718" t="n">
        <f aca="false">IF(G2194&gt;H2194,G2194,H2194)*$H$2098</f>
        <v>0</v>
      </c>
      <c r="J2194" s="2712"/>
      <c r="K2194" s="2719"/>
    </row>
    <row r="2195" customFormat="false" ht="15.5" hidden="false" customHeight="false" outlineLevel="0" collapsed="false">
      <c r="A2195" s="2719"/>
      <c r="B2195" s="2648" t="s">
        <v>1584</v>
      </c>
      <c r="C2195" s="2765" t="s">
        <v>133</v>
      </c>
      <c r="D2195" s="298" t="n">
        <f aca="false">отделка!J643</f>
        <v>0</v>
      </c>
      <c r="E2195" s="89" t="n">
        <f aca="false">отделка!K643</f>
        <v>80</v>
      </c>
      <c r="F2195" s="89"/>
      <c r="G2195" s="122" t="n">
        <f aca="false">IF(F2195&gt;0,D2195*F2195,E2195*D2195)</f>
        <v>0</v>
      </c>
      <c r="H2195" s="2210" t="n">
        <f aca="false">D2195*E2195*$H$2180</f>
        <v>0</v>
      </c>
      <c r="I2195" s="2718" t="n">
        <f aca="false">IF(G2195&gt;H2195,G2195,H2195)*$H$2098</f>
        <v>0</v>
      </c>
      <c r="J2195" s="2712"/>
      <c r="K2195" s="2719"/>
    </row>
    <row r="2196" customFormat="false" ht="15.5" hidden="false" customHeight="false" outlineLevel="0" collapsed="false">
      <c r="A2196" s="2719"/>
      <c r="B2196" s="2648" t="s">
        <v>1585</v>
      </c>
      <c r="C2196" s="2765" t="s">
        <v>133</v>
      </c>
      <c r="D2196" s="298" t="n">
        <f aca="false">отделка!J644</f>
        <v>0</v>
      </c>
      <c r="E2196" s="89" t="n">
        <f aca="false">отделка!K644</f>
        <v>100</v>
      </c>
      <c r="F2196" s="89"/>
      <c r="G2196" s="122" t="n">
        <f aca="false">IF(F2196&gt;0,D2196*F2196,E2196*D2196)</f>
        <v>0</v>
      </c>
      <c r="H2196" s="2210" t="n">
        <f aca="false">D2196*E2196*$H$2180</f>
        <v>0</v>
      </c>
      <c r="I2196" s="2718" t="n">
        <f aca="false">IF(G2196&gt;H2196,G2196,H2196)*$H$2098</f>
        <v>0</v>
      </c>
      <c r="J2196" s="2712"/>
      <c r="K2196" s="2719"/>
    </row>
    <row r="2197" customFormat="false" ht="15.5" hidden="false" customHeight="false" outlineLevel="0" collapsed="false">
      <c r="A2197" s="2719"/>
      <c r="B2197" s="2648" t="s">
        <v>1586</v>
      </c>
      <c r="C2197" s="2765" t="s">
        <v>133</v>
      </c>
      <c r="D2197" s="298" t="n">
        <f aca="false">отделка!J645</f>
        <v>0</v>
      </c>
      <c r="E2197" s="89" t="n">
        <f aca="false">отделка!K645</f>
        <v>150</v>
      </c>
      <c r="F2197" s="89"/>
      <c r="G2197" s="122" t="n">
        <f aca="false">IF(F2197&gt;0,D2197*F2197,E2197*D2197)</f>
        <v>0</v>
      </c>
      <c r="H2197" s="2210" t="n">
        <f aca="false">D2197*E2197*$H$2180</f>
        <v>0</v>
      </c>
      <c r="I2197" s="2718" t="n">
        <f aca="false">IF(G2197&gt;H2197,G2197,H2197)*$H$2098</f>
        <v>0</v>
      </c>
      <c r="J2197" s="2712"/>
      <c r="K2197" s="2719"/>
    </row>
    <row r="2198" customFormat="false" ht="15.5" hidden="false" customHeight="false" outlineLevel="0" collapsed="false">
      <c r="A2198" s="2719"/>
      <c r="B2198" s="2648" t="s">
        <v>1294</v>
      </c>
      <c r="C2198" s="2765" t="s">
        <v>133</v>
      </c>
      <c r="D2198" s="298" t="n">
        <f aca="false">отделка!J646</f>
        <v>0</v>
      </c>
      <c r="E2198" s="89" t="n">
        <f aca="false">отделка!K646</f>
        <v>300</v>
      </c>
      <c r="F2198" s="89"/>
      <c r="G2198" s="122" t="n">
        <f aca="false">IF(F2198&gt;0,D2198*F2198,E2198*D2198)</f>
        <v>0</v>
      </c>
      <c r="H2198" s="2210" t="n">
        <f aca="false">D2198*E2198*$H$2180</f>
        <v>0</v>
      </c>
      <c r="I2198" s="2718" t="n">
        <f aca="false">IF(G2198&gt;H2198,G2198,H2198)*$H$2098</f>
        <v>0</v>
      </c>
      <c r="J2198" s="2712"/>
      <c r="K2198" s="2719"/>
    </row>
    <row r="2199" customFormat="false" ht="15.5" hidden="false" customHeight="false" outlineLevel="0" collapsed="false">
      <c r="A2199" s="2719"/>
      <c r="B2199" s="2648" t="s">
        <v>1587</v>
      </c>
      <c r="C2199" s="2765" t="s">
        <v>156</v>
      </c>
      <c r="D2199" s="298" t="n">
        <f aca="false">отделка!J647</f>
        <v>0</v>
      </c>
      <c r="E2199" s="89" t="n">
        <f aca="false">отделка!K647</f>
        <v>50</v>
      </c>
      <c r="F2199" s="89"/>
      <c r="G2199" s="122" t="n">
        <f aca="false">IF(F2199&gt;0,D2199*F2199,E2199*D2199)</f>
        <v>0</v>
      </c>
      <c r="H2199" s="2210" t="n">
        <f aca="false">D2199*E2199*$H$2180</f>
        <v>0</v>
      </c>
      <c r="I2199" s="2718" t="n">
        <f aca="false">IF(G2199&gt;H2199,G2199,H2199)*$H$2098</f>
        <v>0</v>
      </c>
      <c r="J2199" s="2712"/>
      <c r="K2199" s="2719"/>
    </row>
    <row r="2200" customFormat="false" ht="15.5" hidden="false" customHeight="false" outlineLevel="0" collapsed="false">
      <c r="A2200" s="2719"/>
      <c r="B2200" s="2648" t="s">
        <v>1588</v>
      </c>
      <c r="C2200" s="2765" t="s">
        <v>156</v>
      </c>
      <c r="D2200" s="298" t="n">
        <f aca="false">отделка!J648</f>
        <v>0</v>
      </c>
      <c r="E2200" s="89" t="n">
        <f aca="false">отделка!K648</f>
        <v>50</v>
      </c>
      <c r="F2200" s="89"/>
      <c r="G2200" s="122" t="n">
        <f aca="false">IF(F2200&gt;0,D2200*F2200,E2200*D2200)</f>
        <v>0</v>
      </c>
      <c r="H2200" s="2210" t="n">
        <f aca="false">D2200*E2200*$H$2180</f>
        <v>0</v>
      </c>
      <c r="I2200" s="2718" t="n">
        <f aca="false">IF(G2200&gt;H2200,G2200,H2200)*$H$2098</f>
        <v>0</v>
      </c>
      <c r="J2200" s="2712"/>
      <c r="K2200" s="2719"/>
    </row>
    <row r="2201" customFormat="false" ht="15.5" hidden="false" customHeight="false" outlineLevel="0" collapsed="false">
      <c r="A2201" s="2719"/>
      <c r="B2201" s="2648" t="s">
        <v>1589</v>
      </c>
      <c r="C2201" s="2765" t="s">
        <v>156</v>
      </c>
      <c r="D2201" s="298" t="n">
        <f aca="false">отделка!J649</f>
        <v>0</v>
      </c>
      <c r="E2201" s="89" t="n">
        <f aca="false">отделка!K649</f>
        <v>50</v>
      </c>
      <c r="F2201" s="89"/>
      <c r="G2201" s="122" t="n">
        <f aca="false">IF(F2201&gt;0,D2201*F2201,E2201*D2201)</f>
        <v>0</v>
      </c>
      <c r="H2201" s="2210" t="n">
        <f aca="false">D2201*E2201*$H$2180</f>
        <v>0</v>
      </c>
      <c r="I2201" s="2718" t="n">
        <f aca="false">IF(G2201&gt;H2201,G2201,H2201)*$H$2098</f>
        <v>0</v>
      </c>
      <c r="J2201" s="2712"/>
      <c r="K2201" s="2719"/>
    </row>
    <row r="2202" customFormat="false" ht="15.5" hidden="false" customHeight="false" outlineLevel="0" collapsed="false">
      <c r="A2202" s="2719"/>
      <c r="B2202" s="2848" t="s">
        <v>1255</v>
      </c>
      <c r="C2202" s="2765" t="s">
        <v>133</v>
      </c>
      <c r="D2202" s="298" t="n">
        <f aca="false">отделка!J650</f>
        <v>0</v>
      </c>
      <c r="E2202" s="89" t="n">
        <f aca="false">отделка!K650</f>
        <v>400</v>
      </c>
      <c r="F2202" s="89"/>
      <c r="G2202" s="122" t="n">
        <f aca="false">IF(F2202&gt;0,D2202*F2202,E2202*D2202)</f>
        <v>0</v>
      </c>
      <c r="H2202" s="2210" t="n">
        <f aca="false">D2202*E2202*$H$2180</f>
        <v>0</v>
      </c>
      <c r="I2202" s="2718" t="n">
        <f aca="false">IF(G2202&gt;H2202,G2202,H2202)*$H$2098</f>
        <v>0</v>
      </c>
      <c r="J2202" s="2712"/>
      <c r="K2202" s="2719"/>
    </row>
    <row r="2203" customFormat="false" ht="15.5" hidden="false" customHeight="false" outlineLevel="0" collapsed="false">
      <c r="A2203" s="2719"/>
      <c r="B2203" s="2848" t="s">
        <v>1281</v>
      </c>
      <c r="C2203" s="2765" t="s">
        <v>133</v>
      </c>
      <c r="D2203" s="298" t="n">
        <f aca="false">отделка!J651</f>
        <v>0</v>
      </c>
      <c r="E2203" s="89" t="n">
        <f aca="false">отделка!K651</f>
        <v>400</v>
      </c>
      <c r="F2203" s="89"/>
      <c r="G2203" s="122" t="n">
        <f aca="false">IF(F2203&gt;0,D2203*F2203,E2203*D2203)</f>
        <v>0</v>
      </c>
      <c r="H2203" s="2210" t="n">
        <f aca="false">D2203*E2203*$H$2180</f>
        <v>0</v>
      </c>
      <c r="I2203" s="2718" t="n">
        <f aca="false">IF(G2203&gt;H2203,G2203,H2203)*$H$2098</f>
        <v>0</v>
      </c>
      <c r="J2203" s="2712"/>
      <c r="K2203" s="2719"/>
    </row>
    <row r="2204" customFormat="false" ht="15.5" hidden="false" customHeight="false" outlineLevel="0" collapsed="false">
      <c r="A2204" s="2719"/>
      <c r="B2204" s="2848" t="s">
        <v>1282</v>
      </c>
      <c r="C2204" s="2765" t="s">
        <v>133</v>
      </c>
      <c r="D2204" s="298" t="n">
        <f aca="false">отделка!J652</f>
        <v>0</v>
      </c>
      <c r="E2204" s="89" t="n">
        <f aca="false">отделка!K652</f>
        <v>400</v>
      </c>
      <c r="F2204" s="89"/>
      <c r="G2204" s="122" t="n">
        <f aca="false">IF(F2204&gt;0,D2204*F2204,E2204*D2204)</f>
        <v>0</v>
      </c>
      <c r="H2204" s="2210" t="n">
        <f aca="false">D2204*E2204*$H$2180</f>
        <v>0</v>
      </c>
      <c r="I2204" s="2718" t="n">
        <f aca="false">IF(G2204&gt;H2204,G2204,H2204)*$H$2098</f>
        <v>0</v>
      </c>
      <c r="J2204" s="2712"/>
      <c r="K2204" s="2719"/>
    </row>
    <row r="2205" customFormat="false" ht="15.5" hidden="false" customHeight="false" outlineLevel="0" collapsed="false">
      <c r="A2205" s="2719"/>
      <c r="B2205" s="2848" t="s">
        <v>1283</v>
      </c>
      <c r="C2205" s="2765" t="s">
        <v>133</v>
      </c>
      <c r="D2205" s="298" t="n">
        <f aca="false">отделка!J653</f>
        <v>0</v>
      </c>
      <c r="E2205" s="89" t="n">
        <f aca="false">отделка!K653</f>
        <v>100</v>
      </c>
      <c r="F2205" s="89"/>
      <c r="G2205" s="122" t="n">
        <f aca="false">IF(F2205&gt;0,D2205*F2205,E2205*D2205)</f>
        <v>0</v>
      </c>
      <c r="H2205" s="2210" t="n">
        <f aca="false">D2205*E2205*$H$2180</f>
        <v>0</v>
      </c>
      <c r="I2205" s="2718" t="n">
        <f aca="false">IF(G2205&gt;H2205,G2205,H2205)*$H$2098</f>
        <v>0</v>
      </c>
      <c r="J2205" s="2712"/>
      <c r="K2205" s="2719"/>
    </row>
    <row r="2206" customFormat="false" ht="15.5" hidden="false" customHeight="false" outlineLevel="0" collapsed="false">
      <c r="A2206" s="2719"/>
      <c r="B2206" s="2765" t="s">
        <v>1590</v>
      </c>
      <c r="C2206" s="2765"/>
      <c r="D2206" s="2765"/>
      <c r="E2206" s="2765"/>
      <c r="F2206" s="2765"/>
      <c r="G2206" s="122" t="n">
        <f aca="false">IF(F2206&gt;0,D2206*F2206,E2206*D2206)</f>
        <v>0</v>
      </c>
      <c r="H2206" s="2839" t="n">
        <f aca="false">IF(SUM(H2207:H2211)&gt;0,1,0)</f>
        <v>0</v>
      </c>
      <c r="I2206" s="2718" t="n">
        <f aca="false">IF(G2206&gt;H2206,G2206,H2206)*$H$2098</f>
        <v>0</v>
      </c>
      <c r="J2206" s="2712"/>
      <c r="K2206" s="2719"/>
    </row>
    <row r="2207" customFormat="false" ht="15.5" hidden="false" customHeight="false" outlineLevel="0" collapsed="false">
      <c r="A2207" s="2719"/>
      <c r="B2207" s="2648" t="s">
        <v>1591</v>
      </c>
      <c r="C2207" s="2765" t="s">
        <v>133</v>
      </c>
      <c r="D2207" s="298" t="n">
        <f aca="false">отделка!J655</f>
        <v>94</v>
      </c>
      <c r="E2207" s="89" t="n">
        <f aca="false">отделка!K655</f>
        <v>30</v>
      </c>
      <c r="F2207" s="89"/>
      <c r="G2207" s="122" t="n">
        <f aca="false">IF(F2207&gt;0,D2207*F2207,E2207*D2207)</f>
        <v>2820</v>
      </c>
      <c r="H2207" s="2210" t="n">
        <f aca="false">D2207*E2207*$H$2180</f>
        <v>0</v>
      </c>
      <c r="I2207" s="2718" t="n">
        <f aca="false">IF(G2207&gt;H2207,G2207,H2207)*$H$2098</f>
        <v>0</v>
      </c>
      <c r="J2207" s="2712"/>
      <c r="K2207" s="2719"/>
    </row>
    <row r="2208" customFormat="false" ht="15.5" hidden="false" customHeight="false" outlineLevel="0" collapsed="false">
      <c r="A2208" s="2719"/>
      <c r="B2208" s="2648" t="s">
        <v>1297</v>
      </c>
      <c r="C2208" s="2765" t="s">
        <v>133</v>
      </c>
      <c r="D2208" s="298" t="n">
        <f aca="false">отделка!J656</f>
        <v>0</v>
      </c>
      <c r="E2208" s="89" t="n">
        <f aca="false">отделка!K656</f>
        <v>150</v>
      </c>
      <c r="F2208" s="89"/>
      <c r="G2208" s="122" t="n">
        <f aca="false">IF(F2208&gt;0,D2208*F2208,E2208*D2208)</f>
        <v>0</v>
      </c>
      <c r="H2208" s="2210" t="n">
        <f aca="false">D2208*E2208*$H$2180</f>
        <v>0</v>
      </c>
      <c r="I2208" s="2718" t="n">
        <f aca="false">IF(G2208&gt;H2208,G2208,H2208)*$H$2098</f>
        <v>0</v>
      </c>
      <c r="J2208" s="2712"/>
      <c r="K2208" s="2719"/>
    </row>
    <row r="2209" customFormat="false" ht="15.5" hidden="false" customHeight="false" outlineLevel="0" collapsed="false">
      <c r="A2209" s="2719"/>
      <c r="B2209" s="2648" t="s">
        <v>1298</v>
      </c>
      <c r="C2209" s="2765" t="s">
        <v>133</v>
      </c>
      <c r="D2209" s="298" t="n">
        <f aca="false">отделка!J657</f>
        <v>94</v>
      </c>
      <c r="E2209" s="89" t="n">
        <f aca="false">отделка!K657</f>
        <v>150</v>
      </c>
      <c r="F2209" s="89"/>
      <c r="G2209" s="122" t="n">
        <f aca="false">IF(F2209&gt;0,D2209*F2209,E2209*D2209)</f>
        <v>14100</v>
      </c>
      <c r="H2209" s="2210" t="n">
        <f aca="false">D2209*E2209*$H$2180</f>
        <v>0</v>
      </c>
      <c r="I2209" s="2718" t="n">
        <f aca="false">IF(G2209&gt;H2209,G2209,H2209)*$H$2098</f>
        <v>0</v>
      </c>
      <c r="J2209" s="2712"/>
      <c r="K2209" s="2719"/>
    </row>
    <row r="2210" customFormat="false" ht="15.5" hidden="false" customHeight="false" outlineLevel="0" collapsed="false">
      <c r="A2210" s="2719"/>
      <c r="B2210" s="2648" t="s">
        <v>1300</v>
      </c>
      <c r="C2210" s="2765" t="s">
        <v>156</v>
      </c>
      <c r="D2210" s="298" t="n">
        <f aca="false">отделка!J658</f>
        <v>0</v>
      </c>
      <c r="E2210" s="89" t="n">
        <f aca="false">отделка!K658</f>
        <v>150</v>
      </c>
      <c r="F2210" s="89"/>
      <c r="G2210" s="122" t="n">
        <f aca="false">IF(F2210&gt;0,D2210*F2210,E2210*D2210)</f>
        <v>0</v>
      </c>
      <c r="H2210" s="2210" t="n">
        <f aca="false">D2210*E2210*$H$2180</f>
        <v>0</v>
      </c>
      <c r="I2210" s="2718" t="n">
        <f aca="false">IF(G2210&gt;H2210,G2210,H2210)*$H$2098</f>
        <v>0</v>
      </c>
      <c r="J2210" s="2712"/>
      <c r="K2210" s="2719"/>
    </row>
    <row r="2211" customFormat="false" ht="15.5" hidden="false" customHeight="false" outlineLevel="0" collapsed="false">
      <c r="A2211" s="2719"/>
      <c r="B2211" s="2648" t="s">
        <v>1301</v>
      </c>
      <c r="C2211" s="2765" t="s">
        <v>133</v>
      </c>
      <c r="D2211" s="298" t="n">
        <f aca="false">отделка!J659</f>
        <v>0</v>
      </c>
      <c r="E2211" s="89" t="n">
        <f aca="false">отделка!K659</f>
        <v>600</v>
      </c>
      <c r="F2211" s="89"/>
      <c r="G2211" s="122" t="n">
        <f aca="false">IF(F2211&gt;0,D2211*F2211,E2211*D2211)</f>
        <v>0</v>
      </c>
      <c r="H2211" s="2210" t="n">
        <f aca="false">D2211*E2211*$H$2180</f>
        <v>0</v>
      </c>
      <c r="I2211" s="2718" t="n">
        <f aca="false">IF(G2211&gt;H2211,G2211,H2211)*$H$2098</f>
        <v>0</v>
      </c>
      <c r="J2211" s="2712"/>
      <c r="K2211" s="2719"/>
    </row>
    <row r="2212" customFormat="false" ht="15.5" hidden="false" customHeight="false" outlineLevel="0" collapsed="false">
      <c r="A2212" s="2719"/>
      <c r="B2212" s="2765" t="s">
        <v>1305</v>
      </c>
      <c r="C2212" s="2765"/>
      <c r="D2212" s="2765"/>
      <c r="E2212" s="2765"/>
      <c r="F2212" s="2765"/>
      <c r="G2212" s="122" t="n">
        <f aca="false">IF(F2212&gt;0,D2212*F2212,E2212*D2212)</f>
        <v>0</v>
      </c>
      <c r="H2212" s="2839" t="n">
        <f aca="false">IF(SUM(H2213:H2218)&gt;0,1,0)</f>
        <v>0</v>
      </c>
      <c r="I2212" s="2718" t="n">
        <f aca="false">IF(G2212&gt;H2212,G2212,H2212)*$H$2098</f>
        <v>0</v>
      </c>
      <c r="J2212" s="2712"/>
      <c r="K2212" s="2719"/>
    </row>
    <row r="2213" customFormat="false" ht="15.5" hidden="false" customHeight="false" outlineLevel="0" collapsed="false">
      <c r="A2213" s="2719"/>
      <c r="B2213" s="2648" t="s">
        <v>1306</v>
      </c>
      <c r="C2213" s="2765" t="s">
        <v>133</v>
      </c>
      <c r="D2213" s="298" t="n">
        <f aca="false">отделка!J661</f>
        <v>0</v>
      </c>
      <c r="E2213" s="89" t="n">
        <f aca="false">отделка!K661</f>
        <v>600</v>
      </c>
      <c r="F2213" s="89"/>
      <c r="G2213" s="122" t="n">
        <f aca="false">IF(F2213&gt;0,D2213*F2213,E2213*D2213)</f>
        <v>0</v>
      </c>
      <c r="H2213" s="2210" t="n">
        <f aca="false">D2213*E2213*$H$2180</f>
        <v>0</v>
      </c>
      <c r="I2213" s="2718" t="n">
        <f aca="false">IF(G2213&gt;H2213,G2213,H2213)*$H$2098</f>
        <v>0</v>
      </c>
      <c r="J2213" s="2712"/>
      <c r="K2213" s="2719"/>
    </row>
    <row r="2214" customFormat="false" ht="15.5" hidden="false" customHeight="false" outlineLevel="0" collapsed="false">
      <c r="A2214" s="2719"/>
      <c r="B2214" s="2648" t="s">
        <v>1307</v>
      </c>
      <c r="C2214" s="2765" t="s">
        <v>133</v>
      </c>
      <c r="D2214" s="298" t="n">
        <f aca="false">отделка!J662</f>
        <v>0</v>
      </c>
      <c r="E2214" s="89" t="n">
        <f aca="false">отделка!K662</f>
        <v>600</v>
      </c>
      <c r="F2214" s="89"/>
      <c r="G2214" s="122" t="n">
        <f aca="false">IF(F2214&gt;0,D2214*F2214,E2214*D2214)</f>
        <v>0</v>
      </c>
      <c r="H2214" s="2210" t="n">
        <f aca="false">D2214*E2214*$H$2180</f>
        <v>0</v>
      </c>
      <c r="I2214" s="2718" t="n">
        <f aca="false">IF(G2214&gt;H2214,G2214,H2214)*$H$2098</f>
        <v>0</v>
      </c>
      <c r="J2214" s="2712"/>
      <c r="K2214" s="2719"/>
    </row>
    <row r="2215" customFormat="false" ht="15.5" hidden="false" customHeight="false" outlineLevel="0" collapsed="false">
      <c r="A2215" s="2719"/>
      <c r="B2215" s="2648" t="s">
        <v>1308</v>
      </c>
      <c r="C2215" s="2765" t="s">
        <v>133</v>
      </c>
      <c r="D2215" s="298" t="n">
        <f aca="false">отделка!J663</f>
        <v>0</v>
      </c>
      <c r="E2215" s="89" t="n">
        <f aca="false">отделка!K663</f>
        <v>600</v>
      </c>
      <c r="F2215" s="89"/>
      <c r="G2215" s="122" t="n">
        <f aca="false">IF(F2215&gt;0,D2215*F2215,E2215*D2215)</f>
        <v>0</v>
      </c>
      <c r="H2215" s="2210" t="n">
        <f aca="false">D2215*E2215*$H$2180</f>
        <v>0</v>
      </c>
      <c r="I2215" s="2718" t="n">
        <f aca="false">IF(G2215&gt;H2215,G2215,H2215)*$H$2098</f>
        <v>0</v>
      </c>
      <c r="J2215" s="2712"/>
      <c r="K2215" s="2719"/>
    </row>
    <row r="2216" customFormat="false" ht="15.5" hidden="false" customHeight="false" outlineLevel="0" collapsed="false">
      <c r="A2216" s="2719"/>
      <c r="B2216" s="2648" t="s">
        <v>1592</v>
      </c>
      <c r="C2216" s="2765" t="s">
        <v>133</v>
      </c>
      <c r="D2216" s="298" t="n">
        <f aca="false">отделка!J664</f>
        <v>0</v>
      </c>
      <c r="E2216" s="89" t="n">
        <f aca="false">отделка!K664</f>
        <v>150</v>
      </c>
      <c r="F2216" s="89"/>
      <c r="G2216" s="122" t="n">
        <f aca="false">IF(F2216&gt;0,D2216*F2216,E2216*D2216)</f>
        <v>0</v>
      </c>
      <c r="H2216" s="2210" t="n">
        <f aca="false">D2216*E2216*$H$2180</f>
        <v>0</v>
      </c>
      <c r="I2216" s="2718" t="n">
        <f aca="false">IF(G2216&gt;H2216,G2216,H2216)*$H$2098</f>
        <v>0</v>
      </c>
      <c r="J2216" s="2712"/>
      <c r="K2216" s="2719"/>
    </row>
    <row r="2217" customFormat="false" ht="15.5" hidden="false" customHeight="false" outlineLevel="0" collapsed="false">
      <c r="A2217" s="2719"/>
      <c r="B2217" s="2648" t="s">
        <v>1593</v>
      </c>
      <c r="C2217" s="2765" t="s">
        <v>133</v>
      </c>
      <c r="D2217" s="298" t="n">
        <f aca="false">отделка!J665</f>
        <v>0</v>
      </c>
      <c r="E2217" s="89" t="n">
        <f aca="false">отделка!K665</f>
        <v>150</v>
      </c>
      <c r="F2217" s="89"/>
      <c r="G2217" s="122" t="n">
        <f aca="false">IF(F2217&gt;0,D2217*F2217,E2217*D2217)</f>
        <v>0</v>
      </c>
      <c r="H2217" s="2210" t="n">
        <f aca="false">D2217*E2217*$H$2180</f>
        <v>0</v>
      </c>
      <c r="I2217" s="2718" t="n">
        <f aca="false">IF(G2217&gt;H2217,G2217,H2217)*$H$2098</f>
        <v>0</v>
      </c>
      <c r="J2217" s="2712"/>
      <c r="K2217" s="2719"/>
    </row>
    <row r="2218" customFormat="false" ht="15.5" hidden="false" customHeight="false" outlineLevel="0" collapsed="false">
      <c r="A2218" s="2719"/>
      <c r="B2218" s="2648" t="s">
        <v>1294</v>
      </c>
      <c r="C2218" s="2765" t="s">
        <v>133</v>
      </c>
      <c r="D2218" s="298" t="n">
        <f aca="false">отделка!J666</f>
        <v>0</v>
      </c>
      <c r="E2218" s="89" t="n">
        <f aca="false">отделка!K666</f>
        <v>300</v>
      </c>
      <c r="F2218" s="89"/>
      <c r="G2218" s="122" t="n">
        <f aca="false">IF(F2218&gt;0,D2218*F2218,E2218*D2218)</f>
        <v>0</v>
      </c>
      <c r="H2218" s="2210" t="n">
        <f aca="false">D2218*E2218*$H$2180</f>
        <v>0</v>
      </c>
      <c r="I2218" s="2718" t="n">
        <f aca="false">IF(G2218&gt;H2218,G2218,H2218)*$H$2098</f>
        <v>0</v>
      </c>
      <c r="J2218" s="2712"/>
      <c r="K2218" s="2719"/>
    </row>
    <row r="2219" customFormat="false" ht="15.5" hidden="false" customHeight="false" outlineLevel="0" collapsed="false">
      <c r="A2219" s="2719"/>
      <c r="B2219" s="2765" t="s">
        <v>1313</v>
      </c>
      <c r="C2219" s="2765"/>
      <c r="D2219" s="2765"/>
      <c r="E2219" s="2765"/>
      <c r="F2219" s="2765"/>
      <c r="G2219" s="122" t="n">
        <f aca="false">IF(F2219&gt;0,D2219*F2219,E2219*D2219)</f>
        <v>0</v>
      </c>
      <c r="H2219" s="2839" t="n">
        <f aca="false">IF(SUM(H2220:H2224)&gt;0,1,0)</f>
        <v>0</v>
      </c>
      <c r="I2219" s="2718" t="n">
        <f aca="false">IF(G2219&gt;H2219,G2219,H2219)*$H$2098</f>
        <v>0</v>
      </c>
      <c r="J2219" s="2712"/>
      <c r="K2219" s="2719"/>
    </row>
    <row r="2220" customFormat="false" ht="15.5" hidden="false" customHeight="false" outlineLevel="0" collapsed="false">
      <c r="A2220" s="2719"/>
      <c r="B2220" s="2648" t="s">
        <v>3977</v>
      </c>
      <c r="C2220" s="2765" t="s">
        <v>159</v>
      </c>
      <c r="D2220" s="298" t="n">
        <f aca="false">отделка!J668</f>
        <v>0</v>
      </c>
      <c r="E2220" s="89" t="n">
        <f aca="false">отделка!K668</f>
        <v>1200</v>
      </c>
      <c r="F2220" s="89"/>
      <c r="G2220" s="122" t="n">
        <f aca="false">IF(F2220&gt;0,D2220*F2220,E2220*D2220)</f>
        <v>0</v>
      </c>
      <c r="H2220" s="2210" t="n">
        <f aca="false">D2220*E2220*$H$2180</f>
        <v>0</v>
      </c>
      <c r="I2220" s="2718" t="n">
        <f aca="false">IF(G2220&gt;H2220,G2220,H2220)*$H$2098</f>
        <v>0</v>
      </c>
      <c r="J2220" s="2712"/>
      <c r="K2220" s="2719"/>
    </row>
    <row r="2221" customFormat="false" ht="15.5" hidden="false" customHeight="false" outlineLevel="0" collapsed="false">
      <c r="A2221" s="2719"/>
      <c r="B2221" s="2648" t="s">
        <v>1596</v>
      </c>
      <c r="C2221" s="2765" t="s">
        <v>159</v>
      </c>
      <c r="D2221" s="298" t="n">
        <f aca="false">отделка!J669</f>
        <v>0</v>
      </c>
      <c r="E2221" s="89" t="n">
        <f aca="false">отделка!K669</f>
        <v>250</v>
      </c>
      <c r="F2221" s="89"/>
      <c r="G2221" s="122" t="n">
        <f aca="false">IF(F2221&gt;0,D2221*F2221,E2221*D2221)</f>
        <v>0</v>
      </c>
      <c r="H2221" s="2210" t="n">
        <f aca="false">D2221*E2221*$H$2180</f>
        <v>0</v>
      </c>
      <c r="I2221" s="2718" t="n">
        <f aca="false">IF(G2221&gt;H2221,G2221,H2221)*$H$2098</f>
        <v>0</v>
      </c>
      <c r="J2221" s="2712"/>
      <c r="K2221" s="2719"/>
    </row>
    <row r="2222" customFormat="false" ht="15.5" hidden="false" customHeight="false" outlineLevel="0" collapsed="false">
      <c r="A2222" s="2719"/>
      <c r="B2222" s="2648" t="s">
        <v>1597</v>
      </c>
      <c r="C2222" s="2765" t="s">
        <v>159</v>
      </c>
      <c r="D2222" s="298" t="n">
        <f aca="false">отделка!J670</f>
        <v>0</v>
      </c>
      <c r="E2222" s="89" t="n">
        <f aca="false">отделка!K670</f>
        <v>250</v>
      </c>
      <c r="F2222" s="89"/>
      <c r="G2222" s="122" t="n">
        <f aca="false">IF(F2222&gt;0,D2222*F2222,E2222*D2222)</f>
        <v>0</v>
      </c>
      <c r="H2222" s="2210" t="n">
        <f aca="false">D2222*E2222*$H$2180</f>
        <v>0</v>
      </c>
      <c r="I2222" s="2718" t="n">
        <f aca="false">IF(G2222&gt;H2222,G2222,H2222)*$H$2098</f>
        <v>0</v>
      </c>
      <c r="J2222" s="2712"/>
      <c r="K2222" s="2719"/>
    </row>
    <row r="2223" customFormat="false" ht="15.5" hidden="false" customHeight="false" outlineLevel="0" collapsed="false">
      <c r="A2223" s="2719"/>
      <c r="B2223" s="2648" t="s">
        <v>1598</v>
      </c>
      <c r="C2223" s="2765" t="s">
        <v>159</v>
      </c>
      <c r="D2223" s="298" t="n">
        <f aca="false">отделка!J671</f>
        <v>0</v>
      </c>
      <c r="E2223" s="89" t="n">
        <f aca="false">отделка!K671</f>
        <v>100</v>
      </c>
      <c r="F2223" s="89"/>
      <c r="G2223" s="122" t="n">
        <f aca="false">IF(F2223&gt;0,D2223*F2223,E2223*D2223)</f>
        <v>0</v>
      </c>
      <c r="H2223" s="2210" t="n">
        <f aca="false">D2223*E2223*$H$2180</f>
        <v>0</v>
      </c>
      <c r="I2223" s="2718" t="n">
        <f aca="false">IF(G2223&gt;H2223,G2223,H2223)*$H$2098</f>
        <v>0</v>
      </c>
      <c r="J2223" s="2712"/>
      <c r="K2223" s="2719"/>
    </row>
    <row r="2224" customFormat="false" ht="15.5" hidden="false" customHeight="false" outlineLevel="0" collapsed="false">
      <c r="A2224" s="2719"/>
      <c r="B2224" s="2648" t="s">
        <v>1599</v>
      </c>
      <c r="C2224" s="2765" t="s">
        <v>159</v>
      </c>
      <c r="D2224" s="298" t="n">
        <f aca="false">отделка!J672</f>
        <v>0</v>
      </c>
      <c r="E2224" s="89" t="n">
        <f aca="false">отделка!K672</f>
        <v>80</v>
      </c>
      <c r="F2224" s="89"/>
      <c r="G2224" s="122" t="n">
        <f aca="false">IF(F2224&gt;0,D2224*F2224,E2224*D2224)</f>
        <v>0</v>
      </c>
      <c r="H2224" s="2210" t="n">
        <f aca="false">D2224*E2224*$H$2180</f>
        <v>0</v>
      </c>
      <c r="I2224" s="2718" t="n">
        <f aca="false">IF(G2224&gt;H2224,G2224,H2224)*$H$2098</f>
        <v>0</v>
      </c>
      <c r="J2224" s="2712"/>
      <c r="K2224" s="2719"/>
    </row>
    <row r="2225" customFormat="false" ht="15.5" hidden="false" customHeight="false" outlineLevel="0" collapsed="false">
      <c r="A2225" s="2719"/>
      <c r="B2225" s="2748" t="s">
        <v>4641</v>
      </c>
      <c r="C2225" s="2748"/>
      <c r="D2225" s="2748"/>
      <c r="E2225" s="2748"/>
      <c r="F2225" s="2748"/>
      <c r="G2225" s="2210" t="n">
        <f aca="false">SUM(G2182:G2224)*H2180</f>
        <v>0</v>
      </c>
      <c r="H2225" s="2210" t="n">
        <f aca="false">SUM(H2182:H2224)</f>
        <v>0</v>
      </c>
      <c r="I2225" s="2718" t="n">
        <f aca="false">IF(G2225&gt;H2225,G2225,H2225)*$H$2098</f>
        <v>0</v>
      </c>
      <c r="J2225" s="2712"/>
      <c r="K2225" s="2719"/>
    </row>
    <row r="2226" customFormat="false" ht="21" hidden="false" customHeight="false" outlineLevel="0" collapsed="false">
      <c r="A2226" s="2719"/>
      <c r="B2226" s="2762" t="s">
        <v>1112</v>
      </c>
      <c r="C2226" s="2762"/>
      <c r="D2226" s="2762"/>
      <c r="E2226" s="2762"/>
      <c r="F2226" s="2762"/>
      <c r="G2226" s="905"/>
      <c r="H2226" s="2774" t="n">
        <f aca="false">VLOOKUP('Ввод данных'!F1294,связи1!A2:B3,2,0)</f>
        <v>0</v>
      </c>
      <c r="I2226" s="2818" t="n">
        <f aca="false">H2226</f>
        <v>0</v>
      </c>
      <c r="J2226" s="2712"/>
      <c r="K2226" s="2719"/>
    </row>
    <row r="2227" customFormat="false" ht="15.5" hidden="false" customHeight="false" outlineLevel="0" collapsed="false">
      <c r="A2227" s="2712"/>
      <c r="B2227" s="2775" t="s">
        <v>2720</v>
      </c>
      <c r="C2227" s="2775"/>
      <c r="D2227" s="2775"/>
      <c r="E2227" s="2775"/>
      <c r="F2227" s="2775"/>
      <c r="G2227" s="905"/>
      <c r="H2227" s="2776" t="n">
        <f aca="false">H2226</f>
        <v>0</v>
      </c>
      <c r="I2227" s="2818" t="n">
        <f aca="false">H2227</f>
        <v>0</v>
      </c>
      <c r="J2227" s="2732"/>
      <c r="K2227" s="2733"/>
    </row>
    <row r="2228" customFormat="false" ht="15.5" hidden="false" customHeight="false" outlineLevel="0" collapsed="false">
      <c r="A2228" s="2712"/>
      <c r="B2228" s="298" t="str">
        <f aca="false">инженерка!A366</f>
        <v>Кабель ВВГнг(А)-LS 3х2,5 0,66</v>
      </c>
      <c r="C2228" s="2765" t="str">
        <f aca="false">инженерка!B366</f>
        <v>м.п.</v>
      </c>
      <c r="D2228" s="298" t="n">
        <f aca="false">инженерка!C366</f>
        <v>111.4</v>
      </c>
      <c r="E2228" s="298" t="n">
        <f aca="false">инженерка!D366</f>
        <v>47.36</v>
      </c>
      <c r="F2228" s="298"/>
      <c r="G2228" s="122" t="n">
        <f aca="false">IF(F2228&gt;0,D2228*F2228,E2228*D2228)</f>
        <v>5275.904</v>
      </c>
      <c r="H2228" s="2210" t="n">
        <f aca="false">D2228*E2228*$H$2227</f>
        <v>0</v>
      </c>
      <c r="I2228" s="2784" t="n">
        <f aca="false">IF(G2228&gt;H2228,G2228,H2228)*$H$2226</f>
        <v>0</v>
      </c>
      <c r="J2228" s="2744"/>
      <c r="K2228" s="226" t="n">
        <f aca="false">D2228-J2228</f>
        <v>111.4</v>
      </c>
      <c r="L2228" s="2736"/>
    </row>
    <row r="2229" customFormat="false" ht="15.5" hidden="false" customHeight="false" outlineLevel="0" collapsed="false">
      <c r="A2229" s="2719"/>
      <c r="B2229" s="298" t="str">
        <f aca="false">инженерка!A367</f>
        <v>Труба ПВХ гофрировонная гибкая 20</v>
      </c>
      <c r="C2229" s="2765" t="str">
        <f aca="false">инженерка!B367</f>
        <v>м.п.</v>
      </c>
      <c r="D2229" s="298" t="n">
        <f aca="false">инженерка!C367</f>
        <v>122.54</v>
      </c>
      <c r="E2229" s="298" t="n">
        <f aca="false">инженерка!D367</f>
        <v>5.02</v>
      </c>
      <c r="F2229" s="298"/>
      <c r="G2229" s="122" t="n">
        <f aca="false">IF(F2229&gt;0,D2229*F2229,E2229*D2229)</f>
        <v>615.1508</v>
      </c>
      <c r="H2229" s="2210" t="n">
        <f aca="false">D2229*E2229*$H$2227</f>
        <v>0</v>
      </c>
      <c r="I2229" s="2784" t="n">
        <f aca="false">IF(G2229&gt;H2229,G2229,H2229)*$H$2226</f>
        <v>0</v>
      </c>
      <c r="J2229" s="2744"/>
      <c r="K2229" s="226" t="n">
        <f aca="false">D2229-J2229</f>
        <v>122.54</v>
      </c>
      <c r="L2229" s="2736"/>
    </row>
    <row r="2230" customFormat="false" ht="15.5" hidden="false" customHeight="false" outlineLevel="0" collapsed="false">
      <c r="A2230" s="2719"/>
      <c r="B2230" s="298" t="str">
        <f aca="false">инженерка!A368</f>
        <v>Кабель ВВГнг(А)-LS 3х1,5 0,66</v>
      </c>
      <c r="C2230" s="2765" t="str">
        <f aca="false">инженерка!B368</f>
        <v>м.п.</v>
      </c>
      <c r="D2230" s="298" t="n">
        <f aca="false">инженерка!C368</f>
        <v>186.8</v>
      </c>
      <c r="E2230" s="298" t="n">
        <f aca="false">инженерка!D368</f>
        <v>29.81</v>
      </c>
      <c r="F2230" s="298"/>
      <c r="G2230" s="122" t="n">
        <f aca="false">IF(F2230&gt;0,D2230*F2230,E2230*D2230)</f>
        <v>5568.508</v>
      </c>
      <c r="H2230" s="2210" t="n">
        <f aca="false">D2230*E2230*$H$2227</f>
        <v>0</v>
      </c>
      <c r="I2230" s="2784" t="n">
        <f aca="false">IF(G2230&gt;H2230,G2230,H2230)*$H$2226</f>
        <v>0</v>
      </c>
      <c r="J2230" s="2744"/>
      <c r="K2230" s="226" t="n">
        <f aca="false">D2230-J2230</f>
        <v>186.8</v>
      </c>
      <c r="L2230" s="2736"/>
    </row>
    <row r="2231" customFormat="false" ht="15.5" hidden="false" customHeight="false" outlineLevel="0" collapsed="false">
      <c r="A2231" s="2719"/>
      <c r="B2231" s="298" t="str">
        <f aca="false">инженерка!A369</f>
        <v>Труба ПВХ гофрировонная гибкая 25</v>
      </c>
      <c r="C2231" s="2765" t="str">
        <f aca="false">инженерка!B369</f>
        <v>м.п.</v>
      </c>
      <c r="D2231" s="298" t="n">
        <f aca="false">инженерка!C369</f>
        <v>205.48</v>
      </c>
      <c r="E2231" s="298" t="n">
        <f aca="false">инженерка!D369</f>
        <v>6.38</v>
      </c>
      <c r="F2231" s="298"/>
      <c r="G2231" s="122" t="n">
        <f aca="false">IF(F2231&gt;0,D2231*F2231,E2231*D2231)</f>
        <v>1310.9624</v>
      </c>
      <c r="H2231" s="2210" t="n">
        <f aca="false">D2231*E2231*$H$2227</f>
        <v>0</v>
      </c>
      <c r="I2231" s="2784" t="n">
        <f aca="false">IF(G2231&gt;H2231,G2231,H2231)*$H$2226</f>
        <v>0</v>
      </c>
      <c r="J2231" s="2744"/>
      <c r="K2231" s="226" t="n">
        <f aca="false">D2231-J2231</f>
        <v>205.48</v>
      </c>
      <c r="L2231" s="2736"/>
    </row>
    <row r="2232" customFormat="false" ht="15.5" hidden="false" customHeight="false" outlineLevel="0" collapsed="false">
      <c r="A2232" s="2719"/>
      <c r="B2232" s="298" t="str">
        <f aca="false">инженерка!A370</f>
        <v>Кабель ВВГнг(А)-LS 3х4 0,66</v>
      </c>
      <c r="C2232" s="2765" t="str">
        <f aca="false">инженерка!B370</f>
        <v>м.п.</v>
      </c>
      <c r="D2232" s="298" t="n">
        <f aca="false">инженерка!C370</f>
        <v>75</v>
      </c>
      <c r="E2232" s="298" t="n">
        <f aca="false">инженерка!D370</f>
        <v>68</v>
      </c>
      <c r="F2232" s="298"/>
      <c r="G2232" s="122" t="n">
        <f aca="false">IF(F2232&gt;0,D2232*F2232,E2232*D2232)</f>
        <v>5100</v>
      </c>
      <c r="H2232" s="2210" t="n">
        <f aca="false">D2232*E2232*$H$2227</f>
        <v>0</v>
      </c>
      <c r="I2232" s="2784" t="n">
        <f aca="false">IF(G2232&gt;H2232,G2232,H2232)*$H$2226</f>
        <v>0</v>
      </c>
      <c r="J2232" s="2744"/>
      <c r="K2232" s="226" t="n">
        <f aca="false">D2232-J2232</f>
        <v>75</v>
      </c>
      <c r="L2232" s="2736"/>
    </row>
    <row r="2233" customFormat="false" ht="15.5" hidden="false" customHeight="false" outlineLevel="0" collapsed="false">
      <c r="A2233" s="2719"/>
      <c r="B2233" s="298" t="str">
        <f aca="false">инженерка!A371</f>
        <v>Труба ПВХ гофрировонная гибкая 32</v>
      </c>
      <c r="C2233" s="2765" t="str">
        <f aca="false">инженерка!B371</f>
        <v>м.п.</v>
      </c>
      <c r="D2233" s="298" t="n">
        <f aca="false">инженерка!C371</f>
        <v>82.5</v>
      </c>
      <c r="E2233" s="298" t="n">
        <f aca="false">инженерка!D371</f>
        <v>6.38</v>
      </c>
      <c r="F2233" s="298"/>
      <c r="G2233" s="122" t="n">
        <f aca="false">IF(F2233&gt;0,D2233*F2233,E2233*D2233)</f>
        <v>526.35</v>
      </c>
      <c r="H2233" s="2210" t="n">
        <f aca="false">D2233*E2233*$H$2227</f>
        <v>0</v>
      </c>
      <c r="I2233" s="2784" t="n">
        <f aca="false">IF(G2233&gt;H2233,G2233,H2233)*$H$2226</f>
        <v>0</v>
      </c>
      <c r="J2233" s="2744"/>
      <c r="K2233" s="226" t="n">
        <f aca="false">D2233-J2233</f>
        <v>82.5</v>
      </c>
      <c r="L2233" s="2736"/>
    </row>
    <row r="2234" customFormat="false" ht="15.5" hidden="false" customHeight="false" outlineLevel="0" collapsed="false">
      <c r="A2234" s="2719"/>
      <c r="B2234" s="298" t="str">
        <f aca="false">инженерка!A372</f>
        <v>крепления для гофры</v>
      </c>
      <c r="C2234" s="2765" t="str">
        <f aca="false">инженерка!B372</f>
        <v>шт</v>
      </c>
      <c r="D2234" s="298" t="n">
        <f aca="false">инженерка!C372</f>
        <v>400</v>
      </c>
      <c r="E2234" s="298" t="n">
        <f aca="false">инженерка!D372</f>
        <v>1</v>
      </c>
      <c r="F2234" s="298"/>
      <c r="G2234" s="122" t="n">
        <f aca="false">IF(F2234&gt;0,D2234*F2234,E2234*D2234)</f>
        <v>400</v>
      </c>
      <c r="H2234" s="2210" t="n">
        <f aca="false">D2234*E2234*$H$2227</f>
        <v>0</v>
      </c>
      <c r="I2234" s="2784" t="n">
        <f aca="false">IF(G2234&gt;H2234,G2234,H2234)*$H$2226</f>
        <v>0</v>
      </c>
      <c r="J2234" s="2744"/>
      <c r="K2234" s="226" t="n">
        <f aca="false">D2234-J2234</f>
        <v>400</v>
      </c>
      <c r="L2234" s="2736"/>
    </row>
    <row r="2235" customFormat="false" ht="15.5" hidden="false" customHeight="false" outlineLevel="0" collapsed="false">
      <c r="A2235" s="2719"/>
      <c r="B2235" s="298" t="str">
        <f aca="false">инженерка!A373</f>
        <v>саморез для крепления гофры</v>
      </c>
      <c r="C2235" s="2765" t="str">
        <f aca="false">инженерка!B373</f>
        <v>шт</v>
      </c>
      <c r="D2235" s="298" t="n">
        <f aca="false">инженерка!C373</f>
        <v>800</v>
      </c>
      <c r="E2235" s="298" t="n">
        <f aca="false">инженерка!D373</f>
        <v>0.25</v>
      </c>
      <c r="F2235" s="298"/>
      <c r="G2235" s="122" t="n">
        <f aca="false">IF(F2235&gt;0,D2235*F2235,E2235*D2235)</f>
        <v>200</v>
      </c>
      <c r="H2235" s="2210" t="n">
        <f aca="false">D2235*E2235*$H$2227</f>
        <v>0</v>
      </c>
      <c r="I2235" s="2784" t="n">
        <f aca="false">IF(G2235&gt;H2235,G2235,H2235)*$H$2226</f>
        <v>0</v>
      </c>
      <c r="J2235" s="2744"/>
      <c r="K2235" s="226" t="n">
        <f aca="false">D2235-J2235</f>
        <v>800</v>
      </c>
      <c r="L2235" s="2736"/>
    </row>
    <row r="2236" customFormat="false" ht="15.5" hidden="false" customHeight="false" outlineLevel="0" collapsed="false">
      <c r="A2236" s="2719"/>
      <c r="B2236" s="298" t="str">
        <f aca="false">инженерка!A374</f>
        <v>Коробка распределения</v>
      </c>
      <c r="C2236" s="2765" t="str">
        <f aca="false">инженерка!B374</f>
        <v>шт</v>
      </c>
      <c r="D2236" s="298" t="n">
        <f aca="false">инженерка!C374</f>
        <v>6</v>
      </c>
      <c r="E2236" s="298" t="n">
        <f aca="false">инженерка!D374</f>
        <v>20</v>
      </c>
      <c r="F2236" s="298"/>
      <c r="G2236" s="122" t="n">
        <f aca="false">IF(F2236&gt;0,D2236*F2236,E2236*D2236)</f>
        <v>120</v>
      </c>
      <c r="H2236" s="2210" t="n">
        <f aca="false">D2236*E2236*$H$2227</f>
        <v>0</v>
      </c>
      <c r="I2236" s="2784" t="n">
        <f aca="false">IF(G2236&gt;H2236,G2236,H2236)*$H$2226</f>
        <v>0</v>
      </c>
      <c r="J2236" s="2744"/>
      <c r="K2236" s="226" t="n">
        <f aca="false">D2236-J2236</f>
        <v>6</v>
      </c>
      <c r="L2236" s="2736"/>
    </row>
    <row r="2237" customFormat="false" ht="15.5" hidden="false" customHeight="false" outlineLevel="0" collapsed="false">
      <c r="A2237" s="2719"/>
      <c r="B2237" s="298" t="str">
        <f aca="false">инженерка!A375</f>
        <v>Вага</v>
      </c>
      <c r="C2237" s="2765" t="str">
        <f aca="false">инженерка!B375</f>
        <v>шт</v>
      </c>
      <c r="D2237" s="298" t="n">
        <f aca="false">инженерка!C375</f>
        <v>480</v>
      </c>
      <c r="E2237" s="298" t="n">
        <f aca="false">инженерка!D375</f>
        <v>10</v>
      </c>
      <c r="F2237" s="298"/>
      <c r="G2237" s="122" t="n">
        <f aca="false">IF(F2237&gt;0,D2237*F2237,E2237*D2237)</f>
        <v>4800</v>
      </c>
      <c r="H2237" s="2210" t="n">
        <f aca="false">D2237*E2237*$H$2227</f>
        <v>0</v>
      </c>
      <c r="I2237" s="2784" t="n">
        <f aca="false">IF(G2237&gt;H2237,G2237,H2237)*$H$2226</f>
        <v>0</v>
      </c>
      <c r="J2237" s="2744"/>
      <c r="K2237" s="226" t="n">
        <f aca="false">D2237-J2237</f>
        <v>480</v>
      </c>
      <c r="L2237" s="2736"/>
    </row>
    <row r="2238" customFormat="false" ht="15.5" hidden="false" customHeight="false" outlineLevel="0" collapsed="false">
      <c r="A2238" s="2719"/>
      <c r="B2238" s="298" t="str">
        <f aca="false">инженерка!A376</f>
        <v>Щиток электрический</v>
      </c>
      <c r="C2238" s="2765" t="str">
        <f aca="false">инженерка!B376</f>
        <v>шт</v>
      </c>
      <c r="D2238" s="298" t="n">
        <f aca="false">инженерка!C376</f>
        <v>1</v>
      </c>
      <c r="E2238" s="298" t="n">
        <f aca="false">инженерка!D376</f>
        <v>1200</v>
      </c>
      <c r="F2238" s="298"/>
      <c r="G2238" s="122" t="n">
        <f aca="false">IF(F2238&gt;0,D2238*F2238,E2238*D2238)</f>
        <v>1200</v>
      </c>
      <c r="H2238" s="2210" t="n">
        <f aca="false">D2238*E2238*$H$2227</f>
        <v>0</v>
      </c>
      <c r="I2238" s="2784" t="n">
        <f aca="false">IF(G2238&gt;H2238,G2238,H2238)*$H$2226</f>
        <v>0</v>
      </c>
      <c r="J2238" s="2744"/>
      <c r="K2238" s="226" t="n">
        <f aca="false">D2238-J2238</f>
        <v>1</v>
      </c>
      <c r="L2238" s="2736"/>
    </row>
    <row r="2239" customFormat="false" ht="15.5" hidden="false" customHeight="false" outlineLevel="0" collapsed="false">
      <c r="A2239" s="2719"/>
      <c r="B2239" s="298" t="str">
        <f aca="false">инженерка!A377</f>
        <v>автомат, 3 полюса, 32амп</v>
      </c>
      <c r="C2239" s="2765" t="str">
        <f aca="false">инженерка!B377</f>
        <v>шт</v>
      </c>
      <c r="D2239" s="298" t="n">
        <f aca="false">инженерка!C377</f>
        <v>2</v>
      </c>
      <c r="E2239" s="298" t="n">
        <f aca="false">инженерка!D377</f>
        <v>180</v>
      </c>
      <c r="F2239" s="298"/>
      <c r="G2239" s="122" t="n">
        <f aca="false">IF(F2239&gt;0,D2239*F2239,E2239*D2239)</f>
        <v>360</v>
      </c>
      <c r="H2239" s="2210" t="n">
        <f aca="false">D2239*E2239*$H$2227</f>
        <v>0</v>
      </c>
      <c r="I2239" s="2784" t="n">
        <f aca="false">IF(G2239&gt;H2239,G2239,H2239)*$H$2226</f>
        <v>0</v>
      </c>
      <c r="J2239" s="2744"/>
      <c r="K2239" s="226" t="n">
        <f aca="false">D2239-J2239</f>
        <v>2</v>
      </c>
      <c r="L2239" s="2736"/>
    </row>
    <row r="2240" customFormat="false" ht="15.5" hidden="false" customHeight="false" outlineLevel="0" collapsed="false">
      <c r="A2240" s="2719"/>
      <c r="B2240" s="298" t="str">
        <f aca="false">инженерка!A378</f>
        <v>автомат, 1 полюс, 16амп</v>
      </c>
      <c r="C2240" s="2765" t="str">
        <f aca="false">инженерка!B378</f>
        <v>шт</v>
      </c>
      <c r="D2240" s="298" t="n">
        <f aca="false">инженерка!C378</f>
        <v>20</v>
      </c>
      <c r="E2240" s="298" t="n">
        <f aca="false">инженерка!D378</f>
        <v>70</v>
      </c>
      <c r="F2240" s="298"/>
      <c r="G2240" s="122" t="n">
        <f aca="false">IF(F2240&gt;0,D2240*F2240,E2240*D2240)</f>
        <v>1400</v>
      </c>
      <c r="H2240" s="2210" t="n">
        <f aca="false">D2240*E2240*$H$2227</f>
        <v>0</v>
      </c>
      <c r="I2240" s="2784" t="n">
        <f aca="false">IF(G2240&gt;H2240,G2240,H2240)*$H$2226</f>
        <v>0</v>
      </c>
      <c r="J2240" s="2744"/>
      <c r="K2240" s="226" t="n">
        <f aca="false">D2240-J2240</f>
        <v>20</v>
      </c>
      <c r="L2240" s="2736"/>
    </row>
    <row r="2241" customFormat="false" ht="15.5" hidden="false" customHeight="false" outlineLevel="0" collapsed="false">
      <c r="A2241" s="2719"/>
      <c r="B2241" s="298" t="str">
        <f aca="false">инженерка!A379</f>
        <v>автомат, 1 полюс, 25 амп</v>
      </c>
      <c r="C2241" s="2765" t="str">
        <f aca="false">инженерка!B379</f>
        <v>шт</v>
      </c>
      <c r="D2241" s="298" t="n">
        <f aca="false">инженерка!C379</f>
        <v>2</v>
      </c>
      <c r="E2241" s="298" t="n">
        <f aca="false">инженерка!D379</f>
        <v>167</v>
      </c>
      <c r="F2241" s="298"/>
      <c r="G2241" s="122" t="n">
        <f aca="false">IF(F2241&gt;0,D2241*F2241,E2241*D2241)</f>
        <v>334</v>
      </c>
      <c r="H2241" s="2210" t="n">
        <f aca="false">D2241*E2241*$H$2227</f>
        <v>0</v>
      </c>
      <c r="I2241" s="2784" t="n">
        <f aca="false">IF(G2241&gt;H2241,G2241,H2241)*$H$2226</f>
        <v>0</v>
      </c>
      <c r="J2241" s="2744"/>
      <c r="K2241" s="226" t="n">
        <f aca="false">D2241-J2241</f>
        <v>2</v>
      </c>
      <c r="L2241" s="2736"/>
    </row>
    <row r="2242" customFormat="false" ht="15.5" hidden="false" customHeight="false" outlineLevel="0" collapsed="false">
      <c r="A2242" s="2719"/>
      <c r="B2242" s="298" t="str">
        <f aca="false">инженерка!A380</f>
        <v>Коробка электрическая</v>
      </c>
      <c r="C2242" s="2765" t="str">
        <f aca="false">инженерка!B380</f>
        <v>шт</v>
      </c>
      <c r="D2242" s="298" t="n">
        <f aca="false">инженерка!C380</f>
        <v>60</v>
      </c>
      <c r="E2242" s="298" t="n">
        <f aca="false">инженерка!D380</f>
        <v>6</v>
      </c>
      <c r="F2242" s="298"/>
      <c r="G2242" s="122" t="n">
        <f aca="false">IF(F2242&gt;0,D2242*F2242,E2242*D2242)</f>
        <v>360</v>
      </c>
      <c r="H2242" s="2210" t="n">
        <f aca="false">D2242*E2242*$H$2227</f>
        <v>0</v>
      </c>
      <c r="I2242" s="2784" t="n">
        <f aca="false">IF(G2242&gt;H2242,G2242,H2242)*$H$2226</f>
        <v>0</v>
      </c>
      <c r="J2242" s="2744"/>
      <c r="K2242" s="226" t="n">
        <f aca="false">D2242-J2242</f>
        <v>60</v>
      </c>
      <c r="L2242" s="2736"/>
    </row>
    <row r="2243" customFormat="false" ht="15.5" hidden="false" customHeight="false" outlineLevel="0" collapsed="false">
      <c r="A2243" s="2719"/>
      <c r="B2243" s="298" t="str">
        <f aca="false">инженерка!A381</f>
        <v>Розетка 2</v>
      </c>
      <c r="C2243" s="2765" t="str">
        <f aca="false">инженерка!B381</f>
        <v>шт</v>
      </c>
      <c r="D2243" s="298" t="n">
        <f aca="false">инженерка!C381</f>
        <v>40</v>
      </c>
      <c r="E2243" s="298" t="n">
        <f aca="false">инженерка!D381</f>
        <v>100</v>
      </c>
      <c r="F2243" s="298"/>
      <c r="G2243" s="122" t="n">
        <f aca="false">IF(F2243&gt;0,D2243*F2243,E2243*D2243)</f>
        <v>4000</v>
      </c>
      <c r="H2243" s="2210" t="n">
        <f aca="false">D2243*E2243*$H$2227</f>
        <v>0</v>
      </c>
      <c r="I2243" s="2784" t="n">
        <f aca="false">IF(G2243&gt;H2243,G2243,H2243)*$H$2226</f>
        <v>0</v>
      </c>
      <c r="J2243" s="2744"/>
      <c r="K2243" s="226" t="n">
        <f aca="false">D2243-J2243</f>
        <v>40</v>
      </c>
      <c r="L2243" s="2736"/>
    </row>
    <row r="2244" customFormat="false" ht="15.5" hidden="false" customHeight="false" outlineLevel="0" collapsed="false">
      <c r="A2244" s="2719"/>
      <c r="B2244" s="298" t="str">
        <f aca="false">инженерка!A382</f>
        <v>Выключатель 3</v>
      </c>
      <c r="C2244" s="2765" t="str">
        <f aca="false">инженерка!B382</f>
        <v>шт</v>
      </c>
      <c r="D2244" s="298" t="n">
        <f aca="false">инженерка!C382</f>
        <v>20</v>
      </c>
      <c r="E2244" s="298" t="n">
        <f aca="false">инженерка!D382</f>
        <v>100</v>
      </c>
      <c r="F2244" s="298"/>
      <c r="G2244" s="122" t="n">
        <f aca="false">IF(F2244&gt;0,D2244*F2244,E2244*D2244)</f>
        <v>2000</v>
      </c>
      <c r="H2244" s="2210" t="n">
        <f aca="false">D2244*E2244*$H$2227</f>
        <v>0</v>
      </c>
      <c r="I2244" s="2784" t="n">
        <f aca="false">IF(G2244&gt;H2244,G2244,H2244)*$H$2226</f>
        <v>0</v>
      </c>
      <c r="J2244" s="2744"/>
      <c r="K2244" s="226" t="n">
        <f aca="false">D2244-J2244</f>
        <v>20</v>
      </c>
      <c r="L2244" s="2736"/>
    </row>
    <row r="2245" customFormat="false" ht="15.5" hidden="false" customHeight="false" outlineLevel="0" collapsed="false">
      <c r="A2245" s="2719"/>
      <c r="B2245" s="2748" t="s">
        <v>4640</v>
      </c>
      <c r="C2245" s="2748"/>
      <c r="D2245" s="2748"/>
      <c r="E2245" s="2748"/>
      <c r="F2245" s="2748"/>
      <c r="G2245" s="2210" t="n">
        <f aca="false">SUM(G2228:G2244)*H2226</f>
        <v>0</v>
      </c>
      <c r="H2245" s="2210" t="n">
        <f aca="false">SUM(H2228:H2244)</f>
        <v>0</v>
      </c>
      <c r="I2245" s="2784" t="n">
        <f aca="false">IF(G2245&gt;H2245,G2245,H2245)*$H$2226</f>
        <v>0</v>
      </c>
      <c r="J2245" s="2744"/>
      <c r="K2245" s="226" t="n">
        <f aca="false">D2245-J2245</f>
        <v>0</v>
      </c>
      <c r="L2245" s="2736"/>
    </row>
    <row r="2246" customFormat="false" ht="15.5" hidden="false" customHeight="false" outlineLevel="0" collapsed="false">
      <c r="A2246" s="2719"/>
      <c r="B2246" s="2750" t="s">
        <v>1409</v>
      </c>
      <c r="C2246" s="2750"/>
      <c r="D2246" s="2750"/>
      <c r="E2246" s="2750"/>
      <c r="F2246" s="2750"/>
      <c r="G2246" s="905"/>
      <c r="H2246" s="2766" t="n">
        <f aca="false">H2226</f>
        <v>0</v>
      </c>
      <c r="I2246" s="2818" t="n">
        <f aca="false">H2246</f>
        <v>0</v>
      </c>
      <c r="J2246" s="2752"/>
      <c r="K2246" s="2753"/>
    </row>
    <row r="2247" customFormat="false" ht="15.5" hidden="false" customHeight="false" outlineLevel="0" collapsed="false">
      <c r="A2247" s="2712"/>
      <c r="B2247" s="2648" t="str">
        <f aca="false">инженерка!G366</f>
        <v>монтаж кабеля</v>
      </c>
      <c r="C2247" s="6" t="s">
        <v>156</v>
      </c>
      <c r="D2247" s="298" t="n">
        <f aca="false">инженерка!I366</f>
        <v>373.2</v>
      </c>
      <c r="E2247" s="177" t="n">
        <f aca="false">инженерка!J366</f>
        <v>100</v>
      </c>
      <c r="F2247" s="177"/>
      <c r="G2247" s="122" t="n">
        <f aca="false">IF(F2247&gt;0,D2247*F2247,E2247*D2247)</f>
        <v>37320</v>
      </c>
      <c r="H2247" s="2210" t="n">
        <f aca="false">D2247*E2247*$H$2246</f>
        <v>0</v>
      </c>
      <c r="I2247" s="2718" t="n">
        <f aca="false">IF(G2247&gt;H2247,G2247,H2247)*$H$2226</f>
        <v>0</v>
      </c>
      <c r="J2247" s="2712"/>
      <c r="K2247" s="2719"/>
    </row>
    <row r="2248" customFormat="false" ht="15.5" hidden="false" customHeight="false" outlineLevel="0" collapsed="false">
      <c r="A2248" s="2719"/>
      <c r="B2248" s="2648" t="str">
        <f aca="false">инженерка!G367</f>
        <v>монтаж гофры</v>
      </c>
      <c r="C2248" s="6" t="s">
        <v>156</v>
      </c>
      <c r="D2248" s="298" t="n">
        <f aca="false">инженерка!I367</f>
        <v>373.2</v>
      </c>
      <c r="E2248" s="177" t="n">
        <f aca="false">инженерка!J367</f>
        <v>50</v>
      </c>
      <c r="F2248" s="177"/>
      <c r="G2248" s="122" t="n">
        <f aca="false">IF(F2248&gt;0,D2248*F2248,E2248*D2248)</f>
        <v>18660</v>
      </c>
      <c r="H2248" s="2210" t="n">
        <f aca="false">D2248*E2248*$H$2246</f>
        <v>0</v>
      </c>
      <c r="I2248" s="2718" t="n">
        <f aca="false">IF(G2248&gt;H2248,G2248,H2248)*$H$2226</f>
        <v>0</v>
      </c>
      <c r="L2248" s="878"/>
      <c r="M2248" s="878"/>
    </row>
    <row r="2249" customFormat="false" ht="15.5" hidden="false" customHeight="false" outlineLevel="0" collapsed="false">
      <c r="A2249" s="2719"/>
      <c r="B2249" s="2648" t="str">
        <f aca="false">инженерка!G368</f>
        <v>монтаж коробок распр</v>
      </c>
      <c r="C2249" s="6" t="s">
        <v>799</v>
      </c>
      <c r="D2249" s="298" t="n">
        <f aca="false">инженерка!I368</f>
        <v>6</v>
      </c>
      <c r="E2249" s="177" t="n">
        <f aca="false">инженерка!J368</f>
        <v>500</v>
      </c>
      <c r="F2249" s="177"/>
      <c r="G2249" s="122" t="n">
        <f aca="false">IF(F2249&gt;0,D2249*F2249,E2249*D2249)</f>
        <v>3000</v>
      </c>
      <c r="H2249" s="2210" t="n">
        <f aca="false">D2249*E2249*$H$2246</f>
        <v>0</v>
      </c>
      <c r="I2249" s="2718" t="n">
        <f aca="false">IF(G2249&gt;H2249,G2249,H2249)*$H$2226</f>
        <v>0</v>
      </c>
      <c r="L2249" s="878"/>
      <c r="M2249" s="878"/>
    </row>
    <row r="2250" customFormat="false" ht="15.5" hidden="false" customHeight="false" outlineLevel="0" collapsed="false">
      <c r="A2250" s="2719"/>
      <c r="B2250" s="2648" t="str">
        <f aca="false">инженерка!G369</f>
        <v>монтаж коробок роз</v>
      </c>
      <c r="C2250" s="6" t="s">
        <v>799</v>
      </c>
      <c r="D2250" s="298" t="n">
        <f aca="false">инженерка!I369</f>
        <v>40</v>
      </c>
      <c r="E2250" s="177" t="n">
        <f aca="false">инженерка!J369</f>
        <v>200</v>
      </c>
      <c r="F2250" s="177"/>
      <c r="G2250" s="122" t="n">
        <f aca="false">IF(F2250&gt;0,D2250*F2250,E2250*D2250)</f>
        <v>8000</v>
      </c>
      <c r="H2250" s="2210" t="n">
        <f aca="false">D2250*E2250*$H$2246</f>
        <v>0</v>
      </c>
      <c r="I2250" s="2718" t="n">
        <f aca="false">IF(G2250&gt;H2250,G2250,H2250)*$H$2226</f>
        <v>0</v>
      </c>
      <c r="L2250" s="878"/>
      <c r="M2250" s="878"/>
    </row>
    <row r="2251" customFormat="false" ht="15.5" hidden="false" customHeight="false" outlineLevel="0" collapsed="false">
      <c r="A2251" s="2719"/>
      <c r="B2251" s="2648" t="str">
        <f aca="false">инженерка!G370</f>
        <v>монтаж коробок выкл</v>
      </c>
      <c r="C2251" s="6" t="s">
        <v>799</v>
      </c>
      <c r="D2251" s="298" t="n">
        <f aca="false">инженерка!I370</f>
        <v>20</v>
      </c>
      <c r="E2251" s="177" t="n">
        <f aca="false">инженерка!J370</f>
        <v>200</v>
      </c>
      <c r="F2251" s="177"/>
      <c r="G2251" s="122" t="n">
        <f aca="false">IF(F2251&gt;0,D2251*F2251,E2251*D2251)</f>
        <v>4000</v>
      </c>
      <c r="H2251" s="2210" t="n">
        <f aca="false">D2251*E2251*$H$2246</f>
        <v>0</v>
      </c>
      <c r="I2251" s="2718" t="n">
        <f aca="false">IF(G2251&gt;H2251,G2251,H2251)*$H$2226</f>
        <v>0</v>
      </c>
      <c r="L2251" s="878"/>
      <c r="M2251" s="878"/>
    </row>
    <row r="2252" customFormat="false" ht="15.5" hidden="false" customHeight="false" outlineLevel="0" collapsed="false">
      <c r="A2252" s="2719"/>
      <c r="B2252" s="2648" t="str">
        <f aca="false">инженерка!G371</f>
        <v>монтаж щитка</v>
      </c>
      <c r="C2252" s="6" t="s">
        <v>799</v>
      </c>
      <c r="D2252" s="298" t="n">
        <f aca="false">инженерка!I371</f>
        <v>1</v>
      </c>
      <c r="E2252" s="177" t="n">
        <f aca="false">инженерка!J371</f>
        <v>6000</v>
      </c>
      <c r="F2252" s="177"/>
      <c r="G2252" s="122" t="n">
        <f aca="false">IF(F2252&gt;0,D2252*F2252,E2252*D2252)</f>
        <v>6000</v>
      </c>
      <c r="H2252" s="2210" t="n">
        <f aca="false">D2252*E2252*$H$2246</f>
        <v>0</v>
      </c>
      <c r="I2252" s="2718" t="n">
        <f aca="false">IF(G2252&gt;H2252,G2252,H2252)*$H$2226</f>
        <v>0</v>
      </c>
      <c r="L2252" s="878"/>
      <c r="M2252" s="878"/>
    </row>
    <row r="2253" customFormat="false" ht="15.5" hidden="false" customHeight="false" outlineLevel="0" collapsed="false">
      <c r="A2253" s="2719"/>
      <c r="B2253" s="2648" t="str">
        <f aca="false">инженерка!G372</f>
        <v>установка розеток</v>
      </c>
      <c r="C2253" s="6" t="s">
        <v>799</v>
      </c>
      <c r="D2253" s="298" t="n">
        <f aca="false">инженерка!I372</f>
        <v>40</v>
      </c>
      <c r="E2253" s="177" t="n">
        <f aca="false">инженерка!J372</f>
        <v>250</v>
      </c>
      <c r="F2253" s="177"/>
      <c r="G2253" s="122" t="n">
        <f aca="false">IF(F2253&gt;0,D2253*F2253,E2253*D2253)</f>
        <v>10000</v>
      </c>
      <c r="H2253" s="2210" t="n">
        <f aca="false">D2253*E2253*$H$2246</f>
        <v>0</v>
      </c>
      <c r="I2253" s="2718" t="n">
        <f aca="false">IF(G2253&gt;H2253,G2253,H2253)*$H$2226</f>
        <v>0</v>
      </c>
      <c r="L2253" s="878"/>
      <c r="M2253" s="878"/>
    </row>
    <row r="2254" customFormat="false" ht="15.5" hidden="false" customHeight="false" outlineLevel="0" collapsed="false">
      <c r="A2254" s="2719"/>
      <c r="B2254" s="2648" t="str">
        <f aca="false">инженерка!G373</f>
        <v>установка выключателей</v>
      </c>
      <c r="C2254" s="6" t="s">
        <v>799</v>
      </c>
      <c r="D2254" s="298" t="n">
        <f aca="false">инженерка!I373</f>
        <v>20</v>
      </c>
      <c r="E2254" s="177" t="n">
        <f aca="false">инженерка!J373</f>
        <v>250</v>
      </c>
      <c r="F2254" s="177"/>
      <c r="G2254" s="122" t="n">
        <f aca="false">IF(F2254&gt;0,D2254*F2254,E2254*D2254)</f>
        <v>5000</v>
      </c>
      <c r="H2254" s="2210" t="n">
        <f aca="false">D2254*E2254*$H$2246</f>
        <v>0</v>
      </c>
      <c r="I2254" s="2718" t="n">
        <f aca="false">IF(G2254&gt;H2254,G2254,H2254)*$H$2226</f>
        <v>0</v>
      </c>
      <c r="J2254" s="2712"/>
      <c r="K2254" s="2719"/>
    </row>
    <row r="2255" customFormat="false" ht="15.5" hidden="false" customHeight="false" outlineLevel="0" collapsed="false">
      <c r="A2255" s="2719"/>
      <c r="B2255" s="2748" t="s">
        <v>4641</v>
      </c>
      <c r="C2255" s="2748"/>
      <c r="D2255" s="2748"/>
      <c r="E2255" s="2748"/>
      <c r="F2255" s="2748"/>
      <c r="G2255" s="2210" t="n">
        <f aca="false">SUM(G2247:G2254)*H2246</f>
        <v>0</v>
      </c>
      <c r="H2255" s="2210" t="n">
        <f aca="false">SUM(H2247:H2254)</f>
        <v>0</v>
      </c>
      <c r="I2255" s="2718" t="n">
        <f aca="false">IF(G2255&gt;H2255,G2255,H2255)*$H$2226</f>
        <v>0</v>
      </c>
      <c r="J2255" s="2712"/>
      <c r="K2255" s="2719"/>
    </row>
    <row r="2256" customFormat="false" ht="21" hidden="false" customHeight="false" outlineLevel="0" collapsed="false">
      <c r="A2256" s="2719"/>
      <c r="B2256" s="2762" t="s">
        <v>1161</v>
      </c>
      <c r="C2256" s="2762"/>
      <c r="D2256" s="2762"/>
      <c r="E2256" s="2762"/>
      <c r="F2256" s="2762"/>
      <c r="G2256" s="905"/>
      <c r="H2256" s="2774" t="n">
        <f aca="false">VLOOKUP('Ввод данных'!F1310,связи1!A2:B3,2,0)</f>
        <v>0</v>
      </c>
      <c r="I2256" s="2818" t="n">
        <f aca="false">H2256</f>
        <v>0</v>
      </c>
      <c r="J2256" s="2712"/>
      <c r="K2256" s="2719"/>
    </row>
    <row r="2257" customFormat="false" ht="15.5" hidden="false" customHeight="false" outlineLevel="0" collapsed="false">
      <c r="A2257" s="2712"/>
      <c r="B2257" s="2775" t="s">
        <v>2720</v>
      </c>
      <c r="C2257" s="2775"/>
      <c r="D2257" s="2775"/>
      <c r="E2257" s="2775"/>
      <c r="F2257" s="2775"/>
      <c r="G2257" s="905"/>
      <c r="H2257" s="2776" t="n">
        <f aca="false">H2256</f>
        <v>0</v>
      </c>
      <c r="I2257" s="2818" t="n">
        <f aca="false">H2257</f>
        <v>0</v>
      </c>
      <c r="J2257" s="2732"/>
      <c r="K2257" s="2733"/>
    </row>
    <row r="2258" customFormat="false" ht="15.5" hidden="false" customHeight="false" outlineLevel="0" collapsed="false">
      <c r="A2258" s="2712"/>
      <c r="B2258" s="298" t="str">
        <f aca="false">инженерка!A399</f>
        <v>труба диам 25/32 отопление</v>
      </c>
      <c r="C2258" s="2765" t="str">
        <f aca="false">инженерка!B399</f>
        <v>м.п.</v>
      </c>
      <c r="D2258" s="298" t="n">
        <f aca="false">инженерка!C399</f>
        <v>150.8</v>
      </c>
      <c r="E2258" s="298" t="n">
        <f aca="false">инженерка!D399</f>
        <v>40</v>
      </c>
      <c r="F2258" s="298"/>
      <c r="G2258" s="122" t="n">
        <f aca="false">IF(F2258&gt;0,D2258*F2258,E2258*D2258)</f>
        <v>6032</v>
      </c>
      <c r="H2258" s="85" t="n">
        <f aca="false">D2258*E2258*$H$2257</f>
        <v>0</v>
      </c>
      <c r="I2258" s="2784" t="n">
        <f aca="false">IF(G2258&gt;H2258,G2258,H2258)*$H$2256</f>
        <v>0</v>
      </c>
      <c r="J2258" s="2744"/>
      <c r="K2258" s="226" t="n">
        <f aca="false">D2258-J2258</f>
        <v>150.8</v>
      </c>
      <c r="L2258" s="2736"/>
    </row>
    <row r="2259" customFormat="false" ht="15.5" hidden="false" customHeight="false" outlineLevel="0" collapsed="false">
      <c r="A2259" s="2719"/>
      <c r="B2259" s="298" t="str">
        <f aca="false">инженерка!A400</f>
        <v>соеденители для трубы</v>
      </c>
      <c r="C2259" s="2765" t="str">
        <f aca="false">инженерка!B400</f>
        <v>шт</v>
      </c>
      <c r="D2259" s="298" t="n">
        <f aca="false">инженерка!C400</f>
        <v>50.2666666666667</v>
      </c>
      <c r="E2259" s="298" t="n">
        <f aca="false">инженерка!D400</f>
        <v>10</v>
      </c>
      <c r="F2259" s="298"/>
      <c r="G2259" s="122" t="n">
        <f aca="false">IF(F2259&gt;0,D2259*F2259,E2259*D2259)</f>
        <v>502.666666666667</v>
      </c>
      <c r="H2259" s="85" t="n">
        <f aca="false">D2259*E2259*$H$2257</f>
        <v>0</v>
      </c>
      <c r="I2259" s="2784" t="n">
        <f aca="false">IF(G2259&gt;H2259,G2259,H2259)*$H$2256</f>
        <v>0</v>
      </c>
      <c r="J2259" s="2744"/>
      <c r="K2259" s="226" t="n">
        <f aca="false">D2259-J2259</f>
        <v>50.2666666666667</v>
      </c>
      <c r="L2259" s="2736"/>
    </row>
    <row r="2260" customFormat="false" ht="15.5" hidden="false" customHeight="false" outlineLevel="0" collapsed="false">
      <c r="A2260" s="2719"/>
      <c r="B2260" s="298" t="str">
        <f aca="false">инженерка!A401</f>
        <v>уголок 90 град</v>
      </c>
      <c r="C2260" s="2765" t="str">
        <f aca="false">инженерка!B401</f>
        <v>шт</v>
      </c>
      <c r="D2260" s="298" t="n">
        <f aca="false">инженерка!C401</f>
        <v>60.32</v>
      </c>
      <c r="E2260" s="298" t="n">
        <f aca="false">инженерка!D401</f>
        <v>10</v>
      </c>
      <c r="F2260" s="298"/>
      <c r="G2260" s="122" t="n">
        <f aca="false">IF(F2260&gt;0,D2260*F2260,E2260*D2260)</f>
        <v>603.2</v>
      </c>
      <c r="H2260" s="85" t="n">
        <f aca="false">D2260*E2260*$H$2257</f>
        <v>0</v>
      </c>
      <c r="I2260" s="2784" t="n">
        <f aca="false">IF(G2260&gt;H2260,G2260,H2260)*$H$2256</f>
        <v>0</v>
      </c>
      <c r="J2260" s="2744"/>
      <c r="K2260" s="226" t="n">
        <f aca="false">D2260-J2260</f>
        <v>60.32</v>
      </c>
      <c r="L2260" s="2736"/>
    </row>
    <row r="2261" customFormat="false" ht="15.5" hidden="false" customHeight="false" outlineLevel="0" collapsed="false">
      <c r="A2261" s="2719"/>
      <c r="B2261" s="298" t="str">
        <f aca="false">инженерка!A402</f>
        <v>радиаторы, 1 секция</v>
      </c>
      <c r="C2261" s="2765" t="str">
        <f aca="false">инженерка!B402</f>
        <v>шт</v>
      </c>
      <c r="D2261" s="298" t="n">
        <f aca="false">инженерка!C402</f>
        <v>50</v>
      </c>
      <c r="E2261" s="298" t="n">
        <f aca="false">инженерка!D402</f>
        <v>300</v>
      </c>
      <c r="F2261" s="298"/>
      <c r="G2261" s="122" t="n">
        <f aca="false">IF(F2261&gt;0,D2261*F2261,E2261*D2261)</f>
        <v>15000</v>
      </c>
      <c r="H2261" s="85" t="n">
        <f aca="false">D2261*E2261*$H$2257</f>
        <v>0</v>
      </c>
      <c r="I2261" s="2784" t="n">
        <f aca="false">IF(G2261&gt;H2261,G2261,H2261)*$H$2256</f>
        <v>0</v>
      </c>
      <c r="J2261" s="2744"/>
      <c r="K2261" s="226" t="n">
        <f aca="false">D2261-J2261</f>
        <v>50</v>
      </c>
      <c r="L2261" s="2736"/>
    </row>
    <row r="2262" customFormat="false" ht="15.5" hidden="false" customHeight="false" outlineLevel="0" collapsed="false">
      <c r="A2262" s="2719"/>
      <c r="B2262" s="298" t="str">
        <f aca="false">инженерка!A403</f>
        <v>комплектующие для радиаторов</v>
      </c>
      <c r="C2262" s="2765" t="str">
        <f aca="false">инженерка!B403</f>
        <v>шт</v>
      </c>
      <c r="D2262" s="298" t="n">
        <f aca="false">инженерка!C403</f>
        <v>50</v>
      </c>
      <c r="E2262" s="298" t="n">
        <f aca="false">инженерка!D403</f>
        <v>250</v>
      </c>
      <c r="F2262" s="298"/>
      <c r="G2262" s="122" t="n">
        <f aca="false">IF(F2262&gt;0,D2262*F2262,E2262*D2262)</f>
        <v>12500</v>
      </c>
      <c r="H2262" s="85" t="n">
        <f aca="false">D2262*E2262*$H$2257</f>
        <v>0</v>
      </c>
      <c r="I2262" s="2784" t="n">
        <f aca="false">IF(G2262&gt;H2262,G2262,H2262)*$H$2256</f>
        <v>0</v>
      </c>
      <c r="J2262" s="2744"/>
      <c r="K2262" s="226" t="n">
        <f aca="false">D2262-J2262</f>
        <v>50</v>
      </c>
      <c r="L2262" s="2736"/>
    </row>
    <row r="2263" customFormat="false" ht="15.5" hidden="false" customHeight="false" outlineLevel="0" collapsed="false">
      <c r="A2263" s="2719"/>
      <c r="B2263" s="298" t="str">
        <f aca="false">инженерка!A404</f>
        <v>кран американка ду 25/32 для радиаторов</v>
      </c>
      <c r="C2263" s="2765" t="str">
        <f aca="false">инженерка!B404</f>
        <v>шт</v>
      </c>
      <c r="D2263" s="298" t="n">
        <f aca="false">инженерка!C404</f>
        <v>100</v>
      </c>
      <c r="E2263" s="298" t="n">
        <f aca="false">инженерка!D404</f>
        <v>300</v>
      </c>
      <c r="F2263" s="298"/>
      <c r="G2263" s="122" t="n">
        <f aca="false">IF(F2263&gt;0,D2263*F2263,E2263*D2263)</f>
        <v>30000</v>
      </c>
      <c r="H2263" s="85" t="n">
        <f aca="false">D2263*E2263*$H$2257</f>
        <v>0</v>
      </c>
      <c r="I2263" s="2784" t="n">
        <f aca="false">IF(G2263&gt;H2263,G2263,H2263)*$H$2256</f>
        <v>0</v>
      </c>
      <c r="J2263" s="2744"/>
      <c r="K2263" s="226" t="n">
        <f aca="false">D2263-J2263</f>
        <v>100</v>
      </c>
      <c r="L2263" s="2736"/>
    </row>
    <row r="2264" customFormat="false" ht="15.5" hidden="false" customHeight="false" outlineLevel="0" collapsed="false">
      <c r="A2264" s="2719"/>
      <c r="B2264" s="298" t="str">
        <f aca="false">инженерка!A405</f>
        <v>кран гайка/резьба ду 25/32</v>
      </c>
      <c r="C2264" s="2765" t="str">
        <f aca="false">инженерка!B405</f>
        <v>шт</v>
      </c>
      <c r="D2264" s="298" t="n">
        <f aca="false">инженерка!C405</f>
        <v>100</v>
      </c>
      <c r="E2264" s="298" t="n">
        <f aca="false">инженерка!D405</f>
        <v>200</v>
      </c>
      <c r="F2264" s="298"/>
      <c r="G2264" s="122" t="n">
        <f aca="false">IF(F2264&gt;0,D2264*F2264,E2264*D2264)</f>
        <v>20000</v>
      </c>
      <c r="H2264" s="85" t="n">
        <f aca="false">D2264*E2264*$H$2257</f>
        <v>0</v>
      </c>
      <c r="I2264" s="2784" t="n">
        <f aca="false">IF(G2264&gt;H2264,G2264,H2264)*$H$2256</f>
        <v>0</v>
      </c>
      <c r="J2264" s="2744"/>
      <c r="K2264" s="226" t="n">
        <f aca="false">D2264-J2264</f>
        <v>100</v>
      </c>
      <c r="L2264" s="2736"/>
    </row>
    <row r="2265" customFormat="false" ht="15.5" hidden="false" customHeight="false" outlineLevel="0" collapsed="false">
      <c r="A2265" s="2719"/>
      <c r="B2265" s="298" t="str">
        <f aca="false">инженерка!A406</f>
        <v>труба диам 20 вода</v>
      </c>
      <c r="C2265" s="2765" t="str">
        <f aca="false">инженерка!B406</f>
        <v>м.п.</v>
      </c>
      <c r="D2265" s="298" t="n">
        <f aca="false">инженерка!C406</f>
        <v>30</v>
      </c>
      <c r="E2265" s="298" t="n">
        <f aca="false">инженерка!D406</f>
        <v>36</v>
      </c>
      <c r="F2265" s="298"/>
      <c r="G2265" s="122" t="n">
        <f aca="false">IF(F2265&gt;0,D2265*F2265,E2265*D2265)</f>
        <v>1080</v>
      </c>
      <c r="H2265" s="85" t="n">
        <f aca="false">D2265*E2265*$H$2257</f>
        <v>0</v>
      </c>
      <c r="I2265" s="2784" t="n">
        <f aca="false">IF(G2265&gt;H2265,G2265,H2265)*$H$2256</f>
        <v>0</v>
      </c>
      <c r="J2265" s="2744"/>
      <c r="K2265" s="226" t="n">
        <f aca="false">D2265-J2265</f>
        <v>30</v>
      </c>
      <c r="L2265" s="2736"/>
    </row>
    <row r="2266" customFormat="false" ht="15.5" hidden="false" customHeight="false" outlineLevel="0" collapsed="false">
      <c r="A2266" s="2719"/>
      <c r="B2266" s="298" t="str">
        <f aca="false">инженерка!A407</f>
        <v>комплектующие для хол и гор водоснаб</v>
      </c>
      <c r="C2266" s="2765" t="str">
        <f aca="false">инженерка!B407</f>
        <v>шт</v>
      </c>
      <c r="D2266" s="298" t="n">
        <f aca="false">инженерка!C407</f>
        <v>1</v>
      </c>
      <c r="E2266" s="298" t="n">
        <f aca="false">инженерка!D407</f>
        <v>100</v>
      </c>
      <c r="F2266" s="298"/>
      <c r="G2266" s="122" t="n">
        <f aca="false">IF(F2266&gt;0,D2266*F2266,E2266*D2266)</f>
        <v>100</v>
      </c>
      <c r="H2266" s="85" t="n">
        <f aca="false">D2266*E2266*$H$2257</f>
        <v>0</v>
      </c>
      <c r="I2266" s="2784" t="n">
        <f aca="false">IF(G2266&gt;H2266,G2266,H2266)*$H$2256</f>
        <v>0</v>
      </c>
      <c r="J2266" s="2744"/>
      <c r="K2266" s="226" t="n">
        <f aca="false">D2266-J2266</f>
        <v>1</v>
      </c>
      <c r="L2266" s="2736"/>
    </row>
    <row r="2267" customFormat="false" ht="15.5" hidden="false" customHeight="false" outlineLevel="0" collapsed="false">
      <c r="A2267" s="2719"/>
      <c r="B2267" s="298" t="str">
        <f aca="false">инженерка!A408</f>
        <v>соеденители для трубы</v>
      </c>
      <c r="C2267" s="2765" t="str">
        <f aca="false">инженерка!B408</f>
        <v>шт</v>
      </c>
      <c r="D2267" s="298" t="n">
        <f aca="false">инженерка!C408</f>
        <v>10</v>
      </c>
      <c r="E2267" s="298" t="n">
        <f aca="false">инженерка!D408</f>
        <v>10</v>
      </c>
      <c r="F2267" s="298"/>
      <c r="G2267" s="122" t="n">
        <f aca="false">IF(F2267&gt;0,D2267*F2267,E2267*D2267)</f>
        <v>100</v>
      </c>
      <c r="H2267" s="85" t="n">
        <f aca="false">D2267*E2267*$H$2257</f>
        <v>0</v>
      </c>
      <c r="I2267" s="2784" t="n">
        <f aca="false">IF(G2267&gt;H2267,G2267,H2267)*$H$2256</f>
        <v>0</v>
      </c>
      <c r="J2267" s="2744"/>
      <c r="K2267" s="226" t="n">
        <f aca="false">D2267-J2267</f>
        <v>10</v>
      </c>
      <c r="L2267" s="2736"/>
    </row>
    <row r="2268" customFormat="false" ht="15.5" hidden="false" customHeight="false" outlineLevel="0" collapsed="false">
      <c r="A2268" s="2719"/>
      <c r="B2268" s="298" t="str">
        <f aca="false">инженерка!A409</f>
        <v>уголок 90 град</v>
      </c>
      <c r="C2268" s="2765" t="str">
        <f aca="false">инженерка!B409</f>
        <v>шт</v>
      </c>
      <c r="D2268" s="298" t="n">
        <f aca="false">инженерка!C409</f>
        <v>15</v>
      </c>
      <c r="E2268" s="298" t="n">
        <f aca="false">инженерка!D409</f>
        <v>10</v>
      </c>
      <c r="F2268" s="298"/>
      <c r="G2268" s="122" t="n">
        <f aca="false">IF(F2268&gt;0,D2268*F2268,E2268*D2268)</f>
        <v>150</v>
      </c>
      <c r="H2268" s="85" t="n">
        <f aca="false">D2268*E2268*$H$2257</f>
        <v>0</v>
      </c>
      <c r="I2268" s="2784" t="n">
        <f aca="false">IF(G2268&gt;H2268,G2268,H2268)*$H$2256</f>
        <v>0</v>
      </c>
      <c r="J2268" s="2744"/>
      <c r="K2268" s="226" t="n">
        <f aca="false">D2268-J2268</f>
        <v>15</v>
      </c>
      <c r="L2268" s="2736"/>
    </row>
    <row r="2269" customFormat="false" ht="15.5" hidden="false" customHeight="false" outlineLevel="0" collapsed="false">
      <c r="A2269" s="2719"/>
      <c r="B2269" s="2748" t="s">
        <v>4640</v>
      </c>
      <c r="C2269" s="2748"/>
      <c r="D2269" s="2748"/>
      <c r="E2269" s="2748"/>
      <c r="F2269" s="2748"/>
      <c r="G2269" s="2210" t="n">
        <f aca="false">SUM(G2258:G2268)*H2256</f>
        <v>0</v>
      </c>
      <c r="H2269" s="2210" t="n">
        <f aca="false">SUM(H2258:H2268)</f>
        <v>0</v>
      </c>
      <c r="I2269" s="2784" t="n">
        <f aca="false">IF(G2269&gt;H2269,G2269,H2269)*$H$2256</f>
        <v>0</v>
      </c>
      <c r="J2269" s="2744"/>
      <c r="K2269" s="226" t="n">
        <f aca="false">D2269-J2269</f>
        <v>0</v>
      </c>
      <c r="L2269" s="2736"/>
    </row>
    <row r="2270" customFormat="false" ht="15.5" hidden="false" customHeight="false" outlineLevel="0" collapsed="false">
      <c r="A2270" s="2719"/>
      <c r="B2270" s="2750" t="s">
        <v>1409</v>
      </c>
      <c r="C2270" s="2750"/>
      <c r="D2270" s="2750"/>
      <c r="E2270" s="2750"/>
      <c r="F2270" s="2750"/>
      <c r="G2270" s="905"/>
      <c r="H2270" s="2766" t="n">
        <f aca="false">H2256</f>
        <v>0</v>
      </c>
      <c r="I2270" s="2818" t="n">
        <f aca="false">H2270</f>
        <v>0</v>
      </c>
      <c r="J2270" s="2752"/>
      <c r="K2270" s="2753"/>
    </row>
    <row r="2271" customFormat="false" ht="15.5" hidden="false" customHeight="false" outlineLevel="0" collapsed="false">
      <c r="A2271" s="2712"/>
      <c r="B2271" s="2648" t="s">
        <v>1612</v>
      </c>
      <c r="C2271" s="6" t="s">
        <v>156</v>
      </c>
      <c r="D2271" s="298" t="n">
        <f aca="false">инженерка!I399</f>
        <v>180.8</v>
      </c>
      <c r="E2271" s="89" t="n">
        <f aca="false">инженерка!J399</f>
        <v>200</v>
      </c>
      <c r="F2271" s="89"/>
      <c r="G2271" s="122" t="n">
        <f aca="false">IF(F2271&gt;0,D2271*F2271,E2271*D2271)</f>
        <v>36160</v>
      </c>
      <c r="H2271" s="85" t="n">
        <f aca="false">D2271*E2271*$H$2270</f>
        <v>0</v>
      </c>
      <c r="I2271" s="2718" t="n">
        <f aca="false">IF(G2271&gt;H2271,G2271,H2271)*$H$2256</f>
        <v>0</v>
      </c>
      <c r="J2271" s="2712"/>
      <c r="K2271" s="2719"/>
    </row>
    <row r="2272" customFormat="false" ht="15.5" hidden="false" customHeight="false" outlineLevel="0" collapsed="false">
      <c r="A2272" s="2719"/>
      <c r="B2272" s="2648" t="s">
        <v>1613</v>
      </c>
      <c r="C2272" s="6" t="s">
        <v>159</v>
      </c>
      <c r="D2272" s="298" t="n">
        <f aca="false">инженерка!I400</f>
        <v>5</v>
      </c>
      <c r="E2272" s="89" t="n">
        <f aca="false">инженерка!J400</f>
        <v>1000</v>
      </c>
      <c r="F2272" s="89"/>
      <c r="G2272" s="122" t="n">
        <f aca="false">IF(F2272&gt;0,D2272*F2272,E2272*D2272)</f>
        <v>5000</v>
      </c>
      <c r="H2272" s="85" t="n">
        <f aca="false">D2272*E2272*$H$2270</f>
        <v>0</v>
      </c>
      <c r="I2272" s="2718" t="n">
        <f aca="false">IF(G2272&gt;H2272,G2272,H2272)*$H$2256</f>
        <v>0</v>
      </c>
      <c r="J2272" s="2712"/>
      <c r="K2272" s="2719"/>
    </row>
    <row r="2273" customFormat="false" ht="15.5" hidden="false" customHeight="false" outlineLevel="0" collapsed="false">
      <c r="A2273" s="2719"/>
      <c r="B2273" s="2648" t="s">
        <v>1612</v>
      </c>
      <c r="C2273" s="6" t="s">
        <v>156</v>
      </c>
      <c r="D2273" s="298" t="n">
        <f aca="false">инженерка!I401</f>
        <v>30</v>
      </c>
      <c r="E2273" s="89" t="n">
        <f aca="false">инженерка!J401</f>
        <v>200</v>
      </c>
      <c r="F2273" s="89"/>
      <c r="G2273" s="122" t="n">
        <f aca="false">IF(F2273&gt;0,D2273*F2273,E2273*D2273)</f>
        <v>6000</v>
      </c>
      <c r="H2273" s="85" t="n">
        <f aca="false">D2273*E2273*$H$2270</f>
        <v>0</v>
      </c>
      <c r="I2273" s="2718" t="n">
        <f aca="false">IF(G2273&gt;H2273,G2273,H2273)*$H$2256</f>
        <v>0</v>
      </c>
      <c r="J2273" s="2712"/>
      <c r="K2273" s="2719"/>
    </row>
    <row r="2274" customFormat="false" ht="15.5" hidden="false" customHeight="false" outlineLevel="0" collapsed="false">
      <c r="A2274" s="2719"/>
      <c r="B2274" s="2748" t="s">
        <v>4641</v>
      </c>
      <c r="C2274" s="2748"/>
      <c r="D2274" s="2748"/>
      <c r="E2274" s="2748"/>
      <c r="F2274" s="2748"/>
      <c r="G2274" s="2210" t="n">
        <f aca="false">SUM(G2271:G2273)*H2270</f>
        <v>0</v>
      </c>
      <c r="H2274" s="2210" t="n">
        <f aca="false">SUM(H2271:H2273)</f>
        <v>0</v>
      </c>
      <c r="I2274" s="2718" t="n">
        <f aca="false">IF(G2274&gt;H2274,G2274,H2274)*$H$2256</f>
        <v>0</v>
      </c>
      <c r="J2274" s="2712"/>
      <c r="K2274" s="2719"/>
    </row>
    <row r="2275" customFormat="false" ht="21" hidden="false" customHeight="false" outlineLevel="0" collapsed="false">
      <c r="A2275" s="2719"/>
      <c r="B2275" s="2762" t="s">
        <v>1171</v>
      </c>
      <c r="C2275" s="2762"/>
      <c r="D2275" s="2762"/>
      <c r="E2275" s="2762"/>
      <c r="F2275" s="2762"/>
      <c r="G2275" s="905"/>
      <c r="H2275" s="2774" t="n">
        <f aca="false">VLOOKUP('Ввод данных'!F1325,связи1!A2:B3,2,0)</f>
        <v>0</v>
      </c>
      <c r="I2275" s="2818" t="n">
        <f aca="false">H2275</f>
        <v>0</v>
      </c>
      <c r="J2275" s="2712"/>
      <c r="K2275" s="2719"/>
    </row>
    <row r="2276" customFormat="false" ht="15.5" hidden="false" customHeight="false" outlineLevel="0" collapsed="false">
      <c r="A2276" s="2712"/>
      <c r="B2276" s="2775" t="s">
        <v>2720</v>
      </c>
      <c r="C2276" s="2775"/>
      <c r="D2276" s="2775"/>
      <c r="E2276" s="2775"/>
      <c r="F2276" s="2775"/>
      <c r="G2276" s="905"/>
      <c r="H2276" s="2776" t="n">
        <f aca="false">H2275</f>
        <v>0</v>
      </c>
      <c r="I2276" s="2818" t="n">
        <f aca="false">H2276</f>
        <v>0</v>
      </c>
      <c r="J2276" s="2732"/>
      <c r="K2276" s="2733"/>
    </row>
    <row r="2277" customFormat="false" ht="15.5" hidden="false" customHeight="false" outlineLevel="0" collapsed="false">
      <c r="A2277" s="2712"/>
      <c r="B2277" s="298" t="str">
        <f aca="false">инженерка!A427</f>
        <v>насос малыш</v>
      </c>
      <c r="C2277" s="2765" t="str">
        <f aca="false">инженерка!B427</f>
        <v>шт</v>
      </c>
      <c r="D2277" s="298" t="n">
        <f aca="false">инженерка!C427</f>
        <v>1</v>
      </c>
      <c r="E2277" s="298" t="n">
        <f aca="false">инженерка!D427</f>
        <v>2500</v>
      </c>
      <c r="F2277" s="298"/>
      <c r="G2277" s="122" t="n">
        <f aca="false">IF(F2277&gt;0,D2277*F2277,E2277*D2277)</f>
        <v>2500</v>
      </c>
      <c r="H2277" s="2210" t="n">
        <f aca="false">D2277*E2277*$H$2276</f>
        <v>0</v>
      </c>
      <c r="I2277" s="2784" t="n">
        <f aca="false">IF(G2277&gt;H2277,G2277,H2277)*$H$2275</f>
        <v>0</v>
      </c>
      <c r="J2277" s="2744"/>
      <c r="K2277" s="226" t="n">
        <f aca="false">D2277-J2277</f>
        <v>1</v>
      </c>
      <c r="L2277" s="2736"/>
    </row>
    <row r="2278" customFormat="false" ht="15.5" hidden="false" customHeight="false" outlineLevel="0" collapsed="false">
      <c r="A2278" s="2719"/>
      <c r="B2278" s="298" t="str">
        <f aca="false">инженерка!A428</f>
        <v>шланг для насоса</v>
      </c>
      <c r="C2278" s="2765" t="str">
        <f aca="false">инженерка!B428</f>
        <v>м.п.</v>
      </c>
      <c r="D2278" s="298" t="n">
        <f aca="false">инженерка!C428</f>
        <v>72</v>
      </c>
      <c r="E2278" s="298" t="n">
        <f aca="false">инженерка!D428</f>
        <v>19</v>
      </c>
      <c r="F2278" s="298"/>
      <c r="G2278" s="122" t="n">
        <f aca="false">IF(F2278&gt;0,D2278*F2278,E2278*D2278)</f>
        <v>1368</v>
      </c>
      <c r="H2278" s="2210" t="n">
        <f aca="false">D2278*E2278*$H$2276</f>
        <v>0</v>
      </c>
      <c r="I2278" s="2784" t="n">
        <f aca="false">IF(G2278&gt;H2278,G2278,H2278)*$H$2275</f>
        <v>0</v>
      </c>
      <c r="J2278" s="2744"/>
      <c r="K2278" s="226" t="n">
        <f aca="false">D2278-J2278</f>
        <v>72</v>
      </c>
      <c r="L2278" s="2736"/>
    </row>
    <row r="2279" customFormat="false" ht="15.5" hidden="false" customHeight="false" outlineLevel="0" collapsed="false">
      <c r="A2279" s="2719"/>
      <c r="B2279" s="298" t="str">
        <f aca="false">инженерка!A429</f>
        <v>тросик для насоса</v>
      </c>
      <c r="C2279" s="2765" t="str">
        <f aca="false">инженерка!B429</f>
        <v>м.п.</v>
      </c>
      <c r="D2279" s="298" t="n">
        <f aca="false">инженерка!C429</f>
        <v>72</v>
      </c>
      <c r="E2279" s="298" t="n">
        <f aca="false">инженерка!D429</f>
        <v>5</v>
      </c>
      <c r="F2279" s="298"/>
      <c r="G2279" s="122" t="n">
        <f aca="false">IF(F2279&gt;0,D2279*F2279,E2279*D2279)</f>
        <v>360</v>
      </c>
      <c r="H2279" s="2210" t="n">
        <f aca="false">D2279*E2279*$H$2276</f>
        <v>0</v>
      </c>
      <c r="I2279" s="2784" t="n">
        <f aca="false">IF(G2279&gt;H2279,G2279,H2279)*$H$2275</f>
        <v>0</v>
      </c>
      <c r="J2279" s="2744"/>
      <c r="K2279" s="226" t="n">
        <f aca="false">D2279-J2279</f>
        <v>72</v>
      </c>
      <c r="L2279" s="2736"/>
    </row>
    <row r="2280" customFormat="false" ht="15.5" hidden="false" customHeight="false" outlineLevel="0" collapsed="false">
      <c r="A2280" s="2719"/>
      <c r="B2280" s="298" t="str">
        <f aca="false">инженерка!A430</f>
        <v>изолента</v>
      </c>
      <c r="C2280" s="2765" t="str">
        <f aca="false">инженерка!B430</f>
        <v>рул</v>
      </c>
      <c r="D2280" s="298" t="n">
        <f aca="false">инженерка!C430</f>
        <v>1</v>
      </c>
      <c r="E2280" s="298" t="n">
        <f aca="false">инженерка!D430</f>
        <v>100</v>
      </c>
      <c r="F2280" s="298"/>
      <c r="G2280" s="122" t="n">
        <f aca="false">IF(F2280&gt;0,D2280*F2280,E2280*D2280)</f>
        <v>100</v>
      </c>
      <c r="H2280" s="2210" t="n">
        <f aca="false">D2280*E2280*$H$2276</f>
        <v>0</v>
      </c>
      <c r="I2280" s="2784" t="n">
        <f aca="false">IF(G2280&gt;H2280,G2280,H2280)*$H$2275</f>
        <v>0</v>
      </c>
      <c r="J2280" s="2744"/>
      <c r="K2280" s="226" t="n">
        <f aca="false">D2280-J2280</f>
        <v>1</v>
      </c>
      <c r="L2280" s="2736"/>
    </row>
    <row r="2281" customFormat="false" ht="15.5" hidden="false" customHeight="false" outlineLevel="0" collapsed="false">
      <c r="A2281" s="2719"/>
      <c r="B2281" s="298" t="str">
        <f aca="false">инженерка!A431</f>
        <v>гидроаккумулятор, 80л</v>
      </c>
      <c r="C2281" s="2765" t="str">
        <f aca="false">инженерка!B431</f>
        <v>шт</v>
      </c>
      <c r="D2281" s="298" t="n">
        <f aca="false">инженерка!C431</f>
        <v>1</v>
      </c>
      <c r="E2281" s="298" t="n">
        <f aca="false">инженерка!D431</f>
        <v>8000</v>
      </c>
      <c r="F2281" s="298"/>
      <c r="G2281" s="122" t="n">
        <f aca="false">IF(F2281&gt;0,D2281*F2281,E2281*D2281)</f>
        <v>8000</v>
      </c>
      <c r="H2281" s="2210" t="n">
        <f aca="false">D2281*E2281*$H$2276</f>
        <v>0</v>
      </c>
      <c r="I2281" s="2784" t="n">
        <f aca="false">IF(G2281&gt;H2281,G2281,H2281)*$H$2275</f>
        <v>0</v>
      </c>
      <c r="J2281" s="2744"/>
      <c r="K2281" s="226" t="n">
        <f aca="false">D2281-J2281</f>
        <v>1</v>
      </c>
      <c r="L2281" s="2736"/>
    </row>
    <row r="2282" customFormat="false" ht="15.5" hidden="false" customHeight="false" outlineLevel="0" collapsed="false">
      <c r="A2282" s="2719"/>
      <c r="B2282" s="298" t="str">
        <f aca="false">инженерка!A432</f>
        <v>автоматика</v>
      </c>
      <c r="C2282" s="2765" t="str">
        <f aca="false">инженерка!B432</f>
        <v>шт</v>
      </c>
      <c r="D2282" s="298" t="n">
        <f aca="false">инженерка!C432</f>
        <v>1</v>
      </c>
      <c r="E2282" s="298" t="n">
        <f aca="false">инженерка!D432</f>
        <v>10000</v>
      </c>
      <c r="F2282" s="298"/>
      <c r="G2282" s="122" t="n">
        <f aca="false">IF(F2282&gt;0,D2282*F2282,E2282*D2282)</f>
        <v>10000</v>
      </c>
      <c r="H2282" s="2210" t="n">
        <f aca="false">D2282*E2282*$H$2276</f>
        <v>0</v>
      </c>
      <c r="I2282" s="2784" t="n">
        <f aca="false">IF(G2282&gt;H2282,G2282,H2282)*$H$2275</f>
        <v>0</v>
      </c>
      <c r="J2282" s="2744"/>
      <c r="K2282" s="226" t="n">
        <f aca="false">D2282-J2282</f>
        <v>1</v>
      </c>
      <c r="L2282" s="2736"/>
    </row>
    <row r="2283" customFormat="false" ht="15.5" hidden="false" customHeight="false" outlineLevel="0" collapsed="false">
      <c r="A2283" s="2719"/>
      <c r="B2283" s="298" t="str">
        <f aca="false">инженерка!A433</f>
        <v>пнд труба</v>
      </c>
      <c r="C2283" s="2765" t="str">
        <f aca="false">инженерка!B433</f>
        <v>м.п.</v>
      </c>
      <c r="D2283" s="298" t="n">
        <f aca="false">инженерка!C433</f>
        <v>72</v>
      </c>
      <c r="E2283" s="298" t="n">
        <f aca="false">инженерка!D433</f>
        <v>35</v>
      </c>
      <c r="F2283" s="298"/>
      <c r="G2283" s="122" t="n">
        <f aca="false">IF(F2283&gt;0,D2283*F2283,E2283*D2283)</f>
        <v>2520</v>
      </c>
      <c r="H2283" s="2210" t="n">
        <f aca="false">D2283*E2283*$H$2276</f>
        <v>0</v>
      </c>
      <c r="I2283" s="2784" t="n">
        <f aca="false">IF(G2283&gt;H2283,G2283,H2283)*$H$2275</f>
        <v>0</v>
      </c>
      <c r="J2283" s="2744"/>
      <c r="K2283" s="226" t="n">
        <f aca="false">D2283-J2283</f>
        <v>72</v>
      </c>
      <c r="L2283" s="2736"/>
    </row>
    <row r="2284" customFormat="false" ht="15.5" hidden="false" customHeight="false" outlineLevel="0" collapsed="false">
      <c r="A2284" s="2719"/>
      <c r="B2284" s="298" t="str">
        <f aca="false">инженерка!A434</f>
        <v>скорлупа утепления двойная</v>
      </c>
      <c r="C2284" s="2765" t="str">
        <f aca="false">инженерка!B434</f>
        <v>м.п.</v>
      </c>
      <c r="D2284" s="298" t="n">
        <f aca="false">инженерка!C434</f>
        <v>10</v>
      </c>
      <c r="E2284" s="298" t="n">
        <f aca="false">инженерка!D434</f>
        <v>500</v>
      </c>
      <c r="F2284" s="298"/>
      <c r="G2284" s="122" t="n">
        <f aca="false">IF(F2284&gt;0,D2284*F2284,E2284*D2284)</f>
        <v>5000</v>
      </c>
      <c r="H2284" s="2210" t="n">
        <f aca="false">D2284*E2284*$H$2276</f>
        <v>0</v>
      </c>
      <c r="I2284" s="2784" t="n">
        <f aca="false">IF(G2284&gt;H2284,G2284,H2284)*$H$2275</f>
        <v>0</v>
      </c>
      <c r="J2284" s="2744"/>
      <c r="K2284" s="226" t="n">
        <f aca="false">D2284-J2284</f>
        <v>10</v>
      </c>
      <c r="L2284" s="2736"/>
    </row>
    <row r="2285" customFormat="false" ht="15.5" hidden="false" customHeight="false" outlineLevel="0" collapsed="false">
      <c r="A2285" s="2719"/>
      <c r="B2285" s="298" t="str">
        <f aca="false">инженерка!A435</f>
        <v>скважинный адаптер</v>
      </c>
      <c r="C2285" s="2765" t="str">
        <f aca="false">инженерка!B435</f>
        <v>шт</v>
      </c>
      <c r="D2285" s="298" t="n">
        <f aca="false">инженерка!C435</f>
        <v>1</v>
      </c>
      <c r="E2285" s="298" t="n">
        <f aca="false">инженерка!D435</f>
        <v>3000</v>
      </c>
      <c r="F2285" s="298"/>
      <c r="G2285" s="122" t="n">
        <f aca="false">IF(F2285&gt;0,D2285*F2285,E2285*D2285)</f>
        <v>3000</v>
      </c>
      <c r="H2285" s="2210" t="n">
        <f aca="false">D2285*E2285*$H$2276</f>
        <v>0</v>
      </c>
      <c r="I2285" s="2784" t="n">
        <f aca="false">IF(G2285&gt;H2285,G2285,H2285)*$H$2275</f>
        <v>0</v>
      </c>
      <c r="J2285" s="2744"/>
      <c r="K2285" s="226" t="n">
        <f aca="false">D2285-J2285</f>
        <v>1</v>
      </c>
      <c r="L2285" s="2736"/>
    </row>
    <row r="2286" customFormat="false" ht="15.5" hidden="false" customHeight="false" outlineLevel="0" collapsed="false">
      <c r="A2286" s="2719"/>
      <c r="B2286" s="2748" t="s">
        <v>4640</v>
      </c>
      <c r="C2286" s="2748"/>
      <c r="D2286" s="2748"/>
      <c r="E2286" s="2748"/>
      <c r="F2286" s="2748"/>
      <c r="G2286" s="2210" t="n">
        <f aca="false">SUM(G2277:G2285)*H2275</f>
        <v>0</v>
      </c>
      <c r="H2286" s="2210" t="n">
        <f aca="false">SUM(H2277:H2285)</f>
        <v>0</v>
      </c>
      <c r="I2286" s="2784" t="n">
        <f aca="false">IF(G2286&gt;H2286,G2286,H2286)*$H$2275</f>
        <v>0</v>
      </c>
      <c r="J2286" s="2744"/>
      <c r="K2286" s="226" t="n">
        <f aca="false">D2286-J2286</f>
        <v>0</v>
      </c>
      <c r="L2286" s="2736"/>
    </row>
    <row r="2287" customFormat="false" ht="15.5" hidden="false" customHeight="false" outlineLevel="0" collapsed="false">
      <c r="A2287" s="2719"/>
      <c r="B2287" s="2750" t="s">
        <v>1409</v>
      </c>
      <c r="C2287" s="2750"/>
      <c r="D2287" s="2750"/>
      <c r="E2287" s="2750"/>
      <c r="F2287" s="2750"/>
      <c r="G2287" s="905"/>
      <c r="H2287" s="2766" t="n">
        <f aca="false">H2275</f>
        <v>0</v>
      </c>
      <c r="I2287" s="2818" t="n">
        <f aca="false">H2287</f>
        <v>0</v>
      </c>
      <c r="J2287" s="2752"/>
      <c r="K2287" s="2753"/>
    </row>
    <row r="2288" customFormat="false" ht="15.5" hidden="false" customHeight="false" outlineLevel="0" collapsed="false">
      <c r="A2288" s="2712"/>
      <c r="B2288" s="2648" t="s">
        <v>1615</v>
      </c>
      <c r="C2288" s="6" t="s">
        <v>159</v>
      </c>
      <c r="D2288" s="298" t="n">
        <f aca="false">инженерка!I427</f>
        <v>1</v>
      </c>
      <c r="E2288" s="89" t="n">
        <f aca="false">инженерка!J427</f>
        <v>1500</v>
      </c>
      <c r="F2288" s="89"/>
      <c r="G2288" s="122" t="n">
        <f aca="false">IF(F2288&gt;0,D2288*F2288,E2288*D2288)</f>
        <v>1500</v>
      </c>
      <c r="H2288" s="2210" t="n">
        <f aca="false">D2288*E2288*$H$2287</f>
        <v>0</v>
      </c>
      <c r="I2288" s="2718" t="n">
        <f aca="false">IF(G2288&gt;H2288,G2288,H2288)*$H$2275</f>
        <v>0</v>
      </c>
      <c r="J2288" s="2712"/>
      <c r="K2288" s="2719"/>
    </row>
    <row r="2289" customFormat="false" ht="15.5" hidden="false" customHeight="false" outlineLevel="0" collapsed="false">
      <c r="A2289" s="2719"/>
      <c r="B2289" s="2648" t="s">
        <v>1616</v>
      </c>
      <c r="C2289" s="6" t="s">
        <v>159</v>
      </c>
      <c r="D2289" s="298" t="n">
        <f aca="false">инженерка!I428</f>
        <v>1</v>
      </c>
      <c r="E2289" s="89" t="n">
        <f aca="false">инженерка!J428</f>
        <v>1500</v>
      </c>
      <c r="F2289" s="89"/>
      <c r="G2289" s="122" t="n">
        <f aca="false">IF(F2289&gt;0,D2289*F2289,E2289*D2289)</f>
        <v>1500</v>
      </c>
      <c r="H2289" s="2210" t="n">
        <f aca="false">D2289*E2289*$H$2287</f>
        <v>0</v>
      </c>
      <c r="I2289" s="2718" t="n">
        <f aca="false">IF(G2289&gt;H2289,G2289,H2289)*$H$2275</f>
        <v>0</v>
      </c>
      <c r="J2289" s="2712"/>
      <c r="K2289" s="2719"/>
    </row>
    <row r="2290" customFormat="false" ht="15.5" hidden="false" customHeight="false" outlineLevel="0" collapsed="false">
      <c r="A2290" s="2719"/>
      <c r="B2290" s="2648" t="s">
        <v>4609</v>
      </c>
      <c r="C2290" s="6" t="s">
        <v>159</v>
      </c>
      <c r="D2290" s="298" t="n">
        <f aca="false">инженерка!I429</f>
        <v>1</v>
      </c>
      <c r="E2290" s="89" t="n">
        <f aca="false">инженерка!J429</f>
        <v>3000</v>
      </c>
      <c r="F2290" s="89"/>
      <c r="G2290" s="122" t="n">
        <f aca="false">IF(F2290&gt;0,D2290*F2290,E2290*D2290)</f>
        <v>3000</v>
      </c>
      <c r="H2290" s="2210" t="n">
        <f aca="false">D2290*E2290*$H$2287</f>
        <v>0</v>
      </c>
      <c r="I2290" s="2718" t="n">
        <f aca="false">IF(G2290&gt;H2290,G2290,H2290)*$H$2275</f>
        <v>0</v>
      </c>
      <c r="J2290" s="2712"/>
      <c r="K2290" s="2719"/>
    </row>
    <row r="2291" customFormat="false" ht="15.5" hidden="false" customHeight="false" outlineLevel="0" collapsed="false">
      <c r="A2291" s="2719"/>
      <c r="B2291" s="2648" t="s">
        <v>4610</v>
      </c>
      <c r="C2291" s="6" t="s">
        <v>159</v>
      </c>
      <c r="D2291" s="298" t="n">
        <f aca="false">инженерка!I430</f>
        <v>1</v>
      </c>
      <c r="E2291" s="89" t="n">
        <f aca="false">инженерка!J430</f>
        <v>2500</v>
      </c>
      <c r="F2291" s="89"/>
      <c r="G2291" s="122" t="n">
        <f aca="false">IF(F2291&gt;0,D2291*F2291,E2291*D2291)</f>
        <v>2500</v>
      </c>
      <c r="H2291" s="2210" t="n">
        <f aca="false">D2291*E2291*$H$2287</f>
        <v>0</v>
      </c>
      <c r="I2291" s="2718" t="n">
        <f aca="false">IF(G2291&gt;H2291,G2291,H2291)*$H$2275</f>
        <v>0</v>
      </c>
      <c r="L2291" s="878"/>
      <c r="M2291" s="878"/>
    </row>
    <row r="2292" customFormat="false" ht="15.5" hidden="false" customHeight="false" outlineLevel="0" collapsed="false">
      <c r="A2292" s="2719"/>
      <c r="B2292" s="2648" t="s">
        <v>1619</v>
      </c>
      <c r="C2292" s="6" t="s">
        <v>159</v>
      </c>
      <c r="D2292" s="298" t="n">
        <f aca="false">инженерка!I431</f>
        <v>1</v>
      </c>
      <c r="E2292" s="89" t="n">
        <f aca="false">инженерка!J431</f>
        <v>4000</v>
      </c>
      <c r="F2292" s="89"/>
      <c r="G2292" s="122" t="n">
        <f aca="false">IF(F2292&gt;0,D2292*F2292,E2292*D2292)</f>
        <v>4000</v>
      </c>
      <c r="H2292" s="2210" t="n">
        <f aca="false">D2292*E2292*$H$2287</f>
        <v>0</v>
      </c>
      <c r="I2292" s="2718" t="n">
        <f aca="false">IF(G2292&gt;H2292,G2292,H2292)*$H$2275</f>
        <v>0</v>
      </c>
      <c r="L2292" s="878"/>
      <c r="M2292" s="878"/>
    </row>
    <row r="2293" customFormat="false" ht="15.5" hidden="false" customHeight="false" outlineLevel="0" collapsed="false">
      <c r="A2293" s="2719"/>
      <c r="B2293" s="2648" t="s">
        <v>4611</v>
      </c>
      <c r="C2293" s="6" t="s">
        <v>156</v>
      </c>
      <c r="D2293" s="298" t="n">
        <f aca="false">инженерка!I432</f>
        <v>10</v>
      </c>
      <c r="E2293" s="89" t="n">
        <f aca="false">инженерка!J432</f>
        <v>500</v>
      </c>
      <c r="F2293" s="89"/>
      <c r="G2293" s="122" t="n">
        <f aca="false">IF(F2293&gt;0,D2293*F2293,E2293*D2293)</f>
        <v>5000</v>
      </c>
      <c r="H2293" s="2210" t="n">
        <f aca="false">D2293*E2293*$H$2287</f>
        <v>0</v>
      </c>
      <c r="I2293" s="2718" t="n">
        <f aca="false">IF(G2293&gt;H2293,G2293,H2293)*$H$2275</f>
        <v>0</v>
      </c>
      <c r="L2293" s="878"/>
      <c r="M2293" s="878"/>
    </row>
    <row r="2294" customFormat="false" ht="15.5" hidden="false" customHeight="false" outlineLevel="0" collapsed="false">
      <c r="A2294" s="2719"/>
      <c r="B2294" s="2748" t="s">
        <v>4641</v>
      </c>
      <c r="C2294" s="2748"/>
      <c r="D2294" s="2748"/>
      <c r="E2294" s="2748"/>
      <c r="F2294" s="2748"/>
      <c r="G2294" s="2210" t="n">
        <f aca="false">SUM(G2288:G2293)*H2287</f>
        <v>0</v>
      </c>
      <c r="H2294" s="2210" t="n">
        <f aca="false">SUM(H2288:H2293)</f>
        <v>0</v>
      </c>
      <c r="I2294" s="2718" t="n">
        <f aca="false">IF(G2294&gt;H2294,G2294,H2294)*$H$2275</f>
        <v>0</v>
      </c>
      <c r="L2294" s="878"/>
      <c r="M2294" s="878"/>
    </row>
    <row r="2295" customFormat="false" ht="21" hidden="false" customHeight="false" outlineLevel="0" collapsed="false">
      <c r="A2295" s="2719"/>
      <c r="B2295" s="2762" t="s">
        <v>1092</v>
      </c>
      <c r="C2295" s="2762"/>
      <c r="D2295" s="2762"/>
      <c r="E2295" s="2762"/>
      <c r="F2295" s="2782"/>
      <c r="G2295" s="905"/>
      <c r="H2295" s="2774" t="n">
        <f aca="false">VLOOKUP('Ввод данных'!F1352,связи1!A2:B3,2,0)</f>
        <v>0</v>
      </c>
      <c r="I2295" s="2818" t="n">
        <f aca="false">H2295</f>
        <v>0</v>
      </c>
      <c r="L2295" s="878"/>
      <c r="M2295" s="878"/>
    </row>
    <row r="2296" customFormat="false" ht="15.5" hidden="false" customHeight="false" outlineLevel="0" collapsed="false">
      <c r="A2296" s="2712"/>
      <c r="B2296" s="2775" t="s">
        <v>2720</v>
      </c>
      <c r="C2296" s="2775"/>
      <c r="D2296" s="2775"/>
      <c r="E2296" s="2775"/>
      <c r="F2296" s="2783"/>
      <c r="G2296" s="905"/>
      <c r="H2296" s="2776" t="n">
        <f aca="false">H2295</f>
        <v>0</v>
      </c>
      <c r="I2296" s="2818" t="n">
        <f aca="false">H2296</f>
        <v>0</v>
      </c>
      <c r="L2296" s="878"/>
      <c r="M2296" s="878"/>
    </row>
    <row r="2297" customFormat="false" ht="15.5" hidden="false" customHeight="false" outlineLevel="0" collapsed="false">
      <c r="A2297" s="2712"/>
      <c r="B2297" s="298" t="str">
        <f aca="false">инженерка!A464</f>
        <v>дно бетонное, диаметр 1,5м.п.</v>
      </c>
      <c r="C2297" s="2765" t="str">
        <f aca="false">инженерка!B464</f>
        <v>шт</v>
      </c>
      <c r="D2297" s="298" t="n">
        <f aca="false">инженерка!C464</f>
        <v>1</v>
      </c>
      <c r="E2297" s="177" t="n">
        <f aca="false">инженерка!D464</f>
        <v>2000</v>
      </c>
      <c r="F2297" s="177"/>
      <c r="G2297" s="122" t="n">
        <f aca="false">IF(F2297&gt;0,D2297*F2297,E2297*D2297)</f>
        <v>2000</v>
      </c>
      <c r="H2297" s="2210" t="n">
        <f aca="false">D2297*E2297*$H$2296</f>
        <v>0</v>
      </c>
      <c r="I2297" s="2784" t="n">
        <f aca="false">IF(G2297&gt;H2297,G2297,H2297)*$H$2295</f>
        <v>0</v>
      </c>
      <c r="J2297" s="2744"/>
      <c r="K2297" s="226" t="n">
        <f aca="false">D2297-J2297</f>
        <v>1</v>
      </c>
      <c r="L2297" s="878"/>
      <c r="M2297" s="878"/>
    </row>
    <row r="2298" customFormat="false" ht="15.5" hidden="false" customHeight="false" outlineLevel="0" collapsed="false">
      <c r="A2298" s="2719"/>
      <c r="B2298" s="298" t="str">
        <f aca="false">инженерка!A465</f>
        <v>кольцо бетонное, диаметр 1,5м.п.</v>
      </c>
      <c r="C2298" s="2765" t="str">
        <f aca="false">инженерка!B465</f>
        <v>шт</v>
      </c>
      <c r="D2298" s="298" t="n">
        <f aca="false">инженерка!C465</f>
        <v>3</v>
      </c>
      <c r="E2298" s="177" t="n">
        <f aca="false">инженерка!D465</f>
        <v>2800</v>
      </c>
      <c r="F2298" s="177"/>
      <c r="G2298" s="122" t="n">
        <f aca="false">IF(F2298&gt;0,D2298*F2298,E2298*D2298)</f>
        <v>8400</v>
      </c>
      <c r="H2298" s="2210" t="n">
        <f aca="false">D2298*E2298*$H$2296</f>
        <v>0</v>
      </c>
      <c r="I2298" s="2784" t="n">
        <f aca="false">IF(G2298&gt;H2298,G2298,H2298)*$H$2295</f>
        <v>0</v>
      </c>
      <c r="J2298" s="2744"/>
      <c r="K2298" s="226" t="n">
        <f aca="false">D2298-J2298</f>
        <v>3</v>
      </c>
      <c r="L2298" s="878"/>
      <c r="M2298" s="878"/>
    </row>
    <row r="2299" customFormat="false" ht="15.5" hidden="false" customHeight="false" outlineLevel="0" collapsed="false">
      <c r="A2299" s="2719"/>
      <c r="B2299" s="298" t="str">
        <f aca="false">инженерка!A466</f>
        <v>крышка бетонная, диаметр 1,5м.п.</v>
      </c>
      <c r="C2299" s="2765" t="str">
        <f aca="false">инженерка!B466</f>
        <v>шт</v>
      </c>
      <c r="D2299" s="298" t="n">
        <f aca="false">инженерка!C466</f>
        <v>1</v>
      </c>
      <c r="E2299" s="177" t="n">
        <f aca="false">инженерка!D466</f>
        <v>4000</v>
      </c>
      <c r="F2299" s="177"/>
      <c r="G2299" s="122" t="n">
        <f aca="false">IF(F2299&gt;0,D2299*F2299,E2299*D2299)</f>
        <v>4000</v>
      </c>
      <c r="H2299" s="2210" t="n">
        <f aca="false">D2299*E2299*$H$2296</f>
        <v>0</v>
      </c>
      <c r="I2299" s="2784" t="n">
        <f aca="false">IF(G2299&gt;H2299,G2299,H2299)*$H$2295</f>
        <v>0</v>
      </c>
      <c r="J2299" s="2744"/>
      <c r="K2299" s="226" t="n">
        <f aca="false">D2299-J2299</f>
        <v>1</v>
      </c>
      <c r="L2299" s="878"/>
      <c r="M2299" s="878"/>
    </row>
    <row r="2300" customFormat="false" ht="15.5" hidden="false" customHeight="false" outlineLevel="0" collapsed="false">
      <c r="A2300" s="2719"/>
      <c r="B2300" s="298" t="str">
        <f aca="false">инженерка!A467</f>
        <v>Нет люка для крышки</v>
      </c>
      <c r="C2300" s="2765" t="str">
        <f aca="false">инженерка!B467</f>
        <v>шт</v>
      </c>
      <c r="D2300" s="298" t="n">
        <f aca="false">инженерка!C467</f>
        <v>0</v>
      </c>
      <c r="E2300" s="298" t="n">
        <f aca="false">инженерка!D467</f>
        <v>0</v>
      </c>
      <c r="F2300" s="298"/>
      <c r="G2300" s="122" t="n">
        <f aca="false">IF(F2300&gt;0,D2300*F2300,E2300*D2300)</f>
        <v>0</v>
      </c>
      <c r="H2300" s="2210" t="n">
        <f aca="false">D2300*E2300*$H$2296</f>
        <v>0</v>
      </c>
      <c r="I2300" s="2784" t="n">
        <f aca="false">IF(G2300&gt;H2300,G2300,H2300)*$H$2295</f>
        <v>0</v>
      </c>
      <c r="J2300" s="2744"/>
      <c r="K2300" s="226" t="n">
        <f aca="false">D2300-J2300</f>
        <v>0</v>
      </c>
      <c r="L2300" s="2736"/>
    </row>
    <row r="2301" customFormat="false" ht="15.5" hidden="false" customHeight="false" outlineLevel="0" collapsed="false">
      <c r="A2301" s="2719"/>
      <c r="B2301" s="298" t="str">
        <f aca="false">инженерка!A468</f>
        <v>Горловина для септика бетонная</v>
      </c>
      <c r="C2301" s="2765" t="str">
        <f aca="false">инженерка!B468</f>
        <v>шт</v>
      </c>
      <c r="D2301" s="298" t="n">
        <f aca="false">инженерка!C468</f>
        <v>1</v>
      </c>
      <c r="E2301" s="177" t="n">
        <f aca="false">инженерка!D468</f>
        <v>1000</v>
      </c>
      <c r="F2301" s="177"/>
      <c r="G2301" s="122" t="n">
        <f aca="false">IF(F2301&gt;0,D2301*F2301,E2301*D2301)</f>
        <v>1000</v>
      </c>
      <c r="H2301" s="2210" t="n">
        <f aca="false">D2301*E2301*$H$2296</f>
        <v>0</v>
      </c>
      <c r="I2301" s="2784" t="n">
        <f aca="false">IF(G2301&gt;H2301,G2301,H2301)*$H$2295</f>
        <v>0</v>
      </c>
      <c r="J2301" s="2744"/>
      <c r="K2301" s="226" t="n">
        <f aca="false">D2301-J2301</f>
        <v>1</v>
      </c>
      <c r="L2301" s="2736"/>
    </row>
    <row r="2302" customFormat="false" ht="15.5" hidden="false" customHeight="false" outlineLevel="0" collapsed="false">
      <c r="A2302" s="2719"/>
      <c r="B2302" s="298" t="str">
        <f aca="false">инженерка!A469</f>
        <v>Труба канализационная D110</v>
      </c>
      <c r="C2302" s="2765" t="str">
        <f aca="false">инженерка!B469</f>
        <v>м.п.</v>
      </c>
      <c r="D2302" s="298" t="n">
        <f aca="false">инженерка!C469</f>
        <v>10</v>
      </c>
      <c r="E2302" s="177" t="n">
        <f aca="false">инженерка!D469</f>
        <v>70</v>
      </c>
      <c r="F2302" s="177"/>
      <c r="G2302" s="122" t="n">
        <f aca="false">IF(F2302&gt;0,D2302*F2302,E2302*D2302)</f>
        <v>700</v>
      </c>
      <c r="H2302" s="2210" t="n">
        <f aca="false">D2302*E2302*$H$2296</f>
        <v>0</v>
      </c>
      <c r="I2302" s="2784" t="n">
        <f aca="false">IF(G2302&gt;H2302,G2302,H2302)*$H$2295</f>
        <v>0</v>
      </c>
      <c r="J2302" s="2744"/>
      <c r="K2302" s="226" t="n">
        <f aca="false">D2302-J2302</f>
        <v>10</v>
      </c>
      <c r="L2302" s="2736"/>
    </row>
    <row r="2303" customFormat="false" ht="15.5" hidden="false" customHeight="false" outlineLevel="0" collapsed="false">
      <c r="A2303" s="2719"/>
      <c r="B2303" s="298" t="str">
        <f aca="false">инженерка!A470</f>
        <v>утепление для канализационной трубы</v>
      </c>
      <c r="C2303" s="2765" t="str">
        <f aca="false">инженерка!B470</f>
        <v>м.п.</v>
      </c>
      <c r="D2303" s="298" t="n">
        <f aca="false">инженерка!C470</f>
        <v>8</v>
      </c>
      <c r="E2303" s="177" t="n">
        <f aca="false">инженерка!D470</f>
        <v>300</v>
      </c>
      <c r="F2303" s="177"/>
      <c r="G2303" s="122" t="n">
        <f aca="false">IF(F2303&gt;0,D2303*F2303,E2303*D2303)</f>
        <v>2400</v>
      </c>
      <c r="H2303" s="2210" t="n">
        <f aca="false">D2303*E2303*$H$2296</f>
        <v>0</v>
      </c>
      <c r="I2303" s="2784" t="n">
        <f aca="false">IF(G2303&gt;H2303,G2303,H2303)*$H$2295</f>
        <v>0</v>
      </c>
      <c r="J2303" s="2744"/>
      <c r="K2303" s="226" t="n">
        <f aca="false">D2303-J2303</f>
        <v>8</v>
      </c>
      <c r="L2303" s="2736"/>
    </row>
    <row r="2304" customFormat="false" ht="15.5" hidden="false" customHeight="false" outlineLevel="0" collapsed="false">
      <c r="A2304" s="2719"/>
      <c r="B2304" s="298" t="str">
        <f aca="false">инженерка!A471</f>
        <v>раствор для бетонирования</v>
      </c>
      <c r="C2304" s="2765" t="str">
        <f aca="false">инженерка!B471</f>
        <v>шт</v>
      </c>
      <c r="D2304" s="298" t="n">
        <f aca="false">инженерка!C471</f>
        <v>3</v>
      </c>
      <c r="E2304" s="177" t="n">
        <f aca="false">инженерка!D471</f>
        <v>100</v>
      </c>
      <c r="F2304" s="177"/>
      <c r="G2304" s="122" t="n">
        <f aca="false">IF(F2304&gt;0,D2304*F2304,E2304*D2304)</f>
        <v>300</v>
      </c>
      <c r="H2304" s="2210" t="n">
        <f aca="false">D2304*E2304*$H$2296</f>
        <v>0</v>
      </c>
      <c r="I2304" s="2784" t="n">
        <f aca="false">IF(G2304&gt;H2304,G2304,H2304)*$H$2295</f>
        <v>0</v>
      </c>
      <c r="J2304" s="2744"/>
      <c r="K2304" s="226" t="n">
        <f aca="false">D2304-J2304</f>
        <v>3</v>
      </c>
      <c r="L2304" s="2736"/>
    </row>
    <row r="2305" customFormat="false" ht="15.5" hidden="false" customHeight="false" outlineLevel="0" collapsed="false">
      <c r="A2305" s="2719"/>
      <c r="B2305" s="298" t="str">
        <f aca="false">инженерка!A472</f>
        <v>скотч для скорлупы утепления</v>
      </c>
      <c r="C2305" s="2765" t="str">
        <f aca="false">инженерка!B472</f>
        <v>шт</v>
      </c>
      <c r="D2305" s="298" t="n">
        <f aca="false">инженерка!C472</f>
        <v>3</v>
      </c>
      <c r="E2305" s="177" t="n">
        <f aca="false">инженерка!D472</f>
        <v>100</v>
      </c>
      <c r="F2305" s="177"/>
      <c r="G2305" s="122" t="n">
        <f aca="false">IF(F2305&gt;0,D2305*F2305,E2305*D2305)</f>
        <v>300</v>
      </c>
      <c r="H2305" s="2210" t="n">
        <f aca="false">D2305*E2305*$H$2296</f>
        <v>0</v>
      </c>
      <c r="I2305" s="2784" t="n">
        <f aca="false">IF(G2305&gt;H2305,G2305,H2305)*$H$2295</f>
        <v>0</v>
      </c>
      <c r="J2305" s="2744"/>
      <c r="K2305" s="226" t="n">
        <f aca="false">D2305-J2305</f>
        <v>3</v>
      </c>
      <c r="L2305" s="2736"/>
    </row>
    <row r="2306" customFormat="false" ht="15.5" hidden="false" customHeight="false" outlineLevel="0" collapsed="false">
      <c r="A2306" s="2719"/>
      <c r="B2306" s="298" t="str">
        <f aca="false">инженерка!A473</f>
        <v>дно бетонное, диаметр 2м.п.</v>
      </c>
      <c r="C2306" s="2765" t="str">
        <f aca="false">инженерка!B473</f>
        <v>шт</v>
      </c>
      <c r="D2306" s="298" t="n">
        <f aca="false">инженерка!C473</f>
        <v>1</v>
      </c>
      <c r="E2306" s="298" t="n">
        <f aca="false">инженерка!D473</f>
        <v>2000</v>
      </c>
      <c r="F2306" s="298"/>
      <c r="G2306" s="122" t="n">
        <f aca="false">IF(F2306&gt;0,D2306*F2306,E2306*D2306)</f>
        <v>2000</v>
      </c>
      <c r="H2306" s="2210" t="n">
        <f aca="false">D2306*E2306*$H$2296</f>
        <v>0</v>
      </c>
      <c r="I2306" s="2784" t="n">
        <f aca="false">IF(G2306&gt;H2306,G2306,H2306)*$H$2295</f>
        <v>0</v>
      </c>
      <c r="J2306" s="2744"/>
      <c r="K2306" s="226" t="n">
        <f aca="false">D2306-J2306</f>
        <v>1</v>
      </c>
      <c r="L2306" s="2736"/>
    </row>
    <row r="2307" customFormat="false" ht="15.5" hidden="false" customHeight="false" outlineLevel="0" collapsed="false">
      <c r="A2307" s="2719"/>
      <c r="B2307" s="298" t="str">
        <f aca="false">инженерка!A474</f>
        <v>кольцо бетонное, диаметр 2м.п.</v>
      </c>
      <c r="C2307" s="2765" t="str">
        <f aca="false">инженерка!B474</f>
        <v>шт</v>
      </c>
      <c r="D2307" s="298" t="n">
        <f aca="false">инженерка!C474</f>
        <v>3</v>
      </c>
      <c r="E2307" s="298" t="n">
        <f aca="false">инженерка!D474</f>
        <v>3300</v>
      </c>
      <c r="F2307" s="298"/>
      <c r="G2307" s="122" t="n">
        <f aca="false">IF(F2307&gt;0,D2307*F2307,E2307*D2307)</f>
        <v>9900</v>
      </c>
      <c r="H2307" s="2210" t="n">
        <f aca="false">D2307*E2307*$H$2296</f>
        <v>0</v>
      </c>
      <c r="I2307" s="2784" t="n">
        <f aca="false">IF(G2307&gt;H2307,G2307,H2307)*$H$2295</f>
        <v>0</v>
      </c>
      <c r="J2307" s="2744"/>
      <c r="K2307" s="226" t="n">
        <f aca="false">D2307-J2307</f>
        <v>3</v>
      </c>
      <c r="L2307" s="2736"/>
    </row>
    <row r="2308" customFormat="false" ht="15.5" hidden="false" customHeight="false" outlineLevel="0" collapsed="false">
      <c r="A2308" s="2719"/>
      <c r="B2308" s="298" t="str">
        <f aca="false">инженерка!A475</f>
        <v>крышка бетонная, диаметр 2м.п.</v>
      </c>
      <c r="C2308" s="2765" t="str">
        <f aca="false">инженерка!B475</f>
        <v>шт</v>
      </c>
      <c r="D2308" s="298" t="n">
        <f aca="false">инженерка!C475</f>
        <v>1</v>
      </c>
      <c r="E2308" s="298" t="n">
        <f aca="false">инженерка!D475</f>
        <v>4000</v>
      </c>
      <c r="F2308" s="298"/>
      <c r="G2308" s="122" t="n">
        <f aca="false">IF(F2308&gt;0,D2308*F2308,E2308*D2308)</f>
        <v>4000</v>
      </c>
      <c r="H2308" s="2210" t="n">
        <f aca="false">D2308*E2308*$H$2296</f>
        <v>0</v>
      </c>
      <c r="I2308" s="2784" t="n">
        <f aca="false">IF(G2308&gt;H2308,G2308,H2308)*$H$2295</f>
        <v>0</v>
      </c>
      <c r="J2308" s="2744"/>
      <c r="K2308" s="226" t="n">
        <f aca="false">D2308-J2308</f>
        <v>1</v>
      </c>
      <c r="L2308" s="2736"/>
    </row>
    <row r="2309" customFormat="false" ht="15.5" hidden="false" customHeight="false" outlineLevel="0" collapsed="false">
      <c r="A2309" s="2719"/>
      <c r="B2309" s="298" t="str">
        <f aca="false">инженерка!A476</f>
        <v>Нет люка для крышки</v>
      </c>
      <c r="C2309" s="2765" t="str">
        <f aca="false">инженерка!B476</f>
        <v>шт</v>
      </c>
      <c r="D2309" s="298" t="n">
        <f aca="false">инженерка!C476</f>
        <v>0</v>
      </c>
      <c r="E2309" s="298" t="n">
        <f aca="false">инженерка!D476</f>
        <v>0</v>
      </c>
      <c r="F2309" s="298"/>
      <c r="G2309" s="122" t="n">
        <f aca="false">IF(F2309&gt;0,D2309*F2309,E2309*D2309)</f>
        <v>0</v>
      </c>
      <c r="H2309" s="2210" t="n">
        <f aca="false">D2309*E2309*$H$2296</f>
        <v>0</v>
      </c>
      <c r="I2309" s="2784" t="n">
        <f aca="false">IF(G2309&gt;H2309,G2309,H2309)*$H$2295</f>
        <v>0</v>
      </c>
      <c r="J2309" s="2744"/>
      <c r="K2309" s="226" t="n">
        <f aca="false">D2309-J2309</f>
        <v>0</v>
      </c>
      <c r="L2309" s="2736"/>
    </row>
    <row r="2310" customFormat="false" ht="15.5" hidden="false" customHeight="false" outlineLevel="0" collapsed="false">
      <c r="A2310" s="2719"/>
      <c r="B2310" s="2748" t="s">
        <v>4640</v>
      </c>
      <c r="C2310" s="2748"/>
      <c r="D2310" s="2748"/>
      <c r="E2310" s="2748"/>
      <c r="F2310" s="2748"/>
      <c r="G2310" s="2210" t="n">
        <f aca="false">SUM(G2297:G2309)*H2295</f>
        <v>0</v>
      </c>
      <c r="H2310" s="2210" t="n">
        <f aca="false">SUM(H2297:H2309)</f>
        <v>0</v>
      </c>
      <c r="I2310" s="2784" t="n">
        <f aca="false">IF(G2310&gt;H2310,G2310,H2310)*$H$2295</f>
        <v>0</v>
      </c>
      <c r="J2310" s="2744"/>
      <c r="K2310" s="226" t="n">
        <f aca="false">D2310-J2310</f>
        <v>0</v>
      </c>
      <c r="L2310" s="2736"/>
    </row>
    <row r="2311" customFormat="false" ht="15.5" hidden="false" customHeight="false" outlineLevel="0" collapsed="false">
      <c r="A2311" s="2719"/>
      <c r="B2311" s="2750" t="s">
        <v>1409</v>
      </c>
      <c r="C2311" s="2750"/>
      <c r="D2311" s="2750"/>
      <c r="E2311" s="2750"/>
      <c r="F2311" s="2785"/>
      <c r="G2311" s="905"/>
      <c r="H2311" s="2766" t="n">
        <f aca="false">H2295</f>
        <v>0</v>
      </c>
      <c r="I2311" s="2818" t="n">
        <f aca="false">H2311</f>
        <v>0</v>
      </c>
      <c r="J2311" s="2752"/>
      <c r="K2311" s="2753"/>
    </row>
    <row r="2312" customFormat="false" ht="15.5" hidden="false" customHeight="false" outlineLevel="0" collapsed="false">
      <c r="A2312" s="2712"/>
      <c r="B2312" s="2648" t="str">
        <f aca="false">инженерка!G464</f>
        <v>монтаж дна</v>
      </c>
      <c r="C2312" s="6" t="s">
        <v>159</v>
      </c>
      <c r="D2312" s="298" t="n">
        <f aca="false">инженерка!I464</f>
        <v>2</v>
      </c>
      <c r="E2312" s="177" t="n">
        <f aca="false">инженерка!J464</f>
        <v>1000</v>
      </c>
      <c r="F2312" s="177"/>
      <c r="G2312" s="122" t="n">
        <f aca="false">IF(F2312&gt;0,D2312*F2312,E2312*D2312)</f>
        <v>2000</v>
      </c>
      <c r="H2312" s="2210" t="n">
        <f aca="false">D2312*E2312*$H$2311</f>
        <v>0</v>
      </c>
      <c r="I2312" s="2718" t="n">
        <f aca="false">IF(G2312&gt;H2312,G2312,H2312)*$H$2295</f>
        <v>0</v>
      </c>
      <c r="J2312" s="2712"/>
      <c r="K2312" s="2719"/>
    </row>
    <row r="2313" customFormat="false" ht="15.5" hidden="false" customHeight="false" outlineLevel="0" collapsed="false">
      <c r="A2313" s="2719"/>
      <c r="B2313" s="2648" t="str">
        <f aca="false">инженерка!G465</f>
        <v>монтаж колец</v>
      </c>
      <c r="C2313" s="6" t="s">
        <v>159</v>
      </c>
      <c r="D2313" s="298" t="n">
        <f aca="false">инженерка!I465</f>
        <v>6</v>
      </c>
      <c r="E2313" s="177" t="n">
        <f aca="false">инженерка!J465</f>
        <v>1000</v>
      </c>
      <c r="F2313" s="177"/>
      <c r="G2313" s="122" t="n">
        <f aca="false">IF(F2313&gt;0,D2313*F2313,E2313*D2313)</f>
        <v>6000</v>
      </c>
      <c r="H2313" s="2210" t="n">
        <f aca="false">D2313*E2313*$H$2311</f>
        <v>0</v>
      </c>
      <c r="I2313" s="2718" t="n">
        <f aca="false">IF(G2313&gt;H2313,G2313,H2313)*$H$2295</f>
        <v>0</v>
      </c>
      <c r="J2313" s="2712"/>
      <c r="K2313" s="2719"/>
    </row>
    <row r="2314" customFormat="false" ht="15.5" hidden="false" customHeight="false" outlineLevel="0" collapsed="false">
      <c r="A2314" s="2719"/>
      <c r="B2314" s="2648" t="str">
        <f aca="false">инженерка!G466</f>
        <v>монтаж крышки</v>
      </c>
      <c r="C2314" s="6" t="s">
        <v>159</v>
      </c>
      <c r="D2314" s="298" t="n">
        <f aca="false">инженерка!I466</f>
        <v>2</v>
      </c>
      <c r="E2314" s="177" t="n">
        <f aca="false">инженерка!J466</f>
        <v>1000</v>
      </c>
      <c r="F2314" s="177"/>
      <c r="G2314" s="122" t="n">
        <f aca="false">IF(F2314&gt;0,D2314*F2314,E2314*D2314)</f>
        <v>2000</v>
      </c>
      <c r="H2314" s="2210" t="n">
        <f aca="false">D2314*E2314*$H$2311</f>
        <v>0</v>
      </c>
      <c r="I2314" s="2718" t="n">
        <f aca="false">IF(G2314&gt;H2314,G2314,H2314)*$H$2295</f>
        <v>0</v>
      </c>
      <c r="J2314" s="2712"/>
      <c r="K2314" s="2719"/>
    </row>
    <row r="2315" customFormat="false" ht="15.5" hidden="false" customHeight="false" outlineLevel="0" collapsed="false">
      <c r="A2315" s="2719"/>
      <c r="B2315" s="2648" t="str">
        <f aca="false">инженерка!G467</f>
        <v>монтаж люка</v>
      </c>
      <c r="C2315" s="6" t="s">
        <v>159</v>
      </c>
      <c r="D2315" s="298" t="n">
        <f aca="false">инженерка!I467</f>
        <v>0</v>
      </c>
      <c r="E2315" s="177" t="n">
        <f aca="false">инженерка!J467</f>
        <v>1000</v>
      </c>
      <c r="F2315" s="177"/>
      <c r="G2315" s="122" t="n">
        <f aca="false">IF(F2315&gt;0,D2315*F2315,E2315*D2315)</f>
        <v>0</v>
      </c>
      <c r="H2315" s="2210" t="n">
        <f aca="false">D2315*E2315*$H$2311</f>
        <v>0</v>
      </c>
      <c r="I2315" s="2718" t="n">
        <f aca="false">IF(G2315&gt;H2315,G2315,H2315)*$H$2295</f>
        <v>0</v>
      </c>
      <c r="J2315" s="2712"/>
      <c r="K2315" s="2719"/>
    </row>
    <row r="2316" customFormat="false" ht="15.5" hidden="false" customHeight="false" outlineLevel="0" collapsed="false">
      <c r="A2316" s="2719"/>
      <c r="B2316" s="2648" t="str">
        <f aca="false">инженерка!G468</f>
        <v>монтаж горловины</v>
      </c>
      <c r="C2316" s="6" t="s">
        <v>156</v>
      </c>
      <c r="D2316" s="298" t="n">
        <f aca="false">инженерка!I468</f>
        <v>1</v>
      </c>
      <c r="E2316" s="177" t="n">
        <f aca="false">инженерка!J468</f>
        <v>800</v>
      </c>
      <c r="F2316" s="177"/>
      <c r="G2316" s="122" t="n">
        <f aca="false">IF(F2316&gt;0,D2316*F2316,E2316*D2316)</f>
        <v>800</v>
      </c>
      <c r="H2316" s="2210" t="n">
        <f aca="false">D2316*E2316*$H$2311</f>
        <v>0</v>
      </c>
      <c r="I2316" s="2718" t="n">
        <f aca="false">IF(G2316&gt;H2316,G2316,H2316)*$H$2295</f>
        <v>0</v>
      </c>
      <c r="J2316" s="2712"/>
      <c r="K2316" s="2719"/>
    </row>
    <row r="2317" customFormat="false" ht="15.5" hidden="false" customHeight="false" outlineLevel="0" collapsed="false">
      <c r="A2317" s="2719"/>
      <c r="B2317" s="2648" t="str">
        <f aca="false">инженерка!G469</f>
        <v>м/ж ут-ной канал</v>
      </c>
      <c r="C2317" s="6" t="s">
        <v>159</v>
      </c>
      <c r="D2317" s="298" t="n">
        <f aca="false">инженерка!I469</f>
        <v>10</v>
      </c>
      <c r="E2317" s="177" t="n">
        <f aca="false">инженерка!J469</f>
        <v>500</v>
      </c>
      <c r="F2317" s="177"/>
      <c r="G2317" s="122" t="n">
        <f aca="false">IF(F2317&gt;0,D2317*F2317,E2317*D2317)</f>
        <v>5000</v>
      </c>
      <c r="H2317" s="2210" t="n">
        <f aca="false">D2317*E2317*$H$2311</f>
        <v>0</v>
      </c>
      <c r="I2317" s="2718" t="n">
        <f aca="false">IF(G2317&gt;H2317,G2317,H2317)*$H$2295</f>
        <v>0</v>
      </c>
      <c r="J2317" s="2712"/>
      <c r="K2317" s="2719"/>
    </row>
    <row r="2318" customFormat="false" ht="15.5" hidden="false" customHeight="false" outlineLevel="0" collapsed="false">
      <c r="A2318" s="2719"/>
      <c r="B2318" s="2648" t="str">
        <f aca="false">инженерка!G470</f>
        <v>бетонирование</v>
      </c>
      <c r="C2318" s="6" t="s">
        <v>159</v>
      </c>
      <c r="D2318" s="298" t="n">
        <f aca="false">инженерка!I470</f>
        <v>1</v>
      </c>
      <c r="E2318" s="177" t="n">
        <f aca="false">инженерка!J470</f>
        <v>2500</v>
      </c>
      <c r="F2318" s="177"/>
      <c r="G2318" s="122" t="n">
        <f aca="false">IF(F2318&gt;0,D2318*F2318,E2318*D2318)</f>
        <v>2500</v>
      </c>
      <c r="H2318" s="2210" t="n">
        <f aca="false">D2318*E2318*$H$2311</f>
        <v>0</v>
      </c>
      <c r="I2318" s="2718" t="n">
        <f aca="false">IF(G2318&gt;H2318,G2318,H2318)*$H$2295</f>
        <v>0</v>
      </c>
      <c r="J2318" s="2712"/>
      <c r="K2318" s="2719"/>
    </row>
    <row r="2319" customFormat="false" ht="15.5" hidden="false" customHeight="false" outlineLevel="0" collapsed="false">
      <c r="A2319" s="2719"/>
      <c r="B2319" s="2748" t="s">
        <v>4641</v>
      </c>
      <c r="C2319" s="2748"/>
      <c r="D2319" s="2748"/>
      <c r="E2319" s="2748"/>
      <c r="F2319" s="2748"/>
      <c r="G2319" s="2210" t="n">
        <f aca="false">SUM(G2312:G2318)*H2311</f>
        <v>0</v>
      </c>
      <c r="H2319" s="2210" t="n">
        <f aca="false">SUM(H2312:H2318)</f>
        <v>0</v>
      </c>
      <c r="I2319" s="2718" t="n">
        <f aca="false">IF(G2319&gt;H2319,G2319,H2319)*$H$2295</f>
        <v>0</v>
      </c>
      <c r="J2319" s="2712"/>
      <c r="K2319" s="2719"/>
    </row>
    <row r="2320" customFormat="false" ht="21" hidden="false" customHeight="false" outlineLevel="0" collapsed="false">
      <c r="A2320" s="2719"/>
      <c r="B2320" s="2762" t="s">
        <v>1184</v>
      </c>
      <c r="C2320" s="2762"/>
      <c r="D2320" s="2762"/>
      <c r="E2320" s="2762"/>
      <c r="F2320" s="2762"/>
      <c r="G2320" s="905"/>
      <c r="H2320" s="2774" t="n">
        <f aca="false">VLOOKUP('Ввод данных'!F1372,связи1!A2:B3,2,0)</f>
        <v>0</v>
      </c>
      <c r="I2320" s="2818" t="n">
        <f aca="false">H2320</f>
        <v>0</v>
      </c>
      <c r="J2320" s="2712"/>
      <c r="K2320" s="2719"/>
    </row>
    <row r="2321" customFormat="false" ht="15.5" hidden="false" customHeight="false" outlineLevel="0" collapsed="false">
      <c r="A2321" s="2712"/>
      <c r="B2321" s="2775" t="s">
        <v>2720</v>
      </c>
      <c r="C2321" s="2775"/>
      <c r="D2321" s="2775"/>
      <c r="E2321" s="2775"/>
      <c r="F2321" s="2775"/>
      <c r="G2321" s="905"/>
      <c r="H2321" s="2776" t="n">
        <f aca="false">H2320</f>
        <v>0</v>
      </c>
      <c r="I2321" s="2818" t="n">
        <f aca="false">H2321</f>
        <v>0</v>
      </c>
      <c r="J2321" s="2732"/>
      <c r="K2321" s="2733"/>
    </row>
    <row r="2322" customFormat="false" ht="15.5" hidden="false" customHeight="false" outlineLevel="0" collapsed="false">
      <c r="A2322" s="2712"/>
      <c r="B2322" s="298" t="s">
        <v>1185</v>
      </c>
      <c r="C2322" s="2765" t="s">
        <v>159</v>
      </c>
      <c r="D2322" s="298" t="n">
        <f aca="false">инженерка!C492</f>
        <v>1</v>
      </c>
      <c r="E2322" s="298" t="n">
        <f aca="false">'Прайс лист'!G1290</f>
        <v>30000</v>
      </c>
      <c r="F2322" s="298"/>
      <c r="G2322" s="122" t="n">
        <f aca="false">IF(F2322&gt;0,D2322*F2322,E2322*D2322)</f>
        <v>30000</v>
      </c>
      <c r="H2322" s="2210" t="n">
        <f aca="false">D2322*E2322*$H$2321</f>
        <v>0</v>
      </c>
      <c r="I2322" s="2784" t="n">
        <f aca="false">IF(G2322&gt;H2322,G2322,H2322)*$H$2320</f>
        <v>0</v>
      </c>
      <c r="J2322" s="2744"/>
      <c r="K2322" s="226" t="n">
        <f aca="false">D2322-J2322</f>
        <v>1</v>
      </c>
      <c r="L2322" s="2736"/>
    </row>
    <row r="2323" customFormat="false" ht="15.5" hidden="false" customHeight="false" outlineLevel="0" collapsed="false">
      <c r="A2323" s="2719"/>
      <c r="B2323" s="298" t="s">
        <v>1186</v>
      </c>
      <c r="C2323" s="2765" t="s">
        <v>159</v>
      </c>
      <c r="D2323" s="298" t="n">
        <f aca="false">инженерка!C493</f>
        <v>1</v>
      </c>
      <c r="E2323" s="298" t="n">
        <f aca="false">'Прайс лист'!G1291</f>
        <v>10000</v>
      </c>
      <c r="F2323" s="298"/>
      <c r="G2323" s="122" t="n">
        <f aca="false">IF(F2323&gt;0,D2323*F2323,E2323*D2323)</f>
        <v>10000</v>
      </c>
      <c r="H2323" s="2210" t="n">
        <f aca="false">D2323*E2323*$H$2321</f>
        <v>0</v>
      </c>
      <c r="I2323" s="2784" t="n">
        <f aca="false">IF(G2323&gt;H2323,G2323,H2323)*$H$2320</f>
        <v>0</v>
      </c>
      <c r="J2323" s="2744"/>
      <c r="K2323" s="226" t="n">
        <f aca="false">D2323-J2323</f>
        <v>1</v>
      </c>
      <c r="L2323" s="2736"/>
    </row>
    <row r="2324" customFormat="false" ht="15.5" hidden="false" customHeight="false" outlineLevel="0" collapsed="false">
      <c r="A2324" s="2719"/>
      <c r="B2324" s="298" t="s">
        <v>1187</v>
      </c>
      <c r="C2324" s="2765" t="s">
        <v>159</v>
      </c>
      <c r="D2324" s="298" t="n">
        <f aca="false">инженерка!C494</f>
        <v>1</v>
      </c>
      <c r="E2324" s="298" t="n">
        <f aca="false">'Прайс лист'!G1292</f>
        <v>5000</v>
      </c>
      <c r="F2324" s="298"/>
      <c r="G2324" s="122" t="n">
        <f aca="false">IF(F2324&gt;0,D2324*F2324,E2324*D2324)</f>
        <v>5000</v>
      </c>
      <c r="H2324" s="2210" t="n">
        <f aca="false">D2324*E2324*$H$2321</f>
        <v>0</v>
      </c>
      <c r="I2324" s="2784" t="n">
        <f aca="false">IF(G2324&gt;H2324,G2324,H2324)*$H$2320</f>
        <v>0</v>
      </c>
      <c r="J2324" s="2744"/>
      <c r="K2324" s="226" t="n">
        <f aca="false">D2324-J2324</f>
        <v>1</v>
      </c>
      <c r="L2324" s="2736"/>
    </row>
    <row r="2325" customFormat="false" ht="15.5" hidden="false" customHeight="false" outlineLevel="0" collapsed="false">
      <c r="A2325" s="2719"/>
      <c r="B2325" s="298" t="s">
        <v>1188</v>
      </c>
      <c r="C2325" s="2765" t="s">
        <v>159</v>
      </c>
      <c r="D2325" s="298" t="n">
        <f aca="false">инженерка!C490</f>
        <v>1</v>
      </c>
      <c r="E2325" s="298" t="n">
        <f aca="false">'Прайс лист'!G1293</f>
        <v>3500</v>
      </c>
      <c r="F2325" s="298"/>
      <c r="G2325" s="122" t="n">
        <f aca="false">IF(F2325&gt;0,D2325*F2325,E2325*D2325)</f>
        <v>3500</v>
      </c>
      <c r="H2325" s="2210" t="n">
        <f aca="false">D2325*E2325*$H$2321</f>
        <v>0</v>
      </c>
      <c r="I2325" s="2784" t="n">
        <f aca="false">IF(G2325&gt;H2325,G2325,H2325)*$H$2320</f>
        <v>0</v>
      </c>
      <c r="J2325" s="2744"/>
      <c r="K2325" s="226" t="n">
        <f aca="false">D2325-J2325</f>
        <v>1</v>
      </c>
      <c r="L2325" s="2736"/>
    </row>
    <row r="2326" customFormat="false" ht="15.5" hidden="false" customHeight="false" outlineLevel="0" collapsed="false">
      <c r="A2326" s="2719"/>
      <c r="B2326" s="298" t="s">
        <v>1189</v>
      </c>
      <c r="C2326" s="2765" t="s">
        <v>159</v>
      </c>
      <c r="D2326" s="298" t="n">
        <f aca="false">инженерка!C491</f>
        <v>1</v>
      </c>
      <c r="E2326" s="298" t="n">
        <f aca="false">'Прайс лист'!G1294</f>
        <v>2500</v>
      </c>
      <c r="F2326" s="298"/>
      <c r="G2326" s="122" t="n">
        <f aca="false">IF(F2326&gt;0,D2326*F2326,E2326*D2326)</f>
        <v>2500</v>
      </c>
      <c r="H2326" s="2210" t="n">
        <f aca="false">D2326*E2326*$H$2321</f>
        <v>0</v>
      </c>
      <c r="I2326" s="2784" t="n">
        <f aca="false">IF(G2326&gt;H2326,G2326,H2326)*$H$2320</f>
        <v>0</v>
      </c>
      <c r="J2326" s="2744"/>
      <c r="K2326" s="226" t="n">
        <f aca="false">D2326-J2326</f>
        <v>1</v>
      </c>
      <c r="L2326" s="2736"/>
    </row>
    <row r="2327" customFormat="false" ht="15.5" hidden="false" customHeight="false" outlineLevel="0" collapsed="false">
      <c r="A2327" s="2719"/>
      <c r="B2327" s="298" t="s">
        <v>1190</v>
      </c>
      <c r="C2327" s="2765" t="s">
        <v>159</v>
      </c>
      <c r="D2327" s="298" t="n">
        <v>2</v>
      </c>
      <c r="E2327" s="298" t="n">
        <f aca="false">'Прайс лист'!G1295</f>
        <v>700</v>
      </c>
      <c r="F2327" s="298"/>
      <c r="G2327" s="122" t="n">
        <f aca="false">IF(F2327&gt;0,D2327*F2327,E2327*D2327)</f>
        <v>1400</v>
      </c>
      <c r="H2327" s="2210" t="n">
        <f aca="false">D2327*E2327*$H$2321</f>
        <v>0</v>
      </c>
      <c r="I2327" s="2784" t="n">
        <f aca="false">IF(G2327&gt;H2327,G2327,H2327)*$H$2320</f>
        <v>0</v>
      </c>
      <c r="J2327" s="2744"/>
      <c r="K2327" s="226" t="n">
        <f aca="false">D2327-J2327</f>
        <v>2</v>
      </c>
      <c r="L2327" s="2736"/>
    </row>
    <row r="2328" customFormat="false" ht="15.5" hidden="false" customHeight="false" outlineLevel="0" collapsed="false">
      <c r="A2328" s="2719"/>
      <c r="B2328" s="298" t="s">
        <v>1191</v>
      </c>
      <c r="C2328" s="2765" t="s">
        <v>159</v>
      </c>
      <c r="D2328" s="298" t="n">
        <v>1</v>
      </c>
      <c r="E2328" s="298" t="n">
        <f aca="false">'Прайс лист'!G1296</f>
        <v>1500</v>
      </c>
      <c r="F2328" s="298"/>
      <c r="G2328" s="122" t="n">
        <f aca="false">IF(F2328&gt;0,D2328*F2328,E2328*D2328)</f>
        <v>1500</v>
      </c>
      <c r="H2328" s="2210" t="n">
        <f aca="false">D2328*E2328*$H$2321</f>
        <v>0</v>
      </c>
      <c r="I2328" s="2784" t="n">
        <f aca="false">IF(G2328&gt;H2328,G2328,H2328)*$H$2320</f>
        <v>0</v>
      </c>
      <c r="J2328" s="2744"/>
      <c r="K2328" s="226" t="n">
        <f aca="false">D2328-J2328</f>
        <v>1</v>
      </c>
      <c r="L2328" s="2736"/>
    </row>
    <row r="2329" customFormat="false" ht="15.5" hidden="false" customHeight="false" outlineLevel="0" collapsed="false">
      <c r="A2329" s="2719"/>
      <c r="B2329" s="298" t="s">
        <v>1192</v>
      </c>
      <c r="C2329" s="2765" t="s">
        <v>156</v>
      </c>
      <c r="D2329" s="298" t="n">
        <f aca="false">20*инженерка!E488</f>
        <v>20</v>
      </c>
      <c r="E2329" s="298" t="n">
        <f aca="false">'Прайс лист'!G1297</f>
        <v>100</v>
      </c>
      <c r="F2329" s="298"/>
      <c r="G2329" s="122" t="n">
        <f aca="false">IF(F2329&gt;0,D2329*F2329,E2329*D2329)</f>
        <v>2000</v>
      </c>
      <c r="H2329" s="2210" t="n">
        <f aca="false">D2329*E2329*$H$2321</f>
        <v>0</v>
      </c>
      <c r="I2329" s="2784" t="n">
        <f aca="false">IF(G2329&gt;H2329,G2329,H2329)*$H$2320</f>
        <v>0</v>
      </c>
      <c r="J2329" s="2744"/>
      <c r="K2329" s="226" t="n">
        <f aca="false">D2329-J2329</f>
        <v>20</v>
      </c>
      <c r="L2329" s="2736"/>
    </row>
    <row r="2330" customFormat="false" ht="15.5" hidden="false" customHeight="false" outlineLevel="0" collapsed="false">
      <c r="A2330" s="2719"/>
      <c r="B2330" s="298" t="s">
        <v>1193</v>
      </c>
      <c r="C2330" s="2765" t="s">
        <v>159</v>
      </c>
      <c r="D2330" s="298" t="n">
        <f aca="false">10*инженерка!E488</f>
        <v>10</v>
      </c>
      <c r="E2330" s="298" t="n">
        <f aca="false">'Прайс лист'!G1298</f>
        <v>12</v>
      </c>
      <c r="F2330" s="298"/>
      <c r="G2330" s="122" t="n">
        <f aca="false">IF(F2330&gt;0,D2330*F2330,E2330*D2330)</f>
        <v>120</v>
      </c>
      <c r="H2330" s="2210" t="n">
        <f aca="false">D2330*E2330*$H$2321</f>
        <v>0</v>
      </c>
      <c r="I2330" s="2784" t="n">
        <f aca="false">IF(G2330&gt;H2330,G2330,H2330)*$H$2320</f>
        <v>0</v>
      </c>
      <c r="J2330" s="2744"/>
      <c r="K2330" s="226" t="n">
        <f aca="false">D2330-J2330</f>
        <v>10</v>
      </c>
      <c r="L2330" s="2736"/>
    </row>
    <row r="2331" customFormat="false" ht="15.5" hidden="false" customHeight="false" outlineLevel="0" collapsed="false">
      <c r="A2331" s="2719"/>
      <c r="B2331" s="298" t="s">
        <v>1194</v>
      </c>
      <c r="C2331" s="2765" t="s">
        <v>159</v>
      </c>
      <c r="D2331" s="298" t="n">
        <f aca="false">10*инженерка!E488</f>
        <v>10</v>
      </c>
      <c r="E2331" s="298" t="n">
        <f aca="false">'Прайс лист'!G1299</f>
        <v>16</v>
      </c>
      <c r="F2331" s="298"/>
      <c r="G2331" s="122" t="n">
        <f aca="false">IF(F2331&gt;0,D2331*F2331,E2331*D2331)</f>
        <v>160</v>
      </c>
      <c r="H2331" s="2210" t="n">
        <f aca="false">D2331*E2331*$H$2321</f>
        <v>0</v>
      </c>
      <c r="I2331" s="2784" t="n">
        <f aca="false">IF(G2331&gt;H2331,G2331,H2331)*$H$2320</f>
        <v>0</v>
      </c>
      <c r="J2331" s="2744"/>
      <c r="K2331" s="226" t="n">
        <f aca="false">D2331-J2331</f>
        <v>10</v>
      </c>
      <c r="L2331" s="2736"/>
    </row>
    <row r="2332" customFormat="false" ht="15.5" hidden="false" customHeight="false" outlineLevel="0" collapsed="false">
      <c r="A2332" s="2719"/>
      <c r="B2332" s="298" t="s">
        <v>1195</v>
      </c>
      <c r="C2332" s="2765" t="s">
        <v>159</v>
      </c>
      <c r="D2332" s="298" t="n">
        <f aca="false">10*инженерка!E488</f>
        <v>10</v>
      </c>
      <c r="E2332" s="298" t="n">
        <f aca="false">'Прайс лист'!G1300</f>
        <v>12</v>
      </c>
      <c r="F2332" s="298"/>
      <c r="G2332" s="122" t="n">
        <f aca="false">IF(F2332&gt;0,D2332*F2332,E2332*D2332)</f>
        <v>120</v>
      </c>
      <c r="H2332" s="2210" t="n">
        <f aca="false">D2332*E2332*$H$2321</f>
        <v>0</v>
      </c>
      <c r="I2332" s="2784" t="n">
        <f aca="false">IF(G2332&gt;H2332,G2332,H2332)*$H$2320</f>
        <v>0</v>
      </c>
      <c r="J2332" s="2744"/>
      <c r="K2332" s="226" t="n">
        <f aca="false">D2332-J2332</f>
        <v>10</v>
      </c>
      <c r="L2332" s="2736"/>
    </row>
    <row r="2333" customFormat="false" ht="15.5" hidden="false" customHeight="false" outlineLevel="0" collapsed="false">
      <c r="A2333" s="2719"/>
      <c r="B2333" s="298" t="s">
        <v>1196</v>
      </c>
      <c r="C2333" s="2765" t="s">
        <v>159</v>
      </c>
      <c r="D2333" s="298" t="n">
        <f aca="false">5*инженерка!E488</f>
        <v>5</v>
      </c>
      <c r="E2333" s="298" t="n">
        <f aca="false">'Прайс лист'!G1301</f>
        <v>16</v>
      </c>
      <c r="F2333" s="298"/>
      <c r="G2333" s="122" t="n">
        <f aca="false">IF(F2333&gt;0,D2333*F2333,E2333*D2333)</f>
        <v>80</v>
      </c>
      <c r="H2333" s="2210" t="n">
        <f aca="false">D2333*E2333*$H$2321</f>
        <v>0</v>
      </c>
      <c r="I2333" s="2784" t="n">
        <f aca="false">IF(G2333&gt;H2333,G2333,H2333)*$H$2320</f>
        <v>0</v>
      </c>
      <c r="J2333" s="2744"/>
      <c r="K2333" s="226" t="n">
        <f aca="false">D2333-J2333</f>
        <v>5</v>
      </c>
      <c r="L2333" s="2736"/>
    </row>
    <row r="2334" customFormat="false" ht="15.5" hidden="false" customHeight="false" outlineLevel="0" collapsed="false">
      <c r="A2334" s="2719"/>
      <c r="B2334" s="298" t="s">
        <v>1197</v>
      </c>
      <c r="C2334" s="2765" t="s">
        <v>159</v>
      </c>
      <c r="D2334" s="298" t="n">
        <v>1</v>
      </c>
      <c r="E2334" s="298" t="n">
        <f aca="false">'Прайс лист'!G1302</f>
        <v>800</v>
      </c>
      <c r="F2334" s="298"/>
      <c r="G2334" s="122" t="n">
        <f aca="false">IF(F2334&gt;0,D2334*F2334,E2334*D2334)</f>
        <v>800</v>
      </c>
      <c r="H2334" s="2210" t="n">
        <f aca="false">D2334*E2334*$H$2321</f>
        <v>0</v>
      </c>
      <c r="I2334" s="2784" t="n">
        <f aca="false">IF(G2334&gt;H2334,G2334,H2334)*$H$2320</f>
        <v>0</v>
      </c>
      <c r="J2334" s="2744"/>
      <c r="K2334" s="226" t="n">
        <f aca="false">D2334-J2334</f>
        <v>1</v>
      </c>
      <c r="L2334" s="2736"/>
    </row>
    <row r="2335" customFormat="false" ht="15.5" hidden="false" customHeight="false" outlineLevel="0" collapsed="false">
      <c r="A2335" s="2719"/>
      <c r="B2335" s="298" t="s">
        <v>1198</v>
      </c>
      <c r="C2335" s="2765" t="s">
        <v>1199</v>
      </c>
      <c r="D2335" s="298" t="n">
        <v>1</v>
      </c>
      <c r="E2335" s="298" t="n">
        <f aca="false">'Прайс лист'!G1303</f>
        <v>200</v>
      </c>
      <c r="F2335" s="298"/>
      <c r="G2335" s="122" t="n">
        <f aca="false">IF(F2335&gt;0,D2335*F2335,E2335*D2335)</f>
        <v>200</v>
      </c>
      <c r="H2335" s="2210" t="n">
        <f aca="false">D2335*E2335*$H$2321</f>
        <v>0</v>
      </c>
      <c r="I2335" s="2784" t="n">
        <f aca="false">IF(G2335&gt;H2335,G2335,H2335)*$H$2320</f>
        <v>0</v>
      </c>
      <c r="J2335" s="2744"/>
      <c r="K2335" s="226" t="n">
        <f aca="false">D2335-J2335</f>
        <v>1</v>
      </c>
      <c r="L2335" s="2736"/>
    </row>
    <row r="2336" customFormat="false" ht="15.5" hidden="false" customHeight="false" outlineLevel="0" collapsed="false">
      <c r="A2336" s="2719"/>
      <c r="B2336" s="2748" t="s">
        <v>4640</v>
      </c>
      <c r="C2336" s="2748"/>
      <c r="D2336" s="2748"/>
      <c r="E2336" s="2748"/>
      <c r="F2336" s="2748"/>
      <c r="G2336" s="2210" t="n">
        <f aca="false">SUM(G2322:G2335)*H2320</f>
        <v>0</v>
      </c>
      <c r="H2336" s="2210" t="n">
        <f aca="false">SUM(H2322:H2335)</f>
        <v>0</v>
      </c>
      <c r="I2336" s="2784" t="n">
        <f aca="false">IF(G2336&gt;H2336,G2336,H2336)*$H$2320</f>
        <v>0</v>
      </c>
      <c r="J2336" s="2744"/>
      <c r="K2336" s="226" t="n">
        <f aca="false">D2336-J2336</f>
        <v>0</v>
      </c>
      <c r="L2336" s="2736"/>
    </row>
    <row r="2337" customFormat="false" ht="15.5" hidden="false" customHeight="false" outlineLevel="0" collapsed="false">
      <c r="A2337" s="2719"/>
      <c r="B2337" s="2750" t="s">
        <v>1409</v>
      </c>
      <c r="C2337" s="2750"/>
      <c r="D2337" s="2750"/>
      <c r="E2337" s="2750"/>
      <c r="F2337" s="2750"/>
      <c r="G2337" s="905"/>
      <c r="H2337" s="2766" t="n">
        <f aca="false">H2320</f>
        <v>0</v>
      </c>
      <c r="I2337" s="2818" t="n">
        <f aca="false">H2337</f>
        <v>0</v>
      </c>
      <c r="J2337" s="2752"/>
      <c r="K2337" s="2753"/>
    </row>
    <row r="2338" customFormat="false" ht="15.5" hidden="false" customHeight="false" outlineLevel="0" collapsed="false">
      <c r="A2338" s="2712"/>
      <c r="B2338" s="2648" t="s">
        <v>1630</v>
      </c>
      <c r="C2338" s="6" t="s">
        <v>159</v>
      </c>
      <c r="D2338" s="298" t="n">
        <f aca="false">D2322</f>
        <v>1</v>
      </c>
      <c r="E2338" s="89" t="n">
        <f aca="false">'Прайс лист'!G1870</f>
        <v>3500</v>
      </c>
      <c r="F2338" s="89"/>
      <c r="G2338" s="122" t="n">
        <f aca="false">IF(F2338&gt;0,D2338*F2338,E2338*D2338)</f>
        <v>3500</v>
      </c>
      <c r="H2338" s="2210" t="n">
        <f aca="false">D2338*E2338*$H$2337</f>
        <v>0</v>
      </c>
      <c r="I2338" s="2718" t="n">
        <f aca="false">IF(G2338&gt;H2338,G2338,H2338)*$H$2320</f>
        <v>0</v>
      </c>
      <c r="J2338" s="2712"/>
      <c r="K2338" s="2719"/>
    </row>
    <row r="2339" customFormat="false" ht="15.5" hidden="false" customHeight="false" outlineLevel="0" collapsed="false">
      <c r="A2339" s="2719"/>
      <c r="B2339" s="2648" t="s">
        <v>1631</v>
      </c>
      <c r="C2339" s="6" t="s">
        <v>159</v>
      </c>
      <c r="D2339" s="298" t="n">
        <f aca="false">D2323</f>
        <v>1</v>
      </c>
      <c r="E2339" s="89" t="n">
        <f aca="false">'Прайс лист'!G1871</f>
        <v>2500</v>
      </c>
      <c r="F2339" s="89"/>
      <c r="G2339" s="122" t="n">
        <f aca="false">IF(F2339&gt;0,D2339*F2339,E2339*D2339)</f>
        <v>2500</v>
      </c>
      <c r="H2339" s="2210" t="n">
        <f aca="false">D2339*E2339*$H$2337</f>
        <v>0</v>
      </c>
      <c r="I2339" s="2718" t="n">
        <f aca="false">IF(G2339&gt;H2339,G2339,H2339)*$H$2320</f>
        <v>0</v>
      </c>
      <c r="J2339" s="2712"/>
      <c r="K2339" s="2719"/>
    </row>
    <row r="2340" customFormat="false" ht="15.5" hidden="false" customHeight="false" outlineLevel="0" collapsed="false">
      <c r="A2340" s="2719"/>
      <c r="B2340" s="2648" t="s">
        <v>1632</v>
      </c>
      <c r="C2340" s="6" t="s">
        <v>159</v>
      </c>
      <c r="D2340" s="298" t="n">
        <f aca="false">D2324</f>
        <v>1</v>
      </c>
      <c r="E2340" s="89" t="n">
        <f aca="false">'Прайс лист'!G1872</f>
        <v>2000</v>
      </c>
      <c r="F2340" s="89"/>
      <c r="G2340" s="122" t="n">
        <f aca="false">IF(F2340&gt;0,D2340*F2340,E2340*D2340)</f>
        <v>2000</v>
      </c>
      <c r="H2340" s="2210" t="n">
        <f aca="false">D2340*E2340*$H$2337</f>
        <v>0</v>
      </c>
      <c r="I2340" s="2718" t="n">
        <f aca="false">IF(G2340&gt;H2340,G2340,H2340)*$H$2320</f>
        <v>0</v>
      </c>
      <c r="L2340" s="878"/>
      <c r="M2340" s="878"/>
    </row>
    <row r="2341" customFormat="false" ht="15.5" hidden="false" customHeight="false" outlineLevel="0" collapsed="false">
      <c r="A2341" s="2719"/>
      <c r="B2341" s="2648" t="s">
        <v>1633</v>
      </c>
      <c r="C2341" s="6" t="s">
        <v>159</v>
      </c>
      <c r="D2341" s="298" t="n">
        <f aca="false">D2325</f>
        <v>1</v>
      </c>
      <c r="E2341" s="89" t="n">
        <f aca="false">'Прайс лист'!G1873</f>
        <v>1000</v>
      </c>
      <c r="F2341" s="89"/>
      <c r="G2341" s="122" t="n">
        <f aca="false">IF(F2341&gt;0,D2341*F2341,E2341*D2341)</f>
        <v>1000</v>
      </c>
      <c r="H2341" s="2210" t="n">
        <f aca="false">D2341*E2341*$H$2337</f>
        <v>0</v>
      </c>
      <c r="I2341" s="2718" t="n">
        <f aca="false">IF(G2341&gt;H2341,G2341,H2341)*$H$2320</f>
        <v>0</v>
      </c>
      <c r="L2341" s="878"/>
      <c r="M2341" s="878"/>
    </row>
    <row r="2342" customFormat="false" ht="15.5" hidden="false" customHeight="false" outlineLevel="0" collapsed="false">
      <c r="A2342" s="2719"/>
      <c r="B2342" s="2648" t="s">
        <v>1634</v>
      </c>
      <c r="C2342" s="6" t="s">
        <v>159</v>
      </c>
      <c r="D2342" s="298" t="n">
        <f aca="false">D2326</f>
        <v>1</v>
      </c>
      <c r="E2342" s="89" t="n">
        <f aca="false">'Прайс лист'!G1874</f>
        <v>1000</v>
      </c>
      <c r="F2342" s="89"/>
      <c r="G2342" s="122" t="n">
        <f aca="false">IF(F2342&gt;0,D2342*F2342,E2342*D2342)</f>
        <v>1000</v>
      </c>
      <c r="H2342" s="2210" t="n">
        <f aca="false">D2342*E2342*$H$2337</f>
        <v>0</v>
      </c>
      <c r="I2342" s="2718" t="n">
        <f aca="false">IF(G2342&gt;H2342,G2342,H2342)*$H$2320</f>
        <v>0</v>
      </c>
      <c r="L2342" s="878"/>
      <c r="M2342" s="878"/>
    </row>
    <row r="2343" customFormat="false" ht="15.5" hidden="false" customHeight="false" outlineLevel="0" collapsed="false">
      <c r="A2343" s="2719"/>
      <c r="B2343" s="2648" t="s">
        <v>1635</v>
      </c>
      <c r="C2343" s="6" t="s">
        <v>159</v>
      </c>
      <c r="D2343" s="298" t="n">
        <f aca="false">D2328</f>
        <v>1</v>
      </c>
      <c r="E2343" s="89" t="n">
        <f aca="false">'Прайс лист'!G1875</f>
        <v>900</v>
      </c>
      <c r="F2343" s="89"/>
      <c r="G2343" s="122" t="n">
        <f aca="false">IF(F2343&gt;0,D2343*F2343,E2343*D2343)</f>
        <v>900</v>
      </c>
      <c r="H2343" s="2210" t="n">
        <f aca="false">D2343*E2343*$H$2337</f>
        <v>0</v>
      </c>
      <c r="I2343" s="2718" t="n">
        <f aca="false">IF(G2343&gt;H2343,G2343,H2343)*$H$2320</f>
        <v>0</v>
      </c>
      <c r="L2343" s="878"/>
      <c r="M2343" s="878"/>
    </row>
    <row r="2344" customFormat="false" ht="15.5" hidden="false" customHeight="false" outlineLevel="0" collapsed="false">
      <c r="A2344" s="2719"/>
      <c r="B2344" s="2648" t="s">
        <v>1636</v>
      </c>
      <c r="C2344" s="6" t="s">
        <v>159</v>
      </c>
      <c r="D2344" s="298" t="n">
        <f aca="false">D2327</f>
        <v>2</v>
      </c>
      <c r="E2344" s="89" t="n">
        <f aca="false">'Прайс лист'!G1876</f>
        <v>700</v>
      </c>
      <c r="F2344" s="89"/>
      <c r="G2344" s="122" t="n">
        <f aca="false">IF(F2344&gt;0,D2344*F2344,E2344*D2344)</f>
        <v>1400</v>
      </c>
      <c r="H2344" s="2210" t="n">
        <f aca="false">D2344*E2344*$H$2337</f>
        <v>0</v>
      </c>
      <c r="I2344" s="2718" t="n">
        <f aca="false">IF(G2344&gt;H2344,G2344,H2344)*$H$2320</f>
        <v>0</v>
      </c>
      <c r="L2344" s="878"/>
      <c r="M2344" s="878"/>
    </row>
    <row r="2345" customFormat="false" ht="15.5" hidden="false" customHeight="false" outlineLevel="0" collapsed="false">
      <c r="A2345" s="2719"/>
      <c r="B2345" s="2648" t="s">
        <v>1637</v>
      </c>
      <c r="C2345" s="6" t="s">
        <v>156</v>
      </c>
      <c r="D2345" s="298" t="n">
        <f aca="false">D2329</f>
        <v>20</v>
      </c>
      <c r="E2345" s="89" t="n">
        <f aca="false">'Прайс лист'!G1877</f>
        <v>500</v>
      </c>
      <c r="F2345" s="89"/>
      <c r="G2345" s="122" t="n">
        <f aca="false">IF(F2345&gt;0,D2345*F2345,E2345*D2345)</f>
        <v>10000</v>
      </c>
      <c r="H2345" s="2210" t="n">
        <f aca="false">D2345*E2345*$H$2337</f>
        <v>0</v>
      </c>
      <c r="I2345" s="2718" t="n">
        <f aca="false">IF(G2345&gt;H2345,G2345,H2345)*$H$2320</f>
        <v>0</v>
      </c>
      <c r="L2345" s="878"/>
      <c r="M2345" s="878"/>
    </row>
    <row r="2346" customFormat="false" ht="15.5" hidden="false" customHeight="false" outlineLevel="0" collapsed="false">
      <c r="A2346" s="2719"/>
      <c r="B2346" s="2748" t="s">
        <v>4641</v>
      </c>
      <c r="C2346" s="2748"/>
      <c r="D2346" s="2748"/>
      <c r="E2346" s="2748"/>
      <c r="F2346" s="2748"/>
      <c r="G2346" s="2210" t="n">
        <f aca="false">SUM(G2338:G2345)*H2337</f>
        <v>0</v>
      </c>
      <c r="H2346" s="2210" t="n">
        <f aca="false">SUM(H2338:H2345)</f>
        <v>0</v>
      </c>
      <c r="I2346" s="2718" t="n">
        <f aca="false">IF(G2346&gt;H2346,G2346,H2346)*$H$2320</f>
        <v>0</v>
      </c>
      <c r="L2346" s="878"/>
      <c r="M2346" s="878"/>
    </row>
    <row r="2347" customFormat="false" ht="21" hidden="false" customHeight="false" outlineLevel="0" collapsed="false">
      <c r="A2347" s="2719"/>
      <c r="B2347" s="2768" t="s">
        <v>1922</v>
      </c>
      <c r="C2347" s="2768"/>
      <c r="D2347" s="2768"/>
      <c r="E2347" s="2768"/>
      <c r="F2347" s="2816"/>
      <c r="G2347" s="905"/>
      <c r="H2347" s="2770" t="n">
        <f aca="false">IF(SUM(H2348:H2441)&gt;0,1,0)</f>
        <v>0</v>
      </c>
      <c r="I2347" s="2818" t="n">
        <f aca="false">H2347</f>
        <v>0</v>
      </c>
      <c r="L2347" s="878"/>
      <c r="M2347" s="878"/>
    </row>
    <row r="2348" customFormat="false" ht="15.5" hidden="false" customHeight="false" outlineLevel="0" collapsed="false">
      <c r="A2348" s="2719"/>
      <c r="B2348" s="2842" t="str">
        <f aca="false">фундамент!A678</f>
        <v>Нет техники</v>
      </c>
      <c r="C2348" s="218" t="s">
        <v>1793</v>
      </c>
      <c r="D2348" s="237" t="n">
        <f aca="false">фундамент!C678</f>
        <v>0</v>
      </c>
      <c r="E2348" s="237" t="n">
        <f aca="false">фундамент!D678</f>
        <v>0</v>
      </c>
      <c r="F2348" s="237"/>
      <c r="G2348" s="122" t="n">
        <f aca="false">IF(F2348&gt;0,D2348*F2348,E2348*D2348)*IF(H2348&gt;0,1,0)</f>
        <v>0</v>
      </c>
      <c r="H2348" s="245" t="n">
        <f aca="false">фундамент!E678</f>
        <v>0</v>
      </c>
      <c r="I2348" s="2784" t="n">
        <f aca="false">IF(G2348&gt;H2348,G2348,H2348)</f>
        <v>0</v>
      </c>
      <c r="J2348" s="2744"/>
      <c r="K2348" s="226" t="n">
        <f aca="false">D2348-J2348</f>
        <v>0</v>
      </c>
      <c r="L2348" s="878"/>
      <c r="M2348" s="878"/>
    </row>
    <row r="2349" customFormat="false" ht="15.5" hidden="false" customHeight="false" outlineLevel="0" collapsed="false">
      <c r="A2349" s="2719"/>
      <c r="B2349" s="2842" t="str">
        <f aca="false">фундамент!A679</f>
        <v>Нет техники</v>
      </c>
      <c r="C2349" s="218" t="s">
        <v>1793</v>
      </c>
      <c r="D2349" s="237" t="n">
        <f aca="false">фундамент!C679</f>
        <v>0</v>
      </c>
      <c r="E2349" s="237" t="n">
        <f aca="false">фундамент!D679</f>
        <v>0</v>
      </c>
      <c r="F2349" s="237"/>
      <c r="G2349" s="122" t="n">
        <f aca="false">IF(F2349&gt;0,D2349*F2349,E2349*D2349)*IF(H2349&gt;0,1,0)</f>
        <v>0</v>
      </c>
      <c r="H2349" s="245" t="n">
        <f aca="false">фундамент!E679</f>
        <v>0</v>
      </c>
      <c r="I2349" s="2784" t="n">
        <f aca="false">IF(G2349&gt;H2349,G2349,H2349)</f>
        <v>0</v>
      </c>
      <c r="J2349" s="2744"/>
      <c r="K2349" s="226" t="n">
        <f aca="false">D2349-J2349</f>
        <v>0</v>
      </c>
      <c r="L2349" s="878"/>
      <c r="M2349" s="878"/>
    </row>
    <row r="2350" customFormat="false" ht="15.5" hidden="false" customHeight="false" outlineLevel="0" collapsed="false">
      <c r="A2350" s="2719"/>
      <c r="B2350" s="2842" t="str">
        <f aca="false">фундамент!A680</f>
        <v>Нет техники</v>
      </c>
      <c r="C2350" s="218" t="s">
        <v>1793</v>
      </c>
      <c r="D2350" s="237" t="n">
        <f aca="false">фундамент!C680</f>
        <v>0</v>
      </c>
      <c r="E2350" s="237" t="n">
        <f aca="false">фундамент!D680</f>
        <v>0</v>
      </c>
      <c r="F2350" s="237"/>
      <c r="G2350" s="122" t="n">
        <f aca="false">IF(F2350&gt;0,D2350*F2350,E2350*D2350)*IF(H2350&gt;0,1,0)</f>
        <v>0</v>
      </c>
      <c r="H2350" s="245" t="n">
        <f aca="false">фундамент!E680</f>
        <v>0</v>
      </c>
      <c r="I2350" s="2784" t="n">
        <f aca="false">IF(G2350&gt;H2350,G2350,H2350)</f>
        <v>0</v>
      </c>
      <c r="J2350" s="2744"/>
      <c r="K2350" s="226" t="n">
        <f aca="false">D2350-J2350</f>
        <v>0</v>
      </c>
      <c r="L2350" s="878"/>
      <c r="M2350" s="878"/>
    </row>
    <row r="2351" customFormat="false" ht="15.5" hidden="false" customHeight="false" outlineLevel="0" collapsed="false">
      <c r="A2351" s="2719"/>
      <c r="B2351" s="2842" t="str">
        <f aca="false">фундамент!A681</f>
        <v>Нет техники</v>
      </c>
      <c r="C2351" s="218" t="s">
        <v>1793</v>
      </c>
      <c r="D2351" s="237" t="n">
        <f aca="false">фундамент!C681</f>
        <v>0</v>
      </c>
      <c r="E2351" s="237" t="n">
        <f aca="false">фундамент!D681</f>
        <v>0</v>
      </c>
      <c r="F2351" s="237"/>
      <c r="G2351" s="122" t="n">
        <f aca="false">IF(F2351&gt;0,D2351*F2351,E2351*D2351)*IF(H2351&gt;0,1,0)</f>
        <v>0</v>
      </c>
      <c r="H2351" s="245" t="n">
        <f aca="false">фундамент!E681</f>
        <v>0</v>
      </c>
      <c r="I2351" s="2784" t="n">
        <f aca="false">IF(G2351&gt;H2351,G2351,H2351)</f>
        <v>0</v>
      </c>
      <c r="J2351" s="2744"/>
      <c r="K2351" s="226" t="n">
        <f aca="false">D2351-J2351</f>
        <v>0</v>
      </c>
      <c r="L2351" s="878"/>
      <c r="M2351" s="878"/>
    </row>
    <row r="2352" customFormat="false" ht="15.5" hidden="false" customHeight="false" outlineLevel="0" collapsed="false">
      <c r="A2352" s="2719"/>
      <c r="B2352" s="298" t="str">
        <f aca="false">фундамент!A362</f>
        <v>Нет техники</v>
      </c>
      <c r="C2352" s="218" t="s">
        <v>1793</v>
      </c>
      <c r="D2352" s="298" t="n">
        <f aca="false">фундамент!C362</f>
        <v>4</v>
      </c>
      <c r="E2352" s="298" t="n">
        <f aca="false">фундамент!D362</f>
        <v>0</v>
      </c>
      <c r="F2352" s="298"/>
      <c r="G2352" s="122" t="n">
        <f aca="false">IF(F2352&gt;0,D2352*F2352,E2352*D2352)*IF(H2352&gt;0,1,0)</f>
        <v>0</v>
      </c>
      <c r="H2352" s="2210" t="n">
        <f aca="false">D2352*E2352*$H$178</f>
        <v>0</v>
      </c>
      <c r="I2352" s="2784" t="n">
        <f aca="false">IF(G2352&gt;H2352,G2352,H2352)</f>
        <v>0</v>
      </c>
      <c r="J2352" s="2744"/>
      <c r="K2352" s="226" t="n">
        <f aca="false">D2352-J2352</f>
        <v>4</v>
      </c>
      <c r="L2352" s="2736"/>
    </row>
    <row r="2353" customFormat="false" ht="15.5" hidden="false" customHeight="false" outlineLevel="0" collapsed="false">
      <c r="A2353" s="2719"/>
      <c r="B2353" s="298" t="str">
        <f aca="false">фундамент!A363</f>
        <v>Нет техники</v>
      </c>
      <c r="C2353" s="218" t="s">
        <v>1793</v>
      </c>
      <c r="D2353" s="298" t="n">
        <f aca="false">фундамент!C363</f>
        <v>4</v>
      </c>
      <c r="E2353" s="298" t="n">
        <f aca="false">фундамент!D363</f>
        <v>0</v>
      </c>
      <c r="F2353" s="298"/>
      <c r="G2353" s="122" t="n">
        <f aca="false">IF(F2353&gt;0,D2353*F2353,E2353*D2353)*IF(H2353&gt;0,1,0)</f>
        <v>0</v>
      </c>
      <c r="H2353" s="2210" t="n">
        <f aca="false">D2353*E2353*$H$178</f>
        <v>0</v>
      </c>
      <c r="I2353" s="2784" t="n">
        <f aca="false">IF(G2353&gt;H2353,G2353,H2353)</f>
        <v>0</v>
      </c>
      <c r="J2353" s="2744"/>
      <c r="K2353" s="226" t="n">
        <f aca="false">D2353-J2353</f>
        <v>4</v>
      </c>
      <c r="L2353" s="2736"/>
    </row>
    <row r="2354" customFormat="false" ht="15.5" hidden="false" customHeight="false" outlineLevel="0" collapsed="false">
      <c r="A2354" s="2719"/>
      <c r="B2354" s="298" t="str">
        <f aca="false">фундамент!A364</f>
        <v>Нет техники</v>
      </c>
      <c r="C2354" s="218" t="s">
        <v>1793</v>
      </c>
      <c r="D2354" s="298" t="n">
        <f aca="false">фундамент!C364</f>
        <v>6</v>
      </c>
      <c r="E2354" s="298" t="n">
        <f aca="false">фундамент!D364</f>
        <v>0</v>
      </c>
      <c r="F2354" s="298"/>
      <c r="G2354" s="122" t="n">
        <f aca="false">IF(F2354&gt;0,D2354*F2354,E2354*D2354)*IF(H2354&gt;0,1,0)</f>
        <v>0</v>
      </c>
      <c r="H2354" s="2210" t="n">
        <f aca="false">D2354*E2354*$H$178</f>
        <v>0</v>
      </c>
      <c r="I2354" s="2784" t="n">
        <f aca="false">IF(G2354&gt;H2354,G2354,H2354)</f>
        <v>0</v>
      </c>
      <c r="J2354" s="2744"/>
      <c r="K2354" s="226" t="n">
        <f aca="false">D2354-J2354</f>
        <v>6</v>
      </c>
      <c r="L2354" s="2736"/>
    </row>
    <row r="2355" customFormat="false" ht="15.5" hidden="false" customHeight="false" outlineLevel="0" collapsed="false">
      <c r="A2355" s="2719"/>
      <c r="B2355" s="298" t="str">
        <f aca="false">фундамент!A365</f>
        <v>Нет техники</v>
      </c>
      <c r="C2355" s="218" t="s">
        <v>1793</v>
      </c>
      <c r="D2355" s="298" t="n">
        <f aca="false">фундамент!C365</f>
        <v>4</v>
      </c>
      <c r="E2355" s="298" t="n">
        <f aca="false">фундамент!D365</f>
        <v>0</v>
      </c>
      <c r="F2355" s="298"/>
      <c r="G2355" s="122" t="n">
        <f aca="false">IF(F2355&gt;0,D2355*F2355,E2355*D2355)*IF(H2355&gt;0,1,0)</f>
        <v>0</v>
      </c>
      <c r="H2355" s="2210" t="n">
        <f aca="false">D2355*E2355*$H$178</f>
        <v>0</v>
      </c>
      <c r="I2355" s="2784" t="n">
        <f aca="false">IF(G2355&gt;H2355,G2355,H2355)</f>
        <v>0</v>
      </c>
      <c r="J2355" s="2744"/>
      <c r="K2355" s="226" t="n">
        <f aca="false">D2355-J2355</f>
        <v>4</v>
      </c>
      <c r="L2355" s="2736"/>
    </row>
    <row r="2356" customFormat="false" ht="15.5" hidden="false" customHeight="false" outlineLevel="0" collapsed="false">
      <c r="A2356" s="2719"/>
      <c r="B2356" s="298" t="str">
        <f aca="false">фундамент!A366</f>
        <v>Нет техники</v>
      </c>
      <c r="C2356" s="218" t="s">
        <v>1793</v>
      </c>
      <c r="D2356" s="298" t="n">
        <f aca="false">фундамент!C366</f>
        <v>0</v>
      </c>
      <c r="E2356" s="298" t="n">
        <f aca="false">фундамент!D366</f>
        <v>0</v>
      </c>
      <c r="F2356" s="298"/>
      <c r="G2356" s="122" t="n">
        <f aca="false">IF(F2356&gt;0,D2356*F2356,E2356*D2356)*IF(H2356&gt;0,1,0)</f>
        <v>0</v>
      </c>
      <c r="H2356" s="2210" t="n">
        <f aca="false">D2356*E2356*$H$178</f>
        <v>0</v>
      </c>
      <c r="I2356" s="2784" t="n">
        <f aca="false">IF(G2356&gt;H2356,G2356,H2356)</f>
        <v>0</v>
      </c>
      <c r="J2356" s="2744"/>
      <c r="K2356" s="226" t="n">
        <f aca="false">D2356-J2356</f>
        <v>0</v>
      </c>
      <c r="L2356" s="2736"/>
    </row>
    <row r="2357" customFormat="false" ht="15.5" hidden="false" customHeight="false" outlineLevel="0" collapsed="false">
      <c r="A2357" s="2719"/>
      <c r="B2357" s="298" t="str">
        <f aca="false">фундамент!A429</f>
        <v>Нет техники</v>
      </c>
      <c r="C2357" s="218" t="s">
        <v>1793</v>
      </c>
      <c r="D2357" s="298" t="n">
        <f aca="false">фундамент!C429</f>
        <v>4</v>
      </c>
      <c r="E2357" s="298" t="n">
        <f aca="false">фундамент!D429</f>
        <v>0</v>
      </c>
      <c r="F2357" s="298"/>
      <c r="G2357" s="122" t="n">
        <f aca="false">IF(F2357&gt;0,D2357*F2357,E2357*D2357)*IF(H2357&gt;0,1,0)</f>
        <v>0</v>
      </c>
      <c r="H2357" s="2210" t="n">
        <f aca="false">D2357*E2357*$H$215</f>
        <v>0</v>
      </c>
      <c r="I2357" s="2784" t="n">
        <f aca="false">IF(G2357&gt;H2357,G2357,H2357)</f>
        <v>0</v>
      </c>
      <c r="J2357" s="2744"/>
      <c r="K2357" s="226" t="n">
        <f aca="false">D2357-J2357</f>
        <v>4</v>
      </c>
      <c r="L2357" s="2736"/>
    </row>
    <row r="2358" customFormat="false" ht="15.5" hidden="false" customHeight="false" outlineLevel="0" collapsed="false">
      <c r="A2358" s="2719"/>
      <c r="B2358" s="298" t="str">
        <f aca="false">фундамент!A430</f>
        <v>Нет техники</v>
      </c>
      <c r="C2358" s="218" t="s">
        <v>1793</v>
      </c>
      <c r="D2358" s="298" t="n">
        <f aca="false">фундамент!C430</f>
        <v>4</v>
      </c>
      <c r="E2358" s="298" t="n">
        <f aca="false">фундамент!D430</f>
        <v>0</v>
      </c>
      <c r="F2358" s="298"/>
      <c r="G2358" s="122" t="n">
        <f aca="false">IF(F2358&gt;0,D2358*F2358,E2358*D2358)*IF(H2358&gt;0,1,0)</f>
        <v>0</v>
      </c>
      <c r="H2358" s="2210" t="n">
        <f aca="false">D2358*E2358*$H$215</f>
        <v>0</v>
      </c>
      <c r="I2358" s="2784" t="n">
        <f aca="false">IF(G2358&gt;H2358,G2358,H2358)</f>
        <v>0</v>
      </c>
      <c r="J2358" s="2744"/>
      <c r="K2358" s="226" t="n">
        <f aca="false">D2358-J2358</f>
        <v>4</v>
      </c>
      <c r="L2358" s="2736"/>
    </row>
    <row r="2359" customFormat="false" ht="15.5" hidden="false" customHeight="false" outlineLevel="0" collapsed="false">
      <c r="A2359" s="2719"/>
      <c r="B2359" s="298" t="str">
        <f aca="false">фундамент!A431</f>
        <v>Нет техники</v>
      </c>
      <c r="C2359" s="218" t="s">
        <v>1793</v>
      </c>
      <c r="D2359" s="298" t="n">
        <f aca="false">фундамент!C431</f>
        <v>6</v>
      </c>
      <c r="E2359" s="298" t="n">
        <f aca="false">фундамент!D431</f>
        <v>0</v>
      </c>
      <c r="F2359" s="298"/>
      <c r="G2359" s="122" t="n">
        <f aca="false">IF(F2359&gt;0,D2359*F2359,E2359*D2359)*IF(H2359&gt;0,1,0)</f>
        <v>0</v>
      </c>
      <c r="H2359" s="2210" t="n">
        <f aca="false">D2359*E2359*$H$215</f>
        <v>0</v>
      </c>
      <c r="I2359" s="2784" t="n">
        <f aca="false">IF(G2359&gt;H2359,G2359,H2359)</f>
        <v>0</v>
      </c>
      <c r="J2359" s="2744"/>
      <c r="K2359" s="226" t="n">
        <f aca="false">D2359-J2359</f>
        <v>6</v>
      </c>
      <c r="L2359" s="2736"/>
    </row>
    <row r="2360" customFormat="false" ht="15.5" hidden="false" customHeight="false" outlineLevel="0" collapsed="false">
      <c r="A2360" s="2719"/>
      <c r="B2360" s="298" t="str">
        <f aca="false">фундамент!A432</f>
        <v>Нет техники</v>
      </c>
      <c r="C2360" s="218" t="s">
        <v>1793</v>
      </c>
      <c r="D2360" s="298" t="n">
        <f aca="false">фундамент!C432</f>
        <v>4</v>
      </c>
      <c r="E2360" s="298" t="n">
        <f aca="false">фундамент!D432</f>
        <v>0</v>
      </c>
      <c r="F2360" s="298"/>
      <c r="G2360" s="122" t="n">
        <f aca="false">IF(F2360&gt;0,D2360*F2360,E2360*D2360)*IF(H2360&gt;0,1,0)</f>
        <v>0</v>
      </c>
      <c r="H2360" s="2210" t="n">
        <f aca="false">D2360*E2360*$H$215</f>
        <v>0</v>
      </c>
      <c r="I2360" s="2784" t="n">
        <f aca="false">IF(G2360&gt;H2360,G2360,H2360)</f>
        <v>0</v>
      </c>
      <c r="J2360" s="2744"/>
      <c r="K2360" s="226" t="n">
        <f aca="false">D2360-J2360</f>
        <v>4</v>
      </c>
      <c r="L2360" s="2736"/>
    </row>
    <row r="2361" customFormat="false" ht="15.5" hidden="false" customHeight="false" outlineLevel="0" collapsed="false">
      <c r="A2361" s="2719"/>
      <c r="B2361" s="298" t="str">
        <f aca="false">фундамент!A433</f>
        <v>Нет техники</v>
      </c>
      <c r="C2361" s="218" t="s">
        <v>1793</v>
      </c>
      <c r="D2361" s="298" t="n">
        <f aca="false">фундамент!C433</f>
        <v>0</v>
      </c>
      <c r="E2361" s="298" t="n">
        <f aca="false">фундамент!D433</f>
        <v>0</v>
      </c>
      <c r="F2361" s="298"/>
      <c r="G2361" s="122" t="n">
        <f aca="false">IF(F2361&gt;0,D2361*F2361,E2361*D2361)*IF(H2361&gt;0,1,0)</f>
        <v>0</v>
      </c>
      <c r="H2361" s="2210" t="n">
        <f aca="false">D2361*E2361*$H$215</f>
        <v>0</v>
      </c>
      <c r="I2361" s="2784" t="n">
        <f aca="false">IF(G2361&gt;H2361,G2361,H2361)</f>
        <v>0</v>
      </c>
      <c r="J2361" s="2744"/>
      <c r="K2361" s="226" t="n">
        <f aca="false">D2361-J2361</f>
        <v>0</v>
      </c>
      <c r="L2361" s="2736"/>
    </row>
    <row r="2362" customFormat="false" ht="15.5" hidden="false" customHeight="false" outlineLevel="0" collapsed="false">
      <c r="A2362" s="2719"/>
      <c r="B2362" s="298" t="str">
        <f aca="false">фундамент!A501</f>
        <v>Нет техники</v>
      </c>
      <c r="C2362" s="218" t="s">
        <v>1793</v>
      </c>
      <c r="D2362" s="298" t="n">
        <f aca="false">фундамент!C501</f>
        <v>3</v>
      </c>
      <c r="E2362" s="298" t="n">
        <f aca="false">фундамент!D501</f>
        <v>0</v>
      </c>
      <c r="F2362" s="298"/>
      <c r="G2362" s="122" t="n">
        <f aca="false">IF(F2362&gt;0,D2362*F2362,E2362*D2362)*IF(H2362&gt;0,1,0)</f>
        <v>0</v>
      </c>
      <c r="H2362" s="2210" t="n">
        <f aca="false">D2362*E2362*$H$257</f>
        <v>0</v>
      </c>
      <c r="I2362" s="2784" t="n">
        <f aca="false">IF(G2362&gt;H2362,G2362,H2362)</f>
        <v>0</v>
      </c>
      <c r="J2362" s="2744"/>
      <c r="K2362" s="226" t="n">
        <f aca="false">D2362-J2362</f>
        <v>3</v>
      </c>
      <c r="L2362" s="2736"/>
    </row>
    <row r="2363" customFormat="false" ht="15.5" hidden="false" customHeight="false" outlineLevel="0" collapsed="false">
      <c r="A2363" s="2719"/>
      <c r="B2363" s="298" t="str">
        <f aca="false">фундамент!A502</f>
        <v>Нет техники</v>
      </c>
      <c r="C2363" s="218" t="s">
        <v>1793</v>
      </c>
      <c r="D2363" s="298" t="n">
        <f aca="false">фундамент!C502</f>
        <v>0</v>
      </c>
      <c r="E2363" s="298" t="n">
        <f aca="false">фундамент!D502</f>
        <v>0</v>
      </c>
      <c r="F2363" s="298"/>
      <c r="G2363" s="122" t="n">
        <f aca="false">IF(F2363&gt;0,D2363*F2363,E2363*D2363)*IF(H2363&gt;0,1,0)</f>
        <v>0</v>
      </c>
      <c r="H2363" s="2210" t="n">
        <f aca="false">D2363*E2363*$H$257</f>
        <v>0</v>
      </c>
      <c r="I2363" s="2784" t="n">
        <f aca="false">IF(G2363&gt;H2363,G2363,H2363)</f>
        <v>0</v>
      </c>
      <c r="J2363" s="2744"/>
      <c r="K2363" s="226" t="n">
        <f aca="false">D2363-J2363</f>
        <v>0</v>
      </c>
      <c r="L2363" s="2736"/>
    </row>
    <row r="2364" customFormat="false" ht="15.5" hidden="false" customHeight="false" outlineLevel="0" collapsed="false">
      <c r="A2364" s="2719"/>
      <c r="B2364" s="298" t="str">
        <f aca="false">фундамент!A503</f>
        <v>Нет техники</v>
      </c>
      <c r="C2364" s="218" t="s">
        <v>1793</v>
      </c>
      <c r="D2364" s="298" t="n">
        <f aca="false">фундамент!C503</f>
        <v>0</v>
      </c>
      <c r="E2364" s="298" t="n">
        <f aca="false">фундамент!D503</f>
        <v>0</v>
      </c>
      <c r="F2364" s="298"/>
      <c r="G2364" s="122" t="n">
        <f aca="false">IF(F2364&gt;0,D2364*F2364,E2364*D2364)*IF(H2364&gt;0,1,0)</f>
        <v>0</v>
      </c>
      <c r="H2364" s="2210" t="n">
        <f aca="false">D2364*E2364*$H$257</f>
        <v>0</v>
      </c>
      <c r="I2364" s="2784" t="n">
        <f aca="false">IF(G2364&gt;H2364,G2364,H2364)</f>
        <v>0</v>
      </c>
      <c r="J2364" s="2744"/>
      <c r="K2364" s="226" t="n">
        <f aca="false">D2364-J2364</f>
        <v>0</v>
      </c>
      <c r="L2364" s="2736"/>
    </row>
    <row r="2365" customFormat="false" ht="15.5" hidden="false" customHeight="false" outlineLevel="0" collapsed="false">
      <c r="A2365" s="2719"/>
      <c r="B2365" s="298" t="str">
        <f aca="false">фундамент!A504</f>
        <v>Нет техники</v>
      </c>
      <c r="C2365" s="218" t="s">
        <v>1793</v>
      </c>
      <c r="D2365" s="298" t="n">
        <f aca="false">фундамент!C504</f>
        <v>0</v>
      </c>
      <c r="E2365" s="298" t="n">
        <f aca="false">фундамент!D504</f>
        <v>0</v>
      </c>
      <c r="F2365" s="298"/>
      <c r="G2365" s="122" t="n">
        <f aca="false">IF(F2365&gt;0,D2365*F2365,E2365*D2365)*IF(H2365&gt;0,1,0)</f>
        <v>0</v>
      </c>
      <c r="H2365" s="2210" t="n">
        <f aca="false">D2365*E2365*$H$257</f>
        <v>0</v>
      </c>
      <c r="I2365" s="2784" t="n">
        <f aca="false">IF(G2365&gt;H2365,G2365,H2365)</f>
        <v>0</v>
      </c>
      <c r="J2365" s="2744"/>
      <c r="K2365" s="226" t="n">
        <f aca="false">D2365-J2365</f>
        <v>0</v>
      </c>
      <c r="L2365" s="2736"/>
    </row>
    <row r="2366" customFormat="false" ht="15.5" hidden="false" customHeight="false" outlineLevel="0" collapsed="false">
      <c r="A2366" s="2719"/>
      <c r="B2366" s="298" t="str">
        <f aca="false">фундамент!A505</f>
        <v>Нет техники</v>
      </c>
      <c r="C2366" s="218" t="s">
        <v>1793</v>
      </c>
      <c r="D2366" s="298" t="n">
        <f aca="false">фундамент!C505</f>
        <v>0</v>
      </c>
      <c r="E2366" s="298" t="n">
        <f aca="false">фундамент!D505</f>
        <v>0</v>
      </c>
      <c r="F2366" s="298"/>
      <c r="G2366" s="122" t="n">
        <f aca="false">IF(F2366&gt;0,D2366*F2366,E2366*D2366)*IF(H2366&gt;0,1,0)</f>
        <v>0</v>
      </c>
      <c r="H2366" s="2210" t="n">
        <f aca="false">D2366*E2366*$H$257</f>
        <v>0</v>
      </c>
      <c r="I2366" s="2784" t="n">
        <f aca="false">IF(G2366&gt;H2366,G2366,H2366)</f>
        <v>0</v>
      </c>
      <c r="J2366" s="2744"/>
      <c r="K2366" s="226" t="n">
        <f aca="false">D2366-J2366</f>
        <v>0</v>
      </c>
      <c r="L2366" s="2736"/>
    </row>
    <row r="2367" customFormat="false" ht="15.5" hidden="false" customHeight="false" outlineLevel="0" collapsed="false">
      <c r="A2367" s="2719"/>
      <c r="B2367" s="298" t="str">
        <f aca="false">дома!A1416</f>
        <v>Нет техники</v>
      </c>
      <c r="C2367" s="218" t="s">
        <v>1793</v>
      </c>
      <c r="D2367" s="298" t="n">
        <f aca="false">дома!C1416</f>
        <v>2</v>
      </c>
      <c r="E2367" s="298" t="n">
        <f aca="false">дома!D1416</f>
        <v>0</v>
      </c>
      <c r="F2367" s="298"/>
      <c r="G2367" s="122" t="n">
        <f aca="false">IF(F2367&gt;0,D2367*F2367,E2367*D2367)*IF(H2367&gt;0,1,0)</f>
        <v>0</v>
      </c>
      <c r="H2367" s="2210" t="n">
        <f aca="false">D2367*E2367*$H$303</f>
        <v>0</v>
      </c>
      <c r="I2367" s="2784" t="n">
        <f aca="false">IF(G2367&gt;H2367,G2367,H2367)</f>
        <v>0</v>
      </c>
      <c r="J2367" s="2744"/>
      <c r="K2367" s="226" t="n">
        <f aca="false">D2367-J2367</f>
        <v>2</v>
      </c>
      <c r="L2367" s="2736"/>
    </row>
    <row r="2368" customFormat="false" ht="15.5" hidden="false" customHeight="false" outlineLevel="0" collapsed="false">
      <c r="A2368" s="2719"/>
      <c r="B2368" s="298" t="str">
        <f aca="false">дома!A1486</f>
        <v>Нет техники</v>
      </c>
      <c r="C2368" s="218" t="s">
        <v>1793</v>
      </c>
      <c r="D2368" s="298" t="n">
        <f aca="false">дома!C1486</f>
        <v>2</v>
      </c>
      <c r="E2368" s="122" t="n">
        <f aca="false">дома!D1486</f>
        <v>0</v>
      </c>
      <c r="F2368" s="122"/>
      <c r="G2368" s="122" t="n">
        <f aca="false">IF(F2368&gt;0,D2368*F2368,E2368*D2368)*IF(H2368&gt;0,1,0)</f>
        <v>0</v>
      </c>
      <c r="H2368" s="2210" t="n">
        <f aca="false">D2368*E2368*$H$332</f>
        <v>0</v>
      </c>
      <c r="I2368" s="2784" t="n">
        <f aca="false">IF(G2368&gt;H2368,G2368,H2368)</f>
        <v>0</v>
      </c>
      <c r="J2368" s="2744"/>
      <c r="K2368" s="226" t="n">
        <f aca="false">D2368-J2368</f>
        <v>2</v>
      </c>
      <c r="L2368" s="2736"/>
    </row>
    <row r="2369" customFormat="false" ht="15.5" hidden="false" customHeight="false" outlineLevel="0" collapsed="false">
      <c r="A2369" s="2719"/>
      <c r="B2369" s="298" t="str">
        <f aca="false">дома!A1584</f>
        <v>Нет техники</v>
      </c>
      <c r="C2369" s="218" t="s">
        <v>1793</v>
      </c>
      <c r="D2369" s="298" t="n">
        <f aca="false">дома!C1584</f>
        <v>0</v>
      </c>
      <c r="E2369" s="298" t="n">
        <f aca="false">дома!I1584</f>
        <v>0</v>
      </c>
      <c r="F2369" s="298"/>
      <c r="G2369" s="122" t="n">
        <f aca="false">IF(F2369&gt;0,D2369*F2369,E2369*D2369)*IF(H2369&gt;0,1,0)</f>
        <v>0</v>
      </c>
      <c r="H2369" s="2210" t="n">
        <f aca="false">D2369*E2369*$H$541</f>
        <v>0</v>
      </c>
      <c r="I2369" s="2784" t="n">
        <f aca="false">IF(G2369&gt;H2369,G2369,H2369)</f>
        <v>0</v>
      </c>
      <c r="J2369" s="2744"/>
      <c r="K2369" s="226" t="n">
        <f aca="false">D2369-J2369</f>
        <v>0</v>
      </c>
      <c r="L2369" s="2736"/>
    </row>
    <row r="2370" customFormat="false" ht="15.5" hidden="false" customHeight="false" outlineLevel="0" collapsed="false">
      <c r="A2370" s="2719"/>
      <c r="B2370" s="298" t="str">
        <f aca="false">дома!A1577</f>
        <v>Нет техники</v>
      </c>
      <c r="C2370" s="218" t="s">
        <v>1793</v>
      </c>
      <c r="D2370" s="298" t="n">
        <f aca="false">дома!C1577</f>
        <v>0</v>
      </c>
      <c r="E2370" s="298" t="n">
        <f aca="false">дома!I1577</f>
        <v>0</v>
      </c>
      <c r="F2370" s="298"/>
      <c r="G2370" s="122" t="n">
        <f aca="false">IF(F2370&gt;0,D2370*F2370,E2370*D2370)*IF(H2370&gt;0,1,0)</f>
        <v>0</v>
      </c>
      <c r="H2370" s="2210" t="n">
        <f aca="false">D2370*E2370*$H$541</f>
        <v>0</v>
      </c>
      <c r="I2370" s="2784" t="n">
        <f aca="false">IF(G2370&gt;H2370,G2370,H2370)</f>
        <v>0</v>
      </c>
      <c r="J2370" s="2744"/>
      <c r="K2370" s="226" t="n">
        <f aca="false">D2370-J2370</f>
        <v>0</v>
      </c>
      <c r="L2370" s="2736"/>
    </row>
    <row r="2371" customFormat="false" ht="15.5" hidden="false" customHeight="false" outlineLevel="0" collapsed="false">
      <c r="A2371" s="2719"/>
      <c r="B2371" s="298" t="str">
        <f aca="false">дома!A1578</f>
        <v>Нет техники</v>
      </c>
      <c r="C2371" s="218" t="s">
        <v>1793</v>
      </c>
      <c r="D2371" s="298" t="n">
        <f aca="false">дома!C1578</f>
        <v>0</v>
      </c>
      <c r="E2371" s="298" t="n">
        <f aca="false">дома!I1578</f>
        <v>0</v>
      </c>
      <c r="F2371" s="298"/>
      <c r="G2371" s="122" t="n">
        <f aca="false">IF(F2371&gt;0,D2371*F2371,E2371*D2371)*IF(H2371&gt;0,1,0)</f>
        <v>0</v>
      </c>
      <c r="H2371" s="2210" t="n">
        <f aca="false">D2371*E2371*$H$541</f>
        <v>0</v>
      </c>
      <c r="I2371" s="2784" t="n">
        <f aca="false">IF(G2371&gt;H2371,G2371,H2371)</f>
        <v>0</v>
      </c>
      <c r="J2371" s="2744"/>
      <c r="K2371" s="226" t="n">
        <f aca="false">D2371-J2371</f>
        <v>0</v>
      </c>
      <c r="L2371" s="2736"/>
    </row>
    <row r="2372" customFormat="false" ht="15.5" hidden="false" customHeight="false" outlineLevel="0" collapsed="false">
      <c r="A2372" s="2719"/>
      <c r="B2372" s="2648" t="str">
        <f aca="false">дома!A1660</f>
        <v>Нет техники</v>
      </c>
      <c r="C2372" s="218" t="s">
        <v>1793</v>
      </c>
      <c r="D2372" s="298" t="n">
        <f aca="false">дома!C1660</f>
        <v>0</v>
      </c>
      <c r="E2372" s="122" t="n">
        <f aca="false">дома!I1659</f>
        <v>15000</v>
      </c>
      <c r="F2372" s="122"/>
      <c r="G2372" s="122" t="n">
        <f aca="false">IF(F2372&gt;0,D2372*F2372,E2372*D2372)*IF(H2372&gt;0,1,0)</f>
        <v>0</v>
      </c>
      <c r="H2372" s="2210" t="n">
        <f aca="false">D2372*E2372*$H$607</f>
        <v>0</v>
      </c>
      <c r="I2372" s="2784" t="n">
        <f aca="false">IF(G2372&gt;H2372,G2372,H2372)</f>
        <v>0</v>
      </c>
      <c r="J2372" s="2744"/>
      <c r="K2372" s="226" t="n">
        <f aca="false">D2372-J2372</f>
        <v>0</v>
      </c>
      <c r="L2372" s="2736"/>
    </row>
    <row r="2373" customFormat="false" ht="15.5" hidden="false" customHeight="false" outlineLevel="0" collapsed="false">
      <c r="A2373" s="2719"/>
      <c r="B2373" s="2648" t="str">
        <f aca="false">дома!A1653</f>
        <v>Нет техники</v>
      </c>
      <c r="C2373" s="218" t="s">
        <v>1793</v>
      </c>
      <c r="D2373" s="298" t="n">
        <f aca="false">дома!C1653</f>
        <v>0</v>
      </c>
      <c r="E2373" s="122" t="n">
        <f aca="false">дома!I1652</f>
        <v>3000</v>
      </c>
      <c r="F2373" s="122"/>
      <c r="G2373" s="122" t="n">
        <f aca="false">IF(F2373&gt;0,D2373*F2373,E2373*D2373)*IF(H2373&gt;0,1,0)</f>
        <v>0</v>
      </c>
      <c r="H2373" s="2210" t="n">
        <f aca="false">D2373*E2373*$H$607</f>
        <v>0</v>
      </c>
      <c r="I2373" s="2784" t="n">
        <f aca="false">IF(G2373&gt;H2373,G2373,H2373)</f>
        <v>0</v>
      </c>
      <c r="J2373" s="2744"/>
      <c r="K2373" s="226" t="n">
        <f aca="false">D2373-J2373</f>
        <v>0</v>
      </c>
      <c r="L2373" s="2736"/>
    </row>
    <row r="2374" customFormat="false" ht="15.5" hidden="false" customHeight="false" outlineLevel="0" collapsed="false">
      <c r="A2374" s="2719"/>
      <c r="B2374" s="2648" t="str">
        <f aca="false">дома!A1654</f>
        <v>Нет техники</v>
      </c>
      <c r="C2374" s="218" t="s">
        <v>1793</v>
      </c>
      <c r="D2374" s="298" t="n">
        <f aca="false">дома!C1654</f>
        <v>0</v>
      </c>
      <c r="E2374" s="122" t="n">
        <f aca="false">дома!I1653</f>
        <v>0</v>
      </c>
      <c r="F2374" s="122"/>
      <c r="G2374" s="122" t="n">
        <f aca="false">IF(F2374&gt;0,D2374*F2374,E2374*D2374)*IF(H2374&gt;0,1,0)</f>
        <v>0</v>
      </c>
      <c r="H2374" s="2210" t="n">
        <f aca="false">D2374*E2374*$H$607</f>
        <v>0</v>
      </c>
      <c r="I2374" s="2784" t="n">
        <f aca="false">IF(G2374&gt;H2374,G2374,H2374)</f>
        <v>0</v>
      </c>
      <c r="J2374" s="2744"/>
      <c r="K2374" s="226" t="n">
        <f aca="false">D2374-J2374</f>
        <v>0</v>
      </c>
      <c r="L2374" s="2736"/>
    </row>
    <row r="2375" customFormat="false" ht="15.5" hidden="false" customHeight="false" outlineLevel="0" collapsed="false">
      <c r="A2375" s="2719"/>
      <c r="B2375" s="639" t="str">
        <f aca="false">дома!A1741</f>
        <v>Нет техники</v>
      </c>
      <c r="C2375" s="218" t="s">
        <v>1793</v>
      </c>
      <c r="D2375" s="245" t="n">
        <f aca="false">дома!C1741</f>
        <v>0</v>
      </c>
      <c r="E2375" s="245" t="n">
        <f aca="false">дома!I1741</f>
        <v>0</v>
      </c>
      <c r="F2375" s="245"/>
      <c r="G2375" s="122" t="n">
        <f aca="false">IF(F2375&gt;0,D2375*F2375,E2375*D2375)*IF(H2375&gt;0,1,0)</f>
        <v>0</v>
      </c>
      <c r="H2375" s="245" t="n">
        <f aca="false">D2375*E2375*$H$666</f>
        <v>0</v>
      </c>
      <c r="I2375" s="2784" t="n">
        <f aca="false">IF(G2375&gt;H2375,G2375,H2375)</f>
        <v>0</v>
      </c>
      <c r="J2375" s="2744"/>
      <c r="K2375" s="226" t="n">
        <f aca="false">D2375-J2375</f>
        <v>0</v>
      </c>
      <c r="L2375" s="2736"/>
    </row>
    <row r="2376" customFormat="false" ht="15.5" hidden="false" customHeight="false" outlineLevel="0" collapsed="false">
      <c r="A2376" s="2719"/>
      <c r="B2376" s="639" t="str">
        <f aca="false">дома!A1731</f>
        <v>Нет техники</v>
      </c>
      <c r="C2376" s="218" t="s">
        <v>1793</v>
      </c>
      <c r="D2376" s="245" t="n">
        <f aca="false">дома!C1731</f>
        <v>0</v>
      </c>
      <c r="E2376" s="245" t="n">
        <f aca="false">дома!I1731</f>
        <v>0</v>
      </c>
      <c r="F2376" s="245"/>
      <c r="G2376" s="122" t="n">
        <f aca="false">IF(F2376&gt;0,D2376*F2376,E2376*D2376)*IF(H2376&gt;0,1,0)</f>
        <v>0</v>
      </c>
      <c r="H2376" s="245" t="n">
        <f aca="false">D2376*E2376*$H$666</f>
        <v>0</v>
      </c>
      <c r="I2376" s="2784" t="n">
        <f aca="false">IF(G2376&gt;H2376,G2376,H2376)</f>
        <v>0</v>
      </c>
      <c r="J2376" s="2744"/>
      <c r="K2376" s="226" t="n">
        <f aca="false">D2376-J2376</f>
        <v>0</v>
      </c>
      <c r="L2376" s="2736"/>
    </row>
    <row r="2377" customFormat="false" ht="15.5" hidden="false" customHeight="false" outlineLevel="0" collapsed="false">
      <c r="A2377" s="2719"/>
      <c r="B2377" s="639" t="str">
        <f aca="false">дома!A1732</f>
        <v>Нет техники</v>
      </c>
      <c r="C2377" s="218" t="s">
        <v>1793</v>
      </c>
      <c r="D2377" s="245" t="n">
        <f aca="false">дома!C1732</f>
        <v>0</v>
      </c>
      <c r="E2377" s="245" t="n">
        <f aca="false">дома!I1732</f>
        <v>0</v>
      </c>
      <c r="F2377" s="245"/>
      <c r="G2377" s="122" t="n">
        <f aca="false">IF(F2377&gt;0,D2377*F2377,E2377*D2377)*IF(H2377&gt;0,1,0)</f>
        <v>0</v>
      </c>
      <c r="H2377" s="245" t="n">
        <f aca="false">D2377*E2377*$H$666</f>
        <v>0</v>
      </c>
      <c r="I2377" s="2784" t="n">
        <f aca="false">IF(G2377&gt;H2377,G2377,H2377)</f>
        <v>0</v>
      </c>
      <c r="J2377" s="2744"/>
      <c r="K2377" s="226" t="n">
        <f aca="false">D2377-J2377</f>
        <v>0</v>
      </c>
      <c r="L2377" s="2736"/>
    </row>
    <row r="2378" customFormat="false" ht="15.5" hidden="false" customHeight="false" outlineLevel="0" collapsed="false">
      <c r="A2378" s="2719"/>
      <c r="B2378" s="639" t="str">
        <f aca="false">дома!A1811</f>
        <v>Нет техники</v>
      </c>
      <c r="C2378" s="218" t="s">
        <v>1793</v>
      </c>
      <c r="D2378" s="245" t="n">
        <f aca="false">дома!C1811</f>
        <v>6</v>
      </c>
      <c r="E2378" s="245" t="n">
        <f aca="false">дома!D1811</f>
        <v>0</v>
      </c>
      <c r="F2378" s="245"/>
      <c r="G2378" s="122" t="n">
        <f aca="false">IF(F2378&gt;0,D2378*F2378,E2378*D2378)*IF(H2378&gt;0,1,0)</f>
        <v>0</v>
      </c>
      <c r="H2378" s="245" t="n">
        <f aca="false">D2378*E2378*$H$718</f>
        <v>0</v>
      </c>
      <c r="I2378" s="2784" t="n">
        <f aca="false">IF(G2378&gt;H2378,G2378,H2378)</f>
        <v>0</v>
      </c>
      <c r="J2378" s="2744"/>
      <c r="K2378" s="226" t="n">
        <f aca="false">D2378-J2378</f>
        <v>6</v>
      </c>
      <c r="L2378" s="2736"/>
    </row>
    <row r="2379" customFormat="false" ht="15.5" hidden="false" customHeight="false" outlineLevel="0" collapsed="false">
      <c r="A2379" s="2719"/>
      <c r="B2379" s="639" t="str">
        <f aca="false">дома!A1812</f>
        <v>Нет техники</v>
      </c>
      <c r="C2379" s="218" t="s">
        <v>1793</v>
      </c>
      <c r="D2379" s="245" t="n">
        <f aca="false">дома!C1812</f>
        <v>0</v>
      </c>
      <c r="E2379" s="245" t="n">
        <f aca="false">дома!D1812</f>
        <v>0</v>
      </c>
      <c r="F2379" s="245"/>
      <c r="G2379" s="122" t="n">
        <f aca="false">IF(F2379&gt;0,D2379*F2379,E2379*D2379)*IF(H2379&gt;0,1,0)</f>
        <v>0</v>
      </c>
      <c r="H2379" s="245" t="n">
        <f aca="false">D2379*E2379*$H$718</f>
        <v>0</v>
      </c>
      <c r="I2379" s="2784" t="n">
        <f aca="false">IF(G2379&gt;H2379,G2379,H2379)</f>
        <v>0</v>
      </c>
      <c r="J2379" s="2744"/>
      <c r="K2379" s="226" t="n">
        <f aca="false">D2379-J2379</f>
        <v>0</v>
      </c>
      <c r="L2379" s="2736"/>
    </row>
    <row r="2380" customFormat="false" ht="15.5" hidden="false" customHeight="false" outlineLevel="0" collapsed="false">
      <c r="A2380" s="2719"/>
      <c r="B2380" s="122" t="str">
        <f aca="false">дома!A2010</f>
        <v>Нет техники</v>
      </c>
      <c r="C2380" s="218" t="s">
        <v>1793</v>
      </c>
      <c r="D2380" s="122" t="n">
        <f aca="false">дома!C2010</f>
        <v>6</v>
      </c>
      <c r="E2380" s="122" t="n">
        <f aca="false">дома!D2010</f>
        <v>0</v>
      </c>
      <c r="F2380" s="122"/>
      <c r="G2380" s="122" t="n">
        <f aca="false">IF(F2380&gt;0,D2380*F2380,E2380*D2380)*IF(H2380&gt;0,1,0)</f>
        <v>0</v>
      </c>
      <c r="H2380" s="122" t="n">
        <f aca="false">D2380*E2380*$H$755</f>
        <v>0</v>
      </c>
      <c r="I2380" s="2784" t="n">
        <f aca="false">IF(G2380&gt;H2380,G2380,H2380)</f>
        <v>0</v>
      </c>
      <c r="J2380" s="2744"/>
      <c r="K2380" s="226" t="n">
        <f aca="false">D2380-J2380</f>
        <v>6</v>
      </c>
      <c r="L2380" s="2736"/>
    </row>
    <row r="2381" customFormat="false" ht="15.5" hidden="false" customHeight="false" outlineLevel="0" collapsed="false">
      <c r="A2381" s="2719"/>
      <c r="B2381" s="122" t="str">
        <f aca="false">дома!A2011</f>
        <v>Нет техники</v>
      </c>
      <c r="C2381" s="218" t="s">
        <v>1793</v>
      </c>
      <c r="D2381" s="122" t="n">
        <f aca="false">дома!C2011</f>
        <v>0</v>
      </c>
      <c r="E2381" s="122" t="n">
        <f aca="false">дома!D2011</f>
        <v>0</v>
      </c>
      <c r="F2381" s="122"/>
      <c r="G2381" s="122" t="n">
        <f aca="false">IF(F2381&gt;0,D2381*F2381,E2381*D2381)*IF(H2381&gt;0,1,0)</f>
        <v>0</v>
      </c>
      <c r="H2381" s="122" t="n">
        <f aca="false">D2381*E2381*$H$755</f>
        <v>0</v>
      </c>
      <c r="I2381" s="2784" t="n">
        <f aca="false">IF(G2381&gt;H2381,G2381,H2381)</f>
        <v>0</v>
      </c>
      <c r="J2381" s="2744"/>
      <c r="K2381" s="226" t="n">
        <f aca="false">D2381-J2381</f>
        <v>0</v>
      </c>
      <c r="L2381" s="2736"/>
    </row>
    <row r="2382" customFormat="false" ht="16.5" hidden="false" customHeight="true" outlineLevel="0" collapsed="false">
      <c r="A2382" s="2719"/>
      <c r="B2382" s="122" t="str">
        <f aca="false">дома!A1964</f>
        <v>Нет техники</v>
      </c>
      <c r="C2382" s="218" t="s">
        <v>1793</v>
      </c>
      <c r="D2382" s="122" t="n">
        <f aca="false">дома!C1964</f>
        <v>6</v>
      </c>
      <c r="E2382" s="122" t="n">
        <f aca="false">дома!D1964</f>
        <v>0</v>
      </c>
      <c r="F2382" s="122"/>
      <c r="G2382" s="122" t="n">
        <f aca="false">IF(F2382&gt;0,D2382*F2382,E2382*D2382)*IF(H2382&gt;0,1,0)</f>
        <v>0</v>
      </c>
      <c r="H2382" s="2210" t="n">
        <f aca="false">D2382*E2382*$H$793</f>
        <v>0</v>
      </c>
      <c r="I2382" s="2784" t="n">
        <f aca="false">IF(G2382&gt;H2382,G2382,H2382)</f>
        <v>0</v>
      </c>
      <c r="J2382" s="2744"/>
      <c r="K2382" s="226" t="n">
        <f aca="false">D2382-J2382</f>
        <v>6</v>
      </c>
      <c r="L2382" s="2736"/>
    </row>
    <row r="2383" customFormat="false" ht="15.5" hidden="false" customHeight="false" outlineLevel="0" collapsed="false">
      <c r="A2383" s="2719"/>
      <c r="B2383" s="122" t="str">
        <f aca="false">дома!A1965</f>
        <v>Нет техники</v>
      </c>
      <c r="C2383" s="218" t="s">
        <v>1793</v>
      </c>
      <c r="D2383" s="122" t="n">
        <f aca="false">дома!C1965</f>
        <v>0</v>
      </c>
      <c r="E2383" s="122" t="n">
        <f aca="false">дома!D1965</f>
        <v>0</v>
      </c>
      <c r="F2383" s="122"/>
      <c r="G2383" s="122" t="n">
        <f aca="false">IF(F2383&gt;0,D2383*F2383,E2383*D2383)*IF(H2383&gt;0,1,0)</f>
        <v>0</v>
      </c>
      <c r="H2383" s="2210" t="n">
        <f aca="false">D2383*E2383*$H$793</f>
        <v>0</v>
      </c>
      <c r="I2383" s="2784" t="n">
        <f aca="false">IF(G2383&gt;H2383,G2383,H2383)</f>
        <v>0</v>
      </c>
      <c r="J2383" s="2744"/>
      <c r="K2383" s="226" t="n">
        <f aca="false">D2383-J2383</f>
        <v>0</v>
      </c>
      <c r="L2383" s="2736"/>
    </row>
    <row r="2384" customFormat="false" ht="15.5" hidden="false" customHeight="false" outlineLevel="0" collapsed="false">
      <c r="A2384" s="2719"/>
      <c r="B2384" s="122" t="str">
        <f aca="false">дома!A1856</f>
        <v>Нет техники</v>
      </c>
      <c r="C2384" s="218" t="s">
        <v>1793</v>
      </c>
      <c r="D2384" s="122" t="n">
        <f aca="false">дома!C1856</f>
        <v>6</v>
      </c>
      <c r="E2384" s="122" t="n">
        <f aca="false">дома!D1856</f>
        <v>0</v>
      </c>
      <c r="F2384" s="122"/>
      <c r="G2384" s="122" t="n">
        <f aca="false">IF(F2384&gt;0,D2384*F2384,E2384*D2384)*IF(H2384&gt;0,1,0)</f>
        <v>0</v>
      </c>
      <c r="H2384" s="2210" t="n">
        <f aca="false">D2384*E2384*$H$830</f>
        <v>0</v>
      </c>
      <c r="I2384" s="2784" t="n">
        <f aca="false">IF(G2384&gt;H2384,G2384,H2384)</f>
        <v>0</v>
      </c>
      <c r="J2384" s="2744"/>
      <c r="K2384" s="226" t="n">
        <f aca="false">D2384-J2384</f>
        <v>6</v>
      </c>
      <c r="L2384" s="2736"/>
    </row>
    <row r="2385" customFormat="false" ht="15.5" hidden="false" customHeight="false" outlineLevel="0" collapsed="false">
      <c r="A2385" s="2719"/>
      <c r="B2385" s="122" t="str">
        <f aca="false">дома!A1857</f>
        <v>Нет техники</v>
      </c>
      <c r="C2385" s="218" t="s">
        <v>1793</v>
      </c>
      <c r="D2385" s="122" t="n">
        <f aca="false">дома!C1857</f>
        <v>0</v>
      </c>
      <c r="E2385" s="122" t="n">
        <f aca="false">дома!D1857</f>
        <v>0</v>
      </c>
      <c r="F2385" s="122"/>
      <c r="G2385" s="122" t="n">
        <f aca="false">IF(F2385&gt;0,D2385*F2385,E2385*D2385)*IF(H2385&gt;0,1,0)</f>
        <v>0</v>
      </c>
      <c r="H2385" s="2210" t="n">
        <f aca="false">D2385*E2385*$H$830</f>
        <v>0</v>
      </c>
      <c r="I2385" s="2784" t="n">
        <f aca="false">IF(G2385&gt;H2385,G2385,H2385)</f>
        <v>0</v>
      </c>
      <c r="J2385" s="2744"/>
      <c r="K2385" s="226" t="n">
        <f aca="false">D2385-J2385</f>
        <v>0</v>
      </c>
      <c r="L2385" s="2736"/>
    </row>
    <row r="2386" customFormat="false" ht="15.5" hidden="false" customHeight="false" outlineLevel="0" collapsed="false">
      <c r="A2386" s="2719"/>
      <c r="B2386" s="122" t="str">
        <f aca="false">дома!A1903</f>
        <v>Нет техники</v>
      </c>
      <c r="C2386" s="218" t="s">
        <v>1793</v>
      </c>
      <c r="D2386" s="122" t="n">
        <f aca="false">дома!C1903</f>
        <v>6</v>
      </c>
      <c r="E2386" s="122" t="n">
        <f aca="false">дома!D1903</f>
        <v>0</v>
      </c>
      <c r="F2386" s="122"/>
      <c r="G2386" s="122" t="n">
        <f aca="false">IF(F2386&gt;0,D2386*F2386,E2386*D2386)*IF(H2386&gt;0,1,0)</f>
        <v>0</v>
      </c>
      <c r="H2386" s="2210" t="n">
        <f aca="false">D2386*E2386*$H$867</f>
        <v>0</v>
      </c>
      <c r="I2386" s="2784" t="n">
        <f aca="false">IF(G2386&gt;H2386,G2386,H2386)</f>
        <v>0</v>
      </c>
      <c r="J2386" s="2744"/>
      <c r="K2386" s="226" t="n">
        <f aca="false">D2386-J2386</f>
        <v>6</v>
      </c>
      <c r="L2386" s="2736"/>
    </row>
    <row r="2387" customFormat="false" ht="15.5" hidden="false" customHeight="false" outlineLevel="0" collapsed="false">
      <c r="A2387" s="2719"/>
      <c r="B2387" s="122" t="str">
        <f aca="false">дома!A1904</f>
        <v>Нет техники</v>
      </c>
      <c r="C2387" s="218" t="s">
        <v>1793</v>
      </c>
      <c r="D2387" s="122" t="n">
        <f aca="false">дома!C1904</f>
        <v>0</v>
      </c>
      <c r="E2387" s="122" t="n">
        <f aca="false">дома!D1904</f>
        <v>0</v>
      </c>
      <c r="F2387" s="122"/>
      <c r="G2387" s="122" t="n">
        <f aca="false">IF(F2387&gt;0,D2387*F2387,E2387*D2387)*IF(H2387&gt;0,1,0)</f>
        <v>0</v>
      </c>
      <c r="H2387" s="2210" t="n">
        <f aca="false">D2387*E2387*$H$867</f>
        <v>0</v>
      </c>
      <c r="I2387" s="2784" t="n">
        <f aca="false">IF(G2387&gt;H2387,G2387,H2387)</f>
        <v>0</v>
      </c>
      <c r="J2387" s="2744"/>
      <c r="K2387" s="226" t="n">
        <f aca="false">D2387-J2387</f>
        <v>0</v>
      </c>
      <c r="L2387" s="2736"/>
    </row>
    <row r="2388" customFormat="false" ht="15.5" hidden="false" customHeight="false" outlineLevel="0" collapsed="false">
      <c r="A2388" s="2719"/>
      <c r="B2388" s="87" t="str">
        <f aca="false">перекрытие!A229</f>
        <v>Газель</v>
      </c>
      <c r="C2388" s="218" t="s">
        <v>1793</v>
      </c>
      <c r="D2388" s="122" t="n">
        <f aca="false">перекрытие!D229</f>
        <v>1</v>
      </c>
      <c r="E2388" s="89" t="n">
        <f aca="false">перекрытие!E229</f>
        <v>1700</v>
      </c>
      <c r="F2388" s="89"/>
      <c r="G2388" s="122" t="n">
        <f aca="false">IF(F2388&gt;0,D2388*F2388,E2388*D2388)*IF(H2388&gt;0,1,0)</f>
        <v>0</v>
      </c>
      <c r="H2388" s="122" t="n">
        <f aca="false">перекрытие!F229*$H$903</f>
        <v>0</v>
      </c>
      <c r="I2388" s="2784" t="n">
        <f aca="false">IF(G2388&gt;H2388,G2388,H2388)</f>
        <v>0</v>
      </c>
      <c r="J2388" s="2744"/>
      <c r="K2388" s="226" t="n">
        <f aca="false">D2388-J2388</f>
        <v>1</v>
      </c>
      <c r="L2388" s="2736"/>
    </row>
    <row r="2389" customFormat="false" ht="15.5" hidden="false" customHeight="false" outlineLevel="0" collapsed="false">
      <c r="A2389" s="2719"/>
      <c r="B2389" s="87" t="str">
        <f aca="false">перекрытие!A230</f>
        <v>Доставка материала Фура</v>
      </c>
      <c r="C2389" s="218" t="s">
        <v>1793</v>
      </c>
      <c r="D2389" s="122" t="n">
        <f aca="false">перекрытие!D230</f>
        <v>0</v>
      </c>
      <c r="E2389" s="122" t="n">
        <f aca="false">перекрытие!E230</f>
        <v>2500</v>
      </c>
      <c r="F2389" s="122"/>
      <c r="G2389" s="122" t="n">
        <f aca="false">IF(F2389&gt;0,D2389*F2389,E2389*D2389)*IF(H2389&gt;0,1,0)</f>
        <v>0</v>
      </c>
      <c r="H2389" s="122" t="n">
        <f aca="false">перекрытие!F230*$H$903</f>
        <v>0</v>
      </c>
      <c r="I2389" s="2784" t="n">
        <f aca="false">IF(G2389&gt;H2389,G2389,H2389)</f>
        <v>0</v>
      </c>
      <c r="J2389" s="2744"/>
      <c r="K2389" s="226" t="n">
        <f aca="false">D2389-J2389</f>
        <v>0</v>
      </c>
      <c r="L2389" s="2736"/>
    </row>
    <row r="2390" customFormat="false" ht="15.5" hidden="false" customHeight="false" outlineLevel="0" collapsed="false">
      <c r="A2390" s="2719"/>
      <c r="B2390" s="87" t="str">
        <f aca="false">перекрытие!A231</f>
        <v>Воровайка</v>
      </c>
      <c r="C2390" s="218" t="s">
        <v>1793</v>
      </c>
      <c r="D2390" s="122" t="n">
        <f aca="false">перекрытие!D231</f>
        <v>0</v>
      </c>
      <c r="E2390" s="89" t="n">
        <f aca="false">перекрытие!E231</f>
        <v>3500</v>
      </c>
      <c r="F2390" s="89"/>
      <c r="G2390" s="122" t="n">
        <f aca="false">IF(F2390&gt;0,D2390*F2390,E2390*D2390)*IF(H2390&gt;0,1,0)</f>
        <v>0</v>
      </c>
      <c r="H2390" s="122" t="n">
        <f aca="false">перекрытие!F231*$H$903</f>
        <v>0</v>
      </c>
      <c r="I2390" s="2784" t="n">
        <f aca="false">IF(G2390&gt;H2390,G2390,H2390)</f>
        <v>0</v>
      </c>
      <c r="J2390" s="2744"/>
      <c r="K2390" s="226" t="n">
        <f aca="false">D2390-J2390</f>
        <v>0</v>
      </c>
      <c r="L2390" s="2736"/>
    </row>
    <row r="2391" customFormat="false" ht="15.5" hidden="false" customHeight="false" outlineLevel="0" collapsed="false">
      <c r="A2391" s="2719"/>
      <c r="B2391" s="298" t="str">
        <f aca="false">крыша!A314</f>
        <v>Нет техники</v>
      </c>
      <c r="C2391" s="218" t="s">
        <v>1793</v>
      </c>
      <c r="D2391" s="298" t="n">
        <f aca="false">крыша!C314</f>
        <v>4</v>
      </c>
      <c r="E2391" s="298" t="n">
        <f aca="false">крыша!D314</f>
        <v>0</v>
      </c>
      <c r="F2391" s="298"/>
      <c r="G2391" s="122" t="n">
        <f aca="false">IF(F2391&gt;0,D2391*F2391,E2391*D2391)*IF(H2391&gt;0,1,0)</f>
        <v>0</v>
      </c>
      <c r="H2391" s="2210" t="n">
        <f aca="false">D2391*E2391*$H$1410</f>
        <v>0</v>
      </c>
      <c r="I2391" s="2784" t="n">
        <f aca="false">IF(G2391&gt;H2391,G2391,H2391)</f>
        <v>0</v>
      </c>
      <c r="J2391" s="2744"/>
      <c r="K2391" s="226" t="n">
        <f aca="false">D2391-J2391</f>
        <v>4</v>
      </c>
      <c r="L2391" s="2736"/>
    </row>
    <row r="2392" customFormat="false" ht="15.5" hidden="false" customHeight="false" outlineLevel="0" collapsed="false">
      <c r="A2392" s="2719"/>
      <c r="B2392" s="298" t="str">
        <f aca="false">крыша!A315</f>
        <v>Нет техники</v>
      </c>
      <c r="C2392" s="218" t="s">
        <v>1793</v>
      </c>
      <c r="D2392" s="298" t="n">
        <f aca="false">крыша!C315</f>
        <v>0</v>
      </c>
      <c r="E2392" s="298" t="n">
        <f aca="false">крыша!D315</f>
        <v>0</v>
      </c>
      <c r="F2392" s="298"/>
      <c r="G2392" s="122" t="n">
        <f aca="false">IF(F2392&gt;0,D2392*F2392,E2392*D2392)*IF(H2392&gt;0,1,0)</f>
        <v>0</v>
      </c>
      <c r="H2392" s="2210" t="n">
        <f aca="false">D2392*E2392*$H$1410</f>
        <v>0</v>
      </c>
      <c r="I2392" s="2784" t="n">
        <f aca="false">IF(G2392&gt;H2392,G2392,H2392)</f>
        <v>0</v>
      </c>
      <c r="J2392" s="2744"/>
      <c r="K2392" s="226" t="n">
        <f aca="false">D2392-J2392</f>
        <v>0</v>
      </c>
      <c r="L2392" s="2736"/>
    </row>
    <row r="2393" customFormat="false" ht="15.5" hidden="false" customHeight="false" outlineLevel="0" collapsed="false">
      <c r="A2393" s="2719"/>
      <c r="B2393" s="298" t="str">
        <f aca="false">крыша!A392</f>
        <v>Нет техники</v>
      </c>
      <c r="C2393" s="218" t="s">
        <v>1793</v>
      </c>
      <c r="D2393" s="298" t="n">
        <f aca="false">крыша!C392</f>
        <v>4</v>
      </c>
      <c r="E2393" s="298" t="n">
        <f aca="false">крыша!D392</f>
        <v>0</v>
      </c>
      <c r="F2393" s="298"/>
      <c r="G2393" s="122" t="n">
        <f aca="false">IF(F2393&gt;0,D2393*F2393,E2393*D2393)*IF(H2393&gt;0,1,0)</f>
        <v>0</v>
      </c>
      <c r="H2393" s="2210" t="n">
        <f aca="false">D2393*E2393*$H$1484</f>
        <v>0</v>
      </c>
      <c r="I2393" s="2784" t="n">
        <f aca="false">IF(G2393&gt;H2393,G2393,H2393)</f>
        <v>0</v>
      </c>
      <c r="J2393" s="2744"/>
      <c r="K2393" s="226" t="n">
        <f aca="false">D2393-J2393</f>
        <v>4</v>
      </c>
      <c r="L2393" s="2736"/>
    </row>
    <row r="2394" customFormat="false" ht="15.5" hidden="false" customHeight="false" outlineLevel="0" collapsed="false">
      <c r="A2394" s="2719"/>
      <c r="B2394" s="298" t="str">
        <f aca="false">крыша!A393</f>
        <v>Нет техники</v>
      </c>
      <c r="C2394" s="218" t="s">
        <v>1793</v>
      </c>
      <c r="D2394" s="298" t="n">
        <f aca="false">крыша!C393</f>
        <v>0</v>
      </c>
      <c r="E2394" s="298" t="n">
        <f aca="false">крыша!D393</f>
        <v>0</v>
      </c>
      <c r="F2394" s="298"/>
      <c r="G2394" s="122" t="n">
        <f aca="false">IF(F2394&gt;0,D2394*F2394,E2394*D2394)*IF(H2394&gt;0,1,0)</f>
        <v>0</v>
      </c>
      <c r="H2394" s="2210" t="n">
        <f aca="false">D2394*E2394*$H$1484</f>
        <v>0</v>
      </c>
      <c r="I2394" s="2784" t="n">
        <f aca="false">IF(G2394&gt;H2394,G2394,H2394)</f>
        <v>0</v>
      </c>
      <c r="J2394" s="2744"/>
      <c r="K2394" s="226" t="n">
        <f aca="false">D2394-J2394</f>
        <v>0</v>
      </c>
      <c r="L2394" s="2736"/>
    </row>
    <row r="2395" customFormat="false" ht="15.5" hidden="false" customHeight="false" outlineLevel="0" collapsed="false">
      <c r="A2395" s="2719"/>
      <c r="B2395" s="298" t="str">
        <f aca="false">крыша!A481</f>
        <v>Манипулятор 5т</v>
      </c>
      <c r="C2395" s="218" t="s">
        <v>1793</v>
      </c>
      <c r="D2395" s="298" t="n">
        <f aca="false">крыша!C481</f>
        <v>4</v>
      </c>
      <c r="E2395" s="298" t="n">
        <f aca="false">крыша!D481</f>
        <v>2500</v>
      </c>
      <c r="F2395" s="298"/>
      <c r="G2395" s="122" t="n">
        <f aca="false">IF(F2395&gt;0,D2395*F2395,E2395*D2395)*IF(H2395&gt;0,1,0)</f>
        <v>0</v>
      </c>
      <c r="H2395" s="2210" t="n">
        <f aca="false">D2395*E2395*$H$1550</f>
        <v>0</v>
      </c>
      <c r="I2395" s="2784" t="n">
        <f aca="false">IF(G2395&gt;H2395,G2395,H2395)</f>
        <v>0</v>
      </c>
      <c r="J2395" s="2744"/>
      <c r="K2395" s="226" t="n">
        <f aca="false">D2395-J2395</f>
        <v>4</v>
      </c>
      <c r="L2395" s="2736"/>
    </row>
    <row r="2396" customFormat="false" ht="15.5" hidden="false" customHeight="false" outlineLevel="0" collapsed="false">
      <c r="A2396" s="2719"/>
      <c r="B2396" s="298" t="str">
        <f aca="false">крыша!A482</f>
        <v>Нет техники</v>
      </c>
      <c r="C2396" s="218" t="s">
        <v>1793</v>
      </c>
      <c r="D2396" s="298" t="n">
        <f aca="false">крыша!C482</f>
        <v>0</v>
      </c>
      <c r="E2396" s="298" t="n">
        <f aca="false">крыша!D482</f>
        <v>0</v>
      </c>
      <c r="F2396" s="298"/>
      <c r="G2396" s="122" t="n">
        <f aca="false">IF(F2396&gt;0,D2396*F2396,E2396*D2396)*IF(H2396&gt;0,1,0)</f>
        <v>0</v>
      </c>
      <c r="H2396" s="2210" t="n">
        <f aca="false">D2396*E2396*$H$1550</f>
        <v>0</v>
      </c>
      <c r="I2396" s="2784" t="n">
        <f aca="false">IF(G2396&gt;H2396,G2396,H2396)</f>
        <v>0</v>
      </c>
      <c r="J2396" s="2744"/>
      <c r="K2396" s="226" t="n">
        <f aca="false">D2396-J2396</f>
        <v>0</v>
      </c>
      <c r="L2396" s="2736"/>
    </row>
    <row r="2397" customFormat="false" ht="15.5" hidden="false" customHeight="false" outlineLevel="0" collapsed="false">
      <c r="A2397" s="2719"/>
      <c r="B2397" s="298" t="str">
        <f aca="false">крыша!A548</f>
        <v>Нет техники</v>
      </c>
      <c r="C2397" s="218" t="s">
        <v>1793</v>
      </c>
      <c r="D2397" s="298" t="n">
        <f aca="false">крыша!C548</f>
        <v>4</v>
      </c>
      <c r="E2397" s="298" t="n">
        <f aca="false">крыша!D548</f>
        <v>0</v>
      </c>
      <c r="F2397" s="298"/>
      <c r="G2397" s="122" t="n">
        <f aca="false">IF(F2397&gt;0,D2397*F2397,E2397*D2397)*IF(H2397&gt;0,1,0)</f>
        <v>0</v>
      </c>
      <c r="H2397" s="2210" t="n">
        <f aca="false">D2397*E2397*$H$1623</f>
        <v>0</v>
      </c>
      <c r="I2397" s="2784" t="n">
        <f aca="false">IF(G2397&gt;H2397,G2397,H2397)</f>
        <v>0</v>
      </c>
      <c r="J2397" s="2744"/>
      <c r="K2397" s="226" t="n">
        <f aca="false">D2397-J2397</f>
        <v>4</v>
      </c>
      <c r="L2397" s="2736"/>
    </row>
    <row r="2398" customFormat="false" ht="15.5" hidden="false" customHeight="false" outlineLevel="0" collapsed="false">
      <c r="A2398" s="2719"/>
      <c r="B2398" s="298" t="str">
        <f aca="false">крыша!A549</f>
        <v>Нет техники</v>
      </c>
      <c r="C2398" s="218" t="s">
        <v>1793</v>
      </c>
      <c r="D2398" s="298" t="n">
        <f aca="false">крыша!C549</f>
        <v>0</v>
      </c>
      <c r="E2398" s="298" t="n">
        <f aca="false">крыша!D549</f>
        <v>0</v>
      </c>
      <c r="F2398" s="298"/>
      <c r="G2398" s="122" t="n">
        <f aca="false">IF(F2398&gt;0,D2398*F2398,E2398*D2398)*IF(H2398&gt;0,1,0)</f>
        <v>0</v>
      </c>
      <c r="H2398" s="2210" t="n">
        <f aca="false">D2398*E2398*$H$1623</f>
        <v>0</v>
      </c>
      <c r="I2398" s="2784" t="n">
        <f aca="false">IF(G2398&gt;H2398,G2398,H2398)</f>
        <v>0</v>
      </c>
      <c r="J2398" s="2744"/>
      <c r="K2398" s="226" t="n">
        <f aca="false">D2398-J2398</f>
        <v>0</v>
      </c>
      <c r="L2398" s="2736"/>
    </row>
    <row r="2399" customFormat="false" ht="15.5" hidden="false" customHeight="false" outlineLevel="0" collapsed="false">
      <c r="A2399" s="2719"/>
      <c r="B2399" s="298" t="str">
        <f aca="false">пристройка!A258</f>
        <v>Нет техники</v>
      </c>
      <c r="C2399" s="218" t="s">
        <v>1793</v>
      </c>
      <c r="D2399" s="298" t="n">
        <f aca="false">пристройка!C258</f>
        <v>2</v>
      </c>
      <c r="E2399" s="298" t="n">
        <f aca="false">пристройка!D258</f>
        <v>0</v>
      </c>
      <c r="F2399" s="298"/>
      <c r="G2399" s="122" t="n">
        <f aca="false">IF(F2399&gt;0,D2399*F2399,E2399*D2399)*IF(H2399&gt;0,1,0)</f>
        <v>0</v>
      </c>
      <c r="H2399" s="2210" t="n">
        <f aca="false">D2399*E2399*$H$1681</f>
        <v>0</v>
      </c>
      <c r="I2399" s="2784" t="n">
        <f aca="false">IF(G2399&gt;H2399,G2399,H2399)</f>
        <v>0</v>
      </c>
      <c r="J2399" s="2744"/>
      <c r="K2399" s="226" t="n">
        <f aca="false">D2399-J2399</f>
        <v>2</v>
      </c>
      <c r="L2399" s="2736"/>
    </row>
    <row r="2400" customFormat="false" ht="15.5" hidden="false" customHeight="false" outlineLevel="0" collapsed="false">
      <c r="A2400" s="2719"/>
      <c r="B2400" s="298" t="str">
        <f aca="false">пристройка!A259</f>
        <v>Нет техники</v>
      </c>
      <c r="C2400" s="218" t="s">
        <v>1793</v>
      </c>
      <c r="D2400" s="298" t="n">
        <f aca="false">пристройка!C259</f>
        <v>0</v>
      </c>
      <c r="E2400" s="298" t="n">
        <f aca="false">пристройка!D259</f>
        <v>0</v>
      </c>
      <c r="F2400" s="298"/>
      <c r="G2400" s="122" t="n">
        <f aca="false">IF(F2400&gt;0,D2400*F2400,E2400*D2400)*IF(H2400&gt;0,1,0)</f>
        <v>0</v>
      </c>
      <c r="H2400" s="2210" t="n">
        <f aca="false">D2400*E2400*$H$1681</f>
        <v>0</v>
      </c>
      <c r="I2400" s="2784" t="n">
        <f aca="false">IF(G2400&gt;H2400,G2400,H2400)</f>
        <v>0</v>
      </c>
      <c r="J2400" s="2744"/>
      <c r="K2400" s="226" t="n">
        <f aca="false">D2400-J2400</f>
        <v>0</v>
      </c>
      <c r="L2400" s="2736"/>
    </row>
    <row r="2401" customFormat="false" ht="15.5" hidden="false" customHeight="false" outlineLevel="0" collapsed="false">
      <c r="A2401" s="2719"/>
      <c r="B2401" s="298" t="str">
        <f aca="false">крыша!A621</f>
        <v>Нет техники</v>
      </c>
      <c r="C2401" s="218" t="s">
        <v>1793</v>
      </c>
      <c r="D2401" s="298" t="n">
        <f aca="false">крыша!C621</f>
        <v>1</v>
      </c>
      <c r="E2401" s="298" t="n">
        <f aca="false">крыша!D621</f>
        <v>0</v>
      </c>
      <c r="F2401" s="298"/>
      <c r="G2401" s="122" t="n">
        <f aca="false">IF(F2401&gt;0,D2401*F2401,E2401*D2401)*IF(H2401&gt;0,1,0)</f>
        <v>0</v>
      </c>
      <c r="H2401" s="2210" t="n">
        <f aca="false">D2401*E2401*$H$1749</f>
        <v>0</v>
      </c>
      <c r="I2401" s="2784" t="n">
        <f aca="false">IF(G2401&gt;H2401,G2401,H2401)</f>
        <v>0</v>
      </c>
      <c r="J2401" s="2744"/>
      <c r="K2401" s="226" t="n">
        <f aca="false">D2401-J2401</f>
        <v>1</v>
      </c>
      <c r="L2401" s="2736"/>
    </row>
    <row r="2402" customFormat="false" ht="15.5" hidden="false" customHeight="false" outlineLevel="0" collapsed="false">
      <c r="A2402" s="2719"/>
      <c r="B2402" s="298" t="str">
        <f aca="false">крыша!A622</f>
        <v>Нет техники</v>
      </c>
      <c r="C2402" s="218" t="s">
        <v>1793</v>
      </c>
      <c r="D2402" s="298" t="n">
        <f aca="false">крыша!C622</f>
        <v>0</v>
      </c>
      <c r="E2402" s="298" t="n">
        <f aca="false">крыша!D622</f>
        <v>0</v>
      </c>
      <c r="F2402" s="298"/>
      <c r="G2402" s="122" t="n">
        <f aca="false">IF(F2402&gt;0,D2402*F2402,E2402*D2402)*IF(H2402&gt;0,1,0)</f>
        <v>0</v>
      </c>
      <c r="H2402" s="2210" t="n">
        <f aca="false">D2402*E2402*$H$1749</f>
        <v>0</v>
      </c>
      <c r="I2402" s="2784" t="n">
        <f aca="false">IF(G2402&gt;H2402,G2402,H2402)</f>
        <v>0</v>
      </c>
      <c r="J2402" s="2744"/>
      <c r="K2402" s="226" t="n">
        <f aca="false">D2402-J2402</f>
        <v>0</v>
      </c>
      <c r="L2402" s="2736"/>
    </row>
    <row r="2403" customFormat="false" ht="15.5" hidden="false" customHeight="false" outlineLevel="0" collapsed="false">
      <c r="A2403" s="2719"/>
      <c r="B2403" s="122" t="str">
        <f aca="false">дома!A2177</f>
        <v>Нет техники</v>
      </c>
      <c r="C2403" s="218" t="s">
        <v>1793</v>
      </c>
      <c r="D2403" s="122" t="n">
        <f aca="false">дома!C2177</f>
        <v>1</v>
      </c>
      <c r="E2403" s="122" t="n">
        <f aca="false">дома!D2177</f>
        <v>0</v>
      </c>
      <c r="F2403" s="122"/>
      <c r="G2403" s="122" t="n">
        <f aca="false">IF(F2403&gt;0,D2403*F2403,E2403*D2403)*IF(H2403&gt;0,1,0)</f>
        <v>0</v>
      </c>
      <c r="H2403" s="2210" t="n">
        <f aca="false">D2403*E2403*$H$1816</f>
        <v>0</v>
      </c>
      <c r="I2403" s="2784" t="n">
        <f aca="false">IF(G2403&gt;H2403,G2403,H2403)</f>
        <v>0</v>
      </c>
      <c r="J2403" s="2744"/>
      <c r="K2403" s="226" t="n">
        <f aca="false">D2403-J2403</f>
        <v>1</v>
      </c>
      <c r="L2403" s="2736"/>
    </row>
    <row r="2404" customFormat="false" ht="15.5" hidden="false" customHeight="false" outlineLevel="0" collapsed="false">
      <c r="A2404" s="2719"/>
      <c r="B2404" s="122" t="str">
        <f aca="false">дома!A2178</f>
        <v>Нет техники</v>
      </c>
      <c r="C2404" s="218" t="s">
        <v>1793</v>
      </c>
      <c r="D2404" s="122" t="n">
        <f aca="false">дома!C2178</f>
        <v>0</v>
      </c>
      <c r="E2404" s="122" t="n">
        <f aca="false">дома!D2178</f>
        <v>0</v>
      </c>
      <c r="F2404" s="122"/>
      <c r="G2404" s="122" t="n">
        <f aca="false">IF(F2404&gt;0,D2404*F2404,E2404*D2404)*IF(H2404&gt;0,1,0)</f>
        <v>0</v>
      </c>
      <c r="H2404" s="2210" t="n">
        <f aca="false">D2404*E2404*$H$1816</f>
        <v>0</v>
      </c>
      <c r="I2404" s="2784" t="n">
        <f aca="false">IF(G2404&gt;H2404,G2404,H2404)</f>
        <v>0</v>
      </c>
      <c r="J2404" s="2744"/>
      <c r="K2404" s="226" t="n">
        <f aca="false">D2404-J2404</f>
        <v>0</v>
      </c>
      <c r="L2404" s="2736"/>
    </row>
    <row r="2405" customFormat="false" ht="15.5" hidden="false" customHeight="false" outlineLevel="0" collapsed="false">
      <c r="A2405" s="2719"/>
      <c r="B2405" s="2819" t="str">
        <f aca="false">дома!A2062</f>
        <v>Нет техники</v>
      </c>
      <c r="C2405" s="218" t="s">
        <v>1793</v>
      </c>
      <c r="D2405" s="369" t="n">
        <f aca="false">дома!C2062</f>
        <v>1</v>
      </c>
      <c r="E2405" s="369" t="n">
        <f aca="false">дома!D2062</f>
        <v>0</v>
      </c>
      <c r="F2405" s="369"/>
      <c r="G2405" s="122" t="n">
        <f aca="false">IF(F2405&gt;0,D2405*F2405,E2405*D2405)*IF(H2405&gt;0,1,0)</f>
        <v>0</v>
      </c>
      <c r="H2405" s="2849" t="n">
        <f aca="false">D2405*E2405*$H$1250</f>
        <v>0</v>
      </c>
      <c r="I2405" s="2784" t="n">
        <f aca="false">IF(G2405&gt;H2405,G2405,H2405)</f>
        <v>0</v>
      </c>
      <c r="J2405" s="2744"/>
      <c r="K2405" s="226" t="n">
        <f aca="false">D2405-J2405</f>
        <v>1</v>
      </c>
      <c r="L2405" s="2736"/>
    </row>
    <row r="2406" customFormat="false" ht="15.5" hidden="false" customHeight="false" outlineLevel="0" collapsed="false">
      <c r="A2406" s="2719"/>
      <c r="B2406" s="2819" t="str">
        <f aca="false">дома!A2063</f>
        <v>Нет техники</v>
      </c>
      <c r="C2406" s="218" t="s">
        <v>1793</v>
      </c>
      <c r="D2406" s="369" t="n">
        <f aca="false">дома!C2063</f>
        <v>0</v>
      </c>
      <c r="E2406" s="369" t="n">
        <f aca="false">дома!D2063</f>
        <v>0</v>
      </c>
      <c r="F2406" s="369"/>
      <c r="G2406" s="122" t="n">
        <f aca="false">IF(F2406&gt;0,D2406*F2406,E2406*D2406)*IF(H2406&gt;0,1,0)</f>
        <v>0</v>
      </c>
      <c r="H2406" s="2849" t="n">
        <f aca="false">D2406*E2406*$H$1250</f>
        <v>0</v>
      </c>
      <c r="I2406" s="2784" t="n">
        <f aca="false">IF(G2406&gt;H2406,G2406,H2406)</f>
        <v>0</v>
      </c>
      <c r="J2406" s="2744"/>
      <c r="K2406" s="226" t="n">
        <f aca="false">D2406-J2406</f>
        <v>0</v>
      </c>
      <c r="L2406" s="2736"/>
    </row>
    <row r="2407" customFormat="false" ht="15.5" hidden="false" customHeight="false" outlineLevel="0" collapsed="false">
      <c r="A2407" s="2719"/>
      <c r="B2407" s="298" t="str">
        <f aca="false">инженерка!A477</f>
        <v>Экскаватор погрузчик</v>
      </c>
      <c r="C2407" s="218" t="s">
        <v>1793</v>
      </c>
      <c r="D2407" s="298" t="n">
        <f aca="false">инженерка!C477</f>
        <v>5</v>
      </c>
      <c r="E2407" s="298" t="n">
        <f aca="false">инженерка!D477</f>
        <v>2200</v>
      </c>
      <c r="F2407" s="298"/>
      <c r="G2407" s="122" t="n">
        <f aca="false">IF(F2407&gt;0,D2407*F2407,E2407*D2407)*IF(H2407&gt;0,1,0)</f>
        <v>0</v>
      </c>
      <c r="H2407" s="2210" t="n">
        <f aca="false">D2407*E2407*$H$2296</f>
        <v>0</v>
      </c>
      <c r="I2407" s="2784" t="n">
        <f aca="false">IF(G2407&gt;H2407,G2407,H2407)</f>
        <v>0</v>
      </c>
      <c r="J2407" s="2744"/>
      <c r="K2407" s="226" t="n">
        <f aca="false">D2407-J2407</f>
        <v>5</v>
      </c>
      <c r="L2407" s="2736"/>
    </row>
    <row r="2408" customFormat="false" ht="15.5" hidden="false" customHeight="false" outlineLevel="0" collapsed="false">
      <c r="A2408" s="2719"/>
      <c r="B2408" s="298" t="str">
        <f aca="false">инженерка!A478</f>
        <v>Манипулятор 5т</v>
      </c>
      <c r="C2408" s="218" t="s">
        <v>1793</v>
      </c>
      <c r="D2408" s="298" t="n">
        <f aca="false">инженерка!C478</f>
        <v>3</v>
      </c>
      <c r="E2408" s="298" t="n">
        <f aca="false">инженерка!D478</f>
        <v>2500</v>
      </c>
      <c r="F2408" s="298"/>
      <c r="G2408" s="122" t="n">
        <f aca="false">IF(F2408&gt;0,D2408*F2408,E2408*D2408)*IF(H2408&gt;0,1,0)</f>
        <v>0</v>
      </c>
      <c r="H2408" s="2210" t="n">
        <f aca="false">D2408*E2408*$H$2296</f>
        <v>0</v>
      </c>
      <c r="I2408" s="2784" t="n">
        <f aca="false">IF(G2408&gt;H2408,G2408,H2408)</f>
        <v>0</v>
      </c>
      <c r="J2408" s="2744"/>
      <c r="K2408" s="226" t="n">
        <f aca="false">D2408-J2408</f>
        <v>3</v>
      </c>
      <c r="L2408" s="2736"/>
    </row>
    <row r="2409" customFormat="false" ht="15.5" hidden="false" customHeight="false" outlineLevel="0" collapsed="false">
      <c r="A2409" s="2719"/>
      <c r="B2409" s="298" t="str">
        <f aca="false">инженерка!A383</f>
        <v>Нет техники</v>
      </c>
      <c r="C2409" s="218" t="s">
        <v>1793</v>
      </c>
      <c r="D2409" s="298" t="n">
        <f aca="false">инженерка!C383</f>
        <v>4</v>
      </c>
      <c r="E2409" s="298" t="n">
        <f aca="false">инженерка!D383</f>
        <v>0</v>
      </c>
      <c r="F2409" s="298"/>
      <c r="G2409" s="122" t="n">
        <f aca="false">IF(F2409&gt;0,D2409*F2409,E2409*D2409)*IF(H2409&gt;0,1,0)</f>
        <v>0</v>
      </c>
      <c r="H2409" s="2210" t="n">
        <f aca="false">D2409*E2409*$H$2227</f>
        <v>0</v>
      </c>
      <c r="I2409" s="2784" t="n">
        <f aca="false">IF(G2409&gt;H2409,G2409,H2409)</f>
        <v>0</v>
      </c>
      <c r="J2409" s="2744"/>
      <c r="K2409" s="226" t="n">
        <f aca="false">D2409-J2409</f>
        <v>4</v>
      </c>
      <c r="L2409" s="2736"/>
    </row>
    <row r="2410" customFormat="false" ht="15.5" hidden="false" customHeight="false" outlineLevel="0" collapsed="false">
      <c r="A2410" s="2719"/>
      <c r="B2410" s="298" t="str">
        <f aca="false">инженерка!A384</f>
        <v>Нет техники</v>
      </c>
      <c r="C2410" s="218" t="s">
        <v>1793</v>
      </c>
      <c r="D2410" s="298" t="n">
        <f aca="false">инженерка!C384</f>
        <v>0</v>
      </c>
      <c r="E2410" s="298" t="n">
        <f aca="false">инженерка!D384</f>
        <v>0</v>
      </c>
      <c r="F2410" s="298"/>
      <c r="G2410" s="122" t="n">
        <f aca="false">IF(F2410&gt;0,D2410*F2410,E2410*D2410)*IF(H2410&gt;0,1,0)</f>
        <v>0</v>
      </c>
      <c r="H2410" s="2210" t="n">
        <f aca="false">D2410*E2410*$H$2227</f>
        <v>0</v>
      </c>
      <c r="I2410" s="2784" t="n">
        <f aca="false">IF(G2410&gt;H2410,G2410,H2410)</f>
        <v>0</v>
      </c>
      <c r="J2410" s="2744"/>
      <c r="K2410" s="226" t="n">
        <f aca="false">D2410-J2410</f>
        <v>0</v>
      </c>
      <c r="L2410" s="2736"/>
    </row>
    <row r="2411" customFormat="false" ht="15.5" hidden="false" customHeight="false" outlineLevel="0" collapsed="false">
      <c r="A2411" s="2719"/>
      <c r="B2411" s="298" t="str">
        <f aca="false">инженерка!A410</f>
        <v>Нет техники</v>
      </c>
      <c r="C2411" s="218" t="s">
        <v>1793</v>
      </c>
      <c r="D2411" s="298" t="n">
        <f aca="false">инженерка!C410</f>
        <v>0</v>
      </c>
      <c r="E2411" s="298" t="n">
        <f aca="false">инженерка!D410</f>
        <v>0</v>
      </c>
      <c r="F2411" s="298"/>
      <c r="G2411" s="122" t="n">
        <f aca="false">IF(F2411&gt;0,D2411*F2411,E2411*D2411)*IF(H2411&gt;0,1,0)</f>
        <v>0</v>
      </c>
      <c r="H2411" s="85" t="n">
        <f aca="false">D2411*E2411*$H$2257</f>
        <v>0</v>
      </c>
      <c r="I2411" s="2784" t="n">
        <f aca="false">IF(G2411&gt;H2411,G2411,H2411)</f>
        <v>0</v>
      </c>
      <c r="J2411" s="2744"/>
      <c r="K2411" s="226" t="n">
        <f aca="false">D2411-J2411</f>
        <v>0</v>
      </c>
      <c r="L2411" s="2736"/>
    </row>
    <row r="2412" customFormat="false" ht="15.5" hidden="false" customHeight="false" outlineLevel="0" collapsed="false">
      <c r="A2412" s="2719"/>
      <c r="B2412" s="298" t="str">
        <f aca="false">инженерка!A411</f>
        <v>Нет техники</v>
      </c>
      <c r="C2412" s="218" t="s">
        <v>1793</v>
      </c>
      <c r="D2412" s="298" t="n">
        <f aca="false">инженерка!C411</f>
        <v>0</v>
      </c>
      <c r="E2412" s="298" t="n">
        <f aca="false">инженерка!D411</f>
        <v>0</v>
      </c>
      <c r="F2412" s="298"/>
      <c r="G2412" s="122" t="n">
        <f aca="false">IF(F2412&gt;0,D2412*F2412,E2412*D2412)*IF(H2412&gt;0,1,0)</f>
        <v>0</v>
      </c>
      <c r="H2412" s="85" t="n">
        <f aca="false">D2412*E2412*$H$2257</f>
        <v>0</v>
      </c>
      <c r="I2412" s="2784" t="n">
        <f aca="false">IF(G2412&gt;H2412,G2412,H2412)</f>
        <v>0</v>
      </c>
      <c r="J2412" s="2744"/>
      <c r="K2412" s="226" t="n">
        <f aca="false">D2412-J2412</f>
        <v>0</v>
      </c>
      <c r="L2412" s="2736"/>
    </row>
    <row r="2413" customFormat="false" ht="15.5" hidden="false" customHeight="false" outlineLevel="0" collapsed="false">
      <c r="A2413" s="2719"/>
      <c r="B2413" s="298" t="str">
        <f aca="false">инженерка!A436</f>
        <v>Нет техники</v>
      </c>
      <c r="C2413" s="218" t="s">
        <v>1793</v>
      </c>
      <c r="D2413" s="298" t="n">
        <f aca="false">инженерка!C436</f>
        <v>4</v>
      </c>
      <c r="E2413" s="298" t="n">
        <f aca="false">инженерка!D436</f>
        <v>0</v>
      </c>
      <c r="F2413" s="298"/>
      <c r="G2413" s="122" t="n">
        <f aca="false">IF(F2413&gt;0,D2413*F2413,E2413*D2413)*IF(H2413&gt;0,1,0)</f>
        <v>0</v>
      </c>
      <c r="H2413" s="2210" t="n">
        <f aca="false">D2413*E2413*$H$2276</f>
        <v>0</v>
      </c>
      <c r="I2413" s="2784" t="n">
        <f aca="false">IF(G2413&gt;H2413,G2413,H2413)</f>
        <v>0</v>
      </c>
      <c r="J2413" s="2744"/>
      <c r="K2413" s="226" t="n">
        <f aca="false">D2413-J2413</f>
        <v>4</v>
      </c>
      <c r="L2413" s="2736"/>
    </row>
    <row r="2414" customFormat="false" ht="16.5" hidden="false" customHeight="true" outlineLevel="0" collapsed="false">
      <c r="A2414" s="2719"/>
      <c r="B2414" s="298" t="str">
        <f aca="false">инженерка!A437</f>
        <v>Нет техники</v>
      </c>
      <c r="C2414" s="218" t="s">
        <v>1793</v>
      </c>
      <c r="D2414" s="298" t="n">
        <f aca="false">инженерка!C437</f>
        <v>0</v>
      </c>
      <c r="E2414" s="298" t="n">
        <f aca="false">инженерка!D437</f>
        <v>0</v>
      </c>
      <c r="F2414" s="298"/>
      <c r="G2414" s="122" t="n">
        <f aca="false">IF(F2414&gt;0,D2414*F2414,E2414*D2414)*IF(H2414&gt;0,1,0)</f>
        <v>0</v>
      </c>
      <c r="H2414" s="2210" t="n">
        <f aca="false">D2414*E2414*$H$2276</f>
        <v>0</v>
      </c>
      <c r="I2414" s="2784" t="n">
        <f aca="false">IF(G2414&gt;H2414,G2414,H2414)</f>
        <v>0</v>
      </c>
      <c r="J2414" s="2744"/>
      <c r="K2414" s="226" t="n">
        <f aca="false">D2414-J2414</f>
        <v>0</v>
      </c>
      <c r="L2414" s="878"/>
      <c r="M2414" s="878"/>
    </row>
    <row r="2415" customFormat="false" ht="15.5" hidden="false" customHeight="false" outlineLevel="0" collapsed="false">
      <c r="A2415" s="2719"/>
      <c r="B2415" s="298" t="str">
        <f aca="false">'Ввод данных'!A1367</f>
        <v>Вывоз мусора, камаз</v>
      </c>
      <c r="C2415" s="218" t="s">
        <v>1793</v>
      </c>
      <c r="D2415" s="298" t="n">
        <f aca="false">'Ввод данных'!C1367</f>
        <v>4</v>
      </c>
      <c r="E2415" s="298" t="n">
        <f aca="false">VLOOKUP(B2415,'Прайс лист'!B180:G194,6,0)</f>
        <v>2000</v>
      </c>
      <c r="F2415" s="298"/>
      <c r="G2415" s="122" t="n">
        <f aca="false">IF(F2415&gt;0,D2415*F2415,E2415*D2415)*IF(H2415&gt;0,1,0)</f>
        <v>0</v>
      </c>
      <c r="H2415" s="2210" t="n">
        <f aca="false">D2415*E2415*$H$2321</f>
        <v>0</v>
      </c>
      <c r="I2415" s="2784" t="n">
        <f aca="false">IF(G2415&gt;H2415,G2415,H2415)</f>
        <v>0</v>
      </c>
      <c r="J2415" s="2744"/>
      <c r="K2415" s="226" t="n">
        <f aca="false">D2415-J2415</f>
        <v>4</v>
      </c>
      <c r="L2415" s="878"/>
      <c r="M2415" s="878"/>
    </row>
    <row r="2416" customFormat="false" ht="16.5" hidden="false" customHeight="true" outlineLevel="0" collapsed="false">
      <c r="A2416" s="2719"/>
      <c r="B2416" s="2850" t="str">
        <f aca="false">'Ввод данных'!A1368</f>
        <v>Экскаватор погрузчик, бурение</v>
      </c>
      <c r="C2416" s="238" t="str">
        <f aca="false">'Ввод данных'!B1367</f>
        <v>час</v>
      </c>
      <c r="D2416" s="298" t="n">
        <f aca="false">'Ввод данных'!C1367</f>
        <v>4</v>
      </c>
      <c r="E2416" s="298" t="n">
        <f aca="false">VLOOKUP(B2416,'Прайс лист'!B180:G194,6,0)</f>
        <v>300</v>
      </c>
      <c r="F2416" s="298"/>
      <c r="G2416" s="122" t="n">
        <f aca="false">IF(F2416&gt;0,D2416*F2416,E2416*D2416)*IF(H2416&gt;0,1,0)</f>
        <v>0</v>
      </c>
      <c r="H2416" s="2210" t="n">
        <f aca="false">D2416*E2416*$H$2276</f>
        <v>0</v>
      </c>
      <c r="I2416" s="2784" t="n">
        <f aca="false">IF(G2416&gt;H2416,G2416,H2416)</f>
        <v>0</v>
      </c>
      <c r="J2416" s="2744"/>
      <c r="K2416" s="226" t="n">
        <f aca="false">D2416-J2416</f>
        <v>4</v>
      </c>
      <c r="L2416" s="878"/>
      <c r="M2416" s="878"/>
    </row>
    <row r="2417" customFormat="false" ht="15.5" hidden="false" customHeight="false" outlineLevel="0" collapsed="false">
      <c r="A2417" s="2719"/>
      <c r="B2417" s="298" t="str">
        <f aca="false">'Ввод данных'!A1368</f>
        <v>Экскаватор погрузчик, бурение</v>
      </c>
      <c r="C2417" s="238" t="str">
        <f aca="false">'Ввод данных'!B1368</f>
        <v>час</v>
      </c>
      <c r="D2417" s="298" t="n">
        <f aca="false">'Ввод данных'!C1368</f>
        <v>4</v>
      </c>
      <c r="E2417" s="298" t="n">
        <f aca="false">VLOOKUP(B2417,'Прайс лист'!B180:G194,6,0)</f>
        <v>300</v>
      </c>
      <c r="F2417" s="298"/>
      <c r="G2417" s="122" t="n">
        <f aca="false">IF(F2417&gt;0,D2417*F2417,E2417*D2417)*IF(H2417&gt;0,1,0)</f>
        <v>0</v>
      </c>
      <c r="H2417" s="2210" t="n">
        <f aca="false">D2417*E2417*$H$2321</f>
        <v>0</v>
      </c>
      <c r="I2417" s="2784" t="n">
        <f aca="false">IF(G2417&gt;H2417,G2417,H2417)</f>
        <v>0</v>
      </c>
      <c r="J2417" s="2744"/>
      <c r="K2417" s="226" t="n">
        <f aca="false">D2417-J2417</f>
        <v>4</v>
      </c>
      <c r="L2417" s="878"/>
      <c r="M2417" s="878"/>
    </row>
    <row r="2418" customFormat="false" ht="15.5" hidden="false" customHeight="false" outlineLevel="0" collapsed="false">
      <c r="A2418" s="2719"/>
      <c r="B2418" s="639" t="str">
        <f aca="false">крыша!A699</f>
        <v>Нет техники</v>
      </c>
      <c r="C2418" s="218" t="s">
        <v>1793</v>
      </c>
      <c r="D2418" s="245" t="n">
        <f aca="false">крыша!C699</f>
        <v>4</v>
      </c>
      <c r="E2418" s="23" t="n">
        <f aca="false">крыша!D699</f>
        <v>0</v>
      </c>
      <c r="F2418" s="23"/>
      <c r="G2418" s="122" t="n">
        <f aca="false">IF(F2418&gt;0,D2418*F2418,E2418*D2418)*IF(H2418&gt;0,1,0)</f>
        <v>0</v>
      </c>
      <c r="H2418" s="2210" t="n">
        <f aca="false">D2418*E2418*$H$1335</f>
        <v>0</v>
      </c>
      <c r="I2418" s="2784" t="n">
        <f aca="false">IF(G2418&gt;H2418,G2418,H2418)</f>
        <v>0</v>
      </c>
      <c r="J2418" s="2744"/>
      <c r="K2418" s="226" t="n">
        <f aca="false">D2418-J2418</f>
        <v>4</v>
      </c>
      <c r="L2418" s="878"/>
      <c r="M2418" s="878"/>
    </row>
    <row r="2419" customFormat="false" ht="15.5" hidden="false" customHeight="false" outlineLevel="0" collapsed="false">
      <c r="A2419" s="2719"/>
      <c r="B2419" s="639" t="str">
        <f aca="false">крыша!A700</f>
        <v>Нет техники</v>
      </c>
      <c r="C2419" s="218" t="s">
        <v>1793</v>
      </c>
      <c r="D2419" s="245" t="n">
        <f aca="false">крыша!C700</f>
        <v>0</v>
      </c>
      <c r="E2419" s="23" t="n">
        <f aca="false">крыша!D700</f>
        <v>0</v>
      </c>
      <c r="F2419" s="23"/>
      <c r="G2419" s="122" t="n">
        <f aca="false">IF(F2419&gt;0,D2419*F2419,E2419*D2419)*IF(H2419&gt;0,1,0)</f>
        <v>0</v>
      </c>
      <c r="H2419" s="2210" t="n">
        <f aca="false">D2419*E2419*$H$1335</f>
        <v>0</v>
      </c>
      <c r="I2419" s="2784" t="n">
        <f aca="false">IF(G2419&gt;H2419,G2419,H2419)</f>
        <v>0</v>
      </c>
      <c r="J2419" s="2744"/>
      <c r="K2419" s="226" t="n">
        <f aca="false">D2419-J2419</f>
        <v>0</v>
      </c>
      <c r="L2419" s="2736"/>
    </row>
    <row r="2420" customFormat="false" ht="15.5" hidden="false" customHeight="false" outlineLevel="0" collapsed="false">
      <c r="A2420" s="2719"/>
      <c r="B2420" s="298" t="str">
        <f aca="false">фундамент!A277</f>
        <v>Нет техники</v>
      </c>
      <c r="C2420" s="218" t="s">
        <v>1793</v>
      </c>
      <c r="D2420" s="298" t="n">
        <f aca="false">фундамент!C277</f>
        <v>1</v>
      </c>
      <c r="E2420" s="298" t="n">
        <f aca="false">фундамент!D277</f>
        <v>0</v>
      </c>
      <c r="F2420" s="298"/>
      <c r="G2420" s="122" t="n">
        <f aca="false">IF(F2420&gt;0,D2420*F2420,E2420*D2420)*IF(H2420&gt;0,1,0)</f>
        <v>0</v>
      </c>
      <c r="H2420" s="2210" t="n">
        <f aca="false">D2420*E2420*$H$124</f>
        <v>0</v>
      </c>
      <c r="I2420" s="2784" t="n">
        <f aca="false">IF(G2420&gt;H2420,G2420,H2420)</f>
        <v>0</v>
      </c>
      <c r="J2420" s="2744"/>
      <c r="K2420" s="226" t="n">
        <f aca="false">D2420-J2420</f>
        <v>1</v>
      </c>
      <c r="L2420" s="2736"/>
    </row>
    <row r="2421" customFormat="false" ht="15.5" hidden="false" customHeight="false" outlineLevel="0" collapsed="false">
      <c r="A2421" s="2719"/>
      <c r="B2421" s="298" t="str">
        <f aca="false">фундамент!A278</f>
        <v>Нет техники</v>
      </c>
      <c r="C2421" s="218" t="s">
        <v>1793</v>
      </c>
      <c r="D2421" s="298" t="n">
        <f aca="false">фундамент!C278</f>
        <v>0</v>
      </c>
      <c r="E2421" s="298" t="n">
        <f aca="false">фундамент!D278</f>
        <v>0</v>
      </c>
      <c r="F2421" s="298"/>
      <c r="G2421" s="122" t="n">
        <f aca="false">IF(F2421&gt;0,D2421*F2421,E2421*D2421)*IF(H2421&gt;0,1,0)</f>
        <v>0</v>
      </c>
      <c r="H2421" s="2210" t="n">
        <f aca="false">D2421*E2421*$H$124</f>
        <v>0</v>
      </c>
      <c r="I2421" s="2784" t="n">
        <f aca="false">IF(G2421&gt;H2421,G2421,H2421)</f>
        <v>0</v>
      </c>
      <c r="J2421" s="2744"/>
      <c r="K2421" s="226" t="n">
        <f aca="false">D2421-J2421</f>
        <v>0</v>
      </c>
      <c r="L2421" s="2736"/>
    </row>
    <row r="2422" customFormat="false" ht="15.5" hidden="false" customHeight="false" outlineLevel="0" collapsed="false">
      <c r="A2422" s="2719"/>
      <c r="B2422" s="298" t="str">
        <f aca="false">фундамент!A279</f>
        <v>Нет техники</v>
      </c>
      <c r="C2422" s="218" t="s">
        <v>1793</v>
      </c>
      <c r="D2422" s="298" t="n">
        <f aca="false">фундамент!C279</f>
        <v>0</v>
      </c>
      <c r="E2422" s="298" t="n">
        <f aca="false">фундамент!D279</f>
        <v>0</v>
      </c>
      <c r="F2422" s="298"/>
      <c r="G2422" s="122" t="n">
        <f aca="false">IF(F2422&gt;0,D2422*F2422,E2422*D2422)*IF(H2422&gt;0,1,0)</f>
        <v>0</v>
      </c>
      <c r="H2422" s="2210" t="n">
        <f aca="false">D2422*E2422*$H$124</f>
        <v>0</v>
      </c>
      <c r="I2422" s="2784" t="n">
        <f aca="false">IF(G2422&gt;H2422,G2422,H2422)</f>
        <v>0</v>
      </c>
      <c r="J2422" s="2744"/>
      <c r="K2422" s="226" t="n">
        <f aca="false">D2422-J2422</f>
        <v>0</v>
      </c>
      <c r="L2422" s="2736"/>
    </row>
    <row r="2423" customFormat="false" ht="15.5" hidden="false" customHeight="false" outlineLevel="0" collapsed="false">
      <c r="A2423" s="2719"/>
      <c r="B2423" s="298" t="str">
        <f aca="false">отделка!A413</f>
        <v>Нет техники</v>
      </c>
      <c r="C2423" s="218" t="s">
        <v>1793</v>
      </c>
      <c r="D2423" s="298" t="n">
        <f aca="false">отделка!C413</f>
        <v>0</v>
      </c>
      <c r="E2423" s="298" t="n">
        <f aca="false">отделка!D413</f>
        <v>0</v>
      </c>
      <c r="F2423" s="298"/>
      <c r="G2423" s="122" t="n">
        <f aca="false">IF(F2423&gt;0,D2423*F2423,E2423*D2423)*IF(H2423&gt;0,1,0)</f>
        <v>0</v>
      </c>
      <c r="H2423" s="85" t="n">
        <f aca="false">D2423*E2423*$H$1931</f>
        <v>0</v>
      </c>
      <c r="I2423" s="2784" t="n">
        <f aca="false">IF(G2423&gt;H2423,G2423,H2423)</f>
        <v>0</v>
      </c>
      <c r="J2423" s="2744"/>
      <c r="K2423" s="226" t="n">
        <f aca="false">D2423-J2423</f>
        <v>0</v>
      </c>
      <c r="L2423" s="2736"/>
    </row>
    <row r="2424" customFormat="false" ht="15.5" hidden="false" customHeight="false" outlineLevel="0" collapsed="false">
      <c r="A2424" s="2719"/>
      <c r="B2424" s="298" t="str">
        <f aca="false">отделка!A414</f>
        <v>Нет техники</v>
      </c>
      <c r="C2424" s="218" t="s">
        <v>1793</v>
      </c>
      <c r="D2424" s="298" t="n">
        <f aca="false">отделка!C414</f>
        <v>3</v>
      </c>
      <c r="E2424" s="298" t="n">
        <f aca="false">отделка!D414</f>
        <v>0</v>
      </c>
      <c r="F2424" s="298"/>
      <c r="G2424" s="122" t="n">
        <f aca="false">IF(F2424&gt;0,D2424*F2424,E2424*D2424)*IF(H2424&gt;0,1,0)</f>
        <v>0</v>
      </c>
      <c r="H2424" s="85" t="n">
        <f aca="false">D2424*E2424*$H$1931</f>
        <v>0</v>
      </c>
      <c r="I2424" s="2784" t="n">
        <f aca="false">IF(G2424&gt;H2424,G2424,H2424)</f>
        <v>0</v>
      </c>
      <c r="J2424" s="2744"/>
      <c r="K2424" s="226" t="n">
        <f aca="false">D2424-J2424</f>
        <v>3</v>
      </c>
      <c r="L2424" s="2736"/>
    </row>
    <row r="2425" customFormat="false" ht="15.5" hidden="false" customHeight="false" outlineLevel="0" collapsed="false">
      <c r="A2425" s="2719"/>
      <c r="B2425" s="298" t="str">
        <f aca="false">отделка!A436</f>
        <v>Нет техники</v>
      </c>
      <c r="C2425" s="218" t="s">
        <v>1793</v>
      </c>
      <c r="D2425" s="298" t="n">
        <f aca="false">отделка!C436</f>
        <v>0</v>
      </c>
      <c r="E2425" s="298" t="n">
        <f aca="false">отделка!D436</f>
        <v>0</v>
      </c>
      <c r="F2425" s="298"/>
      <c r="G2425" s="122" t="n">
        <f aca="false">IF(F2425&gt;0,D2425*F2425,E2425*D2425)*IF(H2425&gt;0,1,0)</f>
        <v>0</v>
      </c>
      <c r="H2425" s="85" t="n">
        <f aca="false">D2425*E2425*$H$1969</f>
        <v>0</v>
      </c>
      <c r="I2425" s="2784" t="n">
        <f aca="false">IF(G2425&gt;H2425,G2425,H2425)</f>
        <v>0</v>
      </c>
      <c r="J2425" s="2744"/>
      <c r="K2425" s="226" t="n">
        <f aca="false">D2425-J2425</f>
        <v>0</v>
      </c>
      <c r="L2425" s="2736"/>
    </row>
    <row r="2426" customFormat="false" ht="15.5" hidden="false" customHeight="false" outlineLevel="0" collapsed="false">
      <c r="A2426" s="2719"/>
      <c r="B2426" s="298" t="str">
        <f aca="false">отделка!A437</f>
        <v>Нет техники</v>
      </c>
      <c r="C2426" s="218" t="s">
        <v>1793</v>
      </c>
      <c r="D2426" s="298" t="n">
        <f aca="false">отделка!C437</f>
        <v>3</v>
      </c>
      <c r="E2426" s="298" t="n">
        <f aca="false">отделка!D437</f>
        <v>0</v>
      </c>
      <c r="F2426" s="298"/>
      <c r="G2426" s="122" t="n">
        <f aca="false">IF(F2426&gt;0,D2426*F2426,E2426*D2426)*IF(H2426&gt;0,1,0)</f>
        <v>0</v>
      </c>
      <c r="H2426" s="85" t="n">
        <f aca="false">D2426*E2426*$H$1969</f>
        <v>0</v>
      </c>
      <c r="I2426" s="2784" t="n">
        <f aca="false">IF(G2426&gt;H2426,G2426,H2426)</f>
        <v>0</v>
      </c>
      <c r="J2426" s="2744"/>
      <c r="K2426" s="226" t="n">
        <f aca="false">D2426-J2426</f>
        <v>3</v>
      </c>
      <c r="L2426" s="878"/>
      <c r="M2426" s="878"/>
    </row>
    <row r="2427" customFormat="false" ht="15.5" hidden="false" customHeight="false" outlineLevel="0" collapsed="false">
      <c r="A2427" s="2719"/>
      <c r="B2427" s="298" t="str">
        <f aca="false">отделка!A554</f>
        <v>Нет техники</v>
      </c>
      <c r="C2427" s="218" t="s">
        <v>1793</v>
      </c>
      <c r="D2427" s="298" t="n">
        <f aca="false">отделка!C554</f>
        <v>0</v>
      </c>
      <c r="E2427" s="298" t="n">
        <f aca="false">отделка!D554</f>
        <v>0</v>
      </c>
      <c r="F2427" s="298"/>
      <c r="G2427" s="122" t="n">
        <f aca="false">IF(F2427&gt;0,D2427*F2427,E2427*D2427)*IF(H2427&gt;0,1,0)</f>
        <v>0</v>
      </c>
      <c r="H2427" s="2210" t="n">
        <f aca="false">D2427*E2427*$H$2023</f>
        <v>0</v>
      </c>
      <c r="I2427" s="2784" t="n">
        <f aca="false">IF(G2427&gt;H2427,G2427,H2427)</f>
        <v>0</v>
      </c>
      <c r="J2427" s="2744"/>
      <c r="K2427" s="226" t="n">
        <f aca="false">D2427-J2427</f>
        <v>0</v>
      </c>
      <c r="L2427" s="878"/>
      <c r="M2427" s="878"/>
    </row>
    <row r="2428" customFormat="false" ht="15.5" hidden="false" customHeight="false" outlineLevel="0" collapsed="false">
      <c r="A2428" s="2719"/>
      <c r="B2428" s="298" t="str">
        <f aca="false">отделка!A555</f>
        <v>Нет техники</v>
      </c>
      <c r="C2428" s="218" t="s">
        <v>1793</v>
      </c>
      <c r="D2428" s="298" t="n">
        <f aca="false">отделка!C555</f>
        <v>0</v>
      </c>
      <c r="E2428" s="298" t="n">
        <f aca="false">отделка!D555</f>
        <v>0</v>
      </c>
      <c r="F2428" s="298"/>
      <c r="G2428" s="122" t="n">
        <f aca="false">IF(F2428&gt;0,D2428*F2428,E2428*D2428)*IF(H2428&gt;0,1,0)</f>
        <v>0</v>
      </c>
      <c r="H2428" s="2210" t="n">
        <f aca="false">D2428*E2428*$H$2023</f>
        <v>0</v>
      </c>
      <c r="I2428" s="2784" t="n">
        <f aca="false">IF(G2428&gt;H2428,G2428,H2428)</f>
        <v>0</v>
      </c>
      <c r="J2428" s="2744"/>
      <c r="K2428" s="226" t="n">
        <f aca="false">D2428-J2428</f>
        <v>0</v>
      </c>
      <c r="L2428" s="878"/>
      <c r="M2428" s="878"/>
    </row>
    <row r="2429" customFormat="false" ht="15.5" hidden="false" customHeight="false" outlineLevel="0" collapsed="false">
      <c r="A2429" s="2719"/>
      <c r="B2429" s="298" t="str">
        <f aca="false">отделка!A704</f>
        <v>Нет техники</v>
      </c>
      <c r="C2429" s="218" t="s">
        <v>1793</v>
      </c>
      <c r="D2429" s="298" t="n">
        <f aca="false">отделка!C704</f>
        <v>0</v>
      </c>
      <c r="E2429" s="298" t="n">
        <f aca="false">отделка!D704</f>
        <v>0</v>
      </c>
      <c r="F2429" s="298"/>
      <c r="G2429" s="122" t="n">
        <f aca="false">IF(F2429&gt;0,D2429*F2429,E2429*D2429)*IF(H2429&gt;0,1,0)</f>
        <v>0</v>
      </c>
      <c r="H2429" s="2210" t="n">
        <f aca="false">D2429*E2429*$H$2099</f>
        <v>0</v>
      </c>
      <c r="I2429" s="2784" t="n">
        <f aca="false">IF(G2429&gt;H2429,G2429,H2429)</f>
        <v>0</v>
      </c>
      <c r="J2429" s="2744"/>
      <c r="K2429" s="226" t="n">
        <f aca="false">D2429-J2429</f>
        <v>0</v>
      </c>
      <c r="L2429" s="878"/>
      <c r="M2429" s="878"/>
    </row>
    <row r="2430" customFormat="false" ht="15.5" hidden="false" customHeight="false" outlineLevel="0" collapsed="false">
      <c r="A2430" s="2719"/>
      <c r="B2430" s="298" t="str">
        <f aca="false">отделка!A705</f>
        <v>Нет техники</v>
      </c>
      <c r="C2430" s="218" t="s">
        <v>1793</v>
      </c>
      <c r="D2430" s="298" t="n">
        <f aca="false">отделка!C705</f>
        <v>0</v>
      </c>
      <c r="E2430" s="298" t="n">
        <f aca="false">отделка!D705</f>
        <v>0</v>
      </c>
      <c r="F2430" s="298"/>
      <c r="G2430" s="122" t="n">
        <f aca="false">IF(F2430&gt;0,D2430*F2430,E2430*D2430)*IF(H2430&gt;0,1,0)</f>
        <v>0</v>
      </c>
      <c r="H2430" s="2210" t="n">
        <f aca="false">D2430*E2430*$H$2099</f>
        <v>0</v>
      </c>
      <c r="I2430" s="2784" t="n">
        <f aca="false">IF(G2430&gt;H2430,G2430,H2430)</f>
        <v>0</v>
      </c>
      <c r="J2430" s="2744"/>
      <c r="K2430" s="226" t="n">
        <f aca="false">D2430-J2430</f>
        <v>0</v>
      </c>
      <c r="L2430" s="878"/>
      <c r="M2430" s="878"/>
    </row>
    <row r="2431" customFormat="false" ht="15.5" hidden="false" customHeight="false" outlineLevel="0" collapsed="false">
      <c r="A2431" s="2719"/>
      <c r="B2431" s="2851" t="str">
        <f aca="false">дома!A2210</f>
        <v>Нет техники</v>
      </c>
      <c r="C2431" s="218" t="s">
        <v>1793</v>
      </c>
      <c r="D2431" s="2851" t="n">
        <f aca="false">дома!C2210</f>
        <v>0</v>
      </c>
      <c r="E2431" s="2851" t="n">
        <f aca="false">дома!D2210</f>
        <v>0</v>
      </c>
      <c r="F2431" s="2851"/>
      <c r="G2431" s="122" t="n">
        <f aca="false">IF(F2431&gt;0,D2431*F2431,E2431*D2431)*IF(H2431&gt;0,1,0)</f>
        <v>0</v>
      </c>
      <c r="H2431" s="2210" t="n">
        <f aca="false">D2431*E2431*$H$1313</f>
        <v>0</v>
      </c>
      <c r="I2431" s="2784" t="n">
        <f aca="false">IF(G2431&gt;H2431,G2431,H2431)</f>
        <v>0</v>
      </c>
      <c r="J2431" s="2744"/>
      <c r="K2431" s="226" t="n">
        <f aca="false">D2431-J2431</f>
        <v>0</v>
      </c>
      <c r="L2431" s="878"/>
      <c r="M2431" s="878"/>
    </row>
    <row r="2432" customFormat="false" ht="15.5" hidden="false" customHeight="false" outlineLevel="0" collapsed="false">
      <c r="A2432" s="2719"/>
      <c r="B2432" s="2851" t="str">
        <f aca="false">дома!A2211</f>
        <v>Нет техники</v>
      </c>
      <c r="C2432" s="218" t="s">
        <v>1793</v>
      </c>
      <c r="D2432" s="2851" t="n">
        <f aca="false">дома!C2211</f>
        <v>0</v>
      </c>
      <c r="E2432" s="2851" t="n">
        <f aca="false">дома!D2211</f>
        <v>0</v>
      </c>
      <c r="F2432" s="2851"/>
      <c r="G2432" s="122" t="n">
        <f aca="false">IF(F2432&gt;0,D2432*F2432,E2432*D2432)*IF(H2432&gt;0,1,0)</f>
        <v>0</v>
      </c>
      <c r="H2432" s="2210" t="n">
        <f aca="false">D2432*E2432*$H$1313</f>
        <v>0</v>
      </c>
      <c r="I2432" s="2784" t="n">
        <f aca="false">IF(G2432&gt;H2432,G2432,H2432)</f>
        <v>0</v>
      </c>
      <c r="J2432" s="2744"/>
      <c r="K2432" s="226" t="n">
        <f aca="false">D2432-J2432</f>
        <v>0</v>
      </c>
      <c r="L2432" s="296"/>
      <c r="M2432" s="296"/>
    </row>
    <row r="2433" customFormat="false" ht="15.5" hidden="false" customHeight="false" outlineLevel="0" collapsed="false">
      <c r="A2433" s="2719"/>
      <c r="B2433" s="639" t="str">
        <f aca="false">дома!A2315</f>
        <v>Экскаватор погрузчик, бурение</v>
      </c>
      <c r="C2433" s="238" t="str">
        <f aca="false">дома!B2315</f>
        <v>ед.</v>
      </c>
      <c r="D2433" s="245" t="n">
        <f aca="false">дома!C2315</f>
        <v>0</v>
      </c>
      <c r="E2433" s="23" t="n">
        <f aca="false">дома!D2315</f>
        <v>300</v>
      </c>
      <c r="F2433" s="23"/>
      <c r="G2433" s="122" t="n">
        <f aca="false">IF(F2433&gt;0,D2433*F2433,E2433*D2433)*IF(H2433&gt;0,1,0)</f>
        <v>0</v>
      </c>
      <c r="H2433" s="2210" t="n">
        <f aca="false">D2433*E2433*$H$1874</f>
        <v>0</v>
      </c>
      <c r="I2433" s="2784" t="n">
        <f aca="false">IF(G2433&gt;H2433,G2433,H2433)</f>
        <v>0</v>
      </c>
      <c r="J2433" s="2744"/>
      <c r="K2433" s="226" t="n">
        <f aca="false">D2433-J2433</f>
        <v>0</v>
      </c>
      <c r="L2433" s="296"/>
      <c r="M2433" s="296"/>
    </row>
    <row r="2434" customFormat="false" ht="15.5" hidden="false" customHeight="false" outlineLevel="0" collapsed="false">
      <c r="A2434" s="2719"/>
      <c r="B2434" s="639" t="str">
        <f aca="false">дома!A2316</f>
        <v>Нет техники</v>
      </c>
      <c r="C2434" s="238" t="str">
        <f aca="false">дома!B2316</f>
        <v>ед.</v>
      </c>
      <c r="D2434" s="245" t="n">
        <f aca="false">дома!C2316</f>
        <v>0</v>
      </c>
      <c r="E2434" s="23" t="n">
        <f aca="false">дома!D2316</f>
        <v>0</v>
      </c>
      <c r="F2434" s="23"/>
      <c r="G2434" s="122" t="n">
        <f aca="false">IF(F2434&gt;0,D2434*F2434,E2434*D2434)*IF(H2434&gt;0,1,0)</f>
        <v>0</v>
      </c>
      <c r="H2434" s="2210" t="n">
        <f aca="false">D2434*E2434*$H$1874</f>
        <v>0</v>
      </c>
      <c r="I2434" s="2784" t="n">
        <f aca="false">IF(G2434&gt;H2434,G2434,H2434)</f>
        <v>0</v>
      </c>
      <c r="J2434" s="2744"/>
      <c r="K2434" s="226" t="n">
        <f aca="false">D2434-J2434</f>
        <v>0</v>
      </c>
      <c r="L2434" s="296"/>
      <c r="M2434" s="296"/>
    </row>
    <row r="2435" customFormat="false" ht="15.5" hidden="false" customHeight="false" outlineLevel="0" collapsed="false">
      <c r="A2435" s="2719"/>
      <c r="B2435" s="2852" t="str">
        <f aca="false">B456</f>
        <v>Нет техники</v>
      </c>
      <c r="C2435" s="2852"/>
      <c r="D2435" s="2853" t="n">
        <f aca="false">D456</f>
        <v>2</v>
      </c>
      <c r="E2435" s="23" t="n">
        <f aca="false">E456</f>
        <v>0</v>
      </c>
      <c r="F2435" s="2815"/>
      <c r="G2435" s="122" t="n">
        <f aca="false">IF(F2435&gt;0,D2435*F2435,E2435*D2435)*IF(H2435&gt;0,1,0)</f>
        <v>0</v>
      </c>
      <c r="H2435" s="2210" t="n">
        <f aca="false">D2435*E2435*$H$1874</f>
        <v>0</v>
      </c>
      <c r="I2435" s="2784" t="n">
        <f aca="false">IF(G2435&gt;H2435,G2435,H2435)</f>
        <v>0</v>
      </c>
      <c r="J2435" s="2744"/>
      <c r="K2435" s="226" t="n">
        <f aca="false">D2435-J2435</f>
        <v>2</v>
      </c>
      <c r="L2435" s="296"/>
      <c r="M2435" s="296"/>
    </row>
    <row r="2436" customFormat="false" ht="15.5" hidden="false" customHeight="false" outlineLevel="0" collapsed="false">
      <c r="A2436" s="2719"/>
      <c r="B2436" s="2852" t="str">
        <f aca="false">B539</f>
        <v>Нет техники</v>
      </c>
      <c r="C2436" s="2852"/>
      <c r="D2436" s="2853" t="n">
        <f aca="false">D539</f>
        <v>2</v>
      </c>
      <c r="E2436" s="23" t="n">
        <f aca="false">E539</f>
        <v>0</v>
      </c>
      <c r="F2436" s="2815"/>
      <c r="G2436" s="122" t="n">
        <f aca="false">IF(F2436&gt;0,D2436*F2436,E2436*D2436)*IF(H2436&gt;0,1,0)</f>
        <v>0</v>
      </c>
      <c r="H2436" s="2210" t="n">
        <f aca="false">D2436*E2436*$H$1874</f>
        <v>0</v>
      </c>
      <c r="I2436" s="2784" t="n">
        <f aca="false">IF(G2436&gt;H2436,G2436,H2436)</f>
        <v>0</v>
      </c>
      <c r="J2436" s="2744"/>
      <c r="K2436" s="226" t="n">
        <f aca="false">D2436-J2436</f>
        <v>2</v>
      </c>
      <c r="L2436" s="296"/>
      <c r="M2436" s="296"/>
    </row>
    <row r="2437" customFormat="false" ht="15.5" hidden="false" customHeight="false" outlineLevel="0" collapsed="false">
      <c r="A2437" s="2719"/>
      <c r="B2437" s="2852" t="str">
        <f aca="false">B1991</f>
        <v>Нет техники</v>
      </c>
      <c r="C2437" s="2854" t="str">
        <f aca="false">C1991</f>
        <v>час</v>
      </c>
      <c r="D2437" s="2853" t="n">
        <f aca="false">D1991</f>
        <v>0</v>
      </c>
      <c r="E2437" s="23" t="n">
        <f aca="false">E1991</f>
        <v>0</v>
      </c>
      <c r="F2437" s="2815"/>
      <c r="G2437" s="122" t="n">
        <f aca="false">IF(F2437&gt;0,D2437*F2437,E2437*D2437)*IF(H2437&gt;0,1,0)</f>
        <v>0</v>
      </c>
      <c r="H2437" s="2210" t="n">
        <f aca="false">D2437*E2437*$H$1874</f>
        <v>0</v>
      </c>
      <c r="I2437" s="2784" t="n">
        <f aca="false">IF(G2437&gt;H2437,G2437,H2437)</f>
        <v>0</v>
      </c>
      <c r="J2437" s="2744"/>
      <c r="K2437" s="226" t="n">
        <f aca="false">D2437-J2437</f>
        <v>0</v>
      </c>
      <c r="L2437" s="296"/>
      <c r="M2437" s="296"/>
    </row>
    <row r="2438" customFormat="false" ht="15.5" hidden="false" customHeight="false" outlineLevel="0" collapsed="false">
      <c r="A2438" s="2719"/>
      <c r="B2438" s="2852" t="str">
        <f aca="false">B1992</f>
        <v>Нет техники</v>
      </c>
      <c r="C2438" s="2854" t="str">
        <f aca="false">C1992</f>
        <v>шт.</v>
      </c>
      <c r="D2438" s="2853" t="n">
        <f aca="false">D1992</f>
        <v>3</v>
      </c>
      <c r="E2438" s="23" t="n">
        <f aca="false">E1992</f>
        <v>0</v>
      </c>
      <c r="F2438" s="2815"/>
      <c r="G2438" s="122" t="n">
        <f aca="false">IF(F2438&gt;0,D2438*F2438,E2438*D2438)*IF(H2438&gt;0,1,0)</f>
        <v>0</v>
      </c>
      <c r="H2438" s="2210" t="n">
        <f aca="false">D2438*E2438*$H$1874</f>
        <v>0</v>
      </c>
      <c r="I2438" s="2784" t="n">
        <f aca="false">IF(G2438&gt;H2438,G2438,H2438)</f>
        <v>0</v>
      </c>
      <c r="J2438" s="2744"/>
      <c r="K2438" s="226" t="n">
        <f aca="false">D2438-J2438</f>
        <v>3</v>
      </c>
      <c r="L2438" s="296"/>
      <c r="M2438" s="296"/>
    </row>
    <row r="2439" customFormat="false" ht="15.5" hidden="false" customHeight="false" outlineLevel="0" collapsed="false">
      <c r="A2439" s="2719"/>
      <c r="B2439" s="2852" t="str">
        <f aca="false">B2003</f>
        <v>Нет техники</v>
      </c>
      <c r="C2439" s="2854" t="str">
        <f aca="false">C2003</f>
        <v>час</v>
      </c>
      <c r="D2439" s="2853" t="n">
        <f aca="false">D2003</f>
        <v>0</v>
      </c>
      <c r="E2439" s="23" t="n">
        <f aca="false">E2003</f>
        <v>0</v>
      </c>
      <c r="F2439" s="2815"/>
      <c r="G2439" s="122" t="n">
        <f aca="false">IF(F2439&gt;0,D2439*F2439,E2439*D2439)*IF(H2439&gt;0,1,0)</f>
        <v>0</v>
      </c>
      <c r="H2439" s="2210" t="n">
        <f aca="false">D2439*E2439*$H$1874</f>
        <v>0</v>
      </c>
      <c r="I2439" s="2784" t="n">
        <f aca="false">IF(G2439&gt;H2439,G2439,H2439)</f>
        <v>0</v>
      </c>
      <c r="J2439" s="2744"/>
      <c r="K2439" s="226" t="n">
        <f aca="false">D2439-J2439</f>
        <v>0</v>
      </c>
      <c r="L2439" s="296"/>
      <c r="M2439" s="296"/>
    </row>
    <row r="2440" customFormat="false" ht="15.5" hidden="false" customHeight="false" outlineLevel="0" collapsed="false">
      <c r="A2440" s="2719"/>
      <c r="B2440" s="2852" t="str">
        <f aca="false">B2004</f>
        <v>Нет техники</v>
      </c>
      <c r="C2440" s="2854" t="str">
        <f aca="false">C2004</f>
        <v>шт.</v>
      </c>
      <c r="D2440" s="2853" t="n">
        <f aca="false">D2004</f>
        <v>3</v>
      </c>
      <c r="E2440" s="23" t="n">
        <f aca="false">E2004</f>
        <v>0</v>
      </c>
      <c r="F2440" s="2815"/>
      <c r="G2440" s="122" t="n">
        <f aca="false">IF(F2440&gt;0,D2440*F2440,E2440*D2440)*IF(H2440&gt;0,1,0)</f>
        <v>0</v>
      </c>
      <c r="H2440" s="2210" t="n">
        <f aca="false">D2440*E2440*$H$1874</f>
        <v>0</v>
      </c>
      <c r="I2440" s="2784" t="n">
        <f aca="false">IF(G2440&gt;H2440,G2440,H2440)</f>
        <v>0</v>
      </c>
      <c r="J2440" s="2744"/>
      <c r="K2440" s="226" t="n">
        <f aca="false">D2440-J2440</f>
        <v>3</v>
      </c>
      <c r="L2440" s="296"/>
      <c r="M2440" s="296"/>
    </row>
    <row r="2441" customFormat="false" ht="17.25" hidden="false" customHeight="true" outlineLevel="0" collapsed="false">
      <c r="A2441" s="2719"/>
      <c r="B2441" s="177" t="s">
        <v>4605</v>
      </c>
      <c r="C2441" s="177"/>
      <c r="D2441" s="177"/>
      <c r="E2441" s="177"/>
      <c r="F2441" s="2855"/>
      <c r="G2441" s="2210" t="n">
        <f aca="false">SUM(G2348:G2440)</f>
        <v>0</v>
      </c>
      <c r="H2441" s="2210" t="n">
        <f aca="false">SUM(H2348:H2440)</f>
        <v>0</v>
      </c>
      <c r="I2441" s="2784" t="n">
        <f aca="false">IF(G2441&gt;H2441,G2441,H2441)</f>
        <v>0</v>
      </c>
      <c r="J2441" s="2744"/>
      <c r="K2441" s="226" t="n">
        <f aca="false">D2441-J2441</f>
        <v>0</v>
      </c>
      <c r="L2441" s="878"/>
      <c r="M2441" s="878"/>
    </row>
    <row r="2442" customFormat="false" ht="21" hidden="false" customHeight="false" outlineLevel="0" collapsed="false">
      <c r="A2442" s="2719"/>
      <c r="B2442" s="2856" t="s">
        <v>4672</v>
      </c>
      <c r="C2442" s="2856"/>
      <c r="D2442" s="2856"/>
      <c r="E2442" s="2856"/>
      <c r="F2442" s="2857"/>
      <c r="G2442" s="905"/>
      <c r="H2442" s="2858" t="n">
        <f aca="false">H2482</f>
        <v>15000</v>
      </c>
      <c r="I2442" s="2859" t="n">
        <f aca="false">H2442</f>
        <v>15000</v>
      </c>
      <c r="J2442" s="2860"/>
      <c r="K2442" s="114"/>
      <c r="L2442" s="878"/>
      <c r="M2442" s="878"/>
    </row>
    <row r="2443" customFormat="false" ht="15.5" hidden="false" customHeight="false" outlineLevel="0" collapsed="false">
      <c r="A2443" s="2719"/>
      <c r="B2443" s="298" t="str">
        <f aca="false">'Ввод данных'!A1370</f>
        <v>расходные материалы котельная</v>
      </c>
      <c r="C2443" s="2765" t="s">
        <v>1796</v>
      </c>
      <c r="D2443" s="298" t="n">
        <f aca="false">1</f>
        <v>1</v>
      </c>
      <c r="E2443" s="298" t="n">
        <f aca="false">'Ввод данных'!C1370</f>
        <v>5000</v>
      </c>
      <c r="F2443" s="298"/>
      <c r="G2443" s="122" t="n">
        <f aca="false">IF(F2443&gt;0,D2443*F2443,E2443*D2443)*IF(H2443&gt;0,1,0)</f>
        <v>0</v>
      </c>
      <c r="H2443" s="2210" t="n">
        <f aca="false">D2443*E2443*$H$2321</f>
        <v>0</v>
      </c>
      <c r="I2443" s="2784" t="n">
        <f aca="false">IF(G2443&gt;H2443,G2443,H2443)</f>
        <v>0</v>
      </c>
      <c r="J2443" s="2744"/>
      <c r="K2443" s="226" t="n">
        <f aca="false">D2443-J2443</f>
        <v>1</v>
      </c>
      <c r="L2443" s="878"/>
      <c r="M2443" s="878"/>
    </row>
    <row r="2444" customFormat="false" ht="15.5" hidden="false" customHeight="false" outlineLevel="0" collapsed="false">
      <c r="A2444" s="2719"/>
      <c r="B2444" s="298" t="str">
        <f aca="false">инженерка!A438</f>
        <v>расходные материалы скважина</v>
      </c>
      <c r="C2444" s="2765" t="str">
        <f aca="false">инженерка!B438</f>
        <v>рублей</v>
      </c>
      <c r="D2444" s="298" t="n">
        <f aca="false">инженерка!C438</f>
        <v>1</v>
      </c>
      <c r="E2444" s="298" t="n">
        <f aca="false">инженерка!D438</f>
        <v>5000</v>
      </c>
      <c r="F2444" s="298"/>
      <c r="G2444" s="122" t="n">
        <f aca="false">IF(F2444&gt;0,D2444*F2444,E2444*D2444)*IF(H2444&gt;0,1,0)</f>
        <v>0</v>
      </c>
      <c r="H2444" s="2210" t="n">
        <f aca="false">D2444*E2444*$H$2276</f>
        <v>0</v>
      </c>
      <c r="I2444" s="2784" t="n">
        <f aca="false">IF(G2444&gt;H2444,G2444,H2444)</f>
        <v>0</v>
      </c>
      <c r="J2444" s="2744"/>
      <c r="K2444" s="226" t="n">
        <f aca="false">D2444-J2444</f>
        <v>1</v>
      </c>
      <c r="L2444" s="878"/>
      <c r="M2444" s="878"/>
    </row>
    <row r="2445" customFormat="false" ht="15.5" hidden="false" customHeight="false" outlineLevel="0" collapsed="false">
      <c r="A2445" s="2719"/>
      <c r="B2445" s="298" t="str">
        <f aca="false">инженерка!A412</f>
        <v>расходные материалы для отопления</v>
      </c>
      <c r="C2445" s="2765" t="str">
        <f aca="false">инженерка!B412</f>
        <v>рублей</v>
      </c>
      <c r="D2445" s="298" t="n">
        <f aca="false">инженерка!C412</f>
        <v>1</v>
      </c>
      <c r="E2445" s="298" t="n">
        <f aca="false">инженерка!D412</f>
        <v>5000</v>
      </c>
      <c r="F2445" s="298"/>
      <c r="G2445" s="122" t="n">
        <f aca="false">IF(F2445&gt;0,D2445*F2445,E2445*D2445)*IF(H2445&gt;0,1,0)</f>
        <v>0</v>
      </c>
      <c r="H2445" s="85" t="n">
        <f aca="false">D2445*E2445*$H$2257</f>
        <v>0</v>
      </c>
      <c r="I2445" s="2784" t="n">
        <f aca="false">IF(G2445&gt;H2445,G2445,H2445)</f>
        <v>0</v>
      </c>
      <c r="J2445" s="2744"/>
      <c r="K2445" s="226" t="n">
        <f aca="false">D2445-J2445</f>
        <v>1</v>
      </c>
      <c r="L2445" s="878"/>
      <c r="M2445" s="878"/>
    </row>
    <row r="2446" customFormat="false" ht="15.5" hidden="false" customHeight="false" outlineLevel="0" collapsed="false">
      <c r="A2446" s="2719"/>
      <c r="B2446" s="298" t="str">
        <f aca="false">инженерка!A385</f>
        <v>расходные материалы для электрики</v>
      </c>
      <c r="C2446" s="2765" t="str">
        <f aca="false">инженерка!B385</f>
        <v>рублей</v>
      </c>
      <c r="D2446" s="298" t="n">
        <f aca="false">инженерка!C385</f>
        <v>1</v>
      </c>
      <c r="E2446" s="298" t="n">
        <f aca="false">инженерка!D385</f>
        <v>5000</v>
      </c>
      <c r="F2446" s="298"/>
      <c r="G2446" s="122" t="n">
        <f aca="false">IF(F2446&gt;0,D2446*F2446,E2446*D2446)*IF(H2446&gt;0,1,0)</f>
        <v>0</v>
      </c>
      <c r="H2446" s="2210" t="n">
        <f aca="false">D2446*E2446*$H$2227</f>
        <v>0</v>
      </c>
      <c r="I2446" s="2784" t="n">
        <f aca="false">IF(G2446&gt;H2446,G2446,H2446)</f>
        <v>0</v>
      </c>
      <c r="J2446" s="2744"/>
      <c r="K2446" s="226" t="n">
        <f aca="false">D2446-J2446</f>
        <v>1</v>
      </c>
      <c r="L2446" s="878"/>
      <c r="M2446" s="878"/>
    </row>
    <row r="2447" customFormat="false" ht="15.5" hidden="false" customHeight="false" outlineLevel="0" collapsed="false">
      <c r="A2447" s="2719"/>
      <c r="B2447" s="298" t="str">
        <f aca="false">фундамент!A506</f>
        <v>расходные материалы плита ушп</v>
      </c>
      <c r="C2447" s="2765" t="str">
        <f aca="false">фундамент!B506</f>
        <v>рублей</v>
      </c>
      <c r="D2447" s="298" t="n">
        <f aca="false">фундамент!C506</f>
        <v>1</v>
      </c>
      <c r="E2447" s="177" t="n">
        <f aca="false">фундамент!D506</f>
        <v>12000</v>
      </c>
      <c r="F2447" s="177"/>
      <c r="G2447" s="122" t="n">
        <f aca="false">IF(F2447&gt;0,D2447*F2447,E2447*D2447)*IF(H2447&gt;0,1,0)</f>
        <v>0</v>
      </c>
      <c r="H2447" s="2210" t="n">
        <f aca="false">D2447*E2447*$H$257</f>
        <v>0</v>
      </c>
      <c r="I2447" s="2784" t="n">
        <f aca="false">IF(G2447&gt;H2447,G2447,H2447)</f>
        <v>0</v>
      </c>
      <c r="J2447" s="2744"/>
      <c r="K2447" s="226" t="n">
        <f aca="false">D2447-J2447</f>
        <v>1</v>
      </c>
      <c r="L2447" s="2736"/>
    </row>
    <row r="2448" customFormat="false" ht="15.5" hidden="false" customHeight="false" outlineLevel="0" collapsed="false">
      <c r="A2448" s="2719"/>
      <c r="B2448" s="298" t="str">
        <f aca="false">фундамент!A361</f>
        <v>расходные материалы свайноростверковый фундамент</v>
      </c>
      <c r="C2448" s="2765" t="s">
        <v>1796</v>
      </c>
      <c r="D2448" s="298" t="n">
        <f aca="false">фундамент!C361</f>
        <v>1</v>
      </c>
      <c r="E2448" s="298" t="n">
        <f aca="false">фундамент!D361</f>
        <v>8000</v>
      </c>
      <c r="F2448" s="298"/>
      <c r="G2448" s="122" t="n">
        <f aca="false">IF(F2448&gt;0,D2448*F2448,E2448*D2448)*IF(H2448&gt;0,1,0)</f>
        <v>0</v>
      </c>
      <c r="H2448" s="2210" t="n">
        <f aca="false">D2448*E2448*$H$178</f>
        <v>0</v>
      </c>
      <c r="I2448" s="2784" t="n">
        <f aca="false">IF(G2448&gt;H2448,G2448,H2448)</f>
        <v>0</v>
      </c>
      <c r="J2448" s="2744"/>
      <c r="K2448" s="226" t="n">
        <f aca="false">D2448-J2448</f>
        <v>1</v>
      </c>
      <c r="L2448" s="2736"/>
    </row>
    <row r="2449" customFormat="false" ht="15.5" hidden="false" customHeight="false" outlineLevel="0" collapsed="false">
      <c r="A2449" s="2719"/>
      <c r="B2449" s="298" t="str">
        <f aca="false">фундамент!A428</f>
        <v>расходные материалы свайноростверковый фундамент</v>
      </c>
      <c r="C2449" s="2765" t="s">
        <v>1796</v>
      </c>
      <c r="D2449" s="298" t="n">
        <f aca="false">фундамент!C428</f>
        <v>1</v>
      </c>
      <c r="E2449" s="298" t="n">
        <f aca="false">фундамент!D428</f>
        <v>8000</v>
      </c>
      <c r="F2449" s="298"/>
      <c r="G2449" s="122" t="n">
        <f aca="false">IF(F2449&gt;0,D2449*F2449,E2449*D2449)*IF(H2449&gt;0,1,0)</f>
        <v>0</v>
      </c>
      <c r="H2449" s="2210" t="n">
        <f aca="false">D2449*E2449*$H$215</f>
        <v>0</v>
      </c>
      <c r="I2449" s="2784" t="n">
        <f aca="false">IF(G2449&gt;H2449,G2449,H2449)</f>
        <v>0</v>
      </c>
      <c r="J2449" s="2744"/>
      <c r="K2449" s="226" t="n">
        <f aca="false">D2449-J2449</f>
        <v>1</v>
      </c>
      <c r="L2449" s="2736"/>
    </row>
    <row r="2450" customFormat="false" ht="15.5" hidden="false" customHeight="false" outlineLevel="0" collapsed="false">
      <c r="A2450" s="2719"/>
      <c r="B2450" s="298" t="str">
        <f aca="false">дома!A1415</f>
        <v>расходные материалы сип панели</v>
      </c>
      <c r="C2450" s="2765" t="s">
        <v>1796</v>
      </c>
      <c r="D2450" s="298" t="n">
        <f aca="false">дома!C1415</f>
        <v>1</v>
      </c>
      <c r="E2450" s="298" t="n">
        <f aca="false">дома!D1415</f>
        <v>3000</v>
      </c>
      <c r="F2450" s="298"/>
      <c r="G2450" s="122" t="n">
        <f aca="false">IF(F2450&gt;0,D2450*F2450,E2450*D2450)*IF(H2450&gt;0,1,0)</f>
        <v>0</v>
      </c>
      <c r="H2450" s="2210" t="n">
        <f aca="false">D2450*E2450*$H$303</f>
        <v>0</v>
      </c>
      <c r="I2450" s="2784" t="n">
        <f aca="false">IF(G2450&gt;H2450,G2450,H2450)</f>
        <v>0</v>
      </c>
      <c r="J2450" s="2744"/>
      <c r="K2450" s="226" t="n">
        <f aca="false">D2450-J2450</f>
        <v>1</v>
      </c>
      <c r="L2450" s="2736"/>
    </row>
    <row r="2451" customFormat="false" ht="15.5" hidden="false" customHeight="false" outlineLevel="0" collapsed="false">
      <c r="A2451" s="2719"/>
      <c r="B2451" s="298" t="str">
        <f aca="false">дома!A1485</f>
        <v>расходные материалы каркасный дом</v>
      </c>
      <c r="C2451" s="2765" t="s">
        <v>1796</v>
      </c>
      <c r="D2451" s="298" t="n">
        <f aca="false">дома!C1485</f>
        <v>1</v>
      </c>
      <c r="E2451" s="122" t="n">
        <f aca="false">дома!D1485</f>
        <v>12000</v>
      </c>
      <c r="F2451" s="122"/>
      <c r="G2451" s="122" t="n">
        <f aca="false">IF(F2451&gt;0,D2451*F2451,E2451*D2451)*IF(H2451&gt;0,1,0)</f>
        <v>0</v>
      </c>
      <c r="H2451" s="2210" t="n">
        <f aca="false">D2451*E2451*$H$332</f>
        <v>0</v>
      </c>
      <c r="I2451" s="2784" t="n">
        <f aca="false">IF(G2451&gt;H2451,G2451,H2451)</f>
        <v>0</v>
      </c>
      <c r="J2451" s="2744"/>
      <c r="K2451" s="226" t="n">
        <f aca="false">D2451-J2451</f>
        <v>1</v>
      </c>
      <c r="L2451" s="2736"/>
    </row>
    <row r="2452" customFormat="false" ht="15.5" hidden="false" customHeight="false" outlineLevel="0" collapsed="false">
      <c r="A2452" s="2719"/>
      <c r="B2452" s="298" t="str">
        <f aca="false">дома!A1583</f>
        <v>расходные материалы каменные дома</v>
      </c>
      <c r="C2452" s="2765" t="s">
        <v>1796</v>
      </c>
      <c r="D2452" s="298" t="n">
        <f aca="false">дома!C1583</f>
        <v>1</v>
      </c>
      <c r="E2452" s="298" t="n">
        <f aca="false">дома!I1583</f>
        <v>15000</v>
      </c>
      <c r="F2452" s="298"/>
      <c r="G2452" s="122" t="n">
        <f aca="false">IF(F2452&gt;0,D2452*F2452,E2452*D2452)*IF(H2452&gt;0,1,0)</f>
        <v>0</v>
      </c>
      <c r="H2452" s="2210" t="n">
        <f aca="false">D2452*E2452*$H$541</f>
        <v>0</v>
      </c>
      <c r="I2452" s="2784" t="n">
        <f aca="false">IF(G2452&gt;H2452,G2452,H2452)</f>
        <v>0</v>
      </c>
      <c r="J2452" s="2744"/>
      <c r="K2452" s="226" t="n">
        <f aca="false">D2452-J2452</f>
        <v>1</v>
      </c>
      <c r="L2452" s="2736"/>
    </row>
    <row r="2453" customFormat="false" ht="15.5" hidden="false" customHeight="false" outlineLevel="0" collapsed="false">
      <c r="A2453" s="2719"/>
      <c r="B2453" s="2648" t="str">
        <f aca="false">дома!A1659</f>
        <v>расходные материалы каменные дома</v>
      </c>
      <c r="C2453" s="2765" t="s">
        <v>1796</v>
      </c>
      <c r="D2453" s="298" t="n">
        <f aca="false">дома!C1659</f>
        <v>1</v>
      </c>
      <c r="E2453" s="122" t="n">
        <f aca="false">дома!I1657</f>
        <v>0</v>
      </c>
      <c r="F2453" s="122"/>
      <c r="G2453" s="122" t="n">
        <f aca="false">IF(F2453&gt;0,D2453*F2453,E2453*D2453)*IF(H2453&gt;0,1,0)</f>
        <v>0</v>
      </c>
      <c r="H2453" s="2210" t="n">
        <f aca="false">D2453*E2453*$H$607</f>
        <v>0</v>
      </c>
      <c r="I2453" s="2784" t="n">
        <f aca="false">IF(G2453&gt;H2453,G2453,H2453)</f>
        <v>0</v>
      </c>
      <c r="J2453" s="2744"/>
      <c r="K2453" s="226" t="n">
        <f aca="false">D2453-J2453</f>
        <v>1</v>
      </c>
      <c r="L2453" s="2736"/>
    </row>
    <row r="2454" customFormat="false" ht="15.5" hidden="false" customHeight="false" outlineLevel="0" collapsed="false">
      <c r="A2454" s="2719"/>
      <c r="B2454" s="639" t="str">
        <f aca="false">дома!A1740</f>
        <v>расходные материалы каменные дома</v>
      </c>
      <c r="C2454" s="2765" t="s">
        <v>1796</v>
      </c>
      <c r="D2454" s="245" t="n">
        <f aca="false">дома!C1740</f>
        <v>1</v>
      </c>
      <c r="E2454" s="245" t="n">
        <f aca="false">дома!I1740</f>
        <v>15000</v>
      </c>
      <c r="F2454" s="245"/>
      <c r="G2454" s="122" t="n">
        <f aca="false">IF(F2454&gt;0,D2454*F2454,E2454*D2454)*IF(H2454&gt;0,1,0)</f>
        <v>15000</v>
      </c>
      <c r="H2454" s="245" t="n">
        <f aca="false">D2454*E2454*$H$666</f>
        <v>15000</v>
      </c>
      <c r="I2454" s="2784" t="n">
        <f aca="false">IF(G2454&gt;H2454,G2454,H2454)</f>
        <v>15000</v>
      </c>
      <c r="J2454" s="2744"/>
      <c r="K2454" s="226" t="n">
        <f aca="false">D2454-J2454</f>
        <v>1</v>
      </c>
      <c r="L2454" s="2736"/>
    </row>
    <row r="2455" customFormat="false" ht="15.5" hidden="false" customHeight="false" outlineLevel="0" collapsed="false">
      <c r="A2455" s="2719"/>
      <c r="B2455" s="639" t="str">
        <f aca="false">дома!A1810</f>
        <v>расходные материалы дома из леса</v>
      </c>
      <c r="C2455" s="2765" t="s">
        <v>1796</v>
      </c>
      <c r="D2455" s="245" t="n">
        <f aca="false">дома!C1810</f>
        <v>1</v>
      </c>
      <c r="E2455" s="245" t="n">
        <f aca="false">дома!D1810</f>
        <v>3000</v>
      </c>
      <c r="F2455" s="245"/>
      <c r="G2455" s="122" t="n">
        <f aca="false">IF(F2455&gt;0,D2455*F2455,E2455*D2455)*IF(H2455&gt;0,1,0)</f>
        <v>0</v>
      </c>
      <c r="H2455" s="245" t="n">
        <f aca="false">D2455*E2455*$H$718</f>
        <v>0</v>
      </c>
      <c r="I2455" s="2784" t="n">
        <f aca="false">IF(G2455&gt;H2455,G2455,H2455)</f>
        <v>0</v>
      </c>
      <c r="J2455" s="2744"/>
      <c r="K2455" s="226" t="n">
        <f aca="false">D2455-J2455</f>
        <v>1</v>
      </c>
      <c r="L2455" s="2736"/>
    </row>
    <row r="2456" customFormat="false" ht="15.5" hidden="false" customHeight="false" outlineLevel="0" collapsed="false">
      <c r="A2456" s="2719"/>
      <c r="B2456" s="122" t="str">
        <f aca="false">дома!A2009</f>
        <v>расходные материалы дома из леса</v>
      </c>
      <c r="C2456" s="2765" t="s">
        <v>1796</v>
      </c>
      <c r="D2456" s="122" t="n">
        <f aca="false">дома!C2009</f>
        <v>1</v>
      </c>
      <c r="E2456" s="89" t="n">
        <f aca="false">дома!D2009</f>
        <v>3000</v>
      </c>
      <c r="F2456" s="89"/>
      <c r="G2456" s="122" t="n">
        <f aca="false">IF(F2456&gt;0,D2456*F2456,E2456*D2456)*IF(H2456&gt;0,1,0)</f>
        <v>0</v>
      </c>
      <c r="H2456" s="122" t="n">
        <f aca="false">D2456*E2456*$H$755</f>
        <v>0</v>
      </c>
      <c r="I2456" s="2784" t="n">
        <f aca="false">IF(G2456&gt;H2456,G2456,H2456)</f>
        <v>0</v>
      </c>
      <c r="J2456" s="2744"/>
      <c r="K2456" s="226" t="n">
        <f aca="false">D2456-J2456</f>
        <v>1</v>
      </c>
      <c r="L2456" s="2736"/>
    </row>
    <row r="2457" customFormat="false" ht="15.5" hidden="false" customHeight="false" outlineLevel="0" collapsed="false">
      <c r="A2457" s="2719"/>
      <c r="B2457" s="122" t="str">
        <f aca="false">дома!A1963</f>
        <v>расходные материалы дома из леса</v>
      </c>
      <c r="C2457" s="2765" t="s">
        <v>1796</v>
      </c>
      <c r="D2457" s="122" t="n">
        <f aca="false">дома!C1963</f>
        <v>1</v>
      </c>
      <c r="E2457" s="122" t="n">
        <f aca="false">дома!D1963</f>
        <v>3000</v>
      </c>
      <c r="F2457" s="122"/>
      <c r="G2457" s="122" t="n">
        <f aca="false">IF(F2457&gt;0,D2457*F2457,E2457*D2457)*IF(H2457&gt;0,1,0)</f>
        <v>0</v>
      </c>
      <c r="H2457" s="2210" t="n">
        <f aca="false">D2457*E2457*$H$793</f>
        <v>0</v>
      </c>
      <c r="I2457" s="2784" t="n">
        <f aca="false">IF(G2457&gt;H2457,G2457,H2457)</f>
        <v>0</v>
      </c>
      <c r="J2457" s="2744"/>
      <c r="K2457" s="226" t="n">
        <f aca="false">D2457-J2457</f>
        <v>1</v>
      </c>
      <c r="L2457" s="2736"/>
    </row>
    <row r="2458" customFormat="false" ht="15.5" hidden="false" customHeight="false" outlineLevel="0" collapsed="false">
      <c r="A2458" s="2719"/>
      <c r="B2458" s="122" t="str">
        <f aca="false">дома!A1855</f>
        <v>расходные материалы дома из леса</v>
      </c>
      <c r="C2458" s="2765" t="s">
        <v>1796</v>
      </c>
      <c r="D2458" s="122" t="n">
        <f aca="false">дома!C1855</f>
        <v>1</v>
      </c>
      <c r="E2458" s="122" t="n">
        <f aca="false">дома!D1855</f>
        <v>3000</v>
      </c>
      <c r="F2458" s="122"/>
      <c r="G2458" s="122" t="n">
        <f aca="false">IF(F2458&gt;0,D2458*F2458,E2458*D2458)*IF(H2458&gt;0,1,0)</f>
        <v>0</v>
      </c>
      <c r="H2458" s="2210" t="n">
        <f aca="false">D2458*E2458*$H$830</f>
        <v>0</v>
      </c>
      <c r="I2458" s="2784" t="n">
        <f aca="false">IF(G2458&gt;H2458,G2458,H2458)</f>
        <v>0</v>
      </c>
      <c r="J2458" s="2744"/>
      <c r="K2458" s="226" t="n">
        <f aca="false">D2458-J2458</f>
        <v>1</v>
      </c>
      <c r="L2458" s="2736"/>
    </row>
    <row r="2459" customFormat="false" ht="15.5" hidden="false" customHeight="false" outlineLevel="0" collapsed="false">
      <c r="A2459" s="2719"/>
      <c r="B2459" s="122" t="str">
        <f aca="false">дома!A1902</f>
        <v>расходные материалы дома из леса</v>
      </c>
      <c r="C2459" s="2765" t="s">
        <v>1796</v>
      </c>
      <c r="D2459" s="122" t="n">
        <f aca="false">дома!C1902</f>
        <v>1</v>
      </c>
      <c r="E2459" s="122" t="n">
        <f aca="false">дома!D1902</f>
        <v>3000</v>
      </c>
      <c r="F2459" s="122"/>
      <c r="G2459" s="122" t="n">
        <f aca="false">IF(F2459&gt;0,D2459*F2459,E2459*D2459)*IF(H2459&gt;0,1,0)</f>
        <v>0</v>
      </c>
      <c r="H2459" s="2210" t="n">
        <f aca="false">D2459*E2459*$H$867</f>
        <v>0</v>
      </c>
      <c r="I2459" s="2784" t="n">
        <f aca="false">IF(G2459&gt;H2459,G2459,H2459)</f>
        <v>0</v>
      </c>
      <c r="J2459" s="2744"/>
      <c r="K2459" s="226" t="n">
        <f aca="false">D2459-J2459</f>
        <v>1</v>
      </c>
      <c r="L2459" s="2736"/>
    </row>
    <row r="2460" customFormat="false" ht="15.5" hidden="false" customHeight="false" outlineLevel="0" collapsed="false">
      <c r="A2460" s="2719"/>
      <c r="B2460" s="298" t="str">
        <f aca="false">крыша!A623</f>
        <v>расходные материалы эркер</v>
      </c>
      <c r="C2460" s="2765" t="str">
        <f aca="false">крыша!B623</f>
        <v>рублей</v>
      </c>
      <c r="D2460" s="298" t="n">
        <f aca="false">крыша!C623</f>
        <v>1</v>
      </c>
      <c r="E2460" s="298" t="n">
        <f aca="false">крыша!D623</f>
        <v>3000</v>
      </c>
      <c r="F2460" s="298"/>
      <c r="G2460" s="122" t="n">
        <f aca="false">IF(F2460&gt;0,D2460*F2460,E2460*D2460)*IF(H2460&gt;0,1,0)</f>
        <v>0</v>
      </c>
      <c r="H2460" s="2210" t="n">
        <f aca="false">D2460*E2460*$H$1749</f>
        <v>0</v>
      </c>
      <c r="I2460" s="2784" t="n">
        <f aca="false">IF(G2460&gt;H2460,G2460,H2460)</f>
        <v>0</v>
      </c>
      <c r="J2460" s="2744"/>
      <c r="K2460" s="226" t="n">
        <f aca="false">D2460-J2460</f>
        <v>1</v>
      </c>
      <c r="L2460" s="2736"/>
    </row>
    <row r="2461" customFormat="false" ht="15.5" hidden="false" customHeight="false" outlineLevel="0" collapsed="false">
      <c r="A2461" s="2719"/>
      <c r="B2461" s="298" t="str">
        <f aca="false">крыша!A316</f>
        <v>расходные материалы двускатная кровля</v>
      </c>
      <c r="C2461" s="2765" t="str">
        <f aca="false">крыша!B316</f>
        <v>рублей</v>
      </c>
      <c r="D2461" s="298" t="n">
        <f aca="false">крыша!C316</f>
        <v>1</v>
      </c>
      <c r="E2461" s="177" t="n">
        <f aca="false">крыша!D316</f>
        <v>0</v>
      </c>
      <c r="F2461" s="177"/>
      <c r="G2461" s="122" t="n">
        <f aca="false">IF(F2461&gt;0,D2461*F2461,E2461*D2461)*IF(H2461&gt;0,1,0)</f>
        <v>0</v>
      </c>
      <c r="H2461" s="2210" t="n">
        <f aca="false">D2461*E2461*$H$1410</f>
        <v>0</v>
      </c>
      <c r="I2461" s="2784" t="n">
        <f aca="false">IF(G2461&gt;H2461,G2461,H2461)</f>
        <v>0</v>
      </c>
      <c r="J2461" s="2744"/>
      <c r="K2461" s="226" t="n">
        <f aca="false">D2461-J2461</f>
        <v>1</v>
      </c>
      <c r="L2461" s="2736"/>
    </row>
    <row r="2462" customFormat="false" ht="15.5" hidden="false" customHeight="false" outlineLevel="0" collapsed="false">
      <c r="A2462" s="2719"/>
      <c r="B2462" s="298" t="str">
        <f aca="false">крыша!A394</f>
        <v>расходные материалы вальмовая кровля</v>
      </c>
      <c r="C2462" s="2765" t="str">
        <f aca="false">крыша!B394</f>
        <v>рублей</v>
      </c>
      <c r="D2462" s="298" t="n">
        <f aca="false">крыша!C394</f>
        <v>1</v>
      </c>
      <c r="E2462" s="298" t="n">
        <f aca="false">крыша!D394</f>
        <v>10000</v>
      </c>
      <c r="F2462" s="298"/>
      <c r="G2462" s="122" t="n">
        <f aca="false">IF(F2462&gt;0,D2462*F2462,E2462*D2462)*IF(H2462&gt;0,1,0)</f>
        <v>0</v>
      </c>
      <c r="H2462" s="2210" t="n">
        <f aca="false">D2462*E2462*$H$1484</f>
        <v>0</v>
      </c>
      <c r="I2462" s="2784" t="n">
        <f aca="false">IF(G2462&gt;H2462,G2462,H2462)</f>
        <v>0</v>
      </c>
      <c r="J2462" s="2744"/>
      <c r="K2462" s="226" t="n">
        <f aca="false">D2462-J2462</f>
        <v>1</v>
      </c>
      <c r="L2462" s="2736"/>
    </row>
    <row r="2463" customFormat="false" ht="15.5" hidden="false" customHeight="false" outlineLevel="0" collapsed="false">
      <c r="A2463" s="2719"/>
      <c r="B2463" s="298" t="str">
        <f aca="false">крыша!A483</f>
        <v>расходные материалы полувальмовая кровля</v>
      </c>
      <c r="C2463" s="2765" t="str">
        <f aca="false">крыша!B483</f>
        <v>рублей</v>
      </c>
      <c r="D2463" s="298" t="n">
        <f aca="false">крыша!C483</f>
        <v>1</v>
      </c>
      <c r="E2463" s="298" t="n">
        <f aca="false">крыша!D483</f>
        <v>10000</v>
      </c>
      <c r="F2463" s="298"/>
      <c r="G2463" s="122" t="n">
        <f aca="false">IF(F2463&gt;0,D2463*F2463,E2463*D2463)*IF(H2463&gt;0,1,0)</f>
        <v>0</v>
      </c>
      <c r="H2463" s="2210" t="n">
        <f aca="false">D2463*E2463*$H$1550</f>
        <v>0</v>
      </c>
      <c r="I2463" s="2784" t="n">
        <f aca="false">IF(G2463&gt;H2463,G2463,H2463)</f>
        <v>0</v>
      </c>
      <c r="J2463" s="2744"/>
      <c r="K2463" s="226" t="n">
        <f aca="false">D2463-J2463</f>
        <v>1</v>
      </c>
      <c r="L2463" s="2736"/>
    </row>
    <row r="2464" customFormat="false" ht="15.5" hidden="false" customHeight="false" outlineLevel="0" collapsed="false">
      <c r="A2464" s="2719"/>
      <c r="B2464" s="298" t="str">
        <f aca="false">крыша!A550</f>
        <v>расходные материалы элементы кровель</v>
      </c>
      <c r="C2464" s="2765" t="str">
        <f aca="false">крыша!B550</f>
        <v>рублей</v>
      </c>
      <c r="D2464" s="298" t="n">
        <f aca="false">крыша!C550</f>
        <v>1</v>
      </c>
      <c r="E2464" s="298" t="n">
        <f aca="false">крыша!D550</f>
        <v>10000</v>
      </c>
      <c r="F2464" s="298"/>
      <c r="G2464" s="122" t="n">
        <f aca="false">IF(F2464&gt;0,D2464*F2464,E2464*D2464)*IF(H2464&gt;0,1,0)</f>
        <v>0</v>
      </c>
      <c r="H2464" s="2210" t="n">
        <f aca="false">D2464*E2464*$H$1623</f>
        <v>0</v>
      </c>
      <c r="I2464" s="2784" t="n">
        <f aca="false">IF(G2464&gt;H2464,G2464,H2464)</f>
        <v>0</v>
      </c>
      <c r="J2464" s="2744"/>
      <c r="K2464" s="226" t="n">
        <f aca="false">D2464-J2464</f>
        <v>1</v>
      </c>
      <c r="L2464" s="2736"/>
    </row>
    <row r="2465" customFormat="false" ht="15.5" hidden="false" customHeight="false" outlineLevel="0" collapsed="false">
      <c r="A2465" s="2719"/>
      <c r="B2465" s="298" t="str">
        <f aca="false">пристройка!A260</f>
        <v>расходные материалы пристройки</v>
      </c>
      <c r="C2465" s="2765" t="str">
        <f aca="false">пристройка!B260</f>
        <v>рублей</v>
      </c>
      <c r="D2465" s="298" t="n">
        <f aca="false">пристройка!C260</f>
        <v>1</v>
      </c>
      <c r="E2465" s="177" t="n">
        <f aca="false">пристройка!D260</f>
        <v>10000</v>
      </c>
      <c r="F2465" s="177"/>
      <c r="G2465" s="122" t="n">
        <f aca="false">IF(F2465&gt;0,D2465*F2465,E2465*D2465)*IF(H2465&gt;0,1,0)</f>
        <v>0</v>
      </c>
      <c r="H2465" s="2210" t="n">
        <f aca="false">D2465*E2465*$H$1681</f>
        <v>0</v>
      </c>
      <c r="I2465" s="2784" t="n">
        <f aca="false">IF(G2465&gt;H2465,G2465,H2465)</f>
        <v>0</v>
      </c>
      <c r="J2465" s="2744"/>
      <c r="K2465" s="226" t="n">
        <f aca="false">D2465-J2465</f>
        <v>1</v>
      </c>
      <c r="L2465" s="2736"/>
    </row>
    <row r="2466" customFormat="false" ht="15.5" hidden="false" customHeight="false" outlineLevel="0" collapsed="false">
      <c r="A2466" s="2719"/>
      <c r="B2466" s="2819" t="str">
        <f aca="false">дома!A2064</f>
        <v>расходные материалы веранда</v>
      </c>
      <c r="C2466" s="2820" t="str">
        <f aca="false">дома!B2064</f>
        <v>рублей</v>
      </c>
      <c r="D2466" s="369" t="n">
        <f aca="false">дома!C2064</f>
        <v>1</v>
      </c>
      <c r="E2466" s="2821" t="n">
        <f aca="false">дома!D2064</f>
        <v>0</v>
      </c>
      <c r="F2466" s="2821"/>
      <c r="G2466" s="122" t="n">
        <f aca="false">IF(F2466&gt;0,D2466*F2466,E2466*D2466)*IF(H2466&gt;0,1,0)</f>
        <v>0</v>
      </c>
      <c r="H2466" s="2849" t="n">
        <f aca="false">D2466*E2466*$H$1250</f>
        <v>0</v>
      </c>
      <c r="I2466" s="2784" t="n">
        <f aca="false">IF(G2466&gt;H2466,G2466,H2466)</f>
        <v>0</v>
      </c>
      <c r="J2466" s="2744"/>
      <c r="K2466" s="226" t="n">
        <f aca="false">D2466-J2466</f>
        <v>1</v>
      </c>
      <c r="L2466" s="2736"/>
    </row>
    <row r="2467" customFormat="false" ht="15.5" hidden="false" customHeight="false" outlineLevel="0" collapsed="false">
      <c r="A2467" s="2719"/>
      <c r="B2467" s="298" t="str">
        <f aca="false">инженерка!A479</f>
        <v>расходные материалы для септика</v>
      </c>
      <c r="C2467" s="2765" t="str">
        <f aca="false">инженерка!B479</f>
        <v>рублей</v>
      </c>
      <c r="D2467" s="298" t="n">
        <f aca="false">инженерка!C479</f>
        <v>1</v>
      </c>
      <c r="E2467" s="177" t="n">
        <f aca="false">инженерка!D479</f>
        <v>5000</v>
      </c>
      <c r="F2467" s="177"/>
      <c r="G2467" s="122" t="n">
        <f aca="false">IF(F2467&gt;0,D2467*F2467,E2467*D2467)*IF(H2467&gt;0,1,0)</f>
        <v>0</v>
      </c>
      <c r="H2467" s="2210" t="n">
        <f aca="false">D2467*E2467*$H$2296</f>
        <v>0</v>
      </c>
      <c r="I2467" s="2784" t="n">
        <f aca="false">IF(G2467&gt;H2467,G2467,H2467)</f>
        <v>0</v>
      </c>
      <c r="J2467" s="2744"/>
      <c r="K2467" s="226" t="n">
        <f aca="false">D2467-J2467</f>
        <v>1</v>
      </c>
      <c r="L2467" s="2736"/>
    </row>
    <row r="2468" customFormat="false" ht="15.5" hidden="false" customHeight="false" outlineLevel="0" collapsed="false">
      <c r="A2468" s="2719"/>
      <c r="B2468" s="639" t="str">
        <f aca="false">крыша!A701</f>
        <v>расходные материалы односкатная кровля</v>
      </c>
      <c r="C2468" s="238" t="str">
        <f aca="false">крыша!B701</f>
        <v>рублей</v>
      </c>
      <c r="D2468" s="245" t="n">
        <f aca="false">крыша!C701</f>
        <v>1</v>
      </c>
      <c r="E2468" s="23" t="n">
        <f aca="false">крыша!D701</f>
        <v>10000</v>
      </c>
      <c r="F2468" s="23"/>
      <c r="G2468" s="122" t="n">
        <f aca="false">IF(F2468&gt;0,D2468*F2468,E2468*D2468)*IF(H2468&gt;0,1,0)</f>
        <v>0</v>
      </c>
      <c r="H2468" s="2210" t="n">
        <f aca="false">D2468*E2468*$H$1335</f>
        <v>0</v>
      </c>
      <c r="I2468" s="2784" t="n">
        <f aca="false">IF(G2468&gt;H2468,G2468,H2468)</f>
        <v>0</v>
      </c>
      <c r="J2468" s="2744"/>
      <c r="K2468" s="226" t="n">
        <f aca="false">D2468-J2468</f>
        <v>1</v>
      </c>
      <c r="L2468" s="2736"/>
    </row>
    <row r="2469" customFormat="false" ht="15.5" hidden="false" customHeight="false" outlineLevel="0" collapsed="false">
      <c r="A2469" s="2719"/>
      <c r="B2469" s="298" t="str">
        <f aca="false">фундамент!A280</f>
        <v>Расходные материалы винтовые сваи</v>
      </c>
      <c r="C2469" s="2765" t="str">
        <f aca="false">фундамент!B280</f>
        <v>рублей</v>
      </c>
      <c r="D2469" s="298" t="n">
        <f aca="false">фундамент!C280</f>
        <v>1</v>
      </c>
      <c r="E2469" s="298" t="n">
        <f aca="false">фундамент!D280</f>
        <v>6000</v>
      </c>
      <c r="F2469" s="298"/>
      <c r="G2469" s="122" t="n">
        <f aca="false">IF(F2469&gt;0,D2469*F2469,E2469*D2469)*IF(H2469&gt;0,1,0)</f>
        <v>0</v>
      </c>
      <c r="H2469" s="2210" t="n">
        <f aca="false">D2469*E2469*$H$124</f>
        <v>0</v>
      </c>
      <c r="I2469" s="2784" t="n">
        <f aca="false">IF(G2469&gt;H2469,G2469,H2469)</f>
        <v>0</v>
      </c>
      <c r="J2469" s="2744"/>
      <c r="K2469" s="226" t="n">
        <f aca="false">D2469-J2469</f>
        <v>1</v>
      </c>
      <c r="L2469" s="2736"/>
    </row>
    <row r="2470" customFormat="false" ht="15.5" hidden="false" customHeight="false" outlineLevel="0" collapsed="false">
      <c r="A2470" s="2719"/>
      <c r="B2470" s="298" t="str">
        <f aca="false">отделка!A415</f>
        <v>расходные материалы окна</v>
      </c>
      <c r="C2470" s="2765" t="str">
        <f aca="false">отделка!B415</f>
        <v>рублей</v>
      </c>
      <c r="D2470" s="298" t="n">
        <f aca="false">отделка!C415</f>
        <v>1</v>
      </c>
      <c r="E2470" s="298" t="n">
        <f aca="false">отделка!D415</f>
        <v>5000</v>
      </c>
      <c r="F2470" s="298"/>
      <c r="G2470" s="122" t="n">
        <f aca="false">IF(F2470&gt;0,D2470*F2470,E2470*D2470)*IF(H2470&gt;0,1,0)</f>
        <v>0</v>
      </c>
      <c r="H2470" s="85" t="n">
        <f aca="false">D2470*E2470*$H$1931</f>
        <v>0</v>
      </c>
      <c r="I2470" s="2784" t="n">
        <f aca="false">IF(G2470&gt;H2470,G2470,H2470)</f>
        <v>0</v>
      </c>
      <c r="J2470" s="2744"/>
      <c r="K2470" s="226" t="n">
        <f aca="false">D2470-J2470</f>
        <v>1</v>
      </c>
      <c r="L2470" s="2736"/>
    </row>
    <row r="2471" customFormat="false" ht="15.5" hidden="false" customHeight="false" outlineLevel="0" collapsed="false">
      <c r="A2471" s="2719"/>
      <c r="B2471" s="298" t="str">
        <f aca="false">отделка!A438</f>
        <v>расходные материалы лестница</v>
      </c>
      <c r="C2471" s="2765" t="str">
        <f aca="false">отделка!B438</f>
        <v>рублей</v>
      </c>
      <c r="D2471" s="298" t="n">
        <f aca="false">отделка!C438</f>
        <v>1</v>
      </c>
      <c r="E2471" s="298" t="n">
        <f aca="false">отделка!D438</f>
        <v>5000</v>
      </c>
      <c r="F2471" s="298"/>
      <c r="G2471" s="122" t="n">
        <f aca="false">IF(F2471&gt;0,D2471*F2471,E2471*D2471)*IF(H2471&gt;0,1,0)</f>
        <v>0</v>
      </c>
      <c r="H2471" s="85" t="n">
        <f aca="false">D2471*E2471*$H$1969</f>
        <v>0</v>
      </c>
      <c r="I2471" s="2784" t="n">
        <f aca="false">IF(G2471&gt;H2471,G2471,H2471)</f>
        <v>0</v>
      </c>
      <c r="J2471" s="2744"/>
      <c r="K2471" s="226" t="n">
        <f aca="false">D2471-J2471</f>
        <v>1</v>
      </c>
      <c r="L2471" s="2736"/>
    </row>
    <row r="2472" customFormat="false" ht="15.5" hidden="false" customHeight="false" outlineLevel="0" collapsed="false">
      <c r="A2472" s="2719"/>
      <c r="B2472" s="298" t="str">
        <f aca="false">отделка!A556</f>
        <v>расходные материалы отделка внешняя</v>
      </c>
      <c r="C2472" s="2765" t="str">
        <f aca="false">отделка!B556</f>
        <v>рублей</v>
      </c>
      <c r="D2472" s="298" t="n">
        <f aca="false">отделка!C556</f>
        <v>1</v>
      </c>
      <c r="E2472" s="298" t="n">
        <f aca="false">отделка!D556</f>
        <v>3000</v>
      </c>
      <c r="F2472" s="298"/>
      <c r="G2472" s="122" t="n">
        <f aca="false">IF(F2472&gt;0,D2472*F2472,E2472*D2472)*IF(H2472&gt;0,1,0)</f>
        <v>0</v>
      </c>
      <c r="H2472" s="2210" t="n">
        <f aca="false">D2472*E2472*$H$2023</f>
        <v>0</v>
      </c>
      <c r="I2472" s="2784" t="n">
        <f aca="false">IF(G2472&gt;H2472,G2472,H2472)</f>
        <v>0</v>
      </c>
      <c r="J2472" s="2744"/>
      <c r="K2472" s="226" t="n">
        <f aca="false">D2472-J2472</f>
        <v>1</v>
      </c>
      <c r="L2472" s="878"/>
      <c r="M2472" s="878"/>
    </row>
    <row r="2473" customFormat="false" ht="15.5" hidden="false" customHeight="false" outlineLevel="0" collapsed="false">
      <c r="A2473" s="2719"/>
      <c r="B2473" s="298" t="str">
        <f aca="false">отделка!A706</f>
        <v>расходные материалы чистовая отделка</v>
      </c>
      <c r="C2473" s="2765" t="str">
        <f aca="false">отделка!B706</f>
        <v>рублей</v>
      </c>
      <c r="D2473" s="298" t="n">
        <f aca="false">отделка!C706</f>
        <v>1</v>
      </c>
      <c r="E2473" s="298" t="n">
        <f aca="false">отделка!D706</f>
        <v>5000</v>
      </c>
      <c r="F2473" s="298"/>
      <c r="G2473" s="122" t="n">
        <f aca="false">IF(F2473&gt;0,D2473*F2473,E2473*D2473)*IF(H2473&gt;0,1,0)</f>
        <v>0</v>
      </c>
      <c r="H2473" s="2210" t="n">
        <f aca="false">D2473*E2473*$H$2099</f>
        <v>0</v>
      </c>
      <c r="I2473" s="2784" t="n">
        <f aca="false">IF(G2473&gt;H2473,G2473,H2473)</f>
        <v>0</v>
      </c>
      <c r="J2473" s="2744"/>
      <c r="K2473" s="226" t="n">
        <f aca="false">D2473-J2473</f>
        <v>1</v>
      </c>
      <c r="L2473" s="878"/>
      <c r="M2473" s="878"/>
    </row>
    <row r="2474" customFormat="false" ht="15.5" hidden="false" customHeight="false" outlineLevel="0" collapsed="false">
      <c r="A2474" s="2719"/>
      <c r="B2474" s="2851" t="str">
        <f aca="false">дома!A2212</f>
        <v>расходные материалы балкон</v>
      </c>
      <c r="C2474" s="2861" t="str">
        <f aca="false">дома!B2212</f>
        <v>рублей</v>
      </c>
      <c r="D2474" s="2851" t="n">
        <f aca="false">дома!C2212</f>
        <v>0</v>
      </c>
      <c r="E2474" s="2851" t="n">
        <f aca="false">дома!D2212</f>
        <v>0</v>
      </c>
      <c r="F2474" s="2851"/>
      <c r="G2474" s="122" t="n">
        <f aca="false">IF(F2474&gt;0,D2474*F2474,E2474*D2474)*IF(H2474&gt;0,1,0)</f>
        <v>0</v>
      </c>
      <c r="H2474" s="2210" t="n">
        <f aca="false">D2474*E2474*$H$1313</f>
        <v>0</v>
      </c>
      <c r="I2474" s="2784" t="n">
        <f aca="false">IF(G2474&gt;H2474,G2474,H2474)</f>
        <v>0</v>
      </c>
      <c r="J2474" s="2744"/>
      <c r="K2474" s="226" t="n">
        <f aca="false">D2474-J2474</f>
        <v>0</v>
      </c>
      <c r="L2474" s="878"/>
      <c r="M2474" s="878"/>
    </row>
    <row r="2475" customFormat="false" ht="15.5" hidden="false" customHeight="false" outlineLevel="0" collapsed="false">
      <c r="A2475" s="2719"/>
      <c r="B2475" s="298" t="str">
        <f aca="false">перекрытие!A226</f>
        <v>расходные материалы перекрытие</v>
      </c>
      <c r="C2475" s="2765" t="str">
        <f aca="false">перекрытие!B226</f>
        <v>рублей</v>
      </c>
      <c r="D2475" s="298" t="n">
        <f aca="false">перекрытие!D226</f>
        <v>1</v>
      </c>
      <c r="E2475" s="177" t="n">
        <f aca="false">перекрытие!E226</f>
        <v>5000</v>
      </c>
      <c r="F2475" s="177"/>
      <c r="G2475" s="122" t="n">
        <f aca="false">IF(F2475&gt;0,D2475*F2475,E2475*D2475)*IF(H2475&gt;0,1,0)</f>
        <v>0</v>
      </c>
      <c r="H2475" s="122" t="n">
        <f aca="false">перекрытие!F226*$H$903</f>
        <v>0</v>
      </c>
      <c r="I2475" s="2784" t="n">
        <f aca="false">IF(G2475&gt;H2475,G2475,H2475)</f>
        <v>0</v>
      </c>
      <c r="J2475" s="2744"/>
      <c r="K2475" s="226" t="n">
        <f aca="false">D2475-J2475</f>
        <v>1</v>
      </c>
      <c r="L2475" s="878"/>
      <c r="M2475" s="878"/>
    </row>
    <row r="2476" customFormat="false" ht="15.5" hidden="false" customHeight="false" outlineLevel="0" collapsed="false">
      <c r="A2476" s="2719"/>
      <c r="B2476" s="298" t="str">
        <f aca="false">фундамент!A682</f>
        <v>расходные материалы цокольный этаж</v>
      </c>
      <c r="C2476" s="2765" t="str">
        <f aca="false">фундамент!B682</f>
        <v>рублей</v>
      </c>
      <c r="D2476" s="298" t="n">
        <f aca="false">фундамент!C682</f>
        <v>0</v>
      </c>
      <c r="E2476" s="298" t="n">
        <f aca="false">фундамент!D682</f>
        <v>5000</v>
      </c>
      <c r="F2476" s="298"/>
      <c r="G2476" s="122" t="n">
        <f aca="false">IF(F2476&gt;0,D2476*F2476,E2476*D2476)*IF(H2476&gt;0,1,0)</f>
        <v>0</v>
      </c>
      <c r="H2476" s="122" t="n">
        <f aca="false">фундамент!E682</f>
        <v>0</v>
      </c>
      <c r="I2476" s="2784" t="n">
        <f aca="false">IF(G2476&gt;H2476,G2476,H2476)</f>
        <v>0</v>
      </c>
      <c r="J2476" s="2744"/>
      <c r="K2476" s="226" t="n">
        <f aca="false">D2476-J2476</f>
        <v>0</v>
      </c>
      <c r="L2476" s="878"/>
      <c r="M2476" s="878"/>
    </row>
    <row r="2477" customFormat="false" ht="15.5" hidden="false" customHeight="false" outlineLevel="0" collapsed="false">
      <c r="A2477" s="2719"/>
      <c r="B2477" s="639" t="str">
        <f aca="false">дома!A2317</f>
        <v>Расходные материалы крыльцо</v>
      </c>
      <c r="C2477" s="238" t="str">
        <f aca="false">дома!B2317</f>
        <v>рублей</v>
      </c>
      <c r="D2477" s="245" t="n">
        <f aca="false">дома!C2317</f>
        <v>1</v>
      </c>
      <c r="E2477" s="23" t="n">
        <f aca="false">дома!D2317</f>
        <v>5000</v>
      </c>
      <c r="F2477" s="23"/>
      <c r="G2477" s="122" t="n">
        <f aca="false">IF(F2477&gt;0,D2477*F2477,E2477*D2477)*IF(H2477&gt;0,1,0)</f>
        <v>0</v>
      </c>
      <c r="H2477" s="2210" t="n">
        <f aca="false">D2477*E2477*$H$1874</f>
        <v>0</v>
      </c>
      <c r="I2477" s="2784" t="n">
        <f aca="false">IF(G2477&gt;H2477,G2477,H2477)</f>
        <v>0</v>
      </c>
      <c r="J2477" s="2744"/>
      <c r="K2477" s="226" t="n">
        <f aca="false">D2477-J2477</f>
        <v>1</v>
      </c>
      <c r="L2477" s="878"/>
      <c r="M2477" s="878"/>
    </row>
    <row r="2478" customFormat="false" ht="15.5" hidden="false" customHeight="false" outlineLevel="0" collapsed="false">
      <c r="A2478" s="2719"/>
      <c r="B2478" s="2852" t="str">
        <f aca="false">B455</f>
        <v>расходные материалы каркасный дом</v>
      </c>
      <c r="C2478" s="238"/>
      <c r="D2478" s="2853" t="n">
        <f aca="false">D455</f>
        <v>1</v>
      </c>
      <c r="E2478" s="23" t="n">
        <f aca="false">E455</f>
        <v>12000</v>
      </c>
      <c r="F2478" s="2815"/>
      <c r="G2478" s="122" t="n">
        <f aca="false">IF(F2478&gt;0,D2478*F2478,E2478*D2478)*IF(H2478&gt;0,1,0)</f>
        <v>0</v>
      </c>
      <c r="H2478" s="2210" t="n">
        <f aca="false">D2478*E2478*$H$1874</f>
        <v>0</v>
      </c>
      <c r="I2478" s="2784" t="n">
        <f aca="false">IF(G2478&gt;H2478,G2478,H2478)</f>
        <v>0</v>
      </c>
      <c r="J2478" s="2744"/>
      <c r="K2478" s="226" t="n">
        <f aca="false">D2478-J2478</f>
        <v>1</v>
      </c>
      <c r="L2478" s="878"/>
      <c r="M2478" s="878"/>
    </row>
    <row r="2479" customFormat="false" ht="15.5" hidden="false" customHeight="false" outlineLevel="0" collapsed="false">
      <c r="A2479" s="2719"/>
      <c r="B2479" s="2852" t="str">
        <f aca="false">B538</f>
        <v>расходные материалы каркасный дом</v>
      </c>
      <c r="C2479" s="2852"/>
      <c r="D2479" s="2853" t="n">
        <f aca="false">D538</f>
        <v>1</v>
      </c>
      <c r="E2479" s="23" t="n">
        <f aca="false">E538</f>
        <v>12000</v>
      </c>
      <c r="F2479" s="2815"/>
      <c r="G2479" s="122" t="n">
        <f aca="false">IF(F2479&gt;0,D2479*F2479,E2479*D2479)*IF(H2479&gt;0,1,0)</f>
        <v>0</v>
      </c>
      <c r="H2479" s="2210" t="n">
        <f aca="false">D2479*E2479*$H$1874</f>
        <v>0</v>
      </c>
      <c r="I2479" s="2784" t="n">
        <f aca="false">IF(G2479&gt;H2479,G2479,H2479)</f>
        <v>0</v>
      </c>
      <c r="J2479" s="2744"/>
      <c r="K2479" s="226" t="n">
        <f aca="false">D2479-J2479</f>
        <v>1</v>
      </c>
      <c r="L2479" s="878"/>
      <c r="M2479" s="878"/>
    </row>
    <row r="2480" customFormat="false" ht="15.5" hidden="false" customHeight="false" outlineLevel="0" collapsed="false">
      <c r="A2480" s="2719"/>
      <c r="B2480" s="2852" t="str">
        <f aca="false">B1993</f>
        <v>Доп. Расходы</v>
      </c>
      <c r="C2480" s="2854" t="str">
        <f aca="false">C1993</f>
        <v>руб.</v>
      </c>
      <c r="D2480" s="2853" t="n">
        <f aca="false">D1993</f>
        <v>1</v>
      </c>
      <c r="E2480" s="23" t="n">
        <f aca="false">E1993</f>
        <v>2000</v>
      </c>
      <c r="F2480" s="2815"/>
      <c r="G2480" s="122" t="n">
        <f aca="false">IF(F2480&gt;0,D2480*F2480,E2480*D2480)*IF(H2480&gt;0,1,0)</f>
        <v>0</v>
      </c>
      <c r="H2480" s="2210" t="n">
        <f aca="false">D2480*E2480*$H$1874</f>
        <v>0</v>
      </c>
      <c r="I2480" s="2784" t="n">
        <f aca="false">IF(G2480&gt;H2480,G2480,H2480)</f>
        <v>0</v>
      </c>
      <c r="J2480" s="2744"/>
      <c r="K2480" s="226" t="n">
        <f aca="false">D2480-J2480</f>
        <v>1</v>
      </c>
      <c r="L2480" s="878"/>
      <c r="M2480" s="878"/>
    </row>
    <row r="2481" customFormat="false" ht="15.5" hidden="false" customHeight="false" outlineLevel="0" collapsed="false">
      <c r="A2481" s="2719"/>
      <c r="B2481" s="2852" t="str">
        <f aca="false">B2002</f>
        <v>Доп. Расходы</v>
      </c>
      <c r="C2481" s="2854" t="str">
        <f aca="false">C2002</f>
        <v>руб.</v>
      </c>
      <c r="D2481" s="2853" t="n">
        <f aca="false">D2002</f>
        <v>1</v>
      </c>
      <c r="E2481" s="23" t="n">
        <f aca="false">E2002</f>
        <v>2000</v>
      </c>
      <c r="F2481" s="2815"/>
      <c r="G2481" s="122" t="n">
        <f aca="false">IF(F2481&gt;0,D2481*F2481,E2481*D2481)*IF(H2481&gt;0,1,0)</f>
        <v>0</v>
      </c>
      <c r="H2481" s="2210" t="n">
        <f aca="false">D2481*E2481*$H$1874</f>
        <v>0</v>
      </c>
      <c r="I2481" s="2784" t="n">
        <f aca="false">IF(G2481&gt;H2481,G2481,H2481)</f>
        <v>0</v>
      </c>
      <c r="J2481" s="2744"/>
      <c r="K2481" s="226" t="n">
        <f aca="false">D2481-J2481</f>
        <v>1</v>
      </c>
      <c r="L2481" s="878"/>
      <c r="M2481" s="878"/>
    </row>
    <row r="2482" customFormat="false" ht="15.5" hidden="false" customHeight="false" outlineLevel="0" collapsed="false">
      <c r="A2482" s="2719"/>
      <c r="B2482" s="177" t="s">
        <v>4605</v>
      </c>
      <c r="C2482" s="177"/>
      <c r="D2482" s="177"/>
      <c r="E2482" s="177"/>
      <c r="F2482" s="2855"/>
      <c r="G2482" s="2862" t="n">
        <f aca="false">SUM(G2443:G2481)</f>
        <v>15000</v>
      </c>
      <c r="H2482" s="2862" t="n">
        <f aca="false">SUM(H2443:H2481)</f>
        <v>15000</v>
      </c>
      <c r="I2482" s="2784" t="n">
        <f aca="false">IF(G2482&gt;H2482,G2482,H2482)</f>
        <v>15000</v>
      </c>
      <c r="J2482" s="2744"/>
      <c r="K2482" s="226" t="n">
        <f aca="false">D2482-J2482</f>
        <v>0</v>
      </c>
      <c r="L2482" s="878"/>
      <c r="M2482" s="878"/>
    </row>
    <row r="2483" customFormat="false" ht="21" hidden="false" customHeight="false" outlineLevel="0" collapsed="false">
      <c r="A2483" s="2719"/>
      <c r="B2483" s="2856" t="s">
        <v>2359</v>
      </c>
      <c r="C2483" s="2856"/>
      <c r="D2483" s="2856"/>
      <c r="E2483" s="2856"/>
      <c r="F2483" s="2863"/>
      <c r="G2483" s="905"/>
      <c r="H2483" s="2858" t="n">
        <f aca="false">H2496</f>
        <v>0</v>
      </c>
      <c r="I2483" s="2859" t="n">
        <f aca="false">H2483</f>
        <v>0</v>
      </c>
      <c r="J2483" s="2860"/>
      <c r="K2483" s="114"/>
      <c r="L2483" s="878"/>
      <c r="M2483" s="878"/>
    </row>
    <row r="2484" customFormat="false" ht="15.5" hidden="false" customHeight="false" outlineLevel="0" collapsed="false">
      <c r="A2484" s="2719"/>
      <c r="B2484" s="298" t="str">
        <f aca="false">дома!A1412</f>
        <v>Командировочные расходы</v>
      </c>
      <c r="C2484" s="2765" t="str">
        <f aca="false">дома!B1412</f>
        <v>рублей</v>
      </c>
      <c r="D2484" s="298" t="n">
        <f aca="false">дома!C1412</f>
        <v>1</v>
      </c>
      <c r="E2484" s="298" t="n">
        <f aca="false">дома!D1412</f>
        <v>0</v>
      </c>
      <c r="F2484" s="298"/>
      <c r="G2484" s="122" t="n">
        <f aca="false">IF(F2484&gt;0,D2484*F2484,E2484*D2484)*IF(H2484&gt;0,1,0)</f>
        <v>0</v>
      </c>
      <c r="H2484" s="85" t="n">
        <f aca="false">D2484*E2484*$H$303</f>
        <v>0</v>
      </c>
      <c r="I2484" s="2784" t="n">
        <f aca="false">IF(G2484&gt;H2484,G2484,H2484)</f>
        <v>0</v>
      </c>
      <c r="J2484" s="2744"/>
      <c r="K2484" s="226" t="n">
        <f aca="false">D2484-J2484</f>
        <v>1</v>
      </c>
      <c r="L2484" s="878"/>
      <c r="M2484" s="878"/>
    </row>
    <row r="2485" customFormat="false" ht="15.5" hidden="false" customHeight="false" outlineLevel="0" collapsed="false">
      <c r="A2485" s="2719"/>
      <c r="B2485" s="298" t="str">
        <f aca="false">дома!A1484</f>
        <v>Командировочные расходы</v>
      </c>
      <c r="C2485" s="2765" t="str">
        <f aca="false">дома!B1484</f>
        <v>рублей</v>
      </c>
      <c r="D2485" s="298" t="n">
        <f aca="false">дома!C1484</f>
        <v>1</v>
      </c>
      <c r="E2485" s="298" t="n">
        <f aca="false">дома!D1484</f>
        <v>0</v>
      </c>
      <c r="F2485" s="298"/>
      <c r="G2485" s="122" t="n">
        <f aca="false">IF(F2485&gt;0,D2485*F2485,E2485*D2485)*IF(H2485&gt;0,1,0)</f>
        <v>0</v>
      </c>
      <c r="H2485" s="85" t="n">
        <f aca="false">D2485*E2485*$H$332</f>
        <v>0</v>
      </c>
      <c r="I2485" s="2784" t="n">
        <f aca="false">IF(G2485&gt;H2485,G2485,H2485)</f>
        <v>0</v>
      </c>
      <c r="J2485" s="2744"/>
      <c r="K2485" s="226" t="n">
        <f aca="false">D2485-J2485</f>
        <v>1</v>
      </c>
      <c r="L2485" s="878"/>
      <c r="M2485" s="878"/>
    </row>
    <row r="2486" customFormat="false" ht="15.5" hidden="false" customHeight="false" outlineLevel="0" collapsed="false">
      <c r="A2486" s="2719"/>
      <c r="B2486" s="298" t="str">
        <f aca="false">дома!A1582</f>
        <v>Командировочные расходы</v>
      </c>
      <c r="C2486" s="2765" t="str">
        <f aca="false">дома!B1582</f>
        <v>рублей</v>
      </c>
      <c r="D2486" s="298" t="n">
        <f aca="false">дома!C1582</f>
        <v>1</v>
      </c>
      <c r="E2486" s="298" t="n">
        <f aca="false">дома!I1582</f>
        <v>0</v>
      </c>
      <c r="F2486" s="298"/>
      <c r="G2486" s="122" t="n">
        <f aca="false">IF(F2486&gt;0,D2486*F2486,E2486*D2486)*IF(H2486&gt;0,1,0)</f>
        <v>0</v>
      </c>
      <c r="H2486" s="85" t="n">
        <f aca="false">D2486*E2486*$H$541</f>
        <v>0</v>
      </c>
      <c r="I2486" s="2784" t="n">
        <f aca="false">IF(G2486&gt;H2486,G2486,H2486)</f>
        <v>0</v>
      </c>
      <c r="J2486" s="2744"/>
      <c r="K2486" s="226" t="n">
        <f aca="false">D2486-J2486</f>
        <v>1</v>
      </c>
      <c r="L2486" s="878"/>
      <c r="M2486" s="878"/>
    </row>
    <row r="2487" customFormat="false" ht="15.5" hidden="false" customHeight="false" outlineLevel="0" collapsed="false">
      <c r="A2487" s="2719"/>
      <c r="B2487" s="298" t="str">
        <f aca="false">дома!A1658</f>
        <v>Командировочные расходы</v>
      </c>
      <c r="C2487" s="2765" t="str">
        <f aca="false">дома!B1658</f>
        <v>рублей</v>
      </c>
      <c r="D2487" s="298" t="n">
        <f aca="false">дома!C1658</f>
        <v>1</v>
      </c>
      <c r="E2487" s="298" t="n">
        <f aca="false">дома!I1658</f>
        <v>0</v>
      </c>
      <c r="F2487" s="298"/>
      <c r="G2487" s="122" t="n">
        <f aca="false">IF(F2487&gt;0,D2487*F2487,E2487*D2487)*IF(H2487&gt;0,1,0)</f>
        <v>0</v>
      </c>
      <c r="H2487" s="85" t="n">
        <f aca="false">D2487*E2487*$H$607</f>
        <v>0</v>
      </c>
      <c r="I2487" s="2784" t="n">
        <f aca="false">IF(G2487&gt;H2487,G2487,H2487)</f>
        <v>0</v>
      </c>
      <c r="J2487" s="2744"/>
      <c r="K2487" s="226" t="n">
        <f aca="false">D2487-J2487</f>
        <v>1</v>
      </c>
      <c r="L2487" s="2736"/>
    </row>
    <row r="2488" customFormat="false" ht="15.5" hidden="false" customHeight="false" outlineLevel="0" collapsed="false">
      <c r="A2488" s="2719"/>
      <c r="B2488" s="639" t="str">
        <f aca="false">дома!A1739</f>
        <v>Командировочные расходы</v>
      </c>
      <c r="C2488" s="238" t="str">
        <f aca="false">дома!B1739</f>
        <v>рублей</v>
      </c>
      <c r="D2488" s="245" t="n">
        <f aca="false">дома!C1739</f>
        <v>1</v>
      </c>
      <c r="E2488" s="23" t="n">
        <f aca="false">дома!I1739</f>
        <v>0</v>
      </c>
      <c r="F2488" s="23"/>
      <c r="G2488" s="122" t="n">
        <f aca="false">IF(F2488&gt;0,D2488*F2488,E2488*D2488)*IF(H2488&gt;0,1,0)</f>
        <v>0</v>
      </c>
      <c r="H2488" s="23" t="n">
        <f aca="false">D2488*E2488*$H$666</f>
        <v>0</v>
      </c>
      <c r="I2488" s="2784" t="n">
        <f aca="false">IF(G2488&gt;H2488,G2488,H2488)</f>
        <v>0</v>
      </c>
      <c r="J2488" s="2744"/>
      <c r="K2488" s="226" t="n">
        <f aca="false">D2488-J2488</f>
        <v>1</v>
      </c>
      <c r="L2488" s="2736"/>
    </row>
    <row r="2489" customFormat="false" ht="15.5" hidden="false" customHeight="false" outlineLevel="0" collapsed="false">
      <c r="A2489" s="2719"/>
      <c r="B2489" s="639" t="str">
        <f aca="false">дома!A1809</f>
        <v>Командировочные расходы</v>
      </c>
      <c r="C2489" s="238" t="str">
        <f aca="false">дома!B1809</f>
        <v>рублей</v>
      </c>
      <c r="D2489" s="245" t="n">
        <f aca="false">дома!C1809</f>
        <v>1</v>
      </c>
      <c r="E2489" s="23" t="n">
        <f aca="false">дома!D1809</f>
        <v>0</v>
      </c>
      <c r="F2489" s="23"/>
      <c r="G2489" s="122" t="n">
        <f aca="false">IF(F2489&gt;0,D2489*F2489,E2489*D2489)*IF(H2489&gt;0,1,0)</f>
        <v>0</v>
      </c>
      <c r="H2489" s="23" t="n">
        <f aca="false">D2489*E2489*$H$718</f>
        <v>0</v>
      </c>
      <c r="I2489" s="2784" t="n">
        <f aca="false">IF(G2489&gt;H2489,G2489,H2489)</f>
        <v>0</v>
      </c>
      <c r="J2489" s="2744"/>
      <c r="K2489" s="226" t="n">
        <f aca="false">D2489-J2489</f>
        <v>1</v>
      </c>
      <c r="L2489" s="2736"/>
    </row>
    <row r="2490" customFormat="false" ht="15.5" hidden="false" customHeight="false" outlineLevel="0" collapsed="false">
      <c r="A2490" s="2719"/>
      <c r="B2490" s="122" t="str">
        <f aca="false">дома!A2008</f>
        <v>Командировочные расходы</v>
      </c>
      <c r="C2490" s="88" t="str">
        <f aca="false">дома!B2008</f>
        <v>рублей</v>
      </c>
      <c r="D2490" s="122" t="n">
        <f aca="false">дома!C2008</f>
        <v>1</v>
      </c>
      <c r="E2490" s="89" t="n">
        <f aca="false">дома!D2008</f>
        <v>0</v>
      </c>
      <c r="F2490" s="89"/>
      <c r="G2490" s="122" t="n">
        <f aca="false">IF(F2490&gt;0,D2490*F2490,E2490*D2490)*IF(H2490&gt;0,1,0)</f>
        <v>0</v>
      </c>
      <c r="H2490" s="122" t="n">
        <f aca="false">D2490*E2490*$H$755</f>
        <v>0</v>
      </c>
      <c r="I2490" s="2784" t="n">
        <f aca="false">IF(G2490&gt;H2490,G2490,H2490)</f>
        <v>0</v>
      </c>
      <c r="J2490" s="2744"/>
      <c r="K2490" s="226" t="n">
        <f aca="false">D2490-J2490</f>
        <v>1</v>
      </c>
      <c r="L2490" s="2736"/>
    </row>
    <row r="2491" customFormat="false" ht="15.5" hidden="false" customHeight="false" outlineLevel="0" collapsed="false">
      <c r="A2491" s="2719"/>
      <c r="B2491" s="122" t="str">
        <f aca="false">дома!A1962</f>
        <v>Командировочные расходы</v>
      </c>
      <c r="C2491" s="88" t="str">
        <f aca="false">дома!B1962</f>
        <v>рублей</v>
      </c>
      <c r="D2491" s="122" t="n">
        <f aca="false">дома!C1962</f>
        <v>1</v>
      </c>
      <c r="E2491" s="89" t="n">
        <f aca="false">дома!D1962</f>
        <v>0</v>
      </c>
      <c r="F2491" s="89"/>
      <c r="G2491" s="122" t="n">
        <f aca="false">IF(F2491&gt;0,D2491*F2491,E2491*D2491)*IF(H2491&gt;0,1,0)</f>
        <v>0</v>
      </c>
      <c r="H2491" s="2210" t="n">
        <f aca="false">D2491*E2491*$H$793</f>
        <v>0</v>
      </c>
      <c r="I2491" s="2784" t="n">
        <f aca="false">IF(G2491&gt;H2491,G2491,H2491)</f>
        <v>0</v>
      </c>
      <c r="J2491" s="2744"/>
      <c r="K2491" s="226" t="n">
        <f aca="false">D2491-J2491</f>
        <v>1</v>
      </c>
      <c r="L2491" s="2736"/>
    </row>
    <row r="2492" customFormat="false" ht="15.5" hidden="false" customHeight="false" outlineLevel="0" collapsed="false">
      <c r="A2492" s="2719"/>
      <c r="B2492" s="122" t="str">
        <f aca="false">дома!A1854</f>
        <v>Командировочные расходы</v>
      </c>
      <c r="C2492" s="88" t="str">
        <f aca="false">дома!B1854</f>
        <v>рублей</v>
      </c>
      <c r="D2492" s="122" t="n">
        <f aca="false">дома!C1854</f>
        <v>1</v>
      </c>
      <c r="E2492" s="89" t="n">
        <f aca="false">дома!D1854</f>
        <v>0</v>
      </c>
      <c r="F2492" s="89"/>
      <c r="G2492" s="122" t="n">
        <f aca="false">IF(F2492&gt;0,D2492*F2492,E2492*D2492)*IF(H2492&gt;0,1,0)</f>
        <v>0</v>
      </c>
      <c r="H2492" s="85" t="n">
        <f aca="false">D2492*E2492*$H$830</f>
        <v>0</v>
      </c>
      <c r="I2492" s="2784" t="n">
        <f aca="false">IF(G2492&gt;H2492,G2492,H2492)</f>
        <v>0</v>
      </c>
      <c r="J2492" s="2744"/>
      <c r="K2492" s="226" t="n">
        <f aca="false">D2492-J2492</f>
        <v>1</v>
      </c>
      <c r="L2492" s="2736"/>
    </row>
    <row r="2493" customFormat="false" ht="15.5" hidden="false" customHeight="false" outlineLevel="0" collapsed="false">
      <c r="A2493" s="2719"/>
      <c r="B2493" s="122" t="str">
        <f aca="false">дома!A1901</f>
        <v>Командировочные расходы</v>
      </c>
      <c r="C2493" s="88" t="str">
        <f aca="false">дома!B1901</f>
        <v>рублей</v>
      </c>
      <c r="D2493" s="122" t="n">
        <f aca="false">дома!C1901</f>
        <v>1</v>
      </c>
      <c r="E2493" s="89" t="n">
        <f aca="false">дома!D1901</f>
        <v>0</v>
      </c>
      <c r="F2493" s="89"/>
      <c r="G2493" s="122" t="n">
        <f aca="false">IF(F2493&gt;0,D2493*F2493,E2493*D2493)*IF(H2493&gt;0,1,0)</f>
        <v>0</v>
      </c>
      <c r="H2493" s="85" t="n">
        <f aca="false">D2493*E2493*$H$867</f>
        <v>0</v>
      </c>
      <c r="I2493" s="2784" t="n">
        <f aca="false">IF(G2493&gt;H2493,G2493,H2493)</f>
        <v>0</v>
      </c>
      <c r="J2493" s="2744"/>
      <c r="K2493" s="226" t="n">
        <f aca="false">D2493-J2493</f>
        <v>1</v>
      </c>
      <c r="L2493" s="2736"/>
    </row>
    <row r="2494" customFormat="false" ht="15.5" hidden="false" customHeight="false" outlineLevel="0" collapsed="false">
      <c r="A2494" s="2719"/>
      <c r="B2494" s="2182" t="str">
        <f aca="false">B454</f>
        <v>Командировочные расходы</v>
      </c>
      <c r="C2494" s="2182"/>
      <c r="D2494" s="2182" t="n">
        <f aca="false">D454</f>
        <v>1</v>
      </c>
      <c r="E2494" s="122" t="n">
        <f aca="false">E454</f>
        <v>0</v>
      </c>
      <c r="F2494" s="2864"/>
      <c r="G2494" s="122" t="n">
        <f aca="false">IF(F2494&gt;0,D2494*F2494,E2494*D2494)*IF(H2494&gt;0,1,0)</f>
        <v>0</v>
      </c>
      <c r="H2494" s="85" t="n">
        <f aca="false">D2494*E2494*$H$867</f>
        <v>0</v>
      </c>
      <c r="I2494" s="2784" t="n">
        <f aca="false">IF(G2494&gt;H2494,G2494,H2494)</f>
        <v>0</v>
      </c>
      <c r="J2494" s="2744"/>
      <c r="K2494" s="226" t="n">
        <f aca="false">D2494-J2494</f>
        <v>1</v>
      </c>
      <c r="L2494" s="2736"/>
    </row>
    <row r="2495" customFormat="false" ht="15.5" hidden="false" customHeight="false" outlineLevel="0" collapsed="false">
      <c r="A2495" s="2719"/>
      <c r="B2495" s="2182" t="str">
        <f aca="false">B537</f>
        <v>Командировочные расходы</v>
      </c>
      <c r="C2495" s="2182"/>
      <c r="D2495" s="2182" t="n">
        <f aca="false">D537</f>
        <v>1</v>
      </c>
      <c r="E2495" s="122" t="n">
        <f aca="false">E537</f>
        <v>0</v>
      </c>
      <c r="F2495" s="2864"/>
      <c r="G2495" s="122" t="n">
        <f aca="false">IF(F2495&gt;0,D2495*F2495,E2495*D2495)*IF(H2495&gt;0,1,0)</f>
        <v>0</v>
      </c>
      <c r="H2495" s="85" t="n">
        <f aca="false">D2495*E2495*$H$867</f>
        <v>0</v>
      </c>
      <c r="I2495" s="2784" t="n">
        <f aca="false">IF(G2495&gt;H2495,G2495,H2495)</f>
        <v>0</v>
      </c>
      <c r="J2495" s="2744"/>
      <c r="K2495" s="226" t="n">
        <f aca="false">D2495-J2495</f>
        <v>1</v>
      </c>
      <c r="L2495" s="2736"/>
    </row>
    <row r="2496" customFormat="false" ht="15.5" hidden="false" customHeight="false" outlineLevel="0" collapsed="false">
      <c r="A2496" s="2719"/>
      <c r="B2496" s="177" t="s">
        <v>4605</v>
      </c>
      <c r="C2496" s="177"/>
      <c r="D2496" s="177"/>
      <c r="E2496" s="177"/>
      <c r="F2496" s="2855"/>
      <c r="G2496" s="2862" t="n">
        <f aca="false">SUM(G2484:G2495)</f>
        <v>0</v>
      </c>
      <c r="H2496" s="2862" t="n">
        <f aca="false">SUM(H2484:H2495)</f>
        <v>0</v>
      </c>
      <c r="I2496" s="2784" t="n">
        <f aca="false">IF(G2496&gt;H2496,G2496,H2496)</f>
        <v>0</v>
      </c>
      <c r="J2496" s="2744"/>
      <c r="K2496" s="226" t="n">
        <f aca="false">D2496-J2496</f>
        <v>0</v>
      </c>
      <c r="L2496" s="2736"/>
    </row>
    <row r="2497" customFormat="false" ht="15.5" hidden="false" customHeight="false" outlineLevel="0" collapsed="false">
      <c r="A2497" s="2719"/>
      <c r="B2497" s="2753"/>
      <c r="C2497" s="2865"/>
      <c r="D2497" s="2866"/>
      <c r="E2497" s="2867"/>
      <c r="F2497" s="2867"/>
      <c r="G2497" s="2867"/>
      <c r="H2497" s="2725"/>
      <c r="I2497" s="2718"/>
      <c r="J2497" s="2752"/>
      <c r="K2497" s="2753"/>
    </row>
    <row r="2498" customFormat="false" ht="15.5" hidden="false" customHeight="false" outlineLevel="0" collapsed="false">
      <c r="A2498" s="2712"/>
      <c r="B2498" s="2868" t="s">
        <v>4673</v>
      </c>
      <c r="C2498" s="2868"/>
      <c r="D2498" s="2868"/>
      <c r="E2498" s="2868"/>
      <c r="F2498" s="2869"/>
      <c r="G2498" s="2870" t="n">
        <f aca="false">G23+G54+G87+G112+G131+G196+G236+G281+G322+G358+G592+G652+G708+G743+G780+G817+G854+G891+G1202+G1277+G1326+G1463+G1530+G1601+G1664+G1729+G1797+G1858+G1952+G1980+G2015+G2069+G2179+G2245+G2269+G2286+G2310+G2336+G2482+G1389+G149+G167+G1913+G1309+G429+G512+G1994+G2005</f>
        <v>720924.686214383</v>
      </c>
      <c r="H2498" s="2870" t="n">
        <f aca="false">H23+H54+H87+H112+H131+H196+H236+H281+H322+H358+H592+H652+H708+H743+H780+H817+H854+H891+H1202+H1277+H1326+H1463+H1530+H1601+H1664+H1729+H1797+H1858+H1952+H1980+H2015+H2069+H2179+H2245+H2269+H2286+H2310+H2336+H2482+H1389+H149+H167+H1913+H1309+H429+H512+H1994+H2005</f>
        <v>645423.2762</v>
      </c>
      <c r="I2498" s="2726"/>
      <c r="J2498" s="2712"/>
      <c r="K2498" s="2719"/>
    </row>
    <row r="2499" customFormat="false" ht="15.5" hidden="false" customHeight="false" outlineLevel="0" collapsed="false">
      <c r="A2499" s="2712"/>
      <c r="B2499" s="2868" t="s">
        <v>4674</v>
      </c>
      <c r="C2499" s="2868"/>
      <c r="D2499" s="2868"/>
      <c r="E2499" s="2868"/>
      <c r="F2499" s="2869"/>
      <c r="G2499" s="2870" t="n">
        <f aca="false">G33+G70+G98+G122+G140+G213+G255+G301+G330+G374+G605+G665+G791+G828+G865+G902+G1288+G1482+G1548+G1621+G1679+G1748+G1873+G1967+G1983+G2097+G2225+G2255+G2274+G2294+G2319+G2346+G1334+G2021+G1814+G754+G717+G1248+G1408+G158+G176+G1929+G1312+G452+G535+G1997+G2008</f>
        <v>307133.6</v>
      </c>
      <c r="H2499" s="2870" t="n">
        <f aca="false">H33+H70+H98+H122+H140+H213+H255+H301+H330+H374+H605+H665+H791+H828+H865+H902+H1288+H1482+H1548+H1621+H1679+H1748+H1873+H1967+H1983+H2097+H2225+H2255+H2274+H2294+H2319+H2346+H1334+H2021+H1814+H754+H717+H1248+H1408+H158+H176+H1929+H1312+H452+H535+H1997+H2008</f>
        <v>247133.6</v>
      </c>
      <c r="I2499" s="2726"/>
      <c r="J2499" s="2712"/>
      <c r="K2499" s="2719"/>
    </row>
    <row r="2500" customFormat="false" ht="15.5" hidden="false" customHeight="false" outlineLevel="0" collapsed="false">
      <c r="A2500" s="2712"/>
      <c r="B2500" s="2871"/>
      <c r="C2500" s="2872"/>
      <c r="D2500" s="2873"/>
      <c r="E2500" s="2869" t="s">
        <v>4675</v>
      </c>
      <c r="F2500" s="2869"/>
      <c r="G2500" s="2870" t="n">
        <f aca="false">G2441</f>
        <v>0</v>
      </c>
      <c r="H2500" s="2870" t="n">
        <f aca="false">H2441</f>
        <v>0</v>
      </c>
      <c r="I2500" s="2726"/>
      <c r="J2500" s="2712"/>
      <c r="K2500" s="2719"/>
    </row>
    <row r="2501" customFormat="false" ht="15.5" hidden="false" customHeight="false" outlineLevel="0" collapsed="false">
      <c r="A2501" s="2712"/>
      <c r="B2501" s="2868" t="s">
        <v>4676</v>
      </c>
      <c r="C2501" s="2868"/>
      <c r="D2501" s="2868"/>
      <c r="E2501" s="2868"/>
      <c r="F2501" s="2869"/>
      <c r="G2501" s="2870" t="n">
        <f aca="false">G2482</f>
        <v>15000</v>
      </c>
      <c r="H2501" s="2870" t="n">
        <f aca="false">H2482</f>
        <v>15000</v>
      </c>
      <c r="I2501" s="2726"/>
      <c r="J2501" s="2712"/>
      <c r="K2501" s="2719"/>
    </row>
    <row r="2502" customFormat="false" ht="15.5" hidden="false" customHeight="false" outlineLevel="0" collapsed="false">
      <c r="A2502" s="2712"/>
      <c r="B2502" s="2874" t="s">
        <v>4677</v>
      </c>
      <c r="C2502" s="2874"/>
      <c r="D2502" s="2874"/>
      <c r="E2502" s="2874"/>
      <c r="F2502" s="2875"/>
      <c r="G2502" s="2870" t="n">
        <f aca="false">G2496</f>
        <v>0</v>
      </c>
      <c r="H2502" s="2870" t="n">
        <f aca="false">H2496</f>
        <v>0</v>
      </c>
      <c r="I2502" s="2726"/>
      <c r="J2502" s="2712"/>
      <c r="K2502" s="2719"/>
    </row>
    <row r="2503" customFormat="false" ht="15.5" hidden="false" customHeight="false" outlineLevel="0" collapsed="false">
      <c r="A2503" s="2712"/>
      <c r="B2503" s="2868" t="s">
        <v>4678</v>
      </c>
      <c r="C2503" s="2868"/>
      <c r="D2503" s="2868"/>
      <c r="E2503" s="2868"/>
      <c r="F2503" s="2869"/>
      <c r="G2503" s="2870" t="n">
        <f aca="false">SUM(G2498:G2502)</f>
        <v>1043058.28621438</v>
      </c>
      <c r="H2503" s="2870" t="n">
        <f aca="false">SUM(H2498:H2502)</f>
        <v>907556.8762</v>
      </c>
      <c r="I2503" s="2726"/>
      <c r="J2503" s="2712"/>
      <c r="K2503" s="2719"/>
    </row>
    <row r="2504" customFormat="false" ht="15.5" hidden="false" customHeight="false" outlineLevel="0" collapsed="false">
      <c r="A2504" s="2712"/>
      <c r="B2504" s="2876" t="s">
        <v>4679</v>
      </c>
      <c r="C2504" s="2876"/>
      <c r="D2504" s="2876"/>
      <c r="E2504" s="2876"/>
      <c r="F2504" s="2876"/>
      <c r="G2504" s="2876"/>
      <c r="H2504" s="2876"/>
      <c r="I2504" s="2726"/>
      <c r="J2504" s="2712"/>
      <c r="K2504" s="2719"/>
    </row>
    <row r="2505" customFormat="false" ht="15.5" hidden="false" customHeight="false" outlineLevel="0" collapsed="false">
      <c r="A2505" s="2712"/>
      <c r="B2505" s="2712" t="s">
        <v>4680</v>
      </c>
      <c r="C2505" s="2722"/>
      <c r="D2505" s="2877"/>
      <c r="E2505" s="2878"/>
      <c r="F2505" s="2878"/>
      <c r="G2505" s="2878"/>
      <c r="H2505" s="2879"/>
      <c r="I2505" s="2726"/>
      <c r="J2505" s="2712"/>
      <c r="K2505" s="2719"/>
    </row>
    <row r="2506" customFormat="false" ht="15.5" hidden="false" customHeight="false" outlineLevel="0" collapsed="false">
      <c r="A2506" s="2712"/>
      <c r="B2506" s="2876" t="s">
        <v>4681</v>
      </c>
      <c r="C2506" s="2876"/>
      <c r="D2506" s="2876"/>
      <c r="E2506" s="2878"/>
      <c r="F2506" s="2878"/>
      <c r="G2506" s="2878"/>
      <c r="H2506" s="2879"/>
      <c r="I2506" s="2726"/>
      <c r="J2506" s="2712"/>
      <c r="K2506" s="2719"/>
    </row>
    <row r="2507" customFormat="false" ht="15.5" hidden="false" customHeight="false" outlineLevel="0" collapsed="false">
      <c r="A2507" s="2712"/>
      <c r="B2507" s="2876" t="s">
        <v>4682</v>
      </c>
      <c r="C2507" s="2876"/>
      <c r="D2507" s="2876"/>
      <c r="E2507" s="2880"/>
      <c r="F2507" s="2880"/>
      <c r="G2507" s="2880"/>
      <c r="H2507" s="2879"/>
      <c r="I2507" s="2726"/>
      <c r="J2507" s="2712"/>
      <c r="K2507" s="2719"/>
    </row>
    <row r="2508" customFormat="false" ht="15.5" hidden="false" customHeight="false" outlineLevel="0" collapsed="false">
      <c r="A2508" s="2712"/>
      <c r="B2508" s="2712"/>
      <c r="C2508" s="2722"/>
      <c r="D2508" s="2877"/>
      <c r="E2508" s="2880"/>
      <c r="F2508" s="2880"/>
      <c r="G2508" s="2880"/>
      <c r="H2508" s="2879"/>
      <c r="I2508" s="2726"/>
      <c r="J2508" s="2712"/>
      <c r="K2508" s="2719"/>
    </row>
    <row r="2509" customFormat="false" ht="15.5" hidden="false" customHeight="false" outlineLevel="0" collapsed="false">
      <c r="A2509" s="2712"/>
      <c r="B2509" s="2712"/>
      <c r="C2509" s="2722"/>
      <c r="D2509" s="2877"/>
      <c r="E2509" s="2720"/>
      <c r="F2509" s="2720"/>
      <c r="G2509" s="2720"/>
      <c r="H2509" s="2879"/>
      <c r="I2509" s="2726"/>
      <c r="J2509" s="2712"/>
      <c r="K2509" s="2719"/>
    </row>
    <row r="2510" customFormat="false" ht="15.5" hidden="false" customHeight="false" outlineLevel="0" collapsed="false">
      <c r="A2510" s="2712"/>
      <c r="B2510" s="2712"/>
      <c r="C2510" s="2722"/>
      <c r="D2510" s="2877"/>
      <c r="E2510" s="2720"/>
      <c r="F2510" s="2720"/>
      <c r="G2510" s="2720"/>
      <c r="H2510" s="2879"/>
      <c r="I2510" s="2726"/>
      <c r="J2510" s="2712"/>
      <c r="K2510" s="2719"/>
    </row>
    <row r="2511" customFormat="false" ht="15.5" hidden="false" customHeight="false" outlineLevel="0" collapsed="false">
      <c r="A2511" s="2712"/>
      <c r="B2511" s="2712"/>
      <c r="C2511" s="2722"/>
      <c r="D2511" s="2877"/>
      <c r="E2511" s="2720"/>
      <c r="F2511" s="2720"/>
      <c r="G2511" s="2720"/>
      <c r="H2511" s="2879"/>
      <c r="I2511" s="2726"/>
      <c r="J2511" s="2712"/>
      <c r="K2511" s="2719"/>
    </row>
    <row r="2512" customFormat="false" ht="15.5" hidden="false" customHeight="false" outlineLevel="0" collapsed="false">
      <c r="A2512" s="2712"/>
      <c r="B2512" s="2712"/>
      <c r="C2512" s="2722"/>
      <c r="D2512" s="2877"/>
      <c r="E2512" s="2720"/>
      <c r="F2512" s="2720"/>
      <c r="G2512" s="2720"/>
      <c r="H2512" s="2879"/>
      <c r="I2512" s="2726"/>
      <c r="J2512" s="2712"/>
      <c r="K2512" s="2719"/>
    </row>
    <row r="2513" customFormat="false" ht="15.5" hidden="false" customHeight="false" outlineLevel="0" collapsed="false">
      <c r="A2513" s="2712"/>
      <c r="B2513" s="2712"/>
      <c r="C2513" s="2722"/>
      <c r="D2513" s="2877"/>
      <c r="E2513" s="2720"/>
      <c r="F2513" s="2720"/>
      <c r="G2513" s="2720"/>
      <c r="H2513" s="2879"/>
      <c r="I2513" s="2726"/>
      <c r="J2513" s="2712"/>
      <c r="K2513" s="2719"/>
    </row>
    <row r="2514" customFormat="false" ht="15.5" hidden="false" customHeight="false" outlineLevel="0" collapsed="false">
      <c r="A2514" s="2712"/>
      <c r="B2514" s="2712"/>
      <c r="C2514" s="2722"/>
      <c r="D2514" s="2877"/>
      <c r="E2514" s="2720"/>
      <c r="F2514" s="2720"/>
      <c r="G2514" s="2720"/>
      <c r="H2514" s="2879"/>
      <c r="I2514" s="2726"/>
      <c r="J2514" s="2712"/>
      <c r="K2514" s="2719"/>
    </row>
    <row r="2515" customFormat="false" ht="15.5" hidden="false" customHeight="false" outlineLevel="0" collapsed="false">
      <c r="A2515" s="2712"/>
      <c r="B2515" s="2712"/>
      <c r="C2515" s="2722"/>
      <c r="D2515" s="2877"/>
      <c r="E2515" s="2720"/>
      <c r="F2515" s="2720"/>
      <c r="G2515" s="2720"/>
      <c r="H2515" s="2879"/>
      <c r="I2515" s="2726"/>
      <c r="J2515" s="2712"/>
      <c r="K2515" s="2719"/>
    </row>
    <row r="2516" customFormat="false" ht="15.5" hidden="false" customHeight="false" outlineLevel="0" collapsed="false">
      <c r="A2516" s="2712"/>
      <c r="B2516" s="2712"/>
      <c r="C2516" s="2722"/>
      <c r="D2516" s="2877"/>
      <c r="E2516" s="2720"/>
      <c r="F2516" s="2720"/>
      <c r="G2516" s="2720"/>
      <c r="H2516" s="2879"/>
      <c r="I2516" s="2726"/>
      <c r="J2516" s="2712"/>
      <c r="K2516" s="2719"/>
    </row>
    <row r="2517" customFormat="false" ht="15.5" hidden="false" customHeight="false" outlineLevel="0" collapsed="false">
      <c r="A2517" s="2712"/>
      <c r="B2517" s="2712"/>
      <c r="C2517" s="2722"/>
      <c r="D2517" s="2877"/>
      <c r="E2517" s="2720"/>
      <c r="F2517" s="2720"/>
      <c r="G2517" s="2720"/>
      <c r="H2517" s="2879"/>
      <c r="I2517" s="2726"/>
      <c r="J2517" s="2712"/>
      <c r="K2517" s="2719"/>
    </row>
    <row r="2518" customFormat="false" ht="15.5" hidden="false" customHeight="false" outlineLevel="0" collapsed="false">
      <c r="A2518" s="2712"/>
      <c r="B2518" s="2712"/>
      <c r="C2518" s="2722"/>
      <c r="D2518" s="2877"/>
      <c r="E2518" s="2720"/>
      <c r="F2518" s="2720"/>
      <c r="G2518" s="2720"/>
      <c r="H2518" s="2879"/>
      <c r="I2518" s="2726"/>
      <c r="J2518" s="2712"/>
      <c r="K2518" s="2719"/>
    </row>
    <row r="2519" customFormat="false" ht="15.5" hidden="false" customHeight="false" outlineLevel="0" collapsed="false">
      <c r="A2519" s="2712"/>
      <c r="B2519" s="2712"/>
      <c r="C2519" s="2722"/>
      <c r="D2519" s="2877"/>
      <c r="E2519" s="2720"/>
      <c r="F2519" s="2720"/>
      <c r="G2519" s="2720"/>
      <c r="H2519" s="2879"/>
      <c r="I2519" s="2726"/>
      <c r="J2519" s="2712"/>
      <c r="K2519" s="2719"/>
    </row>
    <row r="2520" customFormat="false" ht="15.5" hidden="false" customHeight="false" outlineLevel="0" collapsed="false">
      <c r="A2520" s="2712"/>
      <c r="B2520" s="2712"/>
      <c r="C2520" s="2722"/>
      <c r="D2520" s="2877"/>
      <c r="E2520" s="2720"/>
      <c r="F2520" s="2720"/>
      <c r="G2520" s="2720"/>
      <c r="H2520" s="2879"/>
      <c r="I2520" s="2726"/>
      <c r="J2520" s="2712"/>
      <c r="K2520" s="2719"/>
    </row>
    <row r="2521" customFormat="false" ht="15.5" hidden="false" customHeight="false" outlineLevel="0" collapsed="false">
      <c r="A2521" s="2712"/>
      <c r="B2521" s="2712"/>
      <c r="C2521" s="2722"/>
      <c r="D2521" s="2877"/>
      <c r="E2521" s="2720"/>
      <c r="F2521" s="2720"/>
      <c r="G2521" s="2720"/>
      <c r="H2521" s="2879"/>
      <c r="I2521" s="2726"/>
      <c r="J2521" s="2712"/>
      <c r="K2521" s="2719"/>
    </row>
    <row r="2522" customFormat="false" ht="15.5" hidden="false" customHeight="false" outlineLevel="0" collapsed="false">
      <c r="A2522" s="2712"/>
      <c r="B2522" s="2712"/>
      <c r="C2522" s="2722"/>
      <c r="D2522" s="2877"/>
      <c r="E2522" s="2720"/>
      <c r="F2522" s="2720"/>
      <c r="G2522" s="2720"/>
      <c r="H2522" s="2879"/>
      <c r="I2522" s="2726"/>
      <c r="J2522" s="2712"/>
      <c r="K2522" s="2719"/>
    </row>
    <row r="2523" customFormat="false" ht="15.5" hidden="false" customHeight="false" outlineLevel="0" collapsed="false">
      <c r="A2523" s="2712"/>
      <c r="B2523" s="2712"/>
      <c r="C2523" s="2722"/>
      <c r="D2523" s="2877"/>
      <c r="E2523" s="2720"/>
      <c r="F2523" s="2720"/>
      <c r="G2523" s="2720"/>
      <c r="H2523" s="2879"/>
      <c r="I2523" s="2726"/>
      <c r="J2523" s="2712"/>
      <c r="K2523" s="2719"/>
    </row>
    <row r="2524" customFormat="false" ht="15.5" hidden="false" customHeight="false" outlineLevel="0" collapsed="false">
      <c r="A2524" s="2712"/>
      <c r="B2524" s="2712"/>
      <c r="C2524" s="2722"/>
      <c r="D2524" s="2877"/>
      <c r="E2524" s="2720"/>
      <c r="F2524" s="2720"/>
      <c r="G2524" s="2720"/>
      <c r="H2524" s="2879"/>
      <c r="I2524" s="2726"/>
      <c r="J2524" s="2712"/>
      <c r="K2524" s="2719"/>
    </row>
    <row r="2525" customFormat="false" ht="15.5" hidden="false" customHeight="false" outlineLevel="0" collapsed="false">
      <c r="A2525" s="2712"/>
      <c r="B2525" s="2712"/>
      <c r="C2525" s="2722"/>
      <c r="D2525" s="2877"/>
      <c r="E2525" s="2720"/>
      <c r="F2525" s="2720"/>
      <c r="G2525" s="2720"/>
      <c r="H2525" s="2879"/>
      <c r="I2525" s="2726"/>
      <c r="J2525" s="2712"/>
      <c r="K2525" s="2719"/>
    </row>
    <row r="2526" customFormat="false" ht="15.5" hidden="false" customHeight="false" outlineLevel="0" collapsed="false">
      <c r="A2526" s="2712"/>
      <c r="B2526" s="2712"/>
      <c r="C2526" s="2722"/>
      <c r="D2526" s="2877"/>
      <c r="E2526" s="2720"/>
      <c r="F2526" s="2720"/>
      <c r="G2526" s="2720"/>
      <c r="H2526" s="2879"/>
      <c r="I2526" s="2726"/>
      <c r="J2526" s="2712"/>
      <c r="K2526" s="2719"/>
    </row>
    <row r="2527" customFormat="false" ht="15.5" hidden="false" customHeight="false" outlineLevel="0" collapsed="false">
      <c r="A2527" s="2712"/>
      <c r="B2527" s="2712"/>
      <c r="C2527" s="2722"/>
      <c r="D2527" s="2877"/>
      <c r="E2527" s="2720"/>
      <c r="F2527" s="2720"/>
      <c r="G2527" s="2720"/>
      <c r="H2527" s="2879"/>
      <c r="I2527" s="2726"/>
      <c r="J2527" s="2712"/>
      <c r="K2527" s="2719"/>
    </row>
    <row r="2528" customFormat="false" ht="15.5" hidden="false" customHeight="false" outlineLevel="0" collapsed="false">
      <c r="A2528" s="2712"/>
      <c r="B2528" s="2712"/>
      <c r="C2528" s="2722"/>
      <c r="D2528" s="2877"/>
      <c r="E2528" s="2720"/>
      <c r="F2528" s="2720"/>
      <c r="G2528" s="2720"/>
      <c r="H2528" s="2879"/>
      <c r="I2528" s="2726"/>
      <c r="J2528" s="2712"/>
      <c r="K2528" s="2719"/>
    </row>
    <row r="2529" customFormat="false" ht="15.5" hidden="false" customHeight="false" outlineLevel="0" collapsed="false">
      <c r="A2529" s="2712"/>
      <c r="B2529" s="2712"/>
      <c r="C2529" s="2722"/>
      <c r="D2529" s="2877"/>
      <c r="E2529" s="2720"/>
      <c r="F2529" s="2720"/>
      <c r="G2529" s="2720"/>
      <c r="H2529" s="2879"/>
      <c r="I2529" s="2726"/>
      <c r="J2529" s="2712"/>
      <c r="K2529" s="2719"/>
    </row>
    <row r="2530" customFormat="false" ht="15.5" hidden="false" customHeight="false" outlineLevel="0" collapsed="false">
      <c r="A2530" s="2712"/>
      <c r="B2530" s="2712"/>
      <c r="C2530" s="2722"/>
      <c r="D2530" s="2877"/>
      <c r="E2530" s="2720"/>
      <c r="F2530" s="2720"/>
      <c r="G2530" s="2720"/>
      <c r="H2530" s="2879"/>
      <c r="I2530" s="2726"/>
      <c r="J2530" s="2712"/>
      <c r="K2530" s="2719"/>
    </row>
    <row r="2531" customFormat="false" ht="15.5" hidden="false" customHeight="false" outlineLevel="0" collapsed="false">
      <c r="A2531" s="2712"/>
      <c r="B2531" s="2712"/>
      <c r="C2531" s="2722"/>
      <c r="D2531" s="2877"/>
      <c r="E2531" s="2720"/>
      <c r="F2531" s="2720"/>
      <c r="G2531" s="2720"/>
      <c r="H2531" s="2879"/>
      <c r="I2531" s="2726"/>
      <c r="J2531" s="2712"/>
      <c r="K2531" s="2719"/>
    </row>
    <row r="2532" customFormat="false" ht="15.5" hidden="false" customHeight="false" outlineLevel="0" collapsed="false">
      <c r="A2532" s="2712"/>
      <c r="B2532" s="2712"/>
      <c r="C2532" s="2722"/>
      <c r="D2532" s="2877"/>
      <c r="E2532" s="2720"/>
      <c r="F2532" s="2720"/>
      <c r="G2532" s="2720"/>
      <c r="H2532" s="2879"/>
      <c r="I2532" s="2726"/>
      <c r="J2532" s="2712"/>
      <c r="K2532" s="2719"/>
    </row>
    <row r="2533" customFormat="false" ht="15.5" hidden="false" customHeight="false" outlineLevel="0" collapsed="false">
      <c r="A2533" s="2712"/>
      <c r="B2533" s="2712"/>
      <c r="C2533" s="2722"/>
      <c r="D2533" s="2877"/>
      <c r="E2533" s="2720"/>
      <c r="F2533" s="2720"/>
      <c r="G2533" s="2720"/>
      <c r="H2533" s="2879"/>
      <c r="I2533" s="2726"/>
      <c r="J2533" s="2712"/>
      <c r="K2533" s="2719"/>
    </row>
    <row r="2534" customFormat="false" ht="15.5" hidden="false" customHeight="false" outlineLevel="0" collapsed="false">
      <c r="A2534" s="2712"/>
      <c r="B2534" s="2712"/>
      <c r="C2534" s="2722"/>
      <c r="D2534" s="2877"/>
      <c r="E2534" s="2720"/>
      <c r="F2534" s="2720"/>
      <c r="G2534" s="2720"/>
      <c r="H2534" s="2879"/>
      <c r="I2534" s="2726"/>
      <c r="J2534" s="2712"/>
      <c r="K2534" s="2719"/>
    </row>
    <row r="2535" customFormat="false" ht="15.5" hidden="false" customHeight="false" outlineLevel="0" collapsed="false">
      <c r="A2535" s="2712"/>
      <c r="B2535" s="2712"/>
      <c r="C2535" s="2722"/>
      <c r="D2535" s="2877"/>
      <c r="E2535" s="2720"/>
      <c r="F2535" s="2720"/>
      <c r="G2535" s="2720"/>
      <c r="H2535" s="2879"/>
      <c r="I2535" s="2726"/>
      <c r="J2535" s="2712"/>
      <c r="K2535" s="2719"/>
    </row>
    <row r="2536" customFormat="false" ht="15.5" hidden="false" customHeight="false" outlineLevel="0" collapsed="false">
      <c r="A2536" s="2712"/>
      <c r="B2536" s="2712"/>
      <c r="C2536" s="2722"/>
      <c r="D2536" s="2877"/>
      <c r="E2536" s="2720"/>
      <c r="F2536" s="2720"/>
      <c r="G2536" s="2720"/>
      <c r="H2536" s="2879"/>
      <c r="I2536" s="2726"/>
      <c r="J2536" s="2712"/>
      <c r="K2536" s="2719"/>
    </row>
    <row r="2537" customFormat="false" ht="15.5" hidden="false" customHeight="false" outlineLevel="0" collapsed="false">
      <c r="A2537" s="2712"/>
      <c r="B2537" s="2712"/>
      <c r="C2537" s="2722"/>
      <c r="D2537" s="2877"/>
      <c r="E2537" s="2720"/>
      <c r="F2537" s="2720"/>
      <c r="G2537" s="2720"/>
      <c r="H2537" s="2879"/>
      <c r="I2537" s="2726"/>
      <c r="J2537" s="2712"/>
      <c r="K2537" s="2719"/>
    </row>
    <row r="2538" customFormat="false" ht="15.5" hidden="false" customHeight="false" outlineLevel="0" collapsed="false">
      <c r="A2538" s="2712"/>
      <c r="B2538" s="2712"/>
      <c r="C2538" s="2722"/>
      <c r="D2538" s="2877"/>
      <c r="E2538" s="2720"/>
      <c r="F2538" s="2720"/>
      <c r="G2538" s="2720"/>
      <c r="H2538" s="2879"/>
      <c r="I2538" s="2726"/>
      <c r="J2538" s="2712"/>
      <c r="K2538" s="2719"/>
    </row>
    <row r="2539" customFormat="false" ht="15.5" hidden="false" customHeight="false" outlineLevel="0" collapsed="false">
      <c r="A2539" s="2712"/>
      <c r="B2539" s="2712"/>
      <c r="C2539" s="2722"/>
      <c r="D2539" s="2877"/>
      <c r="E2539" s="2720"/>
      <c r="F2539" s="2720"/>
      <c r="G2539" s="2720"/>
      <c r="H2539" s="2879"/>
      <c r="I2539" s="2726"/>
      <c r="J2539" s="2712"/>
      <c r="K2539" s="2719"/>
    </row>
    <row r="2540" customFormat="false" ht="15.5" hidden="false" customHeight="false" outlineLevel="0" collapsed="false">
      <c r="A2540" s="2712"/>
      <c r="B2540" s="2712"/>
      <c r="C2540" s="2722"/>
      <c r="D2540" s="2877"/>
      <c r="E2540" s="2720"/>
      <c r="F2540" s="2720"/>
      <c r="G2540" s="2720"/>
      <c r="H2540" s="2879"/>
      <c r="I2540" s="2726"/>
      <c r="J2540" s="2712"/>
      <c r="K2540" s="2719"/>
    </row>
    <row r="2541" customFormat="false" ht="15.5" hidden="false" customHeight="false" outlineLevel="0" collapsed="false">
      <c r="A2541" s="2712"/>
      <c r="B2541" s="2712"/>
      <c r="C2541" s="2722"/>
      <c r="D2541" s="2877"/>
      <c r="E2541" s="2720"/>
      <c r="F2541" s="2720"/>
      <c r="G2541" s="2720"/>
      <c r="H2541" s="2879"/>
      <c r="I2541" s="2726"/>
      <c r="J2541" s="2712"/>
      <c r="K2541" s="2719"/>
    </row>
    <row r="2542" customFormat="false" ht="15.5" hidden="false" customHeight="false" outlineLevel="0" collapsed="false">
      <c r="A2542" s="2712"/>
      <c r="B2542" s="2712"/>
      <c r="C2542" s="2722"/>
      <c r="D2542" s="2877"/>
      <c r="E2542" s="2720"/>
      <c r="F2542" s="2720"/>
      <c r="G2542" s="2720"/>
      <c r="H2542" s="2879"/>
      <c r="I2542" s="2726"/>
      <c r="J2542" s="2712"/>
      <c r="K2542" s="2719"/>
    </row>
    <row r="2543" customFormat="false" ht="15.5" hidden="false" customHeight="false" outlineLevel="0" collapsed="false">
      <c r="A2543" s="2712"/>
      <c r="B2543" s="2712"/>
      <c r="C2543" s="2722"/>
      <c r="D2543" s="2877"/>
      <c r="E2543" s="2720"/>
      <c r="F2543" s="2720"/>
      <c r="G2543" s="2720"/>
      <c r="H2543" s="2879"/>
      <c r="I2543" s="2726"/>
      <c r="J2543" s="2712"/>
      <c r="K2543" s="2719"/>
    </row>
    <row r="2544" customFormat="false" ht="15.5" hidden="false" customHeight="false" outlineLevel="0" collapsed="false">
      <c r="A2544" s="2712"/>
      <c r="B2544" s="2712"/>
      <c r="C2544" s="2722"/>
      <c r="D2544" s="2877"/>
      <c r="E2544" s="2720"/>
      <c r="F2544" s="2720"/>
      <c r="G2544" s="2720"/>
      <c r="H2544" s="2879"/>
      <c r="I2544" s="2726"/>
      <c r="J2544" s="2712"/>
      <c r="K2544" s="2719"/>
    </row>
    <row r="2545" customFormat="false" ht="15.5" hidden="false" customHeight="false" outlineLevel="0" collapsed="false">
      <c r="A2545" s="2712"/>
      <c r="B2545" s="2712"/>
      <c r="C2545" s="2722"/>
      <c r="D2545" s="2877"/>
      <c r="E2545" s="2720"/>
      <c r="F2545" s="2720"/>
      <c r="G2545" s="2720"/>
      <c r="H2545" s="2879"/>
      <c r="I2545" s="2726"/>
      <c r="J2545" s="2712"/>
      <c r="K2545" s="2719"/>
    </row>
    <row r="2546" customFormat="false" ht="15.5" hidden="false" customHeight="false" outlineLevel="0" collapsed="false">
      <c r="A2546" s="2712"/>
      <c r="B2546" s="2712"/>
      <c r="C2546" s="2722"/>
      <c r="D2546" s="2877"/>
      <c r="E2546" s="2720"/>
      <c r="F2546" s="2720"/>
      <c r="G2546" s="2720"/>
      <c r="H2546" s="2879"/>
      <c r="I2546" s="2726"/>
      <c r="J2546" s="2712"/>
      <c r="K2546" s="2719"/>
    </row>
    <row r="2547" customFormat="false" ht="15.5" hidden="false" customHeight="false" outlineLevel="0" collapsed="false">
      <c r="A2547" s="2712"/>
      <c r="B2547" s="2712"/>
      <c r="C2547" s="2722"/>
      <c r="D2547" s="2877"/>
      <c r="E2547" s="2720"/>
      <c r="F2547" s="2720"/>
      <c r="G2547" s="2720"/>
      <c r="H2547" s="2879"/>
      <c r="I2547" s="2726"/>
      <c r="J2547" s="2712"/>
      <c r="K2547" s="2719"/>
    </row>
  </sheetData>
  <autoFilter ref="H11:H2507"/>
  <mergeCells count="277">
    <mergeCell ref="D2:G2"/>
    <mergeCell ref="D3:G3"/>
    <mergeCell ref="D4:G4"/>
    <mergeCell ref="D5:G5"/>
    <mergeCell ref="D6:G6"/>
    <mergeCell ref="B8:H8"/>
    <mergeCell ref="B9:H9"/>
    <mergeCell ref="J11:K11"/>
    <mergeCell ref="B12:E12"/>
    <mergeCell ref="B13:E13"/>
    <mergeCell ref="B23:E23"/>
    <mergeCell ref="B24:E24"/>
    <mergeCell ref="B33:E33"/>
    <mergeCell ref="B34:E34"/>
    <mergeCell ref="B35:E35"/>
    <mergeCell ref="B54:E54"/>
    <mergeCell ref="B55:E55"/>
    <mergeCell ref="B70:E70"/>
    <mergeCell ref="B71:E71"/>
    <mergeCell ref="B72:E72"/>
    <mergeCell ref="B87:E87"/>
    <mergeCell ref="B88:E88"/>
    <mergeCell ref="B98:E98"/>
    <mergeCell ref="B99:E99"/>
    <mergeCell ref="B100:E100"/>
    <mergeCell ref="B112:E112"/>
    <mergeCell ref="B113:E113"/>
    <mergeCell ref="B122:E122"/>
    <mergeCell ref="B123:E123"/>
    <mergeCell ref="B124:E124"/>
    <mergeCell ref="B131:E131"/>
    <mergeCell ref="B132:E132"/>
    <mergeCell ref="B140:E140"/>
    <mergeCell ref="B141:E141"/>
    <mergeCell ref="B142:E142"/>
    <mergeCell ref="B149:E149"/>
    <mergeCell ref="B150:E150"/>
    <mergeCell ref="B158:E158"/>
    <mergeCell ref="B159:E159"/>
    <mergeCell ref="B160:E160"/>
    <mergeCell ref="B167:E167"/>
    <mergeCell ref="B168:E168"/>
    <mergeCell ref="B176:E176"/>
    <mergeCell ref="B177:E177"/>
    <mergeCell ref="B178:E178"/>
    <mergeCell ref="B196:E196"/>
    <mergeCell ref="B197:E197"/>
    <mergeCell ref="B213:E213"/>
    <mergeCell ref="B214:E214"/>
    <mergeCell ref="B215:E215"/>
    <mergeCell ref="B236:E236"/>
    <mergeCell ref="B237:E237"/>
    <mergeCell ref="B255:E255"/>
    <mergeCell ref="B256:E256"/>
    <mergeCell ref="B257:E257"/>
    <mergeCell ref="B281:E281"/>
    <mergeCell ref="B282:E282"/>
    <mergeCell ref="B301:E301"/>
    <mergeCell ref="B302:E302"/>
    <mergeCell ref="B303:E303"/>
    <mergeCell ref="B322:E322"/>
    <mergeCell ref="B323:E323"/>
    <mergeCell ref="B330:E330"/>
    <mergeCell ref="B331:E331"/>
    <mergeCell ref="B332:E332"/>
    <mergeCell ref="B358:E358"/>
    <mergeCell ref="B359:E359"/>
    <mergeCell ref="B374:E374"/>
    <mergeCell ref="B375:D375"/>
    <mergeCell ref="B376:C376"/>
    <mergeCell ref="B429:E429"/>
    <mergeCell ref="B430:E430"/>
    <mergeCell ref="B452:E452"/>
    <mergeCell ref="B453:C453"/>
    <mergeCell ref="B457:E457"/>
    <mergeCell ref="B458:C458"/>
    <mergeCell ref="B459:C459"/>
    <mergeCell ref="B512:E512"/>
    <mergeCell ref="B513:E513"/>
    <mergeCell ref="B535:E535"/>
    <mergeCell ref="B536:C536"/>
    <mergeCell ref="B540:E540"/>
    <mergeCell ref="B541:E541"/>
    <mergeCell ref="B542:E542"/>
    <mergeCell ref="B592:E592"/>
    <mergeCell ref="B593:E593"/>
    <mergeCell ref="B605:E605"/>
    <mergeCell ref="B606:E606"/>
    <mergeCell ref="B607:E607"/>
    <mergeCell ref="B652:E652"/>
    <mergeCell ref="B653:E653"/>
    <mergeCell ref="B665:E665"/>
    <mergeCell ref="B666:E666"/>
    <mergeCell ref="B667:E667"/>
    <mergeCell ref="B708:E708"/>
    <mergeCell ref="B709:E709"/>
    <mergeCell ref="B717:E717"/>
    <mergeCell ref="B718:E718"/>
    <mergeCell ref="B719:E719"/>
    <mergeCell ref="B743:E743"/>
    <mergeCell ref="B744:E744"/>
    <mergeCell ref="B754:E754"/>
    <mergeCell ref="B755:E755"/>
    <mergeCell ref="B756:E756"/>
    <mergeCell ref="B780:E780"/>
    <mergeCell ref="B781:E781"/>
    <mergeCell ref="B791:E791"/>
    <mergeCell ref="B792:E792"/>
    <mergeCell ref="B793:E793"/>
    <mergeCell ref="B817:E817"/>
    <mergeCell ref="B818:E818"/>
    <mergeCell ref="B828:E828"/>
    <mergeCell ref="B829:E829"/>
    <mergeCell ref="B830:E830"/>
    <mergeCell ref="B854:E854"/>
    <mergeCell ref="B855:E855"/>
    <mergeCell ref="B865:E865"/>
    <mergeCell ref="B866:E866"/>
    <mergeCell ref="B867:E867"/>
    <mergeCell ref="B891:E891"/>
    <mergeCell ref="B892:E892"/>
    <mergeCell ref="B902:E902"/>
    <mergeCell ref="B903:E903"/>
    <mergeCell ref="B904:E904"/>
    <mergeCell ref="B1202:E1202"/>
    <mergeCell ref="B1203:E1203"/>
    <mergeCell ref="B1248:E1248"/>
    <mergeCell ref="B1249:E1249"/>
    <mergeCell ref="B1250:E1250"/>
    <mergeCell ref="B1277:E1277"/>
    <mergeCell ref="B1278:E1278"/>
    <mergeCell ref="B1288:E1288"/>
    <mergeCell ref="B1289:E1289"/>
    <mergeCell ref="B1290:E1290"/>
    <mergeCell ref="B1309:E1309"/>
    <mergeCell ref="B1310:E1310"/>
    <mergeCell ref="B1312:E1312"/>
    <mergeCell ref="B1313:E1313"/>
    <mergeCell ref="B1314:E1314"/>
    <mergeCell ref="B1326:E1326"/>
    <mergeCell ref="B1327:E1327"/>
    <mergeCell ref="B1334:E1334"/>
    <mergeCell ref="B1335:E1335"/>
    <mergeCell ref="B1336:E1336"/>
    <mergeCell ref="B1389:E1389"/>
    <mergeCell ref="B1390:E1390"/>
    <mergeCell ref="B1408:E1408"/>
    <mergeCell ref="B1409:E1409"/>
    <mergeCell ref="B1410:E1410"/>
    <mergeCell ref="B1463:E1463"/>
    <mergeCell ref="B1464:E1464"/>
    <mergeCell ref="B1482:E1482"/>
    <mergeCell ref="B1483:E1483"/>
    <mergeCell ref="B1484:E1484"/>
    <mergeCell ref="B1530:E1530"/>
    <mergeCell ref="B1531:E1531"/>
    <mergeCell ref="B1548:E1548"/>
    <mergeCell ref="B1549:E1549"/>
    <mergeCell ref="B1550:E1550"/>
    <mergeCell ref="B1601:E1601"/>
    <mergeCell ref="B1602:E1602"/>
    <mergeCell ref="B1621:E1621"/>
    <mergeCell ref="B1622:E1622"/>
    <mergeCell ref="B1623:E1623"/>
    <mergeCell ref="B1664:E1664"/>
    <mergeCell ref="B1665:E1665"/>
    <mergeCell ref="B1679:E1679"/>
    <mergeCell ref="B1680:E1680"/>
    <mergeCell ref="B1681:E1681"/>
    <mergeCell ref="B1729:E1729"/>
    <mergeCell ref="B1730:E1730"/>
    <mergeCell ref="B1748:E1748"/>
    <mergeCell ref="B1749:E1749"/>
    <mergeCell ref="B1750:E1750"/>
    <mergeCell ref="B1797:E1797"/>
    <mergeCell ref="B1798:E1798"/>
    <mergeCell ref="B1814:E1814"/>
    <mergeCell ref="B1815:E1815"/>
    <mergeCell ref="B1816:E1816"/>
    <mergeCell ref="B1858:E1858"/>
    <mergeCell ref="B1859:E1859"/>
    <mergeCell ref="B1873:E1873"/>
    <mergeCell ref="B1874:E1874"/>
    <mergeCell ref="B1875:E1875"/>
    <mergeCell ref="B1913:E1913"/>
    <mergeCell ref="B1914:E1914"/>
    <mergeCell ref="B1929:E1929"/>
    <mergeCell ref="B1930:E1930"/>
    <mergeCell ref="B1931:E1931"/>
    <mergeCell ref="B1952:E1952"/>
    <mergeCell ref="B1953:E1953"/>
    <mergeCell ref="B1967:E1967"/>
    <mergeCell ref="B1968:E1968"/>
    <mergeCell ref="B1969:E1969"/>
    <mergeCell ref="B1980:E1980"/>
    <mergeCell ref="B1981:E1981"/>
    <mergeCell ref="B1983:E1983"/>
    <mergeCell ref="B1984:G1984"/>
    <mergeCell ref="B1985:G1985"/>
    <mergeCell ref="B1994:E1994"/>
    <mergeCell ref="B1995:G1995"/>
    <mergeCell ref="B1997:E1997"/>
    <mergeCell ref="B1998:G1998"/>
    <mergeCell ref="B1999:G1999"/>
    <mergeCell ref="B2005:E2005"/>
    <mergeCell ref="B2006:G2006"/>
    <mergeCell ref="B2008:E2008"/>
    <mergeCell ref="B2009:E2009"/>
    <mergeCell ref="B2010:E2010"/>
    <mergeCell ref="B2015:E2015"/>
    <mergeCell ref="B2016:E2016"/>
    <mergeCell ref="B2021:E2021"/>
    <mergeCell ref="B2022:E2022"/>
    <mergeCell ref="B2023:E2023"/>
    <mergeCell ref="B2024:E2024"/>
    <mergeCell ref="B2049:E2049"/>
    <mergeCell ref="B2061:E2061"/>
    <mergeCell ref="B2069:E2069"/>
    <mergeCell ref="B2070:E2070"/>
    <mergeCell ref="B2071:E2071"/>
    <mergeCell ref="B2086:E2086"/>
    <mergeCell ref="B2093:E2093"/>
    <mergeCell ref="B2097:E2097"/>
    <mergeCell ref="B2098:E2098"/>
    <mergeCell ref="B2099:E2099"/>
    <mergeCell ref="B2100:E2100"/>
    <mergeCell ref="B2125:E2125"/>
    <mergeCell ref="B2149:E2149"/>
    <mergeCell ref="B2160:E2160"/>
    <mergeCell ref="B2172:E2172"/>
    <mergeCell ref="B2179:E2179"/>
    <mergeCell ref="B2180:E2180"/>
    <mergeCell ref="B2181:E2181"/>
    <mergeCell ref="B2192:E2192"/>
    <mergeCell ref="B2206:E2206"/>
    <mergeCell ref="B2212:E2212"/>
    <mergeCell ref="B2219:E2219"/>
    <mergeCell ref="B2225:E2225"/>
    <mergeCell ref="B2226:E2226"/>
    <mergeCell ref="B2227:E2227"/>
    <mergeCell ref="B2245:E2245"/>
    <mergeCell ref="B2246:E2246"/>
    <mergeCell ref="B2255:E2255"/>
    <mergeCell ref="B2256:E2256"/>
    <mergeCell ref="B2257:E2257"/>
    <mergeCell ref="B2269:E2269"/>
    <mergeCell ref="B2270:E2270"/>
    <mergeCell ref="B2274:E2274"/>
    <mergeCell ref="B2275:E2275"/>
    <mergeCell ref="B2276:E2276"/>
    <mergeCell ref="B2286:E2286"/>
    <mergeCell ref="B2287:E2287"/>
    <mergeCell ref="B2294:E2294"/>
    <mergeCell ref="B2295:E2295"/>
    <mergeCell ref="B2296:E2296"/>
    <mergeCell ref="B2310:E2310"/>
    <mergeCell ref="B2311:E2311"/>
    <mergeCell ref="B2319:E2319"/>
    <mergeCell ref="B2320:E2320"/>
    <mergeCell ref="B2321:E2321"/>
    <mergeCell ref="B2336:E2336"/>
    <mergeCell ref="B2337:E2337"/>
    <mergeCell ref="B2346:E2346"/>
    <mergeCell ref="B2347:E2347"/>
    <mergeCell ref="B2441:E2441"/>
    <mergeCell ref="B2442:E2442"/>
    <mergeCell ref="B2482:E2482"/>
    <mergeCell ref="B2483:E2483"/>
    <mergeCell ref="B2496:E2496"/>
    <mergeCell ref="B2498:E2498"/>
    <mergeCell ref="B2499:E2499"/>
    <mergeCell ref="B2501:E2501"/>
    <mergeCell ref="B2502:E2502"/>
    <mergeCell ref="B2503:E2503"/>
    <mergeCell ref="B2504:H2504"/>
    <mergeCell ref="B2506:D2506"/>
    <mergeCell ref="B2507:D2507"/>
  </mergeCells>
  <printOptions headings="false" gridLines="false" gridLinesSet="true" horizontalCentered="false" verticalCentered="false"/>
  <pageMargins left="0.708333333333333" right="0.708333333333333" top="0.747916666666667" bottom="0.747916666666667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I2357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H2349" activeCellId="0" sqref="H2349"/>
    </sheetView>
  </sheetViews>
  <sheetFormatPr defaultColWidth="9.19140625" defaultRowHeight="14.5" zeroHeight="false" outlineLevelRow="0" outlineLevelCol="0"/>
  <cols>
    <col collapsed="false" customWidth="true" hidden="false" outlineLevel="0" max="1" min="1" style="2881" width="5.16"/>
    <col collapsed="false" customWidth="true" hidden="false" outlineLevel="0" max="2" min="2" style="2881" width="57.18"/>
    <col collapsed="false" customWidth="true" hidden="false" outlineLevel="0" max="3" min="3" style="2882" width="9.73"/>
    <col collapsed="false" customWidth="true" hidden="false" outlineLevel="0" max="4" min="4" style="2883" width="9.73"/>
    <col collapsed="false" customWidth="true" hidden="false" outlineLevel="0" max="5" min="5" style="2881" width="12.71"/>
    <col collapsed="false" customWidth="true" hidden="false" outlineLevel="0" max="6" min="6" style="2884" width="14.54"/>
    <col collapsed="false" customWidth="false" hidden="false" outlineLevel="0" max="1024" min="7" style="2881" width="9.18"/>
  </cols>
  <sheetData>
    <row r="2" customFormat="false" ht="14.5" hidden="false" customHeight="false" outlineLevel="0" collapsed="false">
      <c r="B2" s="2881" t="str">
        <f aca="false">'Смета Внутр'!B1</f>
        <v>Приложение №3</v>
      </c>
    </row>
    <row r="3" customFormat="false" ht="14.5" hidden="false" customHeight="false" outlineLevel="0" collapsed="false">
      <c r="B3" s="2881" t="str">
        <f aca="false">'Смета Внутр'!B2</f>
        <v>от "22"07. 2017г.</v>
      </c>
      <c r="C3" s="2885" t="str">
        <f aca="false">'Смета Внутр'!D2</f>
        <v>Длина дома, м.п.</v>
      </c>
      <c r="D3" s="2885"/>
      <c r="E3" s="2885"/>
      <c r="F3" s="2886" t="n">
        <f aca="false">'Смета Внутр'!H2</f>
        <v>10</v>
      </c>
    </row>
    <row r="4" customFormat="false" ht="14.5" hidden="false" customHeight="false" outlineLevel="0" collapsed="false">
      <c r="C4" s="2885" t="str">
        <f aca="false">'Смета Внутр'!D3</f>
        <v>Ширина дома, м.п.</v>
      </c>
      <c r="D4" s="2885"/>
      <c r="E4" s="2885"/>
      <c r="F4" s="2886" t="n">
        <f aca="false">'Смета Внутр'!H3</f>
        <v>10</v>
      </c>
    </row>
    <row r="5" customFormat="false" ht="14.5" hidden="false" customHeight="false" outlineLevel="0" collapsed="false">
      <c r="C5" s="2885" t="str">
        <f aca="false">'Смета Внутр'!D4</f>
        <v>Этажность дома</v>
      </c>
      <c r="D5" s="2885"/>
      <c r="E5" s="2885"/>
      <c r="F5" s="2886" t="n">
        <f aca="false">'Смета Внутр'!H4</f>
        <v>1</v>
      </c>
    </row>
    <row r="6" customFormat="false" ht="14.5" hidden="false" customHeight="false" outlineLevel="0" collapsed="false">
      <c r="C6" s="2885" t="str">
        <f aca="false">'Смета Внутр'!D5</f>
        <v>S строения общая, м2</v>
      </c>
      <c r="D6" s="2885"/>
      <c r="E6" s="2885"/>
      <c r="F6" s="2886" t="n">
        <f aca="false">'Смета Внутр'!H5</f>
        <v>100</v>
      </c>
    </row>
    <row r="7" customFormat="false" ht="14.5" hidden="false" customHeight="false" outlineLevel="0" collapsed="false">
      <c r="C7" s="2885" t="str">
        <f aca="false">'Смета Внутр'!D6</f>
        <v>S строения чистая, м2</v>
      </c>
      <c r="D7" s="2885"/>
      <c r="E7" s="2885"/>
      <c r="F7" s="2886" t="n">
        <f aca="false">'Смета Внутр'!H6</f>
        <v>100</v>
      </c>
    </row>
    <row r="9" customFormat="false" ht="14.5" hidden="false" customHeight="false" outlineLevel="0" collapsed="false">
      <c r="B9" s="2887" t="str">
        <f aca="false">'Смета Внутр'!B8</f>
        <v>СМЕТНЫЙ РАСЧЕТ №4</v>
      </c>
      <c r="C9" s="2887"/>
      <c r="D9" s="2887"/>
      <c r="E9" s="2887"/>
      <c r="F9" s="2887"/>
    </row>
    <row r="10" customFormat="false" ht="14.5" hidden="false" customHeight="false" outlineLevel="0" collapsed="false">
      <c r="B10" s="2887" t="str">
        <f aca="false">'Смета Внутр'!B9</f>
        <v>К договору №12 от "22"07. 2017г.</v>
      </c>
      <c r="C10" s="2887"/>
      <c r="D10" s="2887"/>
      <c r="E10" s="2887"/>
      <c r="F10" s="2887"/>
    </row>
    <row r="12" customFormat="false" ht="14.5" hidden="false" customHeight="false" outlineLevel="0" collapsed="false">
      <c r="B12" s="2888" t="str">
        <f aca="false">'Смета Внутр'!B11</f>
        <v>Наименование работ и затрат</v>
      </c>
      <c r="C12" s="2889" t="str">
        <f aca="false">'Смета Внутр'!C11</f>
        <v>ед. изм.</v>
      </c>
      <c r="D12" s="2890" t="str">
        <f aca="false">'Смета Внутр'!D11</f>
        <v>кол-во</v>
      </c>
      <c r="E12" s="2888" t="str">
        <f aca="false">'Смета Внутр'!E11</f>
        <v>Цена ед.изм.</v>
      </c>
      <c r="F12" s="2891" t="str">
        <f aca="false">'Смета Внутр'!H11</f>
        <v>Цена по прайсу</v>
      </c>
    </row>
    <row r="13" customFormat="false" ht="18.5" hidden="false" customHeight="false" outlineLevel="0" collapsed="false">
      <c r="B13" s="2892" t="str">
        <f aca="false">'Смета Внутр'!B12</f>
        <v>Фундамент ленточный, под стены цоколя</v>
      </c>
      <c r="C13" s="2892"/>
      <c r="D13" s="2892"/>
      <c r="E13" s="2892"/>
      <c r="F13" s="2893" t="n">
        <f aca="false">'Смета Внутр'!H12</f>
        <v>0</v>
      </c>
    </row>
    <row r="14" customFormat="false" ht="14.5" hidden="false" customHeight="false" outlineLevel="0" collapsed="false">
      <c r="B14" s="2894" t="str">
        <f aca="false">'Смета Внутр'!B13</f>
        <v>Материалы</v>
      </c>
      <c r="C14" s="2894"/>
      <c r="D14" s="2894"/>
      <c r="E14" s="2894"/>
      <c r="F14" s="2893" t="n">
        <f aca="false">'Смета Внутр'!H13</f>
        <v>0</v>
      </c>
    </row>
    <row r="15" customFormat="false" ht="14.5" hidden="false" customHeight="false" outlineLevel="0" collapsed="false">
      <c r="B15" s="2888" t="str">
        <f aca="false">'Смета Внутр'!B14</f>
        <v>Сосна влаж,150*40мм</v>
      </c>
      <c r="C15" s="2889" t="str">
        <f aca="false">'Смета Внутр'!C14</f>
        <v>м3</v>
      </c>
      <c r="D15" s="2890" t="n">
        <f aca="false">'Смета Внутр'!D14</f>
        <v>0</v>
      </c>
      <c r="E15" s="2888"/>
      <c r="F15" s="2895" t="n">
        <f aca="false">'Смета Внутр'!H14</f>
        <v>0</v>
      </c>
    </row>
    <row r="16" customFormat="false" ht="14.5" hidden="false" customHeight="false" outlineLevel="0" collapsed="false">
      <c r="B16" s="2888" t="str">
        <f aca="false">'Смета Внутр'!B15</f>
        <v>Пленка гидроизоляционная</v>
      </c>
      <c r="C16" s="2889" t="str">
        <f aca="false">'Смета Внутр'!C15</f>
        <v>м2</v>
      </c>
      <c r="D16" s="2890" t="n">
        <f aca="false">'Смета Внутр'!D15</f>
        <v>0</v>
      </c>
      <c r="E16" s="2888"/>
      <c r="F16" s="2895" t="n">
        <f aca="false">'Смета Внутр'!H15</f>
        <v>0</v>
      </c>
    </row>
    <row r="17" customFormat="false" ht="14.5" hidden="false" customHeight="false" outlineLevel="0" collapsed="false">
      <c r="B17" s="2888" t="str">
        <f aca="false">'Смета Внутр'!B16</f>
        <v>Гидроизол</v>
      </c>
      <c r="C17" s="2889" t="str">
        <f aca="false">'Смета Внутр'!C16</f>
        <v>м2</v>
      </c>
      <c r="D17" s="2890" t="n">
        <f aca="false">'Смета Внутр'!D16</f>
        <v>0</v>
      </c>
      <c r="E17" s="2888"/>
      <c r="F17" s="2895" t="n">
        <f aca="false">'Смета Внутр'!H16</f>
        <v>0</v>
      </c>
    </row>
    <row r="18" customFormat="false" ht="14.5" hidden="false" customHeight="false" outlineLevel="0" collapsed="false">
      <c r="B18" s="2888" t="str">
        <f aca="false">'Смета Внутр'!B17</f>
        <v>Арматура стальная Ø 12</v>
      </c>
      <c r="C18" s="2889" t="str">
        <f aca="false">'Смета Внутр'!C17</f>
        <v>м.п</v>
      </c>
      <c r="D18" s="2890" t="n">
        <f aca="false">'Смета Внутр'!D17</f>
        <v>0</v>
      </c>
      <c r="E18" s="2888"/>
      <c r="F18" s="2895" t="n">
        <f aca="false">'Смета Внутр'!H17</f>
        <v>0</v>
      </c>
    </row>
    <row r="19" customFormat="false" ht="14.5" hidden="false" customHeight="false" outlineLevel="0" collapsed="false">
      <c r="B19" s="2888" t="str">
        <f aca="false">'Смета Внутр'!B18</f>
        <v>Нет арматуры</v>
      </c>
      <c r="C19" s="2889" t="str">
        <f aca="false">'Смета Внутр'!C18</f>
        <v>м.п</v>
      </c>
      <c r="D19" s="2890" t="n">
        <f aca="false">'Смета Внутр'!D18</f>
        <v>0</v>
      </c>
      <c r="E19" s="2888"/>
      <c r="F19" s="2895" t="n">
        <f aca="false">'Смета Внутр'!H18</f>
        <v>0</v>
      </c>
    </row>
    <row r="20" customFormat="false" ht="14.5" hidden="false" customHeight="false" outlineLevel="0" collapsed="false">
      <c r="B20" s="2888" t="str">
        <f aca="false">'Смета Внутр'!B19</f>
        <v>Вязальная проволока</v>
      </c>
      <c r="C20" s="2889" t="str">
        <f aca="false">'Смета Внутр'!C19</f>
        <v>кг</v>
      </c>
      <c r="D20" s="2890" t="n">
        <f aca="false">'Смета Внутр'!D19</f>
        <v>0</v>
      </c>
      <c r="E20" s="2888"/>
      <c r="F20" s="2895" t="n">
        <f aca="false">'Смета Внутр'!H19</f>
        <v>0</v>
      </c>
    </row>
    <row r="21" customFormat="false" ht="14.5" hidden="false" customHeight="false" outlineLevel="0" collapsed="false">
      <c r="B21" s="2888" t="str">
        <f aca="false">'Смета Внутр'!B20</f>
        <v>Гвозди строительные 3,5 x 90</v>
      </c>
      <c r="C21" s="2889" t="str">
        <f aca="false">'Смета Внутр'!C20</f>
        <v>кг</v>
      </c>
      <c r="D21" s="2890" t="n">
        <f aca="false">'Смета Внутр'!D20</f>
        <v>0</v>
      </c>
      <c r="E21" s="2888"/>
      <c r="F21" s="2895" t="n">
        <f aca="false">'Смета Внутр'!H20</f>
        <v>0</v>
      </c>
    </row>
    <row r="22" customFormat="false" ht="14.5" hidden="false" customHeight="false" outlineLevel="0" collapsed="false">
      <c r="B22" s="2888" t="str">
        <f aca="false">'Смета Внутр'!B21</f>
        <v>ПГС, машина 13м3</v>
      </c>
      <c r="C22" s="2889" t="str">
        <f aca="false">'Смета Внутр'!C21</f>
        <v>маш</v>
      </c>
      <c r="D22" s="2890" t="n">
        <f aca="false">'Смета Внутр'!D21</f>
        <v>0</v>
      </c>
      <c r="E22" s="2888"/>
      <c r="F22" s="2895" t="n">
        <f aca="false">'Смета Внутр'!H21</f>
        <v>0</v>
      </c>
    </row>
    <row r="23" customFormat="false" ht="14.5" hidden="false" customHeight="false" outlineLevel="0" collapsed="false">
      <c r="B23" s="2888" t="str">
        <f aca="false">'Смета Внутр'!B22</f>
        <v>Бетон, м200</v>
      </c>
      <c r="C23" s="2889" t="str">
        <f aca="false">'Смета Внутр'!C22</f>
        <v>м3</v>
      </c>
      <c r="D23" s="2890" t="n">
        <f aca="false">'Смета Внутр'!D22</f>
        <v>0</v>
      </c>
      <c r="E23" s="2888"/>
      <c r="F23" s="2895" t="n">
        <f aca="false">'Смета Внутр'!H22</f>
        <v>0</v>
      </c>
    </row>
    <row r="24" customFormat="false" ht="14.5" hidden="false" customHeight="false" outlineLevel="0" collapsed="false">
      <c r="B24" s="2896" t="str">
        <f aca="false">'Смета Внутр'!B23</f>
        <v>Итого материалы</v>
      </c>
      <c r="C24" s="2896"/>
      <c r="D24" s="2896"/>
      <c r="E24" s="2896"/>
      <c r="F24" s="2897" t="n">
        <f aca="false">'Смета Внутр'!G23</f>
        <v>0</v>
      </c>
    </row>
    <row r="25" customFormat="false" ht="14.5" hidden="false" customHeight="false" outlineLevel="0" collapsed="false">
      <c r="B25" s="2898" t="str">
        <f aca="false">'Смета Внутр'!B24</f>
        <v>Работы</v>
      </c>
      <c r="C25" s="2898"/>
      <c r="D25" s="2898"/>
      <c r="E25" s="2898"/>
      <c r="F25" s="2893" t="n">
        <f aca="false">'Смета Внутр'!H24</f>
        <v>0</v>
      </c>
    </row>
    <row r="26" customFormat="false" ht="14.5" hidden="false" customHeight="false" outlineLevel="0" collapsed="false">
      <c r="B26" s="2888" t="str">
        <f aca="false">'Смета Внутр'!B25</f>
        <v>сборка опалубки</v>
      </c>
      <c r="C26" s="2889" t="str">
        <f aca="false">'Смета Внутр'!C25</f>
        <v>м2</v>
      </c>
      <c r="D26" s="2890" t="n">
        <f aca="false">'Смета Внутр'!D25</f>
        <v>0</v>
      </c>
      <c r="E26" s="2888"/>
      <c r="F26" s="2895" t="n">
        <f aca="false">'Смета Внутр'!H25</f>
        <v>0</v>
      </c>
    </row>
    <row r="27" customFormat="false" ht="14.5" hidden="false" customHeight="false" outlineLevel="0" collapsed="false">
      <c r="B27" s="2888" t="str">
        <f aca="false">'Смета Внутр'!B26</f>
        <v>разборка опалубки</v>
      </c>
      <c r="C27" s="2889" t="str">
        <f aca="false">'Смета Внутр'!C26</f>
        <v>м2</v>
      </c>
      <c r="D27" s="2890" t="n">
        <f aca="false">'Смета Внутр'!D26</f>
        <v>0</v>
      </c>
      <c r="E27" s="2888"/>
      <c r="F27" s="2895" t="n">
        <f aca="false">'Смета Внутр'!H26</f>
        <v>0</v>
      </c>
    </row>
    <row r="28" customFormat="false" ht="14.5" hidden="false" customHeight="false" outlineLevel="0" collapsed="false">
      <c r="B28" s="2888" t="str">
        <f aca="false">'Смета Внутр'!B27</f>
        <v>трамбовка</v>
      </c>
      <c r="C28" s="2889" t="str">
        <f aca="false">'Смета Внутр'!C27</f>
        <v>м2</v>
      </c>
      <c r="D28" s="2890" t="n">
        <f aca="false">'Смета Внутр'!D27</f>
        <v>0</v>
      </c>
      <c r="E28" s="2888"/>
      <c r="F28" s="2895" t="n">
        <f aca="false">'Смета Внутр'!H27</f>
        <v>0</v>
      </c>
    </row>
    <row r="29" customFormat="false" ht="14.5" hidden="false" customHeight="false" outlineLevel="0" collapsed="false">
      <c r="B29" s="2888" t="str">
        <f aca="false">'Смета Внутр'!B28</f>
        <v>настил пленки</v>
      </c>
      <c r="C29" s="2889" t="str">
        <f aca="false">'Смета Внутр'!C28</f>
        <v>м2</v>
      </c>
      <c r="D29" s="2890" t="n">
        <f aca="false">'Смета Внутр'!D28</f>
        <v>0</v>
      </c>
      <c r="E29" s="2888"/>
      <c r="F29" s="2895" t="n">
        <f aca="false">'Смета Внутр'!H28</f>
        <v>0</v>
      </c>
    </row>
    <row r="30" customFormat="false" ht="14.5" hidden="false" customHeight="false" outlineLevel="0" collapsed="false">
      <c r="B30" s="2888" t="str">
        <f aca="false">'Смета Внутр'!B29</f>
        <v>армирование</v>
      </c>
      <c r="C30" s="2889" t="str">
        <f aca="false">'Смета Внутр'!C29</f>
        <v>м.п</v>
      </c>
      <c r="D30" s="2890" t="n">
        <f aca="false">'Смета Внутр'!D29</f>
        <v>0</v>
      </c>
      <c r="E30" s="2888"/>
      <c r="F30" s="2895" t="n">
        <f aca="false">'Смета Внутр'!H29</f>
        <v>0</v>
      </c>
    </row>
    <row r="31" customFormat="false" ht="14.5" hidden="false" customHeight="false" outlineLevel="0" collapsed="false">
      <c r="B31" s="2888" t="str">
        <f aca="false">'Смета Внутр'!B30</f>
        <v>армирование</v>
      </c>
      <c r="C31" s="2889" t="str">
        <f aca="false">'Смета Внутр'!C30</f>
        <v>м.п.</v>
      </c>
      <c r="D31" s="2890" t="n">
        <f aca="false">'Смета Внутр'!D30</f>
        <v>0</v>
      </c>
      <c r="E31" s="2888"/>
      <c r="F31" s="2895" t="n">
        <f aca="false">'Смета Внутр'!H30</f>
        <v>0</v>
      </c>
    </row>
    <row r="32" customFormat="false" ht="14.5" hidden="false" customHeight="false" outlineLevel="0" collapsed="false">
      <c r="B32" s="2888" t="str">
        <f aca="false">'Смета Внутр'!B31</f>
        <v>настил гидроизола</v>
      </c>
      <c r="C32" s="2889" t="str">
        <f aca="false">'Смета Внутр'!C31</f>
        <v>м2</v>
      </c>
      <c r="D32" s="2890" t="n">
        <f aca="false">'Смета Внутр'!D31</f>
        <v>0</v>
      </c>
      <c r="E32" s="2888"/>
      <c r="F32" s="2895" t="n">
        <f aca="false">'Смета Внутр'!H31</f>
        <v>0</v>
      </c>
    </row>
    <row r="33" customFormat="false" ht="14.5" hidden="false" customHeight="false" outlineLevel="0" collapsed="false">
      <c r="B33" s="2888" t="str">
        <f aca="false">'Смета Внутр'!B32</f>
        <v>приемка бетона</v>
      </c>
      <c r="C33" s="2889" t="str">
        <f aca="false">'Смета Внутр'!C32</f>
        <v>м3</v>
      </c>
      <c r="D33" s="2890" t="n">
        <f aca="false">'Смета Внутр'!D32</f>
        <v>0</v>
      </c>
      <c r="E33" s="2888"/>
      <c r="F33" s="2895" t="n">
        <f aca="false">'Смета Внутр'!H32</f>
        <v>0</v>
      </c>
    </row>
    <row r="34" customFormat="false" ht="14.5" hidden="false" customHeight="false" outlineLevel="0" collapsed="false">
      <c r="B34" s="2896" t="str">
        <f aca="false">'Смета Внутр'!B33</f>
        <v>Итого работы</v>
      </c>
      <c r="C34" s="2896"/>
      <c r="D34" s="2896"/>
      <c r="E34" s="2896"/>
      <c r="F34" s="2897" t="n">
        <f aca="false">'Смета Внутр'!G33</f>
        <v>0</v>
      </c>
    </row>
    <row r="35" customFormat="false" ht="18.5" hidden="false" customHeight="false" outlineLevel="0" collapsed="false">
      <c r="B35" s="2899" t="str">
        <f aca="false">'Смета Внутр'!B34</f>
        <v>Стяжка в цокольном этаже</v>
      </c>
      <c r="C35" s="2899"/>
      <c r="D35" s="2899"/>
      <c r="E35" s="2899"/>
      <c r="F35" s="2893" t="n">
        <f aca="false">'Смета Внутр'!H34</f>
        <v>0</v>
      </c>
    </row>
    <row r="36" customFormat="false" ht="14.5" hidden="false" customHeight="false" outlineLevel="0" collapsed="false">
      <c r="B36" s="2894" t="str">
        <f aca="false">'Смета Внутр'!B35</f>
        <v>Материалы</v>
      </c>
      <c r="C36" s="2894"/>
      <c r="D36" s="2894"/>
      <c r="E36" s="2894"/>
      <c r="F36" s="2893" t="n">
        <f aca="false">'Смета Внутр'!H35</f>
        <v>0</v>
      </c>
    </row>
    <row r="37" customFormat="false" ht="14.5" hidden="false" customHeight="false" outlineLevel="0" collapsed="false">
      <c r="B37" s="2888" t="str">
        <f aca="false">'Смета Внутр'!B36</f>
        <v>Скальник, 1 маш 13м3</v>
      </c>
      <c r="C37" s="2889" t="str">
        <f aca="false">'Смета Внутр'!C36</f>
        <v>маш</v>
      </c>
      <c r="D37" s="2890" t="n">
        <f aca="false">'Смета Внутр'!D36</f>
        <v>0</v>
      </c>
      <c r="E37" s="2888"/>
      <c r="F37" s="2895" t="n">
        <f aca="false">'Смета Внутр'!H36</f>
        <v>0</v>
      </c>
    </row>
    <row r="38" customFormat="false" ht="14.5" hidden="false" customHeight="false" outlineLevel="0" collapsed="false">
      <c r="B38" s="2888" t="str">
        <f aca="false">'Смета Внутр'!B37</f>
        <v>ПГС, машина 13м3</v>
      </c>
      <c r="C38" s="2889" t="str">
        <f aca="false">'Смета Внутр'!C37</f>
        <v>маш</v>
      </c>
      <c r="D38" s="2890" t="n">
        <f aca="false">'Смета Внутр'!D37</f>
        <v>0</v>
      </c>
      <c r="E38" s="2888"/>
      <c r="F38" s="2895" t="n">
        <f aca="false">'Смета Внутр'!H37</f>
        <v>0</v>
      </c>
    </row>
    <row r="39" customFormat="false" ht="14.5" hidden="false" customHeight="false" outlineLevel="0" collapsed="false">
      <c r="B39" s="2888" t="str">
        <f aca="false">'Смета Внутр'!B38</f>
        <v>Песок, машина 13м3</v>
      </c>
      <c r="C39" s="2889" t="str">
        <f aca="false">'Смета Внутр'!C38</f>
        <v>маш</v>
      </c>
      <c r="D39" s="2890" t="n">
        <f aca="false">'Смета Внутр'!D38</f>
        <v>0</v>
      </c>
      <c r="E39" s="2888"/>
      <c r="F39" s="2895" t="n">
        <f aca="false">'Смета Внутр'!H38</f>
        <v>0</v>
      </c>
    </row>
    <row r="40" customFormat="false" ht="14.5" hidden="false" customHeight="false" outlineLevel="0" collapsed="false">
      <c r="B40" s="2888" t="str">
        <f aca="false">'Смета Внутр'!B39</f>
        <v>Геотекстиль</v>
      </c>
      <c r="C40" s="2889" t="str">
        <f aca="false">'Смета Внутр'!C39</f>
        <v>м2</v>
      </c>
      <c r="D40" s="2890" t="n">
        <f aca="false">'Смета Внутр'!D39</f>
        <v>0</v>
      </c>
      <c r="E40" s="2888"/>
      <c r="F40" s="2895" t="n">
        <f aca="false">'Смета Внутр'!H39</f>
        <v>0</v>
      </c>
    </row>
    <row r="41" customFormat="false" ht="14.5" hidden="false" customHeight="false" outlineLevel="0" collapsed="false">
      <c r="B41" s="2888" t="str">
        <f aca="false">'Смета Внутр'!B40</f>
        <v>Плитный,28кг/м3, технониколь, 100мм</v>
      </c>
      <c r="C41" s="2889" t="str">
        <f aca="false">'Смета Внутр'!C40</f>
        <v>м3</v>
      </c>
      <c r="D41" s="2890" t="n">
        <f aca="false">'Смета Внутр'!D40</f>
        <v>0</v>
      </c>
      <c r="E41" s="2888"/>
      <c r="F41" s="2895" t="n">
        <f aca="false">'Смета Внутр'!H40</f>
        <v>0</v>
      </c>
    </row>
    <row r="42" customFormat="false" ht="14.5" hidden="false" customHeight="false" outlineLevel="0" collapsed="false">
      <c r="B42" s="2888" t="str">
        <f aca="false">'Смета Внутр'!B41</f>
        <v>Пленка гидроизоляционная</v>
      </c>
      <c r="C42" s="2889" t="str">
        <f aca="false">'Смета Внутр'!C41</f>
        <v>м2</v>
      </c>
      <c r="D42" s="2890" t="n">
        <f aca="false">'Смета Внутр'!D41</f>
        <v>0</v>
      </c>
      <c r="E42" s="2888"/>
      <c r="F42" s="2895" t="n">
        <f aca="false">'Смета Внутр'!H41</f>
        <v>0</v>
      </c>
    </row>
    <row r="43" customFormat="false" ht="14.5" hidden="false" customHeight="false" outlineLevel="0" collapsed="false">
      <c r="B43" s="2888" t="str">
        <f aca="false">'Смета Внутр'!B42</f>
        <v>Кладочная сетка, 100*100/150*150/200*200мм</v>
      </c>
      <c r="C43" s="2889" t="str">
        <f aca="false">'Смета Внутр'!C42</f>
        <v>м2</v>
      </c>
      <c r="D43" s="2890" t="n">
        <f aca="false">'Смета Внутр'!D42</f>
        <v>0</v>
      </c>
      <c r="E43" s="2888"/>
      <c r="F43" s="2895" t="n">
        <f aca="false">'Смета Внутр'!H42</f>
        <v>0</v>
      </c>
    </row>
    <row r="44" customFormat="false" ht="14.5" hidden="false" customHeight="false" outlineLevel="0" collapsed="false">
      <c r="B44" s="2888" t="str">
        <f aca="false">'Смета Внутр'!B43</f>
        <v>Стяжки пластиковые</v>
      </c>
      <c r="C44" s="2889" t="str">
        <f aca="false">'Смета Внутр'!C43</f>
        <v>шт</v>
      </c>
      <c r="D44" s="2890" t="n">
        <f aca="false">'Смета Внутр'!D43</f>
        <v>0</v>
      </c>
      <c r="E44" s="2888"/>
      <c r="F44" s="2895" t="n">
        <f aca="false">'Смета Внутр'!H43</f>
        <v>0</v>
      </c>
    </row>
    <row r="45" customFormat="false" ht="14.5" hidden="false" customHeight="false" outlineLevel="0" collapsed="false">
      <c r="B45" s="2888" t="str">
        <f aca="false">'Смета Внутр'!B44</f>
        <v>Стяжки пластиковые</v>
      </c>
      <c r="C45" s="2889" t="str">
        <f aca="false">'Смета Внутр'!C44</f>
        <v>шт</v>
      </c>
      <c r="D45" s="2890" t="n">
        <f aca="false">'Смета Внутр'!D44</f>
        <v>0</v>
      </c>
      <c r="E45" s="2888"/>
      <c r="F45" s="2895" t="n">
        <f aca="false">'Смета Внутр'!H44</f>
        <v>0</v>
      </c>
    </row>
    <row r="46" customFormat="false" ht="14.5" hidden="false" customHeight="false" outlineLevel="0" collapsed="false">
      <c r="B46" s="2888" t="str">
        <f aca="false">'Смета Внутр'!B45</f>
        <v>Труба теплого пола 3</v>
      </c>
      <c r="C46" s="2889" t="str">
        <f aca="false">'Смета Внутр'!C45</f>
        <v>м.п</v>
      </c>
      <c r="D46" s="2890" t="n">
        <f aca="false">'Смета Внутр'!D45</f>
        <v>0</v>
      </c>
      <c r="E46" s="2888"/>
      <c r="F46" s="2895" t="n">
        <f aca="false">'Смета Внутр'!H45</f>
        <v>0</v>
      </c>
    </row>
    <row r="47" customFormat="false" ht="14.5" hidden="false" customHeight="false" outlineLevel="0" collapsed="false">
      <c r="B47" s="2888" t="str">
        <f aca="false">'Смета Внутр'!B46</f>
        <v>Коллектор 6</v>
      </c>
      <c r="C47" s="2889" t="str">
        <f aca="false">'Смета Внутр'!C46</f>
        <v>шт</v>
      </c>
      <c r="D47" s="2890" t="n">
        <f aca="false">'Смета Внутр'!D46</f>
        <v>0</v>
      </c>
      <c r="E47" s="2888"/>
      <c r="F47" s="2895" t="n">
        <f aca="false">'Смета Внутр'!H46</f>
        <v>0</v>
      </c>
    </row>
    <row r="48" customFormat="false" ht="14.5" hidden="false" customHeight="false" outlineLevel="0" collapsed="false">
      <c r="B48" s="2888" t="str">
        <f aca="false">'Смета Внутр'!B47</f>
        <v>Арматура стальная Ø 10 </v>
      </c>
      <c r="C48" s="2889" t="str">
        <f aca="false">'Смета Внутр'!C47</f>
        <v>м.п.</v>
      </c>
      <c r="D48" s="2890" t="n">
        <f aca="false">'Смета Внутр'!D47</f>
        <v>0</v>
      </c>
      <c r="E48" s="2888"/>
      <c r="F48" s="2895" t="n">
        <f aca="false">'Смета Внутр'!H47</f>
        <v>0</v>
      </c>
    </row>
    <row r="49" customFormat="false" ht="14.5" hidden="false" customHeight="false" outlineLevel="0" collapsed="false">
      <c r="B49" s="2888" t="str">
        <f aca="false">'Смета Внутр'!B48</f>
        <v>Вязальная проволока</v>
      </c>
      <c r="C49" s="2889" t="str">
        <f aca="false">'Смета Внутр'!C48</f>
        <v>кг</v>
      </c>
      <c r="D49" s="2890" t="n">
        <f aca="false">'Смета Внутр'!D48</f>
        <v>0</v>
      </c>
      <c r="E49" s="2888"/>
      <c r="F49" s="2895" t="n">
        <f aca="false">'Смета Внутр'!H48</f>
        <v>0</v>
      </c>
    </row>
    <row r="50" customFormat="false" ht="14.5" hidden="false" customHeight="false" outlineLevel="0" collapsed="false">
      <c r="B50" s="2888" t="str">
        <f aca="false">'Смета Внутр'!B49</f>
        <v>Подставка под арматурный каркас</v>
      </c>
      <c r="C50" s="2889" t="str">
        <f aca="false">'Смета Внутр'!C49</f>
        <v>шт</v>
      </c>
      <c r="D50" s="2890" t="n">
        <f aca="false">'Смета Внутр'!D49</f>
        <v>0</v>
      </c>
      <c r="E50" s="2888"/>
      <c r="F50" s="2895" t="n">
        <f aca="false">'Смета Внутр'!H49</f>
        <v>0</v>
      </c>
    </row>
    <row r="51" customFormat="false" ht="14.5" hidden="false" customHeight="false" outlineLevel="0" collapsed="false">
      <c r="B51" s="2888" t="str">
        <f aca="false">'Смета Внутр'!B50</f>
        <v>труба дренажная d90 с перфорацией, в фильтре</v>
      </c>
      <c r="C51" s="2889" t="str">
        <f aca="false">'Смета Внутр'!C50</f>
        <v>шт</v>
      </c>
      <c r="D51" s="2890" t="n">
        <f aca="false">'Смета Внутр'!D50</f>
        <v>0</v>
      </c>
      <c r="E51" s="2888"/>
      <c r="F51" s="2895" t="n">
        <f aca="false">'Смета Внутр'!H50</f>
        <v>0</v>
      </c>
    </row>
    <row r="52" customFormat="false" ht="14.5" hidden="false" customHeight="false" outlineLevel="0" collapsed="false">
      <c r="B52" s="2888" t="str">
        <f aca="false">'Смета Внутр'!B51</f>
        <v>Дренажный колодец D400</v>
      </c>
      <c r="C52" s="2889" t="str">
        <f aca="false">'Смета Внутр'!C51</f>
        <v>шт</v>
      </c>
      <c r="D52" s="2890" t="n">
        <f aca="false">'Смета Внутр'!D51</f>
        <v>0</v>
      </c>
      <c r="E52" s="2888"/>
      <c r="F52" s="2895" t="n">
        <f aca="false">'Смета Внутр'!H51</f>
        <v>0</v>
      </c>
    </row>
    <row r="53" customFormat="false" ht="14.5" hidden="false" customHeight="false" outlineLevel="0" collapsed="false">
      <c r="B53" s="2888" t="str">
        <f aca="false">'Смета Внутр'!B52</f>
        <v>Демпферная лента</v>
      </c>
      <c r="C53" s="2889" t="str">
        <f aca="false">'Смета Внутр'!C52</f>
        <v>м.п.</v>
      </c>
      <c r="D53" s="2890" t="n">
        <f aca="false">'Смета Внутр'!D52</f>
        <v>0</v>
      </c>
      <c r="E53" s="2888"/>
      <c r="F53" s="2895" t="n">
        <f aca="false">'Смета Внутр'!H52</f>
        <v>0</v>
      </c>
    </row>
    <row r="54" customFormat="false" ht="14.5" hidden="false" customHeight="false" outlineLevel="0" collapsed="false">
      <c r="B54" s="2888" t="str">
        <f aca="false">'Смета Внутр'!B53</f>
        <v>Бетон, м350</v>
      </c>
      <c r="C54" s="2889" t="str">
        <f aca="false">'Смета Внутр'!C53</f>
        <v>м3</v>
      </c>
      <c r="D54" s="2890" t="n">
        <f aca="false">'Смета Внутр'!D53</f>
        <v>0</v>
      </c>
      <c r="E54" s="2888"/>
      <c r="F54" s="2895" t="n">
        <f aca="false">'Смета Внутр'!H53</f>
        <v>0</v>
      </c>
    </row>
    <row r="55" customFormat="false" ht="14.5" hidden="false" customHeight="false" outlineLevel="0" collapsed="false">
      <c r="B55" s="2900" t="str">
        <f aca="false">'Смета Внутр'!B54</f>
        <v>Итого материалы</v>
      </c>
      <c r="C55" s="2900"/>
      <c r="D55" s="2900"/>
      <c r="E55" s="2900"/>
      <c r="F55" s="2897" t="n">
        <f aca="false">'Смета Внутр'!G54</f>
        <v>0</v>
      </c>
    </row>
    <row r="56" customFormat="false" ht="14.5" hidden="false" customHeight="false" outlineLevel="0" collapsed="false">
      <c r="B56" s="2898" t="str">
        <f aca="false">'Смета Внутр'!B55</f>
        <v>Работы</v>
      </c>
      <c r="C56" s="2898"/>
      <c r="D56" s="2898"/>
      <c r="E56" s="2898"/>
      <c r="F56" s="2893" t="n">
        <f aca="false">'Смета Внутр'!H55</f>
        <v>0</v>
      </c>
    </row>
    <row r="57" customFormat="false" ht="14.5" hidden="false" customHeight="false" outlineLevel="0" collapsed="false">
      <c r="B57" s="2888" t="str">
        <f aca="false">'Смета Внутр'!B56</f>
        <v>трамбовка скальник</v>
      </c>
      <c r="C57" s="2889" t="str">
        <f aca="false">'Смета Внутр'!C56</f>
        <v>м2</v>
      </c>
      <c r="D57" s="2890" t="n">
        <f aca="false">'Смета Внутр'!D56</f>
        <v>0</v>
      </c>
      <c r="E57" s="2888"/>
      <c r="F57" s="2895" t="n">
        <f aca="false">'Смета Внутр'!H56</f>
        <v>0</v>
      </c>
    </row>
    <row r="58" customFormat="false" ht="14.5" hidden="false" customHeight="false" outlineLevel="0" collapsed="false">
      <c r="B58" s="2888" t="str">
        <f aca="false">'Смета Внутр'!B57</f>
        <v>трамбовка пгс</v>
      </c>
      <c r="C58" s="2889" t="str">
        <f aca="false">'Смета Внутр'!C57</f>
        <v>м2</v>
      </c>
      <c r="D58" s="2890" t="n">
        <f aca="false">'Смета Внутр'!D57</f>
        <v>0</v>
      </c>
      <c r="E58" s="2888"/>
      <c r="F58" s="2895" t="n">
        <f aca="false">'Смета Внутр'!H57</f>
        <v>0</v>
      </c>
    </row>
    <row r="59" customFormat="false" ht="14.5" hidden="false" customHeight="false" outlineLevel="0" collapsed="false">
      <c r="B59" s="2888" t="str">
        <f aca="false">'Смета Внутр'!B58</f>
        <v>трамбовка песок</v>
      </c>
      <c r="C59" s="2889" t="str">
        <f aca="false">'Смета Внутр'!C58</f>
        <v>м2</v>
      </c>
      <c r="D59" s="2890" t="n">
        <f aca="false">'Смета Внутр'!D58</f>
        <v>0</v>
      </c>
      <c r="E59" s="2888"/>
      <c r="F59" s="2895" t="n">
        <f aca="false">'Смета Внутр'!H58</f>
        <v>0</v>
      </c>
    </row>
    <row r="60" customFormat="false" ht="14.5" hidden="false" customHeight="false" outlineLevel="0" collapsed="false">
      <c r="B60" s="2888" t="str">
        <f aca="false">'Смета Внутр'!B59</f>
        <v>укладка геотекстиля</v>
      </c>
      <c r="C60" s="2889" t="str">
        <f aca="false">'Смета Внутр'!C59</f>
        <v>м2</v>
      </c>
      <c r="D60" s="2890" t="n">
        <f aca="false">'Смета Внутр'!D59</f>
        <v>0</v>
      </c>
      <c r="E60" s="2888"/>
      <c r="F60" s="2895" t="n">
        <f aca="false">'Смета Внутр'!H59</f>
        <v>0</v>
      </c>
    </row>
    <row r="61" customFormat="false" ht="14.5" hidden="false" customHeight="false" outlineLevel="0" collapsed="false">
      <c r="B61" s="2888" t="str">
        <f aca="false">'Смета Внутр'!B60</f>
        <v>укладка карбона</v>
      </c>
      <c r="C61" s="2889" t="str">
        <f aca="false">'Смета Внутр'!C60</f>
        <v>м2</v>
      </c>
      <c r="D61" s="2890" t="n">
        <f aca="false">'Смета Внутр'!D60</f>
        <v>0</v>
      </c>
      <c r="E61" s="2888"/>
      <c r="F61" s="2895" t="n">
        <f aca="false">'Смета Внутр'!H60</f>
        <v>0</v>
      </c>
    </row>
    <row r="62" customFormat="false" ht="14.5" hidden="false" customHeight="false" outlineLevel="0" collapsed="false">
      <c r="B62" s="2888" t="str">
        <f aca="false">'Смета Внутр'!B61</f>
        <v>укладка пленки</v>
      </c>
      <c r="C62" s="2889" t="str">
        <f aca="false">'Смета Внутр'!C61</f>
        <v>м2</v>
      </c>
      <c r="D62" s="2890" t="n">
        <f aca="false">'Смета Внутр'!D61</f>
        <v>0</v>
      </c>
      <c r="E62" s="2888"/>
      <c r="F62" s="2895" t="n">
        <f aca="false">'Смета Внутр'!H61</f>
        <v>0</v>
      </c>
    </row>
    <row r="63" customFormat="false" ht="14.5" hidden="false" customHeight="false" outlineLevel="0" collapsed="false">
      <c r="B63" s="2888" t="str">
        <f aca="false">'Смета Внутр'!B62</f>
        <v>укладка сетки</v>
      </c>
      <c r="C63" s="2889" t="str">
        <f aca="false">'Смета Внутр'!C62</f>
        <v>м2</v>
      </c>
      <c r="D63" s="2890" t="n">
        <f aca="false">'Смета Внутр'!D62</f>
        <v>0</v>
      </c>
      <c r="E63" s="2888"/>
      <c r="F63" s="2895" t="n">
        <f aca="false">'Смета Внутр'!H62</f>
        <v>0</v>
      </c>
    </row>
    <row r="64" customFormat="false" ht="14.5" hidden="false" customHeight="false" outlineLevel="0" collapsed="false">
      <c r="B64" s="2888" t="str">
        <f aca="false">'Смета Внутр'!B63</f>
        <v>укладка теп. Пола</v>
      </c>
      <c r="C64" s="2889" t="str">
        <f aca="false">'Смета Внутр'!C63</f>
        <v>м2</v>
      </c>
      <c r="D64" s="2890" t="n">
        <f aca="false">'Смета Внутр'!D63</f>
        <v>0</v>
      </c>
      <c r="E64" s="2888"/>
      <c r="F64" s="2895" t="n">
        <f aca="false">'Смета Внутр'!H63</f>
        <v>0</v>
      </c>
    </row>
    <row r="65" customFormat="false" ht="14.5" hidden="false" customHeight="false" outlineLevel="0" collapsed="false">
      <c r="B65" s="2888" t="str">
        <f aca="false">'Смета Внутр'!B64</f>
        <v>монтаж коллектора</v>
      </c>
      <c r="C65" s="2889" t="str">
        <f aca="false">'Смета Внутр'!C64</f>
        <v>шт</v>
      </c>
      <c r="D65" s="2890" t="n">
        <f aca="false">'Смета Внутр'!D64</f>
        <v>0</v>
      </c>
      <c r="E65" s="2888"/>
      <c r="F65" s="2895" t="n">
        <f aca="false">'Смета Внутр'!H64</f>
        <v>0</v>
      </c>
    </row>
    <row r="66" customFormat="false" ht="14.5" hidden="false" customHeight="false" outlineLevel="0" collapsed="false">
      <c r="B66" s="2888" t="str">
        <f aca="false">'Смета Внутр'!B65</f>
        <v>армирование</v>
      </c>
      <c r="C66" s="2889" t="str">
        <f aca="false">'Смета Внутр'!C65</f>
        <v>м2</v>
      </c>
      <c r="D66" s="2890" t="n">
        <f aca="false">'Смета Внутр'!D65</f>
        <v>0</v>
      </c>
      <c r="E66" s="2888"/>
      <c r="F66" s="2895" t="n">
        <f aca="false">'Смета Внутр'!H65</f>
        <v>0</v>
      </c>
    </row>
    <row r="67" customFormat="false" ht="14.5" hidden="false" customHeight="false" outlineLevel="0" collapsed="false">
      <c r="B67" s="2888" t="str">
        <f aca="false">'Смета Внутр'!B66</f>
        <v>монтаж дренажн труб</v>
      </c>
      <c r="C67" s="2889" t="str">
        <f aca="false">'Смета Внутр'!C66</f>
        <v>м.п.</v>
      </c>
      <c r="D67" s="2890" t="n">
        <f aca="false">'Смета Внутр'!D66</f>
        <v>0</v>
      </c>
      <c r="E67" s="2888"/>
      <c r="F67" s="2895" t="n">
        <f aca="false">'Смета Внутр'!H66</f>
        <v>0</v>
      </c>
    </row>
    <row r="68" customFormat="false" ht="14.5" hidden="false" customHeight="false" outlineLevel="0" collapsed="false">
      <c r="B68" s="2888" t="str">
        <f aca="false">'Смета Внутр'!B67</f>
        <v>монтаж дренаж колодец</v>
      </c>
      <c r="C68" s="2889" t="str">
        <f aca="false">'Смета Внутр'!C67</f>
        <v>шт</v>
      </c>
      <c r="D68" s="2890" t="n">
        <f aca="false">'Смета Внутр'!D67</f>
        <v>0</v>
      </c>
      <c r="E68" s="2888"/>
      <c r="F68" s="2895" t="n">
        <f aca="false">'Смета Внутр'!H67</f>
        <v>0</v>
      </c>
    </row>
    <row r="69" customFormat="false" ht="14.5" hidden="false" customHeight="false" outlineLevel="0" collapsed="false">
      <c r="B69" s="2888" t="str">
        <f aca="false">'Смета Внутр'!B68</f>
        <v>приемка бетона на пол</v>
      </c>
      <c r="C69" s="2889" t="str">
        <f aca="false">'Смета Внутр'!C68</f>
        <v>м2</v>
      </c>
      <c r="D69" s="2890" t="n">
        <f aca="false">'Смета Внутр'!D68</f>
        <v>0</v>
      </c>
      <c r="E69" s="2888"/>
      <c r="F69" s="2895" t="n">
        <f aca="false">'Смета Внутр'!H68</f>
        <v>0</v>
      </c>
    </row>
    <row r="70" customFormat="false" ht="14.5" hidden="false" customHeight="false" outlineLevel="0" collapsed="false">
      <c r="B70" s="2888" t="str">
        <f aca="false">'Смета Внутр'!B69</f>
        <v>демпферная лента</v>
      </c>
      <c r="C70" s="2889" t="str">
        <f aca="false">'Смета Внутр'!C69</f>
        <v>м.п.</v>
      </c>
      <c r="D70" s="2890" t="n">
        <f aca="false">'Смета Внутр'!D69</f>
        <v>0</v>
      </c>
      <c r="E70" s="2888"/>
      <c r="F70" s="2895" t="n">
        <f aca="false">'Смета Внутр'!H69</f>
        <v>0</v>
      </c>
    </row>
    <row r="71" customFormat="false" ht="14.5" hidden="false" customHeight="false" outlineLevel="0" collapsed="false">
      <c r="B71" s="2896" t="str">
        <f aca="false">'Смета Внутр'!B70</f>
        <v>Итого работы</v>
      </c>
      <c r="C71" s="2896"/>
      <c r="D71" s="2896"/>
      <c r="E71" s="2896"/>
      <c r="F71" s="2897" t="n">
        <f aca="false">'Смета Внутр'!G70</f>
        <v>0</v>
      </c>
    </row>
    <row r="72" customFormat="false" ht="18.5" hidden="false" customHeight="false" outlineLevel="0" collapsed="false">
      <c r="B72" s="2899" t="str">
        <f aca="false">'Смета Внутр'!B71</f>
        <v>Цокольный этаж из блоков ФБС</v>
      </c>
      <c r="C72" s="2899"/>
      <c r="D72" s="2899"/>
      <c r="E72" s="2899"/>
      <c r="F72" s="2893" t="n">
        <f aca="false">'Смета Внутр'!H71</f>
        <v>0</v>
      </c>
    </row>
    <row r="73" customFormat="false" ht="14.5" hidden="false" customHeight="false" outlineLevel="0" collapsed="false">
      <c r="B73" s="2898" t="str">
        <f aca="false">'Смета Внутр'!B72</f>
        <v>Материалы</v>
      </c>
      <c r="C73" s="2898"/>
      <c r="D73" s="2898"/>
      <c r="E73" s="2898"/>
      <c r="F73" s="2893" t="n">
        <f aca="false">'Смета Внутр'!H72</f>
        <v>0</v>
      </c>
    </row>
    <row r="74" customFormat="false" ht="14.5" hidden="false" customHeight="false" outlineLevel="0" collapsed="false">
      <c r="B74" s="2888" t="str">
        <f aca="false">'Смета Внутр'!B73</f>
        <v>Праймер для обработки</v>
      </c>
      <c r="C74" s="2889" t="str">
        <f aca="false">'Смета Внутр'!C73</f>
        <v>л</v>
      </c>
      <c r="D74" s="2890" t="n">
        <f aca="false">'Смета Внутр'!D73</f>
        <v>0</v>
      </c>
      <c r="E74" s="2888"/>
      <c r="F74" s="2895" t="n">
        <f aca="false">'Смета Внутр'!H73</f>
        <v>0</v>
      </c>
    </row>
    <row r="75" customFormat="false" ht="14.5" hidden="false" customHeight="false" outlineLevel="0" collapsed="false">
      <c r="B75" s="2888" t="str">
        <f aca="false">'Смета Внутр'!B74</f>
        <v>Гидроизол</v>
      </c>
      <c r="C75" s="2889" t="str">
        <f aca="false">'Смета Внутр'!C74</f>
        <v>м2</v>
      </c>
      <c r="D75" s="2890" t="n">
        <f aca="false">'Смета Внутр'!D74</f>
        <v>0</v>
      </c>
      <c r="E75" s="2888"/>
      <c r="F75" s="2895" t="n">
        <f aca="false">'Смета Внутр'!H74</f>
        <v>0</v>
      </c>
    </row>
    <row r="76" customFormat="false" ht="14.5" hidden="false" customHeight="false" outlineLevel="0" collapsed="false">
      <c r="B76" s="2888" t="str">
        <f aca="false">'Смета Внутр'!B75</f>
        <v>Мастика битумная</v>
      </c>
      <c r="C76" s="2889" t="str">
        <f aca="false">'Смета Внутр'!C75</f>
        <v>кг</v>
      </c>
      <c r="D76" s="2890" t="n">
        <f aca="false">'Смета Внутр'!D75</f>
        <v>0</v>
      </c>
      <c r="E76" s="2888"/>
      <c r="F76" s="2895" t="n">
        <f aca="false">'Смета Внутр'!H75</f>
        <v>0</v>
      </c>
    </row>
    <row r="77" customFormat="false" ht="14.5" hidden="false" customHeight="false" outlineLevel="0" collapsed="false">
      <c r="B77" s="2888" t="str">
        <f aca="false">'Смета Внутр'!B76</f>
        <v>Блоки ФБС</v>
      </c>
      <c r="C77" s="2889" t="str">
        <f aca="false">'Смета Внутр'!C76</f>
        <v>м3</v>
      </c>
      <c r="D77" s="2890" t="n">
        <f aca="false">'Смета Внутр'!D76</f>
        <v>0</v>
      </c>
      <c r="E77" s="2888"/>
      <c r="F77" s="2895" t="n">
        <f aca="false">'Смета Внутр'!H76</f>
        <v>0</v>
      </c>
    </row>
    <row r="78" customFormat="false" ht="14.5" hidden="false" customHeight="false" outlineLevel="0" collapsed="false">
      <c r="B78" s="2888" t="str">
        <f aca="false">'Смета Внутр'!B77</f>
        <v>Кладочная сетка, 100*100/150*150/200*200мм</v>
      </c>
      <c r="C78" s="2889" t="str">
        <f aca="false">'Смета Внутр'!C77</f>
        <v>м2</v>
      </c>
      <c r="D78" s="2890" t="n">
        <f aca="false">'Смета Внутр'!D77</f>
        <v>0</v>
      </c>
      <c r="E78" s="2888"/>
      <c r="F78" s="2895" t="n">
        <f aca="false">'Смета Внутр'!H77</f>
        <v>0</v>
      </c>
    </row>
    <row r="79" customFormat="false" ht="14.5" hidden="false" customHeight="false" outlineLevel="0" collapsed="false">
      <c r="B79" s="2888" t="str">
        <f aca="false">'Смета Внутр'!B78</f>
        <v>Вязальная проволока</v>
      </c>
      <c r="C79" s="2889" t="str">
        <f aca="false">'Смета Внутр'!C78</f>
        <v>кг</v>
      </c>
      <c r="D79" s="2890" t="n">
        <f aca="false">'Смета Внутр'!D78</f>
        <v>0</v>
      </c>
      <c r="E79" s="2888"/>
      <c r="F79" s="2895" t="n">
        <f aca="false">'Смета Внутр'!H78</f>
        <v>0</v>
      </c>
    </row>
    <row r="80" customFormat="false" ht="14.5" hidden="false" customHeight="false" outlineLevel="0" collapsed="false">
      <c r="B80" s="2888" t="str">
        <f aca="false">'Смета Внутр'!B79</f>
        <v>Раствор, м250</v>
      </c>
      <c r="C80" s="2889" t="str">
        <f aca="false">'Смета Внутр'!C79</f>
        <v>м3</v>
      </c>
      <c r="D80" s="2890" t="n">
        <f aca="false">'Смета Внутр'!D79</f>
        <v>0</v>
      </c>
      <c r="E80" s="2888"/>
      <c r="F80" s="2895" t="n">
        <f aca="false">'Смета Внутр'!H79</f>
        <v>0</v>
      </c>
    </row>
    <row r="81" customFormat="false" ht="14.5" hidden="false" customHeight="false" outlineLevel="0" collapsed="false">
      <c r="B81" s="2888" t="str">
        <f aca="false">'Смета Внутр'!B80</f>
        <v>Сосна влаж,150*40мм</v>
      </c>
      <c r="C81" s="2889" t="str">
        <f aca="false">'Смета Внутр'!C80</f>
        <v>м3</v>
      </c>
      <c r="D81" s="2890" t="n">
        <f aca="false">'Смета Внутр'!D80</f>
        <v>0</v>
      </c>
      <c r="E81" s="2888"/>
      <c r="F81" s="2895" t="n">
        <f aca="false">'Смета Внутр'!H80</f>
        <v>0</v>
      </c>
    </row>
    <row r="82" customFormat="false" ht="14.5" hidden="false" customHeight="false" outlineLevel="0" collapsed="false">
      <c r="B82" s="2888" t="str">
        <f aca="false">'Смета Внутр'!B81</f>
        <v>Арматура стальная Ø 10 </v>
      </c>
      <c r="C82" s="2889" t="str">
        <f aca="false">'Смета Внутр'!C81</f>
        <v>м.п.</v>
      </c>
      <c r="D82" s="2890" t="n">
        <f aca="false">'Смета Внутр'!D81</f>
        <v>0</v>
      </c>
      <c r="E82" s="2888"/>
      <c r="F82" s="2895" t="n">
        <f aca="false">'Смета Внутр'!H81</f>
        <v>0</v>
      </c>
    </row>
    <row r="83" customFormat="false" ht="14.5" hidden="false" customHeight="false" outlineLevel="0" collapsed="false">
      <c r="B83" s="2888" t="str">
        <f aca="false">'Смета Внутр'!B82</f>
        <v>Нет арматуры</v>
      </c>
      <c r="C83" s="2889" t="str">
        <f aca="false">'Смета Внутр'!C82</f>
        <v>м.п.</v>
      </c>
      <c r="D83" s="2890" t="n">
        <f aca="false">'Смета Внутр'!D82</f>
        <v>0</v>
      </c>
      <c r="E83" s="2888"/>
      <c r="F83" s="2895" t="n">
        <f aca="false">'Смета Внутр'!H82</f>
        <v>0</v>
      </c>
    </row>
    <row r="84" customFormat="false" ht="14.5" hidden="false" customHeight="false" outlineLevel="0" collapsed="false">
      <c r="B84" s="2888" t="str">
        <f aca="false">'Смета Внутр'!B83</f>
        <v>Бетон, м300</v>
      </c>
      <c r="C84" s="2889" t="str">
        <f aca="false">'Смета Внутр'!C83</f>
        <v>м3</v>
      </c>
      <c r="D84" s="2890" t="n">
        <f aca="false">'Смета Внутр'!D83</f>
        <v>0</v>
      </c>
      <c r="E84" s="2888"/>
      <c r="F84" s="2895" t="n">
        <f aca="false">'Смета Внутр'!H83</f>
        <v>0</v>
      </c>
    </row>
    <row r="85" customFormat="false" ht="14.5" hidden="false" customHeight="false" outlineLevel="0" collapsed="false">
      <c r="B85" s="2888" t="str">
        <f aca="false">'Смета Внутр'!B84</f>
        <v>Праймер для обработки</v>
      </c>
      <c r="C85" s="2889" t="str">
        <f aca="false">'Смета Внутр'!C84</f>
        <v>л</v>
      </c>
      <c r="D85" s="2890" t="n">
        <f aca="false">'Смета Внутр'!D84</f>
        <v>0</v>
      </c>
      <c r="E85" s="2888"/>
      <c r="F85" s="2895" t="n">
        <f aca="false">'Смета Внутр'!H84</f>
        <v>0</v>
      </c>
    </row>
    <row r="86" customFormat="false" ht="14.5" hidden="false" customHeight="false" outlineLevel="0" collapsed="false">
      <c r="B86" s="2888" t="str">
        <f aca="false">'Смета Внутр'!B85</f>
        <v>Плитный,28кг/м3, технониколь, 100мм</v>
      </c>
      <c r="C86" s="2889" t="str">
        <f aca="false">'Смета Внутр'!C85</f>
        <v>м3</v>
      </c>
      <c r="D86" s="2890" t="n">
        <f aca="false">'Смета Внутр'!D85</f>
        <v>0</v>
      </c>
      <c r="E86" s="2888"/>
      <c r="F86" s="2895" t="n">
        <f aca="false">'Смета Внутр'!H85</f>
        <v>0</v>
      </c>
    </row>
    <row r="87" customFormat="false" ht="14.5" hidden="false" customHeight="false" outlineLevel="0" collapsed="false">
      <c r="B87" s="2888" t="str">
        <f aca="false">'Смета Внутр'!B86</f>
        <v>Грибок для крепления утеплителя</v>
      </c>
      <c r="C87" s="2889" t="str">
        <f aca="false">'Смета Внутр'!C86</f>
        <v>шт</v>
      </c>
      <c r="D87" s="2890" t="n">
        <f aca="false">'Смета Внутр'!D86</f>
        <v>0</v>
      </c>
      <c r="E87" s="2888"/>
      <c r="F87" s="2895" t="n">
        <f aca="false">'Смета Внутр'!H86</f>
        <v>0</v>
      </c>
    </row>
    <row r="88" customFormat="false" ht="14.5" hidden="false" customHeight="false" outlineLevel="0" collapsed="false">
      <c r="B88" s="2896" t="str">
        <f aca="false">'Смета Внутр'!B87</f>
        <v>Итого материалы</v>
      </c>
      <c r="C88" s="2896"/>
      <c r="D88" s="2896"/>
      <c r="E88" s="2896"/>
      <c r="F88" s="2897" t="n">
        <f aca="false">'Смета Внутр'!G87</f>
        <v>0</v>
      </c>
    </row>
    <row r="89" customFormat="false" ht="14.5" hidden="false" customHeight="false" outlineLevel="0" collapsed="false">
      <c r="B89" s="2898" t="str">
        <f aca="false">'Смета Внутр'!B88</f>
        <v>Работы</v>
      </c>
      <c r="C89" s="2898"/>
      <c r="D89" s="2898"/>
      <c r="E89" s="2898"/>
      <c r="F89" s="2893" t="n">
        <f aca="false">'Смета Внутр'!H88</f>
        <v>0</v>
      </c>
    </row>
    <row r="90" customFormat="false" ht="14.5" hidden="false" customHeight="false" outlineLevel="0" collapsed="false">
      <c r="B90" s="2888" t="str">
        <f aca="false">'Смета Внутр'!B89</f>
        <v>обработка праймер</v>
      </c>
      <c r="C90" s="2889" t="str">
        <f aca="false">'Смета Внутр'!C89</f>
        <v>м2</v>
      </c>
      <c r="D90" s="2890" t="n">
        <f aca="false">'Смета Внутр'!D89</f>
        <v>0</v>
      </c>
      <c r="E90" s="2888"/>
      <c r="F90" s="2895" t="n">
        <f aca="false">'Смета Внутр'!H89</f>
        <v>0</v>
      </c>
    </row>
    <row r="91" customFormat="false" ht="14.5" hidden="false" customHeight="false" outlineLevel="0" collapsed="false">
      <c r="B91" s="2888" t="str">
        <f aca="false">'Смета Внутр'!B90</f>
        <v>настил гидроизола</v>
      </c>
      <c r="C91" s="2889" t="str">
        <f aca="false">'Смета Внутр'!C90</f>
        <v>м2</v>
      </c>
      <c r="D91" s="2890" t="n">
        <f aca="false">'Смета Внутр'!D90</f>
        <v>0</v>
      </c>
      <c r="E91" s="2888"/>
      <c r="F91" s="2895" t="n">
        <f aca="false">'Смета Внутр'!H90</f>
        <v>0</v>
      </c>
    </row>
    <row r="92" customFormat="false" ht="14.5" hidden="false" customHeight="false" outlineLevel="0" collapsed="false">
      <c r="B92" s="2888" t="str">
        <f aca="false">'Смета Внутр'!B91</f>
        <v>Кладка блоков ФБС</v>
      </c>
      <c r="C92" s="2889" t="str">
        <f aca="false">'Смета Внутр'!C91</f>
        <v>м3</v>
      </c>
      <c r="D92" s="2890" t="n">
        <f aca="false">'Смета Внутр'!D91</f>
        <v>0</v>
      </c>
      <c r="E92" s="2888"/>
      <c r="F92" s="2895" t="n">
        <f aca="false">'Смета Внутр'!H91</f>
        <v>0</v>
      </c>
    </row>
    <row r="93" customFormat="false" ht="14.5" hidden="false" customHeight="false" outlineLevel="0" collapsed="false">
      <c r="B93" s="2888" t="str">
        <f aca="false">'Смета Внутр'!B92</f>
        <v>укладка сетки</v>
      </c>
      <c r="C93" s="2889" t="str">
        <f aca="false">'Смета Внутр'!C92</f>
        <v>м2</v>
      </c>
      <c r="D93" s="2890" t="n">
        <f aca="false">'Смета Внутр'!D92</f>
        <v>0</v>
      </c>
      <c r="E93" s="2888"/>
      <c r="F93" s="2895" t="n">
        <f aca="false">'Смета Внутр'!H92</f>
        <v>0</v>
      </c>
    </row>
    <row r="94" customFormat="false" ht="14.5" hidden="false" customHeight="false" outlineLevel="0" collapsed="false">
      <c r="B94" s="2888" t="str">
        <f aca="false">'Смета Внутр'!B93</f>
        <v>гидроизоляция стен</v>
      </c>
      <c r="C94" s="2889" t="str">
        <f aca="false">'Смета Внутр'!C93</f>
        <v>м2</v>
      </c>
      <c r="D94" s="2890" t="n">
        <f aca="false">'Смета Внутр'!D93</f>
        <v>0</v>
      </c>
      <c r="E94" s="2888"/>
      <c r="F94" s="2895" t="n">
        <f aca="false">'Смета Внутр'!H93</f>
        <v>0</v>
      </c>
    </row>
    <row r="95" customFormat="false" ht="14.5" hidden="false" customHeight="false" outlineLevel="0" collapsed="false">
      <c r="B95" s="2888" t="str">
        <f aca="false">'Смета Внутр'!B94</f>
        <v>Монтаж утеплителя стен наружних</v>
      </c>
      <c r="C95" s="2889" t="str">
        <f aca="false">'Смета Внутр'!C94</f>
        <v>м2</v>
      </c>
      <c r="D95" s="2890" t="n">
        <f aca="false">'Смета Внутр'!D94</f>
        <v>0</v>
      </c>
      <c r="E95" s="2888"/>
      <c r="F95" s="2895" t="n">
        <f aca="false">'Смета Внутр'!H94</f>
        <v>0</v>
      </c>
    </row>
    <row r="96" customFormat="false" ht="14.5" hidden="false" customHeight="false" outlineLevel="0" collapsed="false">
      <c r="B96" s="2888" t="str">
        <f aca="false">'Смета Внутр'!B95</f>
        <v>сборка опалубки</v>
      </c>
      <c r="C96" s="2889" t="str">
        <f aca="false">'Смета Внутр'!C95</f>
        <v>м2</v>
      </c>
      <c r="D96" s="2890" t="n">
        <f aca="false">'Смета Внутр'!D95</f>
        <v>0</v>
      </c>
      <c r="E96" s="2888"/>
      <c r="F96" s="2895" t="n">
        <f aca="false">'Смета Внутр'!H95</f>
        <v>0</v>
      </c>
    </row>
    <row r="97" customFormat="false" ht="14.5" hidden="false" customHeight="false" outlineLevel="0" collapsed="false">
      <c r="B97" s="2888" t="str">
        <f aca="false">'Смета Внутр'!B96</f>
        <v>разборка опалубки</v>
      </c>
      <c r="C97" s="2889" t="str">
        <f aca="false">'Смета Внутр'!C96</f>
        <v>м2</v>
      </c>
      <c r="D97" s="2890" t="n">
        <f aca="false">'Смета Внутр'!D96</f>
        <v>0</v>
      </c>
      <c r="E97" s="2888"/>
      <c r="F97" s="2895" t="n">
        <f aca="false">'Смета Внутр'!H96</f>
        <v>0</v>
      </c>
    </row>
    <row r="98" customFormat="false" ht="14.5" hidden="false" customHeight="false" outlineLevel="0" collapsed="false">
      <c r="B98" s="2888" t="str">
        <f aca="false">'Смета Внутр'!B97</f>
        <v>приемка бетона</v>
      </c>
      <c r="C98" s="2889" t="str">
        <f aca="false">'Смета Внутр'!C97</f>
        <v>м3</v>
      </c>
      <c r="D98" s="2890" t="n">
        <f aca="false">'Смета Внутр'!D97</f>
        <v>0</v>
      </c>
      <c r="E98" s="2888"/>
      <c r="F98" s="2895" t="n">
        <f aca="false">'Смета Внутр'!H97</f>
        <v>0</v>
      </c>
    </row>
    <row r="99" customFormat="false" ht="14.5" hidden="false" customHeight="false" outlineLevel="0" collapsed="false">
      <c r="B99" s="2900" t="str">
        <f aca="false">'Смета Внутр'!B98</f>
        <v>Итого работы</v>
      </c>
      <c r="C99" s="2900"/>
      <c r="D99" s="2900"/>
      <c r="E99" s="2900"/>
      <c r="F99" s="2897" t="n">
        <f aca="false">'Смета Внутр'!G98</f>
        <v>0</v>
      </c>
    </row>
    <row r="100" customFormat="false" ht="18.5" hidden="false" customHeight="false" outlineLevel="0" collapsed="false">
      <c r="B100" s="2899" t="str">
        <f aca="false">'Смета Внутр'!B99</f>
        <v>Цокольный этаж из Монолит (бетон)</v>
      </c>
      <c r="C100" s="2899"/>
      <c r="D100" s="2899"/>
      <c r="E100" s="2899"/>
      <c r="F100" s="2893" t="n">
        <f aca="false">'Смета Внутр'!H99</f>
        <v>0</v>
      </c>
    </row>
    <row r="101" customFormat="false" ht="14.5" hidden="false" customHeight="false" outlineLevel="0" collapsed="false">
      <c r="B101" s="2894" t="str">
        <f aca="false">'Смета Внутр'!B100</f>
        <v>Материалы</v>
      </c>
      <c r="C101" s="2894"/>
      <c r="D101" s="2894"/>
      <c r="E101" s="2894"/>
      <c r="F101" s="2893" t="n">
        <f aca="false">'Смета Внутр'!H100</f>
        <v>0</v>
      </c>
    </row>
    <row r="102" customFormat="false" ht="14.5" hidden="false" customHeight="false" outlineLevel="0" collapsed="false">
      <c r="B102" s="2888" t="str">
        <f aca="false">'Смета Внутр'!B101</f>
        <v>Праймер для обработки</v>
      </c>
      <c r="C102" s="2889" t="str">
        <f aca="false">'Смета Внутр'!C101</f>
        <v>л</v>
      </c>
      <c r="D102" s="2890" t="n">
        <f aca="false">'Смета Внутр'!D101</f>
        <v>0</v>
      </c>
      <c r="E102" s="2888"/>
      <c r="F102" s="2895" t="n">
        <f aca="false">'Смета Внутр'!H101</f>
        <v>0</v>
      </c>
    </row>
    <row r="103" customFormat="false" ht="14.5" hidden="false" customHeight="false" outlineLevel="0" collapsed="false">
      <c r="B103" s="2888" t="str">
        <f aca="false">'Смета Внутр'!B102</f>
        <v>Гидроизол</v>
      </c>
      <c r="C103" s="2889" t="str">
        <f aca="false">'Смета Внутр'!C102</f>
        <v>м2</v>
      </c>
      <c r="D103" s="2890" t="n">
        <f aca="false">'Смета Внутр'!D102</f>
        <v>0</v>
      </c>
      <c r="E103" s="2888"/>
      <c r="F103" s="2895" t="n">
        <f aca="false">'Смета Внутр'!H102</f>
        <v>0</v>
      </c>
    </row>
    <row r="104" customFormat="false" ht="14.5" hidden="false" customHeight="false" outlineLevel="0" collapsed="false">
      <c r="B104" s="2888" t="str">
        <f aca="false">'Смета Внутр'!B103</f>
        <v>Мастика битумная</v>
      </c>
      <c r="C104" s="2889" t="str">
        <f aca="false">'Смета Внутр'!C103</f>
        <v>кг</v>
      </c>
      <c r="D104" s="2890" t="n">
        <f aca="false">'Смета Внутр'!D103</f>
        <v>0</v>
      </c>
      <c r="E104" s="2888"/>
      <c r="F104" s="2895" t="n">
        <f aca="false">'Смета Внутр'!H103</f>
        <v>0</v>
      </c>
    </row>
    <row r="105" customFormat="false" ht="14.5" hidden="false" customHeight="false" outlineLevel="0" collapsed="false">
      <c r="B105" s="2888" t="str">
        <f aca="false">'Смета Внутр'!B104</f>
        <v>Сосна влаж,150*40мм</v>
      </c>
      <c r="C105" s="2889" t="str">
        <f aca="false">'Смета Внутр'!C104</f>
        <v>м3</v>
      </c>
      <c r="D105" s="2890" t="n">
        <f aca="false">'Смета Внутр'!D104</f>
        <v>0</v>
      </c>
      <c r="E105" s="2888"/>
      <c r="F105" s="2895" t="n">
        <f aca="false">'Смета Внутр'!H104</f>
        <v>0</v>
      </c>
    </row>
    <row r="106" customFormat="false" ht="14.5" hidden="false" customHeight="false" outlineLevel="0" collapsed="false">
      <c r="B106" s="2888" t="str">
        <f aca="false">'Смета Внутр'!B105</f>
        <v>Крепления для опалубки</v>
      </c>
      <c r="C106" s="2889" t="str">
        <f aca="false">'Смета Внутр'!C105</f>
        <v>шт</v>
      </c>
      <c r="D106" s="2890" t="n">
        <f aca="false">'Смета Внутр'!D105</f>
        <v>0</v>
      </c>
      <c r="E106" s="2888"/>
      <c r="F106" s="2895" t="n">
        <f aca="false">'Смета Внутр'!H105</f>
        <v>0</v>
      </c>
    </row>
    <row r="107" customFormat="false" ht="14.5" hidden="false" customHeight="false" outlineLevel="0" collapsed="false">
      <c r="B107" s="2888" t="str">
        <f aca="false">'Смета Внутр'!B106</f>
        <v>Арматура стальная Ø 12</v>
      </c>
      <c r="C107" s="2889" t="str">
        <f aca="false">'Смета Внутр'!C106</f>
        <v>м.п.</v>
      </c>
      <c r="D107" s="2890" t="n">
        <f aca="false">'Смета Внутр'!D106</f>
        <v>0</v>
      </c>
      <c r="E107" s="2888"/>
      <c r="F107" s="2895" t="n">
        <f aca="false">'Смета Внутр'!H106</f>
        <v>0</v>
      </c>
    </row>
    <row r="108" customFormat="false" ht="14.5" hidden="false" customHeight="false" outlineLevel="0" collapsed="false">
      <c r="B108" s="2888" t="str">
        <f aca="false">'Смета Внутр'!B107</f>
        <v>Вязальная проволока</v>
      </c>
      <c r="C108" s="2889" t="str">
        <f aca="false">'Смета Внутр'!C107</f>
        <v>кг</v>
      </c>
      <c r="D108" s="2890" t="n">
        <f aca="false">'Смета Внутр'!D107</f>
        <v>0</v>
      </c>
      <c r="E108" s="2888"/>
      <c r="F108" s="2895" t="n">
        <f aca="false">'Смета Внутр'!H107</f>
        <v>0</v>
      </c>
    </row>
    <row r="109" customFormat="false" ht="14.5" hidden="false" customHeight="false" outlineLevel="0" collapsed="false">
      <c r="B109" s="2888" t="str">
        <f aca="false">'Смета Внутр'!B108</f>
        <v>Бетон, м300</v>
      </c>
      <c r="C109" s="2889" t="str">
        <f aca="false">'Смета Внутр'!C108</f>
        <v>м3</v>
      </c>
      <c r="D109" s="2890" t="n">
        <f aca="false">'Смета Внутр'!D108</f>
        <v>0</v>
      </c>
      <c r="E109" s="2888"/>
      <c r="F109" s="2895" t="n">
        <f aca="false">'Смета Внутр'!H108</f>
        <v>0</v>
      </c>
    </row>
    <row r="110" customFormat="false" ht="14.5" hidden="false" customHeight="false" outlineLevel="0" collapsed="false">
      <c r="B110" s="2888" t="str">
        <f aca="false">'Смета Внутр'!B109</f>
        <v>Праймер для обработки</v>
      </c>
      <c r="C110" s="2889" t="str">
        <f aca="false">'Смета Внутр'!C109</f>
        <v>кг</v>
      </c>
      <c r="D110" s="2890" t="n">
        <f aca="false">'Смета Внутр'!D109</f>
        <v>0</v>
      </c>
      <c r="E110" s="2888"/>
      <c r="F110" s="2895" t="n">
        <f aca="false">'Смета Внутр'!H109</f>
        <v>0</v>
      </c>
    </row>
    <row r="111" customFormat="false" ht="14.5" hidden="false" customHeight="false" outlineLevel="0" collapsed="false">
      <c r="B111" s="2888" t="str">
        <f aca="false">'Смета Внутр'!B110</f>
        <v>Плитный,28кг/м3, технониколь, 100мм</v>
      </c>
      <c r="C111" s="2889" t="str">
        <f aca="false">'Смета Внутр'!C110</f>
        <v>м3</v>
      </c>
      <c r="D111" s="2890" t="n">
        <f aca="false">'Смета Внутр'!D110</f>
        <v>0</v>
      </c>
      <c r="E111" s="2888"/>
      <c r="F111" s="2895" t="n">
        <f aca="false">'Смета Внутр'!H110</f>
        <v>0</v>
      </c>
    </row>
    <row r="112" customFormat="false" ht="14.5" hidden="false" customHeight="false" outlineLevel="0" collapsed="false">
      <c r="B112" s="2888" t="str">
        <f aca="false">'Смета Внутр'!B111</f>
        <v>Грибок для крепления утеплителя</v>
      </c>
      <c r="C112" s="2889" t="str">
        <f aca="false">'Смета Внутр'!C111</f>
        <v>шт</v>
      </c>
      <c r="D112" s="2890" t="n">
        <f aca="false">'Смета Внутр'!D111</f>
        <v>0</v>
      </c>
      <c r="E112" s="2888"/>
      <c r="F112" s="2895" t="n">
        <f aca="false">'Смета Внутр'!H111</f>
        <v>0</v>
      </c>
    </row>
    <row r="113" customFormat="false" ht="14.5" hidden="false" customHeight="false" outlineLevel="0" collapsed="false">
      <c r="B113" s="2896" t="str">
        <f aca="false">'Смета Внутр'!B112</f>
        <v>Итого материалы</v>
      </c>
      <c r="C113" s="2896"/>
      <c r="D113" s="2896"/>
      <c r="E113" s="2896"/>
      <c r="F113" s="2897" t="n">
        <f aca="false">'Смета Внутр'!G112</f>
        <v>0</v>
      </c>
    </row>
    <row r="114" customFormat="false" ht="14.5" hidden="false" customHeight="false" outlineLevel="0" collapsed="false">
      <c r="B114" s="2898" t="str">
        <f aca="false">'Смета Внутр'!B113</f>
        <v>Работы</v>
      </c>
      <c r="C114" s="2898"/>
      <c r="D114" s="2898"/>
      <c r="E114" s="2898"/>
      <c r="F114" s="2893" t="n">
        <f aca="false">'Смета Внутр'!H113</f>
        <v>0</v>
      </c>
    </row>
    <row r="115" customFormat="false" ht="14.5" hidden="false" customHeight="false" outlineLevel="0" collapsed="false">
      <c r="B115" s="2888" t="str">
        <f aca="false">'Смета Внутр'!B114</f>
        <v>обработка праймер</v>
      </c>
      <c r="C115" s="2889" t="str">
        <f aca="false">'Смета Внутр'!C114</f>
        <v>м2</v>
      </c>
      <c r="D115" s="2890" t="n">
        <f aca="false">'Смета Внутр'!D114</f>
        <v>0</v>
      </c>
      <c r="E115" s="2888"/>
      <c r="F115" s="2895" t="n">
        <f aca="false">'Смета Внутр'!H114</f>
        <v>0</v>
      </c>
    </row>
    <row r="116" customFormat="false" ht="14.5" hidden="false" customHeight="false" outlineLevel="0" collapsed="false">
      <c r="B116" s="2888" t="str">
        <f aca="false">'Смета Внутр'!B115</f>
        <v>настил гидроизола</v>
      </c>
      <c r="C116" s="2889" t="str">
        <f aca="false">'Смета Внутр'!C115</f>
        <v>м2</v>
      </c>
      <c r="D116" s="2890" t="n">
        <f aca="false">'Смета Внутр'!D115</f>
        <v>0</v>
      </c>
      <c r="E116" s="2888"/>
      <c r="F116" s="2895" t="n">
        <f aca="false">'Смета Внутр'!H115</f>
        <v>0</v>
      </c>
    </row>
    <row r="117" customFormat="false" ht="14.5" hidden="false" customHeight="false" outlineLevel="0" collapsed="false">
      <c r="B117" s="2888" t="str">
        <f aca="false">'Смета Внутр'!B116</f>
        <v>вязка арматуры</v>
      </c>
      <c r="C117" s="2889" t="str">
        <f aca="false">'Смета Внутр'!C116</f>
        <v>м.п.</v>
      </c>
      <c r="D117" s="2890" t="n">
        <f aca="false">'Смета Внутр'!D116</f>
        <v>0</v>
      </c>
      <c r="E117" s="2888"/>
      <c r="F117" s="2895" t="n">
        <f aca="false">'Смета Внутр'!H116</f>
        <v>0</v>
      </c>
    </row>
    <row r="118" customFormat="false" ht="14.5" hidden="false" customHeight="false" outlineLevel="0" collapsed="false">
      <c r="B118" s="2888" t="str">
        <f aca="false">'Смета Внутр'!B117</f>
        <v>сборка опалубки</v>
      </c>
      <c r="C118" s="2889" t="str">
        <f aca="false">'Смета Внутр'!C117</f>
        <v>м2</v>
      </c>
      <c r="D118" s="2890" t="n">
        <f aca="false">'Смета Внутр'!D117</f>
        <v>0</v>
      </c>
      <c r="E118" s="2888"/>
      <c r="F118" s="2895" t="n">
        <f aca="false">'Смета Внутр'!H117</f>
        <v>0</v>
      </c>
    </row>
    <row r="119" customFormat="false" ht="14.5" hidden="false" customHeight="false" outlineLevel="0" collapsed="false">
      <c r="B119" s="2888" t="str">
        <f aca="false">'Смета Внутр'!B118</f>
        <v>разборка опалубки</v>
      </c>
      <c r="C119" s="2889" t="str">
        <f aca="false">'Смета Внутр'!C118</f>
        <v>м2</v>
      </c>
      <c r="D119" s="2890" t="n">
        <f aca="false">'Смета Внутр'!D118</f>
        <v>0</v>
      </c>
      <c r="E119" s="2888"/>
      <c r="F119" s="2895" t="n">
        <f aca="false">'Смета Внутр'!H118</f>
        <v>0</v>
      </c>
    </row>
    <row r="120" customFormat="false" ht="14.5" hidden="false" customHeight="false" outlineLevel="0" collapsed="false">
      <c r="B120" s="2888" t="str">
        <f aca="false">'Смета Внутр'!B119</f>
        <v>приемка бетона</v>
      </c>
      <c r="C120" s="2889" t="str">
        <f aca="false">'Смета Внутр'!C119</f>
        <v>м3</v>
      </c>
      <c r="D120" s="2890" t="n">
        <f aca="false">'Смета Внутр'!D119</f>
        <v>0</v>
      </c>
      <c r="E120" s="2888"/>
      <c r="F120" s="2895" t="n">
        <f aca="false">'Смета Внутр'!H119</f>
        <v>0</v>
      </c>
    </row>
    <row r="121" customFormat="false" ht="14.5" hidden="false" customHeight="false" outlineLevel="0" collapsed="false">
      <c r="B121" s="2888" t="str">
        <f aca="false">'Смета Внутр'!B120</f>
        <v>гидроизоляция стен</v>
      </c>
      <c r="C121" s="2889" t="str">
        <f aca="false">'Смета Внутр'!C120</f>
        <v>м2</v>
      </c>
      <c r="D121" s="2890" t="n">
        <f aca="false">'Смета Внутр'!D120</f>
        <v>0</v>
      </c>
      <c r="E121" s="2888"/>
      <c r="F121" s="2895" t="n">
        <f aca="false">'Смета Внутр'!H120</f>
        <v>0</v>
      </c>
    </row>
    <row r="122" customFormat="false" ht="14.5" hidden="false" customHeight="false" outlineLevel="0" collapsed="false">
      <c r="B122" s="2888" t="str">
        <f aca="false">'Смета Внутр'!B121</f>
        <v>утепление фундамента</v>
      </c>
      <c r="C122" s="2889" t="str">
        <f aca="false">'Смета Внутр'!C121</f>
        <v>м2</v>
      </c>
      <c r="D122" s="2890" t="n">
        <f aca="false">'Смета Внутр'!D121</f>
        <v>0</v>
      </c>
      <c r="E122" s="2888"/>
      <c r="F122" s="2895" t="n">
        <f aca="false">'Смета Внутр'!H121</f>
        <v>0</v>
      </c>
    </row>
    <row r="123" customFormat="false" ht="14.5" hidden="false" customHeight="false" outlineLevel="0" collapsed="false">
      <c r="B123" s="2896" t="str">
        <f aca="false">'Смета Внутр'!B122</f>
        <v>Итого работы</v>
      </c>
      <c r="C123" s="2896"/>
      <c r="D123" s="2896"/>
      <c r="E123" s="2896"/>
      <c r="F123" s="2897" t="n">
        <f aca="false">'Смета Внутр'!G122</f>
        <v>0</v>
      </c>
    </row>
    <row r="124" customFormat="false" ht="18.5" hidden="false" customHeight="false" outlineLevel="0" collapsed="false">
      <c r="B124" s="2899" t="str">
        <f aca="false">'Смета Внутр'!B123</f>
        <v>Винтовые сваи для дома</v>
      </c>
      <c r="C124" s="2899"/>
      <c r="D124" s="2899"/>
      <c r="E124" s="2899"/>
      <c r="F124" s="2893" t="n">
        <f aca="false">'Смета Внутр'!H123</f>
        <v>0</v>
      </c>
    </row>
    <row r="125" customFormat="false" ht="14.5" hidden="false" customHeight="false" outlineLevel="0" collapsed="false">
      <c r="B125" s="2894" t="str">
        <f aca="false">'Смета Внутр'!B124</f>
        <v>Материалы</v>
      </c>
      <c r="C125" s="2894"/>
      <c r="D125" s="2894"/>
      <c r="E125" s="2894"/>
      <c r="F125" s="2893" t="n">
        <f aca="false">'Смета Внутр'!H124</f>
        <v>0</v>
      </c>
    </row>
    <row r="126" customFormat="false" ht="14.5" hidden="false" customHeight="false" outlineLevel="0" collapsed="false">
      <c r="B126" s="2888" t="str">
        <f aca="false">'Смета Внутр'!B125</f>
        <v>пробное забуривание</v>
      </c>
      <c r="C126" s="2889" t="str">
        <f aca="false">'Смета Внутр'!C125</f>
        <v>шт</v>
      </c>
      <c r="D126" s="2890" t="n">
        <f aca="false">'Смета Внутр'!D125</f>
        <v>1</v>
      </c>
      <c r="E126" s="2888"/>
      <c r="F126" s="2895" t="n">
        <f aca="false">'Смета Внутр'!H125</f>
        <v>0</v>
      </c>
    </row>
    <row r="127" customFormat="false" ht="14.5" hidden="false" customHeight="false" outlineLevel="0" collapsed="false">
      <c r="B127" s="2888" t="str">
        <f aca="false">'Смета Внутр'!B126</f>
        <v>108мм, 2,5м длина, 1 лопасть</v>
      </c>
      <c r="C127" s="2889" t="str">
        <f aca="false">'Смета Внутр'!C126</f>
        <v>шт</v>
      </c>
      <c r="D127" s="2890" t="n">
        <f aca="false">'Смета Внутр'!D126</f>
        <v>25</v>
      </c>
      <c r="E127" s="2888"/>
      <c r="F127" s="2895" t="n">
        <f aca="false">'Смета Внутр'!H126</f>
        <v>0</v>
      </c>
    </row>
    <row r="128" customFormat="false" ht="14.5" hidden="false" customHeight="false" outlineLevel="0" collapsed="false">
      <c r="B128" s="2888" t="str">
        <f aca="false">'Смета Внутр'!B127</f>
        <v>Оголовкок для свай 200*200</v>
      </c>
      <c r="C128" s="2889" t="str">
        <f aca="false">'Смета Внутр'!C127</f>
        <v>шт</v>
      </c>
      <c r="D128" s="2890" t="n">
        <f aca="false">'Смета Внутр'!D127</f>
        <v>25</v>
      </c>
      <c r="E128" s="2888"/>
      <c r="F128" s="2895" t="n">
        <f aca="false">'Смета Внутр'!H127</f>
        <v>0</v>
      </c>
    </row>
    <row r="129" customFormat="false" ht="14.5" hidden="false" customHeight="false" outlineLevel="0" collapsed="false">
      <c r="B129" s="2888" t="str">
        <f aca="false">'Смета Внутр'!B128</f>
        <v>обвязка металлом</v>
      </c>
      <c r="C129" s="2889" t="str">
        <f aca="false">'Смета Внутр'!C128</f>
        <v>м.п.</v>
      </c>
      <c r="D129" s="2890" t="n">
        <f aca="false">'Смета Внутр'!D128</f>
        <v>56</v>
      </c>
      <c r="E129" s="2888"/>
      <c r="F129" s="2895" t="n">
        <f aca="false">'Смета Внутр'!H128</f>
        <v>0</v>
      </c>
    </row>
    <row r="130" customFormat="false" ht="14.5" hidden="false" customHeight="false" outlineLevel="0" collapsed="false">
      <c r="B130" s="2888" t="str">
        <f aca="false">'Смета Внутр'!B129</f>
        <v>Раствор, м200</v>
      </c>
      <c r="C130" s="2889" t="str">
        <f aca="false">'Смета Внутр'!C129</f>
        <v>м3</v>
      </c>
      <c r="D130" s="2890" t="n">
        <f aca="false">'Смета Внутр'!D129</f>
        <v>1.1304</v>
      </c>
      <c r="E130" s="2888"/>
      <c r="F130" s="2895" t="n">
        <f aca="false">'Смета Внутр'!H129</f>
        <v>0</v>
      </c>
    </row>
    <row r="131" customFormat="false" ht="14.5" hidden="false" customHeight="false" outlineLevel="0" collapsed="false">
      <c r="B131" s="2888" t="str">
        <f aca="false">'Смета Внутр'!B130</f>
        <v>Электроды ок 47</v>
      </c>
      <c r="C131" s="2889" t="str">
        <f aca="false">'Смета Внутр'!C130</f>
        <v>шт</v>
      </c>
      <c r="D131" s="2890" t="n">
        <f aca="false">'Смета Внутр'!D130</f>
        <v>25</v>
      </c>
      <c r="E131" s="2888"/>
      <c r="F131" s="2895" t="n">
        <f aca="false">'Смета Внутр'!H130</f>
        <v>0</v>
      </c>
    </row>
    <row r="132" customFormat="false" ht="14.5" hidden="false" customHeight="false" outlineLevel="0" collapsed="false">
      <c r="B132" s="2896" t="str">
        <f aca="false">'Смета Внутр'!B131</f>
        <v>Итого материалы</v>
      </c>
      <c r="C132" s="2896"/>
      <c r="D132" s="2896"/>
      <c r="E132" s="2896"/>
      <c r="F132" s="2897" t="n">
        <f aca="false">'Смета Внутр'!G131</f>
        <v>0</v>
      </c>
    </row>
    <row r="133" customFormat="false" ht="14.5" hidden="false" customHeight="false" outlineLevel="0" collapsed="false">
      <c r="B133" s="2898" t="str">
        <f aca="false">'Смета Внутр'!B132</f>
        <v>Работы</v>
      </c>
      <c r="C133" s="2898"/>
      <c r="D133" s="2898"/>
      <c r="E133" s="2898"/>
      <c r="F133" s="2893" t="n">
        <f aca="false">'Смета Внутр'!H132</f>
        <v>0</v>
      </c>
    </row>
    <row r="134" customFormat="false" ht="14.5" hidden="false" customHeight="false" outlineLevel="0" collapsed="false">
      <c r="B134" s="2888" t="str">
        <f aca="false">'Смета Внутр'!B133</f>
        <v>разбивка осей</v>
      </c>
      <c r="C134" s="2889" t="str">
        <f aca="false">'Смета Внутр'!C133</f>
        <v>шт</v>
      </c>
      <c r="D134" s="2890" t="n">
        <f aca="false">'Смета Внутр'!D133</f>
        <v>1</v>
      </c>
      <c r="E134" s="2888"/>
      <c r="F134" s="2895" t="n">
        <f aca="false">'Смета Внутр'!H133</f>
        <v>0</v>
      </c>
    </row>
    <row r="135" customFormat="false" ht="14.5" hidden="false" customHeight="false" outlineLevel="0" collapsed="false">
      <c r="B135" s="2888" t="str">
        <f aca="false">'Смета Внутр'!B134</f>
        <v>монтаж свай</v>
      </c>
      <c r="C135" s="2889" t="str">
        <f aca="false">'Смета Внутр'!C134</f>
        <v>шт</v>
      </c>
      <c r="D135" s="2890" t="n">
        <f aca="false">'Смета Внутр'!D134</f>
        <v>25</v>
      </c>
      <c r="E135" s="2888"/>
      <c r="F135" s="2895" t="n">
        <f aca="false">'Смета Внутр'!H134</f>
        <v>0</v>
      </c>
    </row>
    <row r="136" customFormat="false" ht="14.5" hidden="false" customHeight="false" outlineLevel="0" collapsed="false">
      <c r="B136" s="2888" t="str">
        <f aca="false">'Смета Внутр'!B135</f>
        <v>монтаж оголовков</v>
      </c>
      <c r="C136" s="2889" t="str">
        <f aca="false">'Смета Внутр'!C135</f>
        <v>шт</v>
      </c>
      <c r="D136" s="2890" t="n">
        <f aca="false">'Смета Внутр'!D135</f>
        <v>25</v>
      </c>
      <c r="E136" s="2888"/>
      <c r="F136" s="2895" t="n">
        <f aca="false">'Смета Внутр'!H135</f>
        <v>0</v>
      </c>
    </row>
    <row r="137" customFormat="false" ht="14.5" hidden="false" customHeight="false" outlineLevel="0" collapsed="false">
      <c r="B137" s="2888" t="str">
        <f aca="false">'Смета Внутр'!B136</f>
        <v>обвязка металлом</v>
      </c>
      <c r="C137" s="2889" t="str">
        <f aca="false">'Смета Внутр'!C136</f>
        <v>м.п.</v>
      </c>
      <c r="D137" s="2890" t="n">
        <f aca="false">'Смета Внутр'!D136</f>
        <v>56</v>
      </c>
      <c r="E137" s="2888"/>
      <c r="F137" s="2895" t="n">
        <f aca="false">'Смета Внутр'!H136</f>
        <v>0</v>
      </c>
    </row>
    <row r="138" customFormat="false" ht="14.5" hidden="false" customHeight="false" outlineLevel="0" collapsed="false">
      <c r="B138" s="2888" t="str">
        <f aca="false">'Смета Внутр'!B137</f>
        <v>заливка бетоном</v>
      </c>
      <c r="C138" s="2889" t="str">
        <f aca="false">'Смета Внутр'!C137</f>
        <v>шт</v>
      </c>
      <c r="D138" s="2890" t="n">
        <f aca="false">'Смета Внутр'!D137</f>
        <v>25</v>
      </c>
      <c r="E138" s="2888"/>
      <c r="F138" s="2895" t="n">
        <f aca="false">'Смета Внутр'!H137</f>
        <v>0</v>
      </c>
    </row>
    <row r="139" customFormat="false" ht="14.5" hidden="false" customHeight="false" outlineLevel="0" collapsed="false">
      <c r="B139" s="2888" t="str">
        <f aca="false">'Смета Внутр'!B138</f>
        <v>Обрезка винтовых свай по невелиру</v>
      </c>
      <c r="C139" s="2889" t="str">
        <f aca="false">'Смета Внутр'!C138</f>
        <v>шт</v>
      </c>
      <c r="D139" s="2890" t="n">
        <f aca="false">'Смета Внутр'!D138</f>
        <v>25</v>
      </c>
      <c r="E139" s="2888"/>
      <c r="F139" s="2895" t="n">
        <f aca="false">'Смета Внутр'!H138</f>
        <v>0</v>
      </c>
    </row>
    <row r="140" customFormat="false" ht="14.5" hidden="false" customHeight="false" outlineLevel="0" collapsed="false">
      <c r="B140" s="2888" t="str">
        <f aca="false">'Смета Внутр'!B139</f>
        <v>Наварка оголовка</v>
      </c>
      <c r="C140" s="2889" t="str">
        <f aca="false">'Смета Внутр'!C139</f>
        <v>шт</v>
      </c>
      <c r="D140" s="2890" t="n">
        <f aca="false">'Смета Внутр'!D139</f>
        <v>25</v>
      </c>
      <c r="E140" s="2888"/>
      <c r="F140" s="2895" t="n">
        <f aca="false">'Смета Внутр'!H139</f>
        <v>0</v>
      </c>
    </row>
    <row r="141" customFormat="false" ht="14.5" hidden="false" customHeight="false" outlineLevel="0" collapsed="false">
      <c r="B141" s="2896" t="str">
        <f aca="false">'Смета Внутр'!B140</f>
        <v>Итого работы</v>
      </c>
      <c r="C141" s="2896"/>
      <c r="D141" s="2896"/>
      <c r="E141" s="2896"/>
      <c r="F141" s="2897" t="n">
        <f aca="false">'Смета Внутр'!G140</f>
        <v>0</v>
      </c>
    </row>
    <row r="142" customFormat="false" ht="18.5" hidden="false" customHeight="false" outlineLevel="0" collapsed="false">
      <c r="B142" s="2899" t="str">
        <f aca="false">'Смета Внутр'!B141</f>
        <v>Винтовые сваи для террасы</v>
      </c>
      <c r="C142" s="2899"/>
      <c r="D142" s="2899"/>
      <c r="E142" s="2899"/>
      <c r="F142" s="2893" t="n">
        <f aca="false">'Смета Внутр'!H141</f>
        <v>0</v>
      </c>
    </row>
    <row r="143" customFormat="false" ht="14.5" hidden="false" customHeight="false" outlineLevel="0" collapsed="false">
      <c r="B143" s="2894" t="str">
        <f aca="false">'Смета Внутр'!B142</f>
        <v>Материалы</v>
      </c>
      <c r="C143" s="2894"/>
      <c r="D143" s="2894"/>
      <c r="E143" s="2894"/>
      <c r="F143" s="2893" t="n">
        <f aca="false">'Смета Внутр'!H142</f>
        <v>0</v>
      </c>
    </row>
    <row r="144" customFormat="false" ht="14.5" hidden="false" customHeight="false" outlineLevel="0" collapsed="false">
      <c r="B144" s="2888" t="str">
        <f aca="false">'Смета Внутр'!B143</f>
        <v>пробное забуривание</v>
      </c>
      <c r="C144" s="2889" t="str">
        <f aca="false">'Смета Внутр'!C143</f>
        <v>шт</v>
      </c>
      <c r="D144" s="2890" t="n">
        <f aca="false">'Смета Внутр'!D143</f>
        <v>1</v>
      </c>
      <c r="E144" s="2888"/>
      <c r="F144" s="2895" t="n">
        <f aca="false">'Смета Внутр'!H143</f>
        <v>0</v>
      </c>
    </row>
    <row r="145" customFormat="false" ht="14.5" hidden="false" customHeight="false" outlineLevel="0" collapsed="false">
      <c r="B145" s="2888" t="str">
        <f aca="false">'Смета Внутр'!B144</f>
        <v>76мм, 3,5м длина, 2 лопасть</v>
      </c>
      <c r="C145" s="2889" t="str">
        <f aca="false">'Смета Внутр'!C144</f>
        <v>шт</v>
      </c>
      <c r="D145" s="2890" t="n">
        <f aca="false">'Смета Внутр'!D144</f>
        <v>8</v>
      </c>
      <c r="E145" s="2888"/>
      <c r="F145" s="2895" t="n">
        <f aca="false">'Смета Внутр'!H144</f>
        <v>0</v>
      </c>
    </row>
    <row r="146" customFormat="false" ht="14.5" hidden="false" customHeight="false" outlineLevel="0" collapsed="false">
      <c r="B146" s="2888" t="str">
        <f aca="false">'Смета Внутр'!B145</f>
        <v>Оголовкок для свай 200*200</v>
      </c>
      <c r="C146" s="2889" t="str">
        <f aca="false">'Смета Внутр'!C145</f>
        <v>шт</v>
      </c>
      <c r="D146" s="2890" t="n">
        <f aca="false">'Смета Внутр'!D145</f>
        <v>8</v>
      </c>
      <c r="E146" s="2888"/>
      <c r="F146" s="2895" t="n">
        <f aca="false">'Смета Внутр'!H145</f>
        <v>0</v>
      </c>
    </row>
    <row r="147" customFormat="false" ht="14.5" hidden="false" customHeight="false" outlineLevel="0" collapsed="false">
      <c r="B147" s="2888" t="str">
        <f aca="false">'Смета Внутр'!B146</f>
        <v>обвязка металлом, 20/40/3000</v>
      </c>
      <c r="C147" s="2889" t="str">
        <f aca="false">'Смета Внутр'!C146</f>
        <v>м.п.</v>
      </c>
      <c r="D147" s="2890" t="n">
        <f aca="false">'Смета Внутр'!D146</f>
        <v>8</v>
      </c>
      <c r="E147" s="2888"/>
      <c r="F147" s="2895" t="n">
        <f aca="false">'Смета Внутр'!H146</f>
        <v>0</v>
      </c>
    </row>
    <row r="148" customFormat="false" ht="14.5" hidden="false" customHeight="false" outlineLevel="0" collapsed="false">
      <c r="B148" s="2888" t="str">
        <f aca="false">'Смета Внутр'!B147</f>
        <v>Раствор, м200</v>
      </c>
      <c r="C148" s="2889" t="str">
        <f aca="false">'Смета Внутр'!C147</f>
        <v>м3</v>
      </c>
      <c r="D148" s="2890" t="n">
        <f aca="false">'Смета Внутр'!D147</f>
        <v>0.361728</v>
      </c>
      <c r="E148" s="2888"/>
      <c r="F148" s="2895" t="n">
        <f aca="false">'Смета Внутр'!H147</f>
        <v>0</v>
      </c>
    </row>
    <row r="149" customFormat="false" ht="14.5" hidden="false" customHeight="false" outlineLevel="0" collapsed="false">
      <c r="B149" s="2888" t="str">
        <f aca="false">'Смета Внутр'!B148</f>
        <v>Электроды ок 47</v>
      </c>
      <c r="C149" s="2889" t="str">
        <f aca="false">'Смета Внутр'!C148</f>
        <v>шт</v>
      </c>
      <c r="D149" s="2890" t="n">
        <f aca="false">'Смета Внутр'!D148</f>
        <v>8</v>
      </c>
      <c r="E149" s="2888"/>
      <c r="F149" s="2895" t="n">
        <f aca="false">'Смета Внутр'!H148</f>
        <v>0</v>
      </c>
    </row>
    <row r="150" customFormat="false" ht="14.5" hidden="false" customHeight="false" outlineLevel="0" collapsed="false">
      <c r="B150" s="2896" t="str">
        <f aca="false">'Смета Внутр'!B149</f>
        <v>Итого материалы</v>
      </c>
      <c r="C150" s="2896"/>
      <c r="D150" s="2896"/>
      <c r="E150" s="2896"/>
      <c r="F150" s="2897" t="n">
        <f aca="false">'Смета Внутр'!G149</f>
        <v>0</v>
      </c>
    </row>
    <row r="151" customFormat="false" ht="14.5" hidden="false" customHeight="false" outlineLevel="0" collapsed="false">
      <c r="B151" s="2898" t="str">
        <f aca="false">'Смета Внутр'!B150</f>
        <v>Работы</v>
      </c>
      <c r="C151" s="2898"/>
      <c r="D151" s="2898"/>
      <c r="E151" s="2898"/>
      <c r="F151" s="2893" t="n">
        <f aca="false">'Смета Внутр'!H150</f>
        <v>0</v>
      </c>
    </row>
    <row r="152" customFormat="false" ht="14.5" hidden="false" customHeight="false" outlineLevel="0" collapsed="false">
      <c r="B152" s="2888" t="str">
        <f aca="false">'Смета Внутр'!B151</f>
        <v>разбивка осей</v>
      </c>
      <c r="C152" s="2889" t="str">
        <f aca="false">'Смета Внутр'!C151</f>
        <v>шт</v>
      </c>
      <c r="D152" s="2890" t="n">
        <f aca="false">'Смета Внутр'!D151</f>
        <v>1</v>
      </c>
      <c r="E152" s="2888"/>
      <c r="F152" s="2895" t="n">
        <f aca="false">'Смета Внутр'!H151</f>
        <v>0</v>
      </c>
    </row>
    <row r="153" customFormat="false" ht="14.5" hidden="false" customHeight="false" outlineLevel="0" collapsed="false">
      <c r="B153" s="2888" t="str">
        <f aca="false">'Смета Внутр'!B152</f>
        <v>монтаж свай гидравликой</v>
      </c>
      <c r="C153" s="2889" t="str">
        <f aca="false">'Смета Внутр'!C152</f>
        <v>шт</v>
      </c>
      <c r="D153" s="2890" t="n">
        <f aca="false">'Смета Внутр'!D152</f>
        <v>1</v>
      </c>
      <c r="E153" s="2888"/>
      <c r="F153" s="2895" t="n">
        <f aca="false">'Смета Внутр'!H152</f>
        <v>0</v>
      </c>
    </row>
    <row r="154" customFormat="false" ht="14.5" hidden="false" customHeight="false" outlineLevel="0" collapsed="false">
      <c r="B154" s="2888" t="str">
        <f aca="false">'Смета Внутр'!B153</f>
        <v>монтаж оголовков</v>
      </c>
      <c r="C154" s="2889" t="str">
        <f aca="false">'Смета Внутр'!C153</f>
        <v>шт</v>
      </c>
      <c r="D154" s="2890" t="n">
        <f aca="false">'Смета Внутр'!D153</f>
        <v>8</v>
      </c>
      <c r="E154" s="2888"/>
      <c r="F154" s="2895" t="n">
        <f aca="false">'Смета Внутр'!H153</f>
        <v>0</v>
      </c>
    </row>
    <row r="155" customFormat="false" ht="14.5" hidden="false" customHeight="false" outlineLevel="0" collapsed="false">
      <c r="B155" s="2888" t="str">
        <f aca="false">'Смета Внутр'!B154</f>
        <v>обвязка металлом</v>
      </c>
      <c r="C155" s="2889" t="str">
        <f aca="false">'Смета Внутр'!C154</f>
        <v>м.п.</v>
      </c>
      <c r="D155" s="2890" t="n">
        <f aca="false">'Смета Внутр'!D154</f>
        <v>8</v>
      </c>
      <c r="E155" s="2888"/>
      <c r="F155" s="2895" t="n">
        <f aca="false">'Смета Внутр'!H154</f>
        <v>0</v>
      </c>
    </row>
    <row r="156" customFormat="false" ht="14.5" hidden="false" customHeight="false" outlineLevel="0" collapsed="false">
      <c r="B156" s="2888" t="str">
        <f aca="false">'Смета Внутр'!B155</f>
        <v>заливка бетоном</v>
      </c>
      <c r="C156" s="2889" t="str">
        <f aca="false">'Смета Внутр'!C155</f>
        <v>шт</v>
      </c>
      <c r="D156" s="2890" t="n">
        <f aca="false">'Смета Внутр'!D155</f>
        <v>8</v>
      </c>
      <c r="E156" s="2888"/>
      <c r="F156" s="2895" t="n">
        <f aca="false">'Смета Внутр'!H155</f>
        <v>0</v>
      </c>
    </row>
    <row r="157" customFormat="false" ht="14.5" hidden="false" customHeight="false" outlineLevel="0" collapsed="false">
      <c r="B157" s="2888" t="str">
        <f aca="false">'Смета Внутр'!B156</f>
        <v>Обрезка винтовых свай по невелиру</v>
      </c>
      <c r="C157" s="2889" t="str">
        <f aca="false">'Смета Внутр'!C156</f>
        <v>шт</v>
      </c>
      <c r="D157" s="2890" t="n">
        <f aca="false">'Смета Внутр'!D156</f>
        <v>8</v>
      </c>
      <c r="E157" s="2888"/>
      <c r="F157" s="2895" t="n">
        <f aca="false">'Смета Внутр'!H156</f>
        <v>0</v>
      </c>
    </row>
    <row r="158" customFormat="false" ht="14.5" hidden="false" customHeight="false" outlineLevel="0" collapsed="false">
      <c r="B158" s="2888" t="str">
        <f aca="false">'Смета Внутр'!B157</f>
        <v>Наварка оголовка</v>
      </c>
      <c r="C158" s="2889" t="str">
        <f aca="false">'Смета Внутр'!C157</f>
        <v>шт</v>
      </c>
      <c r="D158" s="2890" t="n">
        <f aca="false">'Смета Внутр'!D157</f>
        <v>8</v>
      </c>
      <c r="E158" s="2888"/>
      <c r="F158" s="2895" t="n">
        <f aca="false">'Смета Внутр'!H157</f>
        <v>0</v>
      </c>
    </row>
    <row r="159" customFormat="false" ht="14.5" hidden="false" customHeight="false" outlineLevel="0" collapsed="false">
      <c r="B159" s="2896" t="str">
        <f aca="false">'Смета Внутр'!B158</f>
        <v>Итого работы</v>
      </c>
      <c r="C159" s="2896"/>
      <c r="D159" s="2896"/>
      <c r="E159" s="2896"/>
      <c r="F159" s="2897" t="n">
        <f aca="false">'Смета Внутр'!G158</f>
        <v>0</v>
      </c>
    </row>
    <row r="160" customFormat="false" ht="18.5" hidden="false" customHeight="false" outlineLevel="0" collapsed="false">
      <c r="B160" s="2899" t="str">
        <f aca="false">'Смета Внутр'!B159</f>
        <v>Винтовые сваи для крыльца</v>
      </c>
      <c r="C160" s="2899"/>
      <c r="D160" s="2899"/>
      <c r="E160" s="2899"/>
      <c r="F160" s="2893" t="n">
        <f aca="false">'Смета Внутр'!H159</f>
        <v>0</v>
      </c>
    </row>
    <row r="161" customFormat="false" ht="14.5" hidden="false" customHeight="false" outlineLevel="0" collapsed="false">
      <c r="B161" s="2894" t="str">
        <f aca="false">'Смета Внутр'!B160</f>
        <v>Материалы</v>
      </c>
      <c r="C161" s="2894"/>
      <c r="D161" s="2894"/>
      <c r="E161" s="2894"/>
      <c r="F161" s="2893" t="n">
        <f aca="false">'Смета Внутр'!H160</f>
        <v>0</v>
      </c>
    </row>
    <row r="162" customFormat="false" ht="14.5" hidden="false" customHeight="false" outlineLevel="0" collapsed="false">
      <c r="B162" s="2888" t="str">
        <f aca="false">'Смета Внутр'!B161</f>
        <v>пробное забуривание</v>
      </c>
      <c r="C162" s="2889" t="str">
        <f aca="false">'Смета Внутр'!C161</f>
        <v>шт</v>
      </c>
      <c r="D162" s="2890" t="n">
        <f aca="false">'Смета Внутр'!D161</f>
        <v>1</v>
      </c>
      <c r="E162" s="2888"/>
      <c r="F162" s="2895" t="n">
        <f aca="false">'Смета Внутр'!H161</f>
        <v>0</v>
      </c>
    </row>
    <row r="163" customFormat="false" ht="14.5" hidden="false" customHeight="false" outlineLevel="0" collapsed="false">
      <c r="B163" s="2888" t="str">
        <f aca="false">'Смета Внутр'!B162</f>
        <v>89мм, 4,5м длина, 2 лопасть</v>
      </c>
      <c r="C163" s="2889" t="str">
        <f aca="false">'Смета Внутр'!C162</f>
        <v>шт</v>
      </c>
      <c r="D163" s="2890" t="n">
        <f aca="false">'Смета Внутр'!D162</f>
        <v>5</v>
      </c>
      <c r="E163" s="2888"/>
      <c r="F163" s="2895" t="n">
        <f aca="false">'Смета Внутр'!H162</f>
        <v>0</v>
      </c>
    </row>
    <row r="164" customFormat="false" ht="14.5" hidden="false" customHeight="false" outlineLevel="0" collapsed="false">
      <c r="B164" s="2888" t="str">
        <f aca="false">'Смета Внутр'!B163</f>
        <v>Оголовкок для свай 200*200</v>
      </c>
      <c r="C164" s="2889" t="str">
        <f aca="false">'Смета Внутр'!C163</f>
        <v>шт</v>
      </c>
      <c r="D164" s="2890" t="n">
        <f aca="false">'Смета Внутр'!D163</f>
        <v>5</v>
      </c>
      <c r="E164" s="2888"/>
      <c r="F164" s="2895" t="n">
        <f aca="false">'Смета Внутр'!H163</f>
        <v>0</v>
      </c>
    </row>
    <row r="165" customFormat="false" ht="14.5" hidden="false" customHeight="false" outlineLevel="0" collapsed="false">
      <c r="B165" s="2888" t="str">
        <f aca="false">'Смета Внутр'!B164</f>
        <v>обвязка металлом, 20/40/3000</v>
      </c>
      <c r="C165" s="2889" t="str">
        <f aca="false">'Смета Внутр'!C164</f>
        <v>м.п.</v>
      </c>
      <c r="D165" s="2890" t="n">
        <f aca="false">'Смета Внутр'!D164</f>
        <v>5</v>
      </c>
      <c r="E165" s="2888"/>
      <c r="F165" s="2895" t="n">
        <f aca="false">'Смета Внутр'!H164</f>
        <v>0</v>
      </c>
    </row>
    <row r="166" customFormat="false" ht="14.5" hidden="false" customHeight="false" outlineLevel="0" collapsed="false">
      <c r="B166" s="2888" t="str">
        <f aca="false">'Смета Внутр'!B165</f>
        <v>Раствор, м200</v>
      </c>
      <c r="C166" s="2889" t="str">
        <f aca="false">'Смета Внутр'!C165</f>
        <v>м3</v>
      </c>
      <c r="D166" s="2890" t="n">
        <f aca="false">'Смета Внутр'!D165</f>
        <v>0.22608</v>
      </c>
      <c r="E166" s="2888"/>
      <c r="F166" s="2895" t="n">
        <f aca="false">'Смета Внутр'!H165</f>
        <v>0</v>
      </c>
    </row>
    <row r="167" customFormat="false" ht="14.5" hidden="false" customHeight="false" outlineLevel="0" collapsed="false">
      <c r="B167" s="2888" t="str">
        <f aca="false">'Смета Внутр'!B166</f>
        <v>Электроды ок 47</v>
      </c>
      <c r="C167" s="2889" t="str">
        <f aca="false">'Смета Внутр'!C166</f>
        <v>шт</v>
      </c>
      <c r="D167" s="2890" t="n">
        <f aca="false">'Смета Внутр'!D166</f>
        <v>5</v>
      </c>
      <c r="E167" s="2888"/>
      <c r="F167" s="2895" t="n">
        <f aca="false">'Смета Внутр'!H166</f>
        <v>0</v>
      </c>
    </row>
    <row r="168" customFormat="false" ht="14.5" hidden="false" customHeight="false" outlineLevel="0" collapsed="false">
      <c r="B168" s="2896" t="str">
        <f aca="false">'Смета Внутр'!B167</f>
        <v>Итого материалы</v>
      </c>
      <c r="C168" s="2896"/>
      <c r="D168" s="2896"/>
      <c r="E168" s="2896"/>
      <c r="F168" s="2897" t="n">
        <f aca="false">'Смета Внутр'!G167</f>
        <v>0</v>
      </c>
    </row>
    <row r="169" customFormat="false" ht="14.5" hidden="false" customHeight="false" outlineLevel="0" collapsed="false">
      <c r="B169" s="2898" t="str">
        <f aca="false">'Смета Внутр'!B168</f>
        <v>Работы</v>
      </c>
      <c r="C169" s="2898"/>
      <c r="D169" s="2898"/>
      <c r="E169" s="2898"/>
      <c r="F169" s="2893" t="n">
        <f aca="false">'Смета Внутр'!H168</f>
        <v>0</v>
      </c>
    </row>
    <row r="170" customFormat="false" ht="14.5" hidden="false" customHeight="false" outlineLevel="0" collapsed="false">
      <c r="B170" s="2888" t="str">
        <f aca="false">'Смета Внутр'!B169</f>
        <v>разбивка осей</v>
      </c>
      <c r="C170" s="2889" t="str">
        <f aca="false">'Смета Внутр'!C169</f>
        <v>шт</v>
      </c>
      <c r="D170" s="2890" t="n">
        <f aca="false">'Смета Внутр'!D169</f>
        <v>1</v>
      </c>
      <c r="E170" s="2888"/>
      <c r="F170" s="2895" t="n">
        <f aca="false">'Смета Внутр'!H169</f>
        <v>0</v>
      </c>
    </row>
    <row r="171" customFormat="false" ht="14.5" hidden="false" customHeight="false" outlineLevel="0" collapsed="false">
      <c r="B171" s="2888" t="str">
        <f aca="false">'Смета Внутр'!B170</f>
        <v>монтаж свай гидравликой</v>
      </c>
      <c r="C171" s="2889" t="str">
        <f aca="false">'Смета Внутр'!C170</f>
        <v>шт</v>
      </c>
      <c r="D171" s="2890" t="n">
        <f aca="false">'Смета Внутр'!D170</f>
        <v>5</v>
      </c>
      <c r="E171" s="2888"/>
      <c r="F171" s="2895" t="n">
        <f aca="false">'Смета Внутр'!H170</f>
        <v>0</v>
      </c>
    </row>
    <row r="172" customFormat="false" ht="14.5" hidden="false" customHeight="false" outlineLevel="0" collapsed="false">
      <c r="B172" s="2888" t="str">
        <f aca="false">'Смета Внутр'!B171</f>
        <v>монтаж оголовков</v>
      </c>
      <c r="C172" s="2889" t="str">
        <f aca="false">'Смета Внутр'!C171</f>
        <v>шт</v>
      </c>
      <c r="D172" s="2890" t="n">
        <f aca="false">'Смета Внутр'!D171</f>
        <v>5</v>
      </c>
      <c r="E172" s="2888"/>
      <c r="F172" s="2895" t="n">
        <f aca="false">'Смета Внутр'!H171</f>
        <v>0</v>
      </c>
    </row>
    <row r="173" customFormat="false" ht="14.5" hidden="false" customHeight="false" outlineLevel="0" collapsed="false">
      <c r="B173" s="2888" t="str">
        <f aca="false">'Смета Внутр'!B172</f>
        <v>обвязка металлом</v>
      </c>
      <c r="C173" s="2889" t="str">
        <f aca="false">'Смета Внутр'!C172</f>
        <v>м.п.</v>
      </c>
      <c r="D173" s="2890" t="n">
        <f aca="false">'Смета Внутр'!D172</f>
        <v>5</v>
      </c>
      <c r="E173" s="2888"/>
      <c r="F173" s="2895" t="n">
        <f aca="false">'Смета Внутр'!H172</f>
        <v>0</v>
      </c>
    </row>
    <row r="174" customFormat="false" ht="14.5" hidden="false" customHeight="false" outlineLevel="0" collapsed="false">
      <c r="B174" s="2888" t="str">
        <f aca="false">'Смета Внутр'!B173</f>
        <v>заливка бетоном</v>
      </c>
      <c r="C174" s="2889" t="str">
        <f aca="false">'Смета Внутр'!C173</f>
        <v>шт</v>
      </c>
      <c r="D174" s="2890" t="n">
        <f aca="false">'Смета Внутр'!D173</f>
        <v>5</v>
      </c>
      <c r="E174" s="2888"/>
      <c r="F174" s="2895" t="n">
        <f aca="false">'Смета Внутр'!H173</f>
        <v>0</v>
      </c>
    </row>
    <row r="175" customFormat="false" ht="14.5" hidden="false" customHeight="false" outlineLevel="0" collapsed="false">
      <c r="B175" s="2888" t="str">
        <f aca="false">'Смета Внутр'!B174</f>
        <v>Обрезка винтовых свай по невелиру</v>
      </c>
      <c r="C175" s="2889" t="str">
        <f aca="false">'Смета Внутр'!C174</f>
        <v>шт</v>
      </c>
      <c r="D175" s="2890" t="n">
        <f aca="false">'Смета Внутр'!D174</f>
        <v>5</v>
      </c>
      <c r="E175" s="2888"/>
      <c r="F175" s="2895" t="n">
        <f aca="false">'Смета Внутр'!H174</f>
        <v>0</v>
      </c>
    </row>
    <row r="176" customFormat="false" ht="14.5" hidden="false" customHeight="false" outlineLevel="0" collapsed="false">
      <c r="B176" s="2888" t="str">
        <f aca="false">'Смета Внутр'!B175</f>
        <v>Наварка оголовка</v>
      </c>
      <c r="C176" s="2889" t="str">
        <f aca="false">'Смета Внутр'!C175</f>
        <v>шт</v>
      </c>
      <c r="D176" s="2890" t="n">
        <f aca="false">'Смета Внутр'!D175</f>
        <v>5</v>
      </c>
      <c r="E176" s="2888"/>
      <c r="F176" s="2895" t="n">
        <f aca="false">'Смета Внутр'!H175</f>
        <v>0</v>
      </c>
    </row>
    <row r="177" customFormat="false" ht="14.5" hidden="false" customHeight="false" outlineLevel="0" collapsed="false">
      <c r="B177" s="2896" t="str">
        <f aca="false">'Смета Внутр'!B176</f>
        <v>Итого работы</v>
      </c>
      <c r="C177" s="2896"/>
      <c r="D177" s="2896"/>
      <c r="E177" s="2896"/>
      <c r="F177" s="2897" t="n">
        <f aca="false">'Смета Внутр'!G176</f>
        <v>0</v>
      </c>
    </row>
    <row r="178" customFormat="false" ht="18.5" hidden="false" customHeight="false" outlineLevel="0" collapsed="false">
      <c r="B178" s="2899" t="str">
        <f aca="false">'Смета Внутр'!B177</f>
        <v>Ленточный фундамент</v>
      </c>
      <c r="C178" s="2899"/>
      <c r="D178" s="2899"/>
      <c r="E178" s="2899"/>
      <c r="F178" s="2901" t="n">
        <f aca="false">'Смета Внутр'!H177</f>
        <v>0</v>
      </c>
    </row>
    <row r="179" customFormat="false" ht="14.5" hidden="false" customHeight="false" outlineLevel="0" collapsed="false">
      <c r="B179" s="2894" t="str">
        <f aca="false">'Смета Внутр'!B178</f>
        <v>Материалы</v>
      </c>
      <c r="C179" s="2894"/>
      <c r="D179" s="2894"/>
      <c r="E179" s="2894"/>
      <c r="F179" s="2901" t="n">
        <f aca="false">'Смета Внутр'!H178</f>
        <v>0</v>
      </c>
    </row>
    <row r="180" customFormat="false" ht="14.5" hidden="false" customHeight="false" outlineLevel="0" collapsed="false">
      <c r="B180" s="2888" t="str">
        <f aca="false">'Смета Внутр'!B179</f>
        <v>Сосна влаж,150*40мм</v>
      </c>
      <c r="C180" s="2889" t="str">
        <f aca="false">'Смета Внутр'!C179</f>
        <v>м3</v>
      </c>
      <c r="D180" s="2890" t="n">
        <f aca="false">'Смета Внутр'!D179</f>
        <v>3.84384</v>
      </c>
      <c r="E180" s="2888"/>
      <c r="F180" s="2902" t="n">
        <f aca="false">'Смета Внутр'!H179</f>
        <v>0</v>
      </c>
    </row>
    <row r="181" customFormat="false" ht="14.5" hidden="false" customHeight="false" outlineLevel="0" collapsed="false">
      <c r="B181" s="2888" t="str">
        <f aca="false">'Смета Внутр'!B180</f>
        <v>Пленка гидроизоляционная</v>
      </c>
      <c r="C181" s="2889" t="str">
        <f aca="false">'Смета Внутр'!C180</f>
        <v>м2</v>
      </c>
      <c r="D181" s="2890" t="n">
        <f aca="false">'Смета Внутр'!D180</f>
        <v>96.096</v>
      </c>
      <c r="E181" s="2888"/>
      <c r="F181" s="2902" t="n">
        <f aca="false">'Смета Внутр'!H180</f>
        <v>0</v>
      </c>
    </row>
    <row r="182" customFormat="false" ht="14.5" hidden="false" customHeight="false" outlineLevel="0" collapsed="false">
      <c r="B182" s="2888" t="str">
        <f aca="false">'Смета Внутр'!B181</f>
        <v>Арматура стальная Ø 8</v>
      </c>
      <c r="C182" s="2889" t="str">
        <f aca="false">'Смета Внутр'!C181</f>
        <v>м.п</v>
      </c>
      <c r="D182" s="2890" t="n">
        <f aca="false">'Смета Внутр'!D181</f>
        <v>443.52</v>
      </c>
      <c r="E182" s="2888"/>
      <c r="F182" s="2902" t="n">
        <f aca="false">'Смета Внутр'!H181</f>
        <v>0</v>
      </c>
    </row>
    <row r="183" customFormat="false" ht="14.5" hidden="false" customHeight="false" outlineLevel="0" collapsed="false">
      <c r="B183" s="2888" t="str">
        <f aca="false">'Смета Внутр'!B182</f>
        <v>Арматура стальная Ø 6</v>
      </c>
      <c r="C183" s="2889" t="str">
        <f aca="false">'Смета Внутр'!C182</f>
        <v>м.п</v>
      </c>
      <c r="D183" s="2890" t="n">
        <f aca="false">'Смета Внутр'!D182</f>
        <v>304.92</v>
      </c>
      <c r="E183" s="2888"/>
      <c r="F183" s="2902" t="n">
        <f aca="false">'Смета Внутр'!H182</f>
        <v>0</v>
      </c>
    </row>
    <row r="184" customFormat="false" ht="14.5" hidden="false" customHeight="false" outlineLevel="0" collapsed="false">
      <c r="B184" s="2888" t="str">
        <f aca="false">'Смета Внутр'!B183</f>
        <v>Вязальная проволока</v>
      </c>
      <c r="C184" s="2889" t="str">
        <f aca="false">'Смета Внутр'!C183</f>
        <v>кг</v>
      </c>
      <c r="D184" s="2890" t="n">
        <f aca="false">'Смета Внутр'!D183</f>
        <v>16.46568</v>
      </c>
      <c r="E184" s="2888"/>
      <c r="F184" s="2902" t="n">
        <f aca="false">'Смета Внутр'!H183</f>
        <v>0</v>
      </c>
    </row>
    <row r="185" customFormat="false" ht="14.5" hidden="false" customHeight="false" outlineLevel="0" collapsed="false">
      <c r="B185" s="2888" t="str">
        <f aca="false">'Смета Внутр'!B184</f>
        <v>Гвозди строительные 3,5 x 90</v>
      </c>
      <c r="C185" s="2889" t="str">
        <f aca="false">'Смета Внутр'!C184</f>
        <v>кг</v>
      </c>
      <c r="D185" s="2890" t="n">
        <f aca="false">'Смета Внутр'!D184</f>
        <v>21.14112</v>
      </c>
      <c r="E185" s="2888"/>
      <c r="F185" s="2902" t="n">
        <f aca="false">'Смета Внутр'!H184</f>
        <v>0</v>
      </c>
    </row>
    <row r="186" customFormat="false" ht="14.5" hidden="false" customHeight="false" outlineLevel="0" collapsed="false">
      <c r="B186" s="2888" t="str">
        <f aca="false">'Смета Внутр'!B185</f>
        <v>Гидроизол</v>
      </c>
      <c r="C186" s="2889" t="str">
        <f aca="false">'Смета Внутр'!C185</f>
        <v>м2</v>
      </c>
      <c r="D186" s="2890" t="n">
        <f aca="false">'Смета Внутр'!D185</f>
        <v>18.48</v>
      </c>
      <c r="E186" s="2888"/>
      <c r="F186" s="2902" t="n">
        <f aca="false">'Смета Внутр'!H185</f>
        <v>0</v>
      </c>
    </row>
    <row r="187" customFormat="false" ht="14.5" hidden="false" customHeight="false" outlineLevel="0" collapsed="false">
      <c r="B187" s="2888" t="str">
        <f aca="false">'Смета Внутр'!B186</f>
        <v>ПГС, машина 13м3</v>
      </c>
      <c r="C187" s="2889" t="str">
        <f aca="false">'Смета Внутр'!C186</f>
        <v>маш</v>
      </c>
      <c r="D187" s="2890" t="n">
        <f aca="false">'Смета Внутр'!D186</f>
        <v>0.616</v>
      </c>
      <c r="E187" s="2888"/>
      <c r="F187" s="2902" t="n">
        <f aca="false">'Смета Внутр'!H186</f>
        <v>0</v>
      </c>
    </row>
    <row r="188" customFormat="false" ht="14.5" hidden="false" customHeight="false" outlineLevel="0" collapsed="false">
      <c r="B188" s="2888" t="str">
        <f aca="false">'Смета Внутр'!B187</f>
        <v>Бетон, м250</v>
      </c>
      <c r="C188" s="2889" t="str">
        <f aca="false">'Смета Внутр'!C187</f>
        <v>м3</v>
      </c>
      <c r="D188" s="2890" t="n">
        <f aca="false">'Смета Внутр'!D187</f>
        <v>11.088</v>
      </c>
      <c r="E188" s="2888"/>
      <c r="F188" s="2902" t="n">
        <f aca="false">'Смета Внутр'!H187</f>
        <v>0</v>
      </c>
    </row>
    <row r="189" customFormat="false" ht="14.5" hidden="false" customHeight="false" outlineLevel="0" collapsed="false">
      <c r="B189" s="2888" t="str">
        <f aca="false">'Смета Внутр'!B188</f>
        <v>Нет</v>
      </c>
      <c r="C189" s="2889" t="str">
        <f aca="false">'Смета Внутр'!C188</f>
        <v>м3</v>
      </c>
      <c r="D189" s="2890" t="n">
        <f aca="false">'Смета Внутр'!D188</f>
        <v>0</v>
      </c>
      <c r="E189" s="2888"/>
      <c r="F189" s="2895" t="n">
        <f aca="false">'Смета Внутр'!H188</f>
        <v>0</v>
      </c>
    </row>
    <row r="190" customFormat="false" ht="14.5" hidden="false" customHeight="false" outlineLevel="0" collapsed="false">
      <c r="B190" s="2888" t="str">
        <f aca="false">'Смета Внутр'!B189</f>
        <v>Грибок для крепления утеплителя</v>
      </c>
      <c r="C190" s="2889" t="str">
        <f aca="false">'Смета Внутр'!C189</f>
        <v>шт</v>
      </c>
      <c r="D190" s="2890" t="n">
        <f aca="false">'Смета Внутр'!D189</f>
        <v>0</v>
      </c>
      <c r="E190" s="2888"/>
      <c r="F190" s="2895" t="n">
        <f aca="false">'Смета Внутр'!H189</f>
        <v>0</v>
      </c>
    </row>
    <row r="191" customFormat="false" ht="14.5" hidden="false" customHeight="false" outlineLevel="0" collapsed="false">
      <c r="B191" s="2888" t="str">
        <f aca="false">'Смета Внутр'!B190</f>
        <v>Нет</v>
      </c>
      <c r="C191" s="2889" t="str">
        <f aca="false">'Смета Внутр'!C190</f>
        <v>м3</v>
      </c>
      <c r="D191" s="2890" t="n">
        <f aca="false">'Смета Внутр'!D190</f>
        <v>0</v>
      </c>
      <c r="E191" s="2888"/>
      <c r="F191" s="2895" t="n">
        <f aca="false">'Смета Внутр'!H190</f>
        <v>0</v>
      </c>
    </row>
    <row r="192" customFormat="false" ht="14.5" hidden="false" customHeight="false" outlineLevel="0" collapsed="false">
      <c r="B192" s="2888" t="str">
        <f aca="false">'Смета Внутр'!B191</f>
        <v>ПГС, машина 5м3</v>
      </c>
      <c r="C192" s="2889" t="str">
        <f aca="false">'Смета Внутр'!C191</f>
        <v>маш</v>
      </c>
      <c r="D192" s="2890" t="n">
        <f aca="false">'Смета Внутр'!D191</f>
        <v>0</v>
      </c>
      <c r="E192" s="2888"/>
      <c r="F192" s="2895" t="n">
        <f aca="false">'Смета Внутр'!H191</f>
        <v>0</v>
      </c>
    </row>
    <row r="193" customFormat="false" ht="14.5" hidden="false" customHeight="false" outlineLevel="0" collapsed="false">
      <c r="B193" s="2888" t="str">
        <f aca="false">'Смета Внутр'!B192</f>
        <v>Кладочная сетка, 100*100/150*150/200*200мм</v>
      </c>
      <c r="C193" s="2889" t="str">
        <f aca="false">'Смета Внутр'!C192</f>
        <v>м2</v>
      </c>
      <c r="D193" s="2890" t="n">
        <f aca="false">'Смета Внутр'!D192</f>
        <v>0</v>
      </c>
      <c r="E193" s="2888"/>
      <c r="F193" s="2895" t="n">
        <f aca="false">'Смета Внутр'!H192</f>
        <v>0</v>
      </c>
    </row>
    <row r="194" customFormat="false" ht="14.5" hidden="false" customHeight="false" outlineLevel="0" collapsed="false">
      <c r="B194" s="2888" t="str">
        <f aca="false">'Смета Внутр'!B193</f>
        <v>Бетон, м200</v>
      </c>
      <c r="C194" s="2889" t="str">
        <f aca="false">'Смета Внутр'!C193</f>
        <v>м3</v>
      </c>
      <c r="D194" s="2890" t="n">
        <f aca="false">'Смета Внутр'!D193</f>
        <v>0</v>
      </c>
      <c r="E194" s="2888"/>
      <c r="F194" s="2895" t="n">
        <f aca="false">'Смета Внутр'!H193</f>
        <v>0</v>
      </c>
    </row>
    <row r="195" customFormat="false" ht="14.5" hidden="false" customHeight="false" outlineLevel="0" collapsed="false">
      <c r="B195" s="2888" t="str">
        <f aca="false">'Смета Внутр'!B194</f>
        <v>Труба теплого пола 3</v>
      </c>
      <c r="C195" s="2889" t="str">
        <f aca="false">'Смета Внутр'!C194</f>
        <v>м.п</v>
      </c>
      <c r="D195" s="2890" t="n">
        <f aca="false">'Смета Внутр'!D194</f>
        <v>308</v>
      </c>
      <c r="E195" s="2888"/>
      <c r="F195" s="2895"/>
    </row>
    <row r="196" customFormat="false" ht="14.5" hidden="false" customHeight="false" outlineLevel="0" collapsed="false">
      <c r="B196" s="2888" t="str">
        <f aca="false">'Смета Внутр'!B195</f>
        <v>Коллектор 1</v>
      </c>
      <c r="C196" s="2889" t="str">
        <f aca="false">'Смета Внутр'!C195</f>
        <v>шт</v>
      </c>
      <c r="D196" s="2890" t="n">
        <f aca="false">'Смета Внутр'!D195</f>
        <v>1.1</v>
      </c>
      <c r="E196" s="2888"/>
      <c r="F196" s="2895"/>
    </row>
    <row r="197" customFormat="false" ht="14.5" hidden="false" customHeight="false" outlineLevel="0" collapsed="false">
      <c r="B197" s="2896" t="str">
        <f aca="false">'Смета Внутр'!B196</f>
        <v>Итого материалы</v>
      </c>
      <c r="C197" s="2896"/>
      <c r="D197" s="2896"/>
      <c r="E197" s="2896"/>
      <c r="F197" s="2891" t="n">
        <f aca="false">'Смета Внутр'!G196</f>
        <v>0</v>
      </c>
    </row>
    <row r="198" customFormat="false" ht="14.5" hidden="false" customHeight="false" outlineLevel="0" collapsed="false">
      <c r="B198" s="2898" t="str">
        <f aca="false">'Смета Внутр'!B197</f>
        <v>Работы</v>
      </c>
      <c r="C198" s="2898"/>
      <c r="D198" s="2898"/>
      <c r="E198" s="2898"/>
      <c r="F198" s="2901" t="n">
        <f aca="false">'Смета Внутр'!H197</f>
        <v>0</v>
      </c>
    </row>
    <row r="199" customFormat="false" ht="14.5" hidden="false" customHeight="false" outlineLevel="0" collapsed="false">
      <c r="B199" s="2888" t="str">
        <f aca="false">'Смета Внутр'!B198</f>
        <v>разбивка осей</v>
      </c>
      <c r="C199" s="2889" t="str">
        <f aca="false">'Смета Внутр'!C198</f>
        <v>шт</v>
      </c>
      <c r="D199" s="2890" t="n">
        <f aca="false">'Смета Внутр'!D198</f>
        <v>1.05</v>
      </c>
      <c r="E199" s="2888"/>
      <c r="F199" s="2902" t="n">
        <f aca="false">'Смета Внутр'!H198</f>
        <v>0</v>
      </c>
    </row>
    <row r="200" customFormat="false" ht="14.5" hidden="false" customHeight="false" outlineLevel="0" collapsed="false">
      <c r="B200" s="2888" t="str">
        <f aca="false">'Смета Внутр'!B199</f>
        <v>сборка опалубки</v>
      </c>
      <c r="C200" s="2889" t="str">
        <f aca="false">'Смета Внутр'!C199</f>
        <v>м2</v>
      </c>
      <c r="D200" s="2890" t="n">
        <f aca="false">'Смета Внутр'!D199</f>
        <v>70.56</v>
      </c>
      <c r="E200" s="2888"/>
      <c r="F200" s="2902" t="n">
        <f aca="false">'Смета Внутр'!H199</f>
        <v>0</v>
      </c>
    </row>
    <row r="201" customFormat="false" ht="14.5" hidden="false" customHeight="false" outlineLevel="0" collapsed="false">
      <c r="B201" s="2888" t="str">
        <f aca="false">'Смета Внутр'!B200</f>
        <v>разборка опалубки</v>
      </c>
      <c r="C201" s="2889" t="str">
        <f aca="false">'Смета Внутр'!C200</f>
        <v>м2</v>
      </c>
      <c r="D201" s="2890" t="n">
        <f aca="false">'Смета Внутр'!D200</f>
        <v>74.088</v>
      </c>
      <c r="E201" s="2888"/>
      <c r="F201" s="2902" t="n">
        <f aca="false">'Смета Внутр'!H200</f>
        <v>0</v>
      </c>
    </row>
    <row r="202" customFormat="false" ht="14.5" hidden="false" customHeight="false" outlineLevel="0" collapsed="false">
      <c r="B202" s="2888" t="str">
        <f aca="false">'Смета Внутр'!B201</f>
        <v>настил пленки</v>
      </c>
      <c r="C202" s="2889" t="str">
        <f aca="false">'Смета Внутр'!C201</f>
        <v>м2</v>
      </c>
      <c r="D202" s="2890" t="n">
        <f aca="false">'Смета Внутр'!D201</f>
        <v>77.7924</v>
      </c>
      <c r="E202" s="2888"/>
      <c r="F202" s="2902" t="n">
        <f aca="false">'Смета Внутр'!H201</f>
        <v>0</v>
      </c>
    </row>
    <row r="203" customFormat="false" ht="14.5" hidden="false" customHeight="false" outlineLevel="0" collapsed="false">
      <c r="B203" s="2888" t="str">
        <f aca="false">'Смета Внутр'!B202</f>
        <v>армирование</v>
      </c>
      <c r="C203" s="2889" t="str">
        <f aca="false">'Смета Внутр'!C202</f>
        <v>м.п</v>
      </c>
      <c r="D203" s="2890" t="n">
        <f aca="false">'Смета Внутр'!D202</f>
        <v>423.36</v>
      </c>
      <c r="E203" s="2888"/>
      <c r="F203" s="2902" t="n">
        <f aca="false">'Смета Внутр'!H202</f>
        <v>0</v>
      </c>
    </row>
    <row r="204" customFormat="false" ht="14.5" hidden="false" customHeight="false" outlineLevel="0" collapsed="false">
      <c r="B204" s="2888" t="str">
        <f aca="false">'Смета Внутр'!B203</f>
        <v>армирование</v>
      </c>
      <c r="C204" s="2889" t="str">
        <f aca="false">'Смета Внутр'!C203</f>
        <v>м.п.</v>
      </c>
      <c r="D204" s="2890" t="n">
        <f aca="false">'Смета Внутр'!D203</f>
        <v>194.04</v>
      </c>
      <c r="E204" s="2888"/>
      <c r="F204" s="2902" t="n">
        <f aca="false">'Смета Внутр'!H203</f>
        <v>0</v>
      </c>
    </row>
    <row r="205" customFormat="false" ht="14.5" hidden="false" customHeight="false" outlineLevel="0" collapsed="false">
      <c r="B205" s="2888" t="str">
        <f aca="false">'Смета Внутр'!B204</f>
        <v>настил гидроизола</v>
      </c>
      <c r="C205" s="2889" t="str">
        <f aca="false">'Смета Внутр'!C204</f>
        <v>м2</v>
      </c>
      <c r="D205" s="2890" t="n">
        <f aca="false">'Смета Внутр'!D204</f>
        <v>17.64</v>
      </c>
      <c r="E205" s="2888"/>
      <c r="F205" s="2902" t="n">
        <f aca="false">'Смета Внутр'!H204</f>
        <v>0</v>
      </c>
    </row>
    <row r="206" customFormat="false" ht="14.5" hidden="false" customHeight="false" outlineLevel="0" collapsed="false">
      <c r="B206" s="2888" t="str">
        <f aca="false">'Смета Внутр'!B205</f>
        <v>трамбовка</v>
      </c>
      <c r="C206" s="2889" t="str">
        <f aca="false">'Смета Внутр'!C205</f>
        <v>м2</v>
      </c>
      <c r="D206" s="2890" t="n">
        <f aca="false">'Смета Внутр'!D205</f>
        <v>18.522</v>
      </c>
      <c r="E206" s="2888"/>
      <c r="F206" s="2902" t="n">
        <f aca="false">'Смета Внутр'!H205</f>
        <v>0</v>
      </c>
    </row>
    <row r="207" customFormat="false" ht="14.5" hidden="false" customHeight="false" outlineLevel="0" collapsed="false">
      <c r="B207" s="2888" t="str">
        <f aca="false">'Смета Внутр'!B206</f>
        <v>приемка бетона</v>
      </c>
      <c r="C207" s="2889" t="str">
        <f aca="false">'Смета Внутр'!C206</f>
        <v>м3</v>
      </c>
      <c r="D207" s="2890" t="n">
        <f aca="false">'Смета Внутр'!D206</f>
        <v>10.584</v>
      </c>
      <c r="E207" s="2888"/>
      <c r="F207" s="2902" t="n">
        <f aca="false">'Смета Внутр'!H206</f>
        <v>0</v>
      </c>
    </row>
    <row r="208" customFormat="false" ht="14.5" hidden="false" customHeight="false" outlineLevel="0" collapsed="false">
      <c r="B208" s="2888" t="str">
        <f aca="false">'Смета Внутр'!B207</f>
        <v>утепление фундамента</v>
      </c>
      <c r="C208" s="2889" t="str">
        <f aca="false">'Смета Внутр'!C207</f>
        <v>м2</v>
      </c>
      <c r="D208" s="2890" t="n">
        <f aca="false">'Смета Внутр'!D207</f>
        <v>0</v>
      </c>
      <c r="E208" s="2888"/>
      <c r="F208" s="2895" t="n">
        <f aca="false">'Смета Внутр'!H207</f>
        <v>0</v>
      </c>
    </row>
    <row r="209" customFormat="false" ht="14.5" hidden="false" customHeight="false" outlineLevel="0" collapsed="false">
      <c r="B209" s="2888" t="str">
        <f aca="false">'Смета Внутр'!B208</f>
        <v>утепление отмостки</v>
      </c>
      <c r="C209" s="2889" t="str">
        <f aca="false">'Смета Внутр'!C208</f>
        <v>м2</v>
      </c>
      <c r="D209" s="2890" t="n">
        <f aca="false">'Смета Внутр'!D208</f>
        <v>0</v>
      </c>
      <c r="E209" s="2888"/>
      <c r="F209" s="2895" t="n">
        <f aca="false">'Смета Внутр'!H208</f>
        <v>0</v>
      </c>
    </row>
    <row r="210" customFormat="false" ht="14.5" hidden="false" customHeight="false" outlineLevel="0" collapsed="false">
      <c r="B210" s="2888" t="str">
        <f aca="false">'Смета Внутр'!B209</f>
        <v>трамбовка пгс</v>
      </c>
      <c r="C210" s="2889" t="str">
        <f aca="false">'Смета Внутр'!C209</f>
        <v>м2</v>
      </c>
      <c r="D210" s="2890" t="n">
        <f aca="false">'Смета Внутр'!D209</f>
        <v>0</v>
      </c>
      <c r="E210" s="2888"/>
      <c r="F210" s="2895" t="n">
        <f aca="false">'Смета Внутр'!H209</f>
        <v>0</v>
      </c>
    </row>
    <row r="211" customFormat="false" ht="14.5" hidden="false" customHeight="false" outlineLevel="0" collapsed="false">
      <c r="B211" s="2888" t="str">
        <f aca="false">'Смета Внутр'!B210</f>
        <v>кладка сетки</v>
      </c>
      <c r="C211" s="2889" t="str">
        <f aca="false">'Смета Внутр'!C210</f>
        <v>м2</v>
      </c>
      <c r="D211" s="2890" t="n">
        <f aca="false">'Смета Внутр'!D210</f>
        <v>0</v>
      </c>
      <c r="E211" s="2888"/>
      <c r="F211" s="2895" t="n">
        <f aca="false">'Смета Внутр'!H210</f>
        <v>0</v>
      </c>
    </row>
    <row r="212" customFormat="false" ht="14.5" hidden="false" customHeight="false" outlineLevel="0" collapsed="false">
      <c r="B212" s="2888" t="str">
        <f aca="false">'Смета Внутр'!B211</f>
        <v>приемка бетона</v>
      </c>
      <c r="C212" s="2889" t="str">
        <f aca="false">'Смета Внутр'!C211</f>
        <v>м3</v>
      </c>
      <c r="D212" s="2890" t="n">
        <f aca="false">'Смета Внутр'!D211</f>
        <v>0</v>
      </c>
      <c r="E212" s="2888"/>
      <c r="F212" s="2895" t="n">
        <f aca="false">'Смета Внутр'!H211</f>
        <v>0</v>
      </c>
    </row>
    <row r="213" customFormat="false" ht="14.5" hidden="false" customHeight="false" outlineLevel="0" collapsed="false">
      <c r="B213" s="2888" t="str">
        <f aca="false">'Смета Внутр'!B212</f>
        <v>укладка теп. Пола</v>
      </c>
      <c r="C213" s="2889" t="str">
        <f aca="false">'Смета Внутр'!C212</f>
        <v>м2</v>
      </c>
      <c r="D213" s="2890" t="n">
        <f aca="false">'Смета Внутр'!D212</f>
        <v>105</v>
      </c>
      <c r="E213" s="2888"/>
      <c r="F213" s="2895"/>
    </row>
    <row r="214" customFormat="false" ht="14.5" hidden="false" customHeight="false" outlineLevel="0" collapsed="false">
      <c r="B214" s="2896" t="str">
        <f aca="false">'Смета Внутр'!B213</f>
        <v>Итого работы</v>
      </c>
      <c r="C214" s="2896"/>
      <c r="D214" s="2896"/>
      <c r="E214" s="2896"/>
      <c r="F214" s="2891" t="n">
        <f aca="false">'Смета Внутр'!G213</f>
        <v>0</v>
      </c>
    </row>
    <row r="215" customFormat="false" ht="18.5" hidden="false" customHeight="false" outlineLevel="0" collapsed="false">
      <c r="B215" s="2899" t="str">
        <f aca="false">'Смета Внутр'!B214</f>
        <v>Свайноростверковый фундамент</v>
      </c>
      <c r="C215" s="2899"/>
      <c r="D215" s="2899"/>
      <c r="E215" s="2899"/>
      <c r="F215" s="2893" t="n">
        <f aca="false">'Смета Внутр'!H214</f>
        <v>0</v>
      </c>
    </row>
    <row r="216" customFormat="false" ht="14.5" hidden="false" customHeight="false" outlineLevel="0" collapsed="false">
      <c r="B216" s="2894" t="str">
        <f aca="false">'Смета Внутр'!B215</f>
        <v>Материалы</v>
      </c>
      <c r="C216" s="2894"/>
      <c r="D216" s="2894"/>
      <c r="E216" s="2894"/>
      <c r="F216" s="2893" t="n">
        <f aca="false">'Смета Внутр'!H215</f>
        <v>0</v>
      </c>
    </row>
    <row r="217" customFormat="false" ht="14.5" hidden="false" customHeight="false" outlineLevel="0" collapsed="false">
      <c r="B217" s="2888" t="str">
        <f aca="false">'Смета Внутр'!B216</f>
        <v>Экскаватор погрузчик, бурение</v>
      </c>
      <c r="C217" s="2889" t="str">
        <f aca="false">'Смета Внутр'!C216</f>
        <v>шт</v>
      </c>
      <c r="D217" s="2890" t="n">
        <f aca="false">'Смета Внутр'!D216</f>
        <v>82.5</v>
      </c>
      <c r="E217" s="2888"/>
      <c r="F217" s="2895" t="n">
        <f aca="false">'Смета Внутр'!H216</f>
        <v>0</v>
      </c>
    </row>
    <row r="218" customFormat="false" ht="14.5" hidden="false" customHeight="false" outlineLevel="0" collapsed="false">
      <c r="B218" s="2888" t="str">
        <f aca="false">'Смета Внутр'!B217</f>
        <v>Бетон, м300</v>
      </c>
      <c r="C218" s="2889" t="str">
        <f aca="false">'Смета Внутр'!C217</f>
        <v>м3</v>
      </c>
      <c r="D218" s="2890" t="n">
        <f aca="false">'Смета Внутр'!D217</f>
        <v>5.828625</v>
      </c>
      <c r="E218" s="2888"/>
      <c r="F218" s="2895" t="n">
        <f aca="false">'Смета Внутр'!H217</f>
        <v>0</v>
      </c>
    </row>
    <row r="219" customFormat="false" ht="14.5" hidden="false" customHeight="false" outlineLevel="0" collapsed="false">
      <c r="B219" s="2888" t="str">
        <f aca="false">'Смета Внутр'!B218</f>
        <v>Арматурный скелет для свай</v>
      </c>
      <c r="C219" s="2889" t="str">
        <f aca="false">'Смета Внутр'!C218</f>
        <v>м.п.</v>
      </c>
      <c r="D219" s="2890" t="n">
        <f aca="false">'Смета Внутр'!D218</f>
        <v>272.25</v>
      </c>
      <c r="E219" s="2888"/>
      <c r="F219" s="2895" t="n">
        <f aca="false">'Смета Внутр'!H218</f>
        <v>0</v>
      </c>
    </row>
    <row r="220" customFormat="false" ht="14.5" hidden="false" customHeight="false" outlineLevel="0" collapsed="false">
      <c r="B220" s="2888" t="str">
        <f aca="false">'Смета Внутр'!B219</f>
        <v>Сосна влаж,150*40мм</v>
      </c>
      <c r="C220" s="2889" t="str">
        <f aca="false">'Смета Внутр'!C219</f>
        <v>м3</v>
      </c>
      <c r="D220" s="2890" t="n">
        <f aca="false">'Смета Внутр'!D219</f>
        <v>3.84384</v>
      </c>
      <c r="E220" s="2888"/>
      <c r="F220" s="2895" t="n">
        <f aca="false">'Смета Внутр'!H219</f>
        <v>0</v>
      </c>
    </row>
    <row r="221" customFormat="false" ht="14.5" hidden="false" customHeight="false" outlineLevel="0" collapsed="false">
      <c r="B221" s="2888" t="str">
        <f aca="false">'Смета Внутр'!B220</f>
        <v>Пленка гидроизоляционная</v>
      </c>
      <c r="C221" s="2889" t="str">
        <f aca="false">'Смета Внутр'!C220</f>
        <v>м2</v>
      </c>
      <c r="D221" s="2890" t="n">
        <f aca="false">'Смета Внутр'!D220</f>
        <v>96.096</v>
      </c>
      <c r="E221" s="2888"/>
      <c r="F221" s="2895" t="n">
        <f aca="false">'Смета Внутр'!H220</f>
        <v>0</v>
      </c>
    </row>
    <row r="222" customFormat="false" ht="14.5" hidden="false" customHeight="false" outlineLevel="0" collapsed="false">
      <c r="B222" s="2888" t="str">
        <f aca="false">'Смета Внутр'!B221</f>
        <v>Арматура стальная Ø 8</v>
      </c>
      <c r="C222" s="2889" t="str">
        <f aca="false">'Смета Внутр'!C221</f>
        <v>м.п</v>
      </c>
      <c r="D222" s="2890" t="n">
        <f aca="false">'Смета Внутр'!D221</f>
        <v>443.52</v>
      </c>
      <c r="E222" s="2888"/>
      <c r="F222" s="2895" t="n">
        <f aca="false">'Смета Внутр'!H221</f>
        <v>0</v>
      </c>
    </row>
    <row r="223" customFormat="false" ht="14.5" hidden="false" customHeight="false" outlineLevel="0" collapsed="false">
      <c r="B223" s="2888" t="str">
        <f aca="false">'Смета Внутр'!B222</f>
        <v>Арматура стальная Ø 6</v>
      </c>
      <c r="C223" s="2889" t="str">
        <f aca="false">'Смета Внутр'!C222</f>
        <v>м.п</v>
      </c>
      <c r="D223" s="2890" t="n">
        <f aca="false">'Смета Внутр'!D222</f>
        <v>304.92</v>
      </c>
      <c r="E223" s="2888"/>
      <c r="F223" s="2895" t="n">
        <f aca="false">'Смета Внутр'!H222</f>
        <v>0</v>
      </c>
    </row>
    <row r="224" customFormat="false" ht="14.5" hidden="false" customHeight="false" outlineLevel="0" collapsed="false">
      <c r="B224" s="2888" t="str">
        <f aca="false">'Смета Внутр'!B223</f>
        <v>Вязальная проволока</v>
      </c>
      <c r="C224" s="2889" t="str">
        <f aca="false">'Смета Внутр'!C223</f>
        <v>кг</v>
      </c>
      <c r="D224" s="2890" t="n">
        <f aca="false">'Смета Внутр'!D223</f>
        <v>16.46568</v>
      </c>
      <c r="E224" s="2888"/>
      <c r="F224" s="2895" t="n">
        <f aca="false">'Смета Внутр'!H223</f>
        <v>0</v>
      </c>
    </row>
    <row r="225" customFormat="false" ht="14.5" hidden="false" customHeight="false" outlineLevel="0" collapsed="false">
      <c r="B225" s="2888" t="str">
        <f aca="false">'Смета Внутр'!B224</f>
        <v>Гвозди строительные 3,5 x 90</v>
      </c>
      <c r="C225" s="2889" t="str">
        <f aca="false">'Смета Внутр'!C224</f>
        <v>кг</v>
      </c>
      <c r="D225" s="2890" t="n">
        <f aca="false">'Смета Внутр'!D224</f>
        <v>21.14112</v>
      </c>
      <c r="E225" s="2888"/>
      <c r="F225" s="2895" t="n">
        <f aca="false">'Смета Внутр'!H224</f>
        <v>0</v>
      </c>
    </row>
    <row r="226" customFormat="false" ht="14.5" hidden="false" customHeight="false" outlineLevel="0" collapsed="false">
      <c r="B226" s="2888" t="str">
        <f aca="false">'Смета Внутр'!B225</f>
        <v>Гидроизол</v>
      </c>
      <c r="C226" s="2889" t="str">
        <f aca="false">'Смета Внутр'!C225</f>
        <v>м2</v>
      </c>
      <c r="D226" s="2890" t="n">
        <f aca="false">'Смета Внутр'!D225</f>
        <v>18.48</v>
      </c>
      <c r="E226" s="2888"/>
      <c r="F226" s="2895" t="n">
        <f aca="false">'Смета Внутр'!H225</f>
        <v>0</v>
      </c>
    </row>
    <row r="227" customFormat="false" ht="14.5" hidden="false" customHeight="false" outlineLevel="0" collapsed="false">
      <c r="B227" s="2888" t="str">
        <f aca="false">'Смета Внутр'!B226</f>
        <v>ПГС, машина 13м3</v>
      </c>
      <c r="C227" s="2889" t="str">
        <f aca="false">'Смета Внутр'!C226</f>
        <v>маш</v>
      </c>
      <c r="D227" s="2890" t="n">
        <f aca="false">'Смета Внутр'!D226</f>
        <v>0.616</v>
      </c>
      <c r="E227" s="2888"/>
      <c r="F227" s="2895" t="n">
        <f aca="false">'Смета Внутр'!H226</f>
        <v>0</v>
      </c>
    </row>
    <row r="228" customFormat="false" ht="14.5" hidden="false" customHeight="false" outlineLevel="0" collapsed="false">
      <c r="B228" s="2888" t="str">
        <f aca="false">'Смета Внутр'!B227</f>
        <v>Бетон, м250</v>
      </c>
      <c r="C228" s="2889" t="str">
        <f aca="false">'Смета Внутр'!C227</f>
        <v>м3</v>
      </c>
      <c r="D228" s="2890" t="n">
        <f aca="false">'Смета Внутр'!D227</f>
        <v>11.088</v>
      </c>
      <c r="E228" s="2888"/>
      <c r="F228" s="2895" t="n">
        <f aca="false">'Смета Внутр'!H227</f>
        <v>0</v>
      </c>
    </row>
    <row r="229" customFormat="false" ht="14.5" hidden="false" customHeight="false" outlineLevel="0" collapsed="false">
      <c r="B229" s="2888" t="str">
        <f aca="false">'Смета Внутр'!B228</f>
        <v>Нет</v>
      </c>
      <c r="C229" s="2889" t="str">
        <f aca="false">'Смета Внутр'!C228</f>
        <v>м3</v>
      </c>
      <c r="D229" s="2890" t="n">
        <f aca="false">'Смета Внутр'!D228</f>
        <v>0</v>
      </c>
      <c r="E229" s="2888"/>
      <c r="F229" s="2895" t="n">
        <f aca="false">'Смета Внутр'!H228</f>
        <v>0</v>
      </c>
    </row>
    <row r="230" customFormat="false" ht="14.5" hidden="false" customHeight="false" outlineLevel="0" collapsed="false">
      <c r="B230" s="2888" t="str">
        <f aca="false">'Смета Внутр'!B229</f>
        <v>Грибок для крепления утеплителя</v>
      </c>
      <c r="C230" s="2889" t="str">
        <f aca="false">'Смета Внутр'!C229</f>
        <v>шт</v>
      </c>
      <c r="D230" s="2890" t="n">
        <f aca="false">'Смета Внутр'!D229</f>
        <v>0</v>
      </c>
      <c r="E230" s="2888"/>
      <c r="F230" s="2895" t="n">
        <f aca="false">'Смета Внутр'!H229</f>
        <v>0</v>
      </c>
    </row>
    <row r="231" customFormat="false" ht="14.5" hidden="false" customHeight="false" outlineLevel="0" collapsed="false">
      <c r="B231" s="2888" t="str">
        <f aca="false">'Смета Внутр'!B230</f>
        <v>Нет</v>
      </c>
      <c r="C231" s="2889" t="str">
        <f aca="false">'Смета Внутр'!C230</f>
        <v>м3</v>
      </c>
      <c r="D231" s="2890" t="n">
        <f aca="false">'Смета Внутр'!D230</f>
        <v>0</v>
      </c>
      <c r="E231" s="2888"/>
      <c r="F231" s="2895" t="n">
        <f aca="false">'Смета Внутр'!H230</f>
        <v>0</v>
      </c>
    </row>
    <row r="232" customFormat="false" ht="14.5" hidden="false" customHeight="false" outlineLevel="0" collapsed="false">
      <c r="B232" s="2888" t="str">
        <f aca="false">'Смета Внутр'!B231</f>
        <v>ПГС, машина 5м3</v>
      </c>
      <c r="C232" s="2889" t="str">
        <f aca="false">'Смета Внутр'!C231</f>
        <v>маш</v>
      </c>
      <c r="D232" s="2890" t="n">
        <f aca="false">'Смета Внутр'!D231</f>
        <v>0</v>
      </c>
      <c r="E232" s="2888"/>
      <c r="F232" s="2895" t="n">
        <f aca="false">'Смета Внутр'!H231</f>
        <v>0</v>
      </c>
    </row>
    <row r="233" customFormat="false" ht="14.5" hidden="false" customHeight="false" outlineLevel="0" collapsed="false">
      <c r="B233" s="2888" t="str">
        <f aca="false">'Смета Внутр'!B232</f>
        <v>Кладочная сетка, 100*100/150*150/200*200мм</v>
      </c>
      <c r="C233" s="2889" t="str">
        <f aca="false">'Смета Внутр'!C232</f>
        <v>м2</v>
      </c>
      <c r="D233" s="2890" t="n">
        <f aca="false">'Смета Внутр'!D232</f>
        <v>0</v>
      </c>
      <c r="E233" s="2888"/>
      <c r="F233" s="2895" t="n">
        <f aca="false">'Смета Внутр'!H232</f>
        <v>0</v>
      </c>
    </row>
    <row r="234" customFormat="false" ht="14.5" hidden="false" customHeight="false" outlineLevel="0" collapsed="false">
      <c r="B234" s="2888" t="str">
        <f aca="false">'Смета Внутр'!B233</f>
        <v>Бетон, м200</v>
      </c>
      <c r="C234" s="2889" t="str">
        <f aca="false">'Смета Внутр'!C233</f>
        <v>м3</v>
      </c>
      <c r="D234" s="2890" t="n">
        <f aca="false">'Смета Внутр'!D233</f>
        <v>0</v>
      </c>
      <c r="E234" s="2888"/>
      <c r="F234" s="2895" t="n">
        <f aca="false">'Смета Внутр'!H233</f>
        <v>0</v>
      </c>
    </row>
    <row r="235" customFormat="false" ht="14.5" hidden="false" customHeight="false" outlineLevel="0" collapsed="false">
      <c r="B235" s="2888" t="str">
        <f aca="false">'Смета Внутр'!B234</f>
        <v>Труба теплого пола 3</v>
      </c>
      <c r="C235" s="2889" t="str">
        <f aca="false">'Смета Внутр'!C234</f>
        <v>м.п</v>
      </c>
      <c r="D235" s="2890" t="n">
        <f aca="false">'Смета Внутр'!D234</f>
        <v>308</v>
      </c>
      <c r="E235" s="2888"/>
      <c r="F235" s="2895"/>
    </row>
    <row r="236" customFormat="false" ht="14.5" hidden="false" customHeight="false" outlineLevel="0" collapsed="false">
      <c r="B236" s="2888" t="str">
        <f aca="false">'Смета Внутр'!B235</f>
        <v>Коллектор 1</v>
      </c>
      <c r="C236" s="2889" t="str">
        <f aca="false">'Смета Внутр'!C235</f>
        <v>шт</v>
      </c>
      <c r="D236" s="2890" t="n">
        <f aca="false">'Смета Внутр'!D235</f>
        <v>1.1</v>
      </c>
      <c r="E236" s="2888"/>
      <c r="F236" s="2895"/>
    </row>
    <row r="237" customFormat="false" ht="14.5" hidden="false" customHeight="false" outlineLevel="0" collapsed="false">
      <c r="B237" s="2896" t="str">
        <f aca="false">'Смета Внутр'!B236</f>
        <v>Итого материалы</v>
      </c>
      <c r="C237" s="2896"/>
      <c r="D237" s="2896"/>
      <c r="E237" s="2896"/>
      <c r="F237" s="2897" t="n">
        <f aca="false">'Смета Внутр'!G236</f>
        <v>0</v>
      </c>
    </row>
    <row r="238" customFormat="false" ht="14.5" hidden="false" customHeight="false" outlineLevel="0" collapsed="false">
      <c r="B238" s="2898" t="str">
        <f aca="false">'Смета Внутр'!B237</f>
        <v>Работы</v>
      </c>
      <c r="C238" s="2898"/>
      <c r="D238" s="2898"/>
      <c r="E238" s="2898"/>
      <c r="F238" s="2893" t="n">
        <f aca="false">'Смета Внутр'!H237</f>
        <v>0</v>
      </c>
    </row>
    <row r="239" customFormat="false" ht="14.5" hidden="false" customHeight="false" outlineLevel="0" collapsed="false">
      <c r="B239" s="2888" t="str">
        <f aca="false">'Смета Внутр'!B238</f>
        <v>приемка бетона</v>
      </c>
      <c r="C239" s="2889" t="str">
        <f aca="false">'Смета Внутр'!C238</f>
        <v>м3</v>
      </c>
      <c r="D239" s="2890" t="n">
        <f aca="false">'Смета Внутр'!D238</f>
        <v>5.5636875</v>
      </c>
      <c r="E239" s="2888"/>
      <c r="F239" s="2895" t="n">
        <f aca="false">'Смета Внутр'!H238</f>
        <v>0</v>
      </c>
    </row>
    <row r="240" customFormat="false" ht="14.5" hidden="false" customHeight="false" outlineLevel="0" collapsed="false">
      <c r="B240" s="2888" t="str">
        <f aca="false">'Смета Внутр'!B239</f>
        <v>армирование свай скелет из арматуры</v>
      </c>
      <c r="C240" s="2889" t="str">
        <f aca="false">'Смета Внутр'!C239</f>
        <v>м.п.</v>
      </c>
      <c r="D240" s="2890" t="n">
        <f aca="false">'Смета Внутр'!D239</f>
        <v>78.75</v>
      </c>
      <c r="E240" s="2888"/>
      <c r="F240" s="2895" t="n">
        <f aca="false">'Смета Внутр'!H239</f>
        <v>0</v>
      </c>
    </row>
    <row r="241" customFormat="false" ht="14.5" hidden="false" customHeight="false" outlineLevel="0" collapsed="false">
      <c r="B241" s="2888" t="str">
        <f aca="false">'Смета Внутр'!B240</f>
        <v>разбивка осей</v>
      </c>
      <c r="C241" s="2889" t="str">
        <f aca="false">'Смета Внутр'!C240</f>
        <v>шт</v>
      </c>
      <c r="D241" s="2890" t="n">
        <f aca="false">'Смета Внутр'!D240</f>
        <v>1.05</v>
      </c>
      <c r="E241" s="2888"/>
      <c r="F241" s="2895" t="n">
        <f aca="false">'Смета Внутр'!H240</f>
        <v>0</v>
      </c>
    </row>
    <row r="242" customFormat="false" ht="14.5" hidden="false" customHeight="false" outlineLevel="0" collapsed="false">
      <c r="B242" s="2888" t="str">
        <f aca="false">'Смета Внутр'!B241</f>
        <v>сборка опалубки</v>
      </c>
      <c r="C242" s="2889" t="str">
        <f aca="false">'Смета Внутр'!C241</f>
        <v>м2</v>
      </c>
      <c r="D242" s="2890" t="n">
        <f aca="false">'Смета Внутр'!D241</f>
        <v>70.56</v>
      </c>
      <c r="E242" s="2888"/>
      <c r="F242" s="2895" t="n">
        <f aca="false">'Смета Внутр'!H241</f>
        <v>0</v>
      </c>
    </row>
    <row r="243" customFormat="false" ht="14.5" hidden="false" customHeight="false" outlineLevel="0" collapsed="false">
      <c r="B243" s="2888" t="str">
        <f aca="false">'Смета Внутр'!B242</f>
        <v>разборка опалубки</v>
      </c>
      <c r="C243" s="2889" t="str">
        <f aca="false">'Смета Внутр'!C242</f>
        <v>м2</v>
      </c>
      <c r="D243" s="2890" t="n">
        <f aca="false">'Смета Внутр'!D242</f>
        <v>74.088</v>
      </c>
      <c r="E243" s="2888"/>
      <c r="F243" s="2895" t="n">
        <f aca="false">'Смета Внутр'!H242</f>
        <v>0</v>
      </c>
    </row>
    <row r="244" customFormat="false" ht="14.5" hidden="false" customHeight="false" outlineLevel="0" collapsed="false">
      <c r="B244" s="2888" t="str">
        <f aca="false">'Смета Внутр'!B243</f>
        <v>настил пленки</v>
      </c>
      <c r="C244" s="2889" t="str">
        <f aca="false">'Смета Внутр'!C243</f>
        <v>м2</v>
      </c>
      <c r="D244" s="2890" t="n">
        <f aca="false">'Смета Внутр'!D243</f>
        <v>77.7924</v>
      </c>
      <c r="E244" s="2888"/>
      <c r="F244" s="2895" t="n">
        <f aca="false">'Смета Внутр'!H243</f>
        <v>0</v>
      </c>
    </row>
    <row r="245" customFormat="false" ht="14.5" hidden="false" customHeight="false" outlineLevel="0" collapsed="false">
      <c r="B245" s="2888" t="str">
        <f aca="false">'Смета Внутр'!B244</f>
        <v>армирование</v>
      </c>
      <c r="C245" s="2889" t="str">
        <f aca="false">'Смета Внутр'!C244</f>
        <v>м.п</v>
      </c>
      <c r="D245" s="2890" t="n">
        <f aca="false">'Смета Внутр'!D244</f>
        <v>423.36</v>
      </c>
      <c r="E245" s="2888"/>
      <c r="F245" s="2895" t="n">
        <f aca="false">'Смета Внутр'!H244</f>
        <v>0</v>
      </c>
    </row>
    <row r="246" customFormat="false" ht="14.5" hidden="false" customHeight="false" outlineLevel="0" collapsed="false">
      <c r="B246" s="2888" t="str">
        <f aca="false">'Смета Внутр'!B245</f>
        <v>армирование</v>
      </c>
      <c r="C246" s="2889" t="str">
        <f aca="false">'Смета Внутр'!C245</f>
        <v>м.п.</v>
      </c>
      <c r="D246" s="2890" t="n">
        <f aca="false">'Смета Внутр'!D245</f>
        <v>194.04</v>
      </c>
      <c r="E246" s="2888"/>
      <c r="F246" s="2895" t="n">
        <f aca="false">'Смета Внутр'!H245</f>
        <v>0</v>
      </c>
    </row>
    <row r="247" customFormat="false" ht="14.5" hidden="false" customHeight="false" outlineLevel="0" collapsed="false">
      <c r="B247" s="2888" t="str">
        <f aca="false">'Смета Внутр'!B246</f>
        <v>настил гидроизола</v>
      </c>
      <c r="C247" s="2889" t="str">
        <f aca="false">'Смета Внутр'!C246</f>
        <v>м2</v>
      </c>
      <c r="D247" s="2890" t="n">
        <f aca="false">'Смета Внутр'!D246</f>
        <v>17.64</v>
      </c>
      <c r="E247" s="2888"/>
      <c r="F247" s="2895" t="n">
        <f aca="false">'Смета Внутр'!H246</f>
        <v>0</v>
      </c>
    </row>
    <row r="248" customFormat="false" ht="14.5" hidden="false" customHeight="false" outlineLevel="0" collapsed="false">
      <c r="B248" s="2888" t="str">
        <f aca="false">'Смета Внутр'!B247</f>
        <v>трамбовка</v>
      </c>
      <c r="C248" s="2889" t="str">
        <f aca="false">'Смета Внутр'!C247</f>
        <v>м2</v>
      </c>
      <c r="D248" s="2890" t="n">
        <f aca="false">'Смета Внутр'!D247</f>
        <v>18.522</v>
      </c>
      <c r="E248" s="2888"/>
      <c r="F248" s="2895" t="n">
        <f aca="false">'Смета Внутр'!H247</f>
        <v>0</v>
      </c>
    </row>
    <row r="249" customFormat="false" ht="14.5" hidden="false" customHeight="false" outlineLevel="0" collapsed="false">
      <c r="B249" s="2888" t="str">
        <f aca="false">'Смета Внутр'!B248</f>
        <v>приемка бетона</v>
      </c>
      <c r="C249" s="2889" t="str">
        <f aca="false">'Смета Внутр'!C248</f>
        <v>м3</v>
      </c>
      <c r="D249" s="2890" t="n">
        <f aca="false">'Смета Внутр'!D248</f>
        <v>10.584</v>
      </c>
      <c r="E249" s="2888"/>
      <c r="F249" s="2895" t="n">
        <f aca="false">'Смета Внутр'!H248</f>
        <v>0</v>
      </c>
    </row>
    <row r="250" customFormat="false" ht="14.5" hidden="false" customHeight="false" outlineLevel="0" collapsed="false">
      <c r="B250" s="2888" t="str">
        <f aca="false">'Смета Внутр'!B249</f>
        <v>утепление фундамента</v>
      </c>
      <c r="C250" s="2889" t="str">
        <f aca="false">'Смета Внутр'!C249</f>
        <v>м2</v>
      </c>
      <c r="D250" s="2890" t="n">
        <f aca="false">'Смета Внутр'!D249</f>
        <v>0</v>
      </c>
      <c r="E250" s="2888"/>
      <c r="F250" s="2895" t="n">
        <f aca="false">'Смета Внутр'!H249</f>
        <v>0</v>
      </c>
    </row>
    <row r="251" customFormat="false" ht="14.5" hidden="false" customHeight="false" outlineLevel="0" collapsed="false">
      <c r="B251" s="2888" t="str">
        <f aca="false">'Смета Внутр'!B250</f>
        <v>утепление отмостки</v>
      </c>
      <c r="C251" s="2889" t="str">
        <f aca="false">'Смета Внутр'!C250</f>
        <v>м2</v>
      </c>
      <c r="D251" s="2890" t="n">
        <f aca="false">'Смета Внутр'!D250</f>
        <v>0</v>
      </c>
      <c r="E251" s="2888"/>
      <c r="F251" s="2895" t="n">
        <f aca="false">'Смета Внутр'!H250</f>
        <v>0</v>
      </c>
    </row>
    <row r="252" customFormat="false" ht="14.5" hidden="false" customHeight="false" outlineLevel="0" collapsed="false">
      <c r="B252" s="2888" t="str">
        <f aca="false">'Смета Внутр'!B251</f>
        <v>трамбовка пгс</v>
      </c>
      <c r="C252" s="2889" t="str">
        <f aca="false">'Смета Внутр'!C251</f>
        <v>м2</v>
      </c>
      <c r="D252" s="2890" t="n">
        <f aca="false">'Смета Внутр'!D251</f>
        <v>0</v>
      </c>
      <c r="E252" s="2888"/>
      <c r="F252" s="2895" t="n">
        <f aca="false">'Смета Внутр'!H251</f>
        <v>0</v>
      </c>
    </row>
    <row r="253" customFormat="false" ht="14.5" hidden="false" customHeight="false" outlineLevel="0" collapsed="false">
      <c r="B253" s="2888" t="str">
        <f aca="false">'Смета Внутр'!B252</f>
        <v>кладка сетки</v>
      </c>
      <c r="C253" s="2889" t="str">
        <f aca="false">'Смета Внутр'!C252</f>
        <v>м2</v>
      </c>
      <c r="D253" s="2890" t="n">
        <f aca="false">'Смета Внутр'!D252</f>
        <v>0</v>
      </c>
      <c r="E253" s="2888"/>
      <c r="F253" s="2895" t="n">
        <f aca="false">'Смета Внутр'!H252</f>
        <v>0</v>
      </c>
    </row>
    <row r="254" customFormat="false" ht="14.5" hidden="false" customHeight="false" outlineLevel="0" collapsed="false">
      <c r="B254" s="2888" t="str">
        <f aca="false">'Смета Внутр'!B253</f>
        <v>приемка бетона</v>
      </c>
      <c r="C254" s="2889" t="str">
        <f aca="false">'Смета Внутр'!C253</f>
        <v>м2</v>
      </c>
      <c r="D254" s="2890" t="n">
        <f aca="false">'Смета Внутр'!D253</f>
        <v>0</v>
      </c>
      <c r="E254" s="2888"/>
      <c r="F254" s="2895" t="n">
        <f aca="false">'Смета Внутр'!H253</f>
        <v>0</v>
      </c>
    </row>
    <row r="255" customFormat="false" ht="14.5" hidden="false" customHeight="false" outlineLevel="0" collapsed="false">
      <c r="B255" s="2888" t="str">
        <f aca="false">'Смета Внутр'!B254</f>
        <v>укладка теп. Пола</v>
      </c>
      <c r="C255" s="2889" t="str">
        <f aca="false">'Смета Внутр'!C254</f>
        <v>м2</v>
      </c>
      <c r="D255" s="2890" t="n">
        <f aca="false">'Смета Внутр'!D254</f>
        <v>105</v>
      </c>
      <c r="E255" s="2888"/>
      <c r="F255" s="2895"/>
    </row>
    <row r="256" customFormat="false" ht="14.5" hidden="false" customHeight="false" outlineLevel="0" collapsed="false">
      <c r="B256" s="2896" t="str">
        <f aca="false">'Смета Внутр'!B255</f>
        <v>Итого работы</v>
      </c>
      <c r="C256" s="2896"/>
      <c r="D256" s="2896"/>
      <c r="E256" s="2896"/>
      <c r="F256" s="2897" t="n">
        <f aca="false">'Смета Внутр'!G255</f>
        <v>0</v>
      </c>
    </row>
    <row r="257" customFormat="false" ht="18.5" hidden="false" customHeight="false" outlineLevel="0" collapsed="false">
      <c r="B257" s="2899" t="str">
        <f aca="false">'Смета Внутр'!B256</f>
        <v>Плита УШП, технология Дороселл / Монолитная плита</v>
      </c>
      <c r="C257" s="2899"/>
      <c r="D257" s="2899"/>
      <c r="E257" s="2899"/>
      <c r="F257" s="2893" t="n">
        <f aca="false">'Смета Внутр'!H256</f>
        <v>0</v>
      </c>
    </row>
    <row r="258" customFormat="false" ht="14.5" hidden="false" customHeight="false" outlineLevel="0" collapsed="false">
      <c r="B258" s="2894" t="str">
        <f aca="false">'Смета Внутр'!B257</f>
        <v>Материалы</v>
      </c>
      <c r="C258" s="2894"/>
      <c r="D258" s="2894"/>
      <c r="E258" s="2894"/>
      <c r="F258" s="2893" t="n">
        <f aca="false">'Смета Внутр'!H257</f>
        <v>0</v>
      </c>
    </row>
    <row r="259" customFormat="false" ht="14.5" hidden="false" customHeight="false" outlineLevel="0" collapsed="false">
      <c r="B259" s="2888" t="str">
        <f aca="false">'Смета Внутр'!B258</f>
        <v>Скальник, 1 маш 13м3</v>
      </c>
      <c r="C259" s="2889" t="str">
        <f aca="false">'Смета Внутр'!C258</f>
        <v>маш</v>
      </c>
      <c r="D259" s="2890" t="n">
        <f aca="false">'Смета Внутр'!D258</f>
        <v>1.53846153846154</v>
      </c>
      <c r="E259" s="2888"/>
      <c r="F259" s="2895" t="n">
        <f aca="false">'Смета Внутр'!H258</f>
        <v>0</v>
      </c>
    </row>
    <row r="260" customFormat="false" ht="14.5" hidden="false" customHeight="false" outlineLevel="0" collapsed="false">
      <c r="B260" s="2888" t="str">
        <f aca="false">'Смета Внутр'!B259</f>
        <v>ПГС, машина 13м3</v>
      </c>
      <c r="C260" s="2889" t="str">
        <f aca="false">'Смета Внутр'!C259</f>
        <v>маш</v>
      </c>
      <c r="D260" s="2890" t="n">
        <f aca="false">'Смета Внутр'!D259</f>
        <v>1.53846153846154</v>
      </c>
      <c r="E260" s="2888"/>
      <c r="F260" s="2895" t="n">
        <f aca="false">'Смета Внутр'!H259</f>
        <v>0</v>
      </c>
    </row>
    <row r="261" customFormat="false" ht="14.5" hidden="false" customHeight="false" outlineLevel="0" collapsed="false">
      <c r="B261" s="2888" t="str">
        <f aca="false">'Смета Внутр'!B260</f>
        <v>Песок, машина 13м3</v>
      </c>
      <c r="C261" s="2889" t="str">
        <f aca="false">'Смета Внутр'!C260</f>
        <v>маш</v>
      </c>
      <c r="D261" s="2890" t="n">
        <f aca="false">'Смета Внутр'!D260</f>
        <v>0.769230769230769</v>
      </c>
      <c r="E261" s="2888"/>
      <c r="F261" s="2895" t="n">
        <f aca="false">'Смета Внутр'!H260</f>
        <v>0</v>
      </c>
    </row>
    <row r="262" customFormat="false" ht="14.5" hidden="false" customHeight="false" outlineLevel="0" collapsed="false">
      <c r="B262" s="2888" t="str">
        <f aca="false">'Смета Внутр'!B261</f>
        <v>Сосна влаж,180*40мм</v>
      </c>
      <c r="C262" s="2889" t="str">
        <f aca="false">'Смета Внутр'!C261</f>
        <v>м3</v>
      </c>
      <c r="D262" s="2890" t="n">
        <f aca="false">'Смета Внутр'!D261</f>
        <v>0</v>
      </c>
      <c r="E262" s="2888"/>
      <c r="F262" s="2895" t="n">
        <f aca="false">'Смета Внутр'!H261</f>
        <v>0</v>
      </c>
    </row>
    <row r="263" customFormat="false" ht="14.5" hidden="false" customHeight="false" outlineLevel="0" collapsed="false">
      <c r="B263" s="2888" t="str">
        <f aca="false">'Смета Внутр'!B262</f>
        <v>Нет утеплителя</v>
      </c>
      <c r="C263" s="2889" t="str">
        <f aca="false">'Смета Внутр'!C262</f>
        <v>м3</v>
      </c>
      <c r="D263" s="2890" t="n">
        <f aca="false">'Смета Внутр'!D262</f>
        <v>0</v>
      </c>
      <c r="E263" s="2888"/>
      <c r="F263" s="2895" t="n">
        <f aca="false">'Смета Внутр'!H262</f>
        <v>0</v>
      </c>
    </row>
    <row r="264" customFormat="false" ht="14.5" hidden="false" customHeight="false" outlineLevel="0" collapsed="false">
      <c r="B264" s="2888" t="str">
        <f aca="false">'Смета Внутр'!B263</f>
        <v>Нет утеплителя</v>
      </c>
      <c r="C264" s="2889" t="str">
        <f aca="false">'Смета Внутр'!C263</f>
        <v>м3</v>
      </c>
      <c r="D264" s="2890" t="n">
        <f aca="false">'Смета Внутр'!D263</f>
        <v>0</v>
      </c>
      <c r="E264" s="2888"/>
      <c r="F264" s="2895" t="n">
        <f aca="false">'Смета Внутр'!H263</f>
        <v>0</v>
      </c>
    </row>
    <row r="265" customFormat="false" ht="14.5" hidden="false" customHeight="false" outlineLevel="0" collapsed="false">
      <c r="B265" s="2888" t="str">
        <f aca="false">'Смета Внутр'!B264</f>
        <v>Пленка гидроизоляционная</v>
      </c>
      <c r="C265" s="2889" t="str">
        <f aca="false">'Смета Внутр'!C264</f>
        <v>м2</v>
      </c>
      <c r="D265" s="2890" t="n">
        <f aca="false">'Смета Внутр'!D264</f>
        <v>130</v>
      </c>
      <c r="E265" s="2888"/>
      <c r="F265" s="2895" t="n">
        <f aca="false">'Смета Внутр'!H264</f>
        <v>0</v>
      </c>
    </row>
    <row r="266" customFormat="false" ht="14.5" hidden="false" customHeight="false" outlineLevel="0" collapsed="false">
      <c r="B266" s="2888" t="str">
        <f aca="false">'Смета Внутр'!B265</f>
        <v>Кладочная сетка, 100*100/150*150/200*200мм</v>
      </c>
      <c r="C266" s="2889" t="str">
        <f aca="false">'Смета Внутр'!C265</f>
        <v>м2</v>
      </c>
      <c r="D266" s="2890" t="n">
        <f aca="false">'Смета Внутр'!D265</f>
        <v>100</v>
      </c>
      <c r="E266" s="2888"/>
      <c r="F266" s="2895" t="n">
        <f aca="false">'Смета Внутр'!H265</f>
        <v>0</v>
      </c>
    </row>
    <row r="267" customFormat="false" ht="14.5" hidden="false" customHeight="false" outlineLevel="0" collapsed="false">
      <c r="B267" s="2888" t="str">
        <f aca="false">'Смета Внутр'!B266</f>
        <v>Стяжки пластиковые</v>
      </c>
      <c r="C267" s="2889" t="str">
        <f aca="false">'Смета Внутр'!C266</f>
        <v>шт</v>
      </c>
      <c r="D267" s="2890" t="n">
        <f aca="false">'Смета Внутр'!D266</f>
        <v>1140</v>
      </c>
      <c r="E267" s="2888"/>
      <c r="F267" s="2895" t="n">
        <f aca="false">'Смета Внутр'!H266</f>
        <v>0</v>
      </c>
    </row>
    <row r="268" customFormat="false" ht="14.5" hidden="false" customHeight="false" outlineLevel="0" collapsed="false">
      <c r="B268" s="2888" t="str">
        <f aca="false">'Смета Внутр'!B267</f>
        <v>Бетон, м350</v>
      </c>
      <c r="C268" s="2889" t="str">
        <f aca="false">'Смета Внутр'!C267</f>
        <v>м3</v>
      </c>
      <c r="D268" s="2890" t="n">
        <f aca="false">'Смета Внутр'!D267</f>
        <v>0</v>
      </c>
      <c r="E268" s="2888"/>
      <c r="F268" s="2895" t="n">
        <f aca="false">'Смета Внутр'!H267</f>
        <v>0</v>
      </c>
    </row>
    <row r="269" customFormat="false" ht="14.5" hidden="false" customHeight="false" outlineLevel="0" collapsed="false">
      <c r="B269" s="2888" t="str">
        <f aca="false">'Смета Внутр'!B268</f>
        <v>Бетон, м250</v>
      </c>
      <c r="C269" s="2889" t="str">
        <f aca="false">'Смета Внутр'!C268</f>
        <v>м3</v>
      </c>
      <c r="D269" s="2890" t="n">
        <f aca="false">'Смета Внутр'!D268</f>
        <v>0</v>
      </c>
      <c r="E269" s="2888"/>
      <c r="F269" s="2895" t="n">
        <f aca="false">'Смета Внутр'!H268</f>
        <v>0</v>
      </c>
    </row>
    <row r="270" customFormat="false" ht="14.5" hidden="false" customHeight="false" outlineLevel="0" collapsed="false">
      <c r="B270" s="2888" t="str">
        <f aca="false">'Смета Внутр'!B269</f>
        <v>Труба теплого пола 3</v>
      </c>
      <c r="C270" s="2889" t="str">
        <f aca="false">'Смета Внутр'!C269</f>
        <v>м.п</v>
      </c>
      <c r="D270" s="2890" t="n">
        <f aca="false">'Смета Внутр'!D269</f>
        <v>280</v>
      </c>
      <c r="E270" s="2888"/>
      <c r="F270" s="2895" t="n">
        <f aca="false">'Смета Внутр'!H269</f>
        <v>0</v>
      </c>
    </row>
    <row r="271" customFormat="false" ht="14.5" hidden="false" customHeight="false" outlineLevel="0" collapsed="false">
      <c r="B271" s="2888" t="str">
        <f aca="false">'Смета Внутр'!B270</f>
        <v>Коллектор 1</v>
      </c>
      <c r="C271" s="2889" t="str">
        <f aca="false">'Смета Внутр'!C270</f>
        <v>шт</v>
      </c>
      <c r="D271" s="2890" t="n">
        <f aca="false">'Смета Внутр'!D270</f>
        <v>1</v>
      </c>
      <c r="E271" s="2888"/>
      <c r="F271" s="2895" t="n">
        <f aca="false">'Смета Внутр'!H270</f>
        <v>0</v>
      </c>
    </row>
    <row r="272" customFormat="false" ht="14.5" hidden="false" customHeight="false" outlineLevel="0" collapsed="false">
      <c r="B272" s="2888" t="str">
        <f aca="false">'Смета Внутр'!B271</f>
        <v>Нет арматуры</v>
      </c>
      <c r="C272" s="2889" t="str">
        <f aca="false">'Смета Внутр'!C271</f>
        <v>м.п.</v>
      </c>
      <c r="D272" s="2890" t="n">
        <f aca="false">'Смета Внутр'!D271</f>
        <v>246.4</v>
      </c>
      <c r="E272" s="2888"/>
      <c r="F272" s="2895" t="n">
        <f aca="false">'Смета Внутр'!H271</f>
        <v>0</v>
      </c>
    </row>
    <row r="273" customFormat="false" ht="14.5" hidden="false" customHeight="false" outlineLevel="0" collapsed="false">
      <c r="B273" s="2888" t="str">
        <f aca="false">'Смета Внутр'!B272</f>
        <v>Нет арматуры</v>
      </c>
      <c r="C273" s="2889" t="str">
        <f aca="false">'Смета Внутр'!C272</f>
        <v>м.п.</v>
      </c>
      <c r="D273" s="2890" t="n">
        <f aca="false">'Смета Внутр'!D272</f>
        <v>1000</v>
      </c>
      <c r="E273" s="2888"/>
      <c r="F273" s="2895" t="n">
        <f aca="false">'Смета Внутр'!H272</f>
        <v>0</v>
      </c>
    </row>
    <row r="274" customFormat="false" ht="14.5" hidden="false" customHeight="false" outlineLevel="0" collapsed="false">
      <c r="B274" s="2888" t="str">
        <f aca="false">'Смета Внутр'!B273</f>
        <v>Нет арматуры</v>
      </c>
      <c r="C274" s="2889" t="str">
        <f aca="false">'Смета Внутр'!C273</f>
        <v>м.п.</v>
      </c>
      <c r="D274" s="2890" t="n">
        <f aca="false">'Смета Внутр'!D273</f>
        <v>0</v>
      </c>
      <c r="E274" s="2888"/>
      <c r="F274" s="2895" t="n">
        <f aca="false">'Смета Внутр'!H273</f>
        <v>0</v>
      </c>
    </row>
    <row r="275" customFormat="false" ht="14.5" hidden="false" customHeight="false" outlineLevel="0" collapsed="false">
      <c r="B275" s="2888" t="str">
        <f aca="false">'Смета Внутр'!B274</f>
        <v>Вязальная проволока</v>
      </c>
      <c r="C275" s="2889" t="str">
        <f aca="false">'Смета Внутр'!C274</f>
        <v>кг</v>
      </c>
      <c r="D275" s="2890" t="n">
        <f aca="false">'Смета Внутр'!D274</f>
        <v>24.928</v>
      </c>
      <c r="E275" s="2888"/>
      <c r="F275" s="2895" t="n">
        <f aca="false">'Смета Внутр'!H274</f>
        <v>0</v>
      </c>
    </row>
    <row r="276" customFormat="false" ht="14.5" hidden="false" customHeight="false" outlineLevel="0" collapsed="false">
      <c r="B276" s="2888" t="str">
        <f aca="false">'Смета Внутр'!B275</f>
        <v>Подставка под арматурный каркас</v>
      </c>
      <c r="C276" s="2889" t="str">
        <f aca="false">'Смета Внутр'!C275</f>
        <v>шт</v>
      </c>
      <c r="D276" s="2890" t="n">
        <f aca="false">'Смета Внутр'!D275</f>
        <v>300</v>
      </c>
      <c r="E276" s="2888"/>
      <c r="F276" s="2895" t="n">
        <f aca="false">'Смета Внутр'!H275</f>
        <v>0</v>
      </c>
    </row>
    <row r="277" customFormat="false" ht="14.5" hidden="false" customHeight="false" outlineLevel="0" collapsed="false">
      <c r="B277" s="2888" t="str">
        <f aca="false">'Смета Внутр'!B276</f>
        <v>Гвозди строительные 3,5 x 90</v>
      </c>
      <c r="C277" s="2889" t="str">
        <f aca="false">'Смета Внутр'!C276</f>
        <v>кг</v>
      </c>
      <c r="D277" s="2890" t="n">
        <f aca="false">'Смета Внутр'!D276</f>
        <v>0</v>
      </c>
      <c r="E277" s="2888"/>
      <c r="F277" s="2895" t="n">
        <f aca="false">'Смета Внутр'!H276</f>
        <v>0</v>
      </c>
    </row>
    <row r="278" customFormat="false" ht="14.5" hidden="false" customHeight="false" outlineLevel="0" collapsed="false">
      <c r="B278" s="2888" t="str">
        <f aca="false">'Смета Внутр'!B277</f>
        <v>Геотекстиль</v>
      </c>
      <c r="C278" s="2889" t="str">
        <f aca="false">'Смета Внутр'!C277</f>
        <v>м2</v>
      </c>
      <c r="D278" s="2890" t="n">
        <f aca="false">'Смета Внутр'!D277</f>
        <v>115</v>
      </c>
      <c r="E278" s="2888"/>
      <c r="F278" s="2895" t="n">
        <f aca="false">'Смета Внутр'!H277</f>
        <v>0</v>
      </c>
    </row>
    <row r="279" customFormat="false" ht="14.5" hidden="false" customHeight="false" outlineLevel="0" collapsed="false">
      <c r="B279" s="2888" t="str">
        <f aca="false">'Смета Внутр'!B278</f>
        <v>Труба гофрированная одностенная d110</v>
      </c>
      <c r="C279" s="2889" t="str">
        <f aca="false">'Смета Внутр'!C278</f>
        <v>м.п.</v>
      </c>
      <c r="D279" s="2890" t="n">
        <f aca="false">'Смета Внутр'!D278</f>
        <v>61</v>
      </c>
      <c r="E279" s="2888"/>
      <c r="F279" s="2895" t="n">
        <f aca="false">'Смета Внутр'!H278</f>
        <v>0</v>
      </c>
    </row>
    <row r="280" customFormat="false" ht="14.5" hidden="false" customHeight="false" outlineLevel="0" collapsed="false">
      <c r="B280" s="2888" t="str">
        <f aca="false">'Смета Внутр'!B279</f>
        <v>Дренажный колодец D300</v>
      </c>
      <c r="C280" s="2889" t="str">
        <f aca="false">'Смета Внутр'!C279</f>
        <v>шт</v>
      </c>
      <c r="D280" s="2890" t="n">
        <f aca="false">'Смета Внутр'!D279</f>
        <v>0</v>
      </c>
      <c r="E280" s="2888"/>
      <c r="F280" s="2895" t="n">
        <f aca="false">'Смета Внутр'!H279</f>
        <v>0</v>
      </c>
    </row>
    <row r="281" customFormat="false" ht="14.5" hidden="false" customHeight="false" outlineLevel="0" collapsed="false">
      <c r="B281" s="2888" t="str">
        <f aca="false">'Смета Внутр'!B280</f>
        <v>Труба канализационная D110</v>
      </c>
      <c r="C281" s="2889" t="str">
        <f aca="false">'Смета Внутр'!C280</f>
        <v>шт</v>
      </c>
      <c r="D281" s="2890" t="n">
        <f aca="false">'Смета Внутр'!D280</f>
        <v>0</v>
      </c>
      <c r="E281" s="2888"/>
      <c r="F281" s="2895" t="n">
        <f aca="false">'Смета Внутр'!H280</f>
        <v>0</v>
      </c>
    </row>
    <row r="282" customFormat="false" ht="14.5" hidden="false" customHeight="false" outlineLevel="0" collapsed="false">
      <c r="B282" s="2896" t="str">
        <f aca="false">'Смета Внутр'!B281</f>
        <v>Итого материалы</v>
      </c>
      <c r="C282" s="2896"/>
      <c r="D282" s="2896"/>
      <c r="E282" s="2896"/>
      <c r="F282" s="2897" t="n">
        <f aca="false">'Смета Внутр'!G281</f>
        <v>0</v>
      </c>
    </row>
    <row r="283" customFormat="false" ht="14.5" hidden="false" customHeight="false" outlineLevel="0" collapsed="false">
      <c r="B283" s="2898" t="str">
        <f aca="false">'Смета Внутр'!B282</f>
        <v>Работы</v>
      </c>
      <c r="C283" s="2898"/>
      <c r="D283" s="2898"/>
      <c r="E283" s="2898"/>
      <c r="F283" s="2893" t="n">
        <f aca="false">'Смета Внутр'!H282</f>
        <v>0</v>
      </c>
    </row>
    <row r="284" customFormat="false" ht="14.5" hidden="false" customHeight="false" outlineLevel="0" collapsed="false">
      <c r="B284" s="2888" t="str">
        <f aca="false">'Смета Внутр'!B283</f>
        <v>разбивка осей фундамента</v>
      </c>
      <c r="C284" s="2889" t="str">
        <f aca="false">'Смета Внутр'!C283</f>
        <v>шт</v>
      </c>
      <c r="D284" s="2890" t="n">
        <f aca="false">'Смета Внутр'!D283</f>
        <v>1</v>
      </c>
      <c r="E284" s="2888"/>
      <c r="F284" s="2895" t="n">
        <f aca="false">'Смета Внутр'!H283</f>
        <v>0</v>
      </c>
    </row>
    <row r="285" customFormat="false" ht="14.5" hidden="false" customHeight="false" outlineLevel="0" collapsed="false">
      <c r="B285" s="2888" t="str">
        <f aca="false">'Смета Внутр'!B284</f>
        <v>трамбовка пгс</v>
      </c>
      <c r="C285" s="2889" t="str">
        <f aca="false">'Смета Внутр'!C284</f>
        <v>м2</v>
      </c>
      <c r="D285" s="2890" t="n">
        <f aca="false">'Смета Внутр'!D284</f>
        <v>100</v>
      </c>
      <c r="E285" s="2888"/>
      <c r="F285" s="2895" t="n">
        <f aca="false">'Смета Внутр'!H284</f>
        <v>0</v>
      </c>
    </row>
    <row r="286" customFormat="false" ht="14.5" hidden="false" customHeight="false" outlineLevel="0" collapsed="false">
      <c r="B286" s="2888" t="str">
        <f aca="false">'Смета Внутр'!B285</f>
        <v>трамбовка скальник</v>
      </c>
      <c r="C286" s="2889" t="str">
        <f aca="false">'Смета Внутр'!C285</f>
        <v>м2</v>
      </c>
      <c r="D286" s="2890" t="n">
        <f aca="false">'Смета Внутр'!D285</f>
        <v>100</v>
      </c>
      <c r="E286" s="2888"/>
      <c r="F286" s="2895" t="n">
        <f aca="false">'Смета Внутр'!H285</f>
        <v>0</v>
      </c>
    </row>
    <row r="287" customFormat="false" ht="14.5" hidden="false" customHeight="false" outlineLevel="0" collapsed="false">
      <c r="B287" s="2888" t="str">
        <f aca="false">'Смета Внутр'!B286</f>
        <v>трамбовка песок</v>
      </c>
      <c r="C287" s="2889" t="str">
        <f aca="false">'Смета Внутр'!C286</f>
        <v>м2</v>
      </c>
      <c r="D287" s="2890" t="n">
        <f aca="false">'Смета Внутр'!D286</f>
        <v>100</v>
      </c>
      <c r="E287" s="2888"/>
      <c r="F287" s="2895" t="n">
        <f aca="false">'Смета Внутр'!H286</f>
        <v>0</v>
      </c>
    </row>
    <row r="288" customFormat="false" ht="14.5" hidden="false" customHeight="false" outlineLevel="0" collapsed="false">
      <c r="B288" s="2888" t="str">
        <f aca="false">'Смета Внутр'!B287</f>
        <v>сборка/разборка опалубки</v>
      </c>
      <c r="C288" s="2889" t="str">
        <f aca="false">'Смета Внутр'!C287</f>
        <v>м2</v>
      </c>
      <c r="D288" s="2890" t="n">
        <f aca="false">'Смета Внутр'!D287</f>
        <v>0</v>
      </c>
      <c r="E288" s="2888"/>
      <c r="F288" s="2895" t="n">
        <f aca="false">'Смета Внутр'!H287</f>
        <v>0</v>
      </c>
    </row>
    <row r="289" customFormat="false" ht="14.5" hidden="false" customHeight="false" outlineLevel="0" collapsed="false">
      <c r="B289" s="2888" t="str">
        <f aca="false">'Смета Внутр'!B288</f>
        <v>укладка утеплителя под плиту</v>
      </c>
      <c r="C289" s="2889" t="str">
        <f aca="false">'Смета Внутр'!C288</f>
        <v>м2</v>
      </c>
      <c r="D289" s="2890" t="n">
        <f aca="false">'Смета Внутр'!D288</f>
        <v>100</v>
      </c>
      <c r="E289" s="2888"/>
      <c r="F289" s="2895" t="n">
        <f aca="false">'Смета Внутр'!H288</f>
        <v>0</v>
      </c>
    </row>
    <row r="290" customFormat="false" ht="14.5" hidden="false" customHeight="false" outlineLevel="0" collapsed="false">
      <c r="B290" s="2888" t="str">
        <f aca="false">'Смета Внутр'!B289</f>
        <v>укладка утеплителя под отмостка</v>
      </c>
      <c r="C290" s="2889" t="str">
        <f aca="false">'Смета Внутр'!C289</f>
        <v>м2</v>
      </c>
      <c r="D290" s="2890" t="n">
        <f aca="false">'Смета Внутр'!D289</f>
        <v>0</v>
      </c>
      <c r="E290" s="2888"/>
      <c r="F290" s="2895" t="n">
        <f aca="false">'Смета Внутр'!H289</f>
        <v>0</v>
      </c>
    </row>
    <row r="291" customFormat="false" ht="14.5" hidden="false" customHeight="false" outlineLevel="0" collapsed="false">
      <c r="B291" s="2888" t="str">
        <f aca="false">'Смета Внутр'!B290</f>
        <v>укладка пленки</v>
      </c>
      <c r="C291" s="2889" t="str">
        <f aca="false">'Смета Внутр'!C290</f>
        <v>м2</v>
      </c>
      <c r="D291" s="2890" t="n">
        <f aca="false">'Смета Внутр'!D290</f>
        <v>100</v>
      </c>
      <c r="E291" s="2888"/>
      <c r="F291" s="2895" t="n">
        <f aca="false">'Смета Внутр'!H290</f>
        <v>0</v>
      </c>
    </row>
    <row r="292" customFormat="false" ht="14.5" hidden="false" customHeight="false" outlineLevel="0" collapsed="false">
      <c r="B292" s="2888" t="str">
        <f aca="false">'Смета Внутр'!B291</f>
        <v>кладка сетки</v>
      </c>
      <c r="C292" s="2889" t="str">
        <f aca="false">'Смета Внутр'!C291</f>
        <v>м2</v>
      </c>
      <c r="D292" s="2890" t="n">
        <f aca="false">'Смета Внутр'!D291</f>
        <v>100</v>
      </c>
      <c r="E292" s="2888"/>
      <c r="F292" s="2895" t="n">
        <f aca="false">'Смета Внутр'!H291</f>
        <v>0</v>
      </c>
    </row>
    <row r="293" customFormat="false" ht="14.5" hidden="false" customHeight="false" outlineLevel="0" collapsed="false">
      <c r="B293" s="2888" t="str">
        <f aca="false">'Смета Внутр'!B292</f>
        <v>укладка теп. Пола</v>
      </c>
      <c r="C293" s="2889" t="str">
        <f aca="false">'Смета Внутр'!C292</f>
        <v>м2</v>
      </c>
      <c r="D293" s="2890" t="n">
        <f aca="false">'Смета Внутр'!D292</f>
        <v>100</v>
      </c>
      <c r="E293" s="2888"/>
      <c r="F293" s="2895" t="n">
        <f aca="false">'Смета Внутр'!H292</f>
        <v>0</v>
      </c>
    </row>
    <row r="294" customFormat="false" ht="14.5" hidden="false" customHeight="false" outlineLevel="0" collapsed="false">
      <c r="B294" s="2888" t="str">
        <f aca="false">'Смета Внутр'!B293</f>
        <v>Заливка бетоном перекрытия/плиты</v>
      </c>
      <c r="C294" s="2889" t="str">
        <f aca="false">'Смета Внутр'!C293</f>
        <v>м2</v>
      </c>
      <c r="D294" s="2890" t="n">
        <f aca="false">'Смета Внутр'!D293</f>
        <v>100</v>
      </c>
      <c r="E294" s="2888"/>
      <c r="F294" s="2895" t="n">
        <f aca="false">'Смета Внутр'!H293</f>
        <v>0</v>
      </c>
    </row>
    <row r="295" customFormat="false" ht="14.5" hidden="false" customHeight="false" outlineLevel="0" collapsed="false">
      <c r="B295" s="2888" t="str">
        <f aca="false">'Смета Внутр'!B294</f>
        <v>заливка бетоном отмостки</v>
      </c>
      <c r="C295" s="2889" t="str">
        <f aca="false">'Смета Внутр'!C294</f>
        <v>м2</v>
      </c>
      <c r="D295" s="2890" t="n">
        <f aca="false">'Смета Внутр'!D294</f>
        <v>0</v>
      </c>
      <c r="E295" s="2888"/>
      <c r="F295" s="2895" t="n">
        <f aca="false">'Смета Внутр'!H294</f>
        <v>0</v>
      </c>
    </row>
    <row r="296" customFormat="false" ht="14.5" hidden="false" customHeight="false" outlineLevel="0" collapsed="false">
      <c r="B296" s="2888" t="str">
        <f aca="false">'Смета Внутр'!B295</f>
        <v>армирование пол</v>
      </c>
      <c r="C296" s="2889" t="str">
        <f aca="false">'Смета Внутр'!C295</f>
        <v>м2</v>
      </c>
      <c r="D296" s="2890" t="n">
        <f aca="false">'Смета Внутр'!D295</f>
        <v>100</v>
      </c>
      <c r="E296" s="2888"/>
      <c r="F296" s="2895" t="n">
        <f aca="false">'Смета Внутр'!H295</f>
        <v>0</v>
      </c>
    </row>
    <row r="297" customFormat="false" ht="14.5" hidden="false" customHeight="false" outlineLevel="0" collapsed="false">
      <c r="B297" s="2888" t="str">
        <f aca="false">'Смета Внутр'!B296</f>
        <v>армирование отмостки</v>
      </c>
      <c r="C297" s="2889" t="str">
        <f aca="false">'Смета Внутр'!C296</f>
        <v>м2</v>
      </c>
      <c r="D297" s="2890" t="n">
        <f aca="false">'Смета Внутр'!D296</f>
        <v>0</v>
      </c>
      <c r="E297" s="2888"/>
      <c r="F297" s="2895" t="n">
        <f aca="false">'Смета Внутр'!H296</f>
        <v>0</v>
      </c>
    </row>
    <row r="298" customFormat="false" ht="14.5" hidden="false" customHeight="false" outlineLevel="0" collapsed="false">
      <c r="B298" s="2888" t="str">
        <f aca="false">'Смета Внутр'!B297</f>
        <v>монтаж канализации</v>
      </c>
      <c r="C298" s="2889" t="str">
        <f aca="false">'Смета Внутр'!C297</f>
        <v>м.п.</v>
      </c>
      <c r="D298" s="2890" t="n">
        <f aca="false">'Смета Внутр'!D297</f>
        <v>0</v>
      </c>
      <c r="E298" s="2888"/>
      <c r="F298" s="2895" t="n">
        <f aca="false">'Смета Внутр'!H297</f>
        <v>0</v>
      </c>
    </row>
    <row r="299" customFormat="false" ht="14.5" hidden="false" customHeight="false" outlineLevel="0" collapsed="false">
      <c r="B299" s="2888" t="str">
        <f aca="false">'Смета Внутр'!B298</f>
        <v>укладка геотекстиля</v>
      </c>
      <c r="C299" s="2889" t="str">
        <f aca="false">'Смета Внутр'!C298</f>
        <v>м2</v>
      </c>
      <c r="D299" s="2890" t="n">
        <f aca="false">'Смета Внутр'!D298</f>
        <v>100</v>
      </c>
      <c r="E299" s="2888"/>
      <c r="F299" s="2895" t="n">
        <f aca="false">'Смета Внутр'!H298</f>
        <v>0</v>
      </c>
    </row>
    <row r="300" customFormat="false" ht="14.5" hidden="false" customHeight="false" outlineLevel="0" collapsed="false">
      <c r="B300" s="2888" t="str">
        <f aca="false">'Смета Внутр'!B299</f>
        <v>укладка дренажа</v>
      </c>
      <c r="C300" s="2889" t="str">
        <f aca="false">'Смета Внутр'!C299</f>
        <v>м2</v>
      </c>
      <c r="D300" s="2890" t="n">
        <f aca="false">'Смета Внутр'!D299</f>
        <v>61</v>
      </c>
      <c r="E300" s="2888"/>
      <c r="F300" s="2895" t="n">
        <f aca="false">'Смета Внутр'!H299</f>
        <v>0</v>
      </c>
    </row>
    <row r="301" customFormat="false" ht="14.5" hidden="false" customHeight="false" outlineLevel="0" collapsed="false">
      <c r="B301" s="2888" t="str">
        <f aca="false">'Смета Внутр'!B300</f>
        <v>монтаж дренажного колодца</v>
      </c>
      <c r="C301" s="2889" t="str">
        <f aca="false">'Смета Внутр'!C300</f>
        <v>шт</v>
      </c>
      <c r="D301" s="2890" t="n">
        <f aca="false">'Смета Внутр'!D300</f>
        <v>0</v>
      </c>
      <c r="E301" s="2888"/>
      <c r="F301" s="2895" t="n">
        <f aca="false">'Смета Внутр'!H300</f>
        <v>0</v>
      </c>
    </row>
    <row r="302" customFormat="false" ht="14.5" hidden="false" customHeight="false" outlineLevel="0" collapsed="false">
      <c r="B302" s="2896" t="str">
        <f aca="false">'Смета Внутр'!B301</f>
        <v>Итого работы</v>
      </c>
      <c r="C302" s="2896"/>
      <c r="D302" s="2896"/>
      <c r="E302" s="2896"/>
      <c r="F302" s="2897" t="n">
        <f aca="false">'Смета Внутр'!G301</f>
        <v>0</v>
      </c>
    </row>
    <row r="303" customFormat="false" ht="18.5" hidden="false" customHeight="false" outlineLevel="0" collapsed="false">
      <c r="B303" s="2899" t="str">
        <f aca="false">'Смета Внутр'!B302</f>
        <v>Сип-Панели</v>
      </c>
      <c r="C303" s="2899"/>
      <c r="D303" s="2899"/>
      <c r="E303" s="2899"/>
      <c r="F303" s="2893" t="n">
        <f aca="false">'Смета Внутр'!H302</f>
        <v>0</v>
      </c>
    </row>
    <row r="304" customFormat="false" ht="14.5" hidden="false" customHeight="false" outlineLevel="0" collapsed="false">
      <c r="B304" s="2894" t="str">
        <f aca="false">'Смета Внутр'!B303</f>
        <v>Материалы</v>
      </c>
      <c r="C304" s="2894"/>
      <c r="D304" s="2894"/>
      <c r="E304" s="2894"/>
      <c r="F304" s="2893" t="n">
        <f aca="false">'Смета Внутр'!H303</f>
        <v>0</v>
      </c>
    </row>
    <row r="305" customFormat="false" ht="14.5" hidden="false" customHeight="false" outlineLevel="0" collapsed="false">
      <c r="B305" s="2888" t="str">
        <f aca="false">'Смета Внутр'!B304</f>
        <v>Брус естественной влажности, 150*150мм</v>
      </c>
      <c r="C305" s="2889" t="str">
        <f aca="false">'Смета Внутр'!C304</f>
        <v>м3</v>
      </c>
      <c r="D305" s="2890" t="n">
        <f aca="false">'Смета Внутр'!D304</f>
        <v>1.26</v>
      </c>
      <c r="E305" s="2888"/>
      <c r="F305" s="2895" t="n">
        <f aca="false">'Смета Внутр'!H304</f>
        <v>0</v>
      </c>
    </row>
    <row r="306" customFormat="false" ht="14.5" hidden="false" customHeight="false" outlineLevel="0" collapsed="false">
      <c r="B306" s="2888" t="str">
        <f aca="false">'Смета Внутр'!B305</f>
        <v>обработка мастикой</v>
      </c>
      <c r="C306" s="2889" t="str">
        <f aca="false">'Смета Внутр'!C305</f>
        <v>л</v>
      </c>
      <c r="D306" s="2890" t="n">
        <f aca="false">'Смета Внутр'!D305</f>
        <v>8.82</v>
      </c>
      <c r="E306" s="2888"/>
      <c r="F306" s="2895" t="n">
        <f aca="false">'Смета Внутр'!H305</f>
        <v>0</v>
      </c>
    </row>
    <row r="307" customFormat="false" ht="14.5" hidden="false" customHeight="false" outlineLevel="0" collapsed="false">
      <c r="B307" s="2888" t="str">
        <f aca="false">'Смета Внутр'!B306</f>
        <v>Sip панель 2800*1250*174мм</v>
      </c>
      <c r="C307" s="2889" t="str">
        <f aca="false">'Смета Внутр'!C306</f>
        <v>м2</v>
      </c>
      <c r="D307" s="2890" t="n">
        <f aca="false">'Смета Внутр'!D306</f>
        <v>-1.8</v>
      </c>
      <c r="E307" s="2888"/>
      <c r="F307" s="2895" t="n">
        <f aca="false">'Смета Внутр'!H306</f>
        <v>0</v>
      </c>
    </row>
    <row r="308" customFormat="false" ht="14.5" hidden="false" customHeight="false" outlineLevel="0" collapsed="false">
      <c r="B308" s="2888" t="str">
        <f aca="false">'Смета Внутр'!B307</f>
        <v>Sip панель 2800*1250*174мм</v>
      </c>
      <c r="C308" s="2889" t="str">
        <f aca="false">'Смета Внутр'!C307</f>
        <v>м2</v>
      </c>
      <c r="D308" s="2890" t="n">
        <f aca="false">'Смета Внутр'!D307</f>
        <v>0</v>
      </c>
      <c r="E308" s="2888"/>
      <c r="F308" s="2895" t="n">
        <f aca="false">'Смета Внутр'!H307</f>
        <v>0</v>
      </c>
    </row>
    <row r="309" customFormat="false" ht="14.5" hidden="false" customHeight="false" outlineLevel="0" collapsed="false">
      <c r="B309" s="2888" t="str">
        <f aca="false">'Смета Внутр'!B308</f>
        <v>Sip панель 2800*1250*124мм</v>
      </c>
      <c r="C309" s="2889" t="str">
        <f aca="false">'Смета Внутр'!C308</f>
        <v>м2</v>
      </c>
      <c r="D309" s="2890" t="n">
        <f aca="false">'Смета Внутр'!D308</f>
        <v>0</v>
      </c>
      <c r="E309" s="2888"/>
      <c r="F309" s="2895" t="n">
        <f aca="false">'Смета Внутр'!H308</f>
        <v>0</v>
      </c>
    </row>
    <row r="310" customFormat="false" ht="14.5" hidden="false" customHeight="false" outlineLevel="0" collapsed="false">
      <c r="B310" s="2888" t="str">
        <f aca="false">'Смета Внутр'!B309</f>
        <v>Болты анкерные с гайкой 12,0 х 280</v>
      </c>
      <c r="C310" s="2889" t="str">
        <f aca="false">'Смета Внутр'!C309</f>
        <v>шт</v>
      </c>
      <c r="D310" s="2890" t="n">
        <f aca="false">'Смета Внутр'!D309</f>
        <v>112</v>
      </c>
      <c r="E310" s="2888"/>
      <c r="F310" s="2895" t="n">
        <f aca="false">'Смета Внутр'!H309</f>
        <v>0</v>
      </c>
    </row>
    <row r="311" customFormat="false" ht="14.5" hidden="false" customHeight="false" outlineLevel="0" collapsed="false">
      <c r="B311" s="2888" t="str">
        <f aca="false">'Смета Внутр'!B310</f>
        <v>обвязка наружние стены верх низ</v>
      </c>
      <c r="C311" s="2889" t="str">
        <f aca="false">'Смета Внутр'!C310</f>
        <v>м3</v>
      </c>
      <c r="D311" s="2890" t="n">
        <f aca="false">'Смета Внутр'!D310</f>
        <v>0.6</v>
      </c>
      <c r="E311" s="2888"/>
      <c r="F311" s="2895" t="n">
        <f aca="false">'Смета Внутр'!H310</f>
        <v>0</v>
      </c>
    </row>
    <row r="312" customFormat="false" ht="14.5" hidden="false" customHeight="false" outlineLevel="0" collapsed="false">
      <c r="B312" s="2888" t="str">
        <f aca="false">'Смета Внутр'!B311</f>
        <v>обвязка несущие перегородки верх низ</v>
      </c>
      <c r="C312" s="2889" t="str">
        <f aca="false">'Смета Внутр'!C311</f>
        <v>м3</v>
      </c>
      <c r="D312" s="2890" t="n">
        <f aca="false">'Смета Внутр'!D311</f>
        <v>0.24</v>
      </c>
      <c r="E312" s="2888"/>
      <c r="F312" s="2895" t="n">
        <f aca="false">'Смета Внутр'!H311</f>
        <v>0</v>
      </c>
    </row>
    <row r="313" customFormat="false" ht="14.5" hidden="false" customHeight="false" outlineLevel="0" collapsed="false">
      <c r="B313" s="2888" t="str">
        <f aca="false">'Смета Внутр'!B312</f>
        <v>обвязка несущие перегородки верх низ</v>
      </c>
      <c r="C313" s="2889" t="str">
        <f aca="false">'Смета Внутр'!C312</f>
        <v>м3</v>
      </c>
      <c r="D313" s="2890" t="n">
        <f aca="false">'Смета Внутр'!D312</f>
        <v>0.117</v>
      </c>
      <c r="E313" s="2888"/>
      <c r="F313" s="2895" t="n">
        <f aca="false">'Смета Внутр'!H312</f>
        <v>0</v>
      </c>
    </row>
    <row r="314" customFormat="false" ht="14.5" hidden="false" customHeight="false" outlineLevel="0" collapsed="false">
      <c r="B314" s="2888" t="str">
        <f aca="false">'Смета Внутр'!B313</f>
        <v>стойки наружние стены</v>
      </c>
      <c r="C314" s="2889" t="str">
        <f aca="false">'Смета Внутр'!C313</f>
        <v>м3</v>
      </c>
      <c r="D314" s="2890" t="n">
        <f aca="false">'Смета Внутр'!D313</f>
        <v>0</v>
      </c>
      <c r="E314" s="2888"/>
      <c r="F314" s="2895" t="n">
        <f aca="false">'Смета Внутр'!H313</f>
        <v>0</v>
      </c>
    </row>
    <row r="315" customFormat="false" ht="14.5" hidden="false" customHeight="false" outlineLevel="0" collapsed="false">
      <c r="B315" s="2888" t="str">
        <f aca="false">'Смета Внутр'!B314</f>
        <v>стойки перегородки несущие</v>
      </c>
      <c r="C315" s="2889" t="str">
        <f aca="false">'Смета Внутр'!C314</f>
        <v>м3</v>
      </c>
      <c r="D315" s="2890" t="n">
        <f aca="false">'Смета Внутр'!D314</f>
        <v>0</v>
      </c>
      <c r="E315" s="2888"/>
      <c r="F315" s="2895" t="n">
        <f aca="false">'Смета Внутр'!H314</f>
        <v>0</v>
      </c>
    </row>
    <row r="316" customFormat="false" ht="14.5" hidden="false" customHeight="false" outlineLevel="0" collapsed="false">
      <c r="B316" s="2888" t="str">
        <f aca="false">'Смета Внутр'!B315</f>
        <v>Стойки перегородки простые</v>
      </c>
      <c r="C316" s="2889" t="str">
        <f aca="false">'Смета Внутр'!C315</f>
        <v>м3</v>
      </c>
      <c r="D316" s="2890" t="n">
        <f aca="false">'Смета Внутр'!D315</f>
        <v>0</v>
      </c>
      <c r="E316" s="2888"/>
      <c r="F316" s="2895" t="n">
        <f aca="false">'Смета Внутр'!H315</f>
        <v>0</v>
      </c>
    </row>
    <row r="317" customFormat="false" ht="14.5" hidden="false" customHeight="false" outlineLevel="0" collapsed="false">
      <c r="B317" s="2888" t="str">
        <f aca="false">'Смета Внутр'!B316</f>
        <v>брус, обвязка кровли, сип панели</v>
      </c>
      <c r="C317" s="2889" t="str">
        <f aca="false">'Смета Внутр'!C316</f>
        <v>м3</v>
      </c>
      <c r="D317" s="2890" t="n">
        <f aca="false">'Смета Внутр'!D316</f>
        <v>-0.15</v>
      </c>
      <c r="E317" s="2888"/>
      <c r="F317" s="2895" t="n">
        <f aca="false">'Смета Внутр'!H316</f>
        <v>0</v>
      </c>
    </row>
    <row r="318" customFormat="false" ht="14.5" hidden="false" customHeight="false" outlineLevel="0" collapsed="false">
      <c r="B318" s="2888" t="str">
        <f aca="false">'Смета Внутр'!B317</f>
        <v>торцевая доска, кровля, сип панели</v>
      </c>
      <c r="C318" s="2889" t="str">
        <f aca="false">'Смета Внутр'!C317</f>
        <v>м3</v>
      </c>
      <c r="D318" s="2890" t="n">
        <f aca="false">'Смета Внутр'!D317</f>
        <v>0.15</v>
      </c>
      <c r="E318" s="2888"/>
      <c r="F318" s="2895" t="n">
        <f aca="false">'Смета Внутр'!H317</f>
        <v>0</v>
      </c>
    </row>
    <row r="319" customFormat="false" ht="14.5" hidden="false" customHeight="false" outlineLevel="0" collapsed="false">
      <c r="B319" s="2888" t="str">
        <f aca="false">'Смета Внутр'!B318</f>
        <v>Нет</v>
      </c>
      <c r="C319" s="2889" t="str">
        <f aca="false">'Смета Внутр'!C318</f>
        <v>м2</v>
      </c>
      <c r="D319" s="2890" t="n">
        <f aca="false">'Смета Внутр'!D318</f>
        <v>0</v>
      </c>
      <c r="E319" s="2888"/>
      <c r="F319" s="2895" t="n">
        <f aca="false">'Смета Внутр'!H318</f>
        <v>0</v>
      </c>
    </row>
    <row r="320" customFormat="false" ht="14.5" hidden="false" customHeight="false" outlineLevel="0" collapsed="false">
      <c r="B320" s="2888" t="str">
        <f aca="false">'Смета Внутр'!B319</f>
        <v>Пена монтажная, всесезонняя 800мл</v>
      </c>
      <c r="C320" s="2889" t="str">
        <f aca="false">'Смета Внутр'!C319</f>
        <v>шт</v>
      </c>
      <c r="D320" s="2890" t="n">
        <f aca="false">'Смета Внутр'!D319</f>
        <v>10</v>
      </c>
      <c r="E320" s="2888"/>
      <c r="F320" s="2895" t="n">
        <f aca="false">'Смета Внутр'!H319</f>
        <v>0</v>
      </c>
    </row>
    <row r="321" customFormat="false" ht="14.5" hidden="false" customHeight="false" outlineLevel="0" collapsed="false">
      <c r="B321" s="2888" t="str">
        <f aca="false">'Смета Внутр'!B320</f>
        <v>Саморезы 3,5 x 55</v>
      </c>
      <c r="C321" s="2889" t="str">
        <f aca="false">'Смета Внутр'!C320</f>
        <v>кг</v>
      </c>
      <c r="D321" s="2890" t="n">
        <f aca="false">'Смета Внутр'!D320</f>
        <v>3.33333333333333</v>
      </c>
      <c r="E321" s="2888"/>
      <c r="F321" s="2895" t="n">
        <f aca="false">'Смета Внутр'!H320</f>
        <v>0</v>
      </c>
    </row>
    <row r="322" customFormat="false" ht="14.5" hidden="false" customHeight="false" outlineLevel="0" collapsed="false">
      <c r="B322" s="2888" t="str">
        <f aca="false">'Смета Внутр'!B321</f>
        <v>Саморезы 4,2 x 90</v>
      </c>
      <c r="C322" s="2889" t="str">
        <f aca="false">'Смета Внутр'!C321</f>
        <v>шт</v>
      </c>
      <c r="D322" s="2890" t="n">
        <f aca="false">'Смета Внутр'!D321</f>
        <v>3.33333333333333</v>
      </c>
      <c r="E322" s="2888"/>
      <c r="F322" s="2895" t="n">
        <f aca="false">'Смета Внутр'!H321</f>
        <v>0</v>
      </c>
    </row>
    <row r="323" customFormat="false" ht="14.5" hidden="false" customHeight="false" outlineLevel="0" collapsed="false">
      <c r="B323" s="2896" t="str">
        <f aca="false">'Смета Внутр'!B322</f>
        <v>Итого материалы</v>
      </c>
      <c r="C323" s="2896"/>
      <c r="D323" s="2896"/>
      <c r="E323" s="2896"/>
      <c r="F323" s="2897" t="n">
        <f aca="false">'Смета Внутр'!G322</f>
        <v>0</v>
      </c>
    </row>
    <row r="324" customFormat="false" ht="14.5" hidden="false" customHeight="false" outlineLevel="0" collapsed="false">
      <c r="B324" s="2898" t="str">
        <f aca="false">'Смета Внутр'!B323</f>
        <v>Работы</v>
      </c>
      <c r="C324" s="2898"/>
      <c r="D324" s="2898"/>
      <c r="E324" s="2898"/>
      <c r="F324" s="2893" t="n">
        <f aca="false">'Смета Внутр'!H323</f>
        <v>0</v>
      </c>
    </row>
    <row r="325" customFormat="false" ht="14.5" hidden="false" customHeight="false" outlineLevel="0" collapsed="false">
      <c r="B325" s="2888" t="str">
        <f aca="false">'Смета Внутр'!B324</f>
        <v>монтаж обвязочного бруса</v>
      </c>
      <c r="C325" s="2889" t="str">
        <f aca="false">'Смета Внутр'!C324</f>
        <v>м.п.</v>
      </c>
      <c r="D325" s="2890" t="n">
        <f aca="false">'Смета Внутр'!D324</f>
        <v>56</v>
      </c>
      <c r="E325" s="2888"/>
      <c r="F325" s="2895" t="n">
        <f aca="false">'Смета Внутр'!H324</f>
        <v>0</v>
      </c>
    </row>
    <row r="326" customFormat="false" ht="14.5" hidden="false" customHeight="false" outlineLevel="0" collapsed="false">
      <c r="B326" s="2888" t="str">
        <f aca="false">'Смета Внутр'!B325</f>
        <v>обработка мастикой</v>
      </c>
      <c r="C326" s="2889" t="str">
        <f aca="false">'Смета Внутр'!C325</f>
        <v>м.п.</v>
      </c>
      <c r="D326" s="2890" t="n">
        <f aca="false">'Смета Внутр'!D325</f>
        <v>56</v>
      </c>
      <c r="E326" s="2888"/>
      <c r="F326" s="2895" t="n">
        <f aca="false">'Смета Внутр'!H325</f>
        <v>0</v>
      </c>
    </row>
    <row r="327" customFormat="false" ht="14.5" hidden="false" customHeight="false" outlineLevel="0" collapsed="false">
      <c r="B327" s="2888" t="str">
        <f aca="false">'Смета Внутр'!B326</f>
        <v>монтаж наружних стен сиппанели</v>
      </c>
      <c r="C327" s="2889" t="str">
        <f aca="false">'Смета Внутр'!C326</f>
        <v>м2</v>
      </c>
      <c r="D327" s="2890" t="n">
        <f aca="false">'Смета Внутр'!D326</f>
        <v>0</v>
      </c>
      <c r="E327" s="2888"/>
      <c r="F327" s="2895" t="n">
        <f aca="false">'Смета Внутр'!H326</f>
        <v>0</v>
      </c>
    </row>
    <row r="328" customFormat="false" ht="14.5" hidden="false" customHeight="false" outlineLevel="0" collapsed="false">
      <c r="B328" s="2888" t="str">
        <f aca="false">'Смета Внутр'!B327</f>
        <v>Монтаж несущих перегородок сип панели</v>
      </c>
      <c r="C328" s="2889" t="str">
        <f aca="false">'Смета Внутр'!C327</f>
        <v>м2</v>
      </c>
      <c r="D328" s="2890" t="n">
        <f aca="false">'Смета Внутр'!D327</f>
        <v>0</v>
      </c>
      <c r="E328" s="2888"/>
      <c r="F328" s="2895" t="n">
        <f aca="false">'Смета Внутр'!H327</f>
        <v>0</v>
      </c>
    </row>
    <row r="329" customFormat="false" ht="14.5" hidden="false" customHeight="false" outlineLevel="0" collapsed="false">
      <c r="B329" s="2888" t="str">
        <f aca="false">'Смета Внутр'!B328</f>
        <v>Монтаж перегородок сип панели</v>
      </c>
      <c r="C329" s="2889" t="str">
        <f aca="false">'Смета Внутр'!C328</f>
        <v>м2</v>
      </c>
      <c r="D329" s="2890" t="n">
        <f aca="false">'Смета Внутр'!D328</f>
        <v>0</v>
      </c>
      <c r="E329" s="2888"/>
      <c r="F329" s="2895" t="n">
        <f aca="false">'Смета Внутр'!H328</f>
        <v>0</v>
      </c>
    </row>
    <row r="330" customFormat="false" ht="14.5" hidden="false" customHeight="false" outlineLevel="0" collapsed="false">
      <c r="B330" s="2888" t="str">
        <f aca="false">'Смета Внутр'!B329</f>
        <v>монтаж покрытия кровли</v>
      </c>
      <c r="C330" s="2889" t="str">
        <f aca="false">'Смета Внутр'!C329</f>
        <v>м2</v>
      </c>
      <c r="D330" s="2890" t="n">
        <f aca="false">'Смета Внутр'!D329</f>
        <v>0</v>
      </c>
      <c r="E330" s="2888"/>
      <c r="F330" s="2895" t="n">
        <f aca="false">'Смета Внутр'!H329</f>
        <v>0</v>
      </c>
    </row>
    <row r="331" customFormat="false" ht="14.5" hidden="false" customHeight="false" outlineLevel="0" collapsed="false">
      <c r="B331" s="2896" t="str">
        <f aca="false">'Смета Внутр'!B330</f>
        <v>Итого работы</v>
      </c>
      <c r="C331" s="2896"/>
      <c r="D331" s="2896"/>
      <c r="E331" s="2896"/>
      <c r="F331" s="2897" t="n">
        <f aca="false">'Смета Внутр'!G330</f>
        <v>0</v>
      </c>
    </row>
    <row r="332" customFormat="false" ht="18.5" hidden="false" customHeight="false" outlineLevel="0" collapsed="false">
      <c r="B332" s="2899" t="str">
        <f aca="false">'Смета Внутр'!B331</f>
        <v>Каркасный дом</v>
      </c>
      <c r="C332" s="2899"/>
      <c r="D332" s="2899"/>
      <c r="E332" s="2899"/>
      <c r="F332" s="2901" t="n">
        <f aca="false">'Смета Внутр'!H331</f>
        <v>0</v>
      </c>
    </row>
    <row r="333" customFormat="false" ht="14.5" hidden="false" customHeight="false" outlineLevel="0" collapsed="false">
      <c r="B333" s="2894" t="str">
        <f aca="false">'Смета Внутр'!B332</f>
        <v>Материалы</v>
      </c>
      <c r="C333" s="2894"/>
      <c r="D333" s="2894"/>
      <c r="E333" s="2894"/>
      <c r="F333" s="2901" t="n">
        <f aca="false">'Смета Внутр'!H332</f>
        <v>0</v>
      </c>
    </row>
    <row r="334" customFormat="false" ht="14.5" hidden="false" customHeight="false" outlineLevel="0" collapsed="false">
      <c r="B334" s="2888" t="str">
        <f aca="false">'Смета Внутр'!B333</f>
        <v>Брус естественной влажности, 150*150мм</v>
      </c>
      <c r="C334" s="2889" t="str">
        <f aca="false">'Смета Внутр'!C333</f>
        <v>м3</v>
      </c>
      <c r="D334" s="2890" t="n">
        <f aca="false">'Смета Внутр'!D333</f>
        <v>1.26</v>
      </c>
      <c r="E334" s="2888"/>
      <c r="F334" s="2902" t="n">
        <f aca="false">'Смета Внутр'!H333</f>
        <v>0</v>
      </c>
    </row>
    <row r="335" customFormat="false" ht="14.5" hidden="false" customHeight="false" outlineLevel="0" collapsed="false">
      <c r="B335" s="2888" t="str">
        <f aca="false">'Смета Внутр'!B334</f>
        <v>Болты анкерные с гайкой 12,0 х 280</v>
      </c>
      <c r="C335" s="2889" t="str">
        <f aca="false">'Смета Внутр'!C334</f>
        <v>шт</v>
      </c>
      <c r="D335" s="2890" t="n">
        <f aca="false">'Смета Внутр'!D334</f>
        <v>56</v>
      </c>
      <c r="E335" s="2888"/>
      <c r="F335" s="2902" t="n">
        <f aca="false">'Смета Внутр'!H334</f>
        <v>0</v>
      </c>
    </row>
    <row r="336" customFormat="false" ht="14.5" hidden="false" customHeight="false" outlineLevel="0" collapsed="false">
      <c r="B336" s="2888" t="str">
        <f aca="false">'Смета Внутр'!B335</f>
        <v>ГПС 150х50-1,2</v>
      </c>
      <c r="C336" s="2889" t="str">
        <f aca="false">'Смета Внутр'!C335</f>
        <v>м3</v>
      </c>
      <c r="D336" s="2890" t="n">
        <f aca="false">'Смета Внутр'!D335</f>
        <v>0</v>
      </c>
      <c r="E336" s="2888"/>
      <c r="F336" s="2902" t="n">
        <f aca="false">'Смета Внутр'!H335</f>
        <v>0</v>
      </c>
    </row>
    <row r="337" customFormat="false" ht="14.5" hidden="false" customHeight="false" outlineLevel="0" collapsed="false">
      <c r="B337" s="2888" t="str">
        <f aca="false">'Смета Внутр'!B343</f>
        <v>ГПС 120х50-1,5</v>
      </c>
      <c r="C337" s="2889" t="str">
        <f aca="false">'Смета Внутр'!C343</f>
        <v>м3</v>
      </c>
      <c r="D337" s="2890" t="n">
        <f aca="false">'Смета Внутр'!D343</f>
        <v>0</v>
      </c>
      <c r="E337" s="2888"/>
      <c r="F337" s="2902" t="n">
        <f aca="false">'Смета Внутр'!H343</f>
        <v>0</v>
      </c>
    </row>
    <row r="338" customFormat="false" ht="14.5" hidden="false" customHeight="false" outlineLevel="0" collapsed="false">
      <c r="B338" s="2888" t="str">
        <f aca="false">'Смета Внутр'!B344</f>
        <v>ГПС 170х50-2,0</v>
      </c>
      <c r="C338" s="2889" t="str">
        <f aca="false">'Смета Внутр'!C344</f>
        <v>м3</v>
      </c>
      <c r="D338" s="2890" t="n">
        <f aca="false">'Смета Внутр'!D344</f>
        <v>0</v>
      </c>
      <c r="E338" s="2888"/>
      <c r="F338" s="2895" t="n">
        <f aca="false">'Смета Внутр'!H344</f>
        <v>0</v>
      </c>
    </row>
    <row r="339" customFormat="false" ht="14.5" hidden="false" customHeight="false" outlineLevel="0" collapsed="false">
      <c r="B339" s="2888" t="str">
        <f aca="false">'Смета Внутр'!B345</f>
        <v>Лист ГВЛВ 2500х1200х10 мм</v>
      </c>
      <c r="C339" s="2889" t="str">
        <f aca="false">'Смета Внутр'!C345</f>
        <v>м2</v>
      </c>
      <c r="D339" s="2890" t="n">
        <f aca="false">'Смета Внутр'!D345</f>
        <v>100</v>
      </c>
      <c r="E339" s="2888"/>
      <c r="F339" s="2902" t="n">
        <f aca="false">'Смета Внутр'!H345</f>
        <v>0</v>
      </c>
    </row>
    <row r="340" customFormat="false" ht="14.5" hidden="false" customHeight="false" outlineLevel="0" collapsed="false">
      <c r="B340" s="2888" t="str">
        <f aca="false">'Смета Внутр'!B346</f>
        <v>нет</v>
      </c>
      <c r="C340" s="2889" t="str">
        <f aca="false">'Смета Внутр'!C346</f>
        <v>м.п.</v>
      </c>
      <c r="D340" s="2890" t="n">
        <f aca="false">'Смета Внутр'!D346</f>
        <v>0</v>
      </c>
      <c r="E340" s="2888"/>
      <c r="F340" s="2902" t="n">
        <f aca="false">'Смета Внутр'!H346</f>
        <v>0</v>
      </c>
    </row>
    <row r="341" customFormat="false" ht="14.5" hidden="false" customHeight="false" outlineLevel="0" collapsed="false">
      <c r="B341" s="2888" t="str">
        <f aca="false">'Смета Внутр'!B347</f>
        <v>Нет</v>
      </c>
      <c r="C341" s="2889" t="str">
        <f aca="false">'Смета Внутр'!C347</f>
        <v>м3</v>
      </c>
      <c r="D341" s="2890" t="n">
        <f aca="false">'Смета Внутр'!D347</f>
        <v>0</v>
      </c>
      <c r="E341" s="2888"/>
      <c r="F341" s="2902" t="n">
        <f aca="false">'Смета Внутр'!H347</f>
        <v>0</v>
      </c>
    </row>
    <row r="342" customFormat="false" ht="14.5" hidden="false" customHeight="false" outlineLevel="0" collapsed="false">
      <c r="B342" s="2888" t="str">
        <f aca="false">'Смета Внутр'!B348</f>
        <v>Нет</v>
      </c>
      <c r="C342" s="2889" t="str">
        <f aca="false">'Смета Внутр'!C348</f>
        <v>м3</v>
      </c>
      <c r="D342" s="2890" t="n">
        <f aca="false">'Смета Внутр'!D348</f>
        <v>0</v>
      </c>
      <c r="E342" s="2888"/>
      <c r="F342" s="2902" t="n">
        <f aca="false">'Смета Внутр'!H348</f>
        <v>0</v>
      </c>
    </row>
    <row r="343" customFormat="false" ht="14.5" hidden="false" customHeight="false" outlineLevel="0" collapsed="false">
      <c r="B343" s="2888" t="str">
        <f aca="false">'Смета Внутр'!B349</f>
        <v>нет</v>
      </c>
      <c r="C343" s="2889" t="str">
        <f aca="false">'Смета Внутр'!C349</f>
        <v>м2</v>
      </c>
      <c r="D343" s="2890" t="n">
        <f aca="false">'Смета Внутр'!D349</f>
        <v>0</v>
      </c>
      <c r="E343" s="2888"/>
      <c r="F343" s="2895" t="n">
        <f aca="false">'Смета Внутр'!H349</f>
        <v>0</v>
      </c>
    </row>
    <row r="344" customFormat="false" ht="14.5" hidden="false" customHeight="false" outlineLevel="0" collapsed="false">
      <c r="B344" s="2888" t="str">
        <f aca="false">'Смета Внутр'!B350</f>
        <v>нет</v>
      </c>
      <c r="C344" s="2889" t="str">
        <f aca="false">'Смета Внутр'!C350</f>
        <v>м2</v>
      </c>
      <c r="D344" s="2890" t="n">
        <f aca="false">'Смета Внутр'!D350</f>
        <v>0</v>
      </c>
      <c r="E344" s="2888"/>
      <c r="F344" s="2895" t="n">
        <f aca="false">'Смета Внутр'!H350</f>
        <v>0</v>
      </c>
    </row>
    <row r="345" customFormat="false" ht="14.5" hidden="false" customHeight="false" outlineLevel="0" collapsed="false">
      <c r="B345" s="2888" t="str">
        <f aca="false">'Смета Внутр'!B351</f>
        <v>нет</v>
      </c>
      <c r="C345" s="2889" t="str">
        <f aca="false">'Смета Внутр'!C351</f>
        <v>м2</v>
      </c>
      <c r="D345" s="2890" t="n">
        <f aca="false">'Смета Внутр'!D351</f>
        <v>0</v>
      </c>
      <c r="E345" s="2888"/>
      <c r="F345" s="2895" t="n">
        <f aca="false">'Смета Внутр'!H351</f>
        <v>0</v>
      </c>
    </row>
    <row r="346" customFormat="false" ht="14.5" hidden="false" customHeight="false" outlineLevel="0" collapsed="false">
      <c r="B346" s="2888" t="str">
        <f aca="false">'Смета Внутр'!B352</f>
        <v>Саморезы 3,5 x 25</v>
      </c>
      <c r="C346" s="2889" t="str">
        <f aca="false">'Смета Внутр'!C352</f>
        <v>шт</v>
      </c>
      <c r="D346" s="2890" t="n">
        <f aca="false">'Смета Внутр'!D352</f>
        <v>0</v>
      </c>
      <c r="E346" s="2888"/>
      <c r="F346" s="2895" t="n">
        <f aca="false">'Смета Внутр'!H352</f>
        <v>0</v>
      </c>
    </row>
    <row r="347" customFormat="false" ht="14.5" hidden="false" customHeight="false" outlineLevel="0" collapsed="false">
      <c r="B347" s="2888" t="str">
        <f aca="false">'Смета Внутр'!B353</f>
        <v>Гвозди ершоные 2,8 х 90</v>
      </c>
      <c r="C347" s="2889" t="str">
        <f aca="false">'Смета Внутр'!C353</f>
        <v>кг</v>
      </c>
      <c r="D347" s="2890" t="n">
        <f aca="false">'Смета Внутр'!D353</f>
        <v>0</v>
      </c>
      <c r="E347" s="2888"/>
      <c r="F347" s="2902" t="n">
        <f aca="false">'Смета Внутр'!H353</f>
        <v>0</v>
      </c>
    </row>
    <row r="348" customFormat="false" ht="14.5" hidden="false" customHeight="false" outlineLevel="0" collapsed="false">
      <c r="B348" s="2888" t="str">
        <f aca="false">'Смета Внутр'!B354</f>
        <v>Гвозди ершоные 3,4 x 60</v>
      </c>
      <c r="C348" s="2889" t="str">
        <f aca="false">'Смета Внутр'!C354</f>
        <v>кг</v>
      </c>
      <c r="D348" s="2890" t="n">
        <f aca="false">'Смета Внутр'!D354</f>
        <v>0</v>
      </c>
      <c r="E348" s="2888"/>
      <c r="F348" s="2902" t="n">
        <f aca="false">'Смета Внутр'!H354</f>
        <v>0</v>
      </c>
    </row>
    <row r="349" customFormat="false" ht="14.5" hidden="false" customHeight="false" outlineLevel="0" collapsed="false">
      <c r="B349" s="2888" t="str">
        <f aca="false">'Смета Внутр'!B355</f>
        <v>нет ветроизоляции</v>
      </c>
      <c r="C349" s="2889" t="str">
        <f aca="false">'Смета Внутр'!C355</f>
        <v>м2</v>
      </c>
      <c r="D349" s="2890" t="n">
        <f aca="false">'Смета Внутр'!D355</f>
        <v>0</v>
      </c>
      <c r="E349" s="2888"/>
      <c r="F349" s="2902" t="n">
        <f aca="false">'Смета Внутр'!H355</f>
        <v>0</v>
      </c>
    </row>
    <row r="350" customFormat="false" ht="14.5" hidden="false" customHeight="false" outlineLevel="0" collapsed="false">
      <c r="B350" s="2888" t="str">
        <f aca="false">'Смета Внутр'!B356</f>
        <v>нет пароизоляции</v>
      </c>
      <c r="C350" s="2889" t="str">
        <f aca="false">'Смета Внутр'!C356</f>
        <v>м2</v>
      </c>
      <c r="D350" s="2890" t="n">
        <f aca="false">'Смета Внутр'!D356</f>
        <v>0</v>
      </c>
      <c r="E350" s="2888"/>
      <c r="F350" s="2902" t="n">
        <f aca="false">'Смета Внутр'!H356</f>
        <v>0</v>
      </c>
    </row>
    <row r="351" customFormat="false" ht="14.5" hidden="false" customHeight="false" outlineLevel="0" collapsed="false">
      <c r="B351" s="2888" t="str">
        <f aca="false">'Смета Внутр'!B357</f>
        <v>Скобы для степлера, 1000шт/уп</v>
      </c>
      <c r="C351" s="2889" t="str">
        <f aca="false">'Смета Внутр'!C357</f>
        <v>уп</v>
      </c>
      <c r="D351" s="2890" t="n">
        <f aca="false">'Смета Внутр'!D357</f>
        <v>5</v>
      </c>
      <c r="E351" s="2888"/>
      <c r="F351" s="2902" t="n">
        <f aca="false">'Смета Внутр'!H357</f>
        <v>0</v>
      </c>
    </row>
    <row r="352" customFormat="false" ht="14.5" hidden="false" customHeight="false" outlineLevel="0" collapsed="false">
      <c r="B352" s="2896" t="str">
        <f aca="false">'Смета Внутр'!B358</f>
        <v>Итого материалы</v>
      </c>
      <c r="C352" s="2896"/>
      <c r="D352" s="2896"/>
      <c r="E352" s="2896"/>
      <c r="F352" s="2891" t="n">
        <f aca="false">'Смета Внутр'!G358</f>
        <v>0</v>
      </c>
    </row>
    <row r="353" customFormat="false" ht="14.5" hidden="false" customHeight="false" outlineLevel="0" collapsed="false">
      <c r="B353" s="2898" t="str">
        <f aca="false">'Смета Внутр'!B359</f>
        <v>Работы</v>
      </c>
      <c r="C353" s="2898"/>
      <c r="D353" s="2898"/>
      <c r="E353" s="2898"/>
      <c r="F353" s="2901" t="n">
        <f aca="false">'Смета Внутр'!H359</f>
        <v>0</v>
      </c>
    </row>
    <row r="354" customFormat="false" ht="14.5" hidden="false" customHeight="false" outlineLevel="0" collapsed="false">
      <c r="B354" s="2888" t="str">
        <f aca="false">'Смета Внутр'!B360</f>
        <v>монтаж обвязки</v>
      </c>
      <c r="C354" s="2889" t="str">
        <f aca="false">'Смета Внутр'!C360</f>
        <v>м.п.</v>
      </c>
      <c r="D354" s="2890" t="n">
        <f aca="false">'Смета Внутр'!D360</f>
        <v>0</v>
      </c>
      <c r="E354" s="2888"/>
      <c r="F354" s="2902" t="n">
        <f aca="false">'Смета Внутр'!H360</f>
        <v>0</v>
      </c>
    </row>
    <row r="355" customFormat="false" ht="14.5" hidden="false" customHeight="false" outlineLevel="0" collapsed="false">
      <c r="B355" s="2888" t="str">
        <f aca="false">'Смета Внутр'!B361</f>
        <v>монтаж стен каркаса</v>
      </c>
      <c r="C355" s="2889" t="str">
        <f aca="false">'Смета Внутр'!C361</f>
        <v>м2</v>
      </c>
      <c r="D355" s="2890" t="n">
        <f aca="false">'Смета Внутр'!D361</f>
        <v>0</v>
      </c>
      <c r="E355" s="2888"/>
      <c r="F355" s="2902" t="n">
        <f aca="false">'Смета Внутр'!H361</f>
        <v>0</v>
      </c>
    </row>
    <row r="356" customFormat="false" ht="14.5" hidden="false" customHeight="false" outlineLevel="0" collapsed="false">
      <c r="B356" s="2888" t="str">
        <f aca="false">'Смета Внутр'!B362</f>
        <v>Монтаж несущих перегородок</v>
      </c>
      <c r="C356" s="2889" t="str">
        <f aca="false">'Смета Внутр'!C362</f>
        <v>м2</v>
      </c>
      <c r="D356" s="2890" t="n">
        <f aca="false">'Смета Внутр'!D362</f>
        <v>0</v>
      </c>
      <c r="E356" s="2888"/>
      <c r="F356" s="2902" t="n">
        <f aca="false">'Смета Внутр'!H362</f>
        <v>0</v>
      </c>
    </row>
    <row r="357" customFormat="false" ht="14.5" hidden="false" customHeight="false" outlineLevel="0" collapsed="false">
      <c r="B357" s="2888" t="str">
        <f aca="false">'Смета Внутр'!B363</f>
        <v>Монтаж перегородок</v>
      </c>
      <c r="C357" s="2889" t="str">
        <f aca="false">'Смета Внутр'!C363</f>
        <v>м2</v>
      </c>
      <c r="D357" s="2890" t="n">
        <f aca="false">'Смета Внутр'!D363</f>
        <v>0</v>
      </c>
      <c r="E357" s="2888"/>
      <c r="F357" s="2895" t="n">
        <f aca="false">'Смета Внутр'!H363</f>
        <v>0</v>
      </c>
    </row>
    <row r="358" customFormat="false" ht="14.5" hidden="false" customHeight="false" outlineLevel="0" collapsed="false">
      <c r="B358" s="2888" t="str">
        <f aca="false">'Смета Внутр'!B364</f>
        <v>Монтаж вентиляционного зазора</v>
      </c>
      <c r="C358" s="2889" t="str">
        <f aca="false">'Смета Внутр'!C364</f>
        <v>м2</v>
      </c>
      <c r="D358" s="2890" t="n">
        <f aca="false">'Смета Внутр'!D364</f>
        <v>0</v>
      </c>
      <c r="E358" s="2888"/>
      <c r="F358" s="2902" t="n">
        <f aca="false">'Смета Внутр'!H364</f>
        <v>0</v>
      </c>
    </row>
    <row r="359" customFormat="false" ht="14.5" hidden="false" customHeight="false" outlineLevel="0" collapsed="false">
      <c r="B359" s="2888" t="str">
        <f aca="false">'Смета Внутр'!B365</f>
        <v>Монтаж технологического зазора</v>
      </c>
      <c r="C359" s="2889" t="str">
        <f aca="false">'Смета Внутр'!C365</f>
        <v>м2</v>
      </c>
      <c r="D359" s="2890" t="n">
        <f aca="false">'Смета Внутр'!D365</f>
        <v>0</v>
      </c>
      <c r="E359" s="2888"/>
      <c r="F359" s="2902" t="n">
        <f aca="false">'Смета Внутр'!H365</f>
        <v>0</v>
      </c>
    </row>
    <row r="360" customFormat="false" ht="14.5" hidden="false" customHeight="false" outlineLevel="0" collapsed="false">
      <c r="B360" s="2888" t="str">
        <f aca="false">'Смета Внутр'!B366</f>
        <v>монтаж ветроизоляции стен</v>
      </c>
      <c r="C360" s="2889" t="str">
        <f aca="false">'Смета Внутр'!C366</f>
        <v>м2</v>
      </c>
      <c r="D360" s="2890" t="n">
        <f aca="false">'Смета Внутр'!D366</f>
        <v>0</v>
      </c>
      <c r="E360" s="2888"/>
      <c r="F360" s="2902" t="n">
        <f aca="false">'Смета Внутр'!H366</f>
        <v>0</v>
      </c>
    </row>
    <row r="361" customFormat="false" ht="14.5" hidden="false" customHeight="false" outlineLevel="0" collapsed="false">
      <c r="B361" s="2888" t="str">
        <f aca="false">'Смета Внутр'!B367</f>
        <v>монтаж пароизоляции стен</v>
      </c>
      <c r="C361" s="2889" t="str">
        <f aca="false">'Смета Внутр'!C367</f>
        <v>м2</v>
      </c>
      <c r="D361" s="2890" t="n">
        <f aca="false">'Смета Внутр'!D367</f>
        <v>0</v>
      </c>
      <c r="E361" s="2888"/>
      <c r="F361" s="2902" t="n">
        <f aca="false">'Смета Внутр'!H367</f>
        <v>0</v>
      </c>
    </row>
    <row r="362" customFormat="false" ht="14.5" hidden="false" customHeight="false" outlineLevel="0" collapsed="false">
      <c r="B362" s="2888" t="str">
        <f aca="false">'Смета Внутр'!B368</f>
        <v>монтаж osb/фанера наруж стены</v>
      </c>
      <c r="C362" s="2889" t="str">
        <f aca="false">'Смета Внутр'!C368</f>
        <v>м2</v>
      </c>
      <c r="D362" s="2890" t="n">
        <f aca="false">'Смета Внутр'!D368</f>
        <v>0</v>
      </c>
      <c r="E362" s="2888"/>
      <c r="F362" s="2895" t="n">
        <f aca="false">'Смета Внутр'!H368</f>
        <v>0</v>
      </c>
    </row>
    <row r="363" customFormat="false" ht="14.5" hidden="false" customHeight="false" outlineLevel="0" collapsed="false">
      <c r="B363" s="2888" t="str">
        <f aca="false">'Смета Внутр'!B369</f>
        <v>монтаж osb/фанера потолок</v>
      </c>
      <c r="C363" s="2889" t="str">
        <f aca="false">'Смета Внутр'!C369</f>
        <v>м2</v>
      </c>
      <c r="D363" s="2890" t="n">
        <f aca="false">'Смета Внутр'!D369</f>
        <v>0</v>
      </c>
      <c r="E363" s="2888"/>
      <c r="F363" s="2895" t="n">
        <f aca="false">'Смета Внутр'!H369</f>
        <v>0</v>
      </c>
    </row>
    <row r="364" customFormat="false" ht="14.5" hidden="false" customHeight="false" outlineLevel="0" collapsed="false">
      <c r="B364" s="2888" t="str">
        <f aca="false">'Смета Внутр'!B370</f>
        <v>монтаж osb/фанера перегородки</v>
      </c>
      <c r="C364" s="2889" t="str">
        <f aca="false">'Смета Внутр'!C370</f>
        <v>м2</v>
      </c>
      <c r="D364" s="2890" t="n">
        <f aca="false">'Смета Внутр'!D370</f>
        <v>0</v>
      </c>
      <c r="E364" s="2888"/>
      <c r="F364" s="2895" t="n">
        <f aca="false">'Смета Внутр'!H370</f>
        <v>0</v>
      </c>
    </row>
    <row r="365" customFormat="false" ht="14.5" hidden="false" customHeight="false" outlineLevel="0" collapsed="false">
      <c r="B365" s="2888" t="str">
        <f aca="false">'Смета Внутр'!B371</f>
        <v>монтаж osb/фанера пол</v>
      </c>
      <c r="C365" s="2889" t="str">
        <f aca="false">'Смета Внутр'!C371</f>
        <v>м2</v>
      </c>
      <c r="D365" s="2890" t="n">
        <f aca="false">'Смета Внутр'!D371</f>
        <v>100</v>
      </c>
      <c r="E365" s="2888"/>
      <c r="F365" s="2902" t="n">
        <f aca="false">'Смета Внутр'!H371</f>
        <v>0</v>
      </c>
    </row>
    <row r="366" customFormat="false" ht="14.5" hidden="false" customHeight="false" outlineLevel="0" collapsed="false">
      <c r="B366" s="2888" t="str">
        <f aca="false">'Смета Внутр'!B372</f>
        <v>утепление наружних стен</v>
      </c>
      <c r="C366" s="2889" t="str">
        <f aca="false">'Смета Внутр'!C372</f>
        <v>м2</v>
      </c>
      <c r="D366" s="2890" t="n">
        <f aca="false">'Смета Внутр'!D372</f>
        <v>0</v>
      </c>
      <c r="E366" s="2888"/>
      <c r="F366" s="2902" t="n">
        <f aca="false">'Смета Внутр'!H372</f>
        <v>0</v>
      </c>
    </row>
    <row r="367" customFormat="false" ht="14.5" hidden="false" customHeight="false" outlineLevel="0" collapsed="false">
      <c r="B367" s="2888" t="str">
        <f aca="false">'Смета Внутр'!B373</f>
        <v>Утепление перегородок</v>
      </c>
      <c r="C367" s="2889" t="str">
        <f aca="false">'Смета Внутр'!C373</f>
        <v>м2</v>
      </c>
      <c r="D367" s="2890" t="n">
        <f aca="false">'Смета Внутр'!D373</f>
        <v>0</v>
      </c>
      <c r="E367" s="2888"/>
      <c r="F367" s="2902" t="n">
        <f aca="false">'Смета Внутр'!H373</f>
        <v>0</v>
      </c>
    </row>
    <row r="368" customFormat="false" ht="14.5" hidden="false" customHeight="false" outlineLevel="0" collapsed="false">
      <c r="B368" s="2896" t="str">
        <f aca="false">'Смета Внутр'!B374</f>
        <v>Итого работы</v>
      </c>
      <c r="C368" s="2896"/>
      <c r="D368" s="2896"/>
      <c r="E368" s="2896"/>
      <c r="F368" s="2891" t="n">
        <f aca="false">'Смета Внутр'!G374</f>
        <v>0</v>
      </c>
    </row>
    <row r="369" customFormat="false" ht="18.5" hidden="false" customHeight="false" outlineLevel="0" collapsed="false">
      <c r="B369" s="2903" t="str">
        <f aca="false">'Смета Внутр'!B375</f>
        <v>Каркасный дом двутавровые балки</v>
      </c>
      <c r="C369" s="2903"/>
      <c r="D369" s="2903"/>
      <c r="E369" s="2903"/>
      <c r="F369" s="2904"/>
    </row>
    <row r="370" customFormat="false" ht="14.5" hidden="false" customHeight="false" outlineLevel="0" collapsed="false">
      <c r="B370" s="2905" t="str">
        <f aca="false">'Смета Внутр'!B376</f>
        <v>Материалы</v>
      </c>
      <c r="C370" s="2905"/>
      <c r="D370" s="2905"/>
      <c r="E370" s="2905"/>
      <c r="F370" s="2904"/>
    </row>
    <row r="371" customFormat="false" ht="14.5" hidden="false" customHeight="false" outlineLevel="0" collapsed="false">
      <c r="B371" s="2906" t="str">
        <f aca="false">'Смета Внутр'!B377</f>
        <v>Брус естественной влажности, 150*150мм</v>
      </c>
      <c r="C371" s="2896" t="str">
        <f aca="false">'Смета Внутр'!C377</f>
        <v>м3</v>
      </c>
      <c r="D371" s="2891" t="n">
        <f aca="false">'Смета Внутр'!D377</f>
        <v>1.26</v>
      </c>
      <c r="E371" s="2896"/>
      <c r="F371" s="2891"/>
    </row>
    <row r="372" customFormat="false" ht="14.5" hidden="false" customHeight="false" outlineLevel="0" collapsed="false">
      <c r="B372" s="2906" t="str">
        <f aca="false">'Смета Внутр'!B378</f>
        <v>Болты анкерные с гайкой 12,0 х 280</v>
      </c>
      <c r="C372" s="2896" t="str">
        <f aca="false">'Смета Внутр'!C378</f>
        <v>шт</v>
      </c>
      <c r="D372" s="2891" t="n">
        <f aca="false">'Смета Внутр'!D378</f>
        <v>56</v>
      </c>
      <c r="E372" s="2896"/>
      <c r="F372" s="2891"/>
    </row>
    <row r="373" customFormat="false" ht="14.5" hidden="false" customHeight="false" outlineLevel="0" collapsed="false">
      <c r="B373" s="2906" t="str">
        <f aca="false">'Смета Внутр'!B379</f>
        <v>ГПС 150х50-1,2</v>
      </c>
      <c r="C373" s="2896" t="str">
        <f aca="false">'Смета Внутр'!C379</f>
        <v>м3</v>
      </c>
      <c r="D373" s="2891" t="n">
        <f aca="false">'Смета Внутр'!D379</f>
        <v>0</v>
      </c>
      <c r="E373" s="2896"/>
      <c r="F373" s="2891"/>
    </row>
    <row r="374" customFormat="false" ht="14.5" hidden="false" customHeight="false" outlineLevel="0" collapsed="false">
      <c r="B374" s="2906" t="str">
        <f aca="false">'Смета Внутр'!B380</f>
        <v>ГПН 152х35-1,2</v>
      </c>
      <c r="C374" s="2896" t="str">
        <f aca="false">'Смета Внутр'!C380</f>
        <v>мп.</v>
      </c>
      <c r="D374" s="2891" t="n">
        <f aca="false">'Смета Внутр'!D380</f>
        <v>0</v>
      </c>
      <c r="E374" s="2896"/>
      <c r="F374" s="2891"/>
    </row>
    <row r="375" customFormat="false" ht="14.5" hidden="false" customHeight="false" outlineLevel="0" collapsed="false">
      <c r="B375" s="2906" t="str">
        <f aca="false">'Смета Внутр'!B381</f>
        <v>Болты анкерные с гайкой 12,0 x 100</v>
      </c>
      <c r="C375" s="2896" t="str">
        <f aca="false">'Смета Внутр'!C381</f>
        <v>шт.</v>
      </c>
      <c r="D375" s="2891" t="n">
        <f aca="false">'Смета Внутр'!D381</f>
        <v>0</v>
      </c>
      <c r="E375" s="2896"/>
      <c r="F375" s="2891"/>
    </row>
    <row r="376" customFormat="false" ht="14.5" hidden="false" customHeight="false" outlineLevel="0" collapsed="false">
      <c r="B376" s="2906" t="str">
        <f aca="false">'Смета Внутр'!B382</f>
        <v>Саморез 5,5 х 25</v>
      </c>
      <c r="C376" s="2896" t="str">
        <f aca="false">'Смета Внутр'!C382</f>
        <v>шт.</v>
      </c>
      <c r="D376" s="2891" t="n">
        <f aca="false">'Смета Внутр'!D382</f>
        <v>1644</v>
      </c>
      <c r="E376" s="2896"/>
      <c r="F376" s="2891"/>
    </row>
    <row r="377" customFormat="false" ht="14.5" hidden="false" customHeight="false" outlineLevel="0" collapsed="false">
      <c r="B377" s="2906" t="str">
        <f aca="false">'Смета Внутр'!B383</f>
        <v>ГПН 122х35-1,5</v>
      </c>
      <c r="C377" s="2896" t="str">
        <f aca="false">'Смета Внутр'!C383</f>
        <v>мп.</v>
      </c>
      <c r="D377" s="2891" t="n">
        <f aca="false">'Смета Внутр'!D383</f>
        <v>0</v>
      </c>
      <c r="E377" s="2896"/>
      <c r="F377" s="2891"/>
    </row>
    <row r="378" customFormat="false" ht="14.5" hidden="false" customHeight="false" outlineLevel="0" collapsed="false">
      <c r="B378" s="2906" t="str">
        <f aca="false">'Смета Внутр'!B384</f>
        <v>Болты анкерные с гайкой 12,0 x 100</v>
      </c>
      <c r="C378" s="2896" t="str">
        <f aca="false">'Смета Внутр'!C384</f>
        <v>шт.</v>
      </c>
      <c r="D378" s="2891" t="n">
        <f aca="false">'Смета Внутр'!D384</f>
        <v>0</v>
      </c>
      <c r="E378" s="2896"/>
      <c r="F378" s="2891"/>
    </row>
    <row r="379" customFormat="false" ht="14.5" hidden="false" customHeight="false" outlineLevel="0" collapsed="false">
      <c r="B379" s="2906" t="str">
        <f aca="false">'Смета Внутр'!B385</f>
        <v>Саморез 5,5 х 25</v>
      </c>
      <c r="C379" s="2896" t="str">
        <f aca="false">'Смета Внутр'!C385</f>
        <v>шт.</v>
      </c>
      <c r="D379" s="2891" t="n">
        <f aca="false">'Смета Внутр'!D385</f>
        <v>12</v>
      </c>
      <c r="E379" s="2896"/>
      <c r="F379" s="2891"/>
    </row>
    <row r="380" customFormat="false" ht="14.5" hidden="false" customHeight="false" outlineLevel="0" collapsed="false">
      <c r="B380" s="2906" t="str">
        <f aca="false">'Смета Внутр'!B386</f>
        <v>ГПН 172х35-2,0</v>
      </c>
      <c r="C380" s="2896" t="str">
        <f aca="false">'Смета Внутр'!C386</f>
        <v>мп.</v>
      </c>
      <c r="D380" s="2891" t="n">
        <f aca="false">'Смета Внутр'!D386</f>
        <v>0</v>
      </c>
      <c r="E380" s="2896"/>
      <c r="F380" s="2891"/>
    </row>
    <row r="381" customFormat="false" ht="14.5" hidden="false" customHeight="false" outlineLevel="0" collapsed="false">
      <c r="B381" s="2906" t="str">
        <f aca="false">'Смета Внутр'!B387</f>
        <v>Болты анкерные с гайкой 12,0 x 100</v>
      </c>
      <c r="C381" s="2896" t="str">
        <f aca="false">'Смета Внутр'!C387</f>
        <v>шт.</v>
      </c>
      <c r="D381" s="2891" t="n">
        <f aca="false">'Смета Внутр'!D387</f>
        <v>0</v>
      </c>
      <c r="E381" s="2896"/>
      <c r="F381" s="2891"/>
    </row>
    <row r="382" customFormat="false" ht="14.5" hidden="false" customHeight="false" outlineLevel="0" collapsed="false">
      <c r="B382" s="2906" t="str">
        <f aca="false">'Смета Внутр'!B388</f>
        <v>Саморез 5,5 х 25</v>
      </c>
      <c r="C382" s="2896" t="str">
        <f aca="false">'Смета Внутр'!C388</f>
        <v>шт.</v>
      </c>
      <c r="D382" s="2891" t="n">
        <f aca="false">'Смета Внутр'!D388</f>
        <v>0</v>
      </c>
      <c r="E382" s="2896"/>
      <c r="F382" s="2891"/>
    </row>
    <row r="383" customFormat="false" ht="14.5" hidden="false" customHeight="false" outlineLevel="0" collapsed="false">
      <c r="B383" s="2906" t="str">
        <f aca="false">'Смета Внутр'!B389</f>
        <v>ГПС 150х50-1,2</v>
      </c>
      <c r="C383" s="2896" t="str">
        <f aca="false">'Смета Внутр'!C389</f>
        <v>мп.</v>
      </c>
      <c r="D383" s="2891" t="n">
        <f aca="false">'Смета Внутр'!D389</f>
        <v>14</v>
      </c>
      <c r="E383" s="2896"/>
      <c r="F383" s="2891"/>
    </row>
    <row r="384" customFormat="false" ht="14.5" hidden="false" customHeight="false" outlineLevel="0" collapsed="false">
      <c r="B384" s="2906" t="str">
        <f aca="false">'Смета Внутр'!B390</f>
        <v>Саморез 5,5 х 25</v>
      </c>
      <c r="C384" s="2896" t="str">
        <f aca="false">'Смета Внутр'!C390</f>
        <v>шт.</v>
      </c>
      <c r="D384" s="2891" t="n">
        <f aca="false">'Смета Внутр'!D390</f>
        <v>81</v>
      </c>
      <c r="E384" s="2896"/>
      <c r="F384" s="2891"/>
    </row>
    <row r="385" customFormat="false" ht="14.5" hidden="false" customHeight="false" outlineLevel="0" collapsed="false">
      <c r="B385" s="2906" t="str">
        <f aca="false">'Смета Внутр'!B391</f>
        <v>L 50 x 50, 1,2мм</v>
      </c>
      <c r="C385" s="2896" t="str">
        <f aca="false">'Смета Внутр'!C391</f>
        <v>м.п.</v>
      </c>
      <c r="D385" s="2891" t="n">
        <f aca="false">'Смета Внутр'!D391</f>
        <v>8.1</v>
      </c>
      <c r="E385" s="2896"/>
      <c r="F385" s="2891"/>
    </row>
    <row r="386" customFormat="false" ht="14.5" hidden="false" customHeight="false" outlineLevel="0" collapsed="false">
      <c r="B386" s="2906" t="str">
        <f aca="false">'Смета Внутр'!B392</f>
        <v>ГПС 120х50-1,5</v>
      </c>
      <c r="C386" s="2896" t="str">
        <f aca="false">'Смета Внутр'!C392</f>
        <v>м.п.</v>
      </c>
      <c r="D386" s="2891" t="n">
        <f aca="false">'Смета Внутр'!D392</f>
        <v>7.8</v>
      </c>
      <c r="E386" s="2896"/>
      <c r="F386" s="2891"/>
    </row>
    <row r="387" customFormat="false" ht="14.5" hidden="false" customHeight="false" outlineLevel="0" collapsed="false">
      <c r="B387" s="2906" t="str">
        <f aca="false">'Смета Внутр'!B393</f>
        <v>Саморез 5,5 х 25</v>
      </c>
      <c r="C387" s="2896" t="str">
        <f aca="false">'Смета Внутр'!C393</f>
        <v>шт.</v>
      </c>
      <c r="D387" s="2891" t="n">
        <f aca="false">'Смета Внутр'!D393</f>
        <v>48</v>
      </c>
      <c r="E387" s="2896"/>
      <c r="F387" s="2891"/>
    </row>
    <row r="388" customFormat="false" ht="14.5" hidden="false" customHeight="false" outlineLevel="0" collapsed="false">
      <c r="B388" s="2906" t="str">
        <f aca="false">'Смета Внутр'!B394</f>
        <v>нет</v>
      </c>
      <c r="C388" s="2896" t="str">
        <f aca="false">'Смета Внутр'!C394</f>
        <v>м.п.</v>
      </c>
      <c r="D388" s="2891" t="n">
        <f aca="false">'Смета Внутр'!D394</f>
        <v>0</v>
      </c>
      <c r="E388" s="2896"/>
      <c r="F388" s="2891"/>
    </row>
    <row r="389" customFormat="false" ht="14.5" hidden="false" customHeight="false" outlineLevel="0" collapsed="false">
      <c r="B389" s="2906" t="str">
        <f aca="false">'Смета Внутр'!B395</f>
        <v>нет</v>
      </c>
      <c r="C389" s="2896" t="str">
        <f aca="false">'Смета Внутр'!C395</f>
        <v>м.п.</v>
      </c>
      <c r="D389" s="2891" t="n">
        <f aca="false">'Смета Внутр'!D395</f>
        <v>0</v>
      </c>
      <c r="E389" s="2896"/>
      <c r="F389" s="2891"/>
    </row>
    <row r="390" customFormat="false" ht="14.5" hidden="false" customHeight="false" outlineLevel="0" collapsed="false">
      <c r="B390" s="2906" t="n">
        <f aca="false">'Смета Внутр'!B396</f>
        <v>0</v>
      </c>
      <c r="C390" s="2896" t="str">
        <f aca="false">'Смета Внутр'!C396</f>
        <v>шт.</v>
      </c>
      <c r="D390" s="2891" t="n">
        <f aca="false">'Смета Внутр'!D396</f>
        <v>0</v>
      </c>
      <c r="E390" s="2896"/>
      <c r="F390" s="2891"/>
    </row>
    <row r="391" customFormat="false" ht="14.5" hidden="false" customHeight="false" outlineLevel="0" collapsed="false">
      <c r="B391" s="2906" t="n">
        <f aca="false">'Смета Внутр'!B397</f>
        <v>0</v>
      </c>
      <c r="C391" s="2896" t="str">
        <f aca="false">'Смета Внутр'!C397</f>
        <v>шт.</v>
      </c>
      <c r="D391" s="2891" t="n">
        <f aca="false">'Смета Внутр'!D397</f>
        <v>0</v>
      </c>
      <c r="E391" s="2896"/>
      <c r="F391" s="2891"/>
    </row>
    <row r="392" customFormat="false" ht="14.5" hidden="false" customHeight="false" outlineLevel="0" collapsed="false">
      <c r="B392" s="2906" t="str">
        <f aca="false">'Смета Внутр'!B398</f>
        <v>нет</v>
      </c>
      <c r="C392" s="2896" t="str">
        <f aca="false">'Смета Внутр'!C398</f>
        <v>м2</v>
      </c>
      <c r="D392" s="2891" t="n">
        <f aca="false">'Смета Внутр'!D398</f>
        <v>0</v>
      </c>
      <c r="E392" s="2896"/>
      <c r="F392" s="2891"/>
    </row>
    <row r="393" customFormat="false" ht="14.5" hidden="false" customHeight="false" outlineLevel="0" collapsed="false">
      <c r="B393" s="2906" t="str">
        <f aca="false">'Смета Внутр'!B399</f>
        <v>Саморезы 3,5 x 25</v>
      </c>
      <c r="C393" s="2896" t="str">
        <f aca="false">'Смета Внутр'!C399</f>
        <v>шт.</v>
      </c>
      <c r="D393" s="2891" t="n">
        <f aca="false">'Смета Внутр'!D399</f>
        <v>0</v>
      </c>
      <c r="E393" s="2896"/>
      <c r="F393" s="2891"/>
    </row>
    <row r="394" customFormat="false" ht="14.5" hidden="false" customHeight="false" outlineLevel="0" collapsed="false">
      <c r="B394" s="2906" t="str">
        <f aca="false">'Смета Внутр'!B400</f>
        <v>нет</v>
      </c>
      <c r="C394" s="2896" t="str">
        <f aca="false">'Смета Внутр'!C400</f>
        <v>м.п.</v>
      </c>
      <c r="D394" s="2891" t="n">
        <f aca="false">'Смета Внутр'!D400</f>
        <v>0</v>
      </c>
      <c r="E394" s="2896"/>
      <c r="F394" s="2891"/>
    </row>
    <row r="395" customFormat="false" ht="14.5" hidden="false" customHeight="false" outlineLevel="0" collapsed="false">
      <c r="B395" s="2906" t="n">
        <f aca="false">'Смета Внутр'!B401</f>
        <v>0</v>
      </c>
      <c r="C395" s="2896" t="str">
        <f aca="false">'Смета Внутр'!C401</f>
        <v>шт.</v>
      </c>
      <c r="D395" s="2891" t="n">
        <f aca="false">'Смета Внутр'!D401</f>
        <v>0</v>
      </c>
      <c r="E395" s="2896"/>
      <c r="F395" s="2891"/>
    </row>
    <row r="396" customFormat="false" ht="14.5" hidden="false" customHeight="false" outlineLevel="0" collapsed="false">
      <c r="B396" s="2906" t="str">
        <f aca="false">'Смета Внутр'!B402</f>
        <v>нет</v>
      </c>
      <c r="C396" s="2896" t="str">
        <f aca="false">'Смета Внутр'!C402</f>
        <v>м2</v>
      </c>
      <c r="D396" s="2891" t="n">
        <f aca="false">'Смета Внутр'!D402</f>
        <v>0</v>
      </c>
      <c r="E396" s="2896"/>
      <c r="F396" s="2891"/>
    </row>
    <row r="397" customFormat="false" ht="14.5" hidden="false" customHeight="false" outlineLevel="0" collapsed="false">
      <c r="B397" s="2906" t="str">
        <f aca="false">'Смета Внутр'!B403</f>
        <v>Саморезы 3,5 x 45</v>
      </c>
      <c r="C397" s="2896" t="str">
        <f aca="false">'Смета Внутр'!C403</f>
        <v>шт.</v>
      </c>
      <c r="D397" s="2891" t="n">
        <f aca="false">'Смета Внутр'!D403</f>
        <v>0</v>
      </c>
      <c r="E397" s="2896"/>
      <c r="F397" s="2891"/>
    </row>
    <row r="398" customFormat="false" ht="14.5" hidden="false" customHeight="false" outlineLevel="0" collapsed="false">
      <c r="B398" s="2906" t="str">
        <f aca="false">'Смета Внутр'!B404</f>
        <v>нет</v>
      </c>
      <c r="C398" s="2896" t="str">
        <f aca="false">'Смета Внутр'!C404</f>
        <v>м.п.</v>
      </c>
      <c r="D398" s="2891" t="n">
        <f aca="false">'Смета Внутр'!D404</f>
        <v>192</v>
      </c>
      <c r="E398" s="2896"/>
      <c r="F398" s="2891"/>
    </row>
    <row r="399" customFormat="false" ht="14.5" hidden="false" customHeight="false" outlineLevel="0" collapsed="false">
      <c r="B399" s="2906" t="str">
        <f aca="false">'Смета Внутр'!B405</f>
        <v>нет</v>
      </c>
      <c r="C399" s="2896" t="str">
        <f aca="false">'Смета Внутр'!C405</f>
        <v>м.п.</v>
      </c>
      <c r="D399" s="2891" t="n">
        <f aca="false">'Смета Внутр'!D405</f>
        <v>192</v>
      </c>
      <c r="E399" s="2896"/>
      <c r="F399" s="2891"/>
    </row>
    <row r="400" customFormat="false" ht="14.5" hidden="false" customHeight="false" outlineLevel="0" collapsed="false">
      <c r="B400" s="2906" t="n">
        <f aca="false">'Смета Внутр'!B406</f>
        <v>0</v>
      </c>
      <c r="C400" s="2896" t="str">
        <f aca="false">'Смета Внутр'!C406</f>
        <v>шт.</v>
      </c>
      <c r="D400" s="2891" t="n">
        <f aca="false">'Смета Внутр'!D406</f>
        <v>384</v>
      </c>
      <c r="E400" s="2896"/>
      <c r="F400" s="2891"/>
    </row>
    <row r="401" customFormat="false" ht="14.5" hidden="false" customHeight="false" outlineLevel="0" collapsed="false">
      <c r="B401" s="2906" t="str">
        <f aca="false">'Смета Внутр'!B407</f>
        <v>Кровельный саморез</v>
      </c>
      <c r="C401" s="2896" t="str">
        <f aca="false">'Смета Внутр'!C407</f>
        <v>шт.</v>
      </c>
      <c r="D401" s="2891" t="n">
        <f aca="false">'Смета Внутр'!D407</f>
        <v>0</v>
      </c>
      <c r="E401" s="2896"/>
      <c r="F401" s="2891"/>
    </row>
    <row r="402" customFormat="false" ht="14.5" hidden="false" customHeight="false" outlineLevel="0" collapsed="false">
      <c r="B402" s="2906" t="str">
        <f aca="false">'Смета Внутр'!B408</f>
        <v>нет</v>
      </c>
      <c r="C402" s="2896" t="str">
        <f aca="false">'Смета Внутр'!C408</f>
        <v>м.п.</v>
      </c>
      <c r="D402" s="2891" t="n">
        <f aca="false">'Смета Внутр'!D408</f>
        <v>192</v>
      </c>
      <c r="E402" s="2896"/>
      <c r="F402" s="2891"/>
    </row>
    <row r="403" customFormat="false" ht="14.5" hidden="false" customHeight="false" outlineLevel="0" collapsed="false">
      <c r="B403" s="2906" t="str">
        <f aca="false">'Смета Внутр'!B409</f>
        <v>нет</v>
      </c>
      <c r="C403" s="2896" t="str">
        <f aca="false">'Смета Внутр'!C409</f>
        <v>м.п.</v>
      </c>
      <c r="D403" s="2891" t="n">
        <f aca="false">'Смета Внутр'!D409</f>
        <v>110</v>
      </c>
      <c r="E403" s="2896"/>
      <c r="F403" s="2891"/>
    </row>
    <row r="404" customFormat="false" ht="14.5" hidden="false" customHeight="false" outlineLevel="0" collapsed="false">
      <c r="B404" s="2906" t="n">
        <f aca="false">'Смета Внутр'!B410</f>
        <v>0</v>
      </c>
      <c r="C404" s="2896" t="str">
        <f aca="false">'Смета Внутр'!C410</f>
        <v>шт.</v>
      </c>
      <c r="D404" s="2891" t="n">
        <f aca="false">'Смета Внутр'!D410</f>
        <v>384</v>
      </c>
      <c r="E404" s="2896"/>
      <c r="F404" s="2891"/>
    </row>
    <row r="405" customFormat="false" ht="14.5" hidden="false" customHeight="false" outlineLevel="0" collapsed="false">
      <c r="B405" s="2906" t="str">
        <f aca="false">'Смета Внутр'!B411</f>
        <v>Кровельный саморез</v>
      </c>
      <c r="C405" s="2896" t="str">
        <f aca="false">'Смета Внутр'!C411</f>
        <v>шт.</v>
      </c>
      <c r="D405" s="2891" t="n">
        <f aca="false">'Смета Внутр'!D411</f>
        <v>0</v>
      </c>
      <c r="E405" s="2896"/>
      <c r="F405" s="2891"/>
    </row>
    <row r="406" customFormat="false" ht="14.5" hidden="false" customHeight="false" outlineLevel="0" collapsed="false">
      <c r="B406" s="2906" t="str">
        <f aca="false">'Смета Внутр'!B412</f>
        <v>Саморезы 3,5 x 25</v>
      </c>
      <c r="C406" s="2896" t="str">
        <f aca="false">'Смета Внутр'!C412</f>
        <v>шт.</v>
      </c>
      <c r="D406" s="2891" t="n">
        <f aca="false">'Смета Внутр'!D412</f>
        <v>0</v>
      </c>
      <c r="E406" s="2896"/>
      <c r="F406" s="2891"/>
    </row>
    <row r="407" customFormat="false" ht="14.5" hidden="false" customHeight="false" outlineLevel="0" collapsed="false">
      <c r="B407" s="2906" t="str">
        <f aca="false">'Смета Внутр'!B413</f>
        <v>Саморезы 3,5 x 25</v>
      </c>
      <c r="C407" s="2896" t="str">
        <f aca="false">'Смета Внутр'!C413</f>
        <v>шт.</v>
      </c>
      <c r="D407" s="2891" t="n">
        <f aca="false">'Смета Внутр'!D413</f>
        <v>1200</v>
      </c>
      <c r="E407" s="2896"/>
      <c r="F407" s="2891"/>
    </row>
    <row r="408" customFormat="false" ht="14.5" hidden="false" customHeight="false" outlineLevel="0" collapsed="false">
      <c r="B408" s="2906" t="str">
        <f aca="false">'Смета Внутр'!B414</f>
        <v>ГПС 120х50-1,5</v>
      </c>
      <c r="C408" s="2896" t="str">
        <f aca="false">'Смета Внутр'!C414</f>
        <v>м3</v>
      </c>
      <c r="D408" s="2891" t="n">
        <f aca="false">'Смета Внутр'!D414</f>
        <v>0</v>
      </c>
      <c r="E408" s="2896"/>
      <c r="F408" s="2891"/>
    </row>
    <row r="409" customFormat="false" ht="14.5" hidden="false" customHeight="false" outlineLevel="0" collapsed="false">
      <c r="B409" s="2906" t="str">
        <f aca="false">'Смета Внутр'!B415</f>
        <v>ГПС 170х50-2,0</v>
      </c>
      <c r="C409" s="2896" t="str">
        <f aca="false">'Смета Внутр'!C415</f>
        <v>м3</v>
      </c>
      <c r="D409" s="2891" t="n">
        <f aca="false">'Смета Внутр'!D415</f>
        <v>0</v>
      </c>
      <c r="E409" s="2896"/>
      <c r="F409" s="2891"/>
    </row>
    <row r="410" customFormat="false" ht="14.5" hidden="false" customHeight="false" outlineLevel="0" collapsed="false">
      <c r="B410" s="2906" t="str">
        <f aca="false">'Смета Внутр'!B416</f>
        <v>Лист ГВЛВ 2500х1200х10 мм</v>
      </c>
      <c r="C410" s="2896" t="str">
        <f aca="false">'Смета Внутр'!C416</f>
        <v>м2</v>
      </c>
      <c r="D410" s="2891" t="n">
        <f aca="false">'Смета Внутр'!D416</f>
        <v>100</v>
      </c>
      <c r="E410" s="2896"/>
      <c r="F410" s="2891"/>
    </row>
    <row r="411" customFormat="false" ht="14.5" hidden="false" customHeight="false" outlineLevel="0" collapsed="false">
      <c r="B411" s="2906" t="str">
        <f aca="false">'Смета Внутр'!B417</f>
        <v>нет</v>
      </c>
      <c r="C411" s="2896" t="str">
        <f aca="false">'Смета Внутр'!C417</f>
        <v>м.п.</v>
      </c>
      <c r="D411" s="2891" t="n">
        <f aca="false">'Смета Внутр'!D417</f>
        <v>0</v>
      </c>
      <c r="E411" s="2896"/>
      <c r="F411" s="2891"/>
    </row>
    <row r="412" customFormat="false" ht="14.5" hidden="false" customHeight="false" outlineLevel="0" collapsed="false">
      <c r="B412" s="2906" t="str">
        <f aca="false">'Смета Внутр'!B418</f>
        <v>Нет</v>
      </c>
      <c r="C412" s="2896" t="str">
        <f aca="false">'Смета Внутр'!C418</f>
        <v>м3</v>
      </c>
      <c r="D412" s="2891" t="n">
        <f aca="false">'Смета Внутр'!D418</f>
        <v>0</v>
      </c>
      <c r="E412" s="2896"/>
      <c r="F412" s="2891"/>
    </row>
    <row r="413" customFormat="false" ht="14.5" hidden="false" customHeight="false" outlineLevel="0" collapsed="false">
      <c r="B413" s="2906" t="str">
        <f aca="false">'Смета Внутр'!B419</f>
        <v>Нет</v>
      </c>
      <c r="C413" s="2896" t="str">
        <f aca="false">'Смета Внутр'!C419</f>
        <v>м3</v>
      </c>
      <c r="D413" s="2891" t="n">
        <f aca="false">'Смета Внутр'!D419</f>
        <v>0</v>
      </c>
      <c r="E413" s="2896"/>
      <c r="F413" s="2891"/>
    </row>
    <row r="414" customFormat="false" ht="14.5" hidden="false" customHeight="false" outlineLevel="0" collapsed="false">
      <c r="B414" s="2906" t="str">
        <f aca="false">'Смета Внутр'!B420</f>
        <v>нет</v>
      </c>
      <c r="C414" s="2896" t="str">
        <f aca="false">'Смета Внутр'!C420</f>
        <v>м2</v>
      </c>
      <c r="D414" s="2891" t="n">
        <f aca="false">'Смета Внутр'!D420</f>
        <v>0</v>
      </c>
      <c r="E414" s="2896"/>
      <c r="F414" s="2891"/>
    </row>
    <row r="415" customFormat="false" ht="14.5" hidden="false" customHeight="false" outlineLevel="0" collapsed="false">
      <c r="B415" s="2906" t="str">
        <f aca="false">'Смета Внутр'!B421</f>
        <v>нет</v>
      </c>
      <c r="C415" s="2896" t="str">
        <f aca="false">'Смета Внутр'!C421</f>
        <v>м2</v>
      </c>
      <c r="D415" s="2891" t="n">
        <f aca="false">'Смета Внутр'!D421</f>
        <v>0</v>
      </c>
      <c r="E415" s="2896"/>
      <c r="F415" s="2891"/>
    </row>
    <row r="416" customFormat="false" ht="14.5" hidden="false" customHeight="false" outlineLevel="0" collapsed="false">
      <c r="B416" s="2906" t="str">
        <f aca="false">'Смета Внутр'!B422</f>
        <v>нет</v>
      </c>
      <c r="C416" s="2896" t="str">
        <f aca="false">'Смета Внутр'!C422</f>
        <v>м2</v>
      </c>
      <c r="D416" s="2891" t="n">
        <f aca="false">'Смета Внутр'!D422</f>
        <v>0</v>
      </c>
      <c r="E416" s="2896"/>
      <c r="F416" s="2891"/>
    </row>
    <row r="417" customFormat="false" ht="14.5" hidden="false" customHeight="false" outlineLevel="0" collapsed="false">
      <c r="B417" s="2906" t="str">
        <f aca="false">'Смета Внутр'!B423</f>
        <v>Саморезы 3,5 x 25</v>
      </c>
      <c r="C417" s="2896" t="str">
        <f aca="false">'Смета Внутр'!C423</f>
        <v>шт</v>
      </c>
      <c r="D417" s="2891" t="n">
        <f aca="false">'Смета Внутр'!D423</f>
        <v>0</v>
      </c>
      <c r="E417" s="2896"/>
      <c r="F417" s="2891"/>
    </row>
    <row r="418" customFormat="false" ht="14.5" hidden="false" customHeight="false" outlineLevel="0" collapsed="false">
      <c r="B418" s="2906" t="str">
        <f aca="false">'Смета Внутр'!B424</f>
        <v>Гвозди ершоные 2,8 х 90</v>
      </c>
      <c r="C418" s="2896" t="str">
        <f aca="false">'Смета Внутр'!C424</f>
        <v>кг</v>
      </c>
      <c r="D418" s="2891" t="n">
        <f aca="false">'Смета Внутр'!D424</f>
        <v>0</v>
      </c>
      <c r="E418" s="2896"/>
      <c r="F418" s="2891"/>
    </row>
    <row r="419" customFormat="false" ht="14.5" hidden="false" customHeight="false" outlineLevel="0" collapsed="false">
      <c r="B419" s="2906" t="str">
        <f aca="false">'Смета Внутр'!B425</f>
        <v>Гвозди ершоные 3,4 x 60</v>
      </c>
      <c r="C419" s="2896" t="str">
        <f aca="false">'Смета Внутр'!C425</f>
        <v>кг</v>
      </c>
      <c r="D419" s="2891" t="n">
        <f aca="false">'Смета Внутр'!D425</f>
        <v>0</v>
      </c>
      <c r="E419" s="2896"/>
      <c r="F419" s="2891"/>
    </row>
    <row r="420" customFormat="false" ht="14.5" hidden="false" customHeight="false" outlineLevel="0" collapsed="false">
      <c r="B420" s="2906" t="str">
        <f aca="false">'Смета Внутр'!B426</f>
        <v>нет ветроизоляции</v>
      </c>
      <c r="C420" s="2896" t="str">
        <f aca="false">'Смета Внутр'!C426</f>
        <v>м2</v>
      </c>
      <c r="D420" s="2891" t="n">
        <f aca="false">'Смета Внутр'!D426</f>
        <v>0</v>
      </c>
      <c r="E420" s="2896"/>
      <c r="F420" s="2891"/>
    </row>
    <row r="421" customFormat="false" ht="14.5" hidden="false" customHeight="false" outlineLevel="0" collapsed="false">
      <c r="B421" s="2906" t="str">
        <f aca="false">'Смета Внутр'!B427</f>
        <v>нет пароизоляции</v>
      </c>
      <c r="C421" s="2896" t="str">
        <f aca="false">'Смета Внутр'!C427</f>
        <v>м2</v>
      </c>
      <c r="D421" s="2891" t="n">
        <f aca="false">'Смета Внутр'!D427</f>
        <v>0</v>
      </c>
      <c r="E421" s="2896"/>
      <c r="F421" s="2891"/>
    </row>
    <row r="422" customFormat="false" ht="14.5" hidden="false" customHeight="false" outlineLevel="0" collapsed="false">
      <c r="B422" s="2906" t="str">
        <f aca="false">'Смета Внутр'!B428</f>
        <v>Скобы для степлера, 1000шт/уп</v>
      </c>
      <c r="C422" s="2896" t="str">
        <f aca="false">'Смета Внутр'!C428</f>
        <v>уп</v>
      </c>
      <c r="D422" s="2891" t="n">
        <f aca="false">'Смета Внутр'!D428</f>
        <v>5</v>
      </c>
      <c r="E422" s="2896"/>
      <c r="F422" s="2891"/>
    </row>
    <row r="423" customFormat="false" ht="14.5" hidden="false" customHeight="false" outlineLevel="0" collapsed="false">
      <c r="B423" s="2896" t="str">
        <f aca="false">'Смета Внутр'!B429</f>
        <v>Итого материалы</v>
      </c>
      <c r="C423" s="2896"/>
      <c r="D423" s="2896"/>
      <c r="E423" s="2896"/>
      <c r="F423" s="2891" t="n">
        <f aca="false">'Смета Внутр'!G429</f>
        <v>0</v>
      </c>
    </row>
    <row r="424" customFormat="false" ht="14.5" hidden="false" customHeight="false" outlineLevel="0" collapsed="false">
      <c r="B424" s="2906" t="str">
        <f aca="false">'Смета Внутр'!B430</f>
        <v>Работы</v>
      </c>
      <c r="C424" s="2906"/>
      <c r="D424" s="2906"/>
      <c r="E424" s="2906"/>
      <c r="F424" s="2906"/>
    </row>
    <row r="425" customFormat="false" ht="14.5" hidden="false" customHeight="false" outlineLevel="0" collapsed="false">
      <c r="B425" s="2906" t="str">
        <f aca="false">'Смета Внутр'!B431</f>
        <v>монтаж обвязки</v>
      </c>
      <c r="C425" s="2896" t="str">
        <f aca="false">'Смета Внутр'!C431</f>
        <v>м.п.</v>
      </c>
      <c r="D425" s="2891" t="n">
        <f aca="false">'Смета Внутр'!D431</f>
        <v>0</v>
      </c>
      <c r="E425" s="2896"/>
      <c r="F425" s="2891"/>
    </row>
    <row r="426" customFormat="false" ht="14.5" hidden="false" customHeight="false" outlineLevel="0" collapsed="false">
      <c r="B426" s="2906" t="str">
        <f aca="false">'Смета Внутр'!B432</f>
        <v>монтаж стен каркаса</v>
      </c>
      <c r="C426" s="2896" t="str">
        <f aca="false">'Смета Внутр'!C432</f>
        <v>м2</v>
      </c>
      <c r="D426" s="2891" t="n">
        <f aca="false">'Смета Внутр'!D432</f>
        <v>0</v>
      </c>
      <c r="E426" s="2896"/>
      <c r="F426" s="2891"/>
    </row>
    <row r="427" customFormat="false" ht="14.5" hidden="false" customHeight="false" outlineLevel="0" collapsed="false">
      <c r="B427" s="2906" t="str">
        <f aca="false">'Смета Внутр'!B433</f>
        <v>Монтаж несущих перегородок</v>
      </c>
      <c r="C427" s="2896" t="str">
        <f aca="false">'Смета Внутр'!C433</f>
        <v>м2</v>
      </c>
      <c r="D427" s="2891" t="n">
        <f aca="false">'Смета Внутр'!D433</f>
        <v>0</v>
      </c>
      <c r="E427" s="2896"/>
      <c r="F427" s="2891"/>
    </row>
    <row r="428" customFormat="false" ht="14.5" hidden="false" customHeight="false" outlineLevel="0" collapsed="false">
      <c r="B428" s="2906" t="str">
        <f aca="false">'Смета Внутр'!B434</f>
        <v>Монтаж перегородок</v>
      </c>
      <c r="C428" s="2896" t="str">
        <f aca="false">'Смета Внутр'!C434</f>
        <v>м2</v>
      </c>
      <c r="D428" s="2891" t="n">
        <f aca="false">'Смета Внутр'!D434</f>
        <v>0</v>
      </c>
      <c r="E428" s="2896"/>
      <c r="F428" s="2891"/>
    </row>
    <row r="429" customFormat="false" ht="14.5" hidden="false" customHeight="false" outlineLevel="0" collapsed="false">
      <c r="B429" s="2906" t="str">
        <f aca="false">'Смета Внутр'!B435</f>
        <v>Монтаж вентиляционного зазора</v>
      </c>
      <c r="C429" s="2896" t="str">
        <f aca="false">'Смета Внутр'!C435</f>
        <v>м2</v>
      </c>
      <c r="D429" s="2891" t="n">
        <f aca="false">'Смета Внутр'!D435</f>
        <v>0</v>
      </c>
      <c r="E429" s="2896"/>
      <c r="F429" s="2891"/>
    </row>
    <row r="430" customFormat="false" ht="14.5" hidden="false" customHeight="false" outlineLevel="0" collapsed="false">
      <c r="B430" s="2906" t="str">
        <f aca="false">'Смета Внутр'!B436</f>
        <v>Монтаж технологического зазора</v>
      </c>
      <c r="C430" s="2896" t="str">
        <f aca="false">'Смета Внутр'!C436</f>
        <v>м2</v>
      </c>
      <c r="D430" s="2891" t="n">
        <f aca="false">'Смета Внутр'!D436</f>
        <v>0</v>
      </c>
      <c r="E430" s="2896"/>
      <c r="F430" s="2891"/>
    </row>
    <row r="431" customFormat="false" ht="14.5" hidden="false" customHeight="false" outlineLevel="0" collapsed="false">
      <c r="B431" s="2906" t="str">
        <f aca="false">'Смета Внутр'!B437</f>
        <v>монтаж ветроизоляции стен</v>
      </c>
      <c r="C431" s="2896" t="str">
        <f aca="false">'Смета Внутр'!C437</f>
        <v>м2</v>
      </c>
      <c r="D431" s="2891" t="n">
        <f aca="false">'Смета Внутр'!D437</f>
        <v>0</v>
      </c>
      <c r="E431" s="2896"/>
      <c r="F431" s="2891"/>
    </row>
    <row r="432" customFormat="false" ht="14.5" hidden="false" customHeight="false" outlineLevel="0" collapsed="false">
      <c r="B432" s="2906" t="str">
        <f aca="false">'Смета Внутр'!B438</f>
        <v>монтаж пароизоляции стен</v>
      </c>
      <c r="C432" s="2896" t="str">
        <f aca="false">'Смета Внутр'!C438</f>
        <v>м2</v>
      </c>
      <c r="D432" s="2891" t="n">
        <f aca="false">'Смета Внутр'!D438</f>
        <v>0</v>
      </c>
      <c r="E432" s="2896"/>
      <c r="F432" s="2891"/>
    </row>
    <row r="433" customFormat="false" ht="14.5" hidden="false" customHeight="false" outlineLevel="0" collapsed="false">
      <c r="B433" s="2906" t="str">
        <f aca="false">'Смета Внутр'!B439</f>
        <v>монтаж osb/фанера наруж стены</v>
      </c>
      <c r="C433" s="2896" t="str">
        <f aca="false">'Смета Внутр'!C439</f>
        <v>м2</v>
      </c>
      <c r="D433" s="2891" t="n">
        <f aca="false">'Смета Внутр'!D439</f>
        <v>0</v>
      </c>
      <c r="E433" s="2896"/>
      <c r="F433" s="2891"/>
    </row>
    <row r="434" customFormat="false" ht="14.5" hidden="false" customHeight="false" outlineLevel="0" collapsed="false">
      <c r="B434" s="2906" t="str">
        <f aca="false">'Смета Внутр'!B440</f>
        <v>монтаж osb/фанера потолок</v>
      </c>
      <c r="C434" s="2896" t="str">
        <f aca="false">'Смета Внутр'!C440</f>
        <v>м2</v>
      </c>
      <c r="D434" s="2891" t="n">
        <f aca="false">'Смета Внутр'!D440</f>
        <v>0</v>
      </c>
      <c r="E434" s="2896"/>
      <c r="F434" s="2891"/>
    </row>
    <row r="435" customFormat="false" ht="14.5" hidden="false" customHeight="false" outlineLevel="0" collapsed="false">
      <c r="B435" s="2906" t="str">
        <f aca="false">'Смета Внутр'!B441</f>
        <v>монтаж osb/фанера перегородки</v>
      </c>
      <c r="C435" s="2896" t="str">
        <f aca="false">'Смета Внутр'!C441</f>
        <v>м2</v>
      </c>
      <c r="D435" s="2891" t="n">
        <f aca="false">'Смета Внутр'!D441</f>
        <v>0</v>
      </c>
      <c r="E435" s="2896"/>
      <c r="F435" s="2891"/>
    </row>
    <row r="436" customFormat="false" ht="14.5" hidden="false" customHeight="false" outlineLevel="0" collapsed="false">
      <c r="B436" s="2906" t="str">
        <f aca="false">'Смета Внутр'!B442</f>
        <v>монтаж osb/фанера пол</v>
      </c>
      <c r="C436" s="2896" t="str">
        <f aca="false">'Смета Внутр'!C442</f>
        <v>м2</v>
      </c>
      <c r="D436" s="2891" t="n">
        <f aca="false">'Смета Внутр'!D442</f>
        <v>100</v>
      </c>
      <c r="E436" s="2896"/>
      <c r="F436" s="2891"/>
    </row>
    <row r="437" customFormat="false" ht="14.5" hidden="false" customHeight="false" outlineLevel="0" collapsed="false">
      <c r="B437" s="2906" t="str">
        <f aca="false">'Смета Внутр'!B443</f>
        <v>утепление наружних стен</v>
      </c>
      <c r="C437" s="2896" t="str">
        <f aca="false">'Смета Внутр'!C443</f>
        <v>м2</v>
      </c>
      <c r="D437" s="2891" t="n">
        <f aca="false">'Смета Внутр'!D443</f>
        <v>0</v>
      </c>
      <c r="E437" s="2896"/>
      <c r="F437" s="2891"/>
    </row>
    <row r="438" customFormat="false" ht="14.5" hidden="false" customHeight="false" outlineLevel="0" collapsed="false">
      <c r="B438" s="2906" t="str">
        <f aca="false">'Смета Внутр'!B444</f>
        <v>Утепление перегородок</v>
      </c>
      <c r="C438" s="2896" t="str">
        <f aca="false">'Смета Внутр'!C444</f>
        <v>м2</v>
      </c>
      <c r="D438" s="2891" t="n">
        <f aca="false">'Смета Внутр'!D444</f>
        <v>0</v>
      </c>
      <c r="E438" s="2896"/>
      <c r="F438" s="2891"/>
    </row>
    <row r="439" customFormat="false" ht="14.5" hidden="false" customHeight="false" outlineLevel="0" collapsed="false">
      <c r="B439" s="2906" t="str">
        <f aca="false">'Смета Внутр'!B445</f>
        <v>Монтаж горизонтальной обрешетки</v>
      </c>
      <c r="C439" s="2896" t="str">
        <f aca="false">'Смета Внутр'!C445</f>
        <v>м2</v>
      </c>
      <c r="D439" s="2891" t="n">
        <f aca="false">'Смета Внутр'!D445</f>
        <v>0</v>
      </c>
      <c r="E439" s="2896"/>
      <c r="F439" s="2891"/>
    </row>
    <row r="440" customFormat="false" ht="14.5" hidden="false" customHeight="false" outlineLevel="0" collapsed="false">
      <c r="B440" s="2906" t="str">
        <f aca="false">'Смета Внутр'!B446</f>
        <v>Монтаж вертикальной обрешетки</v>
      </c>
      <c r="C440" s="2896" t="str">
        <f aca="false">'Смета Внутр'!C446</f>
        <v>м2</v>
      </c>
      <c r="D440" s="2891" t="n">
        <f aca="false">'Смета Внутр'!D446</f>
        <v>0</v>
      </c>
      <c r="E440" s="2896"/>
      <c r="F440" s="2891"/>
    </row>
    <row r="441" customFormat="false" ht="14.5" hidden="false" customHeight="false" outlineLevel="0" collapsed="false">
      <c r="B441" s="2906" t="str">
        <f aca="false">'Смета Внутр'!B447</f>
        <v>Монтаж обрешетки потолок</v>
      </c>
      <c r="C441" s="2896" t="str">
        <f aca="false">'Смета Внутр'!C447</f>
        <v>м2</v>
      </c>
      <c r="D441" s="2891" t="n">
        <f aca="false">'Смета Внутр'!D447</f>
        <v>0</v>
      </c>
      <c r="E441" s="2896"/>
      <c r="F441" s="2891"/>
    </row>
    <row r="442" customFormat="false" ht="14.5" hidden="false" customHeight="false" outlineLevel="0" collapsed="false">
      <c r="B442" s="2906" t="str">
        <f aca="false">'Смета Внутр'!B448</f>
        <v>Монтаж профлист потолок</v>
      </c>
      <c r="C442" s="2896" t="str">
        <f aca="false">'Смета Внутр'!C448</f>
        <v>м2</v>
      </c>
      <c r="D442" s="2891" t="n">
        <f aca="false">'Смета Внутр'!D448</f>
        <v>0</v>
      </c>
      <c r="E442" s="2896"/>
      <c r="F442" s="2891"/>
    </row>
    <row r="443" customFormat="false" ht="14.5" hidden="false" customHeight="false" outlineLevel="0" collapsed="false">
      <c r="B443" s="2906" t="str">
        <f aca="false">'Смета Внутр'!B449</f>
        <v>Монтаж обрешетки пол</v>
      </c>
      <c r="C443" s="2896" t="str">
        <f aca="false">'Смета Внутр'!C449</f>
        <v>м2</v>
      </c>
      <c r="D443" s="2891" t="n">
        <f aca="false">'Смета Внутр'!D449</f>
        <v>0</v>
      </c>
      <c r="E443" s="2896"/>
      <c r="F443" s="2891"/>
    </row>
    <row r="444" customFormat="false" ht="14.5" hidden="false" customHeight="false" outlineLevel="0" collapsed="false">
      <c r="B444" s="2906" t="str">
        <f aca="false">'Смета Внутр'!B450</f>
        <v>Монтаж профлист пол</v>
      </c>
      <c r="C444" s="2896" t="str">
        <f aca="false">'Смета Внутр'!C450</f>
        <v>м2</v>
      </c>
      <c r="D444" s="2891" t="n">
        <f aca="false">'Смета Внутр'!D450</f>
        <v>0</v>
      </c>
      <c r="E444" s="2896"/>
      <c r="F444" s="2891"/>
    </row>
    <row r="445" customFormat="false" ht="14.5" hidden="false" customHeight="false" outlineLevel="0" collapsed="false">
      <c r="B445" s="2906" t="str">
        <f aca="false">'Смета Внутр'!B451</f>
        <v>монтаж osb/фанера пол</v>
      </c>
      <c r="C445" s="2896" t="str">
        <f aca="false">'Смета Внутр'!C451</f>
        <v>м2</v>
      </c>
      <c r="D445" s="2891" t="n">
        <f aca="false">'Смета Внутр'!D451</f>
        <v>100</v>
      </c>
      <c r="E445" s="2896"/>
      <c r="F445" s="2891"/>
    </row>
    <row r="446" customFormat="false" ht="14.5" hidden="false" customHeight="false" outlineLevel="0" collapsed="false">
      <c r="B446" s="2896" t="str">
        <f aca="false">'Смета Внутр'!B452</f>
        <v>Итого работы</v>
      </c>
      <c r="C446" s="2896"/>
      <c r="D446" s="2896"/>
      <c r="E446" s="2896"/>
      <c r="F446" s="2891" t="n">
        <f aca="false">'Смета Внутр'!G452</f>
        <v>0</v>
      </c>
    </row>
    <row r="447" customFormat="false" ht="14.5" hidden="false" customHeight="false" outlineLevel="0" collapsed="false">
      <c r="B447" s="2907" t="str">
        <f aca="false">'Смета Внутр'!B453</f>
        <v>Техника и дополнительные расходы</v>
      </c>
      <c r="C447" s="2907"/>
      <c r="D447" s="2907"/>
      <c r="E447" s="2907"/>
      <c r="F447" s="2907"/>
    </row>
    <row r="448" customFormat="false" ht="14.5" hidden="false" customHeight="false" outlineLevel="0" collapsed="false">
      <c r="B448" s="2906" t="str">
        <f aca="false">'Смета Внутр'!B454</f>
        <v>Командировочные расходы</v>
      </c>
      <c r="C448" s="2896" t="n">
        <f aca="false">'Смета Внутр'!C454</f>
        <v>0</v>
      </c>
      <c r="D448" s="2891" t="n">
        <f aca="false">'Смета Внутр'!D454</f>
        <v>1</v>
      </c>
      <c r="E448" s="2896"/>
      <c r="F448" s="2891"/>
    </row>
    <row r="449" customFormat="false" ht="14.5" hidden="false" customHeight="false" outlineLevel="0" collapsed="false">
      <c r="B449" s="2906" t="str">
        <f aca="false">'Смета Внутр'!B455</f>
        <v>расходные материалы каркасный дом</v>
      </c>
      <c r="C449" s="2896" t="n">
        <f aca="false">'Смета Внутр'!C455</f>
        <v>0</v>
      </c>
      <c r="D449" s="2891" t="n">
        <f aca="false">'Смета Внутр'!D455</f>
        <v>1</v>
      </c>
      <c r="E449" s="2896"/>
      <c r="F449" s="2891"/>
    </row>
    <row r="450" customFormat="false" ht="14.5" hidden="false" customHeight="false" outlineLevel="0" collapsed="false">
      <c r="B450" s="2906" t="str">
        <f aca="false">'Смета Внутр'!B456</f>
        <v>Нет техники</v>
      </c>
      <c r="C450" s="2896" t="n">
        <f aca="false">'Смета Внутр'!C456</f>
        <v>0</v>
      </c>
      <c r="D450" s="2891" t="n">
        <f aca="false">'Смета Внутр'!D456</f>
        <v>2</v>
      </c>
      <c r="E450" s="2896"/>
      <c r="F450" s="2891"/>
    </row>
    <row r="451" customFormat="false" ht="14.5" hidden="false" customHeight="false" outlineLevel="0" collapsed="false">
      <c r="B451" s="2896" t="str">
        <f aca="false">'Смета Внутр'!B457</f>
        <v>Итого</v>
      </c>
      <c r="C451" s="2896"/>
      <c r="D451" s="2896"/>
      <c r="E451" s="2896"/>
      <c r="F451" s="2891" t="n">
        <f aca="false">'Смета Внутр'!G457</f>
        <v>12000</v>
      </c>
    </row>
    <row r="452" customFormat="false" ht="18.5" hidden="false" customHeight="false" outlineLevel="0" collapsed="false">
      <c r="B452" s="2908" t="str">
        <f aca="false">'Смета Внутр'!B458</f>
        <v>Каркасный дом ЛСТК</v>
      </c>
      <c r="C452" s="2908"/>
      <c r="D452" s="2908"/>
      <c r="E452" s="2908"/>
      <c r="F452" s="2908"/>
    </row>
    <row r="453" customFormat="false" ht="14.5" hidden="false" customHeight="false" outlineLevel="0" collapsed="false">
      <c r="B453" s="2909" t="str">
        <f aca="false">'Смета Внутр'!B459</f>
        <v>Материалы</v>
      </c>
      <c r="C453" s="2909"/>
      <c r="D453" s="2909"/>
      <c r="E453" s="2909"/>
      <c r="F453" s="2909"/>
    </row>
    <row r="454" customFormat="false" ht="14.5" hidden="false" customHeight="false" outlineLevel="0" collapsed="false">
      <c r="B454" s="2906" t="str">
        <f aca="false">'Смета Внутр'!B460</f>
        <v>Брус естественной влажности, 150*150мм</v>
      </c>
      <c r="C454" s="2906" t="str">
        <f aca="false">'Смета Внутр'!C460</f>
        <v>м3</v>
      </c>
      <c r="D454" s="2906" t="n">
        <f aca="false">'Смета Внутр'!D460</f>
        <v>1.26</v>
      </c>
      <c r="E454" s="2896"/>
      <c r="F454" s="2891"/>
    </row>
    <row r="455" customFormat="false" ht="14.5" hidden="false" customHeight="false" outlineLevel="0" collapsed="false">
      <c r="B455" s="2906" t="str">
        <f aca="false">'Смета Внутр'!B461</f>
        <v>Болты анкерные с гайкой 12,0 х 280</v>
      </c>
      <c r="C455" s="2906" t="str">
        <f aca="false">'Смета Внутр'!C461</f>
        <v>шт</v>
      </c>
      <c r="D455" s="2906" t="n">
        <f aca="false">'Смета Внутр'!D461</f>
        <v>56</v>
      </c>
      <c r="E455" s="2896"/>
      <c r="F455" s="2891"/>
    </row>
    <row r="456" customFormat="false" ht="14.5" hidden="false" customHeight="false" outlineLevel="0" collapsed="false">
      <c r="B456" s="2906" t="str">
        <f aca="false">'Смета Внутр'!B462</f>
        <v>ГПС 150х50-1,2</v>
      </c>
      <c r="C456" s="2906" t="str">
        <f aca="false">'Смета Внутр'!C462</f>
        <v>м3</v>
      </c>
      <c r="D456" s="2906" t="n">
        <f aca="false">'Смета Внутр'!D462</f>
        <v>0</v>
      </c>
      <c r="E456" s="2896"/>
      <c r="F456" s="2891"/>
    </row>
    <row r="457" customFormat="false" ht="14.5" hidden="false" customHeight="false" outlineLevel="0" collapsed="false">
      <c r="B457" s="2906" t="str">
        <f aca="false">'Смета Внутр'!B463</f>
        <v>ГПН 152х35-1,2</v>
      </c>
      <c r="C457" s="2906" t="str">
        <f aca="false">'Смета Внутр'!C463</f>
        <v>мп.</v>
      </c>
      <c r="D457" s="2906" t="n">
        <f aca="false">'Смета Внутр'!D463</f>
        <v>0</v>
      </c>
      <c r="E457" s="2896"/>
      <c r="F457" s="2891"/>
    </row>
    <row r="458" customFormat="false" ht="14.5" hidden="false" customHeight="false" outlineLevel="0" collapsed="false">
      <c r="B458" s="2906" t="str">
        <f aca="false">'Смета Внутр'!B464</f>
        <v>Болты анкерные с гайкой 12,0 x 100</v>
      </c>
      <c r="C458" s="2906" t="str">
        <f aca="false">'Смета Внутр'!C464</f>
        <v>шт.</v>
      </c>
      <c r="D458" s="2906" t="n">
        <f aca="false">'Смета Внутр'!D464</f>
        <v>0</v>
      </c>
      <c r="E458" s="2896"/>
      <c r="F458" s="2891"/>
    </row>
    <row r="459" customFormat="false" ht="14.5" hidden="false" customHeight="false" outlineLevel="0" collapsed="false">
      <c r="B459" s="2906" t="str">
        <f aca="false">'Смета Внутр'!B465</f>
        <v>Саморез 5,5 х 25</v>
      </c>
      <c r="C459" s="2906" t="str">
        <f aca="false">'Смета Внутр'!C465</f>
        <v>шт.</v>
      </c>
      <c r="D459" s="2906" t="n">
        <f aca="false">'Смета Внутр'!D465</f>
        <v>1644</v>
      </c>
      <c r="E459" s="2896"/>
      <c r="F459" s="2891"/>
    </row>
    <row r="460" customFormat="false" ht="14.5" hidden="false" customHeight="false" outlineLevel="0" collapsed="false">
      <c r="B460" s="2906" t="str">
        <f aca="false">'Смета Внутр'!B466</f>
        <v>ГПН 122х35-1,5</v>
      </c>
      <c r="C460" s="2906" t="str">
        <f aca="false">'Смета Внутр'!C466</f>
        <v>мп.</v>
      </c>
      <c r="D460" s="2906" t="n">
        <f aca="false">'Смета Внутр'!D466</f>
        <v>0</v>
      </c>
      <c r="E460" s="2896"/>
      <c r="F460" s="2891"/>
    </row>
    <row r="461" customFormat="false" ht="14.5" hidden="false" customHeight="false" outlineLevel="0" collapsed="false">
      <c r="B461" s="2906" t="str">
        <f aca="false">'Смета Внутр'!B467</f>
        <v>Болты анкерные с гайкой 12,0 x 100</v>
      </c>
      <c r="C461" s="2906" t="str">
        <f aca="false">'Смета Внутр'!C467</f>
        <v>шт.</v>
      </c>
      <c r="D461" s="2906" t="n">
        <f aca="false">'Смета Внутр'!D467</f>
        <v>0</v>
      </c>
      <c r="E461" s="2896"/>
      <c r="F461" s="2891"/>
    </row>
    <row r="462" customFormat="false" ht="14.5" hidden="false" customHeight="false" outlineLevel="0" collapsed="false">
      <c r="B462" s="2906" t="str">
        <f aca="false">'Смета Внутр'!B468</f>
        <v>Саморез 5,5 х 25</v>
      </c>
      <c r="C462" s="2906" t="str">
        <f aca="false">'Смета Внутр'!C468</f>
        <v>шт.</v>
      </c>
      <c r="D462" s="2906" t="n">
        <f aca="false">'Смета Внутр'!D468</f>
        <v>12</v>
      </c>
      <c r="E462" s="2896"/>
      <c r="F462" s="2891"/>
    </row>
    <row r="463" customFormat="false" ht="14.5" hidden="false" customHeight="false" outlineLevel="0" collapsed="false">
      <c r="B463" s="2906" t="str">
        <f aca="false">'Смета Внутр'!B469</f>
        <v>ГПН 172х35-2,0</v>
      </c>
      <c r="C463" s="2906" t="str">
        <f aca="false">'Смета Внутр'!C469</f>
        <v>мп.</v>
      </c>
      <c r="D463" s="2906" t="n">
        <f aca="false">'Смета Внутр'!D469</f>
        <v>0</v>
      </c>
      <c r="E463" s="2896"/>
      <c r="F463" s="2891"/>
    </row>
    <row r="464" customFormat="false" ht="14.5" hidden="false" customHeight="false" outlineLevel="0" collapsed="false">
      <c r="B464" s="2906" t="str">
        <f aca="false">'Смета Внутр'!B470</f>
        <v>Болты анкерные с гайкой 12,0 x 100</v>
      </c>
      <c r="C464" s="2906" t="str">
        <f aca="false">'Смета Внутр'!C470</f>
        <v>шт.</v>
      </c>
      <c r="D464" s="2906" t="n">
        <f aca="false">'Смета Внутр'!D470</f>
        <v>0</v>
      </c>
      <c r="E464" s="2896"/>
      <c r="F464" s="2891"/>
    </row>
    <row r="465" customFormat="false" ht="14.5" hidden="false" customHeight="false" outlineLevel="0" collapsed="false">
      <c r="B465" s="2906" t="str">
        <f aca="false">'Смета Внутр'!B471</f>
        <v>Саморез 5,5 х 25</v>
      </c>
      <c r="C465" s="2906" t="str">
        <f aca="false">'Смета Внутр'!C471</f>
        <v>шт.</v>
      </c>
      <c r="D465" s="2906" t="n">
        <f aca="false">'Смета Внутр'!D471</f>
        <v>0</v>
      </c>
      <c r="E465" s="2896"/>
      <c r="F465" s="2891"/>
    </row>
    <row r="466" customFormat="false" ht="14.5" hidden="false" customHeight="false" outlineLevel="0" collapsed="false">
      <c r="B466" s="2906" t="str">
        <f aca="false">'Смета Внутр'!B472</f>
        <v>ГПС 150х50-1,2</v>
      </c>
      <c r="C466" s="2906" t="str">
        <f aca="false">'Смета Внутр'!C472</f>
        <v>мп.</v>
      </c>
      <c r="D466" s="2906" t="n">
        <f aca="false">'Смета Внутр'!D472</f>
        <v>14</v>
      </c>
      <c r="E466" s="2896"/>
      <c r="F466" s="2891"/>
    </row>
    <row r="467" customFormat="false" ht="14.5" hidden="false" customHeight="false" outlineLevel="0" collapsed="false">
      <c r="B467" s="2906" t="str">
        <f aca="false">'Смета Внутр'!B473</f>
        <v>Саморез 5,5 х 25</v>
      </c>
      <c r="C467" s="2906" t="str">
        <f aca="false">'Смета Внутр'!C473</f>
        <v>шт.</v>
      </c>
      <c r="D467" s="2906" t="n">
        <f aca="false">'Смета Внутр'!D473</f>
        <v>81</v>
      </c>
      <c r="E467" s="2896"/>
      <c r="F467" s="2891"/>
    </row>
    <row r="468" customFormat="false" ht="14.5" hidden="false" customHeight="false" outlineLevel="0" collapsed="false">
      <c r="B468" s="2906" t="str">
        <f aca="false">'Смета Внутр'!B474</f>
        <v>L 50 x 50, 1,2мм</v>
      </c>
      <c r="C468" s="2906" t="str">
        <f aca="false">'Смета Внутр'!C474</f>
        <v>м.п.</v>
      </c>
      <c r="D468" s="2906" t="n">
        <f aca="false">'Смета Внутр'!D474</f>
        <v>8.1</v>
      </c>
      <c r="E468" s="2896"/>
      <c r="F468" s="2891"/>
    </row>
    <row r="469" customFormat="false" ht="14.5" hidden="false" customHeight="false" outlineLevel="0" collapsed="false">
      <c r="B469" s="2906" t="str">
        <f aca="false">'Смета Внутр'!B475</f>
        <v>ГПС 120х50-1,5</v>
      </c>
      <c r="C469" s="2906" t="str">
        <f aca="false">'Смета Внутр'!C475</f>
        <v>м.п.</v>
      </c>
      <c r="D469" s="2906" t="n">
        <f aca="false">'Смета Внутр'!D475</f>
        <v>7.8</v>
      </c>
      <c r="E469" s="2896"/>
      <c r="F469" s="2891"/>
    </row>
    <row r="470" customFormat="false" ht="14.5" hidden="false" customHeight="false" outlineLevel="0" collapsed="false">
      <c r="B470" s="2906" t="str">
        <f aca="false">'Смета Внутр'!B476</f>
        <v>Саморез 5,5 х 25</v>
      </c>
      <c r="C470" s="2906" t="str">
        <f aca="false">'Смета Внутр'!C476</f>
        <v>шт.</v>
      </c>
      <c r="D470" s="2906" t="n">
        <f aca="false">'Смета Внутр'!D476</f>
        <v>48</v>
      </c>
      <c r="E470" s="2896"/>
      <c r="F470" s="2891"/>
    </row>
    <row r="471" customFormat="false" ht="14.5" hidden="false" customHeight="false" outlineLevel="0" collapsed="false">
      <c r="B471" s="2906" t="str">
        <f aca="false">'Смета Внутр'!B477</f>
        <v>нет</v>
      </c>
      <c r="C471" s="2906" t="str">
        <f aca="false">'Смета Внутр'!C477</f>
        <v>м.п.</v>
      </c>
      <c r="D471" s="2906" t="n">
        <f aca="false">'Смета Внутр'!D477</f>
        <v>0</v>
      </c>
      <c r="E471" s="2896"/>
      <c r="F471" s="2891"/>
    </row>
    <row r="472" customFormat="false" ht="14.5" hidden="false" customHeight="false" outlineLevel="0" collapsed="false">
      <c r="B472" s="2906" t="str">
        <f aca="false">'Смета Внутр'!B478</f>
        <v>нет</v>
      </c>
      <c r="C472" s="2906" t="str">
        <f aca="false">'Смета Внутр'!C478</f>
        <v>м.п.</v>
      </c>
      <c r="D472" s="2906" t="n">
        <f aca="false">'Смета Внутр'!D478</f>
        <v>0</v>
      </c>
      <c r="E472" s="2896"/>
      <c r="F472" s="2891"/>
    </row>
    <row r="473" customFormat="false" ht="14.5" hidden="false" customHeight="false" outlineLevel="0" collapsed="false">
      <c r="B473" s="2906" t="n">
        <f aca="false">'Смета Внутр'!B479</f>
        <v>0</v>
      </c>
      <c r="C473" s="2906" t="str">
        <f aca="false">'Смета Внутр'!C479</f>
        <v>шт.</v>
      </c>
      <c r="D473" s="2906" t="n">
        <f aca="false">'Смета Внутр'!D479</f>
        <v>0</v>
      </c>
      <c r="E473" s="2896"/>
      <c r="F473" s="2891"/>
    </row>
    <row r="474" customFormat="false" ht="14.5" hidden="false" customHeight="false" outlineLevel="0" collapsed="false">
      <c r="B474" s="2906" t="n">
        <f aca="false">'Смета Внутр'!B480</f>
        <v>0</v>
      </c>
      <c r="C474" s="2906" t="str">
        <f aca="false">'Смета Внутр'!C480</f>
        <v>шт.</v>
      </c>
      <c r="D474" s="2906" t="n">
        <f aca="false">'Смета Внутр'!D480</f>
        <v>0</v>
      </c>
      <c r="E474" s="2896"/>
      <c r="F474" s="2891"/>
    </row>
    <row r="475" customFormat="false" ht="14.5" hidden="false" customHeight="false" outlineLevel="0" collapsed="false">
      <c r="B475" s="2906" t="str">
        <f aca="false">'Смета Внутр'!B481</f>
        <v>нет</v>
      </c>
      <c r="C475" s="2906" t="str">
        <f aca="false">'Смета Внутр'!C481</f>
        <v>м2</v>
      </c>
      <c r="D475" s="2906" t="n">
        <f aca="false">'Смета Внутр'!D481</f>
        <v>0</v>
      </c>
      <c r="E475" s="2896"/>
      <c r="F475" s="2891"/>
    </row>
    <row r="476" customFormat="false" ht="14.5" hidden="false" customHeight="false" outlineLevel="0" collapsed="false">
      <c r="B476" s="2906" t="str">
        <f aca="false">'Смета Внутр'!B482</f>
        <v>Саморезы 3,5 x 25</v>
      </c>
      <c r="C476" s="2906" t="str">
        <f aca="false">'Смета Внутр'!C482</f>
        <v>шт.</v>
      </c>
      <c r="D476" s="2906" t="n">
        <f aca="false">'Смета Внутр'!D482</f>
        <v>0</v>
      </c>
      <c r="E476" s="2896"/>
      <c r="F476" s="2891"/>
    </row>
    <row r="477" customFormat="false" ht="14.5" hidden="false" customHeight="false" outlineLevel="0" collapsed="false">
      <c r="B477" s="2906" t="str">
        <f aca="false">'Смета Внутр'!B483</f>
        <v>нет</v>
      </c>
      <c r="C477" s="2906" t="str">
        <f aca="false">'Смета Внутр'!C483</f>
        <v>м.п.</v>
      </c>
      <c r="D477" s="2906" t="n">
        <f aca="false">'Смета Внутр'!D483</f>
        <v>0</v>
      </c>
      <c r="E477" s="2896"/>
      <c r="F477" s="2891"/>
    </row>
    <row r="478" customFormat="false" ht="14.5" hidden="false" customHeight="false" outlineLevel="0" collapsed="false">
      <c r="B478" s="2906" t="n">
        <f aca="false">'Смета Внутр'!B484</f>
        <v>0</v>
      </c>
      <c r="C478" s="2906" t="str">
        <f aca="false">'Смета Внутр'!C484</f>
        <v>шт.</v>
      </c>
      <c r="D478" s="2906" t="n">
        <f aca="false">'Смета Внутр'!D484</f>
        <v>0</v>
      </c>
      <c r="E478" s="2896"/>
      <c r="F478" s="2891"/>
    </row>
    <row r="479" customFormat="false" ht="14.5" hidden="false" customHeight="false" outlineLevel="0" collapsed="false">
      <c r="B479" s="2906" t="str">
        <f aca="false">'Смета Внутр'!B485</f>
        <v>нет</v>
      </c>
      <c r="C479" s="2906" t="str">
        <f aca="false">'Смета Внутр'!C485</f>
        <v>м2</v>
      </c>
      <c r="D479" s="2906" t="n">
        <f aca="false">'Смета Внутр'!D485</f>
        <v>0</v>
      </c>
      <c r="E479" s="2896"/>
      <c r="F479" s="2891"/>
    </row>
    <row r="480" customFormat="false" ht="14.5" hidden="false" customHeight="false" outlineLevel="0" collapsed="false">
      <c r="B480" s="2906" t="str">
        <f aca="false">'Смета Внутр'!B486</f>
        <v>Саморезы 3,5 x 45</v>
      </c>
      <c r="C480" s="2906" t="str">
        <f aca="false">'Смета Внутр'!C486</f>
        <v>шт.</v>
      </c>
      <c r="D480" s="2906" t="n">
        <f aca="false">'Смета Внутр'!D486</f>
        <v>0</v>
      </c>
      <c r="E480" s="2896"/>
      <c r="F480" s="2891"/>
    </row>
    <row r="481" customFormat="false" ht="14.5" hidden="false" customHeight="false" outlineLevel="0" collapsed="false">
      <c r="B481" s="2906" t="str">
        <f aca="false">'Смета Внутр'!B487</f>
        <v>нет</v>
      </c>
      <c r="C481" s="2906" t="str">
        <f aca="false">'Смета Внутр'!C487</f>
        <v>м.п.</v>
      </c>
      <c r="D481" s="2906" t="n">
        <f aca="false">'Смета Внутр'!D487</f>
        <v>192</v>
      </c>
      <c r="E481" s="2896"/>
      <c r="F481" s="2891"/>
    </row>
    <row r="482" customFormat="false" ht="14.5" hidden="false" customHeight="false" outlineLevel="0" collapsed="false">
      <c r="B482" s="2906" t="str">
        <f aca="false">'Смета Внутр'!B488</f>
        <v>нет</v>
      </c>
      <c r="C482" s="2906" t="str">
        <f aca="false">'Смета Внутр'!C488</f>
        <v>м.п.</v>
      </c>
      <c r="D482" s="2906" t="n">
        <f aca="false">'Смета Внутр'!D488</f>
        <v>192</v>
      </c>
      <c r="E482" s="2896"/>
      <c r="F482" s="2891"/>
    </row>
    <row r="483" customFormat="false" ht="14.5" hidden="false" customHeight="false" outlineLevel="0" collapsed="false">
      <c r="B483" s="2906" t="n">
        <f aca="false">'Смета Внутр'!B489</f>
        <v>0</v>
      </c>
      <c r="C483" s="2906" t="str">
        <f aca="false">'Смета Внутр'!C489</f>
        <v>шт.</v>
      </c>
      <c r="D483" s="2906" t="n">
        <f aca="false">'Смета Внутр'!D489</f>
        <v>384</v>
      </c>
      <c r="E483" s="2896"/>
      <c r="F483" s="2891"/>
    </row>
    <row r="484" customFormat="false" ht="14.5" hidden="false" customHeight="false" outlineLevel="0" collapsed="false">
      <c r="B484" s="2906" t="str">
        <f aca="false">'Смета Внутр'!B490</f>
        <v>Кровельный саморез</v>
      </c>
      <c r="C484" s="2906" t="str">
        <f aca="false">'Смета Внутр'!C490</f>
        <v>шт.</v>
      </c>
      <c r="D484" s="2906" t="n">
        <f aca="false">'Смета Внутр'!D490</f>
        <v>0</v>
      </c>
      <c r="E484" s="2896"/>
      <c r="F484" s="2891"/>
    </row>
    <row r="485" customFormat="false" ht="14.5" hidden="false" customHeight="false" outlineLevel="0" collapsed="false">
      <c r="B485" s="2906" t="str">
        <f aca="false">'Смета Внутр'!B491</f>
        <v>нет</v>
      </c>
      <c r="C485" s="2906" t="str">
        <f aca="false">'Смета Внутр'!C491</f>
        <v>м.п.</v>
      </c>
      <c r="D485" s="2906" t="n">
        <f aca="false">'Смета Внутр'!D491</f>
        <v>192</v>
      </c>
      <c r="E485" s="2896"/>
      <c r="F485" s="2891"/>
    </row>
    <row r="486" customFormat="false" ht="14.5" hidden="false" customHeight="false" outlineLevel="0" collapsed="false">
      <c r="B486" s="2906" t="str">
        <f aca="false">'Смета Внутр'!B492</f>
        <v>нет</v>
      </c>
      <c r="C486" s="2906" t="str">
        <f aca="false">'Смета Внутр'!C492</f>
        <v>м.п.</v>
      </c>
      <c r="D486" s="2906" t="n">
        <f aca="false">'Смета Внутр'!D492</f>
        <v>110</v>
      </c>
      <c r="E486" s="2896"/>
      <c r="F486" s="2891"/>
    </row>
    <row r="487" customFormat="false" ht="14.5" hidden="false" customHeight="false" outlineLevel="0" collapsed="false">
      <c r="B487" s="2906" t="n">
        <f aca="false">'Смета Внутр'!B493</f>
        <v>0</v>
      </c>
      <c r="C487" s="2906" t="str">
        <f aca="false">'Смета Внутр'!C493</f>
        <v>шт.</v>
      </c>
      <c r="D487" s="2906" t="n">
        <f aca="false">'Смета Внутр'!D493</f>
        <v>384</v>
      </c>
      <c r="E487" s="2896"/>
      <c r="F487" s="2891"/>
    </row>
    <row r="488" customFormat="false" ht="14.5" hidden="false" customHeight="false" outlineLevel="0" collapsed="false">
      <c r="B488" s="2906" t="str">
        <f aca="false">'Смета Внутр'!B494</f>
        <v>Кровельный саморез</v>
      </c>
      <c r="C488" s="2906" t="str">
        <f aca="false">'Смета Внутр'!C494</f>
        <v>шт.</v>
      </c>
      <c r="D488" s="2906" t="n">
        <f aca="false">'Смета Внутр'!D494</f>
        <v>0</v>
      </c>
      <c r="E488" s="2896"/>
      <c r="F488" s="2891"/>
    </row>
    <row r="489" customFormat="false" ht="14.5" hidden="false" customHeight="false" outlineLevel="0" collapsed="false">
      <c r="B489" s="2906" t="str">
        <f aca="false">'Смета Внутр'!B495</f>
        <v>Саморезы 3,5 x 25</v>
      </c>
      <c r="C489" s="2906" t="str">
        <f aca="false">'Смета Внутр'!C495</f>
        <v>шт.</v>
      </c>
      <c r="D489" s="2906" t="n">
        <f aca="false">'Смета Внутр'!D495</f>
        <v>0</v>
      </c>
      <c r="E489" s="2896"/>
      <c r="F489" s="2891"/>
    </row>
    <row r="490" customFormat="false" ht="14.5" hidden="false" customHeight="false" outlineLevel="0" collapsed="false">
      <c r="B490" s="2906" t="str">
        <f aca="false">'Смета Внутр'!B496</f>
        <v>Саморезы 3,5 x 25</v>
      </c>
      <c r="C490" s="2906" t="str">
        <f aca="false">'Смета Внутр'!C496</f>
        <v>шт.</v>
      </c>
      <c r="D490" s="2906" t="n">
        <f aca="false">'Смета Внутр'!D496</f>
        <v>1200</v>
      </c>
      <c r="E490" s="2896"/>
      <c r="F490" s="2891"/>
    </row>
    <row r="491" customFormat="false" ht="14.5" hidden="false" customHeight="false" outlineLevel="0" collapsed="false">
      <c r="B491" s="2906" t="str">
        <f aca="false">'Смета Внутр'!B497</f>
        <v>ГПС 120х50-1,5</v>
      </c>
      <c r="C491" s="2906" t="str">
        <f aca="false">'Смета Внутр'!C497</f>
        <v>м3</v>
      </c>
      <c r="D491" s="2906" t="n">
        <f aca="false">'Смета Внутр'!D497</f>
        <v>0</v>
      </c>
      <c r="E491" s="2896"/>
      <c r="F491" s="2891"/>
    </row>
    <row r="492" customFormat="false" ht="14.5" hidden="false" customHeight="false" outlineLevel="0" collapsed="false">
      <c r="B492" s="2906" t="str">
        <f aca="false">'Смета Внутр'!B498</f>
        <v>ГПС 170х50-2,0</v>
      </c>
      <c r="C492" s="2906" t="str">
        <f aca="false">'Смета Внутр'!C498</f>
        <v>м3</v>
      </c>
      <c r="D492" s="2906" t="n">
        <f aca="false">'Смета Внутр'!D498</f>
        <v>0</v>
      </c>
      <c r="E492" s="2896"/>
      <c r="F492" s="2891"/>
    </row>
    <row r="493" customFormat="false" ht="14.5" hidden="false" customHeight="false" outlineLevel="0" collapsed="false">
      <c r="B493" s="2906" t="str">
        <f aca="false">'Смета Внутр'!B499</f>
        <v>Лист ГВЛВ 2500х1200х10 мм</v>
      </c>
      <c r="C493" s="2906" t="str">
        <f aca="false">'Смета Внутр'!C499</f>
        <v>м2</v>
      </c>
      <c r="D493" s="2906" t="n">
        <f aca="false">'Смета Внутр'!D499</f>
        <v>100</v>
      </c>
      <c r="E493" s="2896"/>
      <c r="F493" s="2891"/>
    </row>
    <row r="494" customFormat="false" ht="14.5" hidden="false" customHeight="false" outlineLevel="0" collapsed="false">
      <c r="B494" s="2906" t="str">
        <f aca="false">'Смета Внутр'!B500</f>
        <v>нет</v>
      </c>
      <c r="C494" s="2906" t="str">
        <f aca="false">'Смета Внутр'!C500</f>
        <v>м.п.</v>
      </c>
      <c r="D494" s="2906" t="n">
        <f aca="false">'Смета Внутр'!D500</f>
        <v>0</v>
      </c>
      <c r="E494" s="2896"/>
      <c r="F494" s="2891"/>
    </row>
    <row r="495" customFormat="false" ht="14.5" hidden="false" customHeight="false" outlineLevel="0" collapsed="false">
      <c r="B495" s="2906" t="str">
        <f aca="false">'Смета Внутр'!B501</f>
        <v>Нет</v>
      </c>
      <c r="C495" s="2906" t="str">
        <f aca="false">'Смета Внутр'!C501</f>
        <v>м3</v>
      </c>
      <c r="D495" s="2906" t="n">
        <f aca="false">'Смета Внутр'!D501</f>
        <v>0</v>
      </c>
      <c r="E495" s="2896"/>
      <c r="F495" s="2891"/>
    </row>
    <row r="496" customFormat="false" ht="14.5" hidden="false" customHeight="false" outlineLevel="0" collapsed="false">
      <c r="B496" s="2906" t="str">
        <f aca="false">'Смета Внутр'!B502</f>
        <v>Нет</v>
      </c>
      <c r="C496" s="2906" t="str">
        <f aca="false">'Смета Внутр'!C502</f>
        <v>м3</v>
      </c>
      <c r="D496" s="2906" t="n">
        <f aca="false">'Смета Внутр'!D502</f>
        <v>0</v>
      </c>
      <c r="E496" s="2896"/>
      <c r="F496" s="2891"/>
    </row>
    <row r="497" customFormat="false" ht="14.5" hidden="false" customHeight="false" outlineLevel="0" collapsed="false">
      <c r="B497" s="2906" t="str">
        <f aca="false">'Смета Внутр'!B503</f>
        <v>нет</v>
      </c>
      <c r="C497" s="2906" t="str">
        <f aca="false">'Смета Внутр'!C503</f>
        <v>м2</v>
      </c>
      <c r="D497" s="2906" t="n">
        <f aca="false">'Смета Внутр'!D503</f>
        <v>0</v>
      </c>
      <c r="E497" s="2896"/>
      <c r="F497" s="2891"/>
    </row>
    <row r="498" customFormat="false" ht="14.5" hidden="false" customHeight="false" outlineLevel="0" collapsed="false">
      <c r="B498" s="2906" t="str">
        <f aca="false">'Смета Внутр'!B504</f>
        <v>нет</v>
      </c>
      <c r="C498" s="2906" t="str">
        <f aca="false">'Смета Внутр'!C504</f>
        <v>м2</v>
      </c>
      <c r="D498" s="2906" t="n">
        <f aca="false">'Смета Внутр'!D504</f>
        <v>0</v>
      </c>
      <c r="E498" s="2896"/>
      <c r="F498" s="2891"/>
    </row>
    <row r="499" customFormat="false" ht="14.5" hidden="false" customHeight="false" outlineLevel="0" collapsed="false">
      <c r="B499" s="2906" t="str">
        <f aca="false">'Смета Внутр'!B505</f>
        <v>нет</v>
      </c>
      <c r="C499" s="2906" t="str">
        <f aca="false">'Смета Внутр'!C505</f>
        <v>м2</v>
      </c>
      <c r="D499" s="2906" t="n">
        <f aca="false">'Смета Внутр'!D505</f>
        <v>0</v>
      </c>
      <c r="E499" s="2896"/>
      <c r="F499" s="2891"/>
    </row>
    <row r="500" customFormat="false" ht="14.5" hidden="false" customHeight="false" outlineLevel="0" collapsed="false">
      <c r="B500" s="2906" t="str">
        <f aca="false">'Смета Внутр'!B506</f>
        <v>Саморезы 3,5 x 25</v>
      </c>
      <c r="C500" s="2906" t="str">
        <f aca="false">'Смета Внутр'!C506</f>
        <v>шт</v>
      </c>
      <c r="D500" s="2906" t="n">
        <f aca="false">'Смета Внутр'!D506</f>
        <v>0</v>
      </c>
      <c r="E500" s="2896"/>
      <c r="F500" s="2891"/>
    </row>
    <row r="501" customFormat="false" ht="14.5" hidden="false" customHeight="false" outlineLevel="0" collapsed="false">
      <c r="B501" s="2906" t="str">
        <f aca="false">'Смета Внутр'!B507</f>
        <v>Гвозди ершоные 2,8 х 90</v>
      </c>
      <c r="C501" s="2906" t="str">
        <f aca="false">'Смета Внутр'!C507</f>
        <v>кг</v>
      </c>
      <c r="D501" s="2906" t="n">
        <f aca="false">'Смета Внутр'!D507</f>
        <v>0</v>
      </c>
      <c r="E501" s="2896"/>
      <c r="F501" s="2891"/>
    </row>
    <row r="502" customFormat="false" ht="14.5" hidden="false" customHeight="false" outlineLevel="0" collapsed="false">
      <c r="B502" s="2906" t="str">
        <f aca="false">'Смета Внутр'!B508</f>
        <v>Гвозди ершоные 3,4 x 60</v>
      </c>
      <c r="C502" s="2906" t="str">
        <f aca="false">'Смета Внутр'!C508</f>
        <v>кг</v>
      </c>
      <c r="D502" s="2906" t="n">
        <f aca="false">'Смета Внутр'!D508</f>
        <v>0</v>
      </c>
      <c r="E502" s="2896"/>
      <c r="F502" s="2891"/>
    </row>
    <row r="503" customFormat="false" ht="14.5" hidden="false" customHeight="false" outlineLevel="0" collapsed="false">
      <c r="B503" s="2906" t="str">
        <f aca="false">'Смета Внутр'!B509</f>
        <v>нет ветроизоляции</v>
      </c>
      <c r="C503" s="2906" t="str">
        <f aca="false">'Смета Внутр'!C509</f>
        <v>м2</v>
      </c>
      <c r="D503" s="2906" t="n">
        <f aca="false">'Смета Внутр'!D509</f>
        <v>0</v>
      </c>
      <c r="E503" s="2896"/>
      <c r="F503" s="2891"/>
    </row>
    <row r="504" customFormat="false" ht="14.5" hidden="false" customHeight="false" outlineLevel="0" collapsed="false">
      <c r="B504" s="2906" t="str">
        <f aca="false">'Смета Внутр'!B510</f>
        <v>нет пароизоляции</v>
      </c>
      <c r="C504" s="2906" t="str">
        <f aca="false">'Смета Внутр'!C510</f>
        <v>м2</v>
      </c>
      <c r="D504" s="2906" t="n">
        <f aca="false">'Смета Внутр'!D510</f>
        <v>0</v>
      </c>
      <c r="E504" s="2896"/>
      <c r="F504" s="2891"/>
    </row>
    <row r="505" customFormat="false" ht="14.5" hidden="false" customHeight="false" outlineLevel="0" collapsed="false">
      <c r="B505" s="2906" t="str">
        <f aca="false">'Смета Внутр'!B511</f>
        <v>Скобы для степлера, 1000шт/уп</v>
      </c>
      <c r="C505" s="2906" t="str">
        <f aca="false">'Смета Внутр'!C511</f>
        <v>уп</v>
      </c>
      <c r="D505" s="2906" t="n">
        <f aca="false">'Смета Внутр'!D511</f>
        <v>5</v>
      </c>
      <c r="E505" s="2896"/>
      <c r="F505" s="2891"/>
    </row>
    <row r="506" customFormat="false" ht="14.5" hidden="false" customHeight="false" outlineLevel="0" collapsed="false">
      <c r="B506" s="2896" t="str">
        <f aca="false">'Смета Внутр'!B512</f>
        <v>Итого материалы</v>
      </c>
      <c r="C506" s="2896"/>
      <c r="D506" s="2896"/>
      <c r="E506" s="2896"/>
      <c r="F506" s="2686" t="n">
        <f aca="false">'Смета Внутр'!G512</f>
        <v>36609.8140143832</v>
      </c>
      <c r="G506" s="2910"/>
      <c r="H506" s="2910"/>
      <c r="I506" s="2910"/>
    </row>
    <row r="507" customFormat="false" ht="14.5" hidden="false" customHeight="false" outlineLevel="0" collapsed="false">
      <c r="B507" s="2911" t="str">
        <f aca="false">'Смета Внутр'!B513</f>
        <v>Работы</v>
      </c>
      <c r="C507" s="2911"/>
      <c r="D507" s="2911"/>
      <c r="E507" s="2911"/>
      <c r="F507" s="2911"/>
    </row>
    <row r="508" customFormat="false" ht="14.5" hidden="false" customHeight="false" outlineLevel="0" collapsed="false">
      <c r="B508" s="2906" t="str">
        <f aca="false">'Смета Внутр'!B514</f>
        <v>монтаж обвязки</v>
      </c>
      <c r="C508" s="2906" t="str">
        <f aca="false">'Смета Внутр'!C514</f>
        <v>м.п.</v>
      </c>
      <c r="D508" s="2906" t="n">
        <f aca="false">'Смета Внутр'!D514</f>
        <v>0</v>
      </c>
      <c r="E508" s="2896"/>
      <c r="F508" s="2891"/>
    </row>
    <row r="509" customFormat="false" ht="14.5" hidden="false" customHeight="false" outlineLevel="0" collapsed="false">
      <c r="B509" s="2906" t="str">
        <f aca="false">'Смета Внутр'!B515</f>
        <v>монтаж стен каркаса</v>
      </c>
      <c r="C509" s="2906" t="str">
        <f aca="false">'Смета Внутр'!C515</f>
        <v>м2</v>
      </c>
      <c r="D509" s="2906" t="n">
        <f aca="false">'Смета Внутр'!D515</f>
        <v>0</v>
      </c>
      <c r="E509" s="2896"/>
      <c r="F509" s="2891"/>
    </row>
    <row r="510" customFormat="false" ht="14.5" hidden="false" customHeight="false" outlineLevel="0" collapsed="false">
      <c r="B510" s="2906" t="str">
        <f aca="false">'Смета Внутр'!B516</f>
        <v>Монтаж несущих перегородок</v>
      </c>
      <c r="C510" s="2906" t="str">
        <f aca="false">'Смета Внутр'!C516</f>
        <v>м2</v>
      </c>
      <c r="D510" s="2906" t="n">
        <f aca="false">'Смета Внутр'!D516</f>
        <v>0</v>
      </c>
      <c r="E510" s="2896"/>
      <c r="F510" s="2891"/>
    </row>
    <row r="511" customFormat="false" ht="14.5" hidden="false" customHeight="false" outlineLevel="0" collapsed="false">
      <c r="B511" s="2906" t="str">
        <f aca="false">'Смета Внутр'!B517</f>
        <v>Монтаж перегородок</v>
      </c>
      <c r="C511" s="2906" t="str">
        <f aca="false">'Смета Внутр'!C517</f>
        <v>м2</v>
      </c>
      <c r="D511" s="2906" t="n">
        <f aca="false">'Смета Внутр'!D517</f>
        <v>0</v>
      </c>
      <c r="E511" s="2896"/>
      <c r="F511" s="2891"/>
    </row>
    <row r="512" customFormat="false" ht="14.5" hidden="false" customHeight="false" outlineLevel="0" collapsed="false">
      <c r="B512" s="2906" t="str">
        <f aca="false">'Смета Внутр'!B518</f>
        <v>Монтаж вентиляционного зазора</v>
      </c>
      <c r="C512" s="2906" t="str">
        <f aca="false">'Смета Внутр'!C518</f>
        <v>м2</v>
      </c>
      <c r="D512" s="2906" t="n">
        <f aca="false">'Смета Внутр'!D518</f>
        <v>0</v>
      </c>
      <c r="E512" s="2896"/>
      <c r="F512" s="2891"/>
    </row>
    <row r="513" customFormat="false" ht="14.5" hidden="false" customHeight="false" outlineLevel="0" collapsed="false">
      <c r="B513" s="2906" t="str">
        <f aca="false">'Смета Внутр'!B519</f>
        <v>Монтаж технологического зазора</v>
      </c>
      <c r="C513" s="2906" t="str">
        <f aca="false">'Смета Внутр'!C519</f>
        <v>м2</v>
      </c>
      <c r="D513" s="2906" t="n">
        <f aca="false">'Смета Внутр'!D519</f>
        <v>0</v>
      </c>
      <c r="E513" s="2896"/>
      <c r="F513" s="2891"/>
    </row>
    <row r="514" customFormat="false" ht="14.5" hidden="false" customHeight="false" outlineLevel="0" collapsed="false">
      <c r="B514" s="2906" t="str">
        <f aca="false">'Смета Внутр'!B520</f>
        <v>монтаж ветроизоляции стен</v>
      </c>
      <c r="C514" s="2906" t="str">
        <f aca="false">'Смета Внутр'!C520</f>
        <v>м2</v>
      </c>
      <c r="D514" s="2906" t="n">
        <f aca="false">'Смета Внутр'!D520</f>
        <v>0</v>
      </c>
      <c r="E514" s="2896"/>
      <c r="F514" s="2891"/>
    </row>
    <row r="515" customFormat="false" ht="14.5" hidden="false" customHeight="false" outlineLevel="0" collapsed="false">
      <c r="B515" s="2906" t="str">
        <f aca="false">'Смета Внутр'!B521</f>
        <v>монтаж пароизоляции стен</v>
      </c>
      <c r="C515" s="2906" t="str">
        <f aca="false">'Смета Внутр'!C521</f>
        <v>м2</v>
      </c>
      <c r="D515" s="2906" t="n">
        <f aca="false">'Смета Внутр'!D521</f>
        <v>0</v>
      </c>
      <c r="E515" s="2896"/>
      <c r="F515" s="2891"/>
    </row>
    <row r="516" customFormat="false" ht="14.5" hidden="false" customHeight="false" outlineLevel="0" collapsed="false">
      <c r="B516" s="2906" t="str">
        <f aca="false">'Смета Внутр'!B522</f>
        <v>монтаж osb/фанера наруж стены</v>
      </c>
      <c r="C516" s="2906" t="str">
        <f aca="false">'Смета Внутр'!C522</f>
        <v>м2</v>
      </c>
      <c r="D516" s="2906" t="n">
        <f aca="false">'Смета Внутр'!D522</f>
        <v>0</v>
      </c>
      <c r="E516" s="2896"/>
      <c r="F516" s="2891"/>
    </row>
    <row r="517" customFormat="false" ht="14.5" hidden="false" customHeight="false" outlineLevel="0" collapsed="false">
      <c r="B517" s="2906" t="str">
        <f aca="false">'Смета Внутр'!B523</f>
        <v>монтаж osb/фанера потолок</v>
      </c>
      <c r="C517" s="2906" t="str">
        <f aca="false">'Смета Внутр'!C523</f>
        <v>м2</v>
      </c>
      <c r="D517" s="2906" t="n">
        <f aca="false">'Смета Внутр'!D523</f>
        <v>0</v>
      </c>
      <c r="E517" s="2896"/>
      <c r="F517" s="2891"/>
    </row>
    <row r="518" customFormat="false" ht="14.5" hidden="false" customHeight="false" outlineLevel="0" collapsed="false">
      <c r="B518" s="2906" t="str">
        <f aca="false">'Смета Внутр'!B524</f>
        <v>монтаж osb/фанера перегородки</v>
      </c>
      <c r="C518" s="2906" t="str">
        <f aca="false">'Смета Внутр'!C524</f>
        <v>м2</v>
      </c>
      <c r="D518" s="2906" t="n">
        <f aca="false">'Смета Внутр'!D524</f>
        <v>0</v>
      </c>
      <c r="E518" s="2896"/>
      <c r="F518" s="2891"/>
    </row>
    <row r="519" customFormat="false" ht="14.5" hidden="false" customHeight="false" outlineLevel="0" collapsed="false">
      <c r="B519" s="2906" t="str">
        <f aca="false">'Смета Внутр'!B525</f>
        <v>монтаж osb/фанера пол</v>
      </c>
      <c r="C519" s="2906" t="str">
        <f aca="false">'Смета Внутр'!C525</f>
        <v>м2</v>
      </c>
      <c r="D519" s="2906" t="n">
        <f aca="false">'Смета Внутр'!D525</f>
        <v>100</v>
      </c>
      <c r="E519" s="2896"/>
      <c r="F519" s="2891"/>
    </row>
    <row r="520" customFormat="false" ht="14.5" hidden="false" customHeight="false" outlineLevel="0" collapsed="false">
      <c r="B520" s="2906" t="str">
        <f aca="false">'Смета Внутр'!B526</f>
        <v>утепление наружних стен</v>
      </c>
      <c r="C520" s="2906" t="str">
        <f aca="false">'Смета Внутр'!C526</f>
        <v>м2</v>
      </c>
      <c r="D520" s="2906" t="n">
        <f aca="false">'Смета Внутр'!D526</f>
        <v>0</v>
      </c>
      <c r="E520" s="2896"/>
      <c r="F520" s="2891"/>
    </row>
    <row r="521" customFormat="false" ht="14.5" hidden="false" customHeight="false" outlineLevel="0" collapsed="false">
      <c r="B521" s="2906" t="str">
        <f aca="false">'Смета Внутр'!B527</f>
        <v>Утепление перегородок</v>
      </c>
      <c r="C521" s="2906" t="str">
        <f aca="false">'Смета Внутр'!C527</f>
        <v>м2</v>
      </c>
      <c r="D521" s="2906" t="n">
        <f aca="false">'Смета Внутр'!D527</f>
        <v>0</v>
      </c>
      <c r="E521" s="2896"/>
      <c r="F521" s="2891"/>
    </row>
    <row r="522" customFormat="false" ht="14.5" hidden="false" customHeight="false" outlineLevel="0" collapsed="false">
      <c r="B522" s="2906" t="str">
        <f aca="false">'Смета Внутр'!B528</f>
        <v>Монтаж горизонтальной обрешетки</v>
      </c>
      <c r="C522" s="2906" t="str">
        <f aca="false">'Смета Внутр'!C528</f>
        <v>м2</v>
      </c>
      <c r="D522" s="2906" t="n">
        <f aca="false">'Смета Внутр'!D528</f>
        <v>0</v>
      </c>
      <c r="E522" s="2896"/>
      <c r="F522" s="2891"/>
    </row>
    <row r="523" customFormat="false" ht="14.5" hidden="false" customHeight="false" outlineLevel="0" collapsed="false">
      <c r="B523" s="2906" t="str">
        <f aca="false">'Смета Внутр'!B529</f>
        <v>Монтаж вертикальной обрешетки</v>
      </c>
      <c r="C523" s="2906" t="str">
        <f aca="false">'Смета Внутр'!C529</f>
        <v>м2</v>
      </c>
      <c r="D523" s="2906" t="n">
        <f aca="false">'Смета Внутр'!D529</f>
        <v>0</v>
      </c>
      <c r="E523" s="2896"/>
      <c r="F523" s="2891"/>
    </row>
    <row r="524" customFormat="false" ht="14.5" hidden="false" customHeight="false" outlineLevel="0" collapsed="false">
      <c r="B524" s="2906" t="str">
        <f aca="false">'Смета Внутр'!B530</f>
        <v>Монтаж обрешетки потолок</v>
      </c>
      <c r="C524" s="2906" t="str">
        <f aca="false">'Смета Внутр'!C530</f>
        <v>м2</v>
      </c>
      <c r="D524" s="2906" t="n">
        <f aca="false">'Смета Внутр'!D530</f>
        <v>0</v>
      </c>
      <c r="E524" s="2896"/>
      <c r="F524" s="2891"/>
    </row>
    <row r="525" customFormat="false" ht="14.5" hidden="false" customHeight="false" outlineLevel="0" collapsed="false">
      <c r="B525" s="2906" t="str">
        <f aca="false">'Смета Внутр'!B531</f>
        <v>Монтаж профлист потолок</v>
      </c>
      <c r="C525" s="2906" t="str">
        <f aca="false">'Смета Внутр'!C531</f>
        <v>м2</v>
      </c>
      <c r="D525" s="2906" t="n">
        <f aca="false">'Смета Внутр'!D531</f>
        <v>0</v>
      </c>
      <c r="E525" s="2896"/>
      <c r="F525" s="2891"/>
    </row>
    <row r="526" customFormat="false" ht="14.5" hidden="false" customHeight="false" outlineLevel="0" collapsed="false">
      <c r="B526" s="2906" t="str">
        <f aca="false">'Смета Внутр'!B532</f>
        <v>Монтаж обрешетки пол</v>
      </c>
      <c r="C526" s="2906" t="str">
        <f aca="false">'Смета Внутр'!C532</f>
        <v>м2</v>
      </c>
      <c r="D526" s="2906" t="n">
        <f aca="false">'Смета Внутр'!D532</f>
        <v>0</v>
      </c>
      <c r="E526" s="2896"/>
      <c r="F526" s="2891"/>
    </row>
    <row r="527" customFormat="false" ht="14.5" hidden="false" customHeight="false" outlineLevel="0" collapsed="false">
      <c r="B527" s="2906" t="str">
        <f aca="false">'Смета Внутр'!B533</f>
        <v>Монтаж профлист пол</v>
      </c>
      <c r="C527" s="2906" t="str">
        <f aca="false">'Смета Внутр'!C533</f>
        <v>м2</v>
      </c>
      <c r="D527" s="2906" t="n">
        <f aca="false">'Смета Внутр'!D533</f>
        <v>0</v>
      </c>
      <c r="E527" s="2896"/>
      <c r="F527" s="2891"/>
    </row>
    <row r="528" customFormat="false" ht="14.5" hidden="false" customHeight="false" outlineLevel="0" collapsed="false">
      <c r="B528" s="2906" t="str">
        <f aca="false">'Смета Внутр'!B534</f>
        <v>монтаж osb/фанера пол</v>
      </c>
      <c r="C528" s="2906" t="str">
        <f aca="false">'Смета Внутр'!C534</f>
        <v>м2</v>
      </c>
      <c r="D528" s="2906" t="n">
        <f aca="false">'Смета Внутр'!D534</f>
        <v>100</v>
      </c>
      <c r="E528" s="2896"/>
      <c r="F528" s="2891"/>
    </row>
    <row r="529" customFormat="false" ht="14.5" hidden="false" customHeight="false" outlineLevel="0" collapsed="false">
      <c r="B529" s="2896" t="str">
        <f aca="false">'Смета Внутр'!B535</f>
        <v>Итого работы</v>
      </c>
      <c r="C529" s="2896"/>
      <c r="D529" s="2896"/>
      <c r="E529" s="2896"/>
      <c r="F529" s="2912" t="n">
        <f aca="false">'Смета Внутр'!G535</f>
        <v>0</v>
      </c>
    </row>
    <row r="530" customFormat="false" ht="14.5" hidden="false" customHeight="false" outlineLevel="0" collapsed="false">
      <c r="B530" s="2911" t="str">
        <f aca="false">'Смета Внутр'!B536</f>
        <v>Техника и дополнительные расходы</v>
      </c>
      <c r="C530" s="2911"/>
      <c r="D530" s="2911"/>
      <c r="E530" s="2911"/>
      <c r="F530" s="2911"/>
    </row>
    <row r="531" customFormat="false" ht="14.5" hidden="false" customHeight="false" outlineLevel="0" collapsed="false">
      <c r="B531" s="2906" t="str">
        <f aca="false">'Смета Внутр'!B537</f>
        <v>Командировочные расходы</v>
      </c>
      <c r="C531" s="2906" t="n">
        <f aca="false">'Смета Внутр'!C537</f>
        <v>0</v>
      </c>
      <c r="D531" s="2906" t="n">
        <f aca="false">'Смета Внутр'!D537</f>
        <v>1</v>
      </c>
      <c r="E531" s="2896"/>
      <c r="F531" s="2891"/>
    </row>
    <row r="532" customFormat="false" ht="14.5" hidden="false" customHeight="false" outlineLevel="0" collapsed="false">
      <c r="B532" s="2906" t="str">
        <f aca="false">'Смета Внутр'!B538</f>
        <v>расходные материалы каркасный дом</v>
      </c>
      <c r="C532" s="2906" t="n">
        <f aca="false">'Смета Внутр'!C538</f>
        <v>0</v>
      </c>
      <c r="D532" s="2906" t="n">
        <f aca="false">'Смета Внутр'!D538</f>
        <v>1</v>
      </c>
      <c r="E532" s="2896"/>
      <c r="F532" s="2891"/>
    </row>
    <row r="533" customFormat="false" ht="14.5" hidden="false" customHeight="false" outlineLevel="0" collapsed="false">
      <c r="B533" s="2906" t="str">
        <f aca="false">'Смета Внутр'!B539</f>
        <v>Нет техники</v>
      </c>
      <c r="C533" s="2906" t="n">
        <f aca="false">'Смета Внутр'!C539</f>
        <v>0</v>
      </c>
      <c r="D533" s="2906" t="n">
        <f aca="false">'Смета Внутр'!D539</f>
        <v>2</v>
      </c>
      <c r="E533" s="2896"/>
      <c r="F533" s="2891"/>
    </row>
    <row r="534" customFormat="false" ht="14.5" hidden="false" customHeight="false" outlineLevel="0" collapsed="false">
      <c r="B534" s="2896" t="str">
        <f aca="false">'Смета Внутр'!B540</f>
        <v>Итого</v>
      </c>
      <c r="C534" s="2896"/>
      <c r="D534" s="2896"/>
      <c r="E534" s="2896"/>
      <c r="F534" s="2912" t="n">
        <f aca="false">'Смета Внутр'!G540</f>
        <v>12000</v>
      </c>
    </row>
    <row r="535" customFormat="false" ht="18.5" hidden="false" customHeight="false" outlineLevel="0" collapsed="false">
      <c r="B535" s="2899" t="str">
        <f aca="false">'Смета Внутр'!B541</f>
        <v>Дом из Газобетона</v>
      </c>
      <c r="C535" s="2899"/>
      <c r="D535" s="2899"/>
      <c r="E535" s="2899"/>
      <c r="F535" s="2893" t="n">
        <f aca="false">'Смета Внутр'!H541</f>
        <v>0</v>
      </c>
    </row>
    <row r="536" customFormat="false" ht="14.5" hidden="false" customHeight="false" outlineLevel="0" collapsed="false">
      <c r="B536" s="2894" t="str">
        <f aca="false">'Смета Внутр'!B542</f>
        <v>Материалы</v>
      </c>
      <c r="C536" s="2894"/>
      <c r="D536" s="2894"/>
      <c r="E536" s="2894"/>
      <c r="F536" s="2893" t="n">
        <f aca="false">'Смета Внутр'!H542</f>
        <v>0</v>
      </c>
    </row>
    <row r="537" customFormat="false" ht="14.5" hidden="false" customHeight="false" outlineLevel="0" collapsed="false">
      <c r="B537" s="2888" t="str">
        <f aca="false">'Смета Внутр'!B543</f>
        <v>Газоблок D400 200х100х390</v>
      </c>
      <c r="C537" s="2889" t="str">
        <f aca="false">'Смета Внутр'!C543</f>
        <v>м3</v>
      </c>
      <c r="D537" s="2890" t="n">
        <f aca="false">'Смета Внутр'!D543</f>
        <v>-3.12</v>
      </c>
      <c r="E537" s="2888"/>
      <c r="F537" s="2895" t="n">
        <f aca="false">'Смета Внутр'!H543</f>
        <v>0</v>
      </c>
    </row>
    <row r="538" customFormat="false" ht="14.5" hidden="false" customHeight="false" outlineLevel="0" collapsed="false">
      <c r="B538" s="2888" t="str">
        <f aca="false">'Смета Внутр'!B544</f>
        <v>Газоблок D500 200х100х390</v>
      </c>
      <c r="C538" s="2889" t="str">
        <f aca="false">'Смета Внутр'!C544</f>
        <v>м3</v>
      </c>
      <c r="D538" s="2890" t="n">
        <f aca="false">'Смета Внутр'!D544</f>
        <v>0</v>
      </c>
      <c r="E538" s="2888"/>
      <c r="F538" s="2895" t="n">
        <f aca="false">'Смета Внутр'!H544</f>
        <v>0</v>
      </c>
    </row>
    <row r="539" customFormat="false" ht="14.5" hidden="false" customHeight="false" outlineLevel="0" collapsed="false">
      <c r="B539" s="2888" t="str">
        <f aca="false">'Смета Внутр'!B545</f>
        <v>Газоблок D400 200х400х390</v>
      </c>
      <c r="C539" s="2889" t="str">
        <f aca="false">'Смета Внутр'!C545</f>
        <v>м3</v>
      </c>
      <c r="D539" s="2890" t="n">
        <f aca="false">'Смета Внутр'!D545</f>
        <v>0</v>
      </c>
      <c r="E539" s="2888"/>
      <c r="F539" s="2895" t="n">
        <f aca="false">'Смета Внутр'!H545</f>
        <v>0</v>
      </c>
    </row>
    <row r="540" customFormat="false" ht="14.5" hidden="false" customHeight="false" outlineLevel="0" collapsed="false">
      <c r="B540" s="2888" t="str">
        <f aca="false">'Смета Внутр'!B546</f>
        <v>Газоблокпоясной  D400 200х100х390</v>
      </c>
      <c r="C540" s="2889" t="str">
        <f aca="false">'Смета Внутр'!C546</f>
        <v>м3</v>
      </c>
      <c r="D540" s="2890" t="n">
        <f aca="false">'Смета Внутр'!D546</f>
        <v>3.0888</v>
      </c>
      <c r="E540" s="2888"/>
      <c r="F540" s="2895" t="n">
        <f aca="false">'Смета Внутр'!H546</f>
        <v>0</v>
      </c>
    </row>
    <row r="541" customFormat="false" ht="14.5" hidden="false" customHeight="false" outlineLevel="0" collapsed="false">
      <c r="B541" s="2888" t="str">
        <f aca="false">'Смета Внутр'!B547</f>
        <v>Поясной 200х100х600 угловой внешний</v>
      </c>
      <c r="C541" s="2889" t="str">
        <f aca="false">'Смета Внутр'!C547</f>
        <v>м3</v>
      </c>
      <c r="D541" s="2890" t="n">
        <f aca="false">'Смета Внутр'!D547</f>
        <v>0.0312</v>
      </c>
      <c r="E541" s="2888"/>
      <c r="F541" s="2895" t="n">
        <f aca="false">'Смета Внутр'!H547</f>
        <v>0</v>
      </c>
    </row>
    <row r="542" customFormat="false" ht="14.5" hidden="false" customHeight="false" outlineLevel="0" collapsed="false">
      <c r="B542" s="2888" t="str">
        <f aca="false">'Смета Внутр'!B548</f>
        <v>Поясной 200х100х600 угловой внутренний</v>
      </c>
      <c r="C542" s="2889" t="str">
        <f aca="false">'Смета Внутр'!C548</f>
        <v>м3</v>
      </c>
      <c r="D542" s="2890" t="n">
        <f aca="false">'Смета Внутр'!D548</f>
        <v>0</v>
      </c>
      <c r="E542" s="2888"/>
      <c r="F542" s="2895" t="n">
        <f aca="false">'Смета Внутр'!H548</f>
        <v>0</v>
      </c>
    </row>
    <row r="543" customFormat="false" ht="14.5" hidden="false" customHeight="false" outlineLevel="0" collapsed="false">
      <c r="B543" s="2888" t="str">
        <f aca="false">'Смета Внутр'!B549</f>
        <v>200х100х600 угловой внешний</v>
      </c>
      <c r="C543" s="2889" t="str">
        <f aca="false">'Смета Внутр'!C549</f>
        <v>м3</v>
      </c>
      <c r="D543" s="2890" t="n">
        <f aca="false">'Смета Внутр'!D549</f>
        <v>0.72</v>
      </c>
      <c r="E543" s="2888"/>
      <c r="F543" s="2895" t="n">
        <f aca="false">'Смета Внутр'!H549</f>
        <v>0</v>
      </c>
    </row>
    <row r="544" customFormat="false" ht="14.5" hidden="false" customHeight="false" outlineLevel="0" collapsed="false">
      <c r="B544" s="2888" t="str">
        <f aca="false">'Смета Внутр'!B550</f>
        <v>200х100х600 угловой внутренний</v>
      </c>
      <c r="C544" s="2889" t="str">
        <f aca="false">'Смета Внутр'!C550</f>
        <v>м4</v>
      </c>
      <c r="D544" s="2890" t="n">
        <f aca="false">'Смета Внутр'!D550</f>
        <v>0</v>
      </c>
      <c r="E544" s="2888"/>
      <c r="F544" s="2895" t="n">
        <f aca="false">'Смета Внутр'!H550</f>
        <v>0</v>
      </c>
    </row>
    <row r="545" customFormat="false" ht="14.5" hidden="false" customHeight="false" outlineLevel="0" collapsed="false">
      <c r="B545" s="2888" t="str">
        <f aca="false">'Смета Внутр'!B551</f>
        <v>Клей монтажный ВК-100</v>
      </c>
      <c r="C545" s="2889" t="str">
        <f aca="false">'Смета Внутр'!C551</f>
        <v>меш</v>
      </c>
      <c r="D545" s="2890" t="n">
        <f aca="false">'Смета Внутр'!D551</f>
        <v>0</v>
      </c>
      <c r="E545" s="2888"/>
      <c r="F545" s="2895" t="n">
        <f aca="false">'Смета Внутр'!H551</f>
        <v>0</v>
      </c>
    </row>
    <row r="546" customFormat="false" ht="14.5" hidden="false" customHeight="false" outlineLevel="0" collapsed="false">
      <c r="B546" s="2888" t="e">
        <f aca="false">'Смета Внутр'!B552</f>
        <v>#N/A</v>
      </c>
      <c r="C546" s="2889" t="str">
        <f aca="false">'Смета Внутр'!C552</f>
        <v>меш</v>
      </c>
      <c r="D546" s="2890" t="n">
        <f aca="false">'Смета Внутр'!D552</f>
        <v>-2.274072192</v>
      </c>
      <c r="E546" s="2888"/>
      <c r="F546" s="2895" t="n">
        <f aca="false">'Смета Внутр'!H552</f>
        <v>0</v>
      </c>
    </row>
    <row r="547" customFormat="false" ht="14.5" hidden="false" customHeight="false" outlineLevel="0" collapsed="false">
      <c r="B547" s="2888" t="e">
        <f aca="false">'Смета Внутр'!B553</f>
        <v>#N/A</v>
      </c>
      <c r="C547" s="2889" t="str">
        <f aca="false">'Смета Внутр'!C553</f>
        <v>м3</v>
      </c>
      <c r="D547" s="2890" t="n">
        <f aca="false">'Смета Внутр'!D553</f>
        <v>-0.541445759999999</v>
      </c>
      <c r="E547" s="2888"/>
      <c r="F547" s="2895" t="n">
        <f aca="false">'Смета Внутр'!H553</f>
        <v>0</v>
      </c>
    </row>
    <row r="548" customFormat="false" ht="14.5" hidden="false" customHeight="false" outlineLevel="0" collapsed="false">
      <c r="B548" s="2888" t="str">
        <f aca="false">'Смета Внутр'!B554</f>
        <v>Доставка песка</v>
      </c>
      <c r="C548" s="2889" t="str">
        <f aca="false">'Смета Внутр'!C554</f>
        <v>маш</v>
      </c>
      <c r="D548" s="2890" t="n">
        <f aca="false">'Смета Внутр'!D554</f>
        <v>0</v>
      </c>
      <c r="E548" s="2888"/>
      <c r="F548" s="2895" t="n">
        <f aca="false">'Смета Внутр'!H554</f>
        <v>0</v>
      </c>
    </row>
    <row r="549" customFormat="false" ht="14.5" hidden="false" customHeight="false" outlineLevel="0" collapsed="false">
      <c r="B549" s="2888" t="e">
        <f aca="false">'Смета Внутр'!B555</f>
        <v>#N/A</v>
      </c>
      <c r="C549" s="2889" t="str">
        <f aca="false">'Смета Внутр'!C555</f>
        <v>м3</v>
      </c>
      <c r="D549" s="2890" t="n">
        <f aca="false">'Смета Внутр'!D555</f>
        <v>-0.541445759999999</v>
      </c>
      <c r="E549" s="2888"/>
      <c r="F549" s="2895" t="n">
        <f aca="false">'Смета Внутр'!H555</f>
        <v>0</v>
      </c>
    </row>
    <row r="550" customFormat="false" ht="14.5" hidden="false" customHeight="false" outlineLevel="0" collapsed="false">
      <c r="B550" s="2888" t="str">
        <f aca="false">'Смета Внутр'!B556</f>
        <v>Арматура М6 каждый 3-й ряд, 2 нити</v>
      </c>
      <c r="C550" s="2889" t="str">
        <f aca="false">'Смета Внутр'!C556</f>
        <v>м.п.</v>
      </c>
      <c r="D550" s="2890" t="n">
        <f aca="false">'Смета Внутр'!D556</f>
        <v>480</v>
      </c>
      <c r="E550" s="2888"/>
      <c r="F550" s="2895" t="n">
        <f aca="false">'Смета Внутр'!H556</f>
        <v>0</v>
      </c>
    </row>
    <row r="551" customFormat="false" ht="14.5" hidden="false" customHeight="false" outlineLevel="0" collapsed="false">
      <c r="B551" s="2888" t="str">
        <f aca="false">'Смета Внутр'!B557</f>
        <v>Арматура М6 каждый 3-й ряд, 2 нити</v>
      </c>
      <c r="C551" s="2889" t="str">
        <f aca="false">'Смета Внутр'!C557</f>
        <v>м.п.</v>
      </c>
      <c r="D551" s="2890" t="n">
        <f aca="false">'Смета Внутр'!D557</f>
        <v>0</v>
      </c>
      <c r="E551" s="2888"/>
      <c r="F551" s="2895" t="n">
        <f aca="false">'Смета Внутр'!H557</f>
        <v>0</v>
      </c>
    </row>
    <row r="552" customFormat="false" ht="14.5" hidden="false" customHeight="false" outlineLevel="0" collapsed="false">
      <c r="B552" s="2888" t="str">
        <f aca="false">'Смета Внутр'!B558</f>
        <v>Перемычка оконная, 1-ый эт. Вариант 1</v>
      </c>
      <c r="C552" s="2889" t="str">
        <f aca="false">'Смета Внутр'!C558</f>
        <v>м.п.</v>
      </c>
      <c r="D552" s="2890" t="n">
        <f aca="false">'Смета Внутр'!D558</f>
        <v>1</v>
      </c>
      <c r="E552" s="2888"/>
      <c r="F552" s="2895" t="n">
        <f aca="false">'Смета Внутр'!H558</f>
        <v>0</v>
      </c>
    </row>
    <row r="553" customFormat="false" ht="14.5" hidden="false" customHeight="false" outlineLevel="0" collapsed="false">
      <c r="B553" s="2888" t="str">
        <f aca="false">'Смета Внутр'!B559</f>
        <v>Перемычка оконная, 1-ый эт. Вариант 2</v>
      </c>
      <c r="C553" s="2889" t="str">
        <f aca="false">'Смета Внутр'!C559</f>
        <v>м.п.</v>
      </c>
      <c r="D553" s="2890" t="n">
        <f aca="false">'Смета Внутр'!D559</f>
        <v>0</v>
      </c>
      <c r="E553" s="2888"/>
      <c r="F553" s="2895" t="n">
        <f aca="false">'Смета Внутр'!H559</f>
        <v>0</v>
      </c>
    </row>
    <row r="554" customFormat="false" ht="14.5" hidden="false" customHeight="false" outlineLevel="0" collapsed="false">
      <c r="B554" s="2888" t="str">
        <f aca="false">'Смета Внутр'!B560</f>
        <v>Перемычка оконная, 1-ый эт. Вариант 3</v>
      </c>
      <c r="C554" s="2889" t="str">
        <f aca="false">'Смета Внутр'!C560</f>
        <v>м.п.</v>
      </c>
      <c r="D554" s="2890" t="n">
        <f aca="false">'Смета Внутр'!D560</f>
        <v>0</v>
      </c>
      <c r="E554" s="2888"/>
      <c r="F554" s="2895" t="n">
        <f aca="false">'Смета Внутр'!H560</f>
        <v>0</v>
      </c>
    </row>
    <row r="555" customFormat="false" ht="14.5" hidden="false" customHeight="false" outlineLevel="0" collapsed="false">
      <c r="B555" s="2888" t="str">
        <f aca="false">'Смета Внутр'!B561</f>
        <v>Перемычка оконная, 1-ый эт. Вариант 4</v>
      </c>
      <c r="C555" s="2889" t="str">
        <f aca="false">'Смета Внутр'!C561</f>
        <v>м.п.</v>
      </c>
      <c r="D555" s="2890" t="n">
        <f aca="false">'Смета Внутр'!D561</f>
        <v>0</v>
      </c>
      <c r="E555" s="2888"/>
      <c r="F555" s="2895" t="n">
        <f aca="false">'Смета Внутр'!H561</f>
        <v>0</v>
      </c>
    </row>
    <row r="556" customFormat="false" ht="14.5" hidden="false" customHeight="false" outlineLevel="0" collapsed="false">
      <c r="B556" s="2888" t="str">
        <f aca="false">'Смета Внутр'!B562</f>
        <v>Перемычка оконная, 1-ый эт. Вариант 5</v>
      </c>
      <c r="C556" s="2889" t="str">
        <f aca="false">'Смета Внутр'!C562</f>
        <v>м.п.</v>
      </c>
      <c r="D556" s="2890" t="n">
        <f aca="false">'Смета Внутр'!D562</f>
        <v>0</v>
      </c>
      <c r="E556" s="2888"/>
      <c r="F556" s="2895" t="n">
        <f aca="false">'Смета Внутр'!H562</f>
        <v>0</v>
      </c>
    </row>
    <row r="557" customFormat="false" ht="14.5" hidden="false" customHeight="false" outlineLevel="0" collapsed="false">
      <c r="B557" s="2888" t="str">
        <f aca="false">'Смета Внутр'!B563</f>
        <v>Перемычка оконная, 2-ый эт. Вариант 6</v>
      </c>
      <c r="C557" s="2889" t="str">
        <f aca="false">'Смета Внутр'!C563</f>
        <v>м.п.</v>
      </c>
      <c r="D557" s="2890" t="n">
        <f aca="false">'Смета Внутр'!D563</f>
        <v>0</v>
      </c>
      <c r="E557" s="2888"/>
      <c r="F557" s="2895" t="n">
        <f aca="false">'Смета Внутр'!H563</f>
        <v>0</v>
      </c>
    </row>
    <row r="558" customFormat="false" ht="14.5" hidden="false" customHeight="false" outlineLevel="0" collapsed="false">
      <c r="B558" s="2888" t="str">
        <f aca="false">'Смета Внутр'!B564</f>
        <v>Перемычка оконная, 2-ый эт. Вариант 7</v>
      </c>
      <c r="C558" s="2889" t="str">
        <f aca="false">'Смета Внутр'!C564</f>
        <v>м.п.</v>
      </c>
      <c r="D558" s="2890" t="n">
        <f aca="false">'Смета Внутр'!D564</f>
        <v>0</v>
      </c>
      <c r="E558" s="2888"/>
      <c r="F558" s="2895" t="n">
        <f aca="false">'Смета Внутр'!H564</f>
        <v>0</v>
      </c>
    </row>
    <row r="559" customFormat="false" ht="14.5" hidden="false" customHeight="false" outlineLevel="0" collapsed="false">
      <c r="B559" s="2888" t="str">
        <f aca="false">'Смета Внутр'!B565</f>
        <v>Перемычка оконная, 2-ый эт. Вариант 8</v>
      </c>
      <c r="C559" s="2889" t="str">
        <f aca="false">'Смета Внутр'!C565</f>
        <v>м.п.</v>
      </c>
      <c r="D559" s="2890" t="n">
        <f aca="false">'Смета Внутр'!D565</f>
        <v>0</v>
      </c>
      <c r="E559" s="2888"/>
      <c r="F559" s="2895" t="n">
        <f aca="false">'Смета Внутр'!H565</f>
        <v>0</v>
      </c>
    </row>
    <row r="560" customFormat="false" ht="14.5" hidden="false" customHeight="false" outlineLevel="0" collapsed="false">
      <c r="B560" s="2888" t="str">
        <f aca="false">'Смета Внутр'!B566</f>
        <v>Перемычка оконная, 2-ый эт. Вариант 9</v>
      </c>
      <c r="C560" s="2889" t="str">
        <f aca="false">'Смета Внутр'!C566</f>
        <v>м.п.</v>
      </c>
      <c r="D560" s="2890" t="n">
        <f aca="false">'Смета Внутр'!D566</f>
        <v>0</v>
      </c>
      <c r="E560" s="2888"/>
      <c r="F560" s="2895" t="n">
        <f aca="false">'Смета Внутр'!H566</f>
        <v>0</v>
      </c>
    </row>
    <row r="561" customFormat="false" ht="14.5" hidden="false" customHeight="false" outlineLevel="0" collapsed="false">
      <c r="B561" s="2888" t="str">
        <f aca="false">'Смета Внутр'!B567</f>
        <v>Перемычка оконная, 2-ый эт. Вариант 10</v>
      </c>
      <c r="C561" s="2889" t="str">
        <f aca="false">'Смета Внутр'!C567</f>
        <v>м.п.</v>
      </c>
      <c r="D561" s="2890" t="n">
        <f aca="false">'Смета Внутр'!D567</f>
        <v>0</v>
      </c>
      <c r="E561" s="2888"/>
      <c r="F561" s="2895" t="n">
        <f aca="false">'Смета Внутр'!H567</f>
        <v>0</v>
      </c>
    </row>
    <row r="562" customFormat="false" ht="14.5" hidden="false" customHeight="false" outlineLevel="0" collapsed="false">
      <c r="B562" s="2888" t="str">
        <f aca="false">'Смета Внутр'!B568</f>
        <v>Перемычка дверная, 1-ый эт. Вариант 1</v>
      </c>
      <c r="C562" s="2889" t="str">
        <f aca="false">'Смета Внутр'!C568</f>
        <v>м.п.</v>
      </c>
      <c r="D562" s="2890" t="n">
        <f aca="false">'Смета Внутр'!D568</f>
        <v>0</v>
      </c>
      <c r="E562" s="2888"/>
      <c r="F562" s="2895" t="n">
        <f aca="false">'Смета Внутр'!H568</f>
        <v>0</v>
      </c>
    </row>
    <row r="563" customFormat="false" ht="14.5" hidden="false" customHeight="false" outlineLevel="0" collapsed="false">
      <c r="B563" s="2888" t="str">
        <f aca="false">'Смета Внутр'!B569</f>
        <v>Перемычка дверная, 2-ый эт. Вариант 2</v>
      </c>
      <c r="C563" s="2889" t="str">
        <f aca="false">'Смета Внутр'!C569</f>
        <v>м.п.</v>
      </c>
      <c r="D563" s="2890" t="n">
        <f aca="false">'Смета Внутр'!D569</f>
        <v>0</v>
      </c>
      <c r="E563" s="2888"/>
      <c r="F563" s="2895" t="n">
        <f aca="false">'Смета Внутр'!H569</f>
        <v>0</v>
      </c>
    </row>
    <row r="564" customFormat="false" ht="14.5" hidden="false" customHeight="false" outlineLevel="0" collapsed="false">
      <c r="B564" s="2888" t="str">
        <f aca="false">'Смета Внутр'!B570</f>
        <v>Перемычка оконная 1-ый эт, Вариант 11</v>
      </c>
      <c r="C564" s="2889" t="str">
        <f aca="false">'Смета Внутр'!C570</f>
        <v>м.п.</v>
      </c>
      <c r="D564" s="2890" t="n">
        <f aca="false">'Смета Внутр'!D570</f>
        <v>0</v>
      </c>
      <c r="E564" s="2888"/>
      <c r="F564" s="2895" t="n">
        <f aca="false">'Смета Внутр'!H570</f>
        <v>0</v>
      </c>
    </row>
    <row r="565" customFormat="false" ht="14.5" hidden="false" customHeight="false" outlineLevel="0" collapsed="false">
      <c r="B565" s="2888" t="str">
        <f aca="false">'Смета Внутр'!B571</f>
        <v>Перемычка оконная 1-ый эт, Вариант 12</v>
      </c>
      <c r="C565" s="2889" t="str">
        <f aca="false">'Смета Внутр'!C571</f>
        <v>м.п.</v>
      </c>
      <c r="D565" s="2890" t="n">
        <f aca="false">'Смета Внутр'!D571</f>
        <v>0</v>
      </c>
      <c r="E565" s="2888"/>
      <c r="F565" s="2895" t="n">
        <f aca="false">'Смета Внутр'!H571</f>
        <v>0</v>
      </c>
    </row>
    <row r="566" customFormat="false" ht="14.5" hidden="false" customHeight="false" outlineLevel="0" collapsed="false">
      <c r="B566" s="2888" t="str">
        <f aca="false">'Смета Внутр'!B572</f>
        <v>Перемычка дверная, 1-ый эт. Вариант 4</v>
      </c>
      <c r="C566" s="2889" t="str">
        <f aca="false">'Смета Внутр'!C572</f>
        <v>м.п.</v>
      </c>
      <c r="D566" s="2890" t="n">
        <f aca="false">'Смета Внутр'!D572</f>
        <v>0</v>
      </c>
      <c r="E566" s="2888"/>
      <c r="F566" s="2895" t="n">
        <f aca="false">'Смета Внутр'!H572</f>
        <v>0</v>
      </c>
    </row>
    <row r="567" customFormat="false" ht="14.5" hidden="false" customHeight="false" outlineLevel="0" collapsed="false">
      <c r="B567" s="2888" t="str">
        <f aca="false">'Смета Внутр'!B573</f>
        <v>Перемычка дверная, 1-ый эт. Вариант 5</v>
      </c>
      <c r="C567" s="2889" t="str">
        <f aca="false">'Смета Внутр'!C573</f>
        <v>м.п.</v>
      </c>
      <c r="D567" s="2890" t="n">
        <f aca="false">'Смета Внутр'!D573</f>
        <v>0</v>
      </c>
      <c r="E567" s="2888"/>
      <c r="F567" s="2895" t="n">
        <f aca="false">'Смета Внутр'!H573</f>
        <v>0</v>
      </c>
    </row>
    <row r="568" customFormat="false" ht="14.5" hidden="false" customHeight="false" outlineLevel="0" collapsed="false">
      <c r="B568" s="2888" t="str">
        <f aca="false">'Смета Внутр'!B574</f>
        <v>Перемычка дверная, 1-ый эт. Вариант 6</v>
      </c>
      <c r="C568" s="2889" t="str">
        <f aca="false">'Смета Внутр'!C574</f>
        <v>м.п.</v>
      </c>
      <c r="D568" s="2890" t="n">
        <f aca="false">'Смета Внутр'!D574</f>
        <v>0</v>
      </c>
      <c r="E568" s="2888"/>
      <c r="F568" s="2895" t="n">
        <f aca="false">'Смета Внутр'!H574</f>
        <v>0</v>
      </c>
    </row>
    <row r="569" customFormat="false" ht="14.5" hidden="false" customHeight="false" outlineLevel="0" collapsed="false">
      <c r="B569" s="2888" t="str">
        <f aca="false">'Смета Внутр'!B575</f>
        <v>Перемычка дверная, 2-ый эт. Вариант 7</v>
      </c>
      <c r="C569" s="2889" t="str">
        <f aca="false">'Смета Внутр'!C575</f>
        <v>м.п.</v>
      </c>
      <c r="D569" s="2890" t="n">
        <f aca="false">'Смета Внутр'!D575</f>
        <v>0</v>
      </c>
      <c r="E569" s="2888"/>
      <c r="F569" s="2895" t="n">
        <f aca="false">'Смета Внутр'!H575</f>
        <v>0</v>
      </c>
    </row>
    <row r="570" customFormat="false" ht="14.5" hidden="false" customHeight="false" outlineLevel="0" collapsed="false">
      <c r="B570" s="2888" t="str">
        <f aca="false">'Смета Внутр'!B576</f>
        <v>Перемычка дверная, 2-ый эт. Вариант 8</v>
      </c>
      <c r="C570" s="2889" t="str">
        <f aca="false">'Смета Внутр'!C576</f>
        <v>м.п.</v>
      </c>
      <c r="D570" s="2890" t="n">
        <f aca="false">'Смета Внутр'!D576</f>
        <v>0</v>
      </c>
      <c r="E570" s="2888"/>
      <c r="F570" s="2895" t="n">
        <f aca="false">'Смета Внутр'!H576</f>
        <v>0</v>
      </c>
    </row>
    <row r="571" customFormat="false" ht="14.5" hidden="false" customHeight="false" outlineLevel="0" collapsed="false">
      <c r="B571" s="2888" t="str">
        <f aca="false">'Смета Внутр'!B577</f>
        <v>Перемычка дверная, 2-ый эт. Вариант 9</v>
      </c>
      <c r="C571" s="2889" t="str">
        <f aca="false">'Смета Внутр'!C577</f>
        <v>м.п.</v>
      </c>
      <c r="D571" s="2890" t="n">
        <f aca="false">'Смета Внутр'!D577</f>
        <v>0</v>
      </c>
      <c r="E571" s="2888"/>
      <c r="F571" s="2895" t="n">
        <f aca="false">'Смета Внутр'!H577</f>
        <v>0</v>
      </c>
    </row>
    <row r="572" customFormat="false" ht="14.5" hidden="false" customHeight="false" outlineLevel="0" collapsed="false">
      <c r="B572" s="2888" t="str">
        <f aca="false">'Смета Внутр'!B578</f>
        <v>Перемычка проема, 1-ый эт. Вариант 10</v>
      </c>
      <c r="C572" s="2889" t="str">
        <f aca="false">'Смета Внутр'!C578</f>
        <v>м.п.</v>
      </c>
      <c r="D572" s="2890" t="n">
        <f aca="false">'Смета Внутр'!D578</f>
        <v>0</v>
      </c>
      <c r="E572" s="2888"/>
      <c r="F572" s="2895" t="n">
        <f aca="false">'Смета Внутр'!H578</f>
        <v>0</v>
      </c>
    </row>
    <row r="573" customFormat="false" ht="14.5" hidden="false" customHeight="false" outlineLevel="0" collapsed="false">
      <c r="B573" s="2888" t="str">
        <f aca="false">'Смета Внутр'!B579</f>
        <v>Перемычка проема, 1-ый эт. Вариант 11</v>
      </c>
      <c r="C573" s="2889" t="str">
        <f aca="false">'Смета Внутр'!C579</f>
        <v>м.п.</v>
      </c>
      <c r="D573" s="2890" t="n">
        <f aca="false">'Смета Внутр'!D579</f>
        <v>0</v>
      </c>
      <c r="E573" s="2888"/>
      <c r="F573" s="2895" t="n">
        <f aca="false">'Смета Внутр'!H579</f>
        <v>0</v>
      </c>
    </row>
    <row r="574" customFormat="false" ht="14.5" hidden="false" customHeight="false" outlineLevel="0" collapsed="false">
      <c r="B574" s="2888" t="str">
        <f aca="false">'Смета Внутр'!B580</f>
        <v>Перемычка проема, 2-ый эт. Вариант 12</v>
      </c>
      <c r="C574" s="2889" t="str">
        <f aca="false">'Смета Внутр'!C580</f>
        <v>м.п.</v>
      </c>
      <c r="D574" s="2890" t="n">
        <f aca="false">'Смета Внутр'!D580</f>
        <v>0</v>
      </c>
      <c r="E574" s="2888"/>
      <c r="F574" s="2895" t="n">
        <f aca="false">'Смета Внутр'!H580</f>
        <v>0</v>
      </c>
    </row>
    <row r="575" customFormat="false" ht="14.5" hidden="false" customHeight="false" outlineLevel="0" collapsed="false">
      <c r="B575" s="2888" t="str">
        <f aca="false">'Смета Внутр'!B581</f>
        <v>Перемычка проема, 2-ый эт. Вариант 13</v>
      </c>
      <c r="C575" s="2889" t="str">
        <f aca="false">'Смета Внутр'!C581</f>
        <v>м.п.</v>
      </c>
      <c r="D575" s="2890" t="n">
        <f aca="false">'Смета Внутр'!D581</f>
        <v>0</v>
      </c>
      <c r="E575" s="2888"/>
      <c r="F575" s="2895" t="n">
        <f aca="false">'Смета Внутр'!H581</f>
        <v>0</v>
      </c>
    </row>
    <row r="576" customFormat="false" ht="14.5" hidden="false" customHeight="false" outlineLevel="0" collapsed="false">
      <c r="B576" s="2888" t="str">
        <f aca="false">'Смета Внутр'!B582</f>
        <v>Перемычка дверная, 1-ый эт. Вариант 1</v>
      </c>
      <c r="C576" s="2889" t="str">
        <f aca="false">'Смета Внутр'!C582</f>
        <v>м.п.</v>
      </c>
      <c r="D576" s="2890" t="n">
        <f aca="false">'Смета Внутр'!D582</f>
        <v>0</v>
      </c>
      <c r="E576" s="2888"/>
      <c r="F576" s="2895" t="n">
        <f aca="false">'Смета Внутр'!H582</f>
        <v>0</v>
      </c>
    </row>
    <row r="577" customFormat="false" ht="14.5" hidden="false" customHeight="false" outlineLevel="0" collapsed="false">
      <c r="B577" s="2888" t="str">
        <f aca="false">'Смета Внутр'!B583</f>
        <v>Перемычка дверная, 1-ый эт. Вариант 2</v>
      </c>
      <c r="C577" s="2889" t="str">
        <f aca="false">'Смета Внутр'!C583</f>
        <v>м.п.</v>
      </c>
      <c r="D577" s="2890" t="n">
        <f aca="false">'Смета Внутр'!D583</f>
        <v>0</v>
      </c>
      <c r="E577" s="2888"/>
      <c r="F577" s="2895" t="n">
        <f aca="false">'Смета Внутр'!H583</f>
        <v>0</v>
      </c>
    </row>
    <row r="578" customFormat="false" ht="14.5" hidden="false" customHeight="false" outlineLevel="0" collapsed="false">
      <c r="B578" s="2888" t="str">
        <f aca="false">'Смета Внутр'!B584</f>
        <v>Перемычка дверная, 1-ый эт. Вариант 3</v>
      </c>
      <c r="C578" s="2889" t="str">
        <f aca="false">'Смета Внутр'!C584</f>
        <v>м.п.</v>
      </c>
      <c r="D578" s="2890" t="n">
        <f aca="false">'Смета Внутр'!D584</f>
        <v>0</v>
      </c>
      <c r="E578" s="2888"/>
      <c r="F578" s="2895" t="n">
        <f aca="false">'Смета Внутр'!H584</f>
        <v>0</v>
      </c>
    </row>
    <row r="579" customFormat="false" ht="14.5" hidden="false" customHeight="false" outlineLevel="0" collapsed="false">
      <c r="B579" s="2888" t="str">
        <f aca="false">'Смета Внутр'!B585</f>
        <v>Сосна влаж,200*40мм</v>
      </c>
      <c r="C579" s="2889" t="str">
        <f aca="false">'Смета Внутр'!C585</f>
        <v>м3</v>
      </c>
      <c r="D579" s="2890" t="n">
        <f aca="false">'Смета Внутр'!D585</f>
        <v>0.832</v>
      </c>
      <c r="E579" s="2888"/>
      <c r="F579" s="2895" t="n">
        <f aca="false">'Смета Внутр'!H585</f>
        <v>0</v>
      </c>
    </row>
    <row r="580" customFormat="false" ht="14.5" hidden="false" customHeight="false" outlineLevel="0" collapsed="false">
      <c r="B580" s="2888" t="str">
        <f aca="false">'Смета Внутр'!B586</f>
        <v>Сейсмопояс Арматура М10 4 нити</v>
      </c>
      <c r="C580" s="2889" t="str">
        <f aca="false">'Смета Внутр'!C586</f>
        <v>м.п.</v>
      </c>
      <c r="D580" s="2890" t="n">
        <f aca="false">'Смета Внутр'!D586</f>
        <v>176</v>
      </c>
      <c r="E580" s="2888"/>
      <c r="F580" s="2895" t="n">
        <f aca="false">'Смета Внутр'!H586</f>
        <v>0</v>
      </c>
    </row>
    <row r="581" customFormat="false" ht="14.5" hidden="false" customHeight="false" outlineLevel="0" collapsed="false">
      <c r="B581" s="2888" t="str">
        <f aca="false">'Смета Внутр'!B587</f>
        <v>Хомут для сейсмопояса Арматура М6, шаг 400мм</v>
      </c>
      <c r="C581" s="2889" t="str">
        <f aca="false">'Смета Внутр'!C587</f>
        <v>м.п.</v>
      </c>
      <c r="D581" s="2890" t="n">
        <f aca="false">'Смета Внутр'!D587</f>
        <v>90</v>
      </c>
      <c r="E581" s="2888"/>
      <c r="F581" s="2895" t="n">
        <f aca="false">'Смета Внутр'!H587</f>
        <v>0</v>
      </c>
    </row>
    <row r="582" customFormat="false" ht="14.5" hidden="false" customHeight="false" outlineLevel="0" collapsed="false">
      <c r="B582" s="2888" t="str">
        <f aca="false">'Смета Внутр'!B588</f>
        <v>Бетон, м300</v>
      </c>
      <c r="C582" s="2889" t="str">
        <f aca="false">'Смета Внутр'!C588</f>
        <v>м3</v>
      </c>
      <c r="D582" s="2890" t="n">
        <f aca="false">'Смета Внутр'!D588</f>
        <v>1.638</v>
      </c>
      <c r="E582" s="2888"/>
      <c r="F582" s="2895" t="n">
        <f aca="false">'Смета Внутр'!H588</f>
        <v>0</v>
      </c>
    </row>
    <row r="583" customFormat="false" ht="14.5" hidden="false" customHeight="false" outlineLevel="0" collapsed="false">
      <c r="B583" s="2888" t="str">
        <f aca="false">'Смета Внутр'!B589</f>
        <v>Нет</v>
      </c>
      <c r="C583" s="2889" t="str">
        <f aca="false">'Смета Внутр'!C589</f>
        <v>м3</v>
      </c>
      <c r="D583" s="2890" t="n">
        <f aca="false">'Смета Внутр'!D589</f>
        <v>0</v>
      </c>
      <c r="E583" s="2888"/>
      <c r="F583" s="2895" t="n">
        <f aca="false">'Смета Внутр'!H589</f>
        <v>0</v>
      </c>
    </row>
    <row r="584" customFormat="false" ht="14.5" hidden="false" customHeight="false" outlineLevel="0" collapsed="false">
      <c r="B584" s="2888" t="str">
        <f aca="false">'Смета Внутр'!B590</f>
        <v>Грибок для крепления утеплителя</v>
      </c>
      <c r="C584" s="2889" t="str">
        <f aca="false">'Смета Внутр'!C590</f>
        <v>шт</v>
      </c>
      <c r="D584" s="2890" t="n">
        <f aca="false">'Смета Внутр'!D590</f>
        <v>0</v>
      </c>
      <c r="E584" s="2888"/>
      <c r="F584" s="2895" t="n">
        <f aca="false">'Смета Внутр'!H590</f>
        <v>0</v>
      </c>
    </row>
    <row r="585" customFormat="false" ht="14.5" hidden="false" customHeight="false" outlineLevel="0" collapsed="false">
      <c r="B585" s="2888" t="str">
        <f aca="false">'Смета Внутр'!B591</f>
        <v>нет ветроизоляции</v>
      </c>
      <c r="C585" s="2889" t="str">
        <f aca="false">'Смета Внутр'!C591</f>
        <v>м2</v>
      </c>
      <c r="D585" s="2890" t="n">
        <f aca="false">'Смета Внутр'!D591</f>
        <v>0</v>
      </c>
      <c r="E585" s="2888"/>
      <c r="F585" s="2895" t="n">
        <f aca="false">'Смета Внутр'!H591</f>
        <v>0</v>
      </c>
    </row>
    <row r="586" customFormat="false" ht="14.5" hidden="false" customHeight="false" outlineLevel="0" collapsed="false">
      <c r="B586" s="2896" t="str">
        <f aca="false">'Смета Внутр'!B592</f>
        <v>Итого материалы</v>
      </c>
      <c r="C586" s="2896"/>
      <c r="D586" s="2896"/>
      <c r="E586" s="2896"/>
      <c r="F586" s="2897" t="n">
        <f aca="false">'Смета Внутр'!G592</f>
        <v>0</v>
      </c>
    </row>
    <row r="587" customFormat="false" ht="14.5" hidden="false" customHeight="false" outlineLevel="0" collapsed="false">
      <c r="B587" s="2898" t="str">
        <f aca="false">'Смета Внутр'!B593</f>
        <v>Работы</v>
      </c>
      <c r="C587" s="2898"/>
      <c r="D587" s="2898"/>
      <c r="E587" s="2898"/>
      <c r="F587" s="2893" t="n">
        <f aca="false">'Смета Внутр'!H593</f>
        <v>0</v>
      </c>
    </row>
    <row r="588" customFormat="false" ht="14.5" hidden="false" customHeight="false" outlineLevel="0" collapsed="false">
      <c r="B588" s="2888" t="str">
        <f aca="false">'Смета Внутр'!B594</f>
        <v>кладка газобетона несущие стены</v>
      </c>
      <c r="C588" s="2889" t="str">
        <f aca="false">'Смета Внутр'!C594</f>
        <v>м3</v>
      </c>
      <c r="D588" s="2890" t="n">
        <f aca="false">'Смета Внутр'!D594</f>
        <v>-3.12</v>
      </c>
      <c r="E588" s="2888"/>
      <c r="F588" s="2895" t="n">
        <f aca="false">'Смета Внутр'!H594</f>
        <v>0</v>
      </c>
    </row>
    <row r="589" customFormat="false" ht="14.5" hidden="false" customHeight="false" outlineLevel="0" collapsed="false">
      <c r="B589" s="2888" t="str">
        <f aca="false">'Смета Внутр'!B595</f>
        <v>кладка газобетона несущие перегородки</v>
      </c>
      <c r="C589" s="2889" t="str">
        <f aca="false">'Смета Внутр'!C595</f>
        <v>м3</v>
      </c>
      <c r="D589" s="2890" t="n">
        <f aca="false">'Смета Внутр'!D595</f>
        <v>0</v>
      </c>
      <c r="E589" s="2888"/>
      <c r="F589" s="2895" t="n">
        <f aca="false">'Смета Внутр'!H595</f>
        <v>0</v>
      </c>
    </row>
    <row r="590" customFormat="false" ht="14.5" hidden="false" customHeight="false" outlineLevel="0" collapsed="false">
      <c r="B590" s="2888" t="str">
        <f aca="false">'Смета Внутр'!B596</f>
        <v>кладка газобетона перегородки</v>
      </c>
      <c r="C590" s="2889" t="str">
        <f aca="false">'Смета Внутр'!C596</f>
        <v>м2</v>
      </c>
      <c r="D590" s="2890" t="n">
        <f aca="false">'Смета Внутр'!D596</f>
        <v>0</v>
      </c>
      <c r="E590" s="2888"/>
      <c r="F590" s="2895" t="n">
        <f aca="false">'Смета Внутр'!H596</f>
        <v>0</v>
      </c>
    </row>
    <row r="591" customFormat="false" ht="14.5" hidden="false" customHeight="false" outlineLevel="0" collapsed="false">
      <c r="B591" s="2888" t="str">
        <f aca="false">'Смета Внутр'!B597</f>
        <v>изготовление и монтаж перемычек для окон и дверей</v>
      </c>
      <c r="C591" s="2889" t="str">
        <f aca="false">'Смета Внутр'!C597</f>
        <v>м.п.</v>
      </c>
      <c r="D591" s="2890" t="n">
        <f aca="false">'Смета Внутр'!D597</f>
        <v>2.52</v>
      </c>
      <c r="E591" s="2888"/>
      <c r="F591" s="2895" t="n">
        <f aca="false">'Смета Внутр'!H597</f>
        <v>0</v>
      </c>
    </row>
    <row r="592" customFormat="false" ht="14.5" hidden="false" customHeight="false" outlineLevel="0" collapsed="false">
      <c r="B592" s="2888" t="str">
        <f aca="false">'Смета Внутр'!B598</f>
        <v>Замешивание раствора</v>
      </c>
      <c r="C592" s="2889" t="str">
        <f aca="false">'Смета Внутр'!C598</f>
        <v>м3</v>
      </c>
      <c r="D592" s="2890" t="n">
        <f aca="false">'Смета Внутр'!D598</f>
        <v>-0.541445759999999</v>
      </c>
      <c r="E592" s="2888"/>
      <c r="F592" s="2895" t="n">
        <f aca="false">'Смета Внутр'!H598</f>
        <v>0</v>
      </c>
    </row>
    <row r="593" customFormat="false" ht="14.5" hidden="false" customHeight="false" outlineLevel="0" collapsed="false">
      <c r="B593" s="2888" t="str">
        <f aca="false">'Смета Внутр'!B599</f>
        <v>Армирование стен наружних и перегородок</v>
      </c>
      <c r="C593" s="2889" t="str">
        <f aca="false">'Смета Внутр'!C599</f>
        <v>м.п.</v>
      </c>
      <c r="D593" s="2890" t="n">
        <f aca="false">'Смета Внутр'!D599</f>
        <v>240</v>
      </c>
      <c r="E593" s="2888"/>
      <c r="F593" s="2895" t="n">
        <f aca="false">'Смета Внутр'!H599</f>
        <v>0</v>
      </c>
    </row>
    <row r="594" customFormat="false" ht="14.5" hidden="false" customHeight="false" outlineLevel="0" collapsed="false">
      <c r="B594" s="2888" t="str">
        <f aca="false">'Смета Внутр'!B600</f>
        <v>Установка опалубки для сейсмопояса</v>
      </c>
      <c r="C594" s="2889" t="str">
        <f aca="false">'Смета Внутр'!C600</f>
        <v>м.п.</v>
      </c>
      <c r="D594" s="2890" t="n">
        <f aca="false">'Смета Внутр'!D600</f>
        <v>40</v>
      </c>
      <c r="E594" s="2888"/>
      <c r="F594" s="2895" t="n">
        <f aca="false">'Смета Внутр'!H600</f>
        <v>0</v>
      </c>
    </row>
    <row r="595" customFormat="false" ht="14.5" hidden="false" customHeight="false" outlineLevel="0" collapsed="false">
      <c r="B595" s="2888" t="str">
        <f aca="false">'Смета Внутр'!B601</f>
        <v>Армирование сейсмопояса</v>
      </c>
      <c r="C595" s="2889" t="str">
        <f aca="false">'Смета Внутр'!C601</f>
        <v>м.п.</v>
      </c>
      <c r="D595" s="2890" t="n">
        <f aca="false">'Смета Внутр'!D601</f>
        <v>40</v>
      </c>
      <c r="E595" s="2888"/>
      <c r="F595" s="2895" t="n">
        <f aca="false">'Смета Внутр'!H601</f>
        <v>0</v>
      </c>
    </row>
    <row r="596" customFormat="false" ht="14.5" hidden="false" customHeight="false" outlineLevel="0" collapsed="false">
      <c r="B596" s="2888" t="str">
        <f aca="false">'Смета Внутр'!B602</f>
        <v>Заливка бетоном сейсмопояса</v>
      </c>
      <c r="C596" s="2889" t="str">
        <f aca="false">'Смета Внутр'!C602</f>
        <v>м.п.</v>
      </c>
      <c r="D596" s="2890" t="n">
        <f aca="false">'Смета Внутр'!D602</f>
        <v>40</v>
      </c>
      <c r="E596" s="2888"/>
      <c r="F596" s="2895" t="n">
        <f aca="false">'Смета Внутр'!H602</f>
        <v>0</v>
      </c>
    </row>
    <row r="597" customFormat="false" ht="14.5" hidden="false" customHeight="false" outlineLevel="0" collapsed="false">
      <c r="B597" s="2888" t="str">
        <f aca="false">'Смета Внутр'!B603</f>
        <v>утепление стен снаружи дома</v>
      </c>
      <c r="C597" s="2889" t="str">
        <f aca="false">'Смета Внутр'!C603</f>
        <v>м2</v>
      </c>
      <c r="D597" s="2890" t="n">
        <f aca="false">'Смета Внутр'!D603</f>
        <v>0</v>
      </c>
      <c r="E597" s="2888"/>
      <c r="F597" s="2895" t="n">
        <f aca="false">'Смета Внутр'!H603</f>
        <v>0</v>
      </c>
    </row>
    <row r="598" customFormat="false" ht="14.5" hidden="false" customHeight="false" outlineLevel="0" collapsed="false">
      <c r="B598" s="2888" t="str">
        <f aca="false">'Смета Внутр'!B604</f>
        <v>монтаж ветроизоляции стен</v>
      </c>
      <c r="C598" s="2889" t="str">
        <f aca="false">'Смета Внутр'!C604</f>
        <v>м2</v>
      </c>
      <c r="D598" s="2890" t="n">
        <f aca="false">'Смета Внутр'!D604</f>
        <v>0</v>
      </c>
      <c r="E598" s="2888"/>
      <c r="F598" s="2895" t="n">
        <f aca="false">'Смета Внутр'!H604</f>
        <v>0</v>
      </c>
    </row>
    <row r="599" customFormat="false" ht="14.5" hidden="false" customHeight="false" outlineLevel="0" collapsed="false">
      <c r="B599" s="2896" t="str">
        <f aca="false">'Смета Внутр'!B605</f>
        <v>Итого работы</v>
      </c>
      <c r="C599" s="2896"/>
      <c r="D599" s="2896"/>
      <c r="E599" s="2896"/>
      <c r="F599" s="2897" t="n">
        <f aca="false">'Смета Внутр'!G605</f>
        <v>0</v>
      </c>
    </row>
    <row r="600" customFormat="false" ht="18.5" hidden="false" customHeight="false" outlineLevel="0" collapsed="false">
      <c r="B600" s="2899" t="str">
        <f aca="false">'Смета Внутр'!B606</f>
        <v>Дом из Пенобетона</v>
      </c>
      <c r="C600" s="2899"/>
      <c r="D600" s="2899"/>
      <c r="E600" s="2899"/>
      <c r="F600" s="2893" t="n">
        <f aca="false">'Смета Внутр'!H606</f>
        <v>0</v>
      </c>
    </row>
    <row r="601" customFormat="false" ht="14.5" hidden="false" customHeight="false" outlineLevel="0" collapsed="false">
      <c r="B601" s="2894" t="str">
        <f aca="false">'Смета Внутр'!B607</f>
        <v>Материалы</v>
      </c>
      <c r="C601" s="2894"/>
      <c r="D601" s="2894"/>
      <c r="E601" s="2894"/>
      <c r="F601" s="2893" t="n">
        <f aca="false">'Смета Внутр'!H607</f>
        <v>0</v>
      </c>
    </row>
    <row r="602" customFormat="false" ht="14.5" hidden="false" customHeight="false" outlineLevel="0" collapsed="false">
      <c r="B602" s="2888" t="str">
        <f aca="false">'Смета Внутр'!B608</f>
        <v>Керамзитобетонный блок - 390х190х188</v>
      </c>
      <c r="C602" s="2889" t="str">
        <f aca="false">'Смета Внутр'!C608</f>
        <v>м3</v>
      </c>
      <c r="D602" s="2890" t="n">
        <f aca="false">'Смета Внутр'!D608</f>
        <v>0</v>
      </c>
      <c r="E602" s="2888"/>
      <c r="F602" s="2895" t="n">
        <f aca="false">'Смета Внутр'!H608</f>
        <v>0</v>
      </c>
    </row>
    <row r="603" customFormat="false" ht="14.5" hidden="false" customHeight="false" outlineLevel="0" collapsed="false">
      <c r="B603" s="2888" t="str">
        <f aca="false">'Смета Внутр'!B609</f>
        <v>Керамзитобетонный блок - 390х190х188</v>
      </c>
      <c r="C603" s="2889" t="str">
        <f aca="false">'Смета Внутр'!C609</f>
        <v>м3</v>
      </c>
      <c r="D603" s="2890" t="n">
        <f aca="false">'Смета Внутр'!D609</f>
        <v>0</v>
      </c>
      <c r="E603" s="2888"/>
      <c r="F603" s="2895" t="n">
        <f aca="false">'Смета Внутр'!H609</f>
        <v>0</v>
      </c>
    </row>
    <row r="604" customFormat="false" ht="14.5" hidden="false" customHeight="false" outlineLevel="0" collapsed="false">
      <c r="B604" s="2888" t="str">
        <f aca="false">'Смета Внутр'!B610</f>
        <v>Керамзитобетонный блок - 390х90х188</v>
      </c>
      <c r="C604" s="2889" t="str">
        <f aca="false">'Смета Внутр'!C610</f>
        <v>м3</v>
      </c>
      <c r="D604" s="2890" t="n">
        <f aca="false">'Смета Внутр'!D610</f>
        <v>0</v>
      </c>
      <c r="E604" s="2888"/>
      <c r="F604" s="2895" t="n">
        <f aca="false">'Смета Внутр'!H610</f>
        <v>0</v>
      </c>
    </row>
    <row r="605" customFormat="false" ht="14.5" hidden="false" customHeight="false" outlineLevel="0" collapsed="false">
      <c r="B605" s="2888" t="str">
        <f aca="false">'Смета Внутр'!B611</f>
        <v>Клей монтажный ВК-100</v>
      </c>
      <c r="C605" s="2889" t="str">
        <f aca="false">'Смета Внутр'!C611</f>
        <v>меш</v>
      </c>
      <c r="D605" s="2890" t="n">
        <f aca="false">'Смета Внутр'!D611</f>
        <v>0</v>
      </c>
      <c r="E605" s="2888"/>
      <c r="F605" s="2895" t="n">
        <f aca="false">'Смета Внутр'!H611</f>
        <v>0</v>
      </c>
    </row>
    <row r="606" customFormat="false" ht="14.5" hidden="false" customHeight="false" outlineLevel="0" collapsed="false">
      <c r="B606" s="2888" t="e">
        <f aca="false">'Смета Внутр'!B612</f>
        <v>#N/A</v>
      </c>
      <c r="C606" s="2889" t="str">
        <f aca="false">'Смета Внутр'!C612</f>
        <v>меш</v>
      </c>
      <c r="D606" s="2890" t="n">
        <f aca="false">'Смета Внутр'!D612</f>
        <v>0</v>
      </c>
      <c r="E606" s="2888"/>
      <c r="F606" s="2895" t="n">
        <f aca="false">'Смета Внутр'!H612</f>
        <v>0</v>
      </c>
    </row>
    <row r="607" customFormat="false" ht="14.5" hidden="false" customHeight="false" outlineLevel="0" collapsed="false">
      <c r="B607" s="2888" t="e">
        <f aca="false">'Смета Внутр'!B613</f>
        <v>#N/A</v>
      </c>
      <c r="C607" s="2889" t="str">
        <f aca="false">'Смета Внутр'!C613</f>
        <v>м3</v>
      </c>
      <c r="D607" s="2890" t="n">
        <f aca="false">'Смета Внутр'!D613</f>
        <v>0</v>
      </c>
      <c r="E607" s="2888"/>
      <c r="F607" s="2895" t="n">
        <f aca="false">'Смета Внутр'!H613</f>
        <v>0</v>
      </c>
    </row>
    <row r="608" customFormat="false" ht="14.5" hidden="false" customHeight="false" outlineLevel="0" collapsed="false">
      <c r="B608" s="2888" t="str">
        <f aca="false">'Смета Внутр'!B614</f>
        <v>Доставка песка</v>
      </c>
      <c r="C608" s="2889" t="str">
        <f aca="false">'Смета Внутр'!C614</f>
        <v>маш</v>
      </c>
      <c r="D608" s="2890" t="n">
        <f aca="false">'Смета Внутр'!D614</f>
        <v>0</v>
      </c>
      <c r="E608" s="2888"/>
      <c r="F608" s="2895" t="n">
        <f aca="false">'Смета Внутр'!H614</f>
        <v>0</v>
      </c>
    </row>
    <row r="609" customFormat="false" ht="14.5" hidden="false" customHeight="false" outlineLevel="0" collapsed="false">
      <c r="B609" s="2888" t="e">
        <f aca="false">'Смета Внутр'!B615</f>
        <v>#N/A</v>
      </c>
      <c r="C609" s="2889" t="str">
        <f aca="false">'Смета Внутр'!C615</f>
        <v>м3</v>
      </c>
      <c r="D609" s="2890" t="n">
        <f aca="false">'Смета Внутр'!D615</f>
        <v>0</v>
      </c>
      <c r="E609" s="2888"/>
      <c r="F609" s="2895" t="n">
        <f aca="false">'Смета Внутр'!H615</f>
        <v>0</v>
      </c>
    </row>
    <row r="610" customFormat="false" ht="14.5" hidden="false" customHeight="false" outlineLevel="0" collapsed="false">
      <c r="B610" s="2888" t="str">
        <f aca="false">'Смета Внутр'!B616</f>
        <v>Арматура М6 каждый 3-й ряд, 2 нити</v>
      </c>
      <c r="C610" s="2889" t="str">
        <f aca="false">'Смета Внутр'!C616</f>
        <v>м.п.</v>
      </c>
      <c r="D610" s="2890" t="n">
        <f aca="false">'Смета Внутр'!D616</f>
        <v>480</v>
      </c>
      <c r="E610" s="2888"/>
      <c r="F610" s="2895" t="n">
        <f aca="false">'Смета Внутр'!H616</f>
        <v>0</v>
      </c>
    </row>
    <row r="611" customFormat="false" ht="14.5" hidden="false" customHeight="false" outlineLevel="0" collapsed="false">
      <c r="B611" s="2888" t="str">
        <f aca="false">'Смета Внутр'!B617</f>
        <v>Арматура М6 каждый 3-й ряд, 2 нити</v>
      </c>
      <c r="C611" s="2889" t="str">
        <f aca="false">'Смета Внутр'!C617</f>
        <v>м.п.</v>
      </c>
      <c r="D611" s="2890" t="n">
        <f aca="false">'Смета Внутр'!D617</f>
        <v>0</v>
      </c>
      <c r="E611" s="2888"/>
      <c r="F611" s="2895" t="n">
        <f aca="false">'Смета Внутр'!H617</f>
        <v>0</v>
      </c>
    </row>
    <row r="612" customFormat="false" ht="14.5" hidden="false" customHeight="false" outlineLevel="0" collapsed="false">
      <c r="B612" s="2888" t="str">
        <f aca="false">'Смета Внутр'!B618</f>
        <v>Перемычка оконная, 1-ый эт. Вариант 1</v>
      </c>
      <c r="C612" s="2889" t="str">
        <f aca="false">'Смета Внутр'!C618</f>
        <v>м.п.</v>
      </c>
      <c r="D612" s="2890" t="n">
        <f aca="false">'Смета Внутр'!D618</f>
        <v>1</v>
      </c>
      <c r="E612" s="2888"/>
      <c r="F612" s="2895" t="n">
        <f aca="false">'Смета Внутр'!H618</f>
        <v>0</v>
      </c>
    </row>
    <row r="613" customFormat="false" ht="14.5" hidden="false" customHeight="false" outlineLevel="0" collapsed="false">
      <c r="B613" s="2888" t="str">
        <f aca="false">'Смета Внутр'!B619</f>
        <v>Перемычка оконная, 1-ый эт. Вариант 2</v>
      </c>
      <c r="C613" s="2889" t="str">
        <f aca="false">'Смета Внутр'!C619</f>
        <v>м.п.</v>
      </c>
      <c r="D613" s="2890" t="n">
        <f aca="false">'Смета Внутр'!D619</f>
        <v>0</v>
      </c>
      <c r="E613" s="2888"/>
      <c r="F613" s="2895" t="n">
        <f aca="false">'Смета Внутр'!H619</f>
        <v>0</v>
      </c>
    </row>
    <row r="614" customFormat="false" ht="14.5" hidden="false" customHeight="false" outlineLevel="0" collapsed="false">
      <c r="B614" s="2888" t="str">
        <f aca="false">'Смета Внутр'!B620</f>
        <v>Перемычка оконная, 1-ый эт. Вариант 3</v>
      </c>
      <c r="C614" s="2889" t="str">
        <f aca="false">'Смета Внутр'!C620</f>
        <v>м.п.</v>
      </c>
      <c r="D614" s="2890" t="n">
        <f aca="false">'Смета Внутр'!D620</f>
        <v>0</v>
      </c>
      <c r="E614" s="2888"/>
      <c r="F614" s="2895" t="n">
        <f aca="false">'Смета Внутр'!H620</f>
        <v>0</v>
      </c>
    </row>
    <row r="615" customFormat="false" ht="14.5" hidden="false" customHeight="false" outlineLevel="0" collapsed="false">
      <c r="B615" s="2888" t="str">
        <f aca="false">'Смета Внутр'!B621</f>
        <v>Перемычка оконная, 1-ый эт. Вариант 4</v>
      </c>
      <c r="C615" s="2889" t="str">
        <f aca="false">'Смета Внутр'!C621</f>
        <v>м.п.</v>
      </c>
      <c r="D615" s="2890" t="n">
        <f aca="false">'Смета Внутр'!D621</f>
        <v>0</v>
      </c>
      <c r="E615" s="2888"/>
      <c r="F615" s="2895" t="n">
        <f aca="false">'Смета Внутр'!H621</f>
        <v>0</v>
      </c>
    </row>
    <row r="616" customFormat="false" ht="14.5" hidden="false" customHeight="false" outlineLevel="0" collapsed="false">
      <c r="B616" s="2888" t="str">
        <f aca="false">'Смета Внутр'!B622</f>
        <v>Перемычка оконная, 1-ый эт. Вариант 5</v>
      </c>
      <c r="C616" s="2889" t="str">
        <f aca="false">'Смета Внутр'!C622</f>
        <v>м.п.</v>
      </c>
      <c r="D616" s="2890" t="n">
        <f aca="false">'Смета Внутр'!D622</f>
        <v>0</v>
      </c>
      <c r="E616" s="2888"/>
      <c r="F616" s="2895" t="n">
        <f aca="false">'Смета Внутр'!H622</f>
        <v>0</v>
      </c>
    </row>
    <row r="617" customFormat="false" ht="14.5" hidden="false" customHeight="false" outlineLevel="0" collapsed="false">
      <c r="B617" s="2888" t="str">
        <f aca="false">'Смета Внутр'!B623</f>
        <v>Перемычка оконная, 2-ый эт. Вариант 6</v>
      </c>
      <c r="C617" s="2889" t="str">
        <f aca="false">'Смета Внутр'!C623</f>
        <v>м.п.</v>
      </c>
      <c r="D617" s="2890" t="n">
        <f aca="false">'Смета Внутр'!D623</f>
        <v>0</v>
      </c>
      <c r="E617" s="2888"/>
      <c r="F617" s="2895" t="n">
        <f aca="false">'Смета Внутр'!H623</f>
        <v>0</v>
      </c>
    </row>
    <row r="618" customFormat="false" ht="14.5" hidden="false" customHeight="false" outlineLevel="0" collapsed="false">
      <c r="B618" s="2888" t="str">
        <f aca="false">'Смета Внутр'!B624</f>
        <v>Перемычка оконная, 2-ый эт. Вариант 7</v>
      </c>
      <c r="C618" s="2889" t="str">
        <f aca="false">'Смета Внутр'!C624</f>
        <v>м.п.</v>
      </c>
      <c r="D618" s="2890" t="n">
        <f aca="false">'Смета Внутр'!D624</f>
        <v>0</v>
      </c>
      <c r="E618" s="2888"/>
      <c r="F618" s="2895" t="n">
        <f aca="false">'Смета Внутр'!H624</f>
        <v>0</v>
      </c>
    </row>
    <row r="619" customFormat="false" ht="14.5" hidden="false" customHeight="false" outlineLevel="0" collapsed="false">
      <c r="B619" s="2888" t="str">
        <f aca="false">'Смета Внутр'!B625</f>
        <v>Перемычка оконная, 2-ый эт. Вариант 8</v>
      </c>
      <c r="C619" s="2889" t="str">
        <f aca="false">'Смета Внутр'!C625</f>
        <v>м.п.</v>
      </c>
      <c r="D619" s="2890" t="n">
        <f aca="false">'Смета Внутр'!D625</f>
        <v>0</v>
      </c>
      <c r="E619" s="2888"/>
      <c r="F619" s="2895" t="n">
        <f aca="false">'Смета Внутр'!H625</f>
        <v>0</v>
      </c>
    </row>
    <row r="620" customFormat="false" ht="14.5" hidden="false" customHeight="false" outlineLevel="0" collapsed="false">
      <c r="B620" s="2888" t="str">
        <f aca="false">'Смета Внутр'!B626</f>
        <v>Перемычка оконная, 2-ый эт. Вариант 9</v>
      </c>
      <c r="C620" s="2889" t="str">
        <f aca="false">'Смета Внутр'!C626</f>
        <v>м.п.</v>
      </c>
      <c r="D620" s="2890" t="n">
        <f aca="false">'Смета Внутр'!D626</f>
        <v>0</v>
      </c>
      <c r="E620" s="2888"/>
      <c r="F620" s="2895" t="n">
        <f aca="false">'Смета Внутр'!H626</f>
        <v>0</v>
      </c>
    </row>
    <row r="621" customFormat="false" ht="14.5" hidden="false" customHeight="false" outlineLevel="0" collapsed="false">
      <c r="B621" s="2888" t="str">
        <f aca="false">'Смета Внутр'!B627</f>
        <v>Перемычка оконная, 2-ый эт. Вариант 10</v>
      </c>
      <c r="C621" s="2889" t="str">
        <f aca="false">'Смета Внутр'!C627</f>
        <v>м.п.</v>
      </c>
      <c r="D621" s="2890" t="n">
        <f aca="false">'Смета Внутр'!D627</f>
        <v>0</v>
      </c>
      <c r="E621" s="2888"/>
      <c r="F621" s="2895" t="n">
        <f aca="false">'Смета Внутр'!H627</f>
        <v>0</v>
      </c>
    </row>
    <row r="622" customFormat="false" ht="14.5" hidden="false" customHeight="false" outlineLevel="0" collapsed="false">
      <c r="B622" s="2888" t="str">
        <f aca="false">'Смета Внутр'!B628</f>
        <v>Перемычка дверная, 1-ый эт. Вариант 1</v>
      </c>
      <c r="C622" s="2889" t="str">
        <f aca="false">'Смета Внутр'!C628</f>
        <v>м.п.</v>
      </c>
      <c r="D622" s="2890" t="n">
        <f aca="false">'Смета Внутр'!D628</f>
        <v>0</v>
      </c>
      <c r="E622" s="2888"/>
      <c r="F622" s="2895" t="n">
        <f aca="false">'Смета Внутр'!H628</f>
        <v>0</v>
      </c>
    </row>
    <row r="623" customFormat="false" ht="14.5" hidden="false" customHeight="false" outlineLevel="0" collapsed="false">
      <c r="B623" s="2888" t="str">
        <f aca="false">'Смета Внутр'!B629</f>
        <v>Перемычка дверная, 2-ый эт. Вариант 2</v>
      </c>
      <c r="C623" s="2889" t="str">
        <f aca="false">'Смета Внутр'!C629</f>
        <v>м.п.</v>
      </c>
      <c r="D623" s="2890" t="n">
        <f aca="false">'Смета Внутр'!D629</f>
        <v>0</v>
      </c>
      <c r="E623" s="2888"/>
      <c r="F623" s="2895" t="n">
        <f aca="false">'Смета Внутр'!H629</f>
        <v>0</v>
      </c>
    </row>
    <row r="624" customFormat="false" ht="14.5" hidden="false" customHeight="false" outlineLevel="0" collapsed="false">
      <c r="B624" s="2888" t="str">
        <f aca="false">'Смета Внутр'!B630</f>
        <v>Перемычка оконная 1-ый эт, Вариант 11</v>
      </c>
      <c r="C624" s="2889" t="str">
        <f aca="false">'Смета Внутр'!C630</f>
        <v>м.п.</v>
      </c>
      <c r="D624" s="2890" t="n">
        <f aca="false">'Смета Внутр'!D630</f>
        <v>0</v>
      </c>
      <c r="E624" s="2888"/>
      <c r="F624" s="2895" t="n">
        <f aca="false">'Смета Внутр'!H630</f>
        <v>0</v>
      </c>
    </row>
    <row r="625" customFormat="false" ht="14.5" hidden="false" customHeight="false" outlineLevel="0" collapsed="false">
      <c r="B625" s="2888" t="str">
        <f aca="false">'Смета Внутр'!B631</f>
        <v>Перемычка оконная 1-ый эт, Вариант 12</v>
      </c>
      <c r="C625" s="2889" t="str">
        <f aca="false">'Смета Внутр'!C631</f>
        <v>м.п.</v>
      </c>
      <c r="D625" s="2890" t="n">
        <f aca="false">'Смета Внутр'!D631</f>
        <v>0</v>
      </c>
      <c r="E625" s="2888"/>
      <c r="F625" s="2895" t="n">
        <f aca="false">'Смета Внутр'!H631</f>
        <v>0</v>
      </c>
    </row>
    <row r="626" customFormat="false" ht="14.5" hidden="false" customHeight="false" outlineLevel="0" collapsed="false">
      <c r="B626" s="2888" t="str">
        <f aca="false">'Смета Внутр'!B632</f>
        <v>Перемычка дверная, 1-ый эт. Вариант 4</v>
      </c>
      <c r="C626" s="2889" t="str">
        <f aca="false">'Смета Внутр'!C632</f>
        <v>м.п.</v>
      </c>
      <c r="D626" s="2890" t="n">
        <f aca="false">'Смета Внутр'!D632</f>
        <v>0</v>
      </c>
      <c r="E626" s="2888"/>
      <c r="F626" s="2895" t="n">
        <f aca="false">'Смета Внутр'!H632</f>
        <v>0</v>
      </c>
    </row>
    <row r="627" customFormat="false" ht="14.5" hidden="false" customHeight="false" outlineLevel="0" collapsed="false">
      <c r="B627" s="2888" t="str">
        <f aca="false">'Смета Внутр'!B633</f>
        <v>Перемычка дверная, 1-ый эт. Вариант 5</v>
      </c>
      <c r="C627" s="2889" t="str">
        <f aca="false">'Смета Внутр'!C633</f>
        <v>м.п.</v>
      </c>
      <c r="D627" s="2890" t="n">
        <f aca="false">'Смета Внутр'!D633</f>
        <v>0</v>
      </c>
      <c r="E627" s="2888"/>
      <c r="F627" s="2895" t="n">
        <f aca="false">'Смета Внутр'!H633</f>
        <v>0</v>
      </c>
    </row>
    <row r="628" customFormat="false" ht="14.5" hidden="false" customHeight="false" outlineLevel="0" collapsed="false">
      <c r="B628" s="2888" t="str">
        <f aca="false">'Смета Внутр'!B634</f>
        <v>Перемычка дверная, 1-ый эт. Вариант 6</v>
      </c>
      <c r="C628" s="2889" t="str">
        <f aca="false">'Смета Внутр'!C634</f>
        <v>м.п.</v>
      </c>
      <c r="D628" s="2890" t="n">
        <f aca="false">'Смета Внутр'!D634</f>
        <v>0</v>
      </c>
      <c r="E628" s="2888"/>
      <c r="F628" s="2895" t="n">
        <f aca="false">'Смета Внутр'!H634</f>
        <v>0</v>
      </c>
    </row>
    <row r="629" customFormat="false" ht="14.5" hidden="false" customHeight="false" outlineLevel="0" collapsed="false">
      <c r="B629" s="2888" t="str">
        <f aca="false">'Смета Внутр'!B635</f>
        <v>Перемычка дверная, 2-ый эт. Вариант 7</v>
      </c>
      <c r="C629" s="2889" t="str">
        <f aca="false">'Смета Внутр'!C635</f>
        <v>м.п.</v>
      </c>
      <c r="D629" s="2890" t="n">
        <f aca="false">'Смета Внутр'!D635</f>
        <v>0</v>
      </c>
      <c r="E629" s="2888"/>
      <c r="F629" s="2895" t="n">
        <f aca="false">'Смета Внутр'!H635</f>
        <v>0</v>
      </c>
    </row>
    <row r="630" customFormat="false" ht="14.5" hidden="false" customHeight="false" outlineLevel="0" collapsed="false">
      <c r="B630" s="2888" t="str">
        <f aca="false">'Смета Внутр'!B636</f>
        <v>Перемычка дверная, 2-ый эт. Вариант 8</v>
      </c>
      <c r="C630" s="2889" t="str">
        <f aca="false">'Смета Внутр'!C636</f>
        <v>м.п.</v>
      </c>
      <c r="D630" s="2890" t="n">
        <f aca="false">'Смета Внутр'!D636</f>
        <v>0</v>
      </c>
      <c r="E630" s="2888"/>
      <c r="F630" s="2895" t="n">
        <f aca="false">'Смета Внутр'!H636</f>
        <v>0</v>
      </c>
    </row>
    <row r="631" customFormat="false" ht="14.5" hidden="false" customHeight="false" outlineLevel="0" collapsed="false">
      <c r="B631" s="2888" t="str">
        <f aca="false">'Смета Внутр'!B637</f>
        <v>Перемычка дверная, 2-ый эт. Вариант 9</v>
      </c>
      <c r="C631" s="2889" t="str">
        <f aca="false">'Смета Внутр'!C637</f>
        <v>м.п.</v>
      </c>
      <c r="D631" s="2890" t="n">
        <f aca="false">'Смета Внутр'!D637</f>
        <v>0</v>
      </c>
      <c r="E631" s="2888"/>
      <c r="F631" s="2895" t="n">
        <f aca="false">'Смета Внутр'!H637</f>
        <v>0</v>
      </c>
    </row>
    <row r="632" customFormat="false" ht="14.5" hidden="false" customHeight="false" outlineLevel="0" collapsed="false">
      <c r="B632" s="2888" t="str">
        <f aca="false">'Смета Внутр'!B638</f>
        <v>Перемычка проема, 1-ый эт. Вариант 10</v>
      </c>
      <c r="C632" s="2889" t="str">
        <f aca="false">'Смета Внутр'!C638</f>
        <v>м.п.</v>
      </c>
      <c r="D632" s="2890" t="n">
        <f aca="false">'Смета Внутр'!D638</f>
        <v>0</v>
      </c>
      <c r="E632" s="2888"/>
      <c r="F632" s="2895" t="n">
        <f aca="false">'Смета Внутр'!H638</f>
        <v>0</v>
      </c>
    </row>
    <row r="633" customFormat="false" ht="14.5" hidden="false" customHeight="false" outlineLevel="0" collapsed="false">
      <c r="B633" s="2888" t="str">
        <f aca="false">'Смета Внутр'!B639</f>
        <v>Перемычка проема, 1-ый эт. Вариант 11</v>
      </c>
      <c r="C633" s="2889" t="str">
        <f aca="false">'Смета Внутр'!C639</f>
        <v>м.п.</v>
      </c>
      <c r="D633" s="2890" t="n">
        <f aca="false">'Смета Внутр'!D639</f>
        <v>0</v>
      </c>
      <c r="E633" s="2888"/>
      <c r="F633" s="2895" t="n">
        <f aca="false">'Смета Внутр'!H639</f>
        <v>0</v>
      </c>
    </row>
    <row r="634" customFormat="false" ht="14.5" hidden="false" customHeight="false" outlineLevel="0" collapsed="false">
      <c r="B634" s="2888" t="str">
        <f aca="false">'Смета Внутр'!B640</f>
        <v>Перемычка проема, 2-ый эт. Вариант 12</v>
      </c>
      <c r="C634" s="2889" t="str">
        <f aca="false">'Смета Внутр'!C640</f>
        <v>м.п.</v>
      </c>
      <c r="D634" s="2890" t="n">
        <f aca="false">'Смета Внутр'!D640</f>
        <v>0</v>
      </c>
      <c r="E634" s="2888"/>
      <c r="F634" s="2895" t="n">
        <f aca="false">'Смета Внутр'!H640</f>
        <v>0</v>
      </c>
    </row>
    <row r="635" customFormat="false" ht="14.5" hidden="false" customHeight="false" outlineLevel="0" collapsed="false">
      <c r="B635" s="2888" t="str">
        <f aca="false">'Смета Внутр'!B641</f>
        <v>Перемычка проема, 2-ый эт. Вариант 13</v>
      </c>
      <c r="C635" s="2889" t="str">
        <f aca="false">'Смета Внутр'!C641</f>
        <v>м.п.</v>
      </c>
      <c r="D635" s="2890" t="n">
        <f aca="false">'Смета Внутр'!D641</f>
        <v>0</v>
      </c>
      <c r="E635" s="2888"/>
      <c r="F635" s="2895" t="n">
        <f aca="false">'Смета Внутр'!H641</f>
        <v>0</v>
      </c>
    </row>
    <row r="636" customFormat="false" ht="14.5" hidden="false" customHeight="false" outlineLevel="0" collapsed="false">
      <c r="B636" s="2888" t="str">
        <f aca="false">'Смета Внутр'!B642</f>
        <v>Перемычка дверная, 1-ый эт. Вариант 1</v>
      </c>
      <c r="C636" s="2889" t="str">
        <f aca="false">'Смета Внутр'!C642</f>
        <v>м.п.</v>
      </c>
      <c r="D636" s="2890" t="n">
        <f aca="false">'Смета Внутр'!D642</f>
        <v>0</v>
      </c>
      <c r="E636" s="2888"/>
      <c r="F636" s="2895" t="n">
        <f aca="false">'Смета Внутр'!H642</f>
        <v>0</v>
      </c>
    </row>
    <row r="637" customFormat="false" ht="14.5" hidden="false" customHeight="false" outlineLevel="0" collapsed="false">
      <c r="B637" s="2888" t="str">
        <f aca="false">'Смета Внутр'!B643</f>
        <v>Перемычка дверная, 1-ый эт. Вариант 2</v>
      </c>
      <c r="C637" s="2889" t="str">
        <f aca="false">'Смета Внутр'!C643</f>
        <v>м.п.</v>
      </c>
      <c r="D637" s="2890" t="n">
        <f aca="false">'Смета Внутр'!D643</f>
        <v>0</v>
      </c>
      <c r="E637" s="2888"/>
      <c r="F637" s="2895" t="n">
        <f aca="false">'Смета Внутр'!H643</f>
        <v>0</v>
      </c>
    </row>
    <row r="638" customFormat="false" ht="14.5" hidden="false" customHeight="false" outlineLevel="0" collapsed="false">
      <c r="B638" s="2888" t="str">
        <f aca="false">'Смета Внутр'!B644</f>
        <v>Перемычка дверная, 1-ый эт. Вариант 3</v>
      </c>
      <c r="C638" s="2889" t="str">
        <f aca="false">'Смета Внутр'!C644</f>
        <v>м.п.</v>
      </c>
      <c r="D638" s="2890" t="n">
        <f aca="false">'Смета Внутр'!D644</f>
        <v>0</v>
      </c>
      <c r="E638" s="2888"/>
      <c r="F638" s="2895" t="n">
        <f aca="false">'Смета Внутр'!H644</f>
        <v>0</v>
      </c>
    </row>
    <row r="639" customFormat="false" ht="14.5" hidden="false" customHeight="false" outlineLevel="0" collapsed="false">
      <c r="B639" s="2888" t="str">
        <f aca="false">'Смета Внутр'!B645</f>
        <v>Сосна влаж,200*40мм</v>
      </c>
      <c r="C639" s="2889" t="str">
        <f aca="false">'Смета Внутр'!C645</f>
        <v>м3</v>
      </c>
      <c r="D639" s="2890" t="n">
        <f aca="false">'Смета Внутр'!D645</f>
        <v>0.832</v>
      </c>
      <c r="E639" s="2888"/>
      <c r="F639" s="2895" t="n">
        <f aca="false">'Смета Внутр'!H645</f>
        <v>0</v>
      </c>
    </row>
    <row r="640" customFormat="false" ht="14.5" hidden="false" customHeight="false" outlineLevel="0" collapsed="false">
      <c r="B640" s="2888" t="str">
        <f aca="false">'Смета Внутр'!B646</f>
        <v>Сейсмопояс Арматура М10 4 нити</v>
      </c>
      <c r="C640" s="2889" t="str">
        <f aca="false">'Смета Внутр'!C646</f>
        <v>м.п.</v>
      </c>
      <c r="D640" s="2890" t="n">
        <f aca="false">'Смета Внутр'!D646</f>
        <v>176</v>
      </c>
      <c r="E640" s="2888"/>
      <c r="F640" s="2895" t="n">
        <f aca="false">'Смета Внутр'!H646</f>
        <v>0</v>
      </c>
    </row>
    <row r="641" customFormat="false" ht="14.5" hidden="false" customHeight="false" outlineLevel="0" collapsed="false">
      <c r="B641" s="2888" t="str">
        <f aca="false">'Смета Внутр'!B647</f>
        <v>Хомут для сейсмопояса Арматура М6, шаг 400мм</v>
      </c>
      <c r="C641" s="2889" t="str">
        <f aca="false">'Смета Внутр'!C647</f>
        <v>м.п.</v>
      </c>
      <c r="D641" s="2890" t="n">
        <f aca="false">'Смета Внутр'!D647</f>
        <v>90</v>
      </c>
      <c r="E641" s="2888"/>
      <c r="F641" s="2895" t="n">
        <f aca="false">'Смета Внутр'!H647</f>
        <v>0</v>
      </c>
    </row>
    <row r="642" customFormat="false" ht="14.5" hidden="false" customHeight="false" outlineLevel="0" collapsed="false">
      <c r="B642" s="2888" t="str">
        <f aca="false">'Смета Внутр'!B648</f>
        <v>Бетон, м300</v>
      </c>
      <c r="C642" s="2889" t="str">
        <f aca="false">'Смета Внутр'!C648</f>
        <v>м3</v>
      </c>
      <c r="D642" s="2890" t="n">
        <f aca="false">'Смета Внутр'!D648</f>
        <v>1.638</v>
      </c>
      <c r="E642" s="2888"/>
      <c r="F642" s="2895" t="n">
        <f aca="false">'Смета Внутр'!H648</f>
        <v>0</v>
      </c>
    </row>
    <row r="643" customFormat="false" ht="14.5" hidden="false" customHeight="false" outlineLevel="0" collapsed="false">
      <c r="B643" s="2888" t="str">
        <f aca="false">'Смета Внутр'!B649</f>
        <v>Нет</v>
      </c>
      <c r="C643" s="2889" t="str">
        <f aca="false">'Смета Внутр'!C649</f>
        <v>м3</v>
      </c>
      <c r="D643" s="2890" t="n">
        <f aca="false">'Смета Внутр'!D649</f>
        <v>0</v>
      </c>
      <c r="E643" s="2888"/>
      <c r="F643" s="2895" t="n">
        <f aca="false">'Смета Внутр'!H649</f>
        <v>0</v>
      </c>
    </row>
    <row r="644" customFormat="false" ht="14.5" hidden="false" customHeight="false" outlineLevel="0" collapsed="false">
      <c r="B644" s="2888" t="str">
        <f aca="false">'Смета Внутр'!B650</f>
        <v>Грибок для крепления утеплителя</v>
      </c>
      <c r="C644" s="2889" t="str">
        <f aca="false">'Смета Внутр'!C650</f>
        <v>шт</v>
      </c>
      <c r="D644" s="2890" t="n">
        <f aca="false">'Смета Внутр'!D650</f>
        <v>0</v>
      </c>
      <c r="E644" s="2888"/>
      <c r="F644" s="2895" t="n">
        <f aca="false">'Смета Внутр'!H650</f>
        <v>0</v>
      </c>
    </row>
    <row r="645" customFormat="false" ht="14.5" hidden="false" customHeight="false" outlineLevel="0" collapsed="false">
      <c r="B645" s="2888" t="str">
        <f aca="false">'Смета Внутр'!B651</f>
        <v>нет ветроизоляции</v>
      </c>
      <c r="C645" s="2889" t="str">
        <f aca="false">'Смета Внутр'!C651</f>
        <v>м2</v>
      </c>
      <c r="D645" s="2890" t="n">
        <f aca="false">'Смета Внутр'!D651</f>
        <v>0</v>
      </c>
      <c r="E645" s="2888"/>
      <c r="F645" s="2895" t="n">
        <f aca="false">'Смета Внутр'!H651</f>
        <v>0</v>
      </c>
    </row>
    <row r="646" customFormat="false" ht="14.5" hidden="false" customHeight="false" outlineLevel="0" collapsed="false">
      <c r="B646" s="2896" t="str">
        <f aca="false">'Смета Внутр'!B652</f>
        <v>Итого материалы</v>
      </c>
      <c r="C646" s="2896"/>
      <c r="D646" s="2896"/>
      <c r="E646" s="2896"/>
      <c r="F646" s="2897" t="n">
        <f aca="false">'Смета Внутр'!G652</f>
        <v>0</v>
      </c>
    </row>
    <row r="647" customFormat="false" ht="14.5" hidden="false" customHeight="false" outlineLevel="0" collapsed="false">
      <c r="B647" s="2898" t="str">
        <f aca="false">'Смета Внутр'!B653</f>
        <v>Работы</v>
      </c>
      <c r="C647" s="2898"/>
      <c r="D647" s="2898"/>
      <c r="E647" s="2898"/>
      <c r="F647" s="2893" t="n">
        <f aca="false">'Смета Внутр'!H653</f>
        <v>0</v>
      </c>
    </row>
    <row r="648" customFormat="false" ht="14.5" hidden="false" customHeight="false" outlineLevel="0" collapsed="false">
      <c r="B648" s="2888" t="str">
        <f aca="false">'Смета Внутр'!B654</f>
        <v>кладка пенобетона несущие стены</v>
      </c>
      <c r="C648" s="2889" t="str">
        <f aca="false">'Смета Внутр'!C654</f>
        <v>м3</v>
      </c>
      <c r="D648" s="2890" t="n">
        <f aca="false">'Смета Внутр'!D654</f>
        <v>0</v>
      </c>
      <c r="E648" s="2888"/>
      <c r="F648" s="2895" t="n">
        <f aca="false">'Смета Внутр'!H654</f>
        <v>0</v>
      </c>
    </row>
    <row r="649" customFormat="false" ht="14.5" hidden="false" customHeight="false" outlineLevel="0" collapsed="false">
      <c r="B649" s="2888" t="str">
        <f aca="false">'Смета Внутр'!B655</f>
        <v>кладка пенобетона несущие перегородки</v>
      </c>
      <c r="C649" s="2889" t="str">
        <f aca="false">'Смета Внутр'!C655</f>
        <v>м3</v>
      </c>
      <c r="D649" s="2890" t="n">
        <f aca="false">'Смета Внутр'!D655</f>
        <v>0</v>
      </c>
      <c r="E649" s="2888"/>
      <c r="F649" s="2895" t="n">
        <f aca="false">'Смета Внутр'!H655</f>
        <v>0</v>
      </c>
    </row>
    <row r="650" customFormat="false" ht="14.5" hidden="false" customHeight="false" outlineLevel="0" collapsed="false">
      <c r="B650" s="2888" t="str">
        <f aca="false">'Смета Внутр'!B656</f>
        <v>кладка пенобетона перегородки</v>
      </c>
      <c r="C650" s="2889" t="str">
        <f aca="false">'Смета Внутр'!C656</f>
        <v>м2</v>
      </c>
      <c r="D650" s="2890" t="n">
        <f aca="false">'Смета Внутр'!D656</f>
        <v>0</v>
      </c>
      <c r="E650" s="2888"/>
      <c r="F650" s="2895" t="n">
        <f aca="false">'Смета Внутр'!H656</f>
        <v>0</v>
      </c>
    </row>
    <row r="651" customFormat="false" ht="14.5" hidden="false" customHeight="false" outlineLevel="0" collapsed="false">
      <c r="B651" s="2888" t="str">
        <f aca="false">'Смета Внутр'!B657</f>
        <v>изготовление и монтаж перемычек для окон и дверей</v>
      </c>
      <c r="C651" s="2889" t="str">
        <f aca="false">'Смета Внутр'!C657</f>
        <v>м.п.</v>
      </c>
      <c r="D651" s="2890" t="n">
        <f aca="false">'Смета Внутр'!D657</f>
        <v>2.52</v>
      </c>
      <c r="E651" s="2888"/>
      <c r="F651" s="2895" t="n">
        <f aca="false">'Смета Внутр'!H657</f>
        <v>0</v>
      </c>
    </row>
    <row r="652" customFormat="false" ht="14.5" hidden="false" customHeight="false" outlineLevel="0" collapsed="false">
      <c r="B652" s="2888" t="str">
        <f aca="false">'Смета Внутр'!B658</f>
        <v>Замешивание раствора</v>
      </c>
      <c r="C652" s="2889" t="str">
        <f aca="false">'Смета Внутр'!C658</f>
        <v>м3</v>
      </c>
      <c r="D652" s="2890" t="n">
        <f aca="false">'Смета Внутр'!D658</f>
        <v>0</v>
      </c>
      <c r="E652" s="2888"/>
      <c r="F652" s="2895" t="n">
        <f aca="false">'Смета Внутр'!H658</f>
        <v>0</v>
      </c>
    </row>
    <row r="653" customFormat="false" ht="14.5" hidden="false" customHeight="false" outlineLevel="0" collapsed="false">
      <c r="B653" s="2888" t="str">
        <f aca="false">'Смета Внутр'!B659</f>
        <v>Армирование стен наружних и перегородок</v>
      </c>
      <c r="C653" s="2889" t="str">
        <f aca="false">'Смета Внутр'!C659</f>
        <v>м.п.</v>
      </c>
      <c r="D653" s="2890" t="n">
        <f aca="false">'Смета Внутр'!D659</f>
        <v>240</v>
      </c>
      <c r="E653" s="2888"/>
      <c r="F653" s="2895" t="n">
        <f aca="false">'Смета Внутр'!H659</f>
        <v>0</v>
      </c>
    </row>
    <row r="654" customFormat="false" ht="14.5" hidden="false" customHeight="false" outlineLevel="0" collapsed="false">
      <c r="B654" s="2888" t="str">
        <f aca="false">'Смета Внутр'!B660</f>
        <v>Установка опалубки для сейсмопояса</v>
      </c>
      <c r="C654" s="2889" t="str">
        <f aca="false">'Смета Внутр'!C660</f>
        <v>м.п.</v>
      </c>
      <c r="D654" s="2890" t="n">
        <f aca="false">'Смета Внутр'!D660</f>
        <v>40</v>
      </c>
      <c r="E654" s="2888"/>
      <c r="F654" s="2895" t="n">
        <f aca="false">'Смета Внутр'!H660</f>
        <v>0</v>
      </c>
    </row>
    <row r="655" customFormat="false" ht="14.5" hidden="false" customHeight="false" outlineLevel="0" collapsed="false">
      <c r="B655" s="2888" t="str">
        <f aca="false">'Смета Внутр'!B661</f>
        <v>Армирование сейсмопояса</v>
      </c>
      <c r="C655" s="2889" t="str">
        <f aca="false">'Смета Внутр'!C661</f>
        <v>м.п.</v>
      </c>
      <c r="D655" s="2890" t="n">
        <f aca="false">'Смета Внутр'!D661</f>
        <v>40</v>
      </c>
      <c r="E655" s="2888"/>
      <c r="F655" s="2895" t="n">
        <f aca="false">'Смета Внутр'!H661</f>
        <v>0</v>
      </c>
    </row>
    <row r="656" customFormat="false" ht="14.5" hidden="false" customHeight="false" outlineLevel="0" collapsed="false">
      <c r="B656" s="2888" t="str">
        <f aca="false">'Смета Внутр'!B662</f>
        <v>Заливка бетоном сейсмопояса</v>
      </c>
      <c r="C656" s="2889" t="str">
        <f aca="false">'Смета Внутр'!C662</f>
        <v>м.п.</v>
      </c>
      <c r="D656" s="2890" t="n">
        <f aca="false">'Смета Внутр'!D662</f>
        <v>40</v>
      </c>
      <c r="E656" s="2888"/>
      <c r="F656" s="2895" t="n">
        <f aca="false">'Смета Внутр'!H662</f>
        <v>0</v>
      </c>
    </row>
    <row r="657" customFormat="false" ht="14.5" hidden="false" customHeight="false" outlineLevel="0" collapsed="false">
      <c r="B657" s="2888" t="str">
        <f aca="false">'Смета Внутр'!B663</f>
        <v>утепление стен снаружи дома</v>
      </c>
      <c r="C657" s="2889" t="str">
        <f aca="false">'Смета Внутр'!C663</f>
        <v>м2</v>
      </c>
      <c r="D657" s="2890" t="n">
        <f aca="false">'Смета Внутр'!D663</f>
        <v>0</v>
      </c>
      <c r="E657" s="2888"/>
      <c r="F657" s="2895" t="n">
        <f aca="false">'Смета Внутр'!H663</f>
        <v>0</v>
      </c>
    </row>
    <row r="658" customFormat="false" ht="14.5" hidden="false" customHeight="false" outlineLevel="0" collapsed="false">
      <c r="B658" s="2888" t="str">
        <f aca="false">'Смета Внутр'!B664</f>
        <v>монтаж ветроизоляции стен</v>
      </c>
      <c r="C658" s="2889" t="str">
        <f aca="false">'Смета Внутр'!C664</f>
        <v>м2</v>
      </c>
      <c r="D658" s="2890" t="n">
        <f aca="false">'Смета Внутр'!D664</f>
        <v>0</v>
      </c>
      <c r="E658" s="2888"/>
      <c r="F658" s="2895" t="n">
        <f aca="false">'Смета Внутр'!H664</f>
        <v>0</v>
      </c>
    </row>
    <row r="659" customFormat="false" ht="14.5" hidden="false" customHeight="false" outlineLevel="0" collapsed="false">
      <c r="B659" s="2896" t="str">
        <f aca="false">'Смета Внутр'!B665</f>
        <v>Итого работы</v>
      </c>
      <c r="C659" s="2896"/>
      <c r="D659" s="2896"/>
      <c r="E659" s="2896"/>
      <c r="F659" s="2897" t="n">
        <f aca="false">'Смета Внутр'!G665</f>
        <v>0</v>
      </c>
    </row>
    <row r="660" customFormat="false" ht="18.5" hidden="false" customHeight="false" outlineLevel="0" collapsed="false">
      <c r="B660" s="2899" t="str">
        <f aca="false">'Смета Внутр'!B666</f>
        <v>Кирпичный дом</v>
      </c>
      <c r="C660" s="2899"/>
      <c r="D660" s="2899"/>
      <c r="E660" s="2899"/>
      <c r="F660" s="2893" t="n">
        <f aca="false">'Смета Внутр'!H666</f>
        <v>1</v>
      </c>
    </row>
    <row r="661" customFormat="false" ht="14.5" hidden="false" customHeight="false" outlineLevel="0" collapsed="false">
      <c r="B661" s="2894" t="str">
        <f aca="false">'Смета Внутр'!B667</f>
        <v>Материалы</v>
      </c>
      <c r="C661" s="2894"/>
      <c r="D661" s="2894"/>
      <c r="E661" s="2894"/>
      <c r="F661" s="2893" t="n">
        <f aca="false">'Смета Внутр'!H667</f>
        <v>1</v>
      </c>
    </row>
    <row r="662" customFormat="false" ht="14.5" hidden="false" customHeight="false" outlineLevel="0" collapsed="false">
      <c r="B662" s="2888" t="str">
        <f aca="false">'Смета Внутр'!B668</f>
        <v>Керамоблок 510х250х219 мм -    14,3 НФ</v>
      </c>
      <c r="C662" s="2889" t="str">
        <f aca="false">'Смета Внутр'!C668</f>
        <v>м3</v>
      </c>
      <c r="D662" s="2890" t="n">
        <f aca="false">'Смета Внутр'!D668</f>
        <v>41.7516</v>
      </c>
      <c r="E662" s="2888"/>
      <c r="F662" s="2895" t="n">
        <f aca="false">'Смета Внутр'!H668</f>
        <v>417516</v>
      </c>
    </row>
    <row r="663" customFormat="false" ht="14.5" hidden="false" customHeight="false" outlineLevel="0" collapsed="false">
      <c r="B663" s="2888" t="str">
        <f aca="false">'Смета Внутр'!B669</f>
        <v>Керамоблок 510х250х219 мм -    14,3 НФ</v>
      </c>
      <c r="C663" s="2889" t="str">
        <f aca="false">'Смета Внутр'!C669</f>
        <v>м3</v>
      </c>
      <c r="D663" s="2890" t="n">
        <f aca="false">'Смета Внутр'!D669</f>
        <v>12.672</v>
      </c>
      <c r="E663" s="2888"/>
      <c r="F663" s="2895" t="n">
        <f aca="false">'Смета Внутр'!H669</f>
        <v>126720</v>
      </c>
    </row>
    <row r="664" customFormat="false" ht="14.5" hidden="false" customHeight="false" outlineLevel="0" collapsed="false">
      <c r="B664" s="2888" t="str">
        <f aca="false">'Смета Внутр'!B670</f>
        <v>Керамоблок 510х250х219 мм -    14,3 НФ</v>
      </c>
      <c r="C664" s="2889" t="str">
        <f aca="false">'Смета Внутр'!C670</f>
        <v>м3</v>
      </c>
      <c r="D664" s="2890" t="n">
        <f aca="false">'Смета Внутр'!D670</f>
        <v>4.1184</v>
      </c>
      <c r="E664" s="2888"/>
      <c r="F664" s="2895" t="n">
        <f aca="false">'Смета Внутр'!H670</f>
        <v>41184</v>
      </c>
    </row>
    <row r="665" customFormat="false" ht="14.5" hidden="false" customHeight="false" outlineLevel="0" collapsed="false">
      <c r="B665" s="2888" t="str">
        <f aca="false">'Смета Внутр'!B671</f>
        <v>Перемычка оконная, 1-ый эт. Вариант 1</v>
      </c>
      <c r="C665" s="2889" t="str">
        <f aca="false">'Смета Внутр'!C671</f>
        <v>м.п.</v>
      </c>
      <c r="D665" s="2890" t="n">
        <f aca="false">'Смета Внутр'!D671</f>
        <v>1</v>
      </c>
      <c r="E665" s="2888"/>
      <c r="F665" s="2895" t="n">
        <f aca="false">'Смета Внутр'!H671</f>
        <v>1000</v>
      </c>
    </row>
    <row r="666" customFormat="false" ht="14.5" hidden="false" customHeight="false" outlineLevel="0" collapsed="false">
      <c r="B666" s="2888" t="str">
        <f aca="false">'Смета Внутр'!B672</f>
        <v>Перемычка оконная, 1-ый эт. Вариант 2</v>
      </c>
      <c r="C666" s="2889" t="str">
        <f aca="false">'Смета Внутр'!C672</f>
        <v>м.п.</v>
      </c>
      <c r="D666" s="2890" t="n">
        <f aca="false">'Смета Внутр'!D672</f>
        <v>0</v>
      </c>
      <c r="E666" s="2888"/>
      <c r="F666" s="2895" t="n">
        <f aca="false">'Смета Внутр'!H672</f>
        <v>0</v>
      </c>
    </row>
    <row r="667" customFormat="false" ht="14.5" hidden="false" customHeight="false" outlineLevel="0" collapsed="false">
      <c r="B667" s="2888" t="str">
        <f aca="false">'Смета Внутр'!B673</f>
        <v>Перемычка оконная, 1-ый эт. Вариант 3</v>
      </c>
      <c r="C667" s="2889" t="str">
        <f aca="false">'Смета Внутр'!C673</f>
        <v>м.п.</v>
      </c>
      <c r="D667" s="2890" t="n">
        <f aca="false">'Смета Внутр'!D673</f>
        <v>0</v>
      </c>
      <c r="E667" s="2888"/>
      <c r="F667" s="2895" t="n">
        <f aca="false">'Смета Внутр'!H673</f>
        <v>0</v>
      </c>
    </row>
    <row r="668" customFormat="false" ht="14.5" hidden="false" customHeight="false" outlineLevel="0" collapsed="false">
      <c r="B668" s="2888" t="str">
        <f aca="false">'Смета Внутр'!B674</f>
        <v>Перемычка оконная, 1-ый эт. Вариант 4</v>
      </c>
      <c r="C668" s="2889" t="str">
        <f aca="false">'Смета Внутр'!C674</f>
        <v>м.п.</v>
      </c>
      <c r="D668" s="2890" t="n">
        <f aca="false">'Смета Внутр'!D674</f>
        <v>0</v>
      </c>
      <c r="E668" s="2888"/>
      <c r="F668" s="2895" t="n">
        <f aca="false">'Смета Внутр'!H674</f>
        <v>0</v>
      </c>
    </row>
    <row r="669" customFormat="false" ht="14.5" hidden="false" customHeight="false" outlineLevel="0" collapsed="false">
      <c r="B669" s="2888" t="str">
        <f aca="false">'Смета Внутр'!B675</f>
        <v>Перемычка оконная, 1-ый эт. Вариант 5</v>
      </c>
      <c r="C669" s="2889" t="str">
        <f aca="false">'Смета Внутр'!C675</f>
        <v>м.п.</v>
      </c>
      <c r="D669" s="2890" t="n">
        <f aca="false">'Смета Внутр'!D675</f>
        <v>0</v>
      </c>
      <c r="E669" s="2888"/>
      <c r="F669" s="2895" t="n">
        <f aca="false">'Смета Внутр'!H675</f>
        <v>0</v>
      </c>
    </row>
    <row r="670" customFormat="false" ht="14.5" hidden="false" customHeight="false" outlineLevel="0" collapsed="false">
      <c r="B670" s="2888" t="str">
        <f aca="false">'Смета Внутр'!B676</f>
        <v>Перемычка оконная, 2-ый эт. Вариант 6</v>
      </c>
      <c r="C670" s="2889" t="str">
        <f aca="false">'Смета Внутр'!C676</f>
        <v>м.п.</v>
      </c>
      <c r="D670" s="2890" t="n">
        <f aca="false">'Смета Внутр'!D676</f>
        <v>0</v>
      </c>
      <c r="E670" s="2888"/>
      <c r="F670" s="2895" t="n">
        <f aca="false">'Смета Внутр'!H676</f>
        <v>0</v>
      </c>
    </row>
    <row r="671" customFormat="false" ht="14.5" hidden="false" customHeight="false" outlineLevel="0" collapsed="false">
      <c r="B671" s="2888" t="str">
        <f aca="false">'Смета Внутр'!B677</f>
        <v>Перемычка оконная, 2-ый эт. Вариант 7</v>
      </c>
      <c r="C671" s="2889" t="str">
        <f aca="false">'Смета Внутр'!C677</f>
        <v>м.п.</v>
      </c>
      <c r="D671" s="2890" t="n">
        <f aca="false">'Смета Внутр'!D677</f>
        <v>0</v>
      </c>
      <c r="E671" s="2888"/>
      <c r="F671" s="2895" t="n">
        <f aca="false">'Смета Внутр'!H677</f>
        <v>0</v>
      </c>
    </row>
    <row r="672" customFormat="false" ht="14.5" hidden="false" customHeight="false" outlineLevel="0" collapsed="false">
      <c r="B672" s="2888" t="str">
        <f aca="false">'Смета Внутр'!B678</f>
        <v>Перемычка оконная, 2-ый эт. Вариант 8</v>
      </c>
      <c r="C672" s="2889" t="str">
        <f aca="false">'Смета Внутр'!C678</f>
        <v>м.п.</v>
      </c>
      <c r="D672" s="2890" t="n">
        <f aca="false">'Смета Внутр'!D678</f>
        <v>0</v>
      </c>
      <c r="E672" s="2888"/>
      <c r="F672" s="2895" t="n">
        <f aca="false">'Смета Внутр'!H678</f>
        <v>0</v>
      </c>
    </row>
    <row r="673" customFormat="false" ht="14.5" hidden="false" customHeight="false" outlineLevel="0" collapsed="false">
      <c r="B673" s="2888" t="str">
        <f aca="false">'Смета Внутр'!B679</f>
        <v>Перемычка оконная, 2-ый эт. Вариант 9</v>
      </c>
      <c r="C673" s="2889" t="str">
        <f aca="false">'Смета Внутр'!C679</f>
        <v>м.п.</v>
      </c>
      <c r="D673" s="2890" t="n">
        <f aca="false">'Смета Внутр'!D679</f>
        <v>0</v>
      </c>
      <c r="E673" s="2888"/>
      <c r="F673" s="2895" t="n">
        <f aca="false">'Смета Внутр'!H679</f>
        <v>0</v>
      </c>
    </row>
    <row r="674" customFormat="false" ht="14.5" hidden="false" customHeight="false" outlineLevel="0" collapsed="false">
      <c r="B674" s="2888" t="str">
        <f aca="false">'Смета Внутр'!B680</f>
        <v>Перемычка оконная, 2-ый эт. Вариант 10</v>
      </c>
      <c r="C674" s="2889" t="str">
        <f aca="false">'Смета Внутр'!C680</f>
        <v>м.п.</v>
      </c>
      <c r="D674" s="2890" t="n">
        <f aca="false">'Смета Внутр'!D680</f>
        <v>0</v>
      </c>
      <c r="E674" s="2888"/>
      <c r="F674" s="2895" t="n">
        <f aca="false">'Смета Внутр'!H680</f>
        <v>0</v>
      </c>
    </row>
    <row r="675" customFormat="false" ht="14.5" hidden="false" customHeight="false" outlineLevel="0" collapsed="false">
      <c r="B675" s="2888" t="str">
        <f aca="false">'Смета Внутр'!B681</f>
        <v>Перемычка дверная, 1-ый эт. Вариант 1</v>
      </c>
      <c r="C675" s="2889" t="str">
        <f aca="false">'Смета Внутр'!C681</f>
        <v>м.п.</v>
      </c>
      <c r="D675" s="2890" t="n">
        <f aca="false">'Смета Внутр'!D681</f>
        <v>0</v>
      </c>
      <c r="E675" s="2888"/>
      <c r="F675" s="2895" t="n">
        <f aca="false">'Смета Внутр'!H681</f>
        <v>0</v>
      </c>
    </row>
    <row r="676" customFormat="false" ht="14.5" hidden="false" customHeight="false" outlineLevel="0" collapsed="false">
      <c r="B676" s="2888" t="str">
        <f aca="false">'Смета Внутр'!B682</f>
        <v>Перемычка дверная, 2-ый эт. Вариант 2</v>
      </c>
      <c r="C676" s="2889" t="str">
        <f aca="false">'Смета Внутр'!C682</f>
        <v>м.п.</v>
      </c>
      <c r="D676" s="2890" t="n">
        <f aca="false">'Смета Внутр'!D682</f>
        <v>0</v>
      </c>
      <c r="E676" s="2888"/>
      <c r="F676" s="2895" t="n">
        <f aca="false">'Смета Внутр'!H682</f>
        <v>0</v>
      </c>
    </row>
    <row r="677" customFormat="false" ht="14.5" hidden="false" customHeight="false" outlineLevel="0" collapsed="false">
      <c r="B677" s="2888" t="str">
        <f aca="false">'Смета Внутр'!B683</f>
        <v>Перемычка оконная 1-ый эт, Вариант 11</v>
      </c>
      <c r="C677" s="2889" t="str">
        <f aca="false">'Смета Внутр'!C683</f>
        <v>м.п.</v>
      </c>
      <c r="D677" s="2890" t="n">
        <f aca="false">'Смета Внутр'!D683</f>
        <v>0</v>
      </c>
      <c r="E677" s="2888"/>
      <c r="F677" s="2895" t="n">
        <f aca="false">'Смета Внутр'!H683</f>
        <v>0</v>
      </c>
    </row>
    <row r="678" customFormat="false" ht="14.5" hidden="false" customHeight="false" outlineLevel="0" collapsed="false">
      <c r="B678" s="2888" t="str">
        <f aca="false">'Смета Внутр'!B684</f>
        <v>Перемычка оконная 1-ый эт, Вариант 12</v>
      </c>
      <c r="C678" s="2889" t="str">
        <f aca="false">'Смета Внутр'!C684</f>
        <v>м.п.</v>
      </c>
      <c r="D678" s="2890" t="n">
        <f aca="false">'Смета Внутр'!D684</f>
        <v>0</v>
      </c>
      <c r="E678" s="2888"/>
      <c r="F678" s="2895" t="n">
        <f aca="false">'Смета Внутр'!H684</f>
        <v>0</v>
      </c>
    </row>
    <row r="679" customFormat="false" ht="14.5" hidden="false" customHeight="false" outlineLevel="0" collapsed="false">
      <c r="B679" s="2888" t="str">
        <f aca="false">'Смета Внутр'!B685</f>
        <v>Перемычка дверная, 1-ый эт. Вариант 4</v>
      </c>
      <c r="C679" s="2889" t="str">
        <f aca="false">'Смета Внутр'!C685</f>
        <v>м.п.</v>
      </c>
      <c r="D679" s="2890" t="n">
        <f aca="false">'Смета Внутр'!D685</f>
        <v>0</v>
      </c>
      <c r="E679" s="2888"/>
      <c r="F679" s="2895" t="n">
        <f aca="false">'Смета Внутр'!H685</f>
        <v>0</v>
      </c>
    </row>
    <row r="680" customFormat="false" ht="14.5" hidden="false" customHeight="false" outlineLevel="0" collapsed="false">
      <c r="B680" s="2888" t="str">
        <f aca="false">'Смета Внутр'!B686</f>
        <v>Перемычка дверная, 1-ый эт. Вариант 5</v>
      </c>
      <c r="C680" s="2889" t="str">
        <f aca="false">'Смета Внутр'!C686</f>
        <v>м.п.</v>
      </c>
      <c r="D680" s="2890" t="n">
        <f aca="false">'Смета Внутр'!D686</f>
        <v>0</v>
      </c>
      <c r="E680" s="2888"/>
      <c r="F680" s="2895" t="n">
        <f aca="false">'Смета Внутр'!H686</f>
        <v>0</v>
      </c>
    </row>
    <row r="681" customFormat="false" ht="14.5" hidden="false" customHeight="false" outlineLevel="0" collapsed="false">
      <c r="B681" s="2888" t="str">
        <f aca="false">'Смета Внутр'!B687</f>
        <v>Перемычка дверная, 1-ый эт. Вариант 6</v>
      </c>
      <c r="C681" s="2889" t="str">
        <f aca="false">'Смета Внутр'!C687</f>
        <v>м.п.</v>
      </c>
      <c r="D681" s="2890" t="n">
        <f aca="false">'Смета Внутр'!D687</f>
        <v>0</v>
      </c>
      <c r="E681" s="2888"/>
      <c r="F681" s="2895" t="n">
        <f aca="false">'Смета Внутр'!H687</f>
        <v>0</v>
      </c>
    </row>
    <row r="682" customFormat="false" ht="14.5" hidden="false" customHeight="false" outlineLevel="0" collapsed="false">
      <c r="B682" s="2888" t="str">
        <f aca="false">'Смета Внутр'!B688</f>
        <v>Перемычка дверная, 2-ый эт. Вариант 7</v>
      </c>
      <c r="C682" s="2889" t="str">
        <f aca="false">'Смета Внутр'!C688</f>
        <v>м.п.</v>
      </c>
      <c r="D682" s="2890" t="n">
        <f aca="false">'Смета Внутр'!D688</f>
        <v>0</v>
      </c>
      <c r="E682" s="2888"/>
      <c r="F682" s="2895" t="n">
        <f aca="false">'Смета Внутр'!H688</f>
        <v>0</v>
      </c>
    </row>
    <row r="683" customFormat="false" ht="14.5" hidden="false" customHeight="false" outlineLevel="0" collapsed="false">
      <c r="B683" s="2888" t="str">
        <f aca="false">'Смета Внутр'!B689</f>
        <v>Перемычка дверная, 2-ый эт. Вариант 8</v>
      </c>
      <c r="C683" s="2889" t="str">
        <f aca="false">'Смета Внутр'!C689</f>
        <v>м.п.</v>
      </c>
      <c r="D683" s="2890" t="n">
        <f aca="false">'Смета Внутр'!D689</f>
        <v>0</v>
      </c>
      <c r="E683" s="2888"/>
      <c r="F683" s="2895" t="n">
        <f aca="false">'Смета Внутр'!H689</f>
        <v>0</v>
      </c>
    </row>
    <row r="684" customFormat="false" ht="14.5" hidden="false" customHeight="false" outlineLevel="0" collapsed="false">
      <c r="B684" s="2888" t="str">
        <f aca="false">'Смета Внутр'!B690</f>
        <v>Перемычка дверная, 2-ый эт. Вариант 9</v>
      </c>
      <c r="C684" s="2889" t="str">
        <f aca="false">'Смета Внутр'!C690</f>
        <v>м.п.</v>
      </c>
      <c r="D684" s="2890" t="n">
        <f aca="false">'Смета Внутр'!D690</f>
        <v>0</v>
      </c>
      <c r="E684" s="2888"/>
      <c r="F684" s="2895" t="n">
        <f aca="false">'Смета Внутр'!H690</f>
        <v>0</v>
      </c>
    </row>
    <row r="685" customFormat="false" ht="14.5" hidden="false" customHeight="false" outlineLevel="0" collapsed="false">
      <c r="B685" s="2888" t="str">
        <f aca="false">'Смета Внутр'!B691</f>
        <v>Перемычка проема, 1-ый эт. Вариант 10</v>
      </c>
      <c r="C685" s="2889" t="str">
        <f aca="false">'Смета Внутр'!C691</f>
        <v>м.п.</v>
      </c>
      <c r="D685" s="2890" t="n">
        <f aca="false">'Смета Внутр'!D691</f>
        <v>0</v>
      </c>
      <c r="E685" s="2888"/>
      <c r="F685" s="2895" t="n">
        <f aca="false">'Смета Внутр'!H691</f>
        <v>0</v>
      </c>
    </row>
    <row r="686" customFormat="false" ht="14.5" hidden="false" customHeight="false" outlineLevel="0" collapsed="false">
      <c r="B686" s="2888" t="str">
        <f aca="false">'Смета Внутр'!B692</f>
        <v>Перемычка проема, 1-ый эт. Вариант 11</v>
      </c>
      <c r="C686" s="2889" t="str">
        <f aca="false">'Смета Внутр'!C692</f>
        <v>м.п.</v>
      </c>
      <c r="D686" s="2890" t="n">
        <f aca="false">'Смета Внутр'!D692</f>
        <v>0</v>
      </c>
      <c r="E686" s="2888"/>
      <c r="F686" s="2895" t="n">
        <f aca="false">'Смета Внутр'!H692</f>
        <v>0</v>
      </c>
    </row>
    <row r="687" customFormat="false" ht="14.5" hidden="false" customHeight="false" outlineLevel="0" collapsed="false">
      <c r="B687" s="2888" t="str">
        <f aca="false">'Смета Внутр'!B693</f>
        <v>Перемычка проема, 2-ый эт. Вариант 12</v>
      </c>
      <c r="C687" s="2889" t="str">
        <f aca="false">'Смета Внутр'!C693</f>
        <v>м.п.</v>
      </c>
      <c r="D687" s="2890" t="n">
        <f aca="false">'Смета Внутр'!D693</f>
        <v>0</v>
      </c>
      <c r="E687" s="2888"/>
      <c r="F687" s="2895" t="n">
        <f aca="false">'Смета Внутр'!H693</f>
        <v>0</v>
      </c>
    </row>
    <row r="688" customFormat="false" ht="14.5" hidden="false" customHeight="false" outlineLevel="0" collapsed="false">
      <c r="B688" s="2888" t="str">
        <f aca="false">'Смета Внутр'!B694</f>
        <v>Перемычка проема, 2-ый эт. Вариант 13</v>
      </c>
      <c r="C688" s="2889" t="str">
        <f aca="false">'Смета Внутр'!C694</f>
        <v>м.п.</v>
      </c>
      <c r="D688" s="2890" t="n">
        <f aca="false">'Смета Внутр'!D694</f>
        <v>0</v>
      </c>
      <c r="E688" s="2888"/>
      <c r="F688" s="2895" t="n">
        <f aca="false">'Смета Внутр'!H694</f>
        <v>0</v>
      </c>
    </row>
    <row r="689" customFormat="false" ht="14.5" hidden="false" customHeight="false" outlineLevel="0" collapsed="false">
      <c r="B689" s="2888" t="str">
        <f aca="false">'Смета Внутр'!B695</f>
        <v>Перемычка дверная, 1-ый эт. Вариант 1</v>
      </c>
      <c r="C689" s="2889" t="str">
        <f aca="false">'Смета Внутр'!C695</f>
        <v>м.п.</v>
      </c>
      <c r="D689" s="2890" t="n">
        <f aca="false">'Смета Внутр'!D695</f>
        <v>0</v>
      </c>
      <c r="E689" s="2888"/>
      <c r="F689" s="2895" t="n">
        <f aca="false">'Смета Внутр'!H695</f>
        <v>0</v>
      </c>
    </row>
    <row r="690" customFormat="false" ht="14.5" hidden="false" customHeight="false" outlineLevel="0" collapsed="false">
      <c r="B690" s="2888" t="str">
        <f aca="false">'Смета Внутр'!B696</f>
        <v>Перемычка дверная, 1-ый эт. Вариант 2</v>
      </c>
      <c r="C690" s="2889" t="str">
        <f aca="false">'Смета Внутр'!C696</f>
        <v>м.п.</v>
      </c>
      <c r="D690" s="2890" t="n">
        <f aca="false">'Смета Внутр'!D696</f>
        <v>0</v>
      </c>
      <c r="E690" s="2888"/>
      <c r="F690" s="2895" t="n">
        <f aca="false">'Смета Внутр'!H696</f>
        <v>0</v>
      </c>
    </row>
    <row r="691" customFormat="false" ht="14.5" hidden="false" customHeight="false" outlineLevel="0" collapsed="false">
      <c r="B691" s="2888" t="str">
        <f aca="false">'Смета Внутр'!B697</f>
        <v>Перемычка дверная, 1-ый эт. Вариант 3</v>
      </c>
      <c r="C691" s="2889" t="str">
        <f aca="false">'Смета Внутр'!C697</f>
        <v>м.п.</v>
      </c>
      <c r="D691" s="2890" t="n">
        <f aca="false">'Смета Внутр'!D697</f>
        <v>0</v>
      </c>
      <c r="E691" s="2888"/>
      <c r="F691" s="2895" t="n">
        <f aca="false">'Смета Внутр'!H697</f>
        <v>0</v>
      </c>
    </row>
    <row r="692" customFormat="false" ht="14.5" hidden="false" customHeight="false" outlineLevel="0" collapsed="false">
      <c r="B692" s="2888" t="str">
        <f aca="false">'Смета Внутр'!B698</f>
        <v>Сосна влаж,200*40мм</v>
      </c>
      <c r="C692" s="2889" t="str">
        <f aca="false">'Смета Внутр'!C698</f>
        <v>м3</v>
      </c>
      <c r="D692" s="2890" t="n">
        <f aca="false">'Смета Внутр'!D698</f>
        <v>0.832</v>
      </c>
      <c r="E692" s="2888"/>
      <c r="F692" s="2895" t="n">
        <f aca="false">'Смета Внутр'!H698</f>
        <v>5408</v>
      </c>
    </row>
    <row r="693" customFormat="false" ht="14.5" hidden="false" customHeight="false" outlineLevel="0" collapsed="false">
      <c r="B693" s="2888" t="str">
        <f aca="false">'Смета Внутр'!B699</f>
        <v>Сейсмопояс Арматура М10 4 нити</v>
      </c>
      <c r="C693" s="2889" t="str">
        <f aca="false">'Смета Внутр'!C699</f>
        <v>м.п.</v>
      </c>
      <c r="D693" s="2890" t="n">
        <f aca="false">'Смета Внутр'!D699</f>
        <v>176</v>
      </c>
      <c r="E693" s="2888"/>
      <c r="F693" s="2895" t="n">
        <f aca="false">'Смета Внутр'!H699</f>
        <v>3702.9872</v>
      </c>
    </row>
    <row r="694" customFormat="false" ht="14.5" hidden="false" customHeight="false" outlineLevel="0" collapsed="false">
      <c r="B694" s="2888" t="str">
        <f aca="false">'Смета Внутр'!B700</f>
        <v>Хомут для сейсмопояса Арматура М6, шаг 400мм</v>
      </c>
      <c r="C694" s="2889" t="str">
        <f aca="false">'Смета Внутр'!C700</f>
        <v>м.п.</v>
      </c>
      <c r="D694" s="2890" t="n">
        <f aca="false">'Смета Внутр'!D700</f>
        <v>90</v>
      </c>
      <c r="E694" s="2888"/>
      <c r="F694" s="2895" t="n">
        <f aca="false">'Смета Внутр'!H700</f>
        <v>0</v>
      </c>
    </row>
    <row r="695" customFormat="false" ht="14.5" hidden="false" customHeight="false" outlineLevel="0" collapsed="false">
      <c r="B695" s="2888" t="str">
        <f aca="false">'Смета Внутр'!B701</f>
        <v>Бетон, м300</v>
      </c>
      <c r="C695" s="2889" t="str">
        <f aca="false">'Смета Внутр'!C701</f>
        <v>м3</v>
      </c>
      <c r="D695" s="2890" t="n">
        <f aca="false">'Смета Внутр'!D701</f>
        <v>1.638</v>
      </c>
      <c r="E695" s="2888"/>
      <c r="F695" s="2895" t="n">
        <f aca="false">'Смета Внутр'!H701</f>
        <v>4914</v>
      </c>
    </row>
    <row r="696" customFormat="false" ht="14.5" hidden="false" customHeight="false" outlineLevel="0" collapsed="false">
      <c r="B696" s="2888" t="str">
        <f aca="false">'Смета Внутр'!B702</f>
        <v>Нет</v>
      </c>
      <c r="C696" s="2889" t="str">
        <f aca="false">'Смета Внутр'!C702</f>
        <v>м3</v>
      </c>
      <c r="D696" s="2890" t="n">
        <f aca="false">'Смета Внутр'!D702</f>
        <v>0</v>
      </c>
      <c r="E696" s="2888"/>
      <c r="F696" s="2895" t="n">
        <f aca="false">'Смета Внутр'!H702</f>
        <v>0</v>
      </c>
    </row>
    <row r="697" customFormat="false" ht="14.5" hidden="false" customHeight="false" outlineLevel="0" collapsed="false">
      <c r="B697" s="2888" t="str">
        <f aca="false">'Смета Внутр'!B703</f>
        <v>Грибок для крепления утеплителя</v>
      </c>
      <c r="C697" s="2889" t="str">
        <f aca="false">'Смета Внутр'!C703</f>
        <v>шт</v>
      </c>
      <c r="D697" s="2890" t="n">
        <f aca="false">'Смета Внутр'!D703</f>
        <v>0</v>
      </c>
      <c r="E697" s="2888"/>
      <c r="F697" s="2895" t="n">
        <f aca="false">'Смета Внутр'!H703</f>
        <v>0</v>
      </c>
    </row>
    <row r="698" customFormat="false" ht="14.5" hidden="false" customHeight="false" outlineLevel="0" collapsed="false">
      <c r="B698" s="2888" t="str">
        <f aca="false">'Смета Внутр'!B704</f>
        <v>нет ветроизоляции</v>
      </c>
      <c r="C698" s="2889" t="str">
        <f aca="false">'Смета Внутр'!C704</f>
        <v>м2</v>
      </c>
      <c r="D698" s="2890" t="n">
        <f aca="false">'Смета Внутр'!D704</f>
        <v>0</v>
      </c>
      <c r="E698" s="2888"/>
      <c r="F698" s="2895" t="n">
        <f aca="false">'Смета Внутр'!H704</f>
        <v>0</v>
      </c>
    </row>
    <row r="699" customFormat="false" ht="14.5" hidden="false" customHeight="false" outlineLevel="0" collapsed="false">
      <c r="B699" s="2888" t="str">
        <f aca="false">'Смета Внутр'!B705</f>
        <v>Кладочная сетка, 100*100/150*150/200*200мм</v>
      </c>
      <c r="C699" s="2889" t="str">
        <f aca="false">'Смета Внутр'!C705</f>
        <v>м2</v>
      </c>
      <c r="D699" s="2890" t="n">
        <f aca="false">'Смета Внутр'!D705</f>
        <v>110.88</v>
      </c>
      <c r="E699" s="2888"/>
      <c r="F699" s="2895" t="n">
        <f aca="false">'Смета Внутр'!H705</f>
        <v>7761.6</v>
      </c>
    </row>
    <row r="700" customFormat="false" ht="14.5" hidden="false" customHeight="false" outlineLevel="0" collapsed="false">
      <c r="B700" s="2888" t="str">
        <f aca="false">'Смета Внутр'!B706</f>
        <v>Песок, машина 13м3</v>
      </c>
      <c r="C700" s="2889" t="str">
        <f aca="false">'Смета Внутр'!C706</f>
        <v>шт</v>
      </c>
      <c r="D700" s="2890" t="n">
        <f aca="false">'Смета Внутр'!D706</f>
        <v>1.1269335</v>
      </c>
      <c r="E700" s="2888"/>
      <c r="F700" s="2895" t="n">
        <f aca="false">'Смета Внутр'!H706</f>
        <v>13523.202</v>
      </c>
    </row>
    <row r="701" customFormat="false" ht="14.5" hidden="false" customHeight="false" outlineLevel="0" collapsed="false">
      <c r="B701" s="2888" t="str">
        <f aca="false">'Смета Внутр'!B707</f>
        <v>Цемент, мешок, 50кг</v>
      </c>
      <c r="C701" s="2889" t="str">
        <f aca="false">'Смета Внутр'!C707</f>
        <v>меш</v>
      </c>
      <c r="D701" s="2890" t="n">
        <f aca="false">'Смета Внутр'!D707</f>
        <v>34.773948</v>
      </c>
      <c r="E701" s="2888"/>
      <c r="F701" s="2895" t="n">
        <f aca="false">'Смета Внутр'!H707</f>
        <v>8693.487</v>
      </c>
    </row>
    <row r="702" customFormat="false" ht="14.5" hidden="false" customHeight="false" outlineLevel="0" collapsed="false">
      <c r="B702" s="2896" t="str">
        <f aca="false">'Смета Внутр'!B708</f>
        <v>Итого материалы, рублей</v>
      </c>
      <c r="C702" s="2896"/>
      <c r="D702" s="2896"/>
      <c r="E702" s="2896"/>
      <c r="F702" s="2897" t="n">
        <f aca="false">'Смета Внутр'!G708</f>
        <v>630423.2762</v>
      </c>
    </row>
    <row r="703" customFormat="false" ht="14.5" hidden="false" customHeight="false" outlineLevel="0" collapsed="false">
      <c r="B703" s="2898" t="str">
        <f aca="false">'Смета Внутр'!B709</f>
        <v>Работы</v>
      </c>
      <c r="C703" s="2898"/>
      <c r="D703" s="2898"/>
      <c r="E703" s="2898"/>
      <c r="F703" s="2913" t="n">
        <f aca="false">'Смета Внутр'!H709</f>
        <v>1</v>
      </c>
    </row>
    <row r="704" customFormat="false" ht="14.5" hidden="false" customHeight="false" outlineLevel="0" collapsed="false">
      <c r="B704" s="2888" t="str">
        <f aca="false">'Смета Внутр'!B710</f>
        <v>кладка кирпича</v>
      </c>
      <c r="C704" s="2889" t="str">
        <f aca="false">'Смета Внутр'!C710</f>
        <v>м3</v>
      </c>
      <c r="D704" s="2890" t="n">
        <f aca="false">'Смета Внутр'!D710</f>
        <v>58.542</v>
      </c>
      <c r="E704" s="2888"/>
      <c r="F704" s="2895" t="n">
        <f aca="false">'Смета Внутр'!H710</f>
        <v>204897</v>
      </c>
    </row>
    <row r="705" customFormat="false" ht="14.5" hidden="false" customHeight="false" outlineLevel="0" collapsed="false">
      <c r="B705" s="2888" t="str">
        <f aca="false">'Смета Внутр'!B711</f>
        <v>кладка перегородок из кирпича</v>
      </c>
      <c r="C705" s="2889" t="str">
        <f aca="false">'Смета Внутр'!C711</f>
        <v>м2</v>
      </c>
      <c r="D705" s="2890" t="n">
        <f aca="false">'Смета Внутр'!D711</f>
        <v>23.4</v>
      </c>
      <c r="E705" s="2888"/>
      <c r="F705" s="2895" t="n">
        <f aca="false">'Смета Внутр'!H711</f>
        <v>12870</v>
      </c>
    </row>
    <row r="706" customFormat="false" ht="14.5" hidden="false" customHeight="false" outlineLevel="0" collapsed="false">
      <c r="B706" s="2888" t="str">
        <f aca="false">'Смета Внутр'!B712</f>
        <v>Армирование сейсмопояса</v>
      </c>
      <c r="C706" s="2889" t="str">
        <f aca="false">'Смета Внутр'!C712</f>
        <v>м2</v>
      </c>
      <c r="D706" s="2890" t="n">
        <f aca="false">'Смета Внутр'!D712</f>
        <v>55.44</v>
      </c>
      <c r="E706" s="2888"/>
      <c r="F706" s="2895" t="n">
        <f aca="false">'Смета Внутр'!H712</f>
        <v>27720</v>
      </c>
    </row>
    <row r="707" customFormat="false" ht="14.5" hidden="false" customHeight="false" outlineLevel="0" collapsed="false">
      <c r="B707" s="2888" t="str">
        <f aca="false">'Смета Внутр'!B713</f>
        <v>Заливка бетоном сейсмопояса</v>
      </c>
      <c r="C707" s="2889" t="str">
        <f aca="false">'Смета Внутр'!C713</f>
        <v>м3</v>
      </c>
      <c r="D707" s="2890" t="n">
        <f aca="false">'Смета Внутр'!D713</f>
        <v>1.638</v>
      </c>
      <c r="E707" s="2888"/>
      <c r="F707" s="2895" t="n">
        <f aca="false">'Смета Внутр'!H713</f>
        <v>1146.6</v>
      </c>
    </row>
    <row r="708" customFormat="false" ht="14.5" hidden="false" customHeight="false" outlineLevel="0" collapsed="false">
      <c r="B708" s="2888" t="str">
        <f aca="false">'Смета Внутр'!B714</f>
        <v>утепление стен снаружи дома</v>
      </c>
      <c r="C708" s="2889" t="str">
        <f aca="false">'Смета Внутр'!C714</f>
        <v>м2</v>
      </c>
      <c r="D708" s="2890" t="n">
        <f aca="false">'Смета Внутр'!D714</f>
        <v>0</v>
      </c>
      <c r="E708" s="2888"/>
      <c r="F708" s="2895" t="n">
        <f aca="false">'Смета Внутр'!H714</f>
        <v>0</v>
      </c>
    </row>
    <row r="709" customFormat="false" ht="14.5" hidden="false" customHeight="false" outlineLevel="0" collapsed="false">
      <c r="B709" s="2888" t="str">
        <f aca="false">'Смета Внутр'!B715</f>
        <v>монтаж ветроизоляции стен</v>
      </c>
      <c r="C709" s="2889" t="str">
        <f aca="false">'Смета Внутр'!C715</f>
        <v>м2</v>
      </c>
      <c r="D709" s="2890" t="n">
        <f aca="false">'Смета Внутр'!D715</f>
        <v>0</v>
      </c>
      <c r="E709" s="2888"/>
      <c r="F709" s="2895" t="n">
        <f aca="false">'Смета Внутр'!H715</f>
        <v>0</v>
      </c>
    </row>
    <row r="710" customFormat="false" ht="14.5" hidden="false" customHeight="false" outlineLevel="0" collapsed="false">
      <c r="B710" s="2888" t="str">
        <f aca="false">'Смета Внутр'!B716</f>
        <v>изготовление и монтаж перемычек для окон и дверей</v>
      </c>
      <c r="C710" s="2889" t="str">
        <f aca="false">'Смета Внутр'!C716</f>
        <v>м.п.</v>
      </c>
      <c r="D710" s="2890" t="n">
        <f aca="false">'Смета Внутр'!D716</f>
        <v>1</v>
      </c>
      <c r="E710" s="2888"/>
      <c r="F710" s="2895" t="n">
        <f aca="false">'Смета Внутр'!H716</f>
        <v>500</v>
      </c>
    </row>
    <row r="711" customFormat="false" ht="14.5" hidden="false" customHeight="false" outlineLevel="0" collapsed="false">
      <c r="B711" s="2896" t="str">
        <f aca="false">'Смета Внутр'!B717</f>
        <v>Итого работы, рублей</v>
      </c>
      <c r="C711" s="2896"/>
      <c r="D711" s="2896"/>
      <c r="E711" s="2896"/>
      <c r="F711" s="2897" t="n">
        <f aca="false">'Смета Внутр'!G717</f>
        <v>247133.6</v>
      </c>
    </row>
    <row r="712" customFormat="false" ht="18.5" hidden="false" customHeight="false" outlineLevel="0" collapsed="false">
      <c r="B712" s="2899" t="str">
        <f aca="false">'Смета Внутр'!B718</f>
        <v>Брусовой дом</v>
      </c>
      <c r="C712" s="2899"/>
      <c r="D712" s="2899"/>
      <c r="E712" s="2899"/>
      <c r="F712" s="2901" t="n">
        <f aca="false">'Смета Внутр'!H718</f>
        <v>0</v>
      </c>
    </row>
    <row r="713" customFormat="false" ht="14.5" hidden="false" customHeight="false" outlineLevel="0" collapsed="false">
      <c r="B713" s="2894" t="str">
        <f aca="false">'Смета Внутр'!B719</f>
        <v>Материалы</v>
      </c>
      <c r="C713" s="2894"/>
      <c r="D713" s="2894"/>
      <c r="E713" s="2894"/>
      <c r="F713" s="2901" t="n">
        <f aca="false">'Смета Внутр'!H719</f>
        <v>0</v>
      </c>
    </row>
    <row r="714" customFormat="false" ht="14.5" hidden="false" customHeight="false" outlineLevel="0" collapsed="false">
      <c r="B714" s="2888" t="str">
        <f aca="false">'Смета Внутр'!B720</f>
        <v>Листв. влаж, 200*200мм</v>
      </c>
      <c r="C714" s="2889" t="str">
        <f aca="false">'Смета Внутр'!C720</f>
        <v>м3</v>
      </c>
      <c r="D714" s="2890" t="n">
        <f aca="false">'Смета Внутр'!D720</f>
        <v>2.552</v>
      </c>
      <c r="E714" s="2888"/>
      <c r="F714" s="2902" t="n">
        <f aca="false">'Смета Внутр'!H720</f>
        <v>0</v>
      </c>
    </row>
    <row r="715" customFormat="false" ht="14.5" hidden="false" customHeight="false" outlineLevel="0" collapsed="false">
      <c r="B715" s="2888" t="str">
        <f aca="false">'Смета Внутр'!B721</f>
        <v>Сосна влаж, 200*200мм</v>
      </c>
      <c r="C715" s="2889" t="str">
        <f aca="false">'Смета Внутр'!C721</f>
        <v>м3</v>
      </c>
      <c r="D715" s="2890" t="n">
        <f aca="false">'Смета Внутр'!D721</f>
        <v>22.9504</v>
      </c>
      <c r="E715" s="2888"/>
      <c r="F715" s="2902" t="n">
        <f aca="false">'Смета Внутр'!H721</f>
        <v>0</v>
      </c>
    </row>
    <row r="716" customFormat="false" ht="14.5" hidden="false" customHeight="false" outlineLevel="0" collapsed="false">
      <c r="B716" s="2888" t="str">
        <f aca="false">'Смета Внутр'!B722</f>
        <v>Сосна влаж, 200*150мм</v>
      </c>
      <c r="C716" s="2889" t="str">
        <f aca="false">'Смета Внутр'!C722</f>
        <v>м3</v>
      </c>
      <c r="D716" s="2890" t="n">
        <f aca="false">'Смета Внутр'!D722</f>
        <v>0</v>
      </c>
      <c r="E716" s="2888"/>
      <c r="F716" s="2902" t="n">
        <f aca="false">'Смета Внутр'!H722</f>
        <v>0</v>
      </c>
    </row>
    <row r="717" customFormat="false" ht="14.5" hidden="false" customHeight="false" outlineLevel="0" collapsed="false">
      <c r="B717" s="2888" t="str">
        <f aca="false">'Смета Внутр'!B723</f>
        <v>Сосна влаж, 200*100мм</v>
      </c>
      <c r="C717" s="2889" t="str">
        <f aca="false">'Смета Внутр'!C723</f>
        <v>м2</v>
      </c>
      <c r="D717" s="2890" t="n">
        <f aca="false">'Смета Внутр'!D723</f>
        <v>0</v>
      </c>
      <c r="E717" s="2888"/>
      <c r="F717" s="2902" t="n">
        <f aca="false">'Смета Внутр'!H723</f>
        <v>0</v>
      </c>
    </row>
    <row r="718" customFormat="false" ht="14.5" hidden="false" customHeight="false" outlineLevel="0" collapsed="false">
      <c r="B718" s="2888" t="str">
        <f aca="false">'Смета Внутр'!B724</f>
        <v>Шкант</v>
      </c>
      <c r="C718" s="2889" t="str">
        <f aca="false">'Смета Внутр'!C724</f>
        <v>шт</v>
      </c>
      <c r="D718" s="2890" t="n">
        <f aca="false">'Смета Внутр'!D724</f>
        <v>562</v>
      </c>
      <c r="E718" s="2888"/>
      <c r="F718" s="2902" t="n">
        <f aca="false">'Смета Внутр'!H724</f>
        <v>0</v>
      </c>
    </row>
    <row r="719" customFormat="false" ht="14.5" hidden="false" customHeight="false" outlineLevel="0" collapsed="false">
      <c r="B719" s="2888" t="str">
        <f aca="false">'Смета Внутр'!B725</f>
        <v>Лен-джут 200х5х20000 мм</v>
      </c>
      <c r="C719" s="2889" t="str">
        <f aca="false">'Смета Внутр'!C725</f>
        <v>шт</v>
      </c>
      <c r="D719" s="2890" t="n">
        <f aca="false">'Смета Внутр'!D725</f>
        <v>0</v>
      </c>
      <c r="E719" s="2888"/>
      <c r="F719" s="2902" t="n">
        <f aca="false">'Смета Внутр'!H725</f>
        <v>0</v>
      </c>
    </row>
    <row r="720" customFormat="false" ht="14.5" hidden="false" customHeight="false" outlineLevel="0" collapsed="false">
      <c r="B720" s="2888" t="str">
        <f aca="false">'Смета Внутр'!B726</f>
        <v>Гвозди строительные 3,5 x 90</v>
      </c>
      <c r="C720" s="2889" t="str">
        <f aca="false">'Смета Внутр'!C726</f>
        <v>шт</v>
      </c>
      <c r="D720" s="2890" t="n">
        <f aca="false">'Смета Внутр'!D726</f>
        <v>4.4</v>
      </c>
      <c r="E720" s="2888"/>
      <c r="F720" s="2902" t="n">
        <f aca="false">'Смета Внутр'!H726</f>
        <v>0</v>
      </c>
    </row>
    <row r="721" customFormat="false" ht="14.5" hidden="false" customHeight="false" outlineLevel="0" collapsed="false">
      <c r="B721" s="2888" t="str">
        <f aca="false">'Смета Внутр'!B727</f>
        <v>нет</v>
      </c>
      <c r="C721" s="2889" t="str">
        <f aca="false">'Смета Внутр'!C727</f>
        <v>м3</v>
      </c>
      <c r="D721" s="2890" t="n">
        <f aca="false">'Смета Внутр'!D727</f>
        <v>0</v>
      </c>
      <c r="E721" s="2888"/>
      <c r="F721" s="2902" t="n">
        <f aca="false">'Смета Внутр'!H727</f>
        <v>0</v>
      </c>
    </row>
    <row r="722" customFormat="false" ht="14.5" hidden="false" customHeight="false" outlineLevel="0" collapsed="false">
      <c r="B722" s="2888" t="str">
        <f aca="false">'Смета Внутр'!B728</f>
        <v>Доска сухая, 100*50мм</v>
      </c>
      <c r="C722" s="2889" t="str">
        <f aca="false">'Смета Внутр'!C728</f>
        <v>м3</v>
      </c>
      <c r="D722" s="2890" t="n">
        <f aca="false">'Смета Внутр'!D728</f>
        <v>0</v>
      </c>
      <c r="E722" s="2888"/>
      <c r="F722" s="2902" t="n">
        <f aca="false">'Смета Внутр'!H728</f>
        <v>0</v>
      </c>
    </row>
    <row r="723" customFormat="false" ht="14.5" hidden="false" customHeight="false" outlineLevel="0" collapsed="false">
      <c r="B723" s="2888" t="str">
        <f aca="false">'Смета Внутр'!B729</f>
        <v>Доска сухая калиброванная, 100*45мм</v>
      </c>
      <c r="C723" s="2889" t="str">
        <f aca="false">'Смета Внутр'!C729</f>
        <v>м3</v>
      </c>
      <c r="D723" s="2890" t="n">
        <f aca="false">'Смета Внутр'!D729</f>
        <v>0</v>
      </c>
      <c r="E723" s="2888"/>
      <c r="F723" s="2902" t="n">
        <f aca="false">'Смета Внутр'!H729</f>
        <v>0</v>
      </c>
    </row>
    <row r="724" customFormat="false" ht="14.5" hidden="false" customHeight="false" outlineLevel="0" collapsed="false">
      <c r="B724" s="2888" t="str">
        <f aca="false">'Смета Внутр'!B730</f>
        <v>Сосна влаж, 50*50мм</v>
      </c>
      <c r="C724" s="2889" t="str">
        <f aca="false">'Смета Внутр'!C730</f>
        <v>м.п.</v>
      </c>
      <c r="D724" s="2890" t="n">
        <f aca="false">'Смета Внутр'!D730</f>
        <v>0</v>
      </c>
      <c r="E724" s="2888"/>
      <c r="F724" s="2902" t="n">
        <f aca="false">'Смета Внутр'!H730</f>
        <v>0</v>
      </c>
    </row>
    <row r="725" customFormat="false" ht="14.5" hidden="false" customHeight="false" outlineLevel="0" collapsed="false">
      <c r="B725" s="2888" t="str">
        <f aca="false">'Смета Внутр'!B731</f>
        <v>Бензин для пилы</v>
      </c>
      <c r="C725" s="2889" t="str">
        <f aca="false">'Смета Внутр'!C731</f>
        <v>л</v>
      </c>
      <c r="D725" s="2890" t="n">
        <f aca="false">'Смета Внутр'!D731</f>
        <v>4.67544</v>
      </c>
      <c r="E725" s="2888"/>
      <c r="F725" s="2902" t="n">
        <f aca="false">'Смета Внутр'!H731</f>
        <v>0</v>
      </c>
    </row>
    <row r="726" customFormat="false" ht="14.5" hidden="false" customHeight="false" outlineLevel="0" collapsed="false">
      <c r="B726" s="2888" t="str">
        <f aca="false">'Смета Внутр'!B732</f>
        <v>Масло для пилы</v>
      </c>
      <c r="C726" s="2889" t="str">
        <f aca="false">'Смета Внутр'!C732</f>
        <v>л</v>
      </c>
      <c r="D726" s="2890" t="n">
        <f aca="false">'Смета Внутр'!D732</f>
        <v>0.5142984</v>
      </c>
      <c r="E726" s="2888"/>
      <c r="F726" s="2902" t="n">
        <f aca="false">'Смета Внутр'!H732</f>
        <v>0</v>
      </c>
    </row>
    <row r="727" customFormat="false" ht="14.5" hidden="false" customHeight="false" outlineLevel="0" collapsed="false">
      <c r="B727" s="2888" t="str">
        <f aca="false">'Смета Внутр'!B733</f>
        <v>Цепь для пилы</v>
      </c>
      <c r="C727" s="2889" t="str">
        <f aca="false">'Смета Внутр'!C733</f>
        <v>шт</v>
      </c>
      <c r="D727" s="2890" t="n">
        <f aca="false">'Смета Внутр'!D733</f>
        <v>2.2</v>
      </c>
      <c r="E727" s="2888"/>
      <c r="F727" s="2902" t="n">
        <f aca="false">'Смета Внутр'!H733</f>
        <v>0</v>
      </c>
    </row>
    <row r="728" customFormat="false" ht="14.5" hidden="false" customHeight="false" outlineLevel="0" collapsed="false">
      <c r="B728" s="2888" t="str">
        <f aca="false">'Смета Внутр'!B734</f>
        <v>"Профилюкс" Антисептик АНТИПЛЕСЕНЬ</v>
      </c>
      <c r="C728" s="2889" t="str">
        <f aca="false">'Смета Внутр'!C734</f>
        <v>л</v>
      </c>
      <c r="D728" s="2890" t="n">
        <f aca="false">'Смета Внутр'!D734</f>
        <v>0</v>
      </c>
      <c r="E728" s="2888"/>
      <c r="F728" s="2902" t="n">
        <f aca="false">'Смета Внутр'!H734</f>
        <v>0</v>
      </c>
    </row>
    <row r="729" customFormat="false" ht="14.5" hidden="false" customHeight="false" outlineLevel="0" collapsed="false">
      <c r="B729" s="2888" t="str">
        <f aca="false">'Смета Внутр'!B735</f>
        <v>"Тонерол" Антисептик  бесцветный  1л</v>
      </c>
      <c r="C729" s="2889" t="str">
        <f aca="false">'Смета Внутр'!C735</f>
        <v>л</v>
      </c>
      <c r="D729" s="2890" t="n">
        <f aca="false">'Смета Внутр'!D735</f>
        <v>0</v>
      </c>
      <c r="E729" s="2888"/>
      <c r="F729" s="2895" t="n">
        <f aca="false">'Смета Внутр'!H735</f>
        <v>0</v>
      </c>
    </row>
    <row r="730" customFormat="false" ht="14.5" hidden="false" customHeight="false" outlineLevel="0" collapsed="false">
      <c r="B730" s="2888" t="str">
        <f aca="false">'Смета Внутр'!B736</f>
        <v>"Тонерол" Антисептик  махагон  1л</v>
      </c>
      <c r="C730" s="2889" t="str">
        <f aca="false">'Смета Внутр'!C736</f>
        <v>л</v>
      </c>
      <c r="D730" s="2890" t="n">
        <f aca="false">'Смета Внутр'!D736</f>
        <v>0</v>
      </c>
      <c r="E730" s="2888"/>
      <c r="F730" s="2895" t="n">
        <f aca="false">'Смета Внутр'!H736</f>
        <v>0</v>
      </c>
    </row>
    <row r="731" customFormat="false" ht="14.5" hidden="false" customHeight="false" outlineLevel="0" collapsed="false">
      <c r="B731" s="2888" t="str">
        <f aca="false">'Смета Внутр'!B737</f>
        <v>Нет наличника</v>
      </c>
      <c r="C731" s="2889" t="str">
        <f aca="false">'Смета Внутр'!C737</f>
        <v>м.п.</v>
      </c>
      <c r="D731" s="2890" t="n">
        <f aca="false">'Смета Внутр'!D737</f>
        <v>3.57</v>
      </c>
      <c r="E731" s="2888"/>
      <c r="F731" s="2895" t="n">
        <f aca="false">'Смета Внутр'!H737</f>
        <v>0</v>
      </c>
    </row>
    <row r="732" customFormat="false" ht="14.5" hidden="false" customHeight="false" outlineLevel="0" collapsed="false">
      <c r="B732" s="2888" t="str">
        <f aca="false">'Смета Внутр'!B738</f>
        <v>Нет наличника</v>
      </c>
      <c r="C732" s="2889" t="str">
        <f aca="false">'Смета Внутр'!C738</f>
        <v>м.п.</v>
      </c>
      <c r="D732" s="2890" t="n">
        <f aca="false">'Смета Внутр'!D738</f>
        <v>3.57</v>
      </c>
      <c r="E732" s="2888"/>
      <c r="F732" s="2895" t="n">
        <f aca="false">'Смета Внутр'!H738</f>
        <v>0</v>
      </c>
    </row>
    <row r="733" customFormat="false" ht="14.5" hidden="false" customHeight="false" outlineLevel="0" collapsed="false">
      <c r="B733" s="2888" t="str">
        <f aca="false">'Смета Внутр'!B739</f>
        <v>Бумага наждачная № 63 F(30)</v>
      </c>
      <c r="C733" s="2889" t="str">
        <f aca="false">'Смета Внутр'!C739</f>
        <v>м</v>
      </c>
      <c r="D733" s="2890" t="n">
        <f aca="false">'Смета Внутр'!D739</f>
        <v>5</v>
      </c>
      <c r="E733" s="2888"/>
      <c r="F733" s="2895" t="n">
        <f aca="false">'Смета Внутр'!H739</f>
        <v>0</v>
      </c>
    </row>
    <row r="734" customFormat="false" ht="14.5" hidden="false" customHeight="false" outlineLevel="0" collapsed="false">
      <c r="B734" s="2888" t="str">
        <f aca="false">'Смета Внутр'!B740</f>
        <v>Нет наждачной бумаги</v>
      </c>
      <c r="C734" s="2889" t="str">
        <f aca="false">'Смета Внутр'!C740</f>
        <v>м</v>
      </c>
      <c r="D734" s="2890" t="n">
        <f aca="false">'Смета Внутр'!D740</f>
        <v>0</v>
      </c>
      <c r="E734" s="2888"/>
      <c r="F734" s="2895" t="n">
        <f aca="false">'Смета Внутр'!H740</f>
        <v>0</v>
      </c>
    </row>
    <row r="735" customFormat="false" ht="14.5" hidden="false" customHeight="false" outlineLevel="0" collapsed="false">
      <c r="B735" s="2888" t="str">
        <f aca="false">'Смета Внутр'!B741</f>
        <v>Бумага наждачная № 63 F(30)</v>
      </c>
      <c r="C735" s="2889" t="str">
        <f aca="false">'Смета Внутр'!C741</f>
        <v>м</v>
      </c>
      <c r="D735" s="2890" t="n">
        <f aca="false">'Смета Внутр'!D741</f>
        <v>0</v>
      </c>
      <c r="E735" s="2888"/>
      <c r="F735" s="2895" t="n">
        <f aca="false">'Смета Внутр'!H741</f>
        <v>0</v>
      </c>
    </row>
    <row r="736" customFormat="false" ht="14.5" hidden="false" customHeight="false" outlineLevel="0" collapsed="false">
      <c r="B736" s="2888" t="str">
        <f aca="false">'Смета Внутр'!B742</f>
        <v>Бумага наждачная № 40</v>
      </c>
      <c r="C736" s="2889" t="str">
        <f aca="false">'Смета Внутр'!C742</f>
        <v>м</v>
      </c>
      <c r="D736" s="2890" t="n">
        <f aca="false">'Смета Внутр'!D742</f>
        <v>0</v>
      </c>
      <c r="E736" s="2888"/>
      <c r="F736" s="2895" t="n">
        <f aca="false">'Смета Внутр'!H742</f>
        <v>0</v>
      </c>
    </row>
    <row r="737" customFormat="false" ht="14.5" hidden="false" customHeight="false" outlineLevel="0" collapsed="false">
      <c r="B737" s="2896" t="str">
        <f aca="false">'Смета Внутр'!B743</f>
        <v>Итого материалы, рублей</v>
      </c>
      <c r="C737" s="2896"/>
      <c r="D737" s="2896"/>
      <c r="E737" s="2896"/>
      <c r="F737" s="2891" t="n">
        <f aca="false">'Смета Внутр'!G743</f>
        <v>0</v>
      </c>
    </row>
    <row r="738" customFormat="false" ht="14.5" hidden="false" customHeight="false" outlineLevel="0" collapsed="false">
      <c r="B738" s="2898" t="str">
        <f aca="false">'Смета Внутр'!B744</f>
        <v>Работы</v>
      </c>
      <c r="C738" s="2898"/>
      <c r="D738" s="2898"/>
      <c r="E738" s="2898"/>
      <c r="F738" s="2901" t="n">
        <f aca="false">'Смета Внутр'!H744</f>
        <v>0</v>
      </c>
    </row>
    <row r="739" customFormat="false" ht="14.5" hidden="false" customHeight="false" outlineLevel="0" collapsed="false">
      <c r="B739" s="2888" t="str">
        <f aca="false">'Смета Внутр'!B745</f>
        <v>кладка бруса</v>
      </c>
      <c r="C739" s="2889" t="str">
        <f aca="false">'Смета Внутр'!C745</f>
        <v>м3</v>
      </c>
      <c r="D739" s="2890" t="n">
        <f aca="false">'Смета Внутр'!D745</f>
        <v>25.5024</v>
      </c>
      <c r="E739" s="2888"/>
      <c r="F739" s="2902" t="n">
        <f aca="false">'Смета Внутр'!H745</f>
        <v>0</v>
      </c>
    </row>
    <row r="740" customFormat="false" ht="14.5" hidden="false" customHeight="false" outlineLevel="0" collapsed="false">
      <c r="B740" s="2888" t="str">
        <f aca="false">'Смета Внутр'!B746</f>
        <v>окосячка проемов, м.п.</v>
      </c>
      <c r="C740" s="2889" t="str">
        <f aca="false">'Смета Внутр'!C746</f>
        <v>м.п.</v>
      </c>
      <c r="D740" s="2890" t="n">
        <f aca="false">'Смета Внутр'!D746</f>
        <v>0</v>
      </c>
      <c r="E740" s="2888"/>
      <c r="F740" s="2902" t="n">
        <f aca="false">'Смета Внутр'!H746</f>
        <v>0</v>
      </c>
    </row>
    <row r="741" customFormat="false" ht="14.5" hidden="false" customHeight="false" outlineLevel="0" collapsed="false">
      <c r="B741" s="2888" t="str">
        <f aca="false">'Смета Внутр'!B747</f>
        <v>обработка торцов на брусе</v>
      </c>
      <c r="C741" s="2889" t="str">
        <f aca="false">'Смета Внутр'!C747</f>
        <v>м.п.</v>
      </c>
      <c r="D741" s="2890" t="n">
        <f aca="false">'Смета Внутр'!D747</f>
        <v>14.4</v>
      </c>
      <c r="E741" s="2888"/>
      <c r="F741" s="2902" t="n">
        <f aca="false">'Смета Внутр'!H747</f>
        <v>0</v>
      </c>
    </row>
    <row r="742" customFormat="false" ht="14.5" hidden="false" customHeight="false" outlineLevel="0" collapsed="false">
      <c r="B742" s="2888" t="str">
        <f aca="false">'Смета Внутр'!B748</f>
        <v>Обаботка огнебиозащитой</v>
      </c>
      <c r="C742" s="2889" t="str">
        <f aca="false">'Смета Внутр'!C748</f>
        <v>м.п.</v>
      </c>
      <c r="D742" s="2890" t="n">
        <f aca="false">'Смета Внутр'!D748</f>
        <v>25.5024</v>
      </c>
      <c r="E742" s="2888"/>
      <c r="F742" s="2902" t="n">
        <f aca="false">'Смета Внутр'!H748</f>
        <v>0</v>
      </c>
    </row>
    <row r="743" customFormat="false" ht="14.5" hidden="false" customHeight="false" outlineLevel="0" collapsed="false">
      <c r="B743" s="2888" t="str">
        <f aca="false">'Смета Внутр'!B749</f>
        <v>Пропитка стен внешних</v>
      </c>
      <c r="C743" s="2889" t="str">
        <f aca="false">'Смета Внутр'!C749</f>
        <v>м.п.</v>
      </c>
      <c r="D743" s="2890" t="n">
        <f aca="false">'Смета Внутр'!D749</f>
        <v>0</v>
      </c>
      <c r="E743" s="2888"/>
      <c r="F743" s="2895" t="n">
        <f aca="false">'Смета Внутр'!H749</f>
        <v>0</v>
      </c>
    </row>
    <row r="744" customFormat="false" ht="14.5" hidden="false" customHeight="false" outlineLevel="0" collapsed="false">
      <c r="B744" s="2888" t="str">
        <f aca="false">'Смета Внутр'!B750</f>
        <v>Пропитка внутенних стен</v>
      </c>
      <c r="C744" s="2889" t="str">
        <f aca="false">'Смета Внутр'!C750</f>
        <v>м.п.</v>
      </c>
      <c r="D744" s="2890" t="n">
        <f aca="false">'Смета Внутр'!D750</f>
        <v>0</v>
      </c>
      <c r="E744" s="2888"/>
      <c r="F744" s="2895" t="n">
        <f aca="false">'Смета Внутр'!H750</f>
        <v>0</v>
      </c>
    </row>
    <row r="745" customFormat="false" ht="14.5" hidden="false" customHeight="false" outlineLevel="0" collapsed="false">
      <c r="B745" s="2888" t="str">
        <f aca="false">'Смета Внутр'!B751</f>
        <v>Сверление стен для скрытой проводки</v>
      </c>
      <c r="C745" s="2889" t="str">
        <f aca="false">'Смета Внутр'!C751</f>
        <v>м.п.</v>
      </c>
      <c r="D745" s="2890" t="n">
        <f aca="false">'Смета Внутр'!D751</f>
        <v>180</v>
      </c>
      <c r="E745" s="2888"/>
      <c r="F745" s="2895" t="n">
        <f aca="false">'Смета Внутр'!H751</f>
        <v>0</v>
      </c>
    </row>
    <row r="746" customFormat="false" ht="14.5" hidden="false" customHeight="false" outlineLevel="0" collapsed="false">
      <c r="B746" s="2888" t="str">
        <f aca="false">'Смета Внутр'!B752</f>
        <v>Монтаж наличника</v>
      </c>
      <c r="C746" s="2889" t="str">
        <f aca="false">'Смета Внутр'!C752</f>
        <v>м.п.</v>
      </c>
      <c r="D746" s="2890" t="n">
        <f aca="false">'Смета Внутр'!D752</f>
        <v>0</v>
      </c>
      <c r="E746" s="2888"/>
      <c r="F746" s="2895" t="n">
        <f aca="false">'Смета Внутр'!H752</f>
        <v>0</v>
      </c>
    </row>
    <row r="747" customFormat="false" ht="14.5" hidden="false" customHeight="false" outlineLevel="0" collapsed="false">
      <c r="B747" s="2888" t="str">
        <f aca="false">'Смета Внутр'!B753</f>
        <v>Шлифовка стен дома</v>
      </c>
      <c r="C747" s="2889" t="str">
        <f aca="false">'Смета Внутр'!C753</f>
        <v>м.п.</v>
      </c>
      <c r="D747" s="2890" t="n">
        <f aca="false">'Смета Внутр'!D753</f>
        <v>0</v>
      </c>
      <c r="E747" s="2888"/>
      <c r="F747" s="2895" t="n">
        <f aca="false">'Смета Внутр'!H753</f>
        <v>0</v>
      </c>
    </row>
    <row r="748" customFormat="false" ht="14.5" hidden="false" customHeight="false" outlineLevel="0" collapsed="false">
      <c r="B748" s="2896" t="str">
        <f aca="false">'Смета Внутр'!B754</f>
        <v>Итого работы</v>
      </c>
      <c r="C748" s="2896"/>
      <c r="D748" s="2896"/>
      <c r="E748" s="2896"/>
      <c r="F748" s="2891" t="n">
        <f aca="false">'Смета Внутр'!G754</f>
        <v>0</v>
      </c>
    </row>
    <row r="749" customFormat="false" ht="18.5" hidden="false" customHeight="false" outlineLevel="0" collapsed="false">
      <c r="B749" s="2899" t="str">
        <f aca="false">'Смета Внутр'!B755</f>
        <v>Дом из Дикого леса</v>
      </c>
      <c r="C749" s="2899"/>
      <c r="D749" s="2899"/>
      <c r="E749" s="2899"/>
      <c r="F749" s="2893" t="n">
        <f aca="false">'Смета Внутр'!H755</f>
        <v>0</v>
      </c>
    </row>
    <row r="750" customFormat="false" ht="14.5" hidden="false" customHeight="false" outlineLevel="0" collapsed="false">
      <c r="B750" s="2894" t="str">
        <f aca="false">'Смета Внутр'!B756</f>
        <v>Материалы</v>
      </c>
      <c r="C750" s="2894"/>
      <c r="D750" s="2894"/>
      <c r="E750" s="2894"/>
      <c r="F750" s="2893" t="n">
        <f aca="false">'Смета Внутр'!H756</f>
        <v>0</v>
      </c>
    </row>
    <row r="751" customFormat="false" ht="14.5" hidden="false" customHeight="false" outlineLevel="0" collapsed="false">
      <c r="B751" s="2888" t="str">
        <f aca="false">'Смета Внутр'!B757</f>
        <v>Оцилиндрованное бревно сосна 260мм</v>
      </c>
      <c r="C751" s="2889" t="str">
        <f aca="false">'Смета Внутр'!C757</f>
        <v>м3</v>
      </c>
      <c r="D751" s="2890" t="n">
        <f aca="false">'Смета Внутр'!D757</f>
        <v>3.72417188</v>
      </c>
      <c r="E751" s="2888"/>
      <c r="F751" s="2895" t="n">
        <f aca="false">'Смета Внутр'!H757</f>
        <v>0</v>
      </c>
    </row>
    <row r="752" customFormat="false" ht="14.5" hidden="false" customHeight="false" outlineLevel="0" collapsed="false">
      <c r="B752" s="2888" t="str">
        <f aca="false">'Смета Внутр'!B758</f>
        <v>Оцилиндрованное бревно сосна 260мм</v>
      </c>
      <c r="C752" s="2889" t="str">
        <f aca="false">'Смета Внутр'!C758</f>
        <v>м3</v>
      </c>
      <c r="D752" s="2890" t="n">
        <f aca="false">'Смета Внутр'!D758</f>
        <v>24.29467612</v>
      </c>
      <c r="E752" s="2888"/>
      <c r="F752" s="2895" t="n">
        <f aca="false">'Смета Внутр'!H758</f>
        <v>0</v>
      </c>
    </row>
    <row r="753" customFormat="false" ht="14.5" hidden="false" customHeight="false" outlineLevel="0" collapsed="false">
      <c r="B753" s="2888" t="str">
        <f aca="false">'Смета Внутр'!B759</f>
        <v>Оцилиндрованное бревно сосна 200мм</v>
      </c>
      <c r="C753" s="2889" t="str">
        <f aca="false">'Смета Внутр'!C759</f>
        <v>м3</v>
      </c>
      <c r="D753" s="2890" t="n">
        <f aca="false">'Смета Внутр'!D759</f>
        <v>0</v>
      </c>
      <c r="E753" s="2888"/>
      <c r="F753" s="2895" t="n">
        <f aca="false">'Смета Внутр'!H759</f>
        <v>0</v>
      </c>
    </row>
    <row r="754" customFormat="false" ht="14.5" hidden="false" customHeight="false" outlineLevel="0" collapsed="false">
      <c r="B754" s="2888" t="str">
        <f aca="false">'Смета Внутр'!B760</f>
        <v>Оцилиндрованное бревно сосна 200мм</v>
      </c>
      <c r="C754" s="2889" t="str">
        <f aca="false">'Смета Внутр'!C760</f>
        <v>м2</v>
      </c>
      <c r="D754" s="2890" t="n">
        <f aca="false">'Смета Внутр'!D760</f>
        <v>0</v>
      </c>
      <c r="E754" s="2888"/>
      <c r="F754" s="2895" t="n">
        <f aca="false">'Смета Внутр'!H760</f>
        <v>0</v>
      </c>
    </row>
    <row r="755" customFormat="false" ht="14.5" hidden="false" customHeight="false" outlineLevel="0" collapsed="false">
      <c r="B755" s="2888" t="str">
        <f aca="false">'Смета Внутр'!B761</f>
        <v>Шкант</v>
      </c>
      <c r="C755" s="2889" t="str">
        <f aca="false">'Смета Внутр'!C761</f>
        <v>шт</v>
      </c>
      <c r="D755" s="2890" t="n">
        <f aca="false">'Смета Внутр'!D761</f>
        <v>7.543536</v>
      </c>
      <c r="E755" s="2888"/>
      <c r="F755" s="2895" t="n">
        <f aca="false">'Смета Внутр'!H761</f>
        <v>0</v>
      </c>
    </row>
    <row r="756" customFormat="false" ht="14.5" hidden="false" customHeight="false" outlineLevel="0" collapsed="false">
      <c r="B756" s="2888" t="str">
        <f aca="false">'Смета Внутр'!B762</f>
        <v>Лен-джут 200х5х20000 мм</v>
      </c>
      <c r="C756" s="2889" t="str">
        <f aca="false">'Смета Внутр'!C762</f>
        <v>шт</v>
      </c>
      <c r="D756" s="2890" t="n">
        <f aca="false">'Смета Внутр'!D762</f>
        <v>33</v>
      </c>
      <c r="E756" s="2888"/>
      <c r="F756" s="2895" t="n">
        <f aca="false">'Смета Внутр'!H762</f>
        <v>0</v>
      </c>
    </row>
    <row r="757" customFormat="false" ht="14.5" hidden="false" customHeight="false" outlineLevel="0" collapsed="false">
      <c r="B757" s="2888" t="str">
        <f aca="false">'Смета Внутр'!B763</f>
        <v>Гвозди ершоные 2,8 х 90</v>
      </c>
      <c r="C757" s="2889" t="str">
        <f aca="false">'Смета Внутр'!C763</f>
        <v>шт</v>
      </c>
      <c r="D757" s="2890" t="n">
        <f aca="false">'Смета Внутр'!D763</f>
        <v>4.84</v>
      </c>
      <c r="E757" s="2888"/>
      <c r="F757" s="2895" t="n">
        <f aca="false">'Смета Внутр'!H763</f>
        <v>0</v>
      </c>
    </row>
    <row r="758" customFormat="false" ht="14.5" hidden="false" customHeight="false" outlineLevel="0" collapsed="false">
      <c r="B758" s="2888" t="str">
        <f aca="false">'Смета Внутр'!B764</f>
        <v>нет</v>
      </c>
      <c r="C758" s="2889" t="str">
        <f aca="false">'Смета Внутр'!C764</f>
        <v>м3</v>
      </c>
      <c r="D758" s="2890" t="n">
        <f aca="false">'Смета Внутр'!D764</f>
        <v>0</v>
      </c>
      <c r="E758" s="2888"/>
      <c r="F758" s="2895" t="n">
        <f aca="false">'Смета Внутр'!H764</f>
        <v>0</v>
      </c>
    </row>
    <row r="759" customFormat="false" ht="14.5" hidden="false" customHeight="false" outlineLevel="0" collapsed="false">
      <c r="B759" s="2888" t="str">
        <f aca="false">'Смета Внутр'!B765</f>
        <v>Доска сухая, 100*50мм</v>
      </c>
      <c r="C759" s="2889" t="str">
        <f aca="false">'Смета Внутр'!C765</f>
        <v>м3</v>
      </c>
      <c r="D759" s="2890" t="n">
        <f aca="false">'Смета Внутр'!D765</f>
        <v>0</v>
      </c>
      <c r="E759" s="2888"/>
      <c r="F759" s="2895" t="n">
        <f aca="false">'Смета Внутр'!H765</f>
        <v>0</v>
      </c>
    </row>
    <row r="760" customFormat="false" ht="14.5" hidden="false" customHeight="false" outlineLevel="0" collapsed="false">
      <c r="B760" s="2888" t="str">
        <f aca="false">'Смета Внутр'!B766</f>
        <v>Доска сухая калиброванная, 100*45мм</v>
      </c>
      <c r="C760" s="2889" t="str">
        <f aca="false">'Смета Внутр'!C766</f>
        <v>м3</v>
      </c>
      <c r="D760" s="2890" t="n">
        <f aca="false">'Смета Внутр'!D766</f>
        <v>0</v>
      </c>
      <c r="E760" s="2888"/>
      <c r="F760" s="2895" t="n">
        <f aca="false">'Смета Внутр'!H766</f>
        <v>0</v>
      </c>
    </row>
    <row r="761" customFormat="false" ht="14.5" hidden="false" customHeight="false" outlineLevel="0" collapsed="false">
      <c r="B761" s="2888" t="str">
        <f aca="false">'Смета Внутр'!B767</f>
        <v>Сосна влаж, 50*50мм</v>
      </c>
      <c r="C761" s="2889" t="str">
        <f aca="false">'Смета Внутр'!C767</f>
        <v>м.п.</v>
      </c>
      <c r="D761" s="2890" t="n">
        <f aca="false">'Смета Внутр'!D767</f>
        <v>0</v>
      </c>
      <c r="E761" s="2888"/>
      <c r="F761" s="2895" t="n">
        <f aca="false">'Смета Внутр'!H767</f>
        <v>0</v>
      </c>
    </row>
    <row r="762" customFormat="false" ht="14.5" hidden="false" customHeight="false" outlineLevel="0" collapsed="false">
      <c r="B762" s="2888" t="str">
        <f aca="false">'Смета Внутр'!B768</f>
        <v>Бензин для пилы</v>
      </c>
      <c r="C762" s="2889" t="str">
        <f aca="false">'Смета Внутр'!C768</f>
        <v>л</v>
      </c>
      <c r="D762" s="2890" t="n">
        <f aca="false">'Смета Внутр'!D768</f>
        <v>5.6037696</v>
      </c>
      <c r="E762" s="2888"/>
      <c r="F762" s="2895" t="n">
        <f aca="false">'Смета Внутр'!H768</f>
        <v>0</v>
      </c>
    </row>
    <row r="763" customFormat="false" ht="14.5" hidden="false" customHeight="false" outlineLevel="0" collapsed="false">
      <c r="B763" s="2888" t="str">
        <f aca="false">'Смета Внутр'!B769</f>
        <v>Масло для пилы</v>
      </c>
      <c r="C763" s="2889" t="str">
        <f aca="false">'Смета Внутр'!C769</f>
        <v>л</v>
      </c>
      <c r="D763" s="2890" t="n">
        <f aca="false">'Смета Внутр'!D769</f>
        <v>0.28018848</v>
      </c>
      <c r="E763" s="2888"/>
      <c r="F763" s="2895" t="n">
        <f aca="false">'Смета Внутр'!H769</f>
        <v>0</v>
      </c>
    </row>
    <row r="764" customFormat="false" ht="14.5" hidden="false" customHeight="false" outlineLevel="0" collapsed="false">
      <c r="B764" s="2888" t="str">
        <f aca="false">'Смета Внутр'!B770</f>
        <v>Цепь для пилы</v>
      </c>
      <c r="C764" s="2889" t="str">
        <f aca="false">'Смета Внутр'!C770</f>
        <v>шт</v>
      </c>
      <c r="D764" s="2890" t="n">
        <f aca="false">'Смета Внутр'!D770</f>
        <v>3</v>
      </c>
      <c r="E764" s="2888"/>
      <c r="F764" s="2895" t="n">
        <f aca="false">'Смета Внутр'!H770</f>
        <v>0</v>
      </c>
    </row>
    <row r="765" customFormat="false" ht="14.5" hidden="false" customHeight="false" outlineLevel="0" collapsed="false">
      <c r="B765" s="2888" t="str">
        <f aca="false">'Смета Внутр'!B771</f>
        <v>"Профилюкс" Антисептик АНТИПЛЕСЕНЬ</v>
      </c>
      <c r="C765" s="2889" t="str">
        <f aca="false">'Смета Внутр'!C771</f>
        <v>л</v>
      </c>
      <c r="D765" s="2890" t="n">
        <f aca="false">'Смета Внутр'!D771</f>
        <v>39.1872</v>
      </c>
      <c r="E765" s="2888"/>
      <c r="F765" s="2895" t="n">
        <f aca="false">'Смета Внутр'!H771</f>
        <v>0</v>
      </c>
    </row>
    <row r="766" customFormat="false" ht="14.5" hidden="false" customHeight="false" outlineLevel="0" collapsed="false">
      <c r="B766" s="2888" t="str">
        <f aca="false">'Смета Внутр'!B772</f>
        <v>"Тонерол" Антисептик  бесцветный  1л</v>
      </c>
      <c r="C766" s="2889" t="str">
        <f aca="false">'Смета Внутр'!C772</f>
        <v>л</v>
      </c>
      <c r="D766" s="2890" t="n">
        <f aca="false">'Смета Внутр'!D772</f>
        <v>23.51232</v>
      </c>
      <c r="E766" s="2888"/>
      <c r="F766" s="2895" t="n">
        <f aca="false">'Смета Внутр'!H772</f>
        <v>0</v>
      </c>
    </row>
    <row r="767" customFormat="false" ht="14.5" hidden="false" customHeight="false" outlineLevel="0" collapsed="false">
      <c r="B767" s="2888" t="str">
        <f aca="false">'Смета Внутр'!B773</f>
        <v>"Тонерол" Антисептик  махагон  1л</v>
      </c>
      <c r="C767" s="2889" t="str">
        <f aca="false">'Смета Внутр'!C773</f>
        <v>л</v>
      </c>
      <c r="D767" s="2890" t="n">
        <f aca="false">'Смета Внутр'!D773</f>
        <v>23.51232</v>
      </c>
      <c r="E767" s="2888"/>
      <c r="F767" s="2895" t="n">
        <f aca="false">'Смета Внутр'!H773</f>
        <v>0</v>
      </c>
    </row>
    <row r="768" customFormat="false" ht="14.5" hidden="false" customHeight="false" outlineLevel="0" collapsed="false">
      <c r="B768" s="2888" t="str">
        <f aca="false">'Смета Внутр'!B774</f>
        <v>Нет наличника</v>
      </c>
      <c r="C768" s="2889" t="str">
        <f aca="false">'Смета Внутр'!C774</f>
        <v>м.п.</v>
      </c>
      <c r="D768" s="2890" t="n">
        <f aca="false">'Смета Внутр'!D774</f>
        <v>3.57</v>
      </c>
      <c r="E768" s="2888"/>
      <c r="F768" s="2895" t="n">
        <f aca="false">'Смета Внутр'!H774</f>
        <v>0</v>
      </c>
    </row>
    <row r="769" customFormat="false" ht="14.5" hidden="false" customHeight="false" outlineLevel="0" collapsed="false">
      <c r="B769" s="2888" t="str">
        <f aca="false">'Смета Внутр'!B775</f>
        <v>Нет наличника</v>
      </c>
      <c r="C769" s="2889" t="str">
        <f aca="false">'Смета Внутр'!C775</f>
        <v>м.п.</v>
      </c>
      <c r="D769" s="2890" t="n">
        <f aca="false">'Смета Внутр'!D775</f>
        <v>3.57</v>
      </c>
      <c r="E769" s="2888"/>
      <c r="F769" s="2895" t="n">
        <f aca="false">'Смета Внутр'!H775</f>
        <v>0</v>
      </c>
    </row>
    <row r="770" customFormat="false" ht="14.5" hidden="false" customHeight="false" outlineLevel="0" collapsed="false">
      <c r="B770" s="2888" t="str">
        <f aca="false">'Смета Внутр'!B776</f>
        <v>Бумага наждачная № 63 F(30)</v>
      </c>
      <c r="C770" s="2889" t="str">
        <f aca="false">'Смета Внутр'!C776</f>
        <v>м</v>
      </c>
      <c r="D770" s="2890" t="n">
        <f aca="false">'Смета Внутр'!D776</f>
        <v>5</v>
      </c>
      <c r="E770" s="2888"/>
      <c r="F770" s="2895" t="n">
        <f aca="false">'Смета Внутр'!H776</f>
        <v>0</v>
      </c>
    </row>
    <row r="771" customFormat="false" ht="14.5" hidden="false" customHeight="false" outlineLevel="0" collapsed="false">
      <c r="B771" s="2888" t="str">
        <f aca="false">'Смета Внутр'!B777</f>
        <v>Нет наждачной бумаги</v>
      </c>
      <c r="C771" s="2889" t="str">
        <f aca="false">'Смета Внутр'!C777</f>
        <v>м</v>
      </c>
      <c r="D771" s="2890" t="n">
        <f aca="false">'Смета Внутр'!D777</f>
        <v>0</v>
      </c>
      <c r="E771" s="2888"/>
      <c r="F771" s="2895" t="n">
        <f aca="false">'Смета Внутр'!H777</f>
        <v>0</v>
      </c>
    </row>
    <row r="772" customFormat="false" ht="14.5" hidden="false" customHeight="false" outlineLevel="0" collapsed="false">
      <c r="B772" s="2888" t="str">
        <f aca="false">'Смета Внутр'!B778</f>
        <v>Бумага наждачная № 63 F(30)</v>
      </c>
      <c r="C772" s="2889" t="str">
        <f aca="false">'Смета Внутр'!C778</f>
        <v>м</v>
      </c>
      <c r="D772" s="2890" t="n">
        <f aca="false">'Смета Внутр'!D778</f>
        <v>0</v>
      </c>
      <c r="E772" s="2888"/>
      <c r="F772" s="2895" t="n">
        <f aca="false">'Смета Внутр'!H778</f>
        <v>0</v>
      </c>
    </row>
    <row r="773" customFormat="false" ht="14.5" hidden="false" customHeight="false" outlineLevel="0" collapsed="false">
      <c r="B773" s="2888" t="str">
        <f aca="false">'Смета Внутр'!B779</f>
        <v>Бумага наждачная № 40</v>
      </c>
      <c r="C773" s="2889" t="str">
        <f aca="false">'Смета Внутр'!C779</f>
        <v>м</v>
      </c>
      <c r="D773" s="2890" t="n">
        <f aca="false">'Смета Внутр'!D779</f>
        <v>0</v>
      </c>
      <c r="E773" s="2888"/>
      <c r="F773" s="2895" t="n">
        <f aca="false">'Смета Внутр'!H779</f>
        <v>0</v>
      </c>
    </row>
    <row r="774" customFormat="false" ht="14.5" hidden="false" customHeight="false" outlineLevel="0" collapsed="false">
      <c r="B774" s="2896" t="str">
        <f aca="false">'Смета Внутр'!B780</f>
        <v>Итого материалы</v>
      </c>
      <c r="C774" s="2896"/>
      <c r="D774" s="2896"/>
      <c r="E774" s="2896"/>
      <c r="F774" s="2897" t="n">
        <f aca="false">'Смета Внутр'!G780</f>
        <v>0</v>
      </c>
    </row>
    <row r="775" customFormat="false" ht="14.5" hidden="false" customHeight="false" outlineLevel="0" collapsed="false">
      <c r="B775" s="2898" t="str">
        <f aca="false">'Смета Внутр'!B781</f>
        <v>Работы</v>
      </c>
      <c r="C775" s="2898"/>
      <c r="D775" s="2898"/>
      <c r="E775" s="2898"/>
      <c r="F775" s="2893" t="n">
        <f aca="false">'Смета Внутр'!H781</f>
        <v>0</v>
      </c>
    </row>
    <row r="776" customFormat="false" ht="14.5" hidden="false" customHeight="false" outlineLevel="0" collapsed="false">
      <c r="B776" s="2888" t="str">
        <f aca="false">'Смета Внутр'!B782</f>
        <v>кладка Дикого леса</v>
      </c>
      <c r="C776" s="2889" t="str">
        <f aca="false">'Смета Внутр'!C782</f>
        <v>м3</v>
      </c>
      <c r="D776" s="2890" t="n">
        <f aca="false">'Смета Внутр'!D782</f>
        <v>28.018848</v>
      </c>
      <c r="E776" s="2888"/>
      <c r="F776" s="2895" t="n">
        <f aca="false">'Смета Внутр'!H782</f>
        <v>0</v>
      </c>
    </row>
    <row r="777" customFormat="false" ht="14.5" hidden="false" customHeight="false" outlineLevel="0" collapsed="false">
      <c r="B777" s="2888" t="str">
        <f aca="false">'Смета Внутр'!B783</f>
        <v>окосячка проемов, м.п.</v>
      </c>
      <c r="C777" s="2889" t="str">
        <f aca="false">'Смета Внутр'!C783</f>
        <v>м.п.</v>
      </c>
      <c r="D777" s="2890" t="n">
        <f aca="false">'Смета Внутр'!D783</f>
        <v>0</v>
      </c>
      <c r="E777" s="2888"/>
      <c r="F777" s="2895" t="n">
        <f aca="false">'Смета Внутр'!H783</f>
        <v>0</v>
      </c>
    </row>
    <row r="778" customFormat="false" ht="14.5" hidden="false" customHeight="false" outlineLevel="0" collapsed="false">
      <c r="B778" s="2888" t="str">
        <f aca="false">'Смета Внутр'!B784</f>
        <v>обработка торцов на брусе</v>
      </c>
      <c r="C778" s="2889" t="str">
        <f aca="false">'Смета Внутр'!C784</f>
        <v>м.п.</v>
      </c>
      <c r="D778" s="2890" t="n">
        <f aca="false">'Смета Внутр'!D784</f>
        <v>14.4</v>
      </c>
      <c r="E778" s="2888"/>
      <c r="F778" s="2895" t="n">
        <f aca="false">'Смета Внутр'!H784</f>
        <v>0</v>
      </c>
    </row>
    <row r="779" customFormat="false" ht="14.5" hidden="false" customHeight="false" outlineLevel="0" collapsed="false">
      <c r="B779" s="2888" t="str">
        <f aca="false">'Смета Внутр'!B785</f>
        <v>Обаботка огнебиозащитой</v>
      </c>
      <c r="C779" s="2889" t="str">
        <f aca="false">'Смета Внутр'!C785</f>
        <v>м.п.</v>
      </c>
      <c r="D779" s="2890" t="n">
        <f aca="false">'Смета Внутр'!D785</f>
        <v>28.018848</v>
      </c>
      <c r="E779" s="2888"/>
      <c r="F779" s="2895" t="n">
        <f aca="false">'Смета Внутр'!H785</f>
        <v>0</v>
      </c>
    </row>
    <row r="780" customFormat="false" ht="14.5" hidden="false" customHeight="false" outlineLevel="0" collapsed="false">
      <c r="B780" s="2888" t="str">
        <f aca="false">'Смета Внутр'!B786</f>
        <v>Пропитка стен внешних</v>
      </c>
      <c r="C780" s="2889" t="str">
        <f aca="false">'Смета Внутр'!C786</f>
        <v>м.п.</v>
      </c>
      <c r="D780" s="2890" t="n">
        <f aca="false">'Смета Внутр'!D786</f>
        <v>117.5616</v>
      </c>
      <c r="E780" s="2888"/>
      <c r="F780" s="2895" t="n">
        <f aca="false">'Смета Внутр'!H786</f>
        <v>0</v>
      </c>
    </row>
    <row r="781" customFormat="false" ht="14.5" hidden="false" customHeight="false" outlineLevel="0" collapsed="false">
      <c r="B781" s="2888" t="str">
        <f aca="false">'Смета Внутр'!B787</f>
        <v>Пропитка внутенних стен</v>
      </c>
      <c r="C781" s="2889" t="str">
        <f aca="false">'Смета Внутр'!C787</f>
        <v>м.п.</v>
      </c>
      <c r="D781" s="2890" t="n">
        <f aca="false">'Смета Внутр'!D787</f>
        <v>117.5616</v>
      </c>
      <c r="E781" s="2888"/>
      <c r="F781" s="2895" t="n">
        <f aca="false">'Смета Внутр'!H787</f>
        <v>0</v>
      </c>
    </row>
    <row r="782" customFormat="false" ht="14.5" hidden="false" customHeight="false" outlineLevel="0" collapsed="false">
      <c r="B782" s="2888" t="str">
        <f aca="false">'Смета Внутр'!B788</f>
        <v>Сверление стен для скрытой проводки</v>
      </c>
      <c r="C782" s="2889" t="str">
        <f aca="false">'Смета Внутр'!C788</f>
        <v>м.п.</v>
      </c>
      <c r="D782" s="2890" t="n">
        <f aca="false">'Смета Внутр'!D788</f>
        <v>180</v>
      </c>
      <c r="E782" s="2888"/>
      <c r="F782" s="2895" t="n">
        <f aca="false">'Смета Внутр'!H788</f>
        <v>0</v>
      </c>
    </row>
    <row r="783" customFormat="false" ht="14.5" hidden="false" customHeight="false" outlineLevel="0" collapsed="false">
      <c r="B783" s="2888" t="str">
        <f aca="false">'Смета Внутр'!B789</f>
        <v>Монтаж наличника</v>
      </c>
      <c r="C783" s="2889" t="str">
        <f aca="false">'Смета Внутр'!C789</f>
        <v>м.п.</v>
      </c>
      <c r="D783" s="2890" t="n">
        <f aca="false">'Смета Внутр'!D789</f>
        <v>0</v>
      </c>
      <c r="E783" s="2888"/>
      <c r="F783" s="2895" t="n">
        <f aca="false">'Смета Внутр'!H789</f>
        <v>0</v>
      </c>
    </row>
    <row r="784" customFormat="false" ht="14.5" hidden="false" customHeight="false" outlineLevel="0" collapsed="false">
      <c r="B784" s="2888" t="str">
        <f aca="false">'Смета Внутр'!B790</f>
        <v>Шлифовка стен дома</v>
      </c>
      <c r="C784" s="2889" t="str">
        <f aca="false">'Смета Внутр'!C790</f>
        <v>м.п.</v>
      </c>
      <c r="D784" s="2890" t="n">
        <f aca="false">'Смета Внутр'!D790</f>
        <v>121.44</v>
      </c>
      <c r="E784" s="2888"/>
      <c r="F784" s="2895" t="n">
        <f aca="false">'Смета Внутр'!H790</f>
        <v>0</v>
      </c>
    </row>
    <row r="785" customFormat="false" ht="14.5" hidden="false" customHeight="false" outlineLevel="0" collapsed="false">
      <c r="B785" s="2896" t="str">
        <f aca="false">'Смета Внутр'!B791</f>
        <v>Итого работы</v>
      </c>
      <c r="C785" s="2896"/>
      <c r="D785" s="2896"/>
      <c r="E785" s="2896"/>
      <c r="F785" s="2897" t="n">
        <f aca="false">'Смета Внутр'!G791</f>
        <v>0</v>
      </c>
    </row>
    <row r="786" customFormat="false" ht="18.5" hidden="false" customHeight="false" outlineLevel="0" collapsed="false">
      <c r="B786" s="2899" t="str">
        <f aca="false">'Смета Внутр'!B792</f>
        <v>Дом из Оцилиндрованного бревна</v>
      </c>
      <c r="C786" s="2899"/>
      <c r="D786" s="2899"/>
      <c r="E786" s="2899"/>
      <c r="F786" s="2893" t="n">
        <f aca="false">'Смета Внутр'!H792</f>
        <v>0</v>
      </c>
    </row>
    <row r="787" customFormat="false" ht="14.5" hidden="false" customHeight="false" outlineLevel="0" collapsed="false">
      <c r="B787" s="2894" t="str">
        <f aca="false">'Смета Внутр'!B793</f>
        <v>Материалы</v>
      </c>
      <c r="C787" s="2894"/>
      <c r="D787" s="2894"/>
      <c r="E787" s="2894"/>
      <c r="F787" s="2893" t="n">
        <f aca="false">'Смета Внутр'!H793</f>
        <v>0</v>
      </c>
    </row>
    <row r="788" customFormat="false" ht="14.5" hidden="false" customHeight="false" outlineLevel="0" collapsed="false">
      <c r="B788" s="2888" t="str">
        <f aca="false">'Смета Внутр'!B794</f>
        <v>Оцилиндрованное бревно сосна 260мм</v>
      </c>
      <c r="C788" s="2889" t="str">
        <f aca="false">'Смета Внутр'!C794</f>
        <v>м3</v>
      </c>
      <c r="D788" s="2890" t="n">
        <f aca="false">'Смета Внутр'!D794</f>
        <v>3.72417188</v>
      </c>
      <c r="E788" s="2888"/>
      <c r="F788" s="2895" t="n">
        <f aca="false">'Смета Внутр'!H794</f>
        <v>0</v>
      </c>
    </row>
    <row r="789" customFormat="false" ht="14.5" hidden="false" customHeight="false" outlineLevel="0" collapsed="false">
      <c r="B789" s="2888" t="str">
        <f aca="false">'Смета Внутр'!B795</f>
        <v>Оцилиндрованное бревно сосна 260мм</v>
      </c>
      <c r="C789" s="2889" t="str">
        <f aca="false">'Смета Внутр'!C795</f>
        <v>м3</v>
      </c>
      <c r="D789" s="2890" t="n">
        <f aca="false">'Смета Внутр'!D795</f>
        <v>24.29467612</v>
      </c>
      <c r="E789" s="2888"/>
      <c r="F789" s="2895" t="n">
        <f aca="false">'Смета Внутр'!H795</f>
        <v>0</v>
      </c>
    </row>
    <row r="790" customFormat="false" ht="14.5" hidden="false" customHeight="false" outlineLevel="0" collapsed="false">
      <c r="B790" s="2888" t="str">
        <f aca="false">'Смета Внутр'!B796</f>
        <v>Оцилиндрованное бревно сосна 200мм</v>
      </c>
      <c r="C790" s="2889" t="str">
        <f aca="false">'Смета Внутр'!C796</f>
        <v>м3</v>
      </c>
      <c r="D790" s="2890" t="n">
        <f aca="false">'Смета Внутр'!D796</f>
        <v>0</v>
      </c>
      <c r="E790" s="2888"/>
      <c r="F790" s="2895" t="n">
        <f aca="false">'Смета Внутр'!H796</f>
        <v>0</v>
      </c>
    </row>
    <row r="791" customFormat="false" ht="14.5" hidden="false" customHeight="false" outlineLevel="0" collapsed="false">
      <c r="B791" s="2888" t="str">
        <f aca="false">'Смета Внутр'!B797</f>
        <v>Оцилиндрованное бревно сосна 200мм</v>
      </c>
      <c r="C791" s="2889" t="str">
        <f aca="false">'Смета Внутр'!C797</f>
        <v>м2</v>
      </c>
      <c r="D791" s="2890" t="n">
        <f aca="false">'Смета Внутр'!D797</f>
        <v>0</v>
      </c>
      <c r="E791" s="2888"/>
      <c r="F791" s="2895" t="n">
        <f aca="false">'Смета Внутр'!H797</f>
        <v>0</v>
      </c>
    </row>
    <row r="792" customFormat="false" ht="14.5" hidden="false" customHeight="false" outlineLevel="0" collapsed="false">
      <c r="B792" s="2888" t="str">
        <f aca="false">'Смета Внутр'!B798</f>
        <v>Шкант</v>
      </c>
      <c r="C792" s="2889" t="str">
        <f aca="false">'Смета Внутр'!C798</f>
        <v>шт</v>
      </c>
      <c r="D792" s="2890" t="n">
        <f aca="false">'Смета Внутр'!D798</f>
        <v>617</v>
      </c>
      <c r="E792" s="2888"/>
      <c r="F792" s="2895" t="n">
        <f aca="false">'Смета Внутр'!H798</f>
        <v>0</v>
      </c>
    </row>
    <row r="793" customFormat="false" ht="14.5" hidden="false" customHeight="false" outlineLevel="0" collapsed="false">
      <c r="B793" s="2888" t="str">
        <f aca="false">'Смета Внутр'!B799</f>
        <v>Лен-джут 200х5х20000 мм</v>
      </c>
      <c r="C793" s="2889" t="str">
        <f aca="false">'Смета Внутр'!C799</f>
        <v>шт</v>
      </c>
      <c r="D793" s="2890" t="n">
        <f aca="false">'Смета Внутр'!D799</f>
        <v>33</v>
      </c>
      <c r="E793" s="2888"/>
      <c r="F793" s="2895" t="n">
        <f aca="false">'Смета Внутр'!H799</f>
        <v>0</v>
      </c>
    </row>
    <row r="794" customFormat="false" ht="14.5" hidden="false" customHeight="false" outlineLevel="0" collapsed="false">
      <c r="B794" s="2888" t="str">
        <f aca="false">'Смета Внутр'!B800</f>
        <v>Гвозди ершоные 2,8 х 90</v>
      </c>
      <c r="C794" s="2889" t="str">
        <f aca="false">'Смета Внутр'!C800</f>
        <v>шт</v>
      </c>
      <c r="D794" s="2890" t="n">
        <f aca="false">'Смета Внутр'!D800</f>
        <v>4.84</v>
      </c>
      <c r="E794" s="2888"/>
      <c r="F794" s="2895" t="n">
        <f aca="false">'Смета Внутр'!H800</f>
        <v>0</v>
      </c>
    </row>
    <row r="795" customFormat="false" ht="14.5" hidden="false" customHeight="false" outlineLevel="0" collapsed="false">
      <c r="B795" s="2888" t="str">
        <f aca="false">'Смета Внутр'!B801</f>
        <v>нет</v>
      </c>
      <c r="C795" s="2889" t="str">
        <f aca="false">'Смета Внутр'!C801</f>
        <v>м3</v>
      </c>
      <c r="D795" s="2890" t="n">
        <f aca="false">'Смета Внутр'!D801</f>
        <v>0</v>
      </c>
      <c r="E795" s="2888"/>
      <c r="F795" s="2895" t="n">
        <f aca="false">'Смета Внутр'!H801</f>
        <v>0</v>
      </c>
    </row>
    <row r="796" customFormat="false" ht="14.5" hidden="false" customHeight="false" outlineLevel="0" collapsed="false">
      <c r="B796" s="2888" t="str">
        <f aca="false">'Смета Внутр'!B802</f>
        <v>Доска сухая, 100*50мм</v>
      </c>
      <c r="C796" s="2889" t="str">
        <f aca="false">'Смета Внутр'!C802</f>
        <v>м3</v>
      </c>
      <c r="D796" s="2890" t="n">
        <f aca="false">'Смета Внутр'!D802</f>
        <v>0</v>
      </c>
      <c r="E796" s="2888"/>
      <c r="F796" s="2895" t="n">
        <f aca="false">'Смета Внутр'!H802</f>
        <v>0</v>
      </c>
    </row>
    <row r="797" customFormat="false" ht="14.5" hidden="false" customHeight="false" outlineLevel="0" collapsed="false">
      <c r="B797" s="2888" t="str">
        <f aca="false">'Смета Внутр'!B803</f>
        <v>Доска сухая калиброванная, 100*45мм</v>
      </c>
      <c r="C797" s="2889" t="str">
        <f aca="false">'Смета Внутр'!C803</f>
        <v>м3</v>
      </c>
      <c r="D797" s="2890" t="n">
        <f aca="false">'Смета Внутр'!D803</f>
        <v>0</v>
      </c>
      <c r="E797" s="2888"/>
      <c r="F797" s="2895" t="n">
        <f aca="false">'Смета Внутр'!H803</f>
        <v>0</v>
      </c>
    </row>
    <row r="798" customFormat="false" ht="14.5" hidden="false" customHeight="false" outlineLevel="0" collapsed="false">
      <c r="B798" s="2888" t="str">
        <f aca="false">'Смета Внутр'!B804</f>
        <v>Сосна влаж, 50*50мм</v>
      </c>
      <c r="C798" s="2889" t="str">
        <f aca="false">'Смета Внутр'!C804</f>
        <v>м.п.</v>
      </c>
      <c r="D798" s="2890" t="n">
        <f aca="false">'Смета Внутр'!D804</f>
        <v>0</v>
      </c>
      <c r="E798" s="2888"/>
      <c r="F798" s="2895" t="n">
        <f aca="false">'Смета Внутр'!H804</f>
        <v>0</v>
      </c>
    </row>
    <row r="799" customFormat="false" ht="14.5" hidden="false" customHeight="false" outlineLevel="0" collapsed="false">
      <c r="B799" s="2888" t="str">
        <f aca="false">'Смета Внутр'!B805</f>
        <v>Бензин для пилы</v>
      </c>
      <c r="C799" s="2889" t="str">
        <f aca="false">'Смета Внутр'!C805</f>
        <v>л</v>
      </c>
      <c r="D799" s="2890" t="n">
        <f aca="false">'Смета Внутр'!D805</f>
        <v>7.004712</v>
      </c>
      <c r="E799" s="2888"/>
      <c r="F799" s="2895" t="n">
        <f aca="false">'Смета Внутр'!H805</f>
        <v>0</v>
      </c>
    </row>
    <row r="800" customFormat="false" ht="14.5" hidden="false" customHeight="false" outlineLevel="0" collapsed="false">
      <c r="B800" s="2888" t="str">
        <f aca="false">'Смета Внутр'!B806</f>
        <v>Масло для пилы</v>
      </c>
      <c r="C800" s="2889" t="str">
        <f aca="false">'Смета Внутр'!C806</f>
        <v>л</v>
      </c>
      <c r="D800" s="2890" t="n">
        <f aca="false">'Смета Внутр'!D806</f>
        <v>0.3502356</v>
      </c>
      <c r="E800" s="2888"/>
      <c r="F800" s="2895" t="n">
        <f aca="false">'Смета Внутр'!H806</f>
        <v>0</v>
      </c>
    </row>
    <row r="801" customFormat="false" ht="14.5" hidden="false" customHeight="false" outlineLevel="0" collapsed="false">
      <c r="B801" s="2888" t="str">
        <f aca="false">'Смета Внутр'!B807</f>
        <v>Цепь для пилы</v>
      </c>
      <c r="C801" s="2889" t="str">
        <f aca="false">'Смета Внутр'!C807</f>
        <v>шт</v>
      </c>
      <c r="D801" s="2890" t="n">
        <f aca="false">'Смета Внутр'!D807</f>
        <v>3</v>
      </c>
      <c r="E801" s="2888"/>
      <c r="F801" s="2895" t="n">
        <f aca="false">'Смета Внутр'!H807</f>
        <v>0</v>
      </c>
    </row>
    <row r="802" customFormat="false" ht="14.5" hidden="false" customHeight="false" outlineLevel="0" collapsed="false">
      <c r="B802" s="2888" t="str">
        <f aca="false">'Смета Внутр'!B808</f>
        <v>"Профилюкс" Антисептик АНТИПЛЕСЕНЬ</v>
      </c>
      <c r="C802" s="2889" t="str">
        <f aca="false">'Смета Внутр'!C808</f>
        <v>л</v>
      </c>
      <c r="D802" s="2890" t="n">
        <f aca="false">'Смета Внутр'!D808</f>
        <v>39.1872</v>
      </c>
      <c r="E802" s="2888"/>
      <c r="F802" s="2895" t="n">
        <f aca="false">'Смета Внутр'!H808</f>
        <v>0</v>
      </c>
    </row>
    <row r="803" customFormat="false" ht="14.5" hidden="false" customHeight="false" outlineLevel="0" collapsed="false">
      <c r="B803" s="2888" t="str">
        <f aca="false">'Смета Внутр'!B809</f>
        <v>"Тонерол" Антисептик  бесцветный  1л</v>
      </c>
      <c r="C803" s="2889" t="str">
        <f aca="false">'Смета Внутр'!C809</f>
        <v>л</v>
      </c>
      <c r="D803" s="2890" t="n">
        <f aca="false">'Смета Внутр'!D809</f>
        <v>23.51232</v>
      </c>
      <c r="E803" s="2888"/>
      <c r="F803" s="2895" t="n">
        <f aca="false">'Смета Внутр'!H809</f>
        <v>0</v>
      </c>
    </row>
    <row r="804" customFormat="false" ht="14.5" hidden="false" customHeight="false" outlineLevel="0" collapsed="false">
      <c r="B804" s="2888" t="str">
        <f aca="false">'Смета Внутр'!B810</f>
        <v>"Тонерол" Антисептик  махагон  1л</v>
      </c>
      <c r="C804" s="2889" t="str">
        <f aca="false">'Смета Внутр'!C810</f>
        <v>л</v>
      </c>
      <c r="D804" s="2890" t="n">
        <f aca="false">'Смета Внутр'!D810</f>
        <v>23.51232</v>
      </c>
      <c r="E804" s="2888"/>
      <c r="F804" s="2895" t="n">
        <f aca="false">'Смета Внутр'!H810</f>
        <v>0</v>
      </c>
    </row>
    <row r="805" customFormat="false" ht="14.5" hidden="false" customHeight="false" outlineLevel="0" collapsed="false">
      <c r="B805" s="2888" t="str">
        <f aca="false">'Смета Внутр'!B811</f>
        <v>Нет наличника</v>
      </c>
      <c r="C805" s="2889" t="str">
        <f aca="false">'Смета Внутр'!C811</f>
        <v>м.п.</v>
      </c>
      <c r="D805" s="2890" t="n">
        <f aca="false">'Смета Внутр'!D811</f>
        <v>3.57</v>
      </c>
      <c r="E805" s="2888"/>
      <c r="F805" s="2895" t="n">
        <f aca="false">'Смета Внутр'!H811</f>
        <v>0</v>
      </c>
    </row>
    <row r="806" customFormat="false" ht="14.5" hidden="false" customHeight="false" outlineLevel="0" collapsed="false">
      <c r="B806" s="2888" t="str">
        <f aca="false">'Смета Внутр'!B812</f>
        <v>Нет наличника</v>
      </c>
      <c r="C806" s="2889" t="str">
        <f aca="false">'Смета Внутр'!C812</f>
        <v>м.п.</v>
      </c>
      <c r="D806" s="2890" t="n">
        <f aca="false">'Смета Внутр'!D812</f>
        <v>3.57</v>
      </c>
      <c r="E806" s="2888"/>
      <c r="F806" s="2895" t="n">
        <f aca="false">'Смета Внутр'!H812</f>
        <v>0</v>
      </c>
    </row>
    <row r="807" customFormat="false" ht="14.5" hidden="false" customHeight="false" outlineLevel="0" collapsed="false">
      <c r="B807" s="2888" t="str">
        <f aca="false">'Смета Внутр'!B813</f>
        <v>Бумага наждачная № 63 F(30)</v>
      </c>
      <c r="C807" s="2889" t="str">
        <f aca="false">'Смета Внутр'!C813</f>
        <v>м</v>
      </c>
      <c r="D807" s="2890" t="n">
        <f aca="false">'Смета Внутр'!D813</f>
        <v>5</v>
      </c>
      <c r="E807" s="2888"/>
      <c r="F807" s="2895" t="n">
        <f aca="false">'Смета Внутр'!H813</f>
        <v>0</v>
      </c>
    </row>
    <row r="808" customFormat="false" ht="14.5" hidden="false" customHeight="false" outlineLevel="0" collapsed="false">
      <c r="B808" s="2888" t="str">
        <f aca="false">'Смета Внутр'!B814</f>
        <v>Нет наждачной бумаги</v>
      </c>
      <c r="C808" s="2889" t="str">
        <f aca="false">'Смета Внутр'!C814</f>
        <v>м</v>
      </c>
      <c r="D808" s="2890" t="n">
        <f aca="false">'Смета Внутр'!D814</f>
        <v>0</v>
      </c>
      <c r="E808" s="2888"/>
      <c r="F808" s="2895" t="n">
        <f aca="false">'Смета Внутр'!H814</f>
        <v>0</v>
      </c>
    </row>
    <row r="809" customFormat="false" ht="14.5" hidden="false" customHeight="false" outlineLevel="0" collapsed="false">
      <c r="B809" s="2888" t="str">
        <f aca="false">'Смета Внутр'!B815</f>
        <v>Бумага наждачная № 63 F(30)</v>
      </c>
      <c r="C809" s="2889" t="str">
        <f aca="false">'Смета Внутр'!C815</f>
        <v>м</v>
      </c>
      <c r="D809" s="2890" t="n">
        <f aca="false">'Смета Внутр'!D815</f>
        <v>0</v>
      </c>
      <c r="E809" s="2888"/>
      <c r="F809" s="2895" t="n">
        <f aca="false">'Смета Внутр'!H815</f>
        <v>0</v>
      </c>
    </row>
    <row r="810" customFormat="false" ht="14.5" hidden="false" customHeight="false" outlineLevel="0" collapsed="false">
      <c r="B810" s="2888" t="str">
        <f aca="false">'Смета Внутр'!B816</f>
        <v>Бумага наждачная № 40</v>
      </c>
      <c r="C810" s="2889" t="str">
        <f aca="false">'Смета Внутр'!C816</f>
        <v>м</v>
      </c>
      <c r="D810" s="2890" t="n">
        <f aca="false">'Смета Внутр'!D816</f>
        <v>0</v>
      </c>
      <c r="E810" s="2888"/>
      <c r="F810" s="2895" t="n">
        <f aca="false">'Смета Внутр'!H816</f>
        <v>0</v>
      </c>
    </row>
    <row r="811" customFormat="false" ht="14.5" hidden="false" customHeight="false" outlineLevel="0" collapsed="false">
      <c r="B811" s="2896" t="str">
        <f aca="false">'Смета Внутр'!B817</f>
        <v>Итого материалы</v>
      </c>
      <c r="C811" s="2896"/>
      <c r="D811" s="2896"/>
      <c r="E811" s="2896"/>
      <c r="F811" s="2897" t="n">
        <f aca="false">'Смета Внутр'!G817</f>
        <v>0</v>
      </c>
    </row>
    <row r="812" customFormat="false" ht="14.5" hidden="false" customHeight="false" outlineLevel="0" collapsed="false">
      <c r="B812" s="2898" t="str">
        <f aca="false">'Смета Внутр'!B818</f>
        <v>Работы</v>
      </c>
      <c r="C812" s="2898"/>
      <c r="D812" s="2898"/>
      <c r="E812" s="2898"/>
      <c r="F812" s="2893" t="n">
        <f aca="false">'Смета Внутр'!H818</f>
        <v>0</v>
      </c>
    </row>
    <row r="813" customFormat="false" ht="14.5" hidden="false" customHeight="false" outlineLevel="0" collapsed="false">
      <c r="B813" s="2888" t="str">
        <f aca="false">'Смета Внутр'!B819</f>
        <v>кладка Оцилиндрованного вревна</v>
      </c>
      <c r="C813" s="2889" t="str">
        <f aca="false">'Смета Внутр'!C819</f>
        <v>м3</v>
      </c>
      <c r="D813" s="2890" t="n">
        <f aca="false">'Смета Внутр'!D819</f>
        <v>28.018848</v>
      </c>
      <c r="E813" s="2888"/>
      <c r="F813" s="2895" t="n">
        <f aca="false">'Смета Внутр'!H819</f>
        <v>0</v>
      </c>
    </row>
    <row r="814" customFormat="false" ht="14.5" hidden="false" customHeight="false" outlineLevel="0" collapsed="false">
      <c r="B814" s="2888" t="str">
        <f aca="false">'Смета Внутр'!B820</f>
        <v>окосячка проемов, м.п.</v>
      </c>
      <c r="C814" s="2889" t="str">
        <f aca="false">'Смета Внутр'!C820</f>
        <v>м.п.</v>
      </c>
      <c r="D814" s="2890" t="n">
        <f aca="false">'Смета Внутр'!D820</f>
        <v>0</v>
      </c>
      <c r="E814" s="2888"/>
      <c r="F814" s="2895" t="n">
        <f aca="false">'Смета Внутр'!H820</f>
        <v>0</v>
      </c>
    </row>
    <row r="815" customFormat="false" ht="14.5" hidden="false" customHeight="false" outlineLevel="0" collapsed="false">
      <c r="B815" s="2888" t="str">
        <f aca="false">'Смета Внутр'!B821</f>
        <v>обработка торцов на брусе</v>
      </c>
      <c r="C815" s="2889" t="str">
        <f aca="false">'Смета Внутр'!C821</f>
        <v>м.п.</v>
      </c>
      <c r="D815" s="2890" t="n">
        <f aca="false">'Смета Внутр'!D821</f>
        <v>14.4</v>
      </c>
      <c r="E815" s="2888"/>
      <c r="F815" s="2895" t="n">
        <f aca="false">'Смета Внутр'!H821</f>
        <v>0</v>
      </c>
    </row>
    <row r="816" customFormat="false" ht="14.5" hidden="false" customHeight="false" outlineLevel="0" collapsed="false">
      <c r="B816" s="2888" t="str">
        <f aca="false">'Смета Внутр'!B822</f>
        <v>Обаботка огнебиозащитой</v>
      </c>
      <c r="C816" s="2889" t="str">
        <f aca="false">'Смета Внутр'!C822</f>
        <v>м.п.</v>
      </c>
      <c r="D816" s="2890" t="n">
        <f aca="false">'Смета Внутр'!D822</f>
        <v>28.018848</v>
      </c>
      <c r="E816" s="2888"/>
      <c r="F816" s="2895" t="n">
        <f aca="false">'Смета Внутр'!H822</f>
        <v>0</v>
      </c>
    </row>
    <row r="817" customFormat="false" ht="14.5" hidden="false" customHeight="false" outlineLevel="0" collapsed="false">
      <c r="B817" s="2888" t="str">
        <f aca="false">'Смета Внутр'!B823</f>
        <v>Пропитка стен внешних</v>
      </c>
      <c r="C817" s="2889" t="str">
        <f aca="false">'Смета Внутр'!C823</f>
        <v>м.п.</v>
      </c>
      <c r="D817" s="2890" t="n">
        <f aca="false">'Смета Внутр'!D823</f>
        <v>117.5616</v>
      </c>
      <c r="E817" s="2888"/>
      <c r="F817" s="2895" t="n">
        <f aca="false">'Смета Внутр'!H823</f>
        <v>0</v>
      </c>
    </row>
    <row r="818" customFormat="false" ht="14.5" hidden="false" customHeight="false" outlineLevel="0" collapsed="false">
      <c r="B818" s="2888" t="str">
        <f aca="false">'Смета Внутр'!B824</f>
        <v>Пропитка внутенних стен</v>
      </c>
      <c r="C818" s="2889" t="str">
        <f aca="false">'Смета Внутр'!C824</f>
        <v>м.п.</v>
      </c>
      <c r="D818" s="2890" t="n">
        <f aca="false">'Смета Внутр'!D824</f>
        <v>117.5616</v>
      </c>
      <c r="E818" s="2888"/>
      <c r="F818" s="2895" t="n">
        <f aca="false">'Смета Внутр'!H824</f>
        <v>0</v>
      </c>
    </row>
    <row r="819" customFormat="false" ht="14.5" hidden="false" customHeight="false" outlineLevel="0" collapsed="false">
      <c r="B819" s="2888" t="str">
        <f aca="false">'Смета Внутр'!B825</f>
        <v>Сверление стен для скрытой проводки</v>
      </c>
      <c r="C819" s="2889" t="str">
        <f aca="false">'Смета Внутр'!C825</f>
        <v>м.п.</v>
      </c>
      <c r="D819" s="2890" t="n">
        <f aca="false">'Смета Внутр'!D825</f>
        <v>180</v>
      </c>
      <c r="E819" s="2888"/>
      <c r="F819" s="2895" t="n">
        <f aca="false">'Смета Внутр'!H825</f>
        <v>0</v>
      </c>
    </row>
    <row r="820" customFormat="false" ht="14.5" hidden="false" customHeight="false" outlineLevel="0" collapsed="false">
      <c r="B820" s="2888" t="str">
        <f aca="false">'Смета Внутр'!B826</f>
        <v>Монтаж наличника</v>
      </c>
      <c r="C820" s="2889" t="str">
        <f aca="false">'Смета Внутр'!C826</f>
        <v>м.п.</v>
      </c>
      <c r="D820" s="2890" t="n">
        <f aca="false">'Смета Внутр'!D826</f>
        <v>0</v>
      </c>
      <c r="E820" s="2888"/>
      <c r="F820" s="2895" t="n">
        <f aca="false">'Смета Внутр'!H826</f>
        <v>0</v>
      </c>
    </row>
    <row r="821" customFormat="false" ht="14.5" hidden="false" customHeight="false" outlineLevel="0" collapsed="false">
      <c r="B821" s="2888" t="str">
        <f aca="false">'Смета Внутр'!B827</f>
        <v>Шлифовка стен дома</v>
      </c>
      <c r="C821" s="2889" t="str">
        <f aca="false">'Смета Внутр'!C827</f>
        <v>м.п.</v>
      </c>
      <c r="D821" s="2890" t="n">
        <f aca="false">'Смета Внутр'!D827</f>
        <v>121.44</v>
      </c>
      <c r="E821" s="2888"/>
      <c r="F821" s="2895" t="n">
        <f aca="false">'Смета Внутр'!H827</f>
        <v>0</v>
      </c>
    </row>
    <row r="822" customFormat="false" ht="14.5" hidden="false" customHeight="false" outlineLevel="0" collapsed="false">
      <c r="B822" s="2896" t="str">
        <f aca="false">'Смета Внутр'!B828</f>
        <v>Итого работы</v>
      </c>
      <c r="C822" s="2896"/>
      <c r="D822" s="2896"/>
      <c r="E822" s="2896"/>
      <c r="F822" s="2897" t="n">
        <f aca="false">'Смета Внутр'!G828</f>
        <v>0</v>
      </c>
    </row>
    <row r="823" customFormat="false" ht="18.5" hidden="false" customHeight="false" outlineLevel="0" collapsed="false">
      <c r="B823" s="2899" t="str">
        <f aca="false">'Смета Внутр'!B829</f>
        <v>Дом из Профилированного бруса</v>
      </c>
      <c r="C823" s="2899"/>
      <c r="D823" s="2899"/>
      <c r="E823" s="2899"/>
      <c r="F823" s="2893" t="n">
        <f aca="false">'Смета Внутр'!H829</f>
        <v>0</v>
      </c>
    </row>
    <row r="824" customFormat="false" ht="14.5" hidden="false" customHeight="false" outlineLevel="0" collapsed="false">
      <c r="B824" s="2894" t="str">
        <f aca="false">'Смета Внутр'!B830</f>
        <v>Материалы</v>
      </c>
      <c r="C824" s="2894"/>
      <c r="D824" s="2894"/>
      <c r="E824" s="2894"/>
      <c r="F824" s="2893" t="n">
        <f aca="false">'Смета Внутр'!H830</f>
        <v>0</v>
      </c>
    </row>
    <row r="825" customFormat="false" ht="14.5" hidden="false" customHeight="false" outlineLevel="0" collapsed="false">
      <c r="B825" s="2888" t="str">
        <f aca="false">'Смета Внутр'!B831</f>
        <v>Листв. влаж, 200*200мм</v>
      </c>
      <c r="C825" s="2889" t="str">
        <f aca="false">'Смета Внутр'!C831</f>
        <v>м3</v>
      </c>
      <c r="D825" s="2890" t="n">
        <f aca="false">'Смета Внутр'!D831</f>
        <v>2.552</v>
      </c>
      <c r="E825" s="2888"/>
      <c r="F825" s="2895" t="n">
        <f aca="false">'Смета Внутр'!H831</f>
        <v>0</v>
      </c>
    </row>
    <row r="826" customFormat="false" ht="14.5" hidden="false" customHeight="false" outlineLevel="0" collapsed="false">
      <c r="B826" s="2888" t="str">
        <f aca="false">'Смета Внутр'!B832</f>
        <v>Сосна влаж, 200*200мм</v>
      </c>
      <c r="C826" s="2889" t="str">
        <f aca="false">'Смета Внутр'!C832</f>
        <v>м3</v>
      </c>
      <c r="D826" s="2890" t="n">
        <f aca="false">'Смета Внутр'!D832</f>
        <v>21.736</v>
      </c>
      <c r="E826" s="2888"/>
      <c r="F826" s="2895" t="n">
        <f aca="false">'Смета Внутр'!H832</f>
        <v>0</v>
      </c>
    </row>
    <row r="827" customFormat="false" ht="14.5" hidden="false" customHeight="false" outlineLevel="0" collapsed="false">
      <c r="B827" s="2888" t="str">
        <f aca="false">'Смета Внутр'!B833</f>
        <v>Сосна влаж, 200*150мм</v>
      </c>
      <c r="C827" s="2889" t="str">
        <f aca="false">'Смета Внутр'!C833</f>
        <v>м3</v>
      </c>
      <c r="D827" s="2890" t="n">
        <f aca="false">'Смета Внутр'!D833</f>
        <v>0</v>
      </c>
      <c r="E827" s="2888"/>
      <c r="F827" s="2895" t="n">
        <f aca="false">'Смета Внутр'!H833</f>
        <v>0</v>
      </c>
    </row>
    <row r="828" customFormat="false" ht="14.5" hidden="false" customHeight="false" outlineLevel="0" collapsed="false">
      <c r="B828" s="2888" t="str">
        <f aca="false">'Смета Внутр'!B834</f>
        <v>Сосна влаж, 200*100мм</v>
      </c>
      <c r="C828" s="2889" t="str">
        <f aca="false">'Смета Внутр'!C834</f>
        <v>м2</v>
      </c>
      <c r="D828" s="2890" t="n">
        <f aca="false">'Смета Внутр'!D834</f>
        <v>0</v>
      </c>
      <c r="E828" s="2888"/>
      <c r="F828" s="2895" t="n">
        <f aca="false">'Смета Внутр'!H834</f>
        <v>0</v>
      </c>
    </row>
    <row r="829" customFormat="false" ht="14.5" hidden="false" customHeight="false" outlineLevel="0" collapsed="false">
      <c r="B829" s="2888" t="str">
        <f aca="false">'Смета Внутр'!B835</f>
        <v>Шкант</v>
      </c>
      <c r="C829" s="2889" t="str">
        <f aca="false">'Смета Внутр'!C835</f>
        <v>шт</v>
      </c>
      <c r="D829" s="2890" t="n">
        <f aca="false">'Смета Внутр'!D835</f>
        <v>535</v>
      </c>
      <c r="E829" s="2888"/>
      <c r="F829" s="2895" t="n">
        <f aca="false">'Смета Внутр'!H835</f>
        <v>0</v>
      </c>
    </row>
    <row r="830" customFormat="false" ht="14.5" hidden="false" customHeight="false" outlineLevel="0" collapsed="false">
      <c r="B830" s="2888" t="str">
        <f aca="false">'Смета Внутр'!B836</f>
        <v>Лента уплотнения</v>
      </c>
      <c r="C830" s="2889" t="str">
        <f aca="false">'Смета Внутр'!C836</f>
        <v>шт</v>
      </c>
      <c r="D830" s="2890" t="n">
        <f aca="false">'Смета Внутр'!D836</f>
        <v>0</v>
      </c>
      <c r="E830" s="2888"/>
      <c r="F830" s="2895" t="n">
        <f aca="false">'Смета Внутр'!H836</f>
        <v>0</v>
      </c>
    </row>
    <row r="831" customFormat="false" ht="14.5" hidden="false" customHeight="false" outlineLevel="0" collapsed="false">
      <c r="B831" s="2888" t="str">
        <f aca="false">'Смета Внутр'!B837</f>
        <v>Гвозди строительные 3,5 x 90</v>
      </c>
      <c r="C831" s="2889" t="str">
        <f aca="false">'Смета Внутр'!C837</f>
        <v>шт</v>
      </c>
      <c r="D831" s="2890" t="n">
        <f aca="false">'Смета Внутр'!D837</f>
        <v>4.4</v>
      </c>
      <c r="E831" s="2888"/>
      <c r="F831" s="2895" t="n">
        <f aca="false">'Смета Внутр'!H837</f>
        <v>0</v>
      </c>
    </row>
    <row r="832" customFormat="false" ht="14.5" hidden="false" customHeight="false" outlineLevel="0" collapsed="false">
      <c r="B832" s="2888" t="str">
        <f aca="false">'Смета Внутр'!B838</f>
        <v>нет</v>
      </c>
      <c r="C832" s="2889" t="str">
        <f aca="false">'Смета Внутр'!C838</f>
        <v>м3</v>
      </c>
      <c r="D832" s="2890" t="n">
        <f aca="false">'Смета Внутр'!D838</f>
        <v>0</v>
      </c>
      <c r="E832" s="2888"/>
      <c r="F832" s="2895" t="n">
        <f aca="false">'Смета Внутр'!H838</f>
        <v>0</v>
      </c>
    </row>
    <row r="833" customFormat="false" ht="14.5" hidden="false" customHeight="false" outlineLevel="0" collapsed="false">
      <c r="B833" s="2888" t="str">
        <f aca="false">'Смета Внутр'!B839</f>
        <v>Доска сухая, 100*50мм</v>
      </c>
      <c r="C833" s="2889" t="str">
        <f aca="false">'Смета Внутр'!C839</f>
        <v>м3</v>
      </c>
      <c r="D833" s="2890" t="n">
        <f aca="false">'Смета Внутр'!D839</f>
        <v>0</v>
      </c>
      <c r="E833" s="2888"/>
      <c r="F833" s="2895" t="n">
        <f aca="false">'Смета Внутр'!H839</f>
        <v>0</v>
      </c>
    </row>
    <row r="834" customFormat="false" ht="14.5" hidden="false" customHeight="false" outlineLevel="0" collapsed="false">
      <c r="B834" s="2888" t="str">
        <f aca="false">'Смета Внутр'!B840</f>
        <v>Доска сухая калиброванная, 100*45мм</v>
      </c>
      <c r="C834" s="2889" t="str">
        <f aca="false">'Смета Внутр'!C840</f>
        <v>м3</v>
      </c>
      <c r="D834" s="2890" t="n">
        <f aca="false">'Смета Внутр'!D840</f>
        <v>0</v>
      </c>
      <c r="E834" s="2888"/>
      <c r="F834" s="2895" t="n">
        <f aca="false">'Смета Внутр'!H840</f>
        <v>0</v>
      </c>
    </row>
    <row r="835" customFormat="false" ht="14.5" hidden="false" customHeight="false" outlineLevel="0" collapsed="false">
      <c r="B835" s="2888" t="str">
        <f aca="false">'Смета Внутр'!B841</f>
        <v>Сосна влаж, 50*50мм</v>
      </c>
      <c r="C835" s="2889" t="str">
        <f aca="false">'Смета Внутр'!C841</f>
        <v>м.п.</v>
      </c>
      <c r="D835" s="2890" t="n">
        <f aca="false">'Смета Внутр'!D841</f>
        <v>0</v>
      </c>
      <c r="E835" s="2888"/>
      <c r="F835" s="2895" t="n">
        <f aca="false">'Смета Внутр'!H841</f>
        <v>0</v>
      </c>
    </row>
    <row r="836" customFormat="false" ht="14.5" hidden="false" customHeight="false" outlineLevel="0" collapsed="false">
      <c r="B836" s="2888" t="str">
        <f aca="false">'Смета Внутр'!B842</f>
        <v>Бензин для пилы</v>
      </c>
      <c r="C836" s="2889" t="str">
        <f aca="false">'Смета Внутр'!C842</f>
        <v>л</v>
      </c>
      <c r="D836" s="2890" t="n">
        <f aca="false">'Смета Внутр'!D842</f>
        <v>4.8576</v>
      </c>
      <c r="E836" s="2888"/>
      <c r="F836" s="2895" t="n">
        <f aca="false">'Смета Внутр'!H842</f>
        <v>0</v>
      </c>
    </row>
    <row r="837" customFormat="false" ht="14.5" hidden="false" customHeight="false" outlineLevel="0" collapsed="false">
      <c r="B837" s="2888" t="str">
        <f aca="false">'Смета Внутр'!B843</f>
        <v>Масло для пилы</v>
      </c>
      <c r="C837" s="2889" t="str">
        <f aca="false">'Смета Внутр'!C843</f>
        <v>л</v>
      </c>
      <c r="D837" s="2890" t="n">
        <f aca="false">'Смета Внутр'!D843</f>
        <v>0.24288</v>
      </c>
      <c r="E837" s="2888"/>
      <c r="F837" s="2895" t="n">
        <f aca="false">'Смета Внутр'!H843</f>
        <v>0</v>
      </c>
    </row>
    <row r="838" customFormat="false" ht="14.5" hidden="false" customHeight="false" outlineLevel="0" collapsed="false">
      <c r="B838" s="2888" t="str">
        <f aca="false">'Смета Внутр'!B844</f>
        <v>Цепь для пилы</v>
      </c>
      <c r="C838" s="2889" t="str">
        <f aca="false">'Смета Внутр'!C844</f>
        <v>шт</v>
      </c>
      <c r="D838" s="2890" t="n">
        <f aca="false">'Смета Внутр'!D844</f>
        <v>3</v>
      </c>
      <c r="E838" s="2888"/>
      <c r="F838" s="2895" t="n">
        <f aca="false">'Смета Внутр'!H844</f>
        <v>0</v>
      </c>
    </row>
    <row r="839" customFormat="false" ht="14.5" hidden="false" customHeight="false" outlineLevel="0" collapsed="false">
      <c r="B839" s="2888" t="str">
        <f aca="false">'Смета Внутр'!B845</f>
        <v>"Профилюкс" Антисептик АНТИПЛЕСЕНЬ</v>
      </c>
      <c r="C839" s="2889" t="str">
        <f aca="false">'Смета Внутр'!C845</f>
        <v>л</v>
      </c>
      <c r="D839" s="2890" t="n">
        <f aca="false">'Смета Внутр'!D845</f>
        <v>0</v>
      </c>
      <c r="E839" s="2888"/>
      <c r="F839" s="2895" t="n">
        <f aca="false">'Смета Внутр'!H845</f>
        <v>0</v>
      </c>
    </row>
    <row r="840" customFormat="false" ht="14.5" hidden="false" customHeight="false" outlineLevel="0" collapsed="false">
      <c r="B840" s="2888" t="str">
        <f aca="false">'Смета Внутр'!B846</f>
        <v>"Тонерол" Антисептик  бесцветный  1л</v>
      </c>
      <c r="C840" s="2889" t="str">
        <f aca="false">'Смета Внутр'!C846</f>
        <v>л</v>
      </c>
      <c r="D840" s="2890" t="n">
        <f aca="false">'Смета Внутр'!D846</f>
        <v>0</v>
      </c>
      <c r="E840" s="2888"/>
      <c r="F840" s="2895" t="n">
        <f aca="false">'Смета Внутр'!H846</f>
        <v>0</v>
      </c>
    </row>
    <row r="841" customFormat="false" ht="14.5" hidden="false" customHeight="false" outlineLevel="0" collapsed="false">
      <c r="B841" s="2888" t="str">
        <f aca="false">'Смета Внутр'!B847</f>
        <v>"Тонерол" Антисептик  махагон  1л</v>
      </c>
      <c r="C841" s="2889" t="str">
        <f aca="false">'Смета Внутр'!C847</f>
        <v>л</v>
      </c>
      <c r="D841" s="2890" t="n">
        <f aca="false">'Смета Внутр'!D847</f>
        <v>0</v>
      </c>
      <c r="E841" s="2888"/>
      <c r="F841" s="2895" t="n">
        <f aca="false">'Смета Внутр'!H847</f>
        <v>0</v>
      </c>
    </row>
    <row r="842" customFormat="false" ht="14.5" hidden="false" customHeight="false" outlineLevel="0" collapsed="false">
      <c r="B842" s="2888" t="str">
        <f aca="false">'Смета Внутр'!B848</f>
        <v>Нет наличника</v>
      </c>
      <c r="C842" s="2889" t="str">
        <f aca="false">'Смета Внутр'!C848</f>
        <v>м.п.</v>
      </c>
      <c r="D842" s="2890" t="n">
        <f aca="false">'Смета Внутр'!D848</f>
        <v>3.57</v>
      </c>
      <c r="E842" s="2888"/>
      <c r="F842" s="2895" t="n">
        <f aca="false">'Смета Внутр'!H848</f>
        <v>0</v>
      </c>
    </row>
    <row r="843" customFormat="false" ht="14.5" hidden="false" customHeight="false" outlineLevel="0" collapsed="false">
      <c r="B843" s="2888" t="str">
        <f aca="false">'Смета Внутр'!B849</f>
        <v>Нет наличника</v>
      </c>
      <c r="C843" s="2889" t="str">
        <f aca="false">'Смета Внутр'!C849</f>
        <v>м.п.</v>
      </c>
      <c r="D843" s="2890" t="n">
        <f aca="false">'Смета Внутр'!D849</f>
        <v>3.57</v>
      </c>
      <c r="E843" s="2888"/>
      <c r="F843" s="2895" t="n">
        <f aca="false">'Смета Внутр'!H849</f>
        <v>0</v>
      </c>
    </row>
    <row r="844" customFormat="false" ht="14.5" hidden="false" customHeight="false" outlineLevel="0" collapsed="false">
      <c r="B844" s="2888" t="str">
        <f aca="false">'Смета Внутр'!B850</f>
        <v>Бумага наждачная № 63 F(30)</v>
      </c>
      <c r="C844" s="2889" t="str">
        <f aca="false">'Смета Внутр'!C850</f>
        <v>м</v>
      </c>
      <c r="D844" s="2890" t="n">
        <f aca="false">'Смета Внутр'!D850</f>
        <v>5</v>
      </c>
      <c r="E844" s="2888"/>
      <c r="F844" s="2895" t="n">
        <f aca="false">'Смета Внутр'!H850</f>
        <v>0</v>
      </c>
    </row>
    <row r="845" customFormat="false" ht="14.5" hidden="false" customHeight="false" outlineLevel="0" collapsed="false">
      <c r="B845" s="2888" t="str">
        <f aca="false">'Смета Внутр'!B851</f>
        <v>Нет наждачной бумаги</v>
      </c>
      <c r="C845" s="2889" t="str">
        <f aca="false">'Смета Внутр'!C851</f>
        <v>м</v>
      </c>
      <c r="D845" s="2890" t="n">
        <f aca="false">'Смета Внутр'!D851</f>
        <v>0</v>
      </c>
      <c r="E845" s="2888"/>
      <c r="F845" s="2895" t="n">
        <f aca="false">'Смета Внутр'!H851</f>
        <v>0</v>
      </c>
    </row>
    <row r="846" customFormat="false" ht="14.5" hidden="false" customHeight="false" outlineLevel="0" collapsed="false">
      <c r="B846" s="2888" t="str">
        <f aca="false">'Смета Внутр'!B852</f>
        <v>Бумага наждачная № 63 F(30)</v>
      </c>
      <c r="C846" s="2889" t="str">
        <f aca="false">'Смета Внутр'!C852</f>
        <v>м</v>
      </c>
      <c r="D846" s="2890" t="n">
        <f aca="false">'Смета Внутр'!D852</f>
        <v>0</v>
      </c>
      <c r="E846" s="2888"/>
      <c r="F846" s="2895" t="n">
        <f aca="false">'Смета Внутр'!H852</f>
        <v>0</v>
      </c>
    </row>
    <row r="847" customFormat="false" ht="14.5" hidden="false" customHeight="false" outlineLevel="0" collapsed="false">
      <c r="B847" s="2888" t="str">
        <f aca="false">'Смета Внутр'!B853</f>
        <v>Бумага наждачная № 40</v>
      </c>
      <c r="C847" s="2889" t="str">
        <f aca="false">'Смета Внутр'!C853</f>
        <v>м</v>
      </c>
      <c r="D847" s="2890" t="n">
        <f aca="false">'Смета Внутр'!D853</f>
        <v>0</v>
      </c>
      <c r="E847" s="2888"/>
      <c r="F847" s="2895" t="n">
        <f aca="false">'Смета Внутр'!H853</f>
        <v>0</v>
      </c>
    </row>
    <row r="848" customFormat="false" ht="14.5" hidden="false" customHeight="false" outlineLevel="0" collapsed="false">
      <c r="B848" s="2896" t="str">
        <f aca="false">'Смета Внутр'!B854</f>
        <v>Итого материалы</v>
      </c>
      <c r="C848" s="2896"/>
      <c r="D848" s="2896"/>
      <c r="E848" s="2896"/>
      <c r="F848" s="2897" t="n">
        <f aca="false">'Смета Внутр'!G854</f>
        <v>0</v>
      </c>
    </row>
    <row r="849" customFormat="false" ht="14.5" hidden="false" customHeight="false" outlineLevel="0" collapsed="false">
      <c r="B849" s="2898" t="str">
        <f aca="false">'Смета Внутр'!B855</f>
        <v>Работы</v>
      </c>
      <c r="C849" s="2898"/>
      <c r="D849" s="2898"/>
      <c r="E849" s="2898"/>
      <c r="F849" s="2893" t="n">
        <f aca="false">'Смета Внутр'!H855</f>
        <v>0</v>
      </c>
    </row>
    <row r="850" customFormat="false" ht="14.5" hidden="false" customHeight="false" outlineLevel="0" collapsed="false">
      <c r="B850" s="2888" t="str">
        <f aca="false">'Смета Внутр'!B856</f>
        <v>кладка Профилированного бруса</v>
      </c>
      <c r="C850" s="2889" t="str">
        <f aca="false">'Смета Внутр'!C856</f>
        <v>м3</v>
      </c>
      <c r="D850" s="2890" t="n">
        <f aca="false">'Смета Внутр'!D856</f>
        <v>24.288</v>
      </c>
      <c r="E850" s="2888"/>
      <c r="F850" s="2895" t="n">
        <f aca="false">'Смета Внутр'!H856</f>
        <v>0</v>
      </c>
    </row>
    <row r="851" customFormat="false" ht="14.5" hidden="false" customHeight="false" outlineLevel="0" collapsed="false">
      <c r="B851" s="2888" t="str">
        <f aca="false">'Смета Внутр'!B857</f>
        <v>окосячка проемов, м.п.</v>
      </c>
      <c r="C851" s="2889" t="str">
        <f aca="false">'Смета Внутр'!C857</f>
        <v>м.п.</v>
      </c>
      <c r="D851" s="2890" t="n">
        <f aca="false">'Смета Внутр'!D857</f>
        <v>0</v>
      </c>
      <c r="E851" s="2888"/>
      <c r="F851" s="2895" t="n">
        <f aca="false">'Смета Внутр'!H857</f>
        <v>0</v>
      </c>
    </row>
    <row r="852" customFormat="false" ht="14.5" hidden="false" customHeight="false" outlineLevel="0" collapsed="false">
      <c r="B852" s="2888" t="str">
        <f aca="false">'Смета Внутр'!B858</f>
        <v>обработка торцов на брусе</v>
      </c>
      <c r="C852" s="2889" t="str">
        <f aca="false">'Смета Внутр'!C858</f>
        <v>м.п.</v>
      </c>
      <c r="D852" s="2890" t="n">
        <f aca="false">'Смета Внутр'!D858</f>
        <v>14.4</v>
      </c>
      <c r="E852" s="2888"/>
      <c r="F852" s="2895" t="n">
        <f aca="false">'Смета Внутр'!H858</f>
        <v>0</v>
      </c>
    </row>
    <row r="853" customFormat="false" ht="14.5" hidden="false" customHeight="false" outlineLevel="0" collapsed="false">
      <c r="B853" s="2888" t="str">
        <f aca="false">'Смета Внутр'!B859</f>
        <v>Обаботка огнебиозащитой</v>
      </c>
      <c r="C853" s="2889" t="str">
        <f aca="false">'Смета Внутр'!C859</f>
        <v>м.п.</v>
      </c>
      <c r="D853" s="2890" t="n">
        <f aca="false">'Смета Внутр'!D859</f>
        <v>24.288</v>
      </c>
      <c r="E853" s="2888"/>
      <c r="F853" s="2895" t="n">
        <f aca="false">'Смета Внутр'!H859</f>
        <v>0</v>
      </c>
    </row>
    <row r="854" customFormat="false" ht="14.5" hidden="false" customHeight="false" outlineLevel="0" collapsed="false">
      <c r="B854" s="2888" t="str">
        <f aca="false">'Смета Внутр'!B860</f>
        <v>Пропитка стен внешних</v>
      </c>
      <c r="C854" s="2889" t="str">
        <f aca="false">'Смета Внутр'!C860</f>
        <v>м.п.</v>
      </c>
      <c r="D854" s="2890" t="n">
        <f aca="false">'Смета Внутр'!D860</f>
        <v>0</v>
      </c>
      <c r="E854" s="2888"/>
      <c r="F854" s="2895" t="n">
        <f aca="false">'Смета Внутр'!H860</f>
        <v>0</v>
      </c>
    </row>
    <row r="855" customFormat="false" ht="14.5" hidden="false" customHeight="false" outlineLevel="0" collapsed="false">
      <c r="B855" s="2888" t="str">
        <f aca="false">'Смета Внутр'!B861</f>
        <v>Пропитка внутенних стен</v>
      </c>
      <c r="C855" s="2889" t="str">
        <f aca="false">'Смета Внутр'!C861</f>
        <v>м.п.</v>
      </c>
      <c r="D855" s="2890" t="n">
        <f aca="false">'Смета Внутр'!D861</f>
        <v>0</v>
      </c>
      <c r="E855" s="2888"/>
      <c r="F855" s="2895" t="n">
        <f aca="false">'Смета Внутр'!H861</f>
        <v>0</v>
      </c>
    </row>
    <row r="856" customFormat="false" ht="14.5" hidden="false" customHeight="false" outlineLevel="0" collapsed="false">
      <c r="B856" s="2888" t="str">
        <f aca="false">'Смета Внутр'!B862</f>
        <v>Сверление стен для скрытой проводки</v>
      </c>
      <c r="C856" s="2889" t="str">
        <f aca="false">'Смета Внутр'!C862</f>
        <v>м.п.</v>
      </c>
      <c r="D856" s="2890" t="n">
        <f aca="false">'Смета Внутр'!D862</f>
        <v>180</v>
      </c>
      <c r="E856" s="2888"/>
      <c r="F856" s="2895" t="n">
        <f aca="false">'Смета Внутр'!H862</f>
        <v>0</v>
      </c>
    </row>
    <row r="857" customFormat="false" ht="14.5" hidden="false" customHeight="false" outlineLevel="0" collapsed="false">
      <c r="B857" s="2888" t="str">
        <f aca="false">'Смета Внутр'!B863</f>
        <v>Монтаж наличника</v>
      </c>
      <c r="C857" s="2889" t="str">
        <f aca="false">'Смета Внутр'!C863</f>
        <v>м.п.</v>
      </c>
      <c r="D857" s="2890" t="n">
        <f aca="false">'Смета Внутр'!D863</f>
        <v>0</v>
      </c>
      <c r="E857" s="2888"/>
      <c r="F857" s="2895" t="n">
        <f aca="false">'Смета Внутр'!H863</f>
        <v>0</v>
      </c>
    </row>
    <row r="858" customFormat="false" ht="14.5" hidden="false" customHeight="false" outlineLevel="0" collapsed="false">
      <c r="B858" s="2888" t="str">
        <f aca="false">'Смета Внутр'!B864</f>
        <v>Шлифовка стен дома</v>
      </c>
      <c r="C858" s="2889" t="str">
        <f aca="false">'Смета Внутр'!C864</f>
        <v>м.п.</v>
      </c>
      <c r="D858" s="2890" t="n">
        <f aca="false">'Смета Внутр'!D864</f>
        <v>0</v>
      </c>
      <c r="E858" s="2888"/>
      <c r="F858" s="2895" t="n">
        <f aca="false">'Смета Внутр'!H864</f>
        <v>0</v>
      </c>
    </row>
    <row r="859" customFormat="false" ht="14.5" hidden="false" customHeight="false" outlineLevel="0" collapsed="false">
      <c r="B859" s="2896" t="str">
        <f aca="false">'Смета Внутр'!B865</f>
        <v>Итого работы</v>
      </c>
      <c r="C859" s="2896"/>
      <c r="D859" s="2896"/>
      <c r="E859" s="2896"/>
      <c r="F859" s="2897" t="n">
        <f aca="false">'Смета Внутр'!G865</f>
        <v>0</v>
      </c>
    </row>
    <row r="860" customFormat="false" ht="18.5" hidden="false" customHeight="false" outlineLevel="0" collapsed="false">
      <c r="B860" s="2899" t="str">
        <f aca="false">'Смета Внутр'!B866</f>
        <v>Дом из Клееного бруса</v>
      </c>
      <c r="C860" s="2899"/>
      <c r="D860" s="2899"/>
      <c r="E860" s="2899"/>
      <c r="F860" s="2893" t="n">
        <f aca="false">'Смета Внутр'!H866</f>
        <v>0</v>
      </c>
    </row>
    <row r="861" customFormat="false" ht="14.5" hidden="false" customHeight="false" outlineLevel="0" collapsed="false">
      <c r="B861" s="2894" t="str">
        <f aca="false">'Смета Внутр'!B867</f>
        <v>Материалы</v>
      </c>
      <c r="C861" s="2894"/>
      <c r="D861" s="2894"/>
      <c r="E861" s="2894"/>
      <c r="F861" s="2893" t="n">
        <f aca="false">'Смета Внутр'!H867</f>
        <v>0</v>
      </c>
    </row>
    <row r="862" customFormat="false" ht="14.5" hidden="false" customHeight="false" outlineLevel="0" collapsed="false">
      <c r="B862" s="2888" t="str">
        <f aca="false">'Смета Внутр'!B868</f>
        <v>Листв. влаж, 200*200мм</v>
      </c>
      <c r="C862" s="2889" t="str">
        <f aca="false">'Смета Внутр'!C868</f>
        <v>м3</v>
      </c>
      <c r="D862" s="2890" t="n">
        <f aca="false">'Смета Внутр'!D868</f>
        <v>2.552</v>
      </c>
      <c r="E862" s="2888"/>
      <c r="F862" s="2895" t="n">
        <f aca="false">'Смета Внутр'!H868</f>
        <v>0</v>
      </c>
    </row>
    <row r="863" customFormat="false" ht="14.5" hidden="false" customHeight="false" outlineLevel="0" collapsed="false">
      <c r="B863" s="2888" t="str">
        <f aca="false">'Смета Внутр'!B869</f>
        <v>Сосна влаж, 200*200мм</v>
      </c>
      <c r="C863" s="2889" t="str">
        <f aca="false">'Смета Внутр'!C869</f>
        <v>м3</v>
      </c>
      <c r="D863" s="2890" t="n">
        <f aca="false">'Смета Внутр'!D869</f>
        <v>21.736</v>
      </c>
      <c r="E863" s="2888"/>
      <c r="F863" s="2895" t="n">
        <f aca="false">'Смета Внутр'!H869</f>
        <v>0</v>
      </c>
    </row>
    <row r="864" customFormat="false" ht="14.5" hidden="false" customHeight="false" outlineLevel="0" collapsed="false">
      <c r="B864" s="2888" t="str">
        <f aca="false">'Смета Внутр'!B870</f>
        <v>Сосна влаж, 200*150мм</v>
      </c>
      <c r="C864" s="2889" t="str">
        <f aca="false">'Смета Внутр'!C870</f>
        <v>м3</v>
      </c>
      <c r="D864" s="2890" t="n">
        <f aca="false">'Смета Внутр'!D870</f>
        <v>0</v>
      </c>
      <c r="E864" s="2888"/>
      <c r="F864" s="2895" t="n">
        <f aca="false">'Смета Внутр'!H870</f>
        <v>0</v>
      </c>
    </row>
    <row r="865" customFormat="false" ht="14.5" hidden="false" customHeight="false" outlineLevel="0" collapsed="false">
      <c r="B865" s="2888" t="str">
        <f aca="false">'Смета Внутр'!B871</f>
        <v>Сосна влаж, 200*100мм</v>
      </c>
      <c r="C865" s="2889" t="str">
        <f aca="false">'Смета Внутр'!C871</f>
        <v>м2</v>
      </c>
      <c r="D865" s="2890" t="n">
        <f aca="false">'Смета Внутр'!D871</f>
        <v>0</v>
      </c>
      <c r="E865" s="2888"/>
      <c r="F865" s="2895" t="n">
        <f aca="false">'Смета Внутр'!H871</f>
        <v>0</v>
      </c>
    </row>
    <row r="866" customFormat="false" ht="14.5" hidden="false" customHeight="false" outlineLevel="0" collapsed="false">
      <c r="B866" s="2888" t="str">
        <f aca="false">'Смета Внутр'!B872</f>
        <v>Шкант</v>
      </c>
      <c r="C866" s="2889" t="str">
        <f aca="false">'Смета Внутр'!C872</f>
        <v>шт</v>
      </c>
      <c r="D866" s="2890" t="n">
        <f aca="false">'Смета Внутр'!D872</f>
        <v>535</v>
      </c>
      <c r="E866" s="2888"/>
      <c r="F866" s="2895" t="n">
        <f aca="false">'Смета Внутр'!H872</f>
        <v>0</v>
      </c>
    </row>
    <row r="867" customFormat="false" ht="14.5" hidden="false" customHeight="false" outlineLevel="0" collapsed="false">
      <c r="B867" s="2888" t="str">
        <f aca="false">'Смета Внутр'!B873</f>
        <v>Лента уплотнения</v>
      </c>
      <c r="C867" s="2889" t="str">
        <f aca="false">'Смета Внутр'!C873</f>
        <v>шт</v>
      </c>
      <c r="D867" s="2890" t="n">
        <f aca="false">'Смета Внутр'!D873</f>
        <v>0</v>
      </c>
      <c r="E867" s="2888"/>
      <c r="F867" s="2895" t="n">
        <f aca="false">'Смета Внутр'!H873</f>
        <v>0</v>
      </c>
    </row>
    <row r="868" customFormat="false" ht="14.5" hidden="false" customHeight="false" outlineLevel="0" collapsed="false">
      <c r="B868" s="2888" t="str">
        <f aca="false">'Смета Внутр'!B874</f>
        <v>Гвозди строительные 3,5 x 90</v>
      </c>
      <c r="C868" s="2889" t="str">
        <f aca="false">'Смета Внутр'!C874</f>
        <v>шт</v>
      </c>
      <c r="D868" s="2890" t="n">
        <f aca="false">'Смета Внутр'!D874</f>
        <v>4.4</v>
      </c>
      <c r="E868" s="2888"/>
      <c r="F868" s="2895" t="n">
        <f aca="false">'Смета Внутр'!H874</f>
        <v>0</v>
      </c>
    </row>
    <row r="869" customFormat="false" ht="14.5" hidden="false" customHeight="false" outlineLevel="0" collapsed="false">
      <c r="B869" s="2888" t="str">
        <f aca="false">'Смета Внутр'!B875</f>
        <v>нет</v>
      </c>
      <c r="C869" s="2889" t="str">
        <f aca="false">'Смета Внутр'!C875</f>
        <v>м3</v>
      </c>
      <c r="D869" s="2890" t="n">
        <f aca="false">'Смета Внутр'!D875</f>
        <v>0</v>
      </c>
      <c r="E869" s="2888"/>
      <c r="F869" s="2895" t="n">
        <f aca="false">'Смета Внутр'!H875</f>
        <v>0</v>
      </c>
    </row>
    <row r="870" customFormat="false" ht="14.5" hidden="false" customHeight="false" outlineLevel="0" collapsed="false">
      <c r="B870" s="2888" t="str">
        <f aca="false">'Смета Внутр'!B876</f>
        <v>Доска сухая, 100*50мм</v>
      </c>
      <c r="C870" s="2889" t="str">
        <f aca="false">'Смета Внутр'!C876</f>
        <v>м3</v>
      </c>
      <c r="D870" s="2890" t="n">
        <f aca="false">'Смета Внутр'!D876</f>
        <v>0</v>
      </c>
      <c r="E870" s="2888"/>
      <c r="F870" s="2895" t="n">
        <f aca="false">'Смета Внутр'!H876</f>
        <v>0</v>
      </c>
    </row>
    <row r="871" customFormat="false" ht="14.5" hidden="false" customHeight="false" outlineLevel="0" collapsed="false">
      <c r="B871" s="2888" t="str">
        <f aca="false">'Смета Внутр'!B877</f>
        <v>Доска сухая калиброванная, 100*45мм</v>
      </c>
      <c r="C871" s="2889" t="str">
        <f aca="false">'Смета Внутр'!C877</f>
        <v>м3</v>
      </c>
      <c r="D871" s="2890" t="n">
        <f aca="false">'Смета Внутр'!D877</f>
        <v>0</v>
      </c>
      <c r="E871" s="2888"/>
      <c r="F871" s="2895" t="n">
        <f aca="false">'Смета Внутр'!H877</f>
        <v>0</v>
      </c>
    </row>
    <row r="872" customFormat="false" ht="14.5" hidden="false" customHeight="false" outlineLevel="0" collapsed="false">
      <c r="B872" s="2888" t="str">
        <f aca="false">'Смета Внутр'!B878</f>
        <v>Сосна влаж, 50*50мм</v>
      </c>
      <c r="C872" s="2889" t="str">
        <f aca="false">'Смета Внутр'!C878</f>
        <v>м.п.</v>
      </c>
      <c r="D872" s="2890" t="n">
        <f aca="false">'Смета Внутр'!D878</f>
        <v>0</v>
      </c>
      <c r="E872" s="2888"/>
      <c r="F872" s="2895" t="n">
        <f aca="false">'Смета Внутр'!H878</f>
        <v>0</v>
      </c>
    </row>
    <row r="873" customFormat="false" ht="14.5" hidden="false" customHeight="false" outlineLevel="0" collapsed="false">
      <c r="B873" s="2888" t="str">
        <f aca="false">'Смета Внутр'!B879</f>
        <v>Бензин для пилы</v>
      </c>
      <c r="C873" s="2889" t="str">
        <f aca="false">'Смета Внутр'!C879</f>
        <v>л</v>
      </c>
      <c r="D873" s="2890" t="n">
        <f aca="false">'Смета Внутр'!D879</f>
        <v>4.8576</v>
      </c>
      <c r="E873" s="2888"/>
      <c r="F873" s="2895" t="n">
        <f aca="false">'Смета Внутр'!H879</f>
        <v>0</v>
      </c>
    </row>
    <row r="874" customFormat="false" ht="14.5" hidden="false" customHeight="false" outlineLevel="0" collapsed="false">
      <c r="B874" s="2888" t="str">
        <f aca="false">'Смета Внутр'!B880</f>
        <v>Масло для пилы</v>
      </c>
      <c r="C874" s="2889" t="str">
        <f aca="false">'Смета Внутр'!C880</f>
        <v>л</v>
      </c>
      <c r="D874" s="2890" t="n">
        <f aca="false">'Смета Внутр'!D880</f>
        <v>0.24288</v>
      </c>
      <c r="E874" s="2888"/>
      <c r="F874" s="2895" t="n">
        <f aca="false">'Смета Внутр'!H880</f>
        <v>0</v>
      </c>
    </row>
    <row r="875" customFormat="false" ht="14.5" hidden="false" customHeight="false" outlineLevel="0" collapsed="false">
      <c r="B875" s="2888" t="str">
        <f aca="false">'Смета Внутр'!B881</f>
        <v>Цепь для пилы</v>
      </c>
      <c r="C875" s="2889" t="str">
        <f aca="false">'Смета Внутр'!C881</f>
        <v>шт</v>
      </c>
      <c r="D875" s="2890" t="n">
        <f aca="false">'Смета Внутр'!D881</f>
        <v>3</v>
      </c>
      <c r="E875" s="2888"/>
      <c r="F875" s="2895" t="n">
        <f aca="false">'Смета Внутр'!H881</f>
        <v>0</v>
      </c>
    </row>
    <row r="876" customFormat="false" ht="14.5" hidden="false" customHeight="false" outlineLevel="0" collapsed="false">
      <c r="B876" s="2888" t="str">
        <f aca="false">'Смета Внутр'!B882</f>
        <v>"Профилюкс" Антисептик АНТИПЛЕСЕНЬ</v>
      </c>
      <c r="C876" s="2889" t="str">
        <f aca="false">'Смета Внутр'!C882</f>
        <v>л</v>
      </c>
      <c r="D876" s="2890" t="n">
        <f aca="false">'Смета Внутр'!D882</f>
        <v>0</v>
      </c>
      <c r="E876" s="2888"/>
      <c r="F876" s="2895" t="n">
        <f aca="false">'Смета Внутр'!H882</f>
        <v>0</v>
      </c>
    </row>
    <row r="877" customFormat="false" ht="14.5" hidden="false" customHeight="false" outlineLevel="0" collapsed="false">
      <c r="B877" s="2888" t="str">
        <f aca="false">'Смета Внутр'!B883</f>
        <v>"Тонерол" Антисептик  бесцветный  1л</v>
      </c>
      <c r="C877" s="2889" t="str">
        <f aca="false">'Смета Внутр'!C883</f>
        <v>л</v>
      </c>
      <c r="D877" s="2890" t="n">
        <f aca="false">'Смета Внутр'!D883</f>
        <v>0</v>
      </c>
      <c r="E877" s="2888"/>
      <c r="F877" s="2895" t="n">
        <f aca="false">'Смета Внутр'!H883</f>
        <v>0</v>
      </c>
    </row>
    <row r="878" customFormat="false" ht="14.5" hidden="false" customHeight="false" outlineLevel="0" collapsed="false">
      <c r="B878" s="2888" t="str">
        <f aca="false">'Смета Внутр'!B884</f>
        <v>"Тонерол" Антисептик  махагон  1л</v>
      </c>
      <c r="C878" s="2889" t="str">
        <f aca="false">'Смета Внутр'!C884</f>
        <v>л</v>
      </c>
      <c r="D878" s="2890" t="n">
        <f aca="false">'Смета Внутр'!D884</f>
        <v>0</v>
      </c>
      <c r="E878" s="2888"/>
      <c r="F878" s="2895" t="n">
        <f aca="false">'Смета Внутр'!H884</f>
        <v>0</v>
      </c>
    </row>
    <row r="879" customFormat="false" ht="14.5" hidden="false" customHeight="false" outlineLevel="0" collapsed="false">
      <c r="B879" s="2888" t="str">
        <f aca="false">'Смета Внутр'!B885</f>
        <v>Нет наличника</v>
      </c>
      <c r="C879" s="2889" t="str">
        <f aca="false">'Смета Внутр'!C885</f>
        <v>м.п.</v>
      </c>
      <c r="D879" s="2890" t="n">
        <f aca="false">'Смета Внутр'!D885</f>
        <v>3.57</v>
      </c>
      <c r="E879" s="2888"/>
      <c r="F879" s="2895" t="n">
        <f aca="false">'Смета Внутр'!H885</f>
        <v>0</v>
      </c>
    </row>
    <row r="880" customFormat="false" ht="14.5" hidden="false" customHeight="false" outlineLevel="0" collapsed="false">
      <c r="B880" s="2888" t="str">
        <f aca="false">'Смета Внутр'!B886</f>
        <v>Нет наличника</v>
      </c>
      <c r="C880" s="2889" t="str">
        <f aca="false">'Смета Внутр'!C886</f>
        <v>м.п.</v>
      </c>
      <c r="D880" s="2890" t="n">
        <f aca="false">'Смета Внутр'!D886</f>
        <v>3.57</v>
      </c>
      <c r="E880" s="2888"/>
      <c r="F880" s="2895" t="n">
        <f aca="false">'Смета Внутр'!H886</f>
        <v>0</v>
      </c>
    </row>
    <row r="881" customFormat="false" ht="14.5" hidden="false" customHeight="false" outlineLevel="0" collapsed="false">
      <c r="B881" s="2888" t="str">
        <f aca="false">'Смета Внутр'!B887</f>
        <v>Бумага наждачная № 63 F(30)</v>
      </c>
      <c r="C881" s="2889" t="str">
        <f aca="false">'Смета Внутр'!C887</f>
        <v>м</v>
      </c>
      <c r="D881" s="2890" t="n">
        <f aca="false">'Смета Внутр'!D887</f>
        <v>5</v>
      </c>
      <c r="E881" s="2888"/>
      <c r="F881" s="2895" t="n">
        <f aca="false">'Смета Внутр'!H887</f>
        <v>0</v>
      </c>
    </row>
    <row r="882" customFormat="false" ht="14.5" hidden="false" customHeight="false" outlineLevel="0" collapsed="false">
      <c r="B882" s="2888" t="str">
        <f aca="false">'Смета Внутр'!B888</f>
        <v>Нет наждачной бумаги</v>
      </c>
      <c r="C882" s="2889" t="str">
        <f aca="false">'Смета Внутр'!C888</f>
        <v>м</v>
      </c>
      <c r="D882" s="2890" t="n">
        <f aca="false">'Смета Внутр'!D888</f>
        <v>0</v>
      </c>
      <c r="E882" s="2888"/>
      <c r="F882" s="2895" t="n">
        <f aca="false">'Смета Внутр'!H888</f>
        <v>0</v>
      </c>
    </row>
    <row r="883" customFormat="false" ht="14.5" hidden="false" customHeight="false" outlineLevel="0" collapsed="false">
      <c r="B883" s="2888" t="str">
        <f aca="false">'Смета Внутр'!B889</f>
        <v>Бумага наждачная № 63 F(30)</v>
      </c>
      <c r="C883" s="2889" t="str">
        <f aca="false">'Смета Внутр'!C889</f>
        <v>м</v>
      </c>
      <c r="D883" s="2890" t="n">
        <f aca="false">'Смета Внутр'!D889</f>
        <v>0</v>
      </c>
      <c r="E883" s="2888"/>
      <c r="F883" s="2895" t="n">
        <f aca="false">'Смета Внутр'!H889</f>
        <v>0</v>
      </c>
    </row>
    <row r="884" customFormat="false" ht="14.5" hidden="false" customHeight="false" outlineLevel="0" collapsed="false">
      <c r="B884" s="2888" t="str">
        <f aca="false">'Смета Внутр'!B890</f>
        <v>Бумага наждачная № 40</v>
      </c>
      <c r="C884" s="2889" t="str">
        <f aca="false">'Смета Внутр'!C890</f>
        <v>м</v>
      </c>
      <c r="D884" s="2890" t="n">
        <f aca="false">'Смета Внутр'!D890</f>
        <v>0</v>
      </c>
      <c r="E884" s="2888"/>
      <c r="F884" s="2895" t="n">
        <f aca="false">'Смета Внутр'!H890</f>
        <v>0</v>
      </c>
    </row>
    <row r="885" customFormat="false" ht="14.5" hidden="false" customHeight="false" outlineLevel="0" collapsed="false">
      <c r="B885" s="2896" t="str">
        <f aca="false">'Смета Внутр'!B891</f>
        <v>Итого материалы</v>
      </c>
      <c r="C885" s="2896"/>
      <c r="D885" s="2896"/>
      <c r="E885" s="2896"/>
      <c r="F885" s="2897" t="n">
        <f aca="false">'Смета Внутр'!G891</f>
        <v>0</v>
      </c>
    </row>
    <row r="886" customFormat="false" ht="14.5" hidden="false" customHeight="false" outlineLevel="0" collapsed="false">
      <c r="B886" s="2898" t="str">
        <f aca="false">'Смета Внутр'!B892</f>
        <v>Работы</v>
      </c>
      <c r="C886" s="2898"/>
      <c r="D886" s="2898"/>
      <c r="E886" s="2898"/>
      <c r="F886" s="2893" t="n">
        <f aca="false">'Смета Внутр'!H892</f>
        <v>0</v>
      </c>
    </row>
    <row r="887" customFormat="false" ht="14.5" hidden="false" customHeight="false" outlineLevel="0" collapsed="false">
      <c r="B887" s="2888" t="str">
        <f aca="false">'Смета Внутр'!B893</f>
        <v>кладка бруса</v>
      </c>
      <c r="C887" s="2889" t="str">
        <f aca="false">'Смета Внутр'!C893</f>
        <v>м3</v>
      </c>
      <c r="D887" s="2890" t="n">
        <f aca="false">'Смета Внутр'!D893</f>
        <v>24.288</v>
      </c>
      <c r="E887" s="2888"/>
      <c r="F887" s="2895" t="n">
        <f aca="false">'Смета Внутр'!H893</f>
        <v>0</v>
      </c>
    </row>
    <row r="888" customFormat="false" ht="14.5" hidden="false" customHeight="false" outlineLevel="0" collapsed="false">
      <c r="B888" s="2888" t="str">
        <f aca="false">'Смета Внутр'!B894</f>
        <v>окосячка проемов, м.п.</v>
      </c>
      <c r="C888" s="2889" t="str">
        <f aca="false">'Смета Внутр'!C894</f>
        <v>м.п.</v>
      </c>
      <c r="D888" s="2890" t="n">
        <f aca="false">'Смета Внутр'!D894</f>
        <v>0</v>
      </c>
      <c r="E888" s="2888"/>
      <c r="F888" s="2895" t="n">
        <f aca="false">'Смета Внутр'!H894</f>
        <v>0</v>
      </c>
    </row>
    <row r="889" customFormat="false" ht="14.5" hidden="false" customHeight="false" outlineLevel="0" collapsed="false">
      <c r="B889" s="2888" t="str">
        <f aca="false">'Смета Внутр'!B895</f>
        <v>обработка торцов на брусе</v>
      </c>
      <c r="C889" s="2889" t="str">
        <f aca="false">'Смета Внутр'!C895</f>
        <v>м.п.</v>
      </c>
      <c r="D889" s="2890" t="n">
        <f aca="false">'Смета Внутр'!D895</f>
        <v>14.4</v>
      </c>
      <c r="E889" s="2888"/>
      <c r="F889" s="2895" t="n">
        <f aca="false">'Смета Внутр'!H895</f>
        <v>0</v>
      </c>
    </row>
    <row r="890" customFormat="false" ht="14.5" hidden="false" customHeight="false" outlineLevel="0" collapsed="false">
      <c r="B890" s="2888" t="str">
        <f aca="false">'Смета Внутр'!B896</f>
        <v>Обаботка огнебиозащитой</v>
      </c>
      <c r="C890" s="2889" t="str">
        <f aca="false">'Смета Внутр'!C896</f>
        <v>м.п.</v>
      </c>
      <c r="D890" s="2890" t="n">
        <f aca="false">'Смета Внутр'!D896</f>
        <v>24.288</v>
      </c>
      <c r="E890" s="2888"/>
      <c r="F890" s="2895" t="n">
        <f aca="false">'Смета Внутр'!H896</f>
        <v>0</v>
      </c>
    </row>
    <row r="891" customFormat="false" ht="14.5" hidden="false" customHeight="false" outlineLevel="0" collapsed="false">
      <c r="B891" s="2888" t="str">
        <f aca="false">'Смета Внутр'!B897</f>
        <v>Пропитка стен внешних</v>
      </c>
      <c r="C891" s="2889" t="str">
        <f aca="false">'Смета Внутр'!C897</f>
        <v>м.п.</v>
      </c>
      <c r="D891" s="2890" t="n">
        <f aca="false">'Смета Внутр'!D897</f>
        <v>0</v>
      </c>
      <c r="E891" s="2888"/>
      <c r="F891" s="2895" t="n">
        <f aca="false">'Смета Внутр'!H897</f>
        <v>0</v>
      </c>
    </row>
    <row r="892" customFormat="false" ht="14.5" hidden="false" customHeight="false" outlineLevel="0" collapsed="false">
      <c r="B892" s="2888" t="str">
        <f aca="false">'Смета Внутр'!B898</f>
        <v>Пропитка внутенних стен</v>
      </c>
      <c r="C892" s="2889" t="str">
        <f aca="false">'Смета Внутр'!C898</f>
        <v>м.п.</v>
      </c>
      <c r="D892" s="2890" t="n">
        <f aca="false">'Смета Внутр'!D898</f>
        <v>0</v>
      </c>
      <c r="E892" s="2888"/>
      <c r="F892" s="2895" t="n">
        <f aca="false">'Смета Внутр'!H898</f>
        <v>0</v>
      </c>
    </row>
    <row r="893" customFormat="false" ht="14.5" hidden="false" customHeight="false" outlineLevel="0" collapsed="false">
      <c r="B893" s="2888" t="str">
        <f aca="false">'Смета Внутр'!B899</f>
        <v>Сверление стен для скрытой проводки</v>
      </c>
      <c r="C893" s="2889" t="str">
        <f aca="false">'Смета Внутр'!C899</f>
        <v>м.п.</v>
      </c>
      <c r="D893" s="2890" t="n">
        <f aca="false">'Смета Внутр'!D899</f>
        <v>180</v>
      </c>
      <c r="E893" s="2888"/>
      <c r="F893" s="2895" t="n">
        <f aca="false">'Смета Внутр'!H899</f>
        <v>0</v>
      </c>
    </row>
    <row r="894" customFormat="false" ht="14.5" hidden="false" customHeight="false" outlineLevel="0" collapsed="false">
      <c r="B894" s="2888" t="str">
        <f aca="false">'Смета Внутр'!B900</f>
        <v>Монтаж наличника</v>
      </c>
      <c r="C894" s="2889" t="str">
        <f aca="false">'Смета Внутр'!C900</f>
        <v>м.п.</v>
      </c>
      <c r="D894" s="2890" t="n">
        <f aca="false">'Смета Внутр'!D900</f>
        <v>0</v>
      </c>
      <c r="E894" s="2888"/>
      <c r="F894" s="2895" t="n">
        <f aca="false">'Смета Внутр'!H900</f>
        <v>0</v>
      </c>
    </row>
    <row r="895" customFormat="false" ht="14.5" hidden="false" customHeight="false" outlineLevel="0" collapsed="false">
      <c r="B895" s="2888" t="str">
        <f aca="false">'Смета Внутр'!B901</f>
        <v>Шлифовка стен дома</v>
      </c>
      <c r="C895" s="2889" t="str">
        <f aca="false">'Смета Внутр'!C901</f>
        <v>м.п.</v>
      </c>
      <c r="D895" s="2890" t="n">
        <f aca="false">'Смета Внутр'!D901</f>
        <v>0</v>
      </c>
      <c r="E895" s="2888"/>
      <c r="F895" s="2895" t="n">
        <f aca="false">'Смета Внутр'!H901</f>
        <v>0</v>
      </c>
    </row>
    <row r="896" customFormat="false" ht="14.5" hidden="false" customHeight="false" outlineLevel="0" collapsed="false">
      <c r="B896" s="2896" t="str">
        <f aca="false">'Смета Внутр'!B902</f>
        <v>Итого работы</v>
      </c>
      <c r="C896" s="2896"/>
      <c r="D896" s="2896"/>
      <c r="E896" s="2896"/>
      <c r="F896" s="2897" t="n">
        <f aca="false">'Смета Внутр'!G902</f>
        <v>0</v>
      </c>
    </row>
    <row r="897" customFormat="false" ht="18.5" hidden="false" customHeight="false" outlineLevel="0" collapsed="false">
      <c r="B897" s="2899" t="str">
        <f aca="false">'Смета Внутр'!B903</f>
        <v>Перекрытие 0-1-2 этажей</v>
      </c>
      <c r="C897" s="2899"/>
      <c r="D897" s="2899"/>
      <c r="E897" s="2899"/>
      <c r="F897" s="2901" t="n">
        <f aca="false">'Смета Внутр'!H903</f>
        <v>0</v>
      </c>
    </row>
    <row r="898" customFormat="false" ht="14.5" hidden="false" customHeight="false" outlineLevel="0" collapsed="false">
      <c r="B898" s="2894" t="str">
        <f aca="false">'Смета Внутр'!B904</f>
        <v>Материалы</v>
      </c>
      <c r="C898" s="2894"/>
      <c r="D898" s="2894"/>
      <c r="E898" s="2894"/>
      <c r="F898" s="2901" t="n">
        <f aca="false">'Смета Внутр'!H904</f>
        <v>0</v>
      </c>
    </row>
    <row r="899" customFormat="false" ht="14.5" hidden="false" customHeight="false" outlineLevel="0" collapsed="false">
      <c r="B899" s="2888" t="str">
        <f aca="false">'Смета Внутр'!B905</f>
        <v>Плиты перекрытия ЖБИ</v>
      </c>
      <c r="C899" s="2889" t="str">
        <f aca="false">'Смета Внутр'!C905</f>
        <v>м2</v>
      </c>
      <c r="D899" s="2890" t="n">
        <f aca="false">'Смета Внутр'!D905</f>
        <v>0</v>
      </c>
      <c r="E899" s="2888"/>
      <c r="F899" s="2895" t="n">
        <f aca="false">'Смета Внутр'!H905</f>
        <v>0</v>
      </c>
    </row>
    <row r="900" customFormat="false" ht="14.5" hidden="false" customHeight="false" outlineLevel="0" collapsed="false">
      <c r="B900" s="2888" t="str">
        <f aca="false">'Смета Внутр'!B906</f>
        <v>Раствор, м250</v>
      </c>
      <c r="C900" s="2889" t="str">
        <f aca="false">'Смета Внутр'!C906</f>
        <v>м3</v>
      </c>
      <c r="D900" s="2890" t="n">
        <f aca="false">'Смета Внутр'!D906</f>
        <v>0</v>
      </c>
      <c r="E900" s="2888"/>
      <c r="F900" s="2895" t="n">
        <f aca="false">'Смета Внутр'!H906</f>
        <v>0</v>
      </c>
    </row>
    <row r="901" customFormat="false" ht="14.5" hidden="false" customHeight="false" outlineLevel="0" collapsed="false">
      <c r="B901" s="2888" t="str">
        <f aca="false">'Смета Внутр'!B907</f>
        <v>Монолит, бетон, 300мм, 2 слоя</v>
      </c>
      <c r="C901" s="2889" t="str">
        <f aca="false">'Смета Внутр'!C907</f>
        <v>м2</v>
      </c>
      <c r="D901" s="2890" t="n">
        <f aca="false">'Смета Внутр'!D907</f>
        <v>0</v>
      </c>
      <c r="E901" s="2888"/>
      <c r="F901" s="2895" t="n">
        <f aca="false">'Смета Внутр'!H907</f>
        <v>0</v>
      </c>
    </row>
    <row r="902" customFormat="false" ht="14.5" hidden="false" customHeight="false" outlineLevel="0" collapsed="false">
      <c r="B902" s="2888" t="str">
        <f aca="false">'Смета Внутр'!B908</f>
        <v>Монолит, бетон, 300мм, 1 слой</v>
      </c>
      <c r="C902" s="2889" t="str">
        <f aca="false">'Смета Внутр'!C908</f>
        <v>м2</v>
      </c>
      <c r="D902" s="2890" t="n">
        <f aca="false">'Смета Внутр'!D908</f>
        <v>0</v>
      </c>
      <c r="E902" s="2888"/>
      <c r="F902" s="2895" t="n">
        <f aca="false">'Смета Внутр'!H908</f>
        <v>0</v>
      </c>
    </row>
    <row r="903" customFormat="false" ht="14.5" hidden="false" customHeight="false" outlineLevel="0" collapsed="false">
      <c r="B903" s="2888" t="str">
        <f aca="false">'Смета Внутр'!B909</f>
        <v>Монолит, бетон, 250мм, 2 слоя</v>
      </c>
      <c r="C903" s="2889" t="str">
        <f aca="false">'Смета Внутр'!C909</f>
        <v>м2</v>
      </c>
      <c r="D903" s="2890" t="n">
        <f aca="false">'Смета Внутр'!D909</f>
        <v>0</v>
      </c>
      <c r="E903" s="2888"/>
      <c r="F903" s="2895" t="n">
        <f aca="false">'Смета Внутр'!H909</f>
        <v>0</v>
      </c>
    </row>
    <row r="904" customFormat="false" ht="14.5" hidden="false" customHeight="false" outlineLevel="0" collapsed="false">
      <c r="B904" s="2888" t="str">
        <f aca="false">'Смета Внутр'!B910</f>
        <v>Монолит, бетон, 250мм, 1 слой</v>
      </c>
      <c r="C904" s="2889" t="str">
        <f aca="false">'Смета Внутр'!C910</f>
        <v>м2</v>
      </c>
      <c r="D904" s="2890" t="n">
        <f aca="false">'Смета Внутр'!D910</f>
        <v>0</v>
      </c>
      <c r="E904" s="2888"/>
      <c r="F904" s="2895" t="n">
        <f aca="false">'Смета Внутр'!H910</f>
        <v>0</v>
      </c>
    </row>
    <row r="905" customFormat="false" ht="14.5" hidden="false" customHeight="false" outlineLevel="0" collapsed="false">
      <c r="B905" s="2888" t="str">
        <f aca="false">'Смета Внутр'!B911</f>
        <v>Монолит, бетон, 200мм, 2 слоя</v>
      </c>
      <c r="C905" s="2889" t="str">
        <f aca="false">'Смета Внутр'!C911</f>
        <v>м2</v>
      </c>
      <c r="D905" s="2890" t="n">
        <f aca="false">'Смета Внутр'!D911</f>
        <v>0</v>
      </c>
      <c r="E905" s="2888"/>
      <c r="F905" s="2895" t="n">
        <f aca="false">'Смета Внутр'!H911</f>
        <v>0</v>
      </c>
    </row>
    <row r="906" customFormat="false" ht="14.5" hidden="false" customHeight="false" outlineLevel="0" collapsed="false">
      <c r="B906" s="2888" t="str">
        <f aca="false">'Смета Внутр'!B912</f>
        <v>Монолит, бетон, 200мм, 1 слой</v>
      </c>
      <c r="C906" s="2889" t="str">
        <f aca="false">'Смета Внутр'!C912</f>
        <v>м2</v>
      </c>
      <c r="D906" s="2890" t="n">
        <f aca="false">'Смета Внутр'!D912</f>
        <v>0</v>
      </c>
      <c r="E906" s="2888"/>
      <c r="F906" s="2895" t="n">
        <f aca="false">'Смета Внутр'!H912</f>
        <v>0</v>
      </c>
    </row>
    <row r="907" customFormat="false" ht="14.5" hidden="false" customHeight="false" outlineLevel="0" collapsed="false">
      <c r="B907" s="2888" t="str">
        <f aca="false">'Смета Внутр'!B913</f>
        <v>Монолит, бетон, 150мм, 2 слоя</v>
      </c>
      <c r="C907" s="2889" t="str">
        <f aca="false">'Смета Внутр'!C913</f>
        <v>м2</v>
      </c>
      <c r="D907" s="2890" t="n">
        <f aca="false">'Смета Внутр'!D913</f>
        <v>0</v>
      </c>
      <c r="E907" s="2888"/>
      <c r="F907" s="2895" t="n">
        <f aca="false">'Смета Внутр'!H913</f>
        <v>0</v>
      </c>
    </row>
    <row r="908" customFormat="false" ht="14.5" hidden="false" customHeight="false" outlineLevel="0" collapsed="false">
      <c r="B908" s="2888" t="str">
        <f aca="false">'Смета Внутр'!B914</f>
        <v>Монолит, бетон, 150мм, 1 слой</v>
      </c>
      <c r="C908" s="2889" t="str">
        <f aca="false">'Смета Внутр'!C914</f>
        <v>м2</v>
      </c>
      <c r="D908" s="2890" t="n">
        <f aca="false">'Смета Внутр'!D914</f>
        <v>0</v>
      </c>
      <c r="E908" s="2888"/>
      <c r="F908" s="2895" t="n">
        <f aca="false">'Смета Внутр'!H914</f>
        <v>0</v>
      </c>
    </row>
    <row r="909" customFormat="false" ht="14.5" hidden="false" customHeight="false" outlineLevel="0" collapsed="false">
      <c r="B909" s="2888" t="str">
        <f aca="false">'Смета Внутр'!B915</f>
        <v>доска для опалубки монолит перекрытий</v>
      </c>
      <c r="C909" s="2889" t="str">
        <f aca="false">'Смета Внутр'!C915</f>
        <v>м3</v>
      </c>
      <c r="D909" s="2890" t="n">
        <f aca="false">'Смета Внутр'!D915</f>
        <v>0</v>
      </c>
      <c r="E909" s="2888"/>
      <c r="F909" s="2895" t="n">
        <f aca="false">'Смета Внутр'!H915</f>
        <v>0</v>
      </c>
    </row>
    <row r="910" customFormat="false" ht="14.5" hidden="false" customHeight="false" outlineLevel="0" collapsed="false">
      <c r="B910" s="2888" t="str">
        <f aca="false">'Смета Внутр'!B916</f>
        <v>стойки под опалубку перекрытий</v>
      </c>
      <c r="C910" s="2889" t="str">
        <f aca="false">'Смета Внутр'!C916</f>
        <v>шт</v>
      </c>
      <c r="D910" s="2890" t="n">
        <f aca="false">'Смета Внутр'!D916</f>
        <v>0</v>
      </c>
      <c r="E910" s="2888"/>
      <c r="F910" s="2895" t="n">
        <f aca="false">'Смета Внутр'!H916</f>
        <v>0</v>
      </c>
    </row>
    <row r="911" customFormat="false" ht="14.5" hidden="false" customHeight="false" outlineLevel="0" collapsed="false">
      <c r="B911" s="2888" t="str">
        <f aca="false">'Смета Внутр'!B917</f>
        <v>Пленка гидроизоляционная</v>
      </c>
      <c r="C911" s="2889" t="str">
        <f aca="false">'Смета Внутр'!C917</f>
        <v>м2</v>
      </c>
      <c r="D911" s="2890" t="n">
        <f aca="false">'Смета Внутр'!D917</f>
        <v>0</v>
      </c>
      <c r="E911" s="2888"/>
      <c r="F911" s="2895" t="n">
        <f aca="false">'Смета Внутр'!H917</f>
        <v>0</v>
      </c>
    </row>
    <row r="912" customFormat="false" ht="14.5" hidden="false" customHeight="false" outlineLevel="0" collapsed="false">
      <c r="B912" s="2888" t="str">
        <f aca="false">'Смета Внутр'!B918</f>
        <v>Арматура М10</v>
      </c>
      <c r="C912" s="2889" t="str">
        <f aca="false">'Смета Внутр'!C918</f>
        <v>м.п.</v>
      </c>
      <c r="D912" s="2890" t="n">
        <f aca="false">'Смета Внутр'!D918</f>
        <v>0</v>
      </c>
      <c r="E912" s="2888"/>
      <c r="F912" s="2895" t="n">
        <f aca="false">'Смета Внутр'!H918</f>
        <v>0</v>
      </c>
    </row>
    <row r="913" customFormat="false" ht="14.5" hidden="false" customHeight="false" outlineLevel="0" collapsed="false">
      <c r="B913" s="2888" t="str">
        <f aca="false">'Смета Внутр'!B919</f>
        <v>Вязальная проволока</v>
      </c>
      <c r="C913" s="2889" t="str">
        <f aca="false">'Смета Внутр'!C919</f>
        <v>кг</v>
      </c>
      <c r="D913" s="2890" t="n">
        <f aca="false">'Смета Внутр'!D919</f>
        <v>0</v>
      </c>
      <c r="E913" s="2888"/>
      <c r="F913" s="2895" t="n">
        <f aca="false">'Смета Внутр'!H919</f>
        <v>0</v>
      </c>
    </row>
    <row r="914" customFormat="false" ht="14.5" hidden="false" customHeight="false" outlineLevel="0" collapsed="false">
      <c r="B914" s="2888" t="str">
        <f aca="false">'Смета Внутр'!B920</f>
        <v>Подставка под арматурный каркас</v>
      </c>
      <c r="C914" s="2889" t="str">
        <f aca="false">'Смета Внутр'!C920</f>
        <v>шт</v>
      </c>
      <c r="D914" s="2890" t="n">
        <f aca="false">'Смета Внутр'!D920</f>
        <v>0</v>
      </c>
      <c r="E914" s="2888"/>
      <c r="F914" s="2895" t="n">
        <f aca="false">'Смета Внутр'!H920</f>
        <v>0</v>
      </c>
    </row>
    <row r="915" customFormat="false" ht="14.5" hidden="false" customHeight="false" outlineLevel="0" collapsed="false">
      <c r="B915" s="2888" t="str">
        <f aca="false">'Смета Внутр'!B921</f>
        <v>бетон, м350</v>
      </c>
      <c r="C915" s="2889" t="str">
        <f aca="false">'Смета Внутр'!C921</f>
        <v>м3</v>
      </c>
      <c r="D915" s="2890" t="n">
        <f aca="false">'Смета Внутр'!D921</f>
        <v>0</v>
      </c>
      <c r="E915" s="2888"/>
      <c r="F915" s="2895" t="n">
        <f aca="false">'Смета Внутр'!H921</f>
        <v>0</v>
      </c>
    </row>
    <row r="916" customFormat="false" ht="14.5" hidden="false" customHeight="false" outlineLevel="0" collapsed="false">
      <c r="B916" s="2888" t="str">
        <f aca="false">'Смета Внутр'!B922</f>
        <v>Брус естественной влажности, 200*100мм</v>
      </c>
      <c r="C916" s="2889" t="str">
        <f aca="false">'Смета Внутр'!C922</f>
        <v>м3</v>
      </c>
      <c r="D916" s="2890" t="n">
        <f aca="false">'Смета Внутр'!D922</f>
        <v>0</v>
      </c>
      <c r="E916" s="2888"/>
      <c r="F916" s="2895" t="n">
        <f aca="false">'Смета Внутр'!H922</f>
        <v>0</v>
      </c>
    </row>
    <row r="917" customFormat="false" ht="14.5" hidden="false" customHeight="false" outlineLevel="0" collapsed="false">
      <c r="B917" s="2888" t="str">
        <f aca="false">'Смета Внутр'!B923</f>
        <v>Брус естественной влажности, 150*100мм</v>
      </c>
      <c r="C917" s="2889" t="str">
        <f aca="false">'Смета Внутр'!C923</f>
        <v>м3</v>
      </c>
      <c r="D917" s="2890" t="n">
        <f aca="false">'Смета Внутр'!D923</f>
        <v>0</v>
      </c>
      <c r="E917" s="2888"/>
      <c r="F917" s="2895" t="n">
        <f aca="false">'Смета Внутр'!H923</f>
        <v>0</v>
      </c>
    </row>
    <row r="918" customFormat="false" ht="14.5" hidden="false" customHeight="false" outlineLevel="0" collapsed="false">
      <c r="B918" s="2888" t="str">
        <f aca="false">'Смета Внутр'!B924</f>
        <v>Брус естественной влажности, 100*100мм</v>
      </c>
      <c r="C918" s="2889" t="str">
        <f aca="false">'Смета Внутр'!C924</f>
        <v>м3</v>
      </c>
      <c r="D918" s="2890" t="n">
        <f aca="false">'Смета Внутр'!D924</f>
        <v>0</v>
      </c>
      <c r="E918" s="2888"/>
      <c r="F918" s="2895" t="n">
        <f aca="false">'Смета Внутр'!H924</f>
        <v>0</v>
      </c>
    </row>
    <row r="919" customFormat="false" ht="14.5" hidden="false" customHeight="false" outlineLevel="0" collapsed="false">
      <c r="B919" s="2888" t="str">
        <f aca="false">'Смета Внутр'!B925</f>
        <v>Брус естественной влажности, 150*150мм</v>
      </c>
      <c r="C919" s="2889" t="str">
        <f aca="false">'Смета Внутр'!C925</f>
        <v>м3</v>
      </c>
      <c r="D919" s="2890" t="n">
        <f aca="false">'Смета Внутр'!D925</f>
        <v>0</v>
      </c>
      <c r="E919" s="2888"/>
      <c r="F919" s="2895" t="n">
        <f aca="false">'Смета Внутр'!H925</f>
        <v>0</v>
      </c>
    </row>
    <row r="920" customFormat="false" ht="14.5" hidden="false" customHeight="false" outlineLevel="0" collapsed="false">
      <c r="B920" s="2888" t="str">
        <f aca="false">'Смета Внутр'!B926</f>
        <v>Доска естественной влажности, 200*50мм</v>
      </c>
      <c r="C920" s="2889" t="str">
        <f aca="false">'Смета Внутр'!C926</f>
        <v>м3</v>
      </c>
      <c r="D920" s="2890" t="n">
        <f aca="false">'Смета Внутр'!D926</f>
        <v>0</v>
      </c>
      <c r="E920" s="2888"/>
      <c r="F920" s="2895" t="n">
        <f aca="false">'Смета Внутр'!H926</f>
        <v>0</v>
      </c>
    </row>
    <row r="921" customFormat="false" ht="14.5" hidden="false" customHeight="false" outlineLevel="0" collapsed="false">
      <c r="B921" s="2888" t="str">
        <f aca="false">'Смета Внутр'!B927</f>
        <v>Доска естественной влажности, 150*50мм</v>
      </c>
      <c r="C921" s="2889" t="str">
        <f aca="false">'Смета Внутр'!C927</f>
        <v>м3</v>
      </c>
      <c r="D921" s="2890" t="n">
        <f aca="false">'Смета Внутр'!D927</f>
        <v>0</v>
      </c>
      <c r="E921" s="2888"/>
      <c r="F921" s="2902" t="n">
        <f aca="false">'Смета Внутр'!H927</f>
        <v>0</v>
      </c>
    </row>
    <row r="922" customFormat="false" ht="14.5" hidden="false" customHeight="false" outlineLevel="0" collapsed="false">
      <c r="B922" s="2888" t="str">
        <f aca="false">'Смета Внутр'!B928</f>
        <v>Опора бруса</v>
      </c>
      <c r="C922" s="2889" t="str">
        <f aca="false">'Смета Внутр'!C928</f>
        <v>шт</v>
      </c>
      <c r="D922" s="2890" t="n">
        <f aca="false">'Смета Внутр'!D928</f>
        <v>0</v>
      </c>
      <c r="E922" s="2888"/>
      <c r="F922" s="2902" t="n">
        <f aca="false">'Смета Внутр'!H928</f>
        <v>0</v>
      </c>
    </row>
    <row r="923" customFormat="false" ht="14.5" hidden="false" customHeight="false" outlineLevel="0" collapsed="false">
      <c r="B923" s="2888" t="str">
        <f aca="false">'Смета Внутр'!B929</f>
        <v>Болты анкерные с гайкой 8,0 x 60</v>
      </c>
      <c r="C923" s="2889" t="str">
        <f aca="false">'Смета Внутр'!C929</f>
        <v>шт</v>
      </c>
      <c r="D923" s="2890" t="n">
        <f aca="false">'Смета Внутр'!D929</f>
        <v>0</v>
      </c>
      <c r="E923" s="2888"/>
      <c r="F923" s="2902" t="n">
        <f aca="false">'Смета Внутр'!H929</f>
        <v>0</v>
      </c>
    </row>
    <row r="924" customFormat="false" ht="14.5" hidden="false" customHeight="false" outlineLevel="0" collapsed="false">
      <c r="B924" s="2888" t="str">
        <f aca="false">'Смета Внутр'!B930</f>
        <v>Sip панель 2500*625*124мм</v>
      </c>
      <c r="C924" s="2889" t="str">
        <f aca="false">'Смета Внутр'!C930</f>
        <v>м2</v>
      </c>
      <c r="D924" s="2890" t="n">
        <f aca="false">'Смета Внутр'!D930</f>
        <v>0</v>
      </c>
      <c r="E924" s="2888"/>
      <c r="F924" s="2895" t="n">
        <f aca="false">'Смета Внутр'!H930</f>
        <v>0</v>
      </c>
    </row>
    <row r="925" customFormat="false" ht="14.5" hidden="false" customHeight="false" outlineLevel="0" collapsed="false">
      <c r="B925" s="2888" t="str">
        <f aca="false">'Смета Внутр'!B931</f>
        <v>Sip панель 2500*625*174мм</v>
      </c>
      <c r="C925" s="2889" t="str">
        <f aca="false">'Смета Внутр'!C931</f>
        <v>м2</v>
      </c>
      <c r="D925" s="2890" t="n">
        <f aca="false">'Смета Внутр'!D931</f>
        <v>0</v>
      </c>
      <c r="E925" s="2888"/>
      <c r="F925" s="2895" t="n">
        <f aca="false">'Смета Внутр'!H931</f>
        <v>0</v>
      </c>
    </row>
    <row r="926" customFormat="false" ht="14.5" hidden="false" customHeight="false" outlineLevel="0" collapsed="false">
      <c r="B926" s="2888" t="str">
        <f aca="false">'Смета Внутр'!B932</f>
        <v>Sip панель 2500*625*224мм</v>
      </c>
      <c r="C926" s="2889" t="str">
        <f aca="false">'Смета Внутр'!C932</f>
        <v>м2</v>
      </c>
      <c r="D926" s="2890" t="n">
        <f aca="false">'Смета Внутр'!D932</f>
        <v>0</v>
      </c>
      <c r="E926" s="2888"/>
      <c r="F926" s="2895" t="n">
        <f aca="false">'Смета Внутр'!H932</f>
        <v>0</v>
      </c>
    </row>
    <row r="927" customFormat="false" ht="14.5" hidden="false" customHeight="false" outlineLevel="0" collapsed="false">
      <c r="B927" s="2888" t="str">
        <f aca="false">'Смета Внутр'!B933</f>
        <v>Доска сухая, 100*50мм</v>
      </c>
      <c r="C927" s="2889" t="str">
        <f aca="false">'Смета Внутр'!C933</f>
        <v>м.п.</v>
      </c>
      <c r="D927" s="2890" t="n">
        <f aca="false">'Смета Внутр'!D933</f>
        <v>0</v>
      </c>
      <c r="E927" s="2888"/>
      <c r="F927" s="2895" t="n">
        <f aca="false">'Смета Внутр'!H933</f>
        <v>0</v>
      </c>
    </row>
    <row r="928" customFormat="false" ht="14.5" hidden="false" customHeight="false" outlineLevel="0" collapsed="false">
      <c r="B928" s="2888" t="str">
        <f aca="false">'Смета Внутр'!B934</f>
        <v>Доска сухая, 150*50мм</v>
      </c>
      <c r="C928" s="2889" t="str">
        <f aca="false">'Смета Внутр'!C934</f>
        <v>м.п.</v>
      </c>
      <c r="D928" s="2890" t="n">
        <f aca="false">'Смета Внутр'!D934</f>
        <v>0</v>
      </c>
      <c r="E928" s="2888"/>
      <c r="F928" s="2895" t="n">
        <f aca="false">'Смета Внутр'!H934</f>
        <v>0</v>
      </c>
    </row>
    <row r="929" customFormat="false" ht="14.5" hidden="false" customHeight="false" outlineLevel="0" collapsed="false">
      <c r="B929" s="2888" t="str">
        <f aca="false">'Смета Внутр'!B935</f>
        <v>Доска сухая, 200*50мм</v>
      </c>
      <c r="C929" s="2889" t="str">
        <f aca="false">'Смета Внутр'!C935</f>
        <v>м.п.</v>
      </c>
      <c r="D929" s="2890" t="n">
        <f aca="false">'Смета Внутр'!D935</f>
        <v>0</v>
      </c>
      <c r="E929" s="2888"/>
      <c r="F929" s="2895" t="n">
        <f aca="false">'Смета Внутр'!H935</f>
        <v>0</v>
      </c>
    </row>
    <row r="930" customFormat="false" ht="14.5" hidden="false" customHeight="false" outlineLevel="0" collapsed="false">
      <c r="B930" s="2888" t="str">
        <f aca="false">'Смета Внутр'!B936</f>
        <v>Пена монтажная, всесезонняя 800мл</v>
      </c>
      <c r="C930" s="2889" t="str">
        <f aca="false">'Смета Внутр'!C936</f>
        <v>шт</v>
      </c>
      <c r="D930" s="2890" t="n">
        <f aca="false">'Смета Внутр'!D936</f>
        <v>0</v>
      </c>
      <c r="E930" s="2888"/>
      <c r="F930" s="2895" t="n">
        <f aca="false">'Смета Внутр'!H936</f>
        <v>0</v>
      </c>
    </row>
    <row r="931" customFormat="false" ht="14.5" hidden="false" customHeight="false" outlineLevel="0" collapsed="false">
      <c r="B931" s="2888" t="str">
        <f aca="false">'Смета Внутр'!B937</f>
        <v>Гвозди строительные 3,5 x 90</v>
      </c>
      <c r="C931" s="2889" t="str">
        <f aca="false">'Смета Внутр'!C937</f>
        <v>шт</v>
      </c>
      <c r="D931" s="2890" t="n">
        <f aca="false">'Смета Внутр'!D937</f>
        <v>0</v>
      </c>
      <c r="E931" s="2888"/>
      <c r="F931" s="2895" t="n">
        <f aca="false">'Смета Внутр'!H937</f>
        <v>0</v>
      </c>
    </row>
    <row r="932" customFormat="false" ht="14.5" hidden="false" customHeight="false" outlineLevel="0" collapsed="false">
      <c r="B932" s="2888" t="str">
        <f aca="false">'Смета Внутр'!B938</f>
        <v>Саморезы 3,5 x 45</v>
      </c>
      <c r="C932" s="2889" t="str">
        <f aca="false">'Смета Внутр'!C938</f>
        <v>шт</v>
      </c>
      <c r="D932" s="2890" t="n">
        <f aca="false">'Смета Внутр'!D938</f>
        <v>0</v>
      </c>
      <c r="E932" s="2888"/>
      <c r="F932" s="2895" t="n">
        <f aca="false">'Смета Внутр'!H938</f>
        <v>0</v>
      </c>
    </row>
    <row r="933" customFormat="false" ht="14.5" hidden="false" customHeight="false" outlineLevel="0" collapsed="false">
      <c r="B933" s="2888" t="str">
        <f aca="false">'Смета Внутр'!B939</f>
        <v>Доска сухая, 200*50мм</v>
      </c>
      <c r="C933" s="2889" t="str">
        <f aca="false">'Смета Внутр'!C939</f>
        <v>м3</v>
      </c>
      <c r="D933" s="2890" t="n">
        <f aca="false">'Смета Внутр'!D939</f>
        <v>0</v>
      </c>
      <c r="E933" s="2888"/>
      <c r="F933" s="2895" t="n">
        <f aca="false">'Смета Внутр'!H939</f>
        <v>0</v>
      </c>
    </row>
    <row r="934" customFormat="false" ht="14.5" hidden="false" customHeight="false" outlineLevel="0" collapsed="false">
      <c r="B934" s="2888" t="str">
        <f aca="false">'Смета Внутр'!B940</f>
        <v>Доска сухая, 150*50мм</v>
      </c>
      <c r="C934" s="2889" t="str">
        <f aca="false">'Смета Внутр'!C940</f>
        <v>м3</v>
      </c>
      <c r="D934" s="2890" t="n">
        <f aca="false">'Смета Внутр'!D940</f>
        <v>0</v>
      </c>
      <c r="E934" s="2888"/>
      <c r="F934" s="2895" t="n">
        <f aca="false">'Смета Внутр'!H940</f>
        <v>0</v>
      </c>
    </row>
    <row r="935" customFormat="false" ht="14.5" hidden="false" customHeight="false" outlineLevel="0" collapsed="false">
      <c r="B935" s="2888" t="str">
        <f aca="false">'Смета Внутр'!B941</f>
        <v>Гвозди ершоные 2,8 х 90</v>
      </c>
      <c r="C935" s="2889" t="str">
        <f aca="false">'Смета Внутр'!C941</f>
        <v>кг</v>
      </c>
      <c r="D935" s="2890" t="n">
        <f aca="false">'Смета Внутр'!D941</f>
        <v>0</v>
      </c>
      <c r="E935" s="2888"/>
      <c r="F935" s="2895" t="n">
        <f aca="false">'Смета Внутр'!H941</f>
        <v>0</v>
      </c>
    </row>
    <row r="936" customFormat="false" ht="14.5" hidden="false" customHeight="false" outlineLevel="0" collapsed="false">
      <c r="B936" s="2888" t="str">
        <f aca="false">'Смета Внутр'!B942</f>
        <v>Доска сухая калиброванная, 190*45мм</v>
      </c>
      <c r="C936" s="2889" t="str">
        <f aca="false">'Смета Внутр'!C942</f>
        <v>м3</v>
      </c>
      <c r="D936" s="2890" t="n">
        <f aca="false">'Смета Внутр'!D942</f>
        <v>0</v>
      </c>
      <c r="E936" s="2888"/>
      <c r="F936" s="2895" t="n">
        <f aca="false">'Смета Внутр'!H942</f>
        <v>0</v>
      </c>
    </row>
    <row r="937" customFormat="false" ht="14.5" hidden="false" customHeight="false" outlineLevel="0" collapsed="false">
      <c r="B937" s="2888" t="str">
        <f aca="false">'Смета Внутр'!B943</f>
        <v>Доска сухая калиброванная, 145*45мм</v>
      </c>
      <c r="C937" s="2889" t="str">
        <f aca="false">'Смета Внутр'!C943</f>
        <v>м3</v>
      </c>
      <c r="D937" s="2890" t="n">
        <f aca="false">'Смета Внутр'!D943</f>
        <v>0</v>
      </c>
      <c r="E937" s="2888"/>
      <c r="F937" s="2895" t="n">
        <f aca="false">'Смета Внутр'!H943</f>
        <v>0</v>
      </c>
    </row>
    <row r="938" customFormat="false" ht="14.5" hidden="false" customHeight="false" outlineLevel="0" collapsed="false">
      <c r="B938" s="2888" t="str">
        <f aca="false">'Смета Внутр'!B944</f>
        <v>Гвозди ершоные 2,8 х 90</v>
      </c>
      <c r="C938" s="2889" t="str">
        <f aca="false">'Смета Внутр'!C944</f>
        <v>кг</v>
      </c>
      <c r="D938" s="2890" t="n">
        <f aca="false">'Смета Внутр'!D944</f>
        <v>0</v>
      </c>
      <c r="E938" s="2888"/>
      <c r="F938" s="2895" t="n">
        <f aca="false">'Смета Внутр'!H944</f>
        <v>0</v>
      </c>
    </row>
    <row r="939" customFormat="false" ht="14.5" hidden="false" customHeight="false" outlineLevel="0" collapsed="false">
      <c r="B939" s="2888" t="str">
        <f aca="false">'Смета Внутр'!B945</f>
        <v>Двутавровая деревянная балка, 400*65мм</v>
      </c>
      <c r="C939" s="2889" t="str">
        <f aca="false">'Смета Внутр'!C945</f>
        <v>м.п.</v>
      </c>
      <c r="D939" s="2890" t="n">
        <f aca="false">'Смета Внутр'!D945</f>
        <v>0</v>
      </c>
      <c r="E939" s="2888"/>
      <c r="F939" s="2895" t="n">
        <f aca="false">'Смета Внутр'!H945</f>
        <v>0</v>
      </c>
    </row>
    <row r="940" customFormat="false" ht="14.5" hidden="false" customHeight="false" outlineLevel="0" collapsed="false">
      <c r="B940" s="2888" t="str">
        <f aca="false">'Смета Внутр'!B946</f>
        <v>Двутавровая деревянная балка, 400*90мм</v>
      </c>
      <c r="C940" s="2889" t="str">
        <f aca="false">'Смета Внутр'!C946</f>
        <v>м.п.</v>
      </c>
      <c r="D940" s="2890" t="n">
        <f aca="false">'Смета Внутр'!D946</f>
        <v>0</v>
      </c>
      <c r="E940" s="2888"/>
      <c r="F940" s="2895" t="n">
        <f aca="false">'Смета Внутр'!H946</f>
        <v>0</v>
      </c>
    </row>
    <row r="941" customFormat="false" ht="14.5" hidden="false" customHeight="false" outlineLevel="0" collapsed="false">
      <c r="B941" s="2888" t="str">
        <f aca="false">'Смета Внутр'!B947</f>
        <v>Двутавровая деревянная балка, 350*65мм</v>
      </c>
      <c r="C941" s="2889" t="str">
        <f aca="false">'Смета Внутр'!C947</f>
        <v>м.п.</v>
      </c>
      <c r="D941" s="2890" t="n">
        <f aca="false">'Смета Внутр'!D947</f>
        <v>0</v>
      </c>
      <c r="E941" s="2888"/>
      <c r="F941" s="2895" t="n">
        <f aca="false">'Смета Внутр'!H947</f>
        <v>0</v>
      </c>
    </row>
    <row r="942" customFormat="false" ht="14.5" hidden="false" customHeight="false" outlineLevel="0" collapsed="false">
      <c r="B942" s="2888" t="str">
        <f aca="false">'Смета Внутр'!B948</f>
        <v>Двутавровая деревянная балка, 350*90мм</v>
      </c>
      <c r="C942" s="2889" t="str">
        <f aca="false">'Смета Внутр'!C948</f>
        <v>м.п.</v>
      </c>
      <c r="D942" s="2890" t="n">
        <f aca="false">'Смета Внутр'!D948</f>
        <v>0</v>
      </c>
      <c r="E942" s="2888"/>
      <c r="F942" s="2895" t="n">
        <f aca="false">'Смета Внутр'!H948</f>
        <v>0</v>
      </c>
    </row>
    <row r="943" customFormat="false" ht="14.5" hidden="false" customHeight="false" outlineLevel="0" collapsed="false">
      <c r="B943" s="2888" t="str">
        <f aca="false">'Смета Внутр'!B949</f>
        <v>Двутавровая деревянная балка, 300*65мм</v>
      </c>
      <c r="C943" s="2889" t="str">
        <f aca="false">'Смета Внутр'!C949</f>
        <v>м.п.</v>
      </c>
      <c r="D943" s="2890" t="n">
        <f aca="false">'Смета Внутр'!D949</f>
        <v>0</v>
      </c>
      <c r="E943" s="2888"/>
      <c r="F943" s="2895" t="n">
        <f aca="false">'Смета Внутр'!H949</f>
        <v>0</v>
      </c>
    </row>
    <row r="944" customFormat="false" ht="14.5" hidden="false" customHeight="false" outlineLevel="0" collapsed="false">
      <c r="B944" s="2888" t="str">
        <f aca="false">'Смета Внутр'!B950</f>
        <v>Двутавровая деревянная балка, 300*90мм</v>
      </c>
      <c r="C944" s="2889" t="str">
        <f aca="false">'Смета Внутр'!C950</f>
        <v>м.п.</v>
      </c>
      <c r="D944" s="2890" t="n">
        <f aca="false">'Смета Внутр'!D950</f>
        <v>0</v>
      </c>
      <c r="E944" s="2888"/>
      <c r="F944" s="2895" t="n">
        <f aca="false">'Смета Внутр'!H950</f>
        <v>0</v>
      </c>
    </row>
    <row r="945" customFormat="false" ht="14.5" hidden="false" customHeight="false" outlineLevel="0" collapsed="false">
      <c r="B945" s="2888" t="str">
        <f aca="false">'Смета Внутр'!B951</f>
        <v>Двутавровая деревянная балка, 240*65мм</v>
      </c>
      <c r="C945" s="2889" t="str">
        <f aca="false">'Смета Внутр'!C951</f>
        <v>м.п.</v>
      </c>
      <c r="D945" s="2890" t="n">
        <f aca="false">'Смета Внутр'!D951</f>
        <v>0</v>
      </c>
      <c r="E945" s="2888"/>
      <c r="F945" s="2895" t="n">
        <f aca="false">'Смета Внутр'!H951</f>
        <v>0</v>
      </c>
    </row>
    <row r="946" customFormat="false" ht="14.5" hidden="false" customHeight="false" outlineLevel="0" collapsed="false">
      <c r="B946" s="2888" t="str">
        <f aca="false">'Смета Внутр'!B952</f>
        <v>Двутавровая деревянная балка, 240*90мм</v>
      </c>
      <c r="C946" s="2889" t="str">
        <f aca="false">'Смета Внутр'!C952</f>
        <v>м.п.</v>
      </c>
      <c r="D946" s="2890" t="n">
        <f aca="false">'Смета Внутр'!D952</f>
        <v>0</v>
      </c>
      <c r="E946" s="2888"/>
      <c r="F946" s="2895" t="n">
        <f aca="false">'Смета Внутр'!H952</f>
        <v>0</v>
      </c>
    </row>
    <row r="947" customFormat="false" ht="14.5" hidden="false" customHeight="false" outlineLevel="0" collapsed="false">
      <c r="B947" s="2888" t="str">
        <f aca="false">'Смета Внутр'!B953</f>
        <v>Двутавровая деревянная балка, 200*65мм</v>
      </c>
      <c r="C947" s="2889" t="str">
        <f aca="false">'Смета Внутр'!C953</f>
        <v>м.п.</v>
      </c>
      <c r="D947" s="2890" t="n">
        <f aca="false">'Смета Внутр'!D953</f>
        <v>0</v>
      </c>
      <c r="E947" s="2888"/>
      <c r="F947" s="2895" t="n">
        <f aca="false">'Смета Внутр'!H953</f>
        <v>0</v>
      </c>
    </row>
    <row r="948" customFormat="false" ht="14.5" hidden="false" customHeight="false" outlineLevel="0" collapsed="false">
      <c r="B948" s="2888" t="str">
        <f aca="false">'Смета Внутр'!B954</f>
        <v>Двутавровая деревянная балка, 200*90мм</v>
      </c>
      <c r="C948" s="2889" t="str">
        <f aca="false">'Смета Внутр'!C954</f>
        <v>м.п.</v>
      </c>
      <c r="D948" s="2890" t="n">
        <f aca="false">'Смета Внутр'!D954</f>
        <v>0</v>
      </c>
      <c r="E948" s="2888"/>
      <c r="F948" s="2895" t="n">
        <f aca="false">'Смета Внутр'!H954</f>
        <v>0</v>
      </c>
    </row>
    <row r="949" customFormat="false" ht="14.5" hidden="false" customHeight="false" outlineLevel="0" collapsed="false">
      <c r="B949" s="2888" t="str">
        <f aca="false">'Смета Внутр'!B955</f>
        <v>Двутавровая деревянная балка, 150*65мм</v>
      </c>
      <c r="C949" s="2889" t="str">
        <f aca="false">'Смета Внутр'!C955</f>
        <v>м.п.</v>
      </c>
      <c r="D949" s="2890" t="n">
        <f aca="false">'Смета Внутр'!D955</f>
        <v>0</v>
      </c>
      <c r="E949" s="2888"/>
      <c r="F949" s="2895" t="n">
        <f aca="false">'Смета Внутр'!H955</f>
        <v>0</v>
      </c>
    </row>
    <row r="950" customFormat="false" ht="14.5" hidden="false" customHeight="false" outlineLevel="0" collapsed="false">
      <c r="B950" s="2888" t="str">
        <f aca="false">'Смета Внутр'!B956</f>
        <v>Двутавровая деревянная балка, 150*90мм</v>
      </c>
      <c r="C950" s="2889" t="str">
        <f aca="false">'Смета Внутр'!C956</f>
        <v>м.п.</v>
      </c>
      <c r="D950" s="2890" t="n">
        <f aca="false">'Смета Внутр'!D956</f>
        <v>0</v>
      </c>
      <c r="E950" s="2888"/>
      <c r="F950" s="2895" t="n">
        <f aca="false">'Смета Внутр'!H956</f>
        <v>0</v>
      </c>
    </row>
    <row r="951" customFormat="false" ht="14.5" hidden="false" customHeight="false" outlineLevel="0" collapsed="false">
      <c r="B951" s="2888" t="str">
        <f aca="false">'Смета Внутр'!B957</f>
        <v>Уголок усиленный 90х70х55х2,5</v>
      </c>
      <c r="C951" s="2889" t="str">
        <f aca="false">'Смета Внутр'!C957</f>
        <v>шт</v>
      </c>
      <c r="D951" s="2890" t="n">
        <f aca="false">'Смета Внутр'!D957</f>
        <v>0</v>
      </c>
      <c r="E951" s="2888"/>
      <c r="F951" s="2895" t="n">
        <f aca="false">'Смета Внутр'!H957</f>
        <v>0</v>
      </c>
    </row>
    <row r="952" customFormat="false" ht="14.5" hidden="false" customHeight="false" outlineLevel="0" collapsed="false">
      <c r="B952" s="2888" t="str">
        <f aca="false">'Смета Внутр'!B958</f>
        <v>Саморезы 3,5 x 55</v>
      </c>
      <c r="C952" s="2889" t="str">
        <f aca="false">'Смета Внутр'!C958</f>
        <v>шт</v>
      </c>
      <c r="D952" s="2890" t="n">
        <f aca="false">'Смета Внутр'!D958</f>
        <v>0</v>
      </c>
      <c r="E952" s="2888"/>
      <c r="F952" s="2895" t="n">
        <f aca="false">'Смета Внутр'!H958</f>
        <v>0</v>
      </c>
    </row>
    <row r="953" customFormat="false" ht="14.5" hidden="false" customHeight="false" outlineLevel="0" collapsed="false">
      <c r="B953" s="2888" t="str">
        <f aca="false">'Смета Внутр'!B959</f>
        <v>Нет</v>
      </c>
      <c r="C953" s="2889" t="str">
        <f aca="false">'Смета Внутр'!C959</f>
        <v>м3</v>
      </c>
      <c r="D953" s="2890" t="n">
        <f aca="false">'Смета Внутр'!D959</f>
        <v>0</v>
      </c>
      <c r="E953" s="2888"/>
      <c r="F953" s="2902" t="n">
        <f aca="false">'Смета Внутр'!H959</f>
        <v>0</v>
      </c>
    </row>
    <row r="954" customFormat="false" ht="14.5" hidden="false" customHeight="false" outlineLevel="0" collapsed="false">
      <c r="B954" s="2888" t="str">
        <f aca="false">'Смета Внутр'!B960</f>
        <v>нет ветроизоляции</v>
      </c>
      <c r="C954" s="2889" t="str">
        <f aca="false">'Смета Внутр'!C960</f>
        <v>м2</v>
      </c>
      <c r="D954" s="2890" t="n">
        <f aca="false">'Смета Внутр'!D960</f>
        <v>100</v>
      </c>
      <c r="E954" s="2888"/>
      <c r="F954" s="2902" t="n">
        <f aca="false">'Смета Внутр'!H960</f>
        <v>0</v>
      </c>
    </row>
    <row r="955" customFormat="false" ht="14.5" hidden="false" customHeight="false" outlineLevel="0" collapsed="false">
      <c r="B955" s="2888" t="str">
        <f aca="false">'Смета Внутр'!B961</f>
        <v>нет пароизоляции</v>
      </c>
      <c r="C955" s="2889" t="str">
        <f aca="false">'Смета Внутр'!C961</f>
        <v>м2</v>
      </c>
      <c r="D955" s="2890" t="n">
        <f aca="false">'Смета Внутр'!D961</f>
        <v>100</v>
      </c>
      <c r="E955" s="2888"/>
      <c r="F955" s="2902" t="n">
        <f aca="false">'Смета Внутр'!H961</f>
        <v>0</v>
      </c>
    </row>
    <row r="956" customFormat="false" ht="14.5" hidden="false" customHeight="false" outlineLevel="0" collapsed="false">
      <c r="B956" s="2888" t="str">
        <f aca="false">'Смета Внутр'!B962</f>
        <v>Плита перекрытия ЖБИ</v>
      </c>
      <c r="C956" s="2889" t="str">
        <f aca="false">'Смета Внутр'!C962</f>
        <v>м2</v>
      </c>
      <c r="D956" s="2890" t="n">
        <f aca="false">'Смета Внутр'!D962</f>
        <v>0</v>
      </c>
      <c r="E956" s="2888"/>
      <c r="F956" s="2895" t="n">
        <f aca="false">'Смета Внутр'!H962</f>
        <v>0</v>
      </c>
    </row>
    <row r="957" customFormat="false" ht="14.5" hidden="false" customHeight="false" outlineLevel="0" collapsed="false">
      <c r="B957" s="2888" t="str">
        <f aca="false">'Смета Внутр'!B963</f>
        <v>Раствор, м250</v>
      </c>
      <c r="C957" s="2889" t="str">
        <f aca="false">'Смета Внутр'!C963</f>
        <v>м3</v>
      </c>
      <c r="D957" s="2890" t="n">
        <f aca="false">'Смета Внутр'!D963</f>
        <v>0</v>
      </c>
      <c r="E957" s="2888"/>
      <c r="F957" s="2895" t="n">
        <f aca="false">'Смета Внутр'!H963</f>
        <v>0</v>
      </c>
    </row>
    <row r="958" customFormat="false" ht="14.5" hidden="false" customHeight="false" outlineLevel="0" collapsed="false">
      <c r="B958" s="2888" t="str">
        <f aca="false">'Смета Внутр'!B964</f>
        <v>Монолит, бетон, 300мм, 2 слоя</v>
      </c>
      <c r="C958" s="2889" t="str">
        <f aca="false">'Смета Внутр'!C964</f>
        <v>м2</v>
      </c>
      <c r="D958" s="2890" t="n">
        <f aca="false">'Смета Внутр'!D964</f>
        <v>0</v>
      </c>
      <c r="E958" s="2888"/>
      <c r="F958" s="2895" t="n">
        <f aca="false">'Смета Внутр'!H964</f>
        <v>0</v>
      </c>
    </row>
    <row r="959" customFormat="false" ht="14.5" hidden="false" customHeight="false" outlineLevel="0" collapsed="false">
      <c r="B959" s="2888" t="str">
        <f aca="false">'Смета Внутр'!B965</f>
        <v>Монолит, бетон, 300мм, 1 слой</v>
      </c>
      <c r="C959" s="2889" t="str">
        <f aca="false">'Смета Внутр'!C965</f>
        <v>м2</v>
      </c>
      <c r="D959" s="2890" t="n">
        <f aca="false">'Смета Внутр'!D965</f>
        <v>0</v>
      </c>
      <c r="E959" s="2888"/>
      <c r="F959" s="2895" t="n">
        <f aca="false">'Смета Внутр'!H965</f>
        <v>0</v>
      </c>
    </row>
    <row r="960" customFormat="false" ht="14.5" hidden="false" customHeight="false" outlineLevel="0" collapsed="false">
      <c r="B960" s="2888" t="str">
        <f aca="false">'Смета Внутр'!B966</f>
        <v>Монолит, бетон, 250мм, 2 слоя</v>
      </c>
      <c r="C960" s="2889" t="str">
        <f aca="false">'Смета Внутр'!C966</f>
        <v>м2</v>
      </c>
      <c r="D960" s="2890" t="n">
        <f aca="false">'Смета Внутр'!D966</f>
        <v>0</v>
      </c>
      <c r="E960" s="2888"/>
      <c r="F960" s="2895" t="n">
        <f aca="false">'Смета Внутр'!H966</f>
        <v>0</v>
      </c>
    </row>
    <row r="961" customFormat="false" ht="14.5" hidden="false" customHeight="false" outlineLevel="0" collapsed="false">
      <c r="B961" s="2888" t="str">
        <f aca="false">'Смета Внутр'!B967</f>
        <v>Монолит, бетон, 250мм, 1 слой</v>
      </c>
      <c r="C961" s="2889" t="str">
        <f aca="false">'Смета Внутр'!C967</f>
        <v>м2</v>
      </c>
      <c r="D961" s="2890" t="n">
        <f aca="false">'Смета Внутр'!D967</f>
        <v>0</v>
      </c>
      <c r="E961" s="2888"/>
      <c r="F961" s="2895" t="n">
        <f aca="false">'Смета Внутр'!H967</f>
        <v>0</v>
      </c>
    </row>
    <row r="962" customFormat="false" ht="14.5" hidden="false" customHeight="false" outlineLevel="0" collapsed="false">
      <c r="B962" s="2888" t="str">
        <f aca="false">'Смета Внутр'!B968</f>
        <v>Монолит, бетон, 200мм, 2 слоя</v>
      </c>
      <c r="C962" s="2889" t="str">
        <f aca="false">'Смета Внутр'!C968</f>
        <v>м2</v>
      </c>
      <c r="D962" s="2890" t="n">
        <f aca="false">'Смета Внутр'!D968</f>
        <v>0</v>
      </c>
      <c r="E962" s="2888"/>
      <c r="F962" s="2895" t="n">
        <f aca="false">'Смета Внутр'!H968</f>
        <v>0</v>
      </c>
    </row>
    <row r="963" customFormat="false" ht="14.5" hidden="false" customHeight="false" outlineLevel="0" collapsed="false">
      <c r="B963" s="2888" t="str">
        <f aca="false">'Смета Внутр'!B969</f>
        <v>Монолит, бетон, 200мм, 1 слой</v>
      </c>
      <c r="C963" s="2889" t="str">
        <f aca="false">'Смета Внутр'!C969</f>
        <v>м2</v>
      </c>
      <c r="D963" s="2890" t="n">
        <f aca="false">'Смета Внутр'!D969</f>
        <v>0</v>
      </c>
      <c r="E963" s="2888"/>
      <c r="F963" s="2895" t="n">
        <f aca="false">'Смета Внутр'!H969</f>
        <v>0</v>
      </c>
    </row>
    <row r="964" customFormat="false" ht="14.5" hidden="false" customHeight="false" outlineLevel="0" collapsed="false">
      <c r="B964" s="2888" t="str">
        <f aca="false">'Смета Внутр'!B970</f>
        <v>Монолит, бетон, 150мм, 2 слоя</v>
      </c>
      <c r="C964" s="2889" t="str">
        <f aca="false">'Смета Внутр'!C970</f>
        <v>м2</v>
      </c>
      <c r="D964" s="2890" t="n">
        <f aca="false">'Смета Внутр'!D970</f>
        <v>0</v>
      </c>
      <c r="E964" s="2888"/>
      <c r="F964" s="2895" t="n">
        <f aca="false">'Смета Внутр'!H970</f>
        <v>0</v>
      </c>
    </row>
    <row r="965" customFormat="false" ht="14.5" hidden="false" customHeight="false" outlineLevel="0" collapsed="false">
      <c r="B965" s="2888" t="str">
        <f aca="false">'Смета Внутр'!B971</f>
        <v>Монолит, бетон, 150мм, 1 слой</v>
      </c>
      <c r="C965" s="2889" t="str">
        <f aca="false">'Смета Внутр'!C971</f>
        <v>м2</v>
      </c>
      <c r="D965" s="2890" t="n">
        <f aca="false">'Смета Внутр'!D971</f>
        <v>0</v>
      </c>
      <c r="E965" s="2888"/>
      <c r="F965" s="2895" t="n">
        <f aca="false">'Смета Внутр'!H971</f>
        <v>0</v>
      </c>
    </row>
    <row r="966" customFormat="false" ht="14.5" hidden="false" customHeight="false" outlineLevel="0" collapsed="false">
      <c r="B966" s="2888" t="str">
        <f aca="false">'Смета Внутр'!B972</f>
        <v>доска для опалубки монолит перекрытий</v>
      </c>
      <c r="C966" s="2889" t="str">
        <f aca="false">'Смета Внутр'!C972</f>
        <v>м3</v>
      </c>
      <c r="D966" s="2890" t="n">
        <f aca="false">'Смета Внутр'!D972</f>
        <v>0</v>
      </c>
      <c r="E966" s="2888"/>
      <c r="F966" s="2895" t="n">
        <f aca="false">'Смета Внутр'!H972</f>
        <v>0</v>
      </c>
    </row>
    <row r="967" customFormat="false" ht="14.5" hidden="false" customHeight="false" outlineLevel="0" collapsed="false">
      <c r="B967" s="2888" t="str">
        <f aca="false">'Смета Внутр'!B973</f>
        <v>стойки под опалубку перекрытий</v>
      </c>
      <c r="C967" s="2889" t="str">
        <f aca="false">'Смета Внутр'!C973</f>
        <v>шт</v>
      </c>
      <c r="D967" s="2890" t="n">
        <f aca="false">'Смета Внутр'!D973</f>
        <v>0</v>
      </c>
      <c r="E967" s="2888"/>
      <c r="F967" s="2895" t="n">
        <f aca="false">'Смета Внутр'!H973</f>
        <v>0</v>
      </c>
    </row>
    <row r="968" customFormat="false" ht="14.5" hidden="false" customHeight="false" outlineLevel="0" collapsed="false">
      <c r="B968" s="2888" t="str">
        <f aca="false">'Смета Внутр'!B974</f>
        <v>Пленка гидроизоляционная</v>
      </c>
      <c r="C968" s="2889" t="str">
        <f aca="false">'Смета Внутр'!C974</f>
        <v>м2</v>
      </c>
      <c r="D968" s="2890" t="n">
        <f aca="false">'Смета Внутр'!D974</f>
        <v>0</v>
      </c>
      <c r="E968" s="2888"/>
      <c r="F968" s="2895" t="n">
        <f aca="false">'Смета Внутр'!H974</f>
        <v>0</v>
      </c>
    </row>
    <row r="969" customFormat="false" ht="14.5" hidden="false" customHeight="false" outlineLevel="0" collapsed="false">
      <c r="B969" s="2888" t="str">
        <f aca="false">'Смета Внутр'!B975</f>
        <v>Арматура М10</v>
      </c>
      <c r="C969" s="2889" t="str">
        <f aca="false">'Смета Внутр'!C975</f>
        <v>м.п.</v>
      </c>
      <c r="D969" s="2890" t="n">
        <f aca="false">'Смета Внутр'!D975</f>
        <v>0</v>
      </c>
      <c r="E969" s="2888"/>
      <c r="F969" s="2895" t="n">
        <f aca="false">'Смета Внутр'!H975</f>
        <v>0</v>
      </c>
    </row>
    <row r="970" customFormat="false" ht="14.5" hidden="false" customHeight="false" outlineLevel="0" collapsed="false">
      <c r="B970" s="2888" t="str">
        <f aca="false">'Смета Внутр'!B976</f>
        <v>Вязальная проволока</v>
      </c>
      <c r="C970" s="2889" t="str">
        <f aca="false">'Смета Внутр'!C976</f>
        <v>кг</v>
      </c>
      <c r="D970" s="2890" t="n">
        <f aca="false">'Смета Внутр'!D976</f>
        <v>0</v>
      </c>
      <c r="E970" s="2888"/>
      <c r="F970" s="2895" t="n">
        <f aca="false">'Смета Внутр'!H976</f>
        <v>0</v>
      </c>
    </row>
    <row r="971" customFormat="false" ht="14.5" hidden="false" customHeight="false" outlineLevel="0" collapsed="false">
      <c r="B971" s="2888" t="str">
        <f aca="false">'Смета Внутр'!B977</f>
        <v>Подставка под арматурный каркас</v>
      </c>
      <c r="C971" s="2889" t="str">
        <f aca="false">'Смета Внутр'!C977</f>
        <v>шт</v>
      </c>
      <c r="D971" s="2890" t="n">
        <f aca="false">'Смета Внутр'!D977</f>
        <v>0</v>
      </c>
      <c r="E971" s="2888"/>
      <c r="F971" s="2895" t="n">
        <f aca="false">'Смета Внутр'!H977</f>
        <v>0</v>
      </c>
    </row>
    <row r="972" customFormat="false" ht="14.5" hidden="false" customHeight="false" outlineLevel="0" collapsed="false">
      <c r="B972" s="2888" t="str">
        <f aca="false">'Смета Внутр'!B978</f>
        <v>бетон, м350</v>
      </c>
      <c r="C972" s="2889" t="str">
        <f aca="false">'Смета Внутр'!C978</f>
        <v>м3</v>
      </c>
      <c r="D972" s="2890" t="n">
        <f aca="false">'Смета Внутр'!D978</f>
        <v>0</v>
      </c>
      <c r="E972" s="2888"/>
      <c r="F972" s="2895" t="n">
        <f aca="false">'Смета Внутр'!H978</f>
        <v>0</v>
      </c>
    </row>
    <row r="973" customFormat="false" ht="14.5" hidden="false" customHeight="false" outlineLevel="0" collapsed="false">
      <c r="B973" s="2888" t="str">
        <f aca="false">'Смета Внутр'!B979</f>
        <v>Брус естественной влажности, 200*100мм</v>
      </c>
      <c r="C973" s="2889" t="str">
        <f aca="false">'Смета Внутр'!C979</f>
        <v>м3</v>
      </c>
      <c r="D973" s="2890" t="n">
        <f aca="false">'Смета Внутр'!D979</f>
        <v>0</v>
      </c>
      <c r="E973" s="2888"/>
      <c r="F973" s="2895" t="n">
        <f aca="false">'Смета Внутр'!H979</f>
        <v>0</v>
      </c>
    </row>
    <row r="974" customFormat="false" ht="14.5" hidden="false" customHeight="false" outlineLevel="0" collapsed="false">
      <c r="B974" s="2888" t="str">
        <f aca="false">'Смета Внутр'!B980</f>
        <v>Брус естественной влажности, 150*100мм</v>
      </c>
      <c r="C974" s="2889" t="str">
        <f aca="false">'Смета Внутр'!C980</f>
        <v>м3</v>
      </c>
      <c r="D974" s="2890" t="n">
        <f aca="false">'Смета Внутр'!D980</f>
        <v>0</v>
      </c>
      <c r="E974" s="2888"/>
      <c r="F974" s="2895" t="n">
        <f aca="false">'Смета Внутр'!H980</f>
        <v>0</v>
      </c>
    </row>
    <row r="975" customFormat="false" ht="14.5" hidden="false" customHeight="false" outlineLevel="0" collapsed="false">
      <c r="B975" s="2888" t="str">
        <f aca="false">'Смета Внутр'!B981</f>
        <v>Брус естественной влажности, 100*100мм</v>
      </c>
      <c r="C975" s="2889" t="str">
        <f aca="false">'Смета Внутр'!C981</f>
        <v>м3</v>
      </c>
      <c r="D975" s="2890" t="n">
        <f aca="false">'Смета Внутр'!D981</f>
        <v>0</v>
      </c>
      <c r="E975" s="2888"/>
      <c r="F975" s="2895" t="n">
        <f aca="false">'Смета Внутр'!H981</f>
        <v>0</v>
      </c>
    </row>
    <row r="976" customFormat="false" ht="14.5" hidden="false" customHeight="false" outlineLevel="0" collapsed="false">
      <c r="B976" s="2888" t="str">
        <f aca="false">'Смета Внутр'!B982</f>
        <v>Брус естественной влажности, 150*150мм</v>
      </c>
      <c r="C976" s="2889" t="str">
        <f aca="false">'Смета Внутр'!C982</f>
        <v>м3</v>
      </c>
      <c r="D976" s="2890" t="n">
        <f aca="false">'Смета Внутр'!D982</f>
        <v>0</v>
      </c>
      <c r="E976" s="2888"/>
      <c r="F976" s="2895" t="n">
        <f aca="false">'Смета Внутр'!H982</f>
        <v>0</v>
      </c>
    </row>
    <row r="977" customFormat="false" ht="14.5" hidden="false" customHeight="false" outlineLevel="0" collapsed="false">
      <c r="B977" s="2888" t="str">
        <f aca="false">'Смета Внутр'!B983</f>
        <v>Доска естественной влажности, 200*50мм</v>
      </c>
      <c r="C977" s="2889" t="str">
        <f aca="false">'Смета Внутр'!C983</f>
        <v>м3</v>
      </c>
      <c r="D977" s="2890" t="n">
        <f aca="false">'Смета Внутр'!D983</f>
        <v>0</v>
      </c>
      <c r="E977" s="2888"/>
      <c r="F977" s="2895" t="n">
        <f aca="false">'Смета Внутр'!H983</f>
        <v>0</v>
      </c>
    </row>
    <row r="978" customFormat="false" ht="14.5" hidden="false" customHeight="false" outlineLevel="0" collapsed="false">
      <c r="B978" s="2888" t="str">
        <f aca="false">'Смета Внутр'!B984</f>
        <v>Доска естественной влажности, 150*50мм</v>
      </c>
      <c r="C978" s="2889" t="str">
        <f aca="false">'Смета Внутр'!C984</f>
        <v>м3</v>
      </c>
      <c r="D978" s="2890" t="n">
        <f aca="false">'Смета Внутр'!D984</f>
        <v>0</v>
      </c>
      <c r="E978" s="2888"/>
      <c r="F978" s="2902" t="n">
        <f aca="false">'Смета Внутр'!H984</f>
        <v>0</v>
      </c>
    </row>
    <row r="979" customFormat="false" ht="14.5" hidden="false" customHeight="false" outlineLevel="0" collapsed="false">
      <c r="B979" s="2888" t="str">
        <f aca="false">'Смета Внутр'!B985</f>
        <v>Опора бруса</v>
      </c>
      <c r="C979" s="2889" t="str">
        <f aca="false">'Смета Внутр'!C985</f>
        <v>шт</v>
      </c>
      <c r="D979" s="2890" t="n">
        <f aca="false">'Смета Внутр'!D985</f>
        <v>0</v>
      </c>
      <c r="E979" s="2888"/>
      <c r="F979" s="2902" t="n">
        <f aca="false">'Смета Внутр'!H985</f>
        <v>0</v>
      </c>
    </row>
    <row r="980" customFormat="false" ht="14.5" hidden="false" customHeight="false" outlineLevel="0" collapsed="false">
      <c r="B980" s="2888" t="str">
        <f aca="false">'Смета Внутр'!B986</f>
        <v>Болты анкерные с гайкой 8,0 x 60</v>
      </c>
      <c r="C980" s="2889" t="str">
        <f aca="false">'Смета Внутр'!C986</f>
        <v>шт</v>
      </c>
      <c r="D980" s="2890" t="n">
        <f aca="false">'Смета Внутр'!D986</f>
        <v>0</v>
      </c>
      <c r="E980" s="2888"/>
      <c r="F980" s="2902" t="n">
        <f aca="false">'Смета Внутр'!H986</f>
        <v>0</v>
      </c>
    </row>
    <row r="981" customFormat="false" ht="14.5" hidden="false" customHeight="false" outlineLevel="0" collapsed="false">
      <c r="B981" s="2888" t="str">
        <f aca="false">'Смета Внутр'!B987</f>
        <v>Sip панель 2500*625*124мм</v>
      </c>
      <c r="C981" s="2889" t="str">
        <f aca="false">'Смета Внутр'!C987</f>
        <v>м2</v>
      </c>
      <c r="D981" s="2890" t="n">
        <f aca="false">'Смета Внутр'!D987</f>
        <v>0</v>
      </c>
      <c r="E981" s="2888"/>
      <c r="F981" s="2895" t="n">
        <f aca="false">'Смета Внутр'!H987</f>
        <v>0</v>
      </c>
    </row>
    <row r="982" customFormat="false" ht="14.5" hidden="false" customHeight="false" outlineLevel="0" collapsed="false">
      <c r="B982" s="2888" t="str">
        <f aca="false">'Смета Внутр'!B988</f>
        <v>Sip панель 2500*625*174мм</v>
      </c>
      <c r="C982" s="2889" t="str">
        <f aca="false">'Смета Внутр'!C988</f>
        <v>м2</v>
      </c>
      <c r="D982" s="2890" t="n">
        <f aca="false">'Смета Внутр'!D988</f>
        <v>0</v>
      </c>
      <c r="E982" s="2888"/>
      <c r="F982" s="2895" t="n">
        <f aca="false">'Смета Внутр'!H988</f>
        <v>0</v>
      </c>
    </row>
    <row r="983" customFormat="false" ht="14.5" hidden="false" customHeight="false" outlineLevel="0" collapsed="false">
      <c r="B983" s="2888" t="str">
        <f aca="false">'Смета Внутр'!B989</f>
        <v>Sip панель 2500*625*224мм</v>
      </c>
      <c r="C983" s="2889" t="str">
        <f aca="false">'Смета Внутр'!C989</f>
        <v>м2</v>
      </c>
      <c r="D983" s="2890" t="n">
        <f aca="false">'Смета Внутр'!D989</f>
        <v>0</v>
      </c>
      <c r="E983" s="2888"/>
      <c r="F983" s="2895" t="n">
        <f aca="false">'Смета Внутр'!H989</f>
        <v>0</v>
      </c>
    </row>
    <row r="984" customFormat="false" ht="14.5" hidden="false" customHeight="false" outlineLevel="0" collapsed="false">
      <c r="B984" s="2888" t="str">
        <f aca="false">'Смета Внутр'!B990</f>
        <v>Доска сухая, 100*50мм</v>
      </c>
      <c r="C984" s="2889" t="str">
        <f aca="false">'Смета Внутр'!C990</f>
        <v>м.п.</v>
      </c>
      <c r="D984" s="2890" t="n">
        <f aca="false">'Смета Внутр'!D990</f>
        <v>0</v>
      </c>
      <c r="E984" s="2888"/>
      <c r="F984" s="2895" t="n">
        <f aca="false">'Смета Внутр'!H990</f>
        <v>0</v>
      </c>
    </row>
    <row r="985" customFormat="false" ht="14.5" hidden="false" customHeight="false" outlineLevel="0" collapsed="false">
      <c r="B985" s="2888" t="str">
        <f aca="false">'Смета Внутр'!B991</f>
        <v>Доска сухая, 150*50мм</v>
      </c>
      <c r="C985" s="2889" t="str">
        <f aca="false">'Смета Внутр'!C991</f>
        <v>м.п.</v>
      </c>
      <c r="D985" s="2890" t="n">
        <f aca="false">'Смета Внутр'!D991</f>
        <v>0</v>
      </c>
      <c r="E985" s="2888"/>
      <c r="F985" s="2895" t="n">
        <f aca="false">'Смета Внутр'!H991</f>
        <v>0</v>
      </c>
    </row>
    <row r="986" customFormat="false" ht="14.5" hidden="false" customHeight="false" outlineLevel="0" collapsed="false">
      <c r="B986" s="2888" t="str">
        <f aca="false">'Смета Внутр'!B992</f>
        <v>Доска сухая, 200*50мм</v>
      </c>
      <c r="C986" s="2889" t="str">
        <f aca="false">'Смета Внутр'!C992</f>
        <v>м.п.</v>
      </c>
      <c r="D986" s="2890" t="n">
        <f aca="false">'Смета Внутр'!D992</f>
        <v>0</v>
      </c>
      <c r="E986" s="2888"/>
      <c r="F986" s="2895" t="n">
        <f aca="false">'Смета Внутр'!H992</f>
        <v>0</v>
      </c>
    </row>
    <row r="987" customFormat="false" ht="14.5" hidden="false" customHeight="false" outlineLevel="0" collapsed="false">
      <c r="B987" s="2888" t="str">
        <f aca="false">'Смета Внутр'!B993</f>
        <v>Пена монтажная, всесезонняя 800мл</v>
      </c>
      <c r="C987" s="2889" t="str">
        <f aca="false">'Смета Внутр'!C993</f>
        <v>шт</v>
      </c>
      <c r="D987" s="2890" t="n">
        <f aca="false">'Смета Внутр'!D993</f>
        <v>0</v>
      </c>
      <c r="E987" s="2888"/>
      <c r="F987" s="2895" t="n">
        <f aca="false">'Смета Внутр'!H993</f>
        <v>0</v>
      </c>
    </row>
    <row r="988" customFormat="false" ht="14.5" hidden="false" customHeight="false" outlineLevel="0" collapsed="false">
      <c r="B988" s="2888" t="str">
        <f aca="false">'Смета Внутр'!B994</f>
        <v>Гвозди строительные 3,5 x 90</v>
      </c>
      <c r="C988" s="2889" t="str">
        <f aca="false">'Смета Внутр'!C994</f>
        <v>шт</v>
      </c>
      <c r="D988" s="2890" t="n">
        <f aca="false">'Смета Внутр'!D994</f>
        <v>0</v>
      </c>
      <c r="E988" s="2888"/>
      <c r="F988" s="2895" t="n">
        <f aca="false">'Смета Внутр'!H994</f>
        <v>0</v>
      </c>
    </row>
    <row r="989" customFormat="false" ht="14.5" hidden="false" customHeight="false" outlineLevel="0" collapsed="false">
      <c r="B989" s="2888" t="str">
        <f aca="false">'Смета Внутр'!B995</f>
        <v>Саморезы 3,5 x 45</v>
      </c>
      <c r="C989" s="2889" t="str">
        <f aca="false">'Смета Внутр'!C995</f>
        <v>шт</v>
      </c>
      <c r="D989" s="2890" t="n">
        <f aca="false">'Смета Внутр'!D995</f>
        <v>0</v>
      </c>
      <c r="E989" s="2888"/>
      <c r="F989" s="2895" t="n">
        <f aca="false">'Смета Внутр'!H995</f>
        <v>0</v>
      </c>
    </row>
    <row r="990" customFormat="false" ht="14.5" hidden="false" customHeight="false" outlineLevel="0" collapsed="false">
      <c r="B990" s="2888" t="str">
        <f aca="false">'Смета Внутр'!B996</f>
        <v>Доска сухая, 200*50мм</v>
      </c>
      <c r="C990" s="2889" t="str">
        <f aca="false">'Смета Внутр'!C996</f>
        <v>м3</v>
      </c>
      <c r="D990" s="2890" t="n">
        <f aca="false">'Смета Внутр'!D996</f>
        <v>0</v>
      </c>
      <c r="E990" s="2888"/>
      <c r="F990" s="2895" t="n">
        <f aca="false">'Смета Внутр'!H996</f>
        <v>0</v>
      </c>
    </row>
    <row r="991" customFormat="false" ht="14.5" hidden="false" customHeight="false" outlineLevel="0" collapsed="false">
      <c r="B991" s="2888" t="str">
        <f aca="false">'Смета Внутр'!B997</f>
        <v>Доска сухая, 150*50мм</v>
      </c>
      <c r="C991" s="2889" t="str">
        <f aca="false">'Смета Внутр'!C997</f>
        <v>м3</v>
      </c>
      <c r="D991" s="2890" t="n">
        <f aca="false">'Смета Внутр'!D997</f>
        <v>0</v>
      </c>
      <c r="E991" s="2888"/>
      <c r="F991" s="2895" t="n">
        <f aca="false">'Смета Внутр'!H997</f>
        <v>0</v>
      </c>
    </row>
    <row r="992" customFormat="false" ht="14.5" hidden="false" customHeight="false" outlineLevel="0" collapsed="false">
      <c r="B992" s="2888" t="str">
        <f aca="false">'Смета Внутр'!B998</f>
        <v>Гвозди ершоные 2,8 х 90</v>
      </c>
      <c r="C992" s="2889" t="str">
        <f aca="false">'Смета Внутр'!C998</f>
        <v>кг</v>
      </c>
      <c r="D992" s="2890" t="n">
        <f aca="false">'Смета Внутр'!D998</f>
        <v>0</v>
      </c>
      <c r="E992" s="2888"/>
      <c r="F992" s="2895" t="n">
        <f aca="false">'Смета Внутр'!H998</f>
        <v>0</v>
      </c>
    </row>
    <row r="993" customFormat="false" ht="14.5" hidden="false" customHeight="false" outlineLevel="0" collapsed="false">
      <c r="B993" s="2888" t="str">
        <f aca="false">'Смета Внутр'!B999</f>
        <v>Доска сухая калиброванная, 190*45мм</v>
      </c>
      <c r="C993" s="2889" t="str">
        <f aca="false">'Смета Внутр'!C999</f>
        <v>м3</v>
      </c>
      <c r="D993" s="2890" t="n">
        <f aca="false">'Смета Внутр'!D999</f>
        <v>0</v>
      </c>
      <c r="E993" s="2888"/>
      <c r="F993" s="2895" t="n">
        <f aca="false">'Смета Внутр'!H999</f>
        <v>0</v>
      </c>
    </row>
    <row r="994" customFormat="false" ht="14.5" hidden="false" customHeight="false" outlineLevel="0" collapsed="false">
      <c r="B994" s="2888" t="str">
        <f aca="false">'Смета Внутр'!B1000</f>
        <v>Доска сухая калиброванная, 145*45мм</v>
      </c>
      <c r="C994" s="2889" t="str">
        <f aca="false">'Смета Внутр'!C1000</f>
        <v>м3</v>
      </c>
      <c r="D994" s="2890" t="n">
        <f aca="false">'Смета Внутр'!D1000</f>
        <v>0</v>
      </c>
      <c r="E994" s="2888"/>
      <c r="F994" s="2895" t="n">
        <f aca="false">'Смета Внутр'!H1000</f>
        <v>0</v>
      </c>
    </row>
    <row r="995" customFormat="false" ht="14.5" hidden="false" customHeight="false" outlineLevel="0" collapsed="false">
      <c r="B995" s="2888" t="str">
        <f aca="false">'Смета Внутр'!B1001</f>
        <v>Гвозди ершоные 2,8 х 90</v>
      </c>
      <c r="C995" s="2889" t="str">
        <f aca="false">'Смета Внутр'!C1001</f>
        <v>кг</v>
      </c>
      <c r="D995" s="2890" t="n">
        <f aca="false">'Смета Внутр'!D1001</f>
        <v>0</v>
      </c>
      <c r="E995" s="2888"/>
      <c r="F995" s="2895" t="n">
        <f aca="false">'Смета Внутр'!H1001</f>
        <v>0</v>
      </c>
    </row>
    <row r="996" customFormat="false" ht="14.5" hidden="false" customHeight="false" outlineLevel="0" collapsed="false">
      <c r="B996" s="2888" t="str">
        <f aca="false">'Смета Внутр'!B1002</f>
        <v>Двутавровая деревянная балка, 400*65мм</v>
      </c>
      <c r="C996" s="2889" t="str">
        <f aca="false">'Смета Внутр'!C1002</f>
        <v>м.п.</v>
      </c>
      <c r="D996" s="2890" t="n">
        <f aca="false">'Смета Внутр'!D1002</f>
        <v>0</v>
      </c>
      <c r="E996" s="2888"/>
      <c r="F996" s="2895" t="n">
        <f aca="false">'Смета Внутр'!H1002</f>
        <v>0</v>
      </c>
    </row>
    <row r="997" customFormat="false" ht="14.5" hidden="false" customHeight="false" outlineLevel="0" collapsed="false">
      <c r="B997" s="2888" t="str">
        <f aca="false">'Смета Внутр'!B1003</f>
        <v>Двутавровая деревянная балка, 400*90мм</v>
      </c>
      <c r="C997" s="2889" t="str">
        <f aca="false">'Смета Внутр'!C1003</f>
        <v>м.п.</v>
      </c>
      <c r="D997" s="2890" t="n">
        <f aca="false">'Смета Внутр'!D1003</f>
        <v>0</v>
      </c>
      <c r="E997" s="2888"/>
      <c r="F997" s="2895" t="n">
        <f aca="false">'Смета Внутр'!H1003</f>
        <v>0</v>
      </c>
    </row>
    <row r="998" customFormat="false" ht="14.5" hidden="false" customHeight="false" outlineLevel="0" collapsed="false">
      <c r="B998" s="2888" t="str">
        <f aca="false">'Смета Внутр'!B1004</f>
        <v>Двутавровая деревянная балка, 350*65мм</v>
      </c>
      <c r="C998" s="2889" t="str">
        <f aca="false">'Смета Внутр'!C1004</f>
        <v>м.п.</v>
      </c>
      <c r="D998" s="2890" t="n">
        <f aca="false">'Смета Внутр'!D1004</f>
        <v>0</v>
      </c>
      <c r="E998" s="2888"/>
      <c r="F998" s="2895" t="n">
        <f aca="false">'Смета Внутр'!H1004</f>
        <v>0</v>
      </c>
    </row>
    <row r="999" customFormat="false" ht="14.5" hidden="false" customHeight="false" outlineLevel="0" collapsed="false">
      <c r="B999" s="2888" t="str">
        <f aca="false">'Смета Внутр'!B1005</f>
        <v>Двутавровая деревянная балка, 350*90мм</v>
      </c>
      <c r="C999" s="2889" t="str">
        <f aca="false">'Смета Внутр'!C1005</f>
        <v>м.п.</v>
      </c>
      <c r="D999" s="2890" t="n">
        <f aca="false">'Смета Внутр'!D1005</f>
        <v>0</v>
      </c>
      <c r="E999" s="2888"/>
      <c r="F999" s="2895" t="n">
        <f aca="false">'Смета Внутр'!H1005</f>
        <v>0</v>
      </c>
    </row>
    <row r="1000" customFormat="false" ht="14.5" hidden="false" customHeight="false" outlineLevel="0" collapsed="false">
      <c r="B1000" s="2888" t="str">
        <f aca="false">'Смета Внутр'!B1006</f>
        <v>Двутавровая деревянная балка, 300*65мм</v>
      </c>
      <c r="C1000" s="2889" t="str">
        <f aca="false">'Смета Внутр'!C1006</f>
        <v>м.п.</v>
      </c>
      <c r="D1000" s="2890" t="n">
        <f aca="false">'Смета Внутр'!D1006</f>
        <v>0</v>
      </c>
      <c r="E1000" s="2888"/>
      <c r="F1000" s="2895" t="n">
        <f aca="false">'Смета Внутр'!H1006</f>
        <v>0</v>
      </c>
    </row>
    <row r="1001" customFormat="false" ht="14.5" hidden="false" customHeight="false" outlineLevel="0" collapsed="false">
      <c r="B1001" s="2888" t="str">
        <f aca="false">'Смета Внутр'!B1007</f>
        <v>Двутавровая деревянная балка, 300*90мм</v>
      </c>
      <c r="C1001" s="2889" t="str">
        <f aca="false">'Смета Внутр'!C1007</f>
        <v>м.п.</v>
      </c>
      <c r="D1001" s="2890" t="n">
        <f aca="false">'Смета Внутр'!D1007</f>
        <v>0</v>
      </c>
      <c r="E1001" s="2888"/>
      <c r="F1001" s="2895" t="n">
        <f aca="false">'Смета Внутр'!H1007</f>
        <v>0</v>
      </c>
    </row>
    <row r="1002" customFormat="false" ht="14.5" hidden="false" customHeight="false" outlineLevel="0" collapsed="false">
      <c r="B1002" s="2888" t="str">
        <f aca="false">'Смета Внутр'!B1008</f>
        <v>Двутавровая деревянная балка, 240*65мм</v>
      </c>
      <c r="C1002" s="2889" t="str">
        <f aca="false">'Смета Внутр'!C1008</f>
        <v>м.п.</v>
      </c>
      <c r="D1002" s="2890" t="n">
        <f aca="false">'Смета Внутр'!D1008</f>
        <v>0</v>
      </c>
      <c r="E1002" s="2888"/>
      <c r="F1002" s="2895" t="n">
        <f aca="false">'Смета Внутр'!H1008</f>
        <v>0</v>
      </c>
    </row>
    <row r="1003" customFormat="false" ht="14.5" hidden="false" customHeight="false" outlineLevel="0" collapsed="false">
      <c r="B1003" s="2888" t="str">
        <f aca="false">'Смета Внутр'!B1009</f>
        <v>Двутавровая деревянная балка, 240*90мм</v>
      </c>
      <c r="C1003" s="2889" t="str">
        <f aca="false">'Смета Внутр'!C1009</f>
        <v>м.п.</v>
      </c>
      <c r="D1003" s="2890" t="n">
        <f aca="false">'Смета Внутр'!D1009</f>
        <v>0</v>
      </c>
      <c r="E1003" s="2888"/>
      <c r="F1003" s="2895" t="n">
        <f aca="false">'Смета Внутр'!H1009</f>
        <v>0</v>
      </c>
    </row>
    <row r="1004" customFormat="false" ht="14.5" hidden="false" customHeight="false" outlineLevel="0" collapsed="false">
      <c r="B1004" s="2888" t="str">
        <f aca="false">'Смета Внутр'!B1010</f>
        <v>Двутавровая деревянная балка, 200*65мм</v>
      </c>
      <c r="C1004" s="2889" t="str">
        <f aca="false">'Смета Внутр'!C1010</f>
        <v>м.п.</v>
      </c>
      <c r="D1004" s="2890" t="n">
        <f aca="false">'Смета Внутр'!D1010</f>
        <v>0</v>
      </c>
      <c r="E1004" s="2888"/>
      <c r="F1004" s="2895" t="n">
        <f aca="false">'Смета Внутр'!H1010</f>
        <v>0</v>
      </c>
    </row>
    <row r="1005" customFormat="false" ht="14.5" hidden="false" customHeight="false" outlineLevel="0" collapsed="false">
      <c r="B1005" s="2888" t="str">
        <f aca="false">'Смета Внутр'!B1011</f>
        <v>Двутавровая деревянная балка, 200*90мм</v>
      </c>
      <c r="C1005" s="2889" t="str">
        <f aca="false">'Смета Внутр'!C1011</f>
        <v>м.п.</v>
      </c>
      <c r="D1005" s="2890" t="n">
        <f aca="false">'Смета Внутр'!D1011</f>
        <v>0</v>
      </c>
      <c r="E1005" s="2888"/>
      <c r="F1005" s="2895" t="n">
        <f aca="false">'Смета Внутр'!H1011</f>
        <v>0</v>
      </c>
    </row>
    <row r="1006" customFormat="false" ht="14.5" hidden="false" customHeight="false" outlineLevel="0" collapsed="false">
      <c r="B1006" s="2888" t="str">
        <f aca="false">'Смета Внутр'!B1012</f>
        <v>Двутавровая деревянная балка, 150*65мм</v>
      </c>
      <c r="C1006" s="2889" t="str">
        <f aca="false">'Смета Внутр'!C1012</f>
        <v>м.п.</v>
      </c>
      <c r="D1006" s="2890" t="n">
        <f aca="false">'Смета Внутр'!D1012</f>
        <v>0</v>
      </c>
      <c r="E1006" s="2888"/>
      <c r="F1006" s="2895" t="n">
        <f aca="false">'Смета Внутр'!H1012</f>
        <v>0</v>
      </c>
    </row>
    <row r="1007" customFormat="false" ht="14.5" hidden="false" customHeight="false" outlineLevel="0" collapsed="false">
      <c r="B1007" s="2888" t="str">
        <f aca="false">'Смета Внутр'!B1013</f>
        <v>Двутавровая деревянная балка, 150*90мм</v>
      </c>
      <c r="C1007" s="2889" t="str">
        <f aca="false">'Смета Внутр'!C1013</f>
        <v>м.п.</v>
      </c>
      <c r="D1007" s="2890" t="n">
        <f aca="false">'Смета Внутр'!D1013</f>
        <v>0</v>
      </c>
      <c r="E1007" s="2888"/>
      <c r="F1007" s="2895" t="n">
        <f aca="false">'Смета Внутр'!H1013</f>
        <v>0</v>
      </c>
    </row>
    <row r="1008" customFormat="false" ht="14.5" hidden="false" customHeight="false" outlineLevel="0" collapsed="false">
      <c r="B1008" s="2888" t="str">
        <f aca="false">'Смета Внутр'!B1014</f>
        <v>Уголок усиленный 90х70х55х2,5</v>
      </c>
      <c r="C1008" s="2889" t="str">
        <f aca="false">'Смета Внутр'!C1014</f>
        <v>шт</v>
      </c>
      <c r="D1008" s="2890" t="n">
        <f aca="false">'Смета Внутр'!D1014</f>
        <v>0</v>
      </c>
      <c r="E1008" s="2888"/>
      <c r="F1008" s="2895" t="n">
        <f aca="false">'Смета Внутр'!H1014</f>
        <v>0</v>
      </c>
    </row>
    <row r="1009" customFormat="false" ht="14.5" hidden="false" customHeight="false" outlineLevel="0" collapsed="false">
      <c r="B1009" s="2888" t="str">
        <f aca="false">'Смета Внутр'!B1015</f>
        <v>Саморезы 3,5 x 55</v>
      </c>
      <c r="C1009" s="2889" t="str">
        <f aca="false">'Смета Внутр'!C1015</f>
        <v>шт</v>
      </c>
      <c r="D1009" s="2890" t="n">
        <f aca="false">'Смета Внутр'!D1015</f>
        <v>0</v>
      </c>
      <c r="E1009" s="2888"/>
      <c r="F1009" s="2895" t="n">
        <f aca="false">'Смета Внутр'!H1015</f>
        <v>0</v>
      </c>
    </row>
    <row r="1010" customFormat="false" ht="14.5" hidden="false" customHeight="false" outlineLevel="0" collapsed="false">
      <c r="B1010" s="2888" t="str">
        <f aca="false">'Смета Внутр'!B1016</f>
        <v>Пенопласт ПСБ-С-35, 100мм</v>
      </c>
      <c r="C1010" s="2889" t="str">
        <f aca="false">'Смета Внутр'!C1016</f>
        <v>м3</v>
      </c>
      <c r="D1010" s="2890" t="n">
        <f aca="false">'Смета Внутр'!D1016</f>
        <v>10</v>
      </c>
      <c r="E1010" s="2888"/>
      <c r="F1010" s="2902" t="n">
        <f aca="false">'Смета Внутр'!H1016</f>
        <v>0</v>
      </c>
    </row>
    <row r="1011" customFormat="false" ht="14.5" hidden="false" customHeight="false" outlineLevel="0" collapsed="false">
      <c r="B1011" s="2888" t="str">
        <f aca="false">'Смета Внутр'!B1017</f>
        <v>нет ветроизоляции</v>
      </c>
      <c r="C1011" s="2889" t="str">
        <f aca="false">'Смета Внутр'!C1017</f>
        <v>м2</v>
      </c>
      <c r="D1011" s="2890" t="n">
        <f aca="false">'Смета Внутр'!D1017</f>
        <v>100</v>
      </c>
      <c r="E1011" s="2888"/>
      <c r="F1011" s="2902" t="n">
        <f aca="false">'Смета Внутр'!H1017</f>
        <v>0</v>
      </c>
    </row>
    <row r="1012" customFormat="false" ht="14.5" hidden="false" customHeight="false" outlineLevel="0" collapsed="false">
      <c r="B1012" s="2888" t="str">
        <f aca="false">'Смета Внутр'!B1018</f>
        <v>нет пароизоляции</v>
      </c>
      <c r="C1012" s="2889" t="str">
        <f aca="false">'Смета Внутр'!C1018</f>
        <v>м2</v>
      </c>
      <c r="D1012" s="2890" t="n">
        <f aca="false">'Смета Внутр'!D1018</f>
        <v>100</v>
      </c>
      <c r="E1012" s="2888"/>
      <c r="F1012" s="2902" t="n">
        <f aca="false">'Смета Внутр'!H1018</f>
        <v>0</v>
      </c>
    </row>
    <row r="1013" customFormat="false" ht="14.5" hidden="false" customHeight="false" outlineLevel="0" collapsed="false">
      <c r="B1013" s="2888" t="str">
        <f aca="false">'Смета Внутр'!B1019</f>
        <v>Плита перекрытия  ЖБИ</v>
      </c>
      <c r="C1013" s="2889" t="str">
        <f aca="false">'Смета Внутр'!C1019</f>
        <v>м2</v>
      </c>
      <c r="D1013" s="2890" t="n">
        <f aca="false">'Смета Внутр'!D1019</f>
        <v>0</v>
      </c>
      <c r="E1013" s="2888"/>
      <c r="F1013" s="2895" t="n">
        <f aca="false">'Смета Внутр'!H1019</f>
        <v>0</v>
      </c>
    </row>
    <row r="1014" customFormat="false" ht="14.5" hidden="false" customHeight="false" outlineLevel="0" collapsed="false">
      <c r="B1014" s="2888" t="str">
        <f aca="false">'Смета Внутр'!B1020</f>
        <v>Раствор, м250</v>
      </c>
      <c r="C1014" s="2889" t="str">
        <f aca="false">'Смета Внутр'!C1020</f>
        <v>м3</v>
      </c>
      <c r="D1014" s="2890" t="n">
        <f aca="false">'Смета Внутр'!D1020</f>
        <v>0</v>
      </c>
      <c r="E1014" s="2888"/>
      <c r="F1014" s="2895" t="n">
        <f aca="false">'Смета Внутр'!H1020</f>
        <v>0</v>
      </c>
    </row>
    <row r="1015" customFormat="false" ht="14.5" hidden="false" customHeight="false" outlineLevel="0" collapsed="false">
      <c r="B1015" s="2888" t="str">
        <f aca="false">'Смета Внутр'!B1021</f>
        <v>Монолит, бетон, 300мм, 2 слоя</v>
      </c>
      <c r="C1015" s="2889" t="str">
        <f aca="false">'Смета Внутр'!C1021</f>
        <v>м2</v>
      </c>
      <c r="D1015" s="2890" t="n">
        <f aca="false">'Смета Внутр'!D1021</f>
        <v>0</v>
      </c>
      <c r="E1015" s="2888"/>
      <c r="F1015" s="2895" t="n">
        <f aca="false">'Смета Внутр'!H1021</f>
        <v>0</v>
      </c>
    </row>
    <row r="1016" customFormat="false" ht="14.5" hidden="false" customHeight="false" outlineLevel="0" collapsed="false">
      <c r="B1016" s="2888" t="str">
        <f aca="false">'Смета Внутр'!B1022</f>
        <v>Монолит, бетон, 300мм, 1 слой</v>
      </c>
      <c r="C1016" s="2889" t="str">
        <f aca="false">'Смета Внутр'!C1022</f>
        <v>м2</v>
      </c>
      <c r="D1016" s="2890" t="n">
        <f aca="false">'Смета Внутр'!D1022</f>
        <v>0</v>
      </c>
      <c r="E1016" s="2888"/>
      <c r="F1016" s="2895" t="n">
        <f aca="false">'Смета Внутр'!H1022</f>
        <v>0</v>
      </c>
    </row>
    <row r="1017" customFormat="false" ht="14.5" hidden="false" customHeight="false" outlineLevel="0" collapsed="false">
      <c r="B1017" s="2888" t="str">
        <f aca="false">'Смета Внутр'!B1023</f>
        <v>Монолит, бетон, 250мм, 2 слоя</v>
      </c>
      <c r="C1017" s="2889" t="str">
        <f aca="false">'Смета Внутр'!C1023</f>
        <v>м2</v>
      </c>
      <c r="D1017" s="2890" t="n">
        <f aca="false">'Смета Внутр'!D1023</f>
        <v>0</v>
      </c>
      <c r="E1017" s="2888"/>
      <c r="F1017" s="2895" t="n">
        <f aca="false">'Смета Внутр'!H1023</f>
        <v>0</v>
      </c>
    </row>
    <row r="1018" customFormat="false" ht="14.5" hidden="false" customHeight="false" outlineLevel="0" collapsed="false">
      <c r="B1018" s="2888" t="str">
        <f aca="false">'Смета Внутр'!B1024</f>
        <v>Монолит, бетон, 250мм, 1 слой</v>
      </c>
      <c r="C1018" s="2889" t="str">
        <f aca="false">'Смета Внутр'!C1024</f>
        <v>м2</v>
      </c>
      <c r="D1018" s="2890" t="n">
        <f aca="false">'Смета Внутр'!D1024</f>
        <v>0</v>
      </c>
      <c r="E1018" s="2888"/>
      <c r="F1018" s="2895" t="n">
        <f aca="false">'Смета Внутр'!H1024</f>
        <v>0</v>
      </c>
    </row>
    <row r="1019" customFormat="false" ht="14.5" hidden="false" customHeight="false" outlineLevel="0" collapsed="false">
      <c r="B1019" s="2888" t="str">
        <f aca="false">'Смета Внутр'!B1025</f>
        <v>Монолит, бетон, 200мм, 2 слоя</v>
      </c>
      <c r="C1019" s="2889" t="str">
        <f aca="false">'Смета Внутр'!C1025</f>
        <v>м2</v>
      </c>
      <c r="D1019" s="2890" t="n">
        <f aca="false">'Смета Внутр'!D1025</f>
        <v>0</v>
      </c>
      <c r="E1019" s="2888"/>
      <c r="F1019" s="2895" t="n">
        <f aca="false">'Смета Внутр'!H1025</f>
        <v>0</v>
      </c>
    </row>
    <row r="1020" customFormat="false" ht="14.5" hidden="false" customHeight="false" outlineLevel="0" collapsed="false">
      <c r="B1020" s="2888" t="str">
        <f aca="false">'Смета Внутр'!B1026</f>
        <v>Монолит, бетон, 200мм, 1 слой</v>
      </c>
      <c r="C1020" s="2889" t="str">
        <f aca="false">'Смета Внутр'!C1026</f>
        <v>м2</v>
      </c>
      <c r="D1020" s="2890" t="n">
        <f aca="false">'Смета Внутр'!D1026</f>
        <v>0</v>
      </c>
      <c r="E1020" s="2888"/>
      <c r="F1020" s="2895" t="n">
        <f aca="false">'Смета Внутр'!H1026</f>
        <v>0</v>
      </c>
    </row>
    <row r="1021" customFormat="false" ht="14.5" hidden="false" customHeight="false" outlineLevel="0" collapsed="false">
      <c r="B1021" s="2888" t="str">
        <f aca="false">'Смета Внутр'!B1027</f>
        <v>Монолит, бетон, 150мм, 2 слоя</v>
      </c>
      <c r="C1021" s="2889" t="str">
        <f aca="false">'Смета Внутр'!C1027</f>
        <v>м2</v>
      </c>
      <c r="D1021" s="2890" t="n">
        <f aca="false">'Смета Внутр'!D1027</f>
        <v>0</v>
      </c>
      <c r="E1021" s="2888"/>
      <c r="F1021" s="2895" t="n">
        <f aca="false">'Смета Внутр'!H1027</f>
        <v>0</v>
      </c>
    </row>
    <row r="1022" customFormat="false" ht="14.5" hidden="false" customHeight="false" outlineLevel="0" collapsed="false">
      <c r="B1022" s="2888" t="str">
        <f aca="false">'Смета Внутр'!B1028</f>
        <v>Монолит, бетон, 150мм, 1 слой</v>
      </c>
      <c r="C1022" s="2889" t="str">
        <f aca="false">'Смета Внутр'!C1028</f>
        <v>м2</v>
      </c>
      <c r="D1022" s="2890" t="n">
        <f aca="false">'Смета Внутр'!D1028</f>
        <v>0</v>
      </c>
      <c r="E1022" s="2888"/>
      <c r="F1022" s="2895" t="n">
        <f aca="false">'Смета Внутр'!H1028</f>
        <v>0</v>
      </c>
    </row>
    <row r="1023" customFormat="false" ht="14.5" hidden="false" customHeight="false" outlineLevel="0" collapsed="false">
      <c r="B1023" s="2888" t="str">
        <f aca="false">'Смета Внутр'!B1029</f>
        <v>доска для опалубки монолит перекрытий</v>
      </c>
      <c r="C1023" s="2889" t="str">
        <f aca="false">'Смета Внутр'!C1029</f>
        <v>м3</v>
      </c>
      <c r="D1023" s="2890" t="n">
        <f aca="false">'Смета Внутр'!D1029</f>
        <v>0</v>
      </c>
      <c r="E1023" s="2888"/>
      <c r="F1023" s="2895" t="n">
        <f aca="false">'Смета Внутр'!H1029</f>
        <v>0</v>
      </c>
    </row>
    <row r="1024" customFormat="false" ht="14.5" hidden="false" customHeight="false" outlineLevel="0" collapsed="false">
      <c r="B1024" s="2888" t="str">
        <f aca="false">'Смета Внутр'!B1030</f>
        <v>стойки под опалубку перекрытий</v>
      </c>
      <c r="C1024" s="2889" t="str">
        <f aca="false">'Смета Внутр'!C1030</f>
        <v>шт</v>
      </c>
      <c r="D1024" s="2890" t="n">
        <f aca="false">'Смета Внутр'!D1030</f>
        <v>0</v>
      </c>
      <c r="E1024" s="2888"/>
      <c r="F1024" s="2895" t="n">
        <f aca="false">'Смета Внутр'!H1030</f>
        <v>0</v>
      </c>
    </row>
    <row r="1025" customFormat="false" ht="14.5" hidden="false" customHeight="false" outlineLevel="0" collapsed="false">
      <c r="B1025" s="2888" t="str">
        <f aca="false">'Смета Внутр'!B1031</f>
        <v>Пленка гидроизоляционная</v>
      </c>
      <c r="C1025" s="2889" t="str">
        <f aca="false">'Смета Внутр'!C1031</f>
        <v>м2</v>
      </c>
      <c r="D1025" s="2890" t="n">
        <f aca="false">'Смета Внутр'!D1031</f>
        <v>0</v>
      </c>
      <c r="E1025" s="2888"/>
      <c r="F1025" s="2895" t="n">
        <f aca="false">'Смета Внутр'!H1031</f>
        <v>0</v>
      </c>
    </row>
    <row r="1026" customFormat="false" ht="14.5" hidden="false" customHeight="false" outlineLevel="0" collapsed="false">
      <c r="B1026" s="2888" t="str">
        <f aca="false">'Смета Внутр'!B1032</f>
        <v>Арматура М12</v>
      </c>
      <c r="C1026" s="2889" t="str">
        <f aca="false">'Смета Внутр'!C1032</f>
        <v>м.п.</v>
      </c>
      <c r="D1026" s="2890" t="n">
        <f aca="false">'Смета Внутр'!D1032</f>
        <v>0</v>
      </c>
      <c r="E1026" s="2888"/>
      <c r="F1026" s="2895" t="n">
        <f aca="false">'Смета Внутр'!H1032</f>
        <v>0</v>
      </c>
    </row>
    <row r="1027" customFormat="false" ht="14.5" hidden="false" customHeight="false" outlineLevel="0" collapsed="false">
      <c r="B1027" s="2888" t="str">
        <f aca="false">'Смета Внутр'!B1033</f>
        <v>Вязальная проволока</v>
      </c>
      <c r="C1027" s="2889" t="str">
        <f aca="false">'Смета Внутр'!C1033</f>
        <v>кг</v>
      </c>
      <c r="D1027" s="2890" t="n">
        <f aca="false">'Смета Внутр'!D1033</f>
        <v>0</v>
      </c>
      <c r="E1027" s="2888"/>
      <c r="F1027" s="2895" t="n">
        <f aca="false">'Смета Внутр'!H1033</f>
        <v>0</v>
      </c>
    </row>
    <row r="1028" customFormat="false" ht="14.5" hidden="false" customHeight="false" outlineLevel="0" collapsed="false">
      <c r="B1028" s="2888" t="str">
        <f aca="false">'Смета Внутр'!B1034</f>
        <v>Подставка под арматурный каркас</v>
      </c>
      <c r="C1028" s="2889" t="str">
        <f aca="false">'Смета Внутр'!C1034</f>
        <v>шт</v>
      </c>
      <c r="D1028" s="2890" t="n">
        <f aca="false">'Смета Внутр'!D1034</f>
        <v>0</v>
      </c>
      <c r="E1028" s="2888"/>
      <c r="F1028" s="2895" t="n">
        <f aca="false">'Смета Внутр'!H1034</f>
        <v>0</v>
      </c>
    </row>
    <row r="1029" customFormat="false" ht="14.5" hidden="false" customHeight="false" outlineLevel="0" collapsed="false">
      <c r="B1029" s="2888" t="str">
        <f aca="false">'Смета Внутр'!B1035</f>
        <v>бетон, м350</v>
      </c>
      <c r="C1029" s="2889" t="str">
        <f aca="false">'Смета Внутр'!C1035</f>
        <v>м3</v>
      </c>
      <c r="D1029" s="2890" t="n">
        <f aca="false">'Смета Внутр'!D1035</f>
        <v>0</v>
      </c>
      <c r="E1029" s="2888"/>
      <c r="F1029" s="2895" t="n">
        <f aca="false">'Смета Внутр'!H1035</f>
        <v>0</v>
      </c>
    </row>
    <row r="1030" customFormat="false" ht="14.5" hidden="false" customHeight="false" outlineLevel="0" collapsed="false">
      <c r="B1030" s="2888" t="str">
        <f aca="false">'Смета Внутр'!B1036</f>
        <v>Брус естественной влажности, 200*100мм</v>
      </c>
      <c r="C1030" s="2889" t="str">
        <f aca="false">'Смета Внутр'!C1036</f>
        <v>м3</v>
      </c>
      <c r="D1030" s="2890" t="n">
        <f aca="false">'Смета Внутр'!D1036</f>
        <v>0</v>
      </c>
      <c r="E1030" s="2888"/>
      <c r="F1030" s="2895" t="n">
        <f aca="false">'Смета Внутр'!H1036</f>
        <v>0</v>
      </c>
    </row>
    <row r="1031" customFormat="false" ht="14.5" hidden="false" customHeight="false" outlineLevel="0" collapsed="false">
      <c r="B1031" s="2888" t="str">
        <f aca="false">'Смета Внутр'!B1037</f>
        <v>Брус естественной влажности, 150*100мм</v>
      </c>
      <c r="C1031" s="2889" t="str">
        <f aca="false">'Смета Внутр'!C1037</f>
        <v>м3</v>
      </c>
      <c r="D1031" s="2890" t="n">
        <f aca="false">'Смета Внутр'!D1037</f>
        <v>0</v>
      </c>
      <c r="E1031" s="2888"/>
      <c r="F1031" s="2895" t="n">
        <f aca="false">'Смета Внутр'!H1037</f>
        <v>0</v>
      </c>
    </row>
    <row r="1032" customFormat="false" ht="14.5" hidden="false" customHeight="false" outlineLevel="0" collapsed="false">
      <c r="B1032" s="2888" t="str">
        <f aca="false">'Смета Внутр'!B1038</f>
        <v>Брус естественной влажности, 100*100мм</v>
      </c>
      <c r="C1032" s="2889" t="str">
        <f aca="false">'Смета Внутр'!C1038</f>
        <v>м3</v>
      </c>
      <c r="D1032" s="2890" t="n">
        <f aca="false">'Смета Внутр'!D1038</f>
        <v>0</v>
      </c>
      <c r="E1032" s="2888"/>
      <c r="F1032" s="2895" t="n">
        <f aca="false">'Смета Внутр'!H1038</f>
        <v>0</v>
      </c>
    </row>
    <row r="1033" customFormat="false" ht="14.5" hidden="false" customHeight="false" outlineLevel="0" collapsed="false">
      <c r="B1033" s="2888" t="str">
        <f aca="false">'Смета Внутр'!B1039</f>
        <v>Брус естественной влажности, 150*150мм</v>
      </c>
      <c r="C1033" s="2889" t="str">
        <f aca="false">'Смета Внутр'!C1039</f>
        <v>м3</v>
      </c>
      <c r="D1033" s="2890" t="n">
        <f aca="false">'Смета Внутр'!D1039</f>
        <v>0</v>
      </c>
      <c r="E1033" s="2888"/>
      <c r="F1033" s="2895" t="n">
        <f aca="false">'Смета Внутр'!H1039</f>
        <v>0</v>
      </c>
    </row>
    <row r="1034" customFormat="false" ht="14.5" hidden="false" customHeight="false" outlineLevel="0" collapsed="false">
      <c r="B1034" s="2888" t="str">
        <f aca="false">'Смета Внутр'!B1040</f>
        <v>Доска естественной влажности, 200*50мм</v>
      </c>
      <c r="C1034" s="2889" t="str">
        <f aca="false">'Смета Внутр'!C1040</f>
        <v>м3</v>
      </c>
      <c r="D1034" s="2890" t="n">
        <f aca="false">'Смета Внутр'!D1040</f>
        <v>0</v>
      </c>
      <c r="E1034" s="2888"/>
      <c r="F1034" s="2895" t="n">
        <f aca="false">'Смета Внутр'!H1040</f>
        <v>0</v>
      </c>
    </row>
    <row r="1035" customFormat="false" ht="14.5" hidden="false" customHeight="false" outlineLevel="0" collapsed="false">
      <c r="B1035" s="2888" t="str">
        <f aca="false">'Смета Внутр'!B1041</f>
        <v>Доска естественной влажности, 150*50мм</v>
      </c>
      <c r="C1035" s="2889" t="str">
        <f aca="false">'Смета Внутр'!C1041</f>
        <v>м3</v>
      </c>
      <c r="D1035" s="2890" t="n">
        <f aca="false">'Смета Внутр'!D1041</f>
        <v>0</v>
      </c>
      <c r="E1035" s="2888"/>
      <c r="F1035" s="2902" t="n">
        <f aca="false">'Смета Внутр'!H1041</f>
        <v>0</v>
      </c>
    </row>
    <row r="1036" customFormat="false" ht="14.5" hidden="false" customHeight="false" outlineLevel="0" collapsed="false">
      <c r="B1036" s="2888" t="str">
        <f aca="false">'Смета Внутр'!B1042</f>
        <v>Опора бруса</v>
      </c>
      <c r="C1036" s="2889" t="str">
        <f aca="false">'Смета Внутр'!C1042</f>
        <v>шт</v>
      </c>
      <c r="D1036" s="2890" t="n">
        <f aca="false">'Смета Внутр'!D1042</f>
        <v>0</v>
      </c>
      <c r="E1036" s="2888"/>
      <c r="F1036" s="2902" t="n">
        <f aca="false">'Смета Внутр'!H1042</f>
        <v>0</v>
      </c>
    </row>
    <row r="1037" customFormat="false" ht="14.5" hidden="false" customHeight="false" outlineLevel="0" collapsed="false">
      <c r="B1037" s="2888" t="str">
        <f aca="false">'Смета Внутр'!B1043</f>
        <v>Болты анкерные с гайкой 8,0 x 60</v>
      </c>
      <c r="C1037" s="2889" t="str">
        <f aca="false">'Смета Внутр'!C1043</f>
        <v>шт</v>
      </c>
      <c r="D1037" s="2890" t="n">
        <f aca="false">'Смета Внутр'!D1043</f>
        <v>0</v>
      </c>
      <c r="E1037" s="2888"/>
      <c r="F1037" s="2902" t="n">
        <f aca="false">'Смета Внутр'!H1043</f>
        <v>0</v>
      </c>
    </row>
    <row r="1038" customFormat="false" ht="14.5" hidden="false" customHeight="false" outlineLevel="0" collapsed="false">
      <c r="B1038" s="2888" t="str">
        <f aca="false">'Смета Внутр'!B1044</f>
        <v>Нет перекрестного пола</v>
      </c>
      <c r="C1038" s="2889" t="str">
        <f aca="false">'Смета Внутр'!C1044</f>
        <v>м3</v>
      </c>
      <c r="D1038" s="2890" t="n">
        <f aca="false">'Смета Внутр'!D1044</f>
        <v>0</v>
      </c>
      <c r="E1038" s="2888"/>
      <c r="F1038" s="2895" t="n">
        <f aca="false">'Смета Внутр'!H1044</f>
        <v>0</v>
      </c>
    </row>
    <row r="1039" customFormat="false" ht="14.5" hidden="false" customHeight="false" outlineLevel="0" collapsed="false">
      <c r="B1039" s="2888" t="str">
        <f aca="false">'Смета Внутр'!B1045</f>
        <v>Гвозди строительные 3,5 x 90</v>
      </c>
      <c r="C1039" s="2889" t="str">
        <f aca="false">'Смета Внутр'!C1045</f>
        <v>кг</v>
      </c>
      <c r="D1039" s="2890" t="n">
        <f aca="false">'Смета Внутр'!D1045</f>
        <v>0</v>
      </c>
      <c r="E1039" s="2888"/>
      <c r="F1039" s="2895" t="n">
        <f aca="false">'Смета Внутр'!H1045</f>
        <v>0</v>
      </c>
    </row>
    <row r="1040" customFormat="false" ht="14.5" hidden="false" customHeight="false" outlineLevel="0" collapsed="false">
      <c r="B1040" s="2888" t="str">
        <f aca="false">'Смета Внутр'!B1046</f>
        <v>Sip панель 2500*625*124мм</v>
      </c>
      <c r="C1040" s="2889" t="str">
        <f aca="false">'Смета Внутр'!C1046</f>
        <v>м2</v>
      </c>
      <c r="D1040" s="2890" t="n">
        <f aca="false">'Смета Внутр'!D1046</f>
        <v>0</v>
      </c>
      <c r="E1040" s="2888"/>
      <c r="F1040" s="2895" t="n">
        <f aca="false">'Смета Внутр'!H1046</f>
        <v>0</v>
      </c>
    </row>
    <row r="1041" customFormat="false" ht="14.5" hidden="false" customHeight="false" outlineLevel="0" collapsed="false">
      <c r="B1041" s="2888" t="str">
        <f aca="false">'Смета Внутр'!B1047</f>
        <v>Sip панель 2500*625*174мм</v>
      </c>
      <c r="C1041" s="2889" t="str">
        <f aca="false">'Смета Внутр'!C1047</f>
        <v>м2</v>
      </c>
      <c r="D1041" s="2890" t="n">
        <f aca="false">'Смета Внутр'!D1047</f>
        <v>0</v>
      </c>
      <c r="E1041" s="2888"/>
      <c r="F1041" s="2895" t="n">
        <f aca="false">'Смета Внутр'!H1047</f>
        <v>0</v>
      </c>
    </row>
    <row r="1042" customFormat="false" ht="14.5" hidden="false" customHeight="false" outlineLevel="0" collapsed="false">
      <c r="B1042" s="2888" t="str">
        <f aca="false">'Смета Внутр'!B1048</f>
        <v>Sip панель 2500*625*224мм</v>
      </c>
      <c r="C1042" s="2889" t="str">
        <f aca="false">'Смета Внутр'!C1048</f>
        <v>м2</v>
      </c>
      <c r="D1042" s="2890" t="n">
        <f aca="false">'Смета Внутр'!D1048</f>
        <v>0</v>
      </c>
      <c r="E1042" s="2888"/>
      <c r="F1042" s="2895" t="n">
        <f aca="false">'Смета Внутр'!H1048</f>
        <v>0</v>
      </c>
    </row>
    <row r="1043" customFormat="false" ht="14.5" hidden="false" customHeight="false" outlineLevel="0" collapsed="false">
      <c r="B1043" s="2888" t="str">
        <f aca="false">'Смета Внутр'!B1049</f>
        <v>Доска сухая, 100*50мм</v>
      </c>
      <c r="C1043" s="2889" t="str">
        <f aca="false">'Смета Внутр'!C1049</f>
        <v>м.п.</v>
      </c>
      <c r="D1043" s="2890" t="n">
        <f aca="false">'Смета Внутр'!D1049</f>
        <v>0</v>
      </c>
      <c r="E1043" s="2888"/>
      <c r="F1043" s="2895" t="n">
        <f aca="false">'Смета Внутр'!H1049</f>
        <v>0</v>
      </c>
    </row>
    <row r="1044" customFormat="false" ht="14.5" hidden="false" customHeight="false" outlineLevel="0" collapsed="false">
      <c r="B1044" s="2888" t="str">
        <f aca="false">'Смета Внутр'!B1050</f>
        <v>Доска сухая, 150*50мм</v>
      </c>
      <c r="C1044" s="2889" t="str">
        <f aca="false">'Смета Внутр'!C1050</f>
        <v>м.п.</v>
      </c>
      <c r="D1044" s="2890" t="n">
        <f aca="false">'Смета Внутр'!D1050</f>
        <v>0</v>
      </c>
      <c r="E1044" s="2888"/>
      <c r="F1044" s="2895" t="n">
        <f aca="false">'Смета Внутр'!H1050</f>
        <v>0</v>
      </c>
    </row>
    <row r="1045" customFormat="false" ht="14.5" hidden="false" customHeight="false" outlineLevel="0" collapsed="false">
      <c r="B1045" s="2888" t="str">
        <f aca="false">'Смета Внутр'!B1051</f>
        <v>Доска сухая, 200*50мм</v>
      </c>
      <c r="C1045" s="2889" t="str">
        <f aca="false">'Смета Внутр'!C1051</f>
        <v>м.п.</v>
      </c>
      <c r="D1045" s="2890" t="n">
        <f aca="false">'Смета Внутр'!D1051</f>
        <v>0</v>
      </c>
      <c r="E1045" s="2888"/>
      <c r="F1045" s="2895" t="n">
        <f aca="false">'Смета Внутр'!H1051</f>
        <v>0</v>
      </c>
    </row>
    <row r="1046" customFormat="false" ht="14.5" hidden="false" customHeight="false" outlineLevel="0" collapsed="false">
      <c r="B1046" s="2888" t="str">
        <f aca="false">'Смета Внутр'!B1052</f>
        <v>Пена монтажная, всесезонняя 800мл</v>
      </c>
      <c r="C1046" s="2889" t="str">
        <f aca="false">'Смета Внутр'!C1052</f>
        <v>шт</v>
      </c>
      <c r="D1046" s="2890" t="n">
        <f aca="false">'Смета Внутр'!D1052</f>
        <v>0</v>
      </c>
      <c r="E1046" s="2888"/>
      <c r="F1046" s="2895" t="n">
        <f aca="false">'Смета Внутр'!H1052</f>
        <v>0</v>
      </c>
    </row>
    <row r="1047" customFormat="false" ht="14.5" hidden="false" customHeight="false" outlineLevel="0" collapsed="false">
      <c r="B1047" s="2888" t="str">
        <f aca="false">'Смета Внутр'!B1053</f>
        <v>Гвозди строительные 3,5 x 90</v>
      </c>
      <c r="C1047" s="2889" t="str">
        <f aca="false">'Смета Внутр'!C1053</f>
        <v>шт</v>
      </c>
      <c r="D1047" s="2890" t="n">
        <f aca="false">'Смета Внутр'!D1053</f>
        <v>0</v>
      </c>
      <c r="E1047" s="2888"/>
      <c r="F1047" s="2895" t="n">
        <f aca="false">'Смета Внутр'!H1053</f>
        <v>0</v>
      </c>
    </row>
    <row r="1048" customFormat="false" ht="14.5" hidden="false" customHeight="false" outlineLevel="0" collapsed="false">
      <c r="B1048" s="2888" t="str">
        <f aca="false">'Смета Внутр'!B1054</f>
        <v>Саморезы 3,5 x 45</v>
      </c>
      <c r="C1048" s="2889" t="str">
        <f aca="false">'Смета Внутр'!C1054</f>
        <v>шт</v>
      </c>
      <c r="D1048" s="2890" t="n">
        <f aca="false">'Смета Внутр'!D1054</f>
        <v>0</v>
      </c>
      <c r="E1048" s="2888"/>
      <c r="F1048" s="2895" t="n">
        <f aca="false">'Смета Внутр'!H1054</f>
        <v>0</v>
      </c>
    </row>
    <row r="1049" customFormat="false" ht="14.5" hidden="false" customHeight="false" outlineLevel="0" collapsed="false">
      <c r="B1049" s="2888" t="str">
        <f aca="false">'Смета Внутр'!B1055</f>
        <v>Доска сухая, 200*50мм</v>
      </c>
      <c r="C1049" s="2889" t="str">
        <f aca="false">'Смета Внутр'!C1055</f>
        <v>м3</v>
      </c>
      <c r="D1049" s="2890" t="n">
        <f aca="false">'Смета Внутр'!D1055</f>
        <v>0</v>
      </c>
      <c r="E1049" s="2888"/>
      <c r="F1049" s="2895" t="n">
        <f aca="false">'Смета Внутр'!H1055</f>
        <v>0</v>
      </c>
    </row>
    <row r="1050" customFormat="false" ht="14.5" hidden="false" customHeight="false" outlineLevel="0" collapsed="false">
      <c r="B1050" s="2888" t="str">
        <f aca="false">'Смета Внутр'!B1056</f>
        <v>Доска сухая, 150*50мм</v>
      </c>
      <c r="C1050" s="2889" t="str">
        <f aca="false">'Смета Внутр'!C1056</f>
        <v>м3</v>
      </c>
      <c r="D1050" s="2890" t="n">
        <f aca="false">'Смета Внутр'!D1056</f>
        <v>0</v>
      </c>
      <c r="E1050" s="2888"/>
      <c r="F1050" s="2895" t="n">
        <f aca="false">'Смета Внутр'!H1056</f>
        <v>0</v>
      </c>
    </row>
    <row r="1051" customFormat="false" ht="14.5" hidden="false" customHeight="false" outlineLevel="0" collapsed="false">
      <c r="B1051" s="2888" t="str">
        <f aca="false">'Смета Внутр'!B1057</f>
        <v>Гвозди ершоные 2,8 х 90</v>
      </c>
      <c r="C1051" s="2889" t="str">
        <f aca="false">'Смета Внутр'!C1057</f>
        <v>кг</v>
      </c>
      <c r="D1051" s="2890" t="n">
        <f aca="false">'Смета Внутр'!D1057</f>
        <v>0</v>
      </c>
      <c r="E1051" s="2888"/>
      <c r="F1051" s="2895" t="n">
        <f aca="false">'Смета Внутр'!H1057</f>
        <v>0</v>
      </c>
    </row>
    <row r="1052" customFormat="false" ht="14.5" hidden="false" customHeight="false" outlineLevel="0" collapsed="false">
      <c r="B1052" s="2888" t="str">
        <f aca="false">'Смета Внутр'!B1058</f>
        <v>Доска сухая калиброванная, 190*45мм</v>
      </c>
      <c r="C1052" s="2889" t="str">
        <f aca="false">'Смета Внутр'!C1058</f>
        <v>м3</v>
      </c>
      <c r="D1052" s="2890" t="n">
        <f aca="false">'Смета Внутр'!D1058</f>
        <v>0</v>
      </c>
      <c r="E1052" s="2888"/>
      <c r="F1052" s="2895" t="n">
        <f aca="false">'Смета Внутр'!H1058</f>
        <v>0</v>
      </c>
    </row>
    <row r="1053" customFormat="false" ht="14.5" hidden="false" customHeight="false" outlineLevel="0" collapsed="false">
      <c r="B1053" s="2888" t="str">
        <f aca="false">'Смета Внутр'!B1059</f>
        <v>Доска сухая калиброванная, 145*45мм</v>
      </c>
      <c r="C1053" s="2889" t="str">
        <f aca="false">'Смета Внутр'!C1059</f>
        <v>м3</v>
      </c>
      <c r="D1053" s="2890" t="n">
        <f aca="false">'Смета Внутр'!D1059</f>
        <v>0</v>
      </c>
      <c r="E1053" s="2888"/>
      <c r="F1053" s="2895" t="n">
        <f aca="false">'Смета Внутр'!H1059</f>
        <v>0</v>
      </c>
    </row>
    <row r="1054" customFormat="false" ht="14.5" hidden="false" customHeight="false" outlineLevel="0" collapsed="false">
      <c r="B1054" s="2888" t="str">
        <f aca="false">'Смета Внутр'!B1060</f>
        <v>Гвозди ершоные 2,8 х 90</v>
      </c>
      <c r="C1054" s="2889" t="str">
        <f aca="false">'Смета Внутр'!C1060</f>
        <v>кг</v>
      </c>
      <c r="D1054" s="2890" t="n">
        <f aca="false">'Смета Внутр'!D1060</f>
        <v>0</v>
      </c>
      <c r="E1054" s="2888"/>
      <c r="F1054" s="2895" t="n">
        <f aca="false">'Смета Внутр'!H1060</f>
        <v>0</v>
      </c>
    </row>
    <row r="1055" customFormat="false" ht="14.5" hidden="false" customHeight="false" outlineLevel="0" collapsed="false">
      <c r="B1055" s="2888" t="str">
        <f aca="false">'Смета Внутр'!B1061</f>
        <v>Двутавровая деревянная балка, 400*65мм</v>
      </c>
      <c r="C1055" s="2889" t="str">
        <f aca="false">'Смета Внутр'!C1061</f>
        <v>м.п.</v>
      </c>
      <c r="D1055" s="2890" t="n">
        <f aca="false">'Смета Внутр'!D1061</f>
        <v>0</v>
      </c>
      <c r="E1055" s="2888"/>
      <c r="F1055" s="2895" t="n">
        <f aca="false">'Смета Внутр'!H1061</f>
        <v>0</v>
      </c>
    </row>
    <row r="1056" customFormat="false" ht="14.5" hidden="false" customHeight="false" outlineLevel="0" collapsed="false">
      <c r="B1056" s="2888" t="str">
        <f aca="false">'Смета Внутр'!B1062</f>
        <v>Двутавровая деревянная балка, 400*90мм</v>
      </c>
      <c r="C1056" s="2889" t="str">
        <f aca="false">'Смета Внутр'!C1062</f>
        <v>м.п.</v>
      </c>
      <c r="D1056" s="2890" t="n">
        <f aca="false">'Смета Внутр'!D1062</f>
        <v>0</v>
      </c>
      <c r="E1056" s="2888"/>
      <c r="F1056" s="2895" t="n">
        <f aca="false">'Смета Внутр'!H1062</f>
        <v>0</v>
      </c>
    </row>
    <row r="1057" customFormat="false" ht="14.5" hidden="false" customHeight="false" outlineLevel="0" collapsed="false">
      <c r="B1057" s="2888" t="str">
        <f aca="false">'Смета Внутр'!B1063</f>
        <v>Двутавровая деревянная балка, 350*65мм</v>
      </c>
      <c r="C1057" s="2889" t="str">
        <f aca="false">'Смета Внутр'!C1063</f>
        <v>м.п.</v>
      </c>
      <c r="D1057" s="2890" t="n">
        <f aca="false">'Смета Внутр'!D1063</f>
        <v>0</v>
      </c>
      <c r="E1057" s="2888"/>
      <c r="F1057" s="2895" t="n">
        <f aca="false">'Смета Внутр'!H1063</f>
        <v>0</v>
      </c>
    </row>
    <row r="1058" customFormat="false" ht="14.5" hidden="false" customHeight="false" outlineLevel="0" collapsed="false">
      <c r="B1058" s="2888" t="str">
        <f aca="false">'Смета Внутр'!B1064</f>
        <v>Двутавровая деревянная балка, 350*90мм</v>
      </c>
      <c r="C1058" s="2889" t="str">
        <f aca="false">'Смета Внутр'!C1064</f>
        <v>м.п.</v>
      </c>
      <c r="D1058" s="2890" t="n">
        <f aca="false">'Смета Внутр'!D1064</f>
        <v>0</v>
      </c>
      <c r="E1058" s="2888"/>
      <c r="F1058" s="2895" t="n">
        <f aca="false">'Смета Внутр'!H1064</f>
        <v>0</v>
      </c>
    </row>
    <row r="1059" customFormat="false" ht="14.5" hidden="false" customHeight="false" outlineLevel="0" collapsed="false">
      <c r="B1059" s="2888" t="str">
        <f aca="false">'Смета Внутр'!B1065</f>
        <v>Двутавровая деревянная балка, 300*65мм</v>
      </c>
      <c r="C1059" s="2889" t="str">
        <f aca="false">'Смета Внутр'!C1065</f>
        <v>м.п.</v>
      </c>
      <c r="D1059" s="2890" t="n">
        <f aca="false">'Смета Внутр'!D1065</f>
        <v>0</v>
      </c>
      <c r="E1059" s="2888"/>
      <c r="F1059" s="2895" t="n">
        <f aca="false">'Смета Внутр'!H1065</f>
        <v>0</v>
      </c>
    </row>
    <row r="1060" customFormat="false" ht="14.5" hidden="false" customHeight="false" outlineLevel="0" collapsed="false">
      <c r="B1060" s="2888" t="str">
        <f aca="false">'Смета Внутр'!B1066</f>
        <v>Двутавровая деревянная балка, 300*90мм</v>
      </c>
      <c r="C1060" s="2889" t="str">
        <f aca="false">'Смета Внутр'!C1066</f>
        <v>м.п.</v>
      </c>
      <c r="D1060" s="2890" t="n">
        <f aca="false">'Смета Внутр'!D1066</f>
        <v>0</v>
      </c>
      <c r="E1060" s="2888"/>
      <c r="F1060" s="2895" t="n">
        <f aca="false">'Смета Внутр'!H1066</f>
        <v>0</v>
      </c>
    </row>
    <row r="1061" customFormat="false" ht="14.5" hidden="false" customHeight="false" outlineLevel="0" collapsed="false">
      <c r="B1061" s="2888" t="str">
        <f aca="false">'Смета Внутр'!B1067</f>
        <v>Двутавровая деревянная балка, 240*65мм</v>
      </c>
      <c r="C1061" s="2889" t="str">
        <f aca="false">'Смета Внутр'!C1067</f>
        <v>м.п.</v>
      </c>
      <c r="D1061" s="2890" t="n">
        <f aca="false">'Смета Внутр'!D1067</f>
        <v>0</v>
      </c>
      <c r="E1061" s="2888"/>
      <c r="F1061" s="2895" t="n">
        <f aca="false">'Смета Внутр'!H1067</f>
        <v>0</v>
      </c>
    </row>
    <row r="1062" customFormat="false" ht="14.5" hidden="false" customHeight="false" outlineLevel="0" collapsed="false">
      <c r="B1062" s="2888" t="str">
        <f aca="false">'Смета Внутр'!B1068</f>
        <v>Двутавровая деревянная балка, 240*90мм</v>
      </c>
      <c r="C1062" s="2889" t="str">
        <f aca="false">'Смета Внутр'!C1068</f>
        <v>м.п.</v>
      </c>
      <c r="D1062" s="2890" t="n">
        <f aca="false">'Смета Внутр'!D1068</f>
        <v>0</v>
      </c>
      <c r="E1062" s="2888"/>
      <c r="F1062" s="2895" t="n">
        <f aca="false">'Смета Внутр'!H1068</f>
        <v>0</v>
      </c>
    </row>
    <row r="1063" customFormat="false" ht="14.5" hidden="false" customHeight="false" outlineLevel="0" collapsed="false">
      <c r="B1063" s="2888" t="str">
        <f aca="false">'Смета Внутр'!B1069</f>
        <v>Двутавровая деревянная балка, 200*65мм</v>
      </c>
      <c r="C1063" s="2889" t="str">
        <f aca="false">'Смета Внутр'!C1069</f>
        <v>м.п.</v>
      </c>
      <c r="D1063" s="2890" t="n">
        <f aca="false">'Смета Внутр'!D1069</f>
        <v>0</v>
      </c>
      <c r="E1063" s="2888"/>
      <c r="F1063" s="2895" t="n">
        <f aca="false">'Смета Внутр'!H1069</f>
        <v>0</v>
      </c>
    </row>
    <row r="1064" customFormat="false" ht="14.5" hidden="false" customHeight="false" outlineLevel="0" collapsed="false">
      <c r="B1064" s="2888" t="str">
        <f aca="false">'Смета Внутр'!B1070</f>
        <v>Двутавровая деревянная балка, 200*90мм</v>
      </c>
      <c r="C1064" s="2889" t="str">
        <f aca="false">'Смета Внутр'!C1070</f>
        <v>м.п.</v>
      </c>
      <c r="D1064" s="2890" t="n">
        <f aca="false">'Смета Внутр'!D1070</f>
        <v>0</v>
      </c>
      <c r="E1064" s="2888"/>
      <c r="F1064" s="2895" t="n">
        <f aca="false">'Смета Внутр'!H1070</f>
        <v>0</v>
      </c>
    </row>
    <row r="1065" customFormat="false" ht="14.5" hidden="false" customHeight="false" outlineLevel="0" collapsed="false">
      <c r="B1065" s="2888" t="str">
        <f aca="false">'Смета Внутр'!B1071</f>
        <v>Двутавровая деревянная балка, 150*65мм</v>
      </c>
      <c r="C1065" s="2889" t="str">
        <f aca="false">'Смета Внутр'!C1071</f>
        <v>м.п.</v>
      </c>
      <c r="D1065" s="2890" t="n">
        <f aca="false">'Смета Внутр'!D1071</f>
        <v>0</v>
      </c>
      <c r="E1065" s="2888"/>
      <c r="F1065" s="2895" t="n">
        <f aca="false">'Смета Внутр'!H1071</f>
        <v>0</v>
      </c>
    </row>
    <row r="1066" customFormat="false" ht="14.5" hidden="false" customHeight="false" outlineLevel="0" collapsed="false">
      <c r="B1066" s="2888" t="str">
        <f aca="false">'Смета Внутр'!B1072</f>
        <v>Двутавровая деревянная балка, 150*90мм</v>
      </c>
      <c r="C1066" s="2889" t="str">
        <f aca="false">'Смета Внутр'!C1072</f>
        <v>м.п.</v>
      </c>
      <c r="D1066" s="2890" t="n">
        <f aca="false">'Смета Внутр'!D1072</f>
        <v>0</v>
      </c>
      <c r="E1066" s="2888"/>
      <c r="F1066" s="2895" t="n">
        <f aca="false">'Смета Внутр'!H1072</f>
        <v>0</v>
      </c>
    </row>
    <row r="1067" customFormat="false" ht="14.5" hidden="false" customHeight="false" outlineLevel="0" collapsed="false">
      <c r="B1067" s="2888" t="str">
        <f aca="false">'Смета Внутр'!B1073</f>
        <v>Уголок усиленный 90х70х55х2,5</v>
      </c>
      <c r="C1067" s="2889" t="str">
        <f aca="false">'Смета Внутр'!C1073</f>
        <v>шт</v>
      </c>
      <c r="D1067" s="2890" t="n">
        <f aca="false">'Смета Внутр'!D1073</f>
        <v>0</v>
      </c>
      <c r="E1067" s="2888"/>
      <c r="F1067" s="2895" t="n">
        <f aca="false">'Смета Внутр'!H1073</f>
        <v>0</v>
      </c>
    </row>
    <row r="1068" customFormat="false" ht="14.5" hidden="false" customHeight="false" outlineLevel="0" collapsed="false">
      <c r="B1068" s="2888" t="str">
        <f aca="false">'Смета Внутр'!B1074</f>
        <v>Саморезы 3,5 x 55</v>
      </c>
      <c r="C1068" s="2889" t="str">
        <f aca="false">'Смета Внутр'!C1074</f>
        <v>шт</v>
      </c>
      <c r="D1068" s="2890" t="n">
        <f aca="false">'Смета Внутр'!D1074</f>
        <v>0</v>
      </c>
      <c r="E1068" s="2888"/>
      <c r="F1068" s="2895" t="n">
        <f aca="false">'Смета Внутр'!H1074</f>
        <v>0</v>
      </c>
    </row>
    <row r="1069" customFormat="false" ht="14.5" hidden="false" customHeight="false" outlineLevel="0" collapsed="false">
      <c r="B1069" s="2888" t="str">
        <f aca="false">'Смета Внутр'!B1075</f>
        <v>Плитный,28кг/м3, технониколь, 200мм</v>
      </c>
      <c r="C1069" s="2889" t="str">
        <f aca="false">'Смета Внутр'!C1075</f>
        <v>м3</v>
      </c>
      <c r="D1069" s="2890" t="n">
        <f aca="false">'Смета Внутр'!D1075</f>
        <v>0</v>
      </c>
      <c r="E1069" s="2888"/>
      <c r="F1069" s="2895" t="n">
        <f aca="false">'Смета Внутр'!H1075</f>
        <v>0</v>
      </c>
    </row>
    <row r="1070" customFormat="false" ht="14.5" hidden="false" customHeight="false" outlineLevel="0" collapsed="false">
      <c r="B1070" s="2888" t="str">
        <f aca="false">'Смета Внутр'!B1076</f>
        <v>Мембрана Folder Classic</v>
      </c>
      <c r="C1070" s="2889" t="str">
        <f aca="false">'Смета Внутр'!C1076</f>
        <v>м2</v>
      </c>
      <c r="D1070" s="2890" t="n">
        <f aca="false">'Смета Внутр'!D1076</f>
        <v>0</v>
      </c>
      <c r="E1070" s="2888"/>
      <c r="F1070" s="2895" t="n">
        <f aca="false">'Смета Внутр'!H1076</f>
        <v>0</v>
      </c>
    </row>
    <row r="1071" customFormat="false" ht="14.5" hidden="false" customHeight="false" outlineLevel="0" collapsed="false">
      <c r="B1071" s="2888" t="str">
        <f aca="false">'Смета Внутр'!B1077</f>
        <v>Пленка Delta-Reflex</v>
      </c>
      <c r="C1071" s="2889" t="str">
        <f aca="false">'Смета Внутр'!C1077</f>
        <v>м2</v>
      </c>
      <c r="D1071" s="2890" t="n">
        <f aca="false">'Смета Внутр'!D1077</f>
        <v>0</v>
      </c>
      <c r="E1071" s="2888"/>
      <c r="F1071" s="2895" t="n">
        <f aca="false">'Смета Внутр'!H1077</f>
        <v>0</v>
      </c>
    </row>
    <row r="1072" customFormat="false" ht="14.5" hidden="false" customHeight="false" outlineLevel="0" collapsed="false">
      <c r="B1072" s="2888" t="str">
        <f aca="false">'Смета Внутр'!B1078</f>
        <v>нет</v>
      </c>
      <c r="C1072" s="2889" t="str">
        <f aca="false">'Смета Внутр'!C1078</f>
        <v>м3</v>
      </c>
      <c r="D1072" s="2890" t="n">
        <f aca="false">'Смета Внутр'!D1078</f>
        <v>0</v>
      </c>
      <c r="E1072" s="2888"/>
      <c r="F1072" s="2902" t="n">
        <f aca="false">'Смета Внутр'!H1078</f>
        <v>0</v>
      </c>
    </row>
    <row r="1073" customFormat="false" ht="14.5" hidden="false" customHeight="false" outlineLevel="0" collapsed="false">
      <c r="B1073" s="2888" t="str">
        <f aca="false">'Смета Внутр'!B1079</f>
        <v>нет</v>
      </c>
      <c r="C1073" s="2889" t="str">
        <f aca="false">'Смета Внутр'!C1079</f>
        <v>м3</v>
      </c>
      <c r="D1073" s="2890" t="n">
        <f aca="false">'Смета Внутр'!D1079</f>
        <v>0</v>
      </c>
      <c r="E1073" s="2888"/>
      <c r="F1073" s="2902" t="n">
        <f aca="false">'Смета Внутр'!H1079</f>
        <v>0</v>
      </c>
    </row>
    <row r="1074" customFormat="false" ht="14.5" hidden="false" customHeight="false" outlineLevel="0" collapsed="false">
      <c r="B1074" s="2888" t="str">
        <f aca="false">'Смета Внутр'!B1080</f>
        <v>нет</v>
      </c>
      <c r="C1074" s="2889" t="str">
        <f aca="false">'Смета Внутр'!C1080</f>
        <v>м3</v>
      </c>
      <c r="D1074" s="2890" t="n">
        <f aca="false">'Смета Внутр'!D1080</f>
        <v>0</v>
      </c>
      <c r="E1074" s="2888"/>
      <c r="F1074" s="2902" t="n">
        <f aca="false">'Смета Внутр'!H1080</f>
        <v>0</v>
      </c>
    </row>
    <row r="1075" customFormat="false" ht="14.5" hidden="false" customHeight="false" outlineLevel="0" collapsed="false">
      <c r="B1075" s="2888" t="str">
        <f aca="false">'Смета Внутр'!B1081</f>
        <v>нет</v>
      </c>
      <c r="C1075" s="2889" t="str">
        <f aca="false">'Смета Внутр'!C1081</f>
        <v>м3</v>
      </c>
      <c r="D1075" s="2890" t="n">
        <f aca="false">'Смета Внутр'!D1081</f>
        <v>0</v>
      </c>
      <c r="E1075" s="2888"/>
      <c r="F1075" s="2902" t="n">
        <f aca="false">'Смета Внутр'!H1081</f>
        <v>0</v>
      </c>
    </row>
    <row r="1076" customFormat="false" ht="14.5" hidden="false" customHeight="false" outlineLevel="0" collapsed="false">
      <c r="B1076" s="2888" t="str">
        <f aca="false">'Смета Внутр'!B1082</f>
        <v>нет</v>
      </c>
      <c r="C1076" s="2889" t="str">
        <f aca="false">'Смета Внутр'!C1082</f>
        <v>м3</v>
      </c>
      <c r="D1076" s="2890" t="n">
        <f aca="false">'Смета Внутр'!D1082</f>
        <v>0</v>
      </c>
      <c r="E1076" s="2888"/>
      <c r="F1076" s="2895" t="n">
        <f aca="false">'Смета Внутр'!H1082</f>
        <v>0</v>
      </c>
    </row>
    <row r="1077" customFormat="false" ht="14.5" hidden="false" customHeight="false" outlineLevel="0" collapsed="false">
      <c r="B1077" s="2888" t="str">
        <f aca="false">'Смета Внутр'!B1083</f>
        <v>Сосна влаж, 50*50мм</v>
      </c>
      <c r="C1077" s="2889" t="str">
        <f aca="false">'Смета Внутр'!C1083</f>
        <v>м3</v>
      </c>
      <c r="D1077" s="2890" t="n">
        <f aca="false">'Смета Внутр'!D1083</f>
        <v>0</v>
      </c>
      <c r="E1077" s="2888"/>
      <c r="F1077" s="2895" t="n">
        <f aca="false">'Смета Внутр'!H1083</f>
        <v>0</v>
      </c>
    </row>
    <row r="1078" customFormat="false" ht="14.5" hidden="false" customHeight="false" outlineLevel="0" collapsed="false">
      <c r="B1078" s="2888" t="str">
        <f aca="false">'Смета Внутр'!B1084</f>
        <v>Гвозди ершоные 2,8 х 90</v>
      </c>
      <c r="C1078" s="2889" t="str">
        <f aca="false">'Смета Внутр'!C1084</f>
        <v>кг</v>
      </c>
      <c r="D1078" s="2890" t="n">
        <f aca="false">'Смета Внутр'!D1084</f>
        <v>0</v>
      </c>
      <c r="E1078" s="2888"/>
      <c r="F1078" s="2902" t="n">
        <f aca="false">'Смета Внутр'!H1084</f>
        <v>0</v>
      </c>
    </row>
    <row r="1079" customFormat="false" ht="14.5" hidden="false" customHeight="false" outlineLevel="0" collapsed="false">
      <c r="B1079" s="2888" t="str">
        <f aca="false">'Смета Внутр'!B1085</f>
        <v>ГПС 100х50-1,2</v>
      </c>
      <c r="C1079" s="2889" t="str">
        <f aca="false">'Смета Внутр'!C1085</f>
        <v>м.п.</v>
      </c>
      <c r="D1079" s="2890" t="n">
        <f aca="false">'Смета Внутр'!D1085</f>
        <v>0</v>
      </c>
      <c r="E1079" s="2888"/>
      <c r="F1079" s="2902"/>
    </row>
    <row r="1080" customFormat="false" ht="14.5" hidden="false" customHeight="false" outlineLevel="0" collapsed="false">
      <c r="B1080" s="2888" t="str">
        <f aca="false">'Смета Внутр'!B1086</f>
        <v>ГПС 100х50-1,5</v>
      </c>
      <c r="C1080" s="2889" t="str">
        <f aca="false">'Смета Внутр'!C1086</f>
        <v>м.п.</v>
      </c>
      <c r="D1080" s="2890" t="n">
        <f aca="false">'Смета Внутр'!D1086</f>
        <v>0</v>
      </c>
      <c r="E1080" s="2888"/>
      <c r="F1080" s="2902"/>
    </row>
    <row r="1081" customFormat="false" ht="14.5" hidden="false" customHeight="false" outlineLevel="0" collapsed="false">
      <c r="B1081" s="2888" t="str">
        <f aca="false">'Смета Внутр'!B1087</f>
        <v>ГПС 120х50-1,5</v>
      </c>
      <c r="C1081" s="2889" t="str">
        <f aca="false">'Смета Внутр'!C1087</f>
        <v>м.п.</v>
      </c>
      <c r="D1081" s="2890" t="n">
        <f aca="false">'Смета Внутр'!D1087</f>
        <v>0</v>
      </c>
      <c r="E1081" s="2888"/>
      <c r="F1081" s="2902"/>
    </row>
    <row r="1082" customFormat="false" ht="14.5" hidden="false" customHeight="false" outlineLevel="0" collapsed="false">
      <c r="B1082" s="2888" t="str">
        <f aca="false">'Смета Внутр'!B1088</f>
        <v>ГПС 120х50-2,0</v>
      </c>
      <c r="C1082" s="2889" t="str">
        <f aca="false">'Смета Внутр'!C1088</f>
        <v>м.п.</v>
      </c>
      <c r="D1082" s="2890" t="n">
        <f aca="false">'Смета Внутр'!D1088</f>
        <v>0</v>
      </c>
      <c r="E1082" s="2888"/>
      <c r="F1082" s="2902"/>
    </row>
    <row r="1083" customFormat="false" ht="14.5" hidden="false" customHeight="false" outlineLevel="0" collapsed="false">
      <c r="B1083" s="2888" t="str">
        <f aca="false">'Смета Внутр'!B1089</f>
        <v>ГПС 150х50-1,2</v>
      </c>
      <c r="C1083" s="2889" t="str">
        <f aca="false">'Смета Внутр'!C1089</f>
        <v>м.п.</v>
      </c>
      <c r="D1083" s="2890" t="n">
        <f aca="false">'Смета Внутр'!D1089</f>
        <v>0</v>
      </c>
      <c r="E1083" s="2888"/>
      <c r="F1083" s="2902"/>
    </row>
    <row r="1084" customFormat="false" ht="14.5" hidden="false" customHeight="false" outlineLevel="0" collapsed="false">
      <c r="B1084" s="2888" t="str">
        <f aca="false">'Смета Внутр'!B1090</f>
        <v>ГПС 150х50-1,5</v>
      </c>
      <c r="C1084" s="2889" t="str">
        <f aca="false">'Смета Внутр'!C1090</f>
        <v>м.п.</v>
      </c>
      <c r="D1084" s="2890" t="n">
        <f aca="false">'Смета Внутр'!D1090</f>
        <v>0</v>
      </c>
      <c r="E1084" s="2888"/>
      <c r="F1084" s="2902"/>
    </row>
    <row r="1085" customFormat="false" ht="14.5" hidden="false" customHeight="false" outlineLevel="0" collapsed="false">
      <c r="B1085" s="2888" t="str">
        <f aca="false">'Смета Внутр'!B1091</f>
        <v>ГПС 150х50-2,0</v>
      </c>
      <c r="C1085" s="2889" t="str">
        <f aca="false">'Смета Внутр'!C1091</f>
        <v>м.п.</v>
      </c>
      <c r="D1085" s="2890" t="n">
        <f aca="false">'Смета Внутр'!D1091</f>
        <v>0</v>
      </c>
      <c r="E1085" s="2888"/>
      <c r="F1085" s="2902"/>
    </row>
    <row r="1086" customFormat="false" ht="14.5" hidden="false" customHeight="false" outlineLevel="0" collapsed="false">
      <c r="B1086" s="2888" t="str">
        <f aca="false">'Смета Внутр'!B1092</f>
        <v>ГПС 170х50-1,2</v>
      </c>
      <c r="C1086" s="2889" t="str">
        <f aca="false">'Смета Внутр'!C1092</f>
        <v>м.п.</v>
      </c>
      <c r="D1086" s="2890" t="n">
        <f aca="false">'Смета Внутр'!D1092</f>
        <v>0</v>
      </c>
      <c r="E1086" s="2888"/>
      <c r="F1086" s="2902"/>
    </row>
    <row r="1087" customFormat="false" ht="14.5" hidden="false" customHeight="false" outlineLevel="0" collapsed="false">
      <c r="B1087" s="2888" t="str">
        <f aca="false">'Смета Внутр'!B1093</f>
        <v>ГПС 170х50-1,5</v>
      </c>
      <c r="C1087" s="2889" t="str">
        <f aca="false">'Смета Внутр'!C1093</f>
        <v>м.п.</v>
      </c>
      <c r="D1087" s="2890" t="n">
        <f aca="false">'Смета Внутр'!D1093</f>
        <v>0</v>
      </c>
      <c r="E1087" s="2888"/>
      <c r="F1087" s="2902"/>
    </row>
    <row r="1088" customFormat="false" ht="14.5" hidden="false" customHeight="false" outlineLevel="0" collapsed="false">
      <c r="B1088" s="2888" t="str">
        <f aca="false">'Смета Внутр'!B1094</f>
        <v>ГПС 170х50-2,0</v>
      </c>
      <c r="C1088" s="2889" t="str">
        <f aca="false">'Смета Внутр'!C1094</f>
        <v>м.п.</v>
      </c>
      <c r="D1088" s="2890" t="n">
        <f aca="false">'Смета Внутр'!D1094</f>
        <v>0</v>
      </c>
      <c r="E1088" s="2888"/>
      <c r="F1088" s="2902"/>
    </row>
    <row r="1089" customFormat="false" ht="14.5" hidden="false" customHeight="false" outlineLevel="0" collapsed="false">
      <c r="B1089" s="2888" t="str">
        <f aca="false">'Смета Внутр'!B1095</f>
        <v>ГПС 200х50-1,2</v>
      </c>
      <c r="C1089" s="2889" t="str">
        <f aca="false">'Смета Внутр'!C1095</f>
        <v>м.п.</v>
      </c>
      <c r="D1089" s="2890" t="n">
        <f aca="false">'Смета Внутр'!D1095</f>
        <v>0</v>
      </c>
      <c r="E1089" s="2888"/>
      <c r="F1089" s="2902"/>
    </row>
    <row r="1090" customFormat="false" ht="14.5" hidden="false" customHeight="false" outlineLevel="0" collapsed="false">
      <c r="B1090" s="2888" t="str">
        <f aca="false">'Смета Внутр'!B1096</f>
        <v>ГПС 200х50-1,5</v>
      </c>
      <c r="C1090" s="2889" t="str">
        <f aca="false">'Смета Внутр'!C1096</f>
        <v>м.п.</v>
      </c>
      <c r="D1090" s="2890" t="n">
        <f aca="false">'Смета Внутр'!D1096</f>
        <v>0</v>
      </c>
      <c r="E1090" s="2888"/>
      <c r="F1090" s="2902"/>
    </row>
    <row r="1091" customFormat="false" ht="14.5" hidden="false" customHeight="false" outlineLevel="0" collapsed="false">
      <c r="B1091" s="2888" t="str">
        <f aca="false">'Смета Внутр'!B1097</f>
        <v>ГПС 200х50-2,0</v>
      </c>
      <c r="C1091" s="2889" t="str">
        <f aca="false">'Смета Внутр'!C1097</f>
        <v>м.п.</v>
      </c>
      <c r="D1091" s="2890" t="n">
        <f aca="false">'Смета Внутр'!D1097</f>
        <v>0</v>
      </c>
      <c r="E1091" s="2888"/>
      <c r="F1091" s="2902"/>
    </row>
    <row r="1092" customFormat="false" ht="14.5" hidden="false" customHeight="false" outlineLevel="0" collapsed="false">
      <c r="B1092" s="2888" t="str">
        <f aca="false">'Смета Внутр'!B1098</f>
        <v>ГПС 250х50-1,2</v>
      </c>
      <c r="C1092" s="2889" t="str">
        <f aca="false">'Смета Внутр'!C1098</f>
        <v>м.п.</v>
      </c>
      <c r="D1092" s="2890" t="n">
        <f aca="false">'Смета Внутр'!D1098</f>
        <v>0</v>
      </c>
      <c r="E1092" s="2888"/>
      <c r="F1092" s="2902"/>
    </row>
    <row r="1093" customFormat="false" ht="14.5" hidden="false" customHeight="false" outlineLevel="0" collapsed="false">
      <c r="B1093" s="2888" t="str">
        <f aca="false">'Смета Внутр'!B1099</f>
        <v>ГПС 250х50-1,5</v>
      </c>
      <c r="C1093" s="2889" t="str">
        <f aca="false">'Смета Внутр'!C1099</f>
        <v>м.п.</v>
      </c>
      <c r="D1093" s="2890" t="n">
        <f aca="false">'Смета Внутр'!D1099</f>
        <v>0</v>
      </c>
      <c r="E1093" s="2888"/>
      <c r="F1093" s="2902"/>
    </row>
    <row r="1094" customFormat="false" ht="14.5" hidden="false" customHeight="false" outlineLevel="0" collapsed="false">
      <c r="B1094" s="2888" t="str">
        <f aca="false">'Смета Внутр'!B1100</f>
        <v>ГПС 250х50-2,0</v>
      </c>
      <c r="C1094" s="2889" t="str">
        <f aca="false">'Смета Внутр'!C1100</f>
        <v>м.п.</v>
      </c>
      <c r="D1094" s="2890" t="n">
        <f aca="false">'Смета Внутр'!D1100</f>
        <v>0</v>
      </c>
      <c r="E1094" s="2888"/>
      <c r="F1094" s="2902"/>
    </row>
    <row r="1095" customFormat="false" ht="14.5" hidden="false" customHeight="false" outlineLevel="0" collapsed="false">
      <c r="B1095" s="2888" t="str">
        <f aca="false">'Смета Внутр'!B1101</f>
        <v>ГПС 280х50-1,2</v>
      </c>
      <c r="C1095" s="2889" t="str">
        <f aca="false">'Смета Внутр'!C1101</f>
        <v>м.п.</v>
      </c>
      <c r="D1095" s="2890" t="n">
        <f aca="false">'Смета Внутр'!D1101</f>
        <v>0</v>
      </c>
      <c r="E1095" s="2888"/>
      <c r="F1095" s="2902"/>
    </row>
    <row r="1096" customFormat="false" ht="14.5" hidden="false" customHeight="false" outlineLevel="0" collapsed="false">
      <c r="B1096" s="2888" t="str">
        <f aca="false">'Смета Внутр'!B1102</f>
        <v>ГПС 280х50-1,5</v>
      </c>
      <c r="C1096" s="2889" t="str">
        <f aca="false">'Смета Внутр'!C1102</f>
        <v>м.п.</v>
      </c>
      <c r="D1096" s="2890" t="n">
        <f aca="false">'Смета Внутр'!D1102</f>
        <v>0</v>
      </c>
      <c r="E1096" s="2888"/>
      <c r="F1096" s="2902"/>
    </row>
    <row r="1097" customFormat="false" ht="14.5" hidden="false" customHeight="false" outlineLevel="0" collapsed="false">
      <c r="B1097" s="2888" t="str">
        <f aca="false">'Смета Внутр'!B1103</f>
        <v>ГПС 280х50-2,0</v>
      </c>
      <c r="C1097" s="2889" t="str">
        <f aca="false">'Смета Внутр'!C1103</f>
        <v>м.п.</v>
      </c>
      <c r="D1097" s="2890" t="n">
        <f aca="false">'Смета Внутр'!D1103</f>
        <v>0</v>
      </c>
      <c r="E1097" s="2888"/>
      <c r="F1097" s="2902"/>
    </row>
    <row r="1098" customFormat="false" ht="14.5" hidden="false" customHeight="false" outlineLevel="0" collapsed="false">
      <c r="B1098" s="2888" t="str">
        <f aca="false">'Смета Внутр'!B1104</f>
        <v>ГПН 102х35-1,2</v>
      </c>
      <c r="C1098" s="2889" t="str">
        <f aca="false">'Смета Внутр'!C1104</f>
        <v>м.п.</v>
      </c>
      <c r="D1098" s="2890" t="n">
        <f aca="false">'Смета Внутр'!D1104</f>
        <v>0</v>
      </c>
      <c r="E1098" s="2888"/>
      <c r="F1098" s="2902"/>
    </row>
    <row r="1099" customFormat="false" ht="14.5" hidden="false" customHeight="false" outlineLevel="0" collapsed="false">
      <c r="B1099" s="2888" t="str">
        <f aca="false">'Смета Внутр'!B1105</f>
        <v>ГПН 102х35-1,5</v>
      </c>
      <c r="C1099" s="2889" t="str">
        <f aca="false">'Смета Внутр'!C1105</f>
        <v>м.п.</v>
      </c>
      <c r="D1099" s="2890" t="n">
        <f aca="false">'Смета Внутр'!D1105</f>
        <v>0</v>
      </c>
      <c r="E1099" s="2888"/>
      <c r="F1099" s="2902"/>
    </row>
    <row r="1100" customFormat="false" ht="14.5" hidden="false" customHeight="false" outlineLevel="0" collapsed="false">
      <c r="B1100" s="2888" t="str">
        <f aca="false">'Смета Внутр'!B1106</f>
        <v>ГПН 102х35-2,0</v>
      </c>
      <c r="C1100" s="2889" t="str">
        <f aca="false">'Смета Внутр'!C1106</f>
        <v>м.п.</v>
      </c>
      <c r="D1100" s="2890" t="n">
        <f aca="false">'Смета Внутр'!D1106</f>
        <v>0</v>
      </c>
      <c r="E1100" s="2888"/>
      <c r="F1100" s="2902"/>
    </row>
    <row r="1101" customFormat="false" ht="14.5" hidden="false" customHeight="false" outlineLevel="0" collapsed="false">
      <c r="B1101" s="2888" t="str">
        <f aca="false">'Смета Внутр'!B1107</f>
        <v>ГПН 122х35-1,2</v>
      </c>
      <c r="C1101" s="2889" t="str">
        <f aca="false">'Смета Внутр'!C1107</f>
        <v>м.п.</v>
      </c>
      <c r="D1101" s="2890" t="n">
        <f aca="false">'Смета Внутр'!D1107</f>
        <v>0</v>
      </c>
      <c r="E1101" s="2888"/>
      <c r="F1101" s="2902"/>
    </row>
    <row r="1102" customFormat="false" ht="14.5" hidden="false" customHeight="false" outlineLevel="0" collapsed="false">
      <c r="B1102" s="2888" t="str">
        <f aca="false">'Смета Внутр'!B1108</f>
        <v>ГПН 122х35-1,5</v>
      </c>
      <c r="C1102" s="2889" t="str">
        <f aca="false">'Смета Внутр'!C1108</f>
        <v>м.п.</v>
      </c>
      <c r="D1102" s="2890" t="n">
        <f aca="false">'Смета Внутр'!D1108</f>
        <v>0</v>
      </c>
      <c r="E1102" s="2888"/>
      <c r="F1102" s="2902"/>
    </row>
    <row r="1103" customFormat="false" ht="14.5" hidden="false" customHeight="false" outlineLevel="0" collapsed="false">
      <c r="B1103" s="2888" t="str">
        <f aca="false">'Смета Внутр'!B1109</f>
        <v>ГПН 122х35-2,0</v>
      </c>
      <c r="C1103" s="2889" t="str">
        <f aca="false">'Смета Внутр'!C1109</f>
        <v>м.п.</v>
      </c>
      <c r="D1103" s="2890" t="n">
        <f aca="false">'Смета Внутр'!D1109</f>
        <v>0</v>
      </c>
      <c r="E1103" s="2888"/>
      <c r="F1103" s="2902"/>
    </row>
    <row r="1104" customFormat="false" ht="14.5" hidden="false" customHeight="false" outlineLevel="0" collapsed="false">
      <c r="B1104" s="2888" t="str">
        <f aca="false">'Смета Внутр'!B1110</f>
        <v>ГПН 152х35-1,2</v>
      </c>
      <c r="C1104" s="2889" t="str">
        <f aca="false">'Смета Внутр'!C1110</f>
        <v>м.п.</v>
      </c>
      <c r="D1104" s="2890" t="n">
        <f aca="false">'Смета Внутр'!D1110</f>
        <v>0</v>
      </c>
      <c r="E1104" s="2888"/>
      <c r="F1104" s="2902"/>
    </row>
    <row r="1105" customFormat="false" ht="14.5" hidden="false" customHeight="false" outlineLevel="0" collapsed="false">
      <c r="B1105" s="2888" t="str">
        <f aca="false">'Смета Внутр'!B1111</f>
        <v>ГПН 152х35-1,5</v>
      </c>
      <c r="C1105" s="2889" t="str">
        <f aca="false">'Смета Внутр'!C1111</f>
        <v>м.п.</v>
      </c>
      <c r="D1105" s="2890" t="n">
        <f aca="false">'Смета Внутр'!D1111</f>
        <v>0</v>
      </c>
      <c r="E1105" s="2888"/>
      <c r="F1105" s="2902"/>
    </row>
    <row r="1106" customFormat="false" ht="14.5" hidden="false" customHeight="false" outlineLevel="0" collapsed="false">
      <c r="B1106" s="2888" t="str">
        <f aca="false">'Смета Внутр'!B1112</f>
        <v>ГПН 152х35-2,0</v>
      </c>
      <c r="C1106" s="2889" t="str">
        <f aca="false">'Смета Внутр'!C1112</f>
        <v>м.п.</v>
      </c>
      <c r="D1106" s="2890" t="n">
        <f aca="false">'Смета Внутр'!D1112</f>
        <v>0</v>
      </c>
      <c r="E1106" s="2888"/>
      <c r="F1106" s="2902"/>
    </row>
    <row r="1107" customFormat="false" ht="14.5" hidden="false" customHeight="false" outlineLevel="0" collapsed="false">
      <c r="B1107" s="2888" t="str">
        <f aca="false">'Смета Внутр'!B1113</f>
        <v>ГПН 172х35-1,2</v>
      </c>
      <c r="C1107" s="2889" t="str">
        <f aca="false">'Смета Внутр'!C1113</f>
        <v>м.п.</v>
      </c>
      <c r="D1107" s="2890" t="n">
        <f aca="false">'Смета Внутр'!D1113</f>
        <v>0</v>
      </c>
      <c r="E1107" s="2888"/>
      <c r="F1107" s="2902"/>
    </row>
    <row r="1108" customFormat="false" ht="14.5" hidden="false" customHeight="false" outlineLevel="0" collapsed="false">
      <c r="B1108" s="2888" t="str">
        <f aca="false">'Смета Внутр'!B1114</f>
        <v>ГПН 172х35-1,5</v>
      </c>
      <c r="C1108" s="2889" t="str">
        <f aca="false">'Смета Внутр'!C1114</f>
        <v>м.п.</v>
      </c>
      <c r="D1108" s="2890" t="n">
        <f aca="false">'Смета Внутр'!D1114</f>
        <v>0</v>
      </c>
      <c r="E1108" s="2888"/>
      <c r="F1108" s="2902"/>
    </row>
    <row r="1109" customFormat="false" ht="14.5" hidden="false" customHeight="false" outlineLevel="0" collapsed="false">
      <c r="B1109" s="2888" t="str">
        <f aca="false">'Смета Внутр'!B1115</f>
        <v>ГПН 172х35-2,0</v>
      </c>
      <c r="C1109" s="2889" t="str">
        <f aca="false">'Смета Внутр'!C1115</f>
        <v>м.п.</v>
      </c>
      <c r="D1109" s="2890" t="n">
        <f aca="false">'Смета Внутр'!D1115</f>
        <v>0</v>
      </c>
      <c r="E1109" s="2888"/>
      <c r="F1109" s="2902"/>
    </row>
    <row r="1110" customFormat="false" ht="14.5" hidden="false" customHeight="false" outlineLevel="0" collapsed="false">
      <c r="B1110" s="2888" t="str">
        <f aca="false">'Смета Внутр'!B1116</f>
        <v>ГПН 202х35-1,2</v>
      </c>
      <c r="C1110" s="2889" t="str">
        <f aca="false">'Смета Внутр'!C1116</f>
        <v>м.п.</v>
      </c>
      <c r="D1110" s="2890" t="n">
        <f aca="false">'Смета Внутр'!D1116</f>
        <v>0</v>
      </c>
      <c r="E1110" s="2888"/>
      <c r="F1110" s="2902"/>
    </row>
    <row r="1111" customFormat="false" ht="14.5" hidden="false" customHeight="false" outlineLevel="0" collapsed="false">
      <c r="B1111" s="2888" t="str">
        <f aca="false">'Смета Внутр'!B1117</f>
        <v>ГПН 202х35-1,5</v>
      </c>
      <c r="C1111" s="2889" t="str">
        <f aca="false">'Смета Внутр'!C1117</f>
        <v>м.п.</v>
      </c>
      <c r="D1111" s="2890" t="n">
        <f aca="false">'Смета Внутр'!D1117</f>
        <v>0</v>
      </c>
      <c r="E1111" s="2888"/>
      <c r="F1111" s="2902"/>
    </row>
    <row r="1112" customFormat="false" ht="14.5" hidden="false" customHeight="false" outlineLevel="0" collapsed="false">
      <c r="B1112" s="2888" t="str">
        <f aca="false">'Смета Внутр'!B1118</f>
        <v>ГПН 202х35-2,0</v>
      </c>
      <c r="C1112" s="2889" t="str">
        <f aca="false">'Смета Внутр'!C1118</f>
        <v>м.п.</v>
      </c>
      <c r="D1112" s="2890" t="n">
        <f aca="false">'Смета Внутр'!D1118</f>
        <v>0</v>
      </c>
      <c r="E1112" s="2888"/>
      <c r="F1112" s="2902"/>
    </row>
    <row r="1113" customFormat="false" ht="14.5" hidden="false" customHeight="false" outlineLevel="0" collapsed="false">
      <c r="B1113" s="2888" t="str">
        <f aca="false">'Смета Внутр'!B1119</f>
        <v>ГПН 252х35-1,2</v>
      </c>
      <c r="C1113" s="2889" t="str">
        <f aca="false">'Смета Внутр'!C1119</f>
        <v>м.п.</v>
      </c>
      <c r="D1113" s="2890" t="n">
        <f aca="false">'Смета Внутр'!D1119</f>
        <v>0</v>
      </c>
      <c r="E1113" s="2888"/>
      <c r="F1113" s="2902"/>
    </row>
    <row r="1114" customFormat="false" ht="14.5" hidden="false" customHeight="false" outlineLevel="0" collapsed="false">
      <c r="B1114" s="2888" t="str">
        <f aca="false">'Смета Внутр'!B1120</f>
        <v>ГПН 252х35-1,5</v>
      </c>
      <c r="C1114" s="2889" t="str">
        <f aca="false">'Смета Внутр'!C1120</f>
        <v>м.п.</v>
      </c>
      <c r="D1114" s="2890" t="n">
        <f aca="false">'Смета Внутр'!D1120</f>
        <v>0</v>
      </c>
      <c r="E1114" s="2888"/>
      <c r="F1114" s="2902"/>
    </row>
    <row r="1115" customFormat="false" ht="14.5" hidden="false" customHeight="false" outlineLevel="0" collapsed="false">
      <c r="B1115" s="2888" t="str">
        <f aca="false">'Смета Внутр'!B1121</f>
        <v>ГПН 252х35-2,0</v>
      </c>
      <c r="C1115" s="2889" t="str">
        <f aca="false">'Смета Внутр'!C1121</f>
        <v>м.п.</v>
      </c>
      <c r="D1115" s="2890" t="n">
        <f aca="false">'Смета Внутр'!D1121</f>
        <v>0</v>
      </c>
      <c r="E1115" s="2888"/>
      <c r="F1115" s="2902"/>
    </row>
    <row r="1116" customFormat="false" ht="14.5" hidden="false" customHeight="false" outlineLevel="0" collapsed="false">
      <c r="B1116" s="2888" t="str">
        <f aca="false">'Смета Внутр'!B1122</f>
        <v>ГПН 282х35-1,2</v>
      </c>
      <c r="C1116" s="2889" t="str">
        <f aca="false">'Смета Внутр'!C1122</f>
        <v>м.п.</v>
      </c>
      <c r="D1116" s="2890" t="n">
        <f aca="false">'Смета Внутр'!D1122</f>
        <v>0</v>
      </c>
      <c r="E1116" s="2888"/>
      <c r="F1116" s="2902"/>
    </row>
    <row r="1117" customFormat="false" ht="14.5" hidden="false" customHeight="false" outlineLevel="0" collapsed="false">
      <c r="B1117" s="2888" t="str">
        <f aca="false">'Смета Внутр'!B1123</f>
        <v>Саморез 5,5 х 25</v>
      </c>
      <c r="C1117" s="2889" t="n">
        <f aca="false">'Смета Внутр'!C1123</f>
        <v>0</v>
      </c>
      <c r="D1117" s="2890" t="n">
        <f aca="false">'Смета Внутр'!D1123</f>
        <v>0</v>
      </c>
      <c r="E1117" s="2888"/>
      <c r="F1117" s="2902"/>
    </row>
    <row r="1118" customFormat="false" ht="14.5" hidden="false" customHeight="false" outlineLevel="0" collapsed="false">
      <c r="B1118" s="2888" t="str">
        <f aca="false">'Смета Внутр'!B1124</f>
        <v>ГПС 100х50-1,2</v>
      </c>
      <c r="C1118" s="2889" t="str">
        <f aca="false">'Смета Внутр'!C1124</f>
        <v>м.п.</v>
      </c>
      <c r="D1118" s="2890" t="n">
        <f aca="false">'Смета Внутр'!D1124</f>
        <v>0</v>
      </c>
      <c r="E1118" s="2888"/>
      <c r="F1118" s="2902"/>
    </row>
    <row r="1119" customFormat="false" ht="14.5" hidden="false" customHeight="false" outlineLevel="0" collapsed="false">
      <c r="B1119" s="2888" t="str">
        <f aca="false">'Смета Внутр'!B1125</f>
        <v>ГПС 100х50-1,5</v>
      </c>
      <c r="C1119" s="2889" t="str">
        <f aca="false">'Смета Внутр'!C1125</f>
        <v>м.п.</v>
      </c>
      <c r="D1119" s="2890" t="n">
        <f aca="false">'Смета Внутр'!D1125</f>
        <v>0</v>
      </c>
      <c r="E1119" s="2888"/>
      <c r="F1119" s="2902"/>
    </row>
    <row r="1120" customFormat="false" ht="14.5" hidden="false" customHeight="false" outlineLevel="0" collapsed="false">
      <c r="B1120" s="2888" t="str">
        <f aca="false">'Смета Внутр'!B1126</f>
        <v>ГПС 120х50-1,5</v>
      </c>
      <c r="C1120" s="2889" t="str">
        <f aca="false">'Смета Внутр'!C1126</f>
        <v>м.п.</v>
      </c>
      <c r="D1120" s="2890" t="n">
        <f aca="false">'Смета Внутр'!D1126</f>
        <v>0</v>
      </c>
      <c r="E1120" s="2888"/>
      <c r="F1120" s="2902"/>
    </row>
    <row r="1121" customFormat="false" ht="14.5" hidden="false" customHeight="false" outlineLevel="0" collapsed="false">
      <c r="B1121" s="2888" t="str">
        <f aca="false">'Смета Внутр'!B1127</f>
        <v>ГПС 120х50-2,0</v>
      </c>
      <c r="C1121" s="2889" t="str">
        <f aca="false">'Смета Внутр'!C1127</f>
        <v>м.п.</v>
      </c>
      <c r="D1121" s="2890" t="n">
        <f aca="false">'Смета Внутр'!D1127</f>
        <v>0</v>
      </c>
      <c r="E1121" s="2888"/>
      <c r="F1121" s="2902"/>
    </row>
    <row r="1122" customFormat="false" ht="14.5" hidden="false" customHeight="false" outlineLevel="0" collapsed="false">
      <c r="B1122" s="2888" t="str">
        <f aca="false">'Смета Внутр'!B1128</f>
        <v>ГПС 150х50-1,2</v>
      </c>
      <c r="C1122" s="2889" t="str">
        <f aca="false">'Смета Внутр'!C1128</f>
        <v>м.п.</v>
      </c>
      <c r="D1122" s="2890" t="n">
        <f aca="false">'Смета Внутр'!D1128</f>
        <v>0</v>
      </c>
      <c r="E1122" s="2888"/>
      <c r="F1122" s="2902"/>
    </row>
    <row r="1123" customFormat="false" ht="14.5" hidden="false" customHeight="false" outlineLevel="0" collapsed="false">
      <c r="B1123" s="2888" t="str">
        <f aca="false">'Смета Внутр'!B1129</f>
        <v>ГПС 150х50-1,5</v>
      </c>
      <c r="C1123" s="2889" t="str">
        <f aca="false">'Смета Внутр'!C1129</f>
        <v>м.п.</v>
      </c>
      <c r="D1123" s="2890" t="n">
        <f aca="false">'Смета Внутр'!D1129</f>
        <v>0</v>
      </c>
      <c r="E1123" s="2888"/>
      <c r="F1123" s="2902"/>
    </row>
    <row r="1124" customFormat="false" ht="14.5" hidden="false" customHeight="false" outlineLevel="0" collapsed="false">
      <c r="B1124" s="2888" t="str">
        <f aca="false">'Смета Внутр'!B1130</f>
        <v>ГПС 150х50-2,0</v>
      </c>
      <c r="C1124" s="2889" t="str">
        <f aca="false">'Смета Внутр'!C1130</f>
        <v>м.п.</v>
      </c>
      <c r="D1124" s="2890" t="n">
        <f aca="false">'Смета Внутр'!D1130</f>
        <v>0</v>
      </c>
      <c r="E1124" s="2888"/>
      <c r="F1124" s="2902"/>
    </row>
    <row r="1125" customFormat="false" ht="14.5" hidden="false" customHeight="false" outlineLevel="0" collapsed="false">
      <c r="B1125" s="2888" t="str">
        <f aca="false">'Смета Внутр'!B1131</f>
        <v>ГПС 170х50-1,2</v>
      </c>
      <c r="C1125" s="2889" t="str">
        <f aca="false">'Смета Внутр'!C1131</f>
        <v>м.п.</v>
      </c>
      <c r="D1125" s="2890" t="n">
        <f aca="false">'Смета Внутр'!D1131</f>
        <v>0</v>
      </c>
      <c r="E1125" s="2888"/>
      <c r="F1125" s="2902"/>
    </row>
    <row r="1126" customFormat="false" ht="14.5" hidden="false" customHeight="false" outlineLevel="0" collapsed="false">
      <c r="B1126" s="2888" t="str">
        <f aca="false">'Смета Внутр'!B1132</f>
        <v>ГПС 170х50-1,5</v>
      </c>
      <c r="C1126" s="2889" t="str">
        <f aca="false">'Смета Внутр'!C1132</f>
        <v>м.п.</v>
      </c>
      <c r="D1126" s="2890" t="n">
        <f aca="false">'Смета Внутр'!D1132</f>
        <v>0</v>
      </c>
      <c r="E1126" s="2888"/>
      <c r="F1126" s="2902"/>
    </row>
    <row r="1127" customFormat="false" ht="14.5" hidden="false" customHeight="false" outlineLevel="0" collapsed="false">
      <c r="B1127" s="2888" t="str">
        <f aca="false">'Смета Внутр'!B1133</f>
        <v>ГПС 170х50-2,0</v>
      </c>
      <c r="C1127" s="2889" t="str">
        <f aca="false">'Смета Внутр'!C1133</f>
        <v>м.п.</v>
      </c>
      <c r="D1127" s="2890" t="n">
        <f aca="false">'Смета Внутр'!D1133</f>
        <v>0</v>
      </c>
      <c r="E1127" s="2888"/>
      <c r="F1127" s="2902"/>
    </row>
    <row r="1128" customFormat="false" ht="14.5" hidden="false" customHeight="false" outlineLevel="0" collapsed="false">
      <c r="B1128" s="2888" t="str">
        <f aca="false">'Смета Внутр'!B1134</f>
        <v>ГПС 200х50-1,2</v>
      </c>
      <c r="C1128" s="2889" t="str">
        <f aca="false">'Смета Внутр'!C1134</f>
        <v>м.п.</v>
      </c>
      <c r="D1128" s="2890" t="n">
        <f aca="false">'Смета Внутр'!D1134</f>
        <v>0</v>
      </c>
      <c r="E1128" s="2888"/>
      <c r="F1128" s="2902"/>
    </row>
    <row r="1129" customFormat="false" ht="14.5" hidden="false" customHeight="false" outlineLevel="0" collapsed="false">
      <c r="B1129" s="2888" t="str">
        <f aca="false">'Смета Внутр'!B1135</f>
        <v>ГПС 200х50-1,5</v>
      </c>
      <c r="C1129" s="2889" t="str">
        <f aca="false">'Смета Внутр'!C1135</f>
        <v>м.п.</v>
      </c>
      <c r="D1129" s="2890" t="n">
        <f aca="false">'Смета Внутр'!D1135</f>
        <v>0</v>
      </c>
      <c r="E1129" s="2888"/>
      <c r="F1129" s="2902"/>
    </row>
    <row r="1130" customFormat="false" ht="14.5" hidden="false" customHeight="false" outlineLevel="0" collapsed="false">
      <c r="B1130" s="2888" t="str">
        <f aca="false">'Смета Внутр'!B1136</f>
        <v>ГПС 200х50-2,0</v>
      </c>
      <c r="C1130" s="2889" t="str">
        <f aca="false">'Смета Внутр'!C1136</f>
        <v>м.п.</v>
      </c>
      <c r="D1130" s="2890" t="n">
        <f aca="false">'Смета Внутр'!D1136</f>
        <v>0</v>
      </c>
      <c r="E1130" s="2888"/>
      <c r="F1130" s="2902"/>
    </row>
    <row r="1131" customFormat="false" ht="14.5" hidden="false" customHeight="false" outlineLevel="0" collapsed="false">
      <c r="B1131" s="2888" t="str">
        <f aca="false">'Смета Внутр'!B1137</f>
        <v>ГПС 250х50-1,2</v>
      </c>
      <c r="C1131" s="2889" t="str">
        <f aca="false">'Смета Внутр'!C1137</f>
        <v>м.п.</v>
      </c>
      <c r="D1131" s="2890" t="n">
        <f aca="false">'Смета Внутр'!D1137</f>
        <v>0</v>
      </c>
      <c r="E1131" s="2888"/>
      <c r="F1131" s="2902"/>
    </row>
    <row r="1132" customFormat="false" ht="14.5" hidden="false" customHeight="false" outlineLevel="0" collapsed="false">
      <c r="B1132" s="2888" t="str">
        <f aca="false">'Смета Внутр'!B1138</f>
        <v>ГПС 250х50-1,5</v>
      </c>
      <c r="C1132" s="2889" t="str">
        <f aca="false">'Смета Внутр'!C1138</f>
        <v>м.п.</v>
      </c>
      <c r="D1132" s="2890" t="n">
        <f aca="false">'Смета Внутр'!D1138</f>
        <v>0</v>
      </c>
      <c r="E1132" s="2888"/>
      <c r="F1132" s="2902"/>
    </row>
    <row r="1133" customFormat="false" ht="14.5" hidden="false" customHeight="false" outlineLevel="0" collapsed="false">
      <c r="B1133" s="2888" t="str">
        <f aca="false">'Смета Внутр'!B1139</f>
        <v>ГПС 250х50-2,0</v>
      </c>
      <c r="C1133" s="2889" t="str">
        <f aca="false">'Смета Внутр'!C1139</f>
        <v>м.п.</v>
      </c>
      <c r="D1133" s="2890" t="n">
        <f aca="false">'Смета Внутр'!D1139</f>
        <v>0</v>
      </c>
      <c r="E1133" s="2888"/>
      <c r="F1133" s="2902"/>
    </row>
    <row r="1134" customFormat="false" ht="14.5" hidden="false" customHeight="false" outlineLevel="0" collapsed="false">
      <c r="B1134" s="2888" t="str">
        <f aca="false">'Смета Внутр'!B1140</f>
        <v>ГПС 280х50-1,2</v>
      </c>
      <c r="C1134" s="2889" t="str">
        <f aca="false">'Смета Внутр'!C1140</f>
        <v>м.п.</v>
      </c>
      <c r="D1134" s="2890" t="n">
        <f aca="false">'Смета Внутр'!D1140</f>
        <v>0</v>
      </c>
      <c r="E1134" s="2888"/>
      <c r="F1134" s="2902"/>
    </row>
    <row r="1135" customFormat="false" ht="14.5" hidden="false" customHeight="false" outlineLevel="0" collapsed="false">
      <c r="B1135" s="2888" t="str">
        <f aca="false">'Смета Внутр'!B1141</f>
        <v>ГПС 280х50-1,5</v>
      </c>
      <c r="C1135" s="2889" t="str">
        <f aca="false">'Смета Внутр'!C1141</f>
        <v>м.п.</v>
      </c>
      <c r="D1135" s="2890" t="n">
        <f aca="false">'Смета Внутр'!D1141</f>
        <v>0</v>
      </c>
      <c r="E1135" s="2888"/>
      <c r="F1135" s="2902"/>
    </row>
    <row r="1136" customFormat="false" ht="14.5" hidden="false" customHeight="false" outlineLevel="0" collapsed="false">
      <c r="B1136" s="2888" t="str">
        <f aca="false">'Смета Внутр'!B1142</f>
        <v>ГПС 280х50-2,0</v>
      </c>
      <c r="C1136" s="2889" t="str">
        <f aca="false">'Смета Внутр'!C1142</f>
        <v>м.п.</v>
      </c>
      <c r="D1136" s="2890" t="n">
        <f aca="false">'Смета Внутр'!D1142</f>
        <v>0</v>
      </c>
      <c r="E1136" s="2888"/>
      <c r="F1136" s="2902"/>
    </row>
    <row r="1137" customFormat="false" ht="14.5" hidden="false" customHeight="false" outlineLevel="0" collapsed="false">
      <c r="B1137" s="2888" t="str">
        <f aca="false">'Смета Внутр'!B1143</f>
        <v>ГПН 102х35-1,2</v>
      </c>
      <c r="C1137" s="2889" t="str">
        <f aca="false">'Смета Внутр'!C1143</f>
        <v>м.п.</v>
      </c>
      <c r="D1137" s="2890" t="n">
        <f aca="false">'Смета Внутр'!D1143</f>
        <v>0</v>
      </c>
      <c r="E1137" s="2888"/>
      <c r="F1137" s="2902"/>
    </row>
    <row r="1138" customFormat="false" ht="14.5" hidden="false" customHeight="false" outlineLevel="0" collapsed="false">
      <c r="B1138" s="2888" t="str">
        <f aca="false">'Смета Внутр'!B1144</f>
        <v>ГПН 102х35-1,5</v>
      </c>
      <c r="C1138" s="2889" t="str">
        <f aca="false">'Смета Внутр'!C1144</f>
        <v>м.п.</v>
      </c>
      <c r="D1138" s="2890" t="n">
        <f aca="false">'Смета Внутр'!D1144</f>
        <v>0</v>
      </c>
      <c r="E1138" s="2888"/>
      <c r="F1138" s="2902"/>
    </row>
    <row r="1139" customFormat="false" ht="14.5" hidden="false" customHeight="false" outlineLevel="0" collapsed="false">
      <c r="B1139" s="2888" t="str">
        <f aca="false">'Смета Внутр'!B1145</f>
        <v>ГПН 102х35-2,0</v>
      </c>
      <c r="C1139" s="2889" t="str">
        <f aca="false">'Смета Внутр'!C1145</f>
        <v>м.п.</v>
      </c>
      <c r="D1139" s="2890" t="n">
        <f aca="false">'Смета Внутр'!D1145</f>
        <v>0</v>
      </c>
      <c r="E1139" s="2888"/>
      <c r="F1139" s="2902"/>
    </row>
    <row r="1140" customFormat="false" ht="14.5" hidden="false" customHeight="false" outlineLevel="0" collapsed="false">
      <c r="B1140" s="2888" t="str">
        <f aca="false">'Смета Внутр'!B1146</f>
        <v>ГПН 122х35-1,2</v>
      </c>
      <c r="C1140" s="2889" t="str">
        <f aca="false">'Смета Внутр'!C1146</f>
        <v>м.п.</v>
      </c>
      <c r="D1140" s="2890" t="n">
        <f aca="false">'Смета Внутр'!D1146</f>
        <v>0</v>
      </c>
      <c r="E1140" s="2888"/>
      <c r="F1140" s="2902"/>
    </row>
    <row r="1141" customFormat="false" ht="14.5" hidden="false" customHeight="false" outlineLevel="0" collapsed="false">
      <c r="B1141" s="2888" t="str">
        <f aca="false">'Смета Внутр'!B1147</f>
        <v>ГПН 122х35-1,5</v>
      </c>
      <c r="C1141" s="2889" t="str">
        <f aca="false">'Смета Внутр'!C1147</f>
        <v>м.п.</v>
      </c>
      <c r="D1141" s="2890" t="n">
        <f aca="false">'Смета Внутр'!D1147</f>
        <v>0</v>
      </c>
      <c r="E1141" s="2888"/>
      <c r="F1141" s="2902"/>
    </row>
    <row r="1142" customFormat="false" ht="14.5" hidden="false" customHeight="false" outlineLevel="0" collapsed="false">
      <c r="B1142" s="2888" t="str">
        <f aca="false">'Смета Внутр'!B1148</f>
        <v>ГПН 122х35-2,0</v>
      </c>
      <c r="C1142" s="2889" t="str">
        <f aca="false">'Смета Внутр'!C1148</f>
        <v>м.п.</v>
      </c>
      <c r="D1142" s="2890" t="n">
        <f aca="false">'Смета Внутр'!D1148</f>
        <v>0</v>
      </c>
      <c r="E1142" s="2888"/>
      <c r="F1142" s="2902"/>
    </row>
    <row r="1143" customFormat="false" ht="14.5" hidden="false" customHeight="false" outlineLevel="0" collapsed="false">
      <c r="B1143" s="2888" t="str">
        <f aca="false">'Смета Внутр'!B1149</f>
        <v>ГПН 152х35-1,2</v>
      </c>
      <c r="C1143" s="2889" t="str">
        <f aca="false">'Смета Внутр'!C1149</f>
        <v>м.п.</v>
      </c>
      <c r="D1143" s="2890" t="n">
        <f aca="false">'Смета Внутр'!D1149</f>
        <v>0</v>
      </c>
      <c r="E1143" s="2888"/>
      <c r="F1143" s="2902"/>
    </row>
    <row r="1144" customFormat="false" ht="14.5" hidden="false" customHeight="false" outlineLevel="0" collapsed="false">
      <c r="B1144" s="2888" t="str">
        <f aca="false">'Смета Внутр'!B1150</f>
        <v>ГПН 152х35-1,5</v>
      </c>
      <c r="C1144" s="2889" t="str">
        <f aca="false">'Смета Внутр'!C1150</f>
        <v>м.п.</v>
      </c>
      <c r="D1144" s="2890" t="n">
        <f aca="false">'Смета Внутр'!D1150</f>
        <v>0</v>
      </c>
      <c r="E1144" s="2888"/>
      <c r="F1144" s="2902"/>
    </row>
    <row r="1145" customFormat="false" ht="14.5" hidden="false" customHeight="false" outlineLevel="0" collapsed="false">
      <c r="B1145" s="2888" t="str">
        <f aca="false">'Смета Внутр'!B1151</f>
        <v>ГПН 152х35-2,0</v>
      </c>
      <c r="C1145" s="2889" t="str">
        <f aca="false">'Смета Внутр'!C1151</f>
        <v>м.п.</v>
      </c>
      <c r="D1145" s="2890" t="n">
        <f aca="false">'Смета Внутр'!D1151</f>
        <v>0</v>
      </c>
      <c r="E1145" s="2888"/>
      <c r="F1145" s="2902"/>
    </row>
    <row r="1146" customFormat="false" ht="14.5" hidden="false" customHeight="false" outlineLevel="0" collapsed="false">
      <c r="B1146" s="2888" t="str">
        <f aca="false">'Смета Внутр'!B1152</f>
        <v>ГПН 172х35-1,2</v>
      </c>
      <c r="C1146" s="2889" t="str">
        <f aca="false">'Смета Внутр'!C1152</f>
        <v>м.п.</v>
      </c>
      <c r="D1146" s="2890" t="n">
        <f aca="false">'Смета Внутр'!D1152</f>
        <v>0</v>
      </c>
      <c r="E1146" s="2888"/>
      <c r="F1146" s="2902"/>
    </row>
    <row r="1147" customFormat="false" ht="14.5" hidden="false" customHeight="false" outlineLevel="0" collapsed="false">
      <c r="B1147" s="2888" t="str">
        <f aca="false">'Смета Внутр'!B1153</f>
        <v>ГПН 172х35-1,5</v>
      </c>
      <c r="C1147" s="2889" t="str">
        <f aca="false">'Смета Внутр'!C1153</f>
        <v>м.п.</v>
      </c>
      <c r="D1147" s="2890" t="n">
        <f aca="false">'Смета Внутр'!D1153</f>
        <v>0</v>
      </c>
      <c r="E1147" s="2888"/>
      <c r="F1147" s="2902"/>
    </row>
    <row r="1148" customFormat="false" ht="14.5" hidden="false" customHeight="false" outlineLevel="0" collapsed="false">
      <c r="B1148" s="2888" t="str">
        <f aca="false">'Смета Внутр'!B1154</f>
        <v>ГПН 172х35-2,0</v>
      </c>
      <c r="C1148" s="2889" t="str">
        <f aca="false">'Смета Внутр'!C1154</f>
        <v>м.п.</v>
      </c>
      <c r="D1148" s="2890" t="n">
        <f aca="false">'Смета Внутр'!D1154</f>
        <v>0</v>
      </c>
      <c r="E1148" s="2888"/>
      <c r="F1148" s="2902"/>
    </row>
    <row r="1149" customFormat="false" ht="14.5" hidden="false" customHeight="false" outlineLevel="0" collapsed="false">
      <c r="B1149" s="2888" t="str">
        <f aca="false">'Смета Внутр'!B1155</f>
        <v>ГПН 202х35-1,2</v>
      </c>
      <c r="C1149" s="2889" t="str">
        <f aca="false">'Смета Внутр'!C1155</f>
        <v>м.п.</v>
      </c>
      <c r="D1149" s="2890" t="n">
        <f aca="false">'Смета Внутр'!D1155</f>
        <v>0</v>
      </c>
      <c r="E1149" s="2888"/>
      <c r="F1149" s="2902"/>
    </row>
    <row r="1150" customFormat="false" ht="14.5" hidden="false" customHeight="false" outlineLevel="0" collapsed="false">
      <c r="B1150" s="2888" t="str">
        <f aca="false">'Смета Внутр'!B1156</f>
        <v>ГПН 202х35-1,5</v>
      </c>
      <c r="C1150" s="2889" t="str">
        <f aca="false">'Смета Внутр'!C1156</f>
        <v>м.п.</v>
      </c>
      <c r="D1150" s="2890" t="n">
        <f aca="false">'Смета Внутр'!D1156</f>
        <v>0</v>
      </c>
      <c r="E1150" s="2888"/>
      <c r="F1150" s="2902"/>
    </row>
    <row r="1151" customFormat="false" ht="14.5" hidden="false" customHeight="false" outlineLevel="0" collapsed="false">
      <c r="B1151" s="2888" t="str">
        <f aca="false">'Смета Внутр'!B1157</f>
        <v>ГПН 202х35-2,0</v>
      </c>
      <c r="C1151" s="2889" t="str">
        <f aca="false">'Смета Внутр'!C1157</f>
        <v>м.п.</v>
      </c>
      <c r="D1151" s="2890" t="n">
        <f aca="false">'Смета Внутр'!D1157</f>
        <v>0</v>
      </c>
      <c r="E1151" s="2888"/>
      <c r="F1151" s="2902"/>
    </row>
    <row r="1152" customFormat="false" ht="14.5" hidden="false" customHeight="false" outlineLevel="0" collapsed="false">
      <c r="B1152" s="2888" t="str">
        <f aca="false">'Смета Внутр'!B1158</f>
        <v>ГПН 252х35-1,2</v>
      </c>
      <c r="C1152" s="2889" t="str">
        <f aca="false">'Смета Внутр'!C1158</f>
        <v>м.п.</v>
      </c>
      <c r="D1152" s="2890" t="n">
        <f aca="false">'Смета Внутр'!D1158</f>
        <v>0</v>
      </c>
      <c r="E1152" s="2888"/>
      <c r="F1152" s="2902"/>
    </row>
    <row r="1153" customFormat="false" ht="14.5" hidden="false" customHeight="false" outlineLevel="0" collapsed="false">
      <c r="B1153" s="2888" t="str">
        <f aca="false">'Смета Внутр'!B1159</f>
        <v>ГПН 252х35-1,5</v>
      </c>
      <c r="C1153" s="2889" t="str">
        <f aca="false">'Смета Внутр'!C1159</f>
        <v>м.п.</v>
      </c>
      <c r="D1153" s="2890" t="n">
        <f aca="false">'Смета Внутр'!D1159</f>
        <v>0</v>
      </c>
      <c r="E1153" s="2888"/>
      <c r="F1153" s="2902"/>
    </row>
    <row r="1154" customFormat="false" ht="14.5" hidden="false" customHeight="false" outlineLevel="0" collapsed="false">
      <c r="B1154" s="2888" t="str">
        <f aca="false">'Смета Внутр'!B1160</f>
        <v>ГПН 252х35-2,0</v>
      </c>
      <c r="C1154" s="2889" t="str">
        <f aca="false">'Смета Внутр'!C1160</f>
        <v>м.п.</v>
      </c>
      <c r="D1154" s="2890" t="n">
        <f aca="false">'Смета Внутр'!D1160</f>
        <v>0</v>
      </c>
      <c r="E1154" s="2888"/>
      <c r="F1154" s="2902"/>
    </row>
    <row r="1155" customFormat="false" ht="14.5" hidden="false" customHeight="false" outlineLevel="0" collapsed="false">
      <c r="B1155" s="2888" t="str">
        <f aca="false">'Смета Внутр'!B1161</f>
        <v>ГПН 282х35-1,2</v>
      </c>
      <c r="C1155" s="2889" t="str">
        <f aca="false">'Смета Внутр'!C1161</f>
        <v>м.п.</v>
      </c>
      <c r="D1155" s="2890" t="n">
        <f aca="false">'Смета Внутр'!D1161</f>
        <v>0</v>
      </c>
      <c r="E1155" s="2888"/>
      <c r="F1155" s="2902"/>
    </row>
    <row r="1156" customFormat="false" ht="14.5" hidden="false" customHeight="false" outlineLevel="0" collapsed="false">
      <c r="B1156" s="2888" t="str">
        <f aca="false">'Смета Внутр'!B1162</f>
        <v>Саморез 5,5 х 25</v>
      </c>
      <c r="C1156" s="2889" t="n">
        <f aca="false">'Смета Внутр'!C1162</f>
        <v>0</v>
      </c>
      <c r="D1156" s="2890" t="n">
        <f aca="false">'Смета Внутр'!D1162</f>
        <v>0</v>
      </c>
      <c r="E1156" s="2888"/>
      <c r="F1156" s="2902"/>
    </row>
    <row r="1157" customFormat="false" ht="14.5" hidden="false" customHeight="false" outlineLevel="0" collapsed="false">
      <c r="B1157" s="2888" t="str">
        <f aca="false">'Смета Внутр'!B1163</f>
        <v>ГПС 100х50-1,2</v>
      </c>
      <c r="C1157" s="2889" t="str">
        <f aca="false">'Смета Внутр'!C1163</f>
        <v>м.п.</v>
      </c>
      <c r="D1157" s="2890" t="n">
        <f aca="false">'Смета Внутр'!D1163</f>
        <v>0</v>
      </c>
      <c r="E1157" s="2888"/>
      <c r="F1157" s="2902"/>
    </row>
    <row r="1158" customFormat="false" ht="14.5" hidden="false" customHeight="false" outlineLevel="0" collapsed="false">
      <c r="B1158" s="2888" t="str">
        <f aca="false">'Смета Внутр'!B1164</f>
        <v>ГПС 100х50-1,5</v>
      </c>
      <c r="C1158" s="2889" t="str">
        <f aca="false">'Смета Внутр'!C1164</f>
        <v>м.п.</v>
      </c>
      <c r="D1158" s="2890" t="n">
        <f aca="false">'Смета Внутр'!D1164</f>
        <v>0</v>
      </c>
      <c r="E1158" s="2888"/>
      <c r="F1158" s="2902"/>
    </row>
    <row r="1159" customFormat="false" ht="14.5" hidden="false" customHeight="false" outlineLevel="0" collapsed="false">
      <c r="B1159" s="2888" t="str">
        <f aca="false">'Смета Внутр'!B1165</f>
        <v>ГПС 120х50-1,5</v>
      </c>
      <c r="C1159" s="2889" t="str">
        <f aca="false">'Смета Внутр'!C1165</f>
        <v>м.п.</v>
      </c>
      <c r="D1159" s="2890" t="n">
        <f aca="false">'Смета Внутр'!D1165</f>
        <v>0</v>
      </c>
      <c r="E1159" s="2888"/>
      <c r="F1159" s="2902"/>
    </row>
    <row r="1160" customFormat="false" ht="14.5" hidden="false" customHeight="false" outlineLevel="0" collapsed="false">
      <c r="B1160" s="2888" t="str">
        <f aca="false">'Смета Внутр'!B1166</f>
        <v>ГПС 120х50-2,0</v>
      </c>
      <c r="C1160" s="2889" t="str">
        <f aca="false">'Смета Внутр'!C1166</f>
        <v>м.п.</v>
      </c>
      <c r="D1160" s="2890" t="n">
        <f aca="false">'Смета Внутр'!D1166</f>
        <v>0</v>
      </c>
      <c r="E1160" s="2888"/>
      <c r="F1160" s="2902"/>
    </row>
    <row r="1161" customFormat="false" ht="14.5" hidden="false" customHeight="false" outlineLevel="0" collapsed="false">
      <c r="B1161" s="2888" t="str">
        <f aca="false">'Смета Внутр'!B1167</f>
        <v>ГПС 150х50-1,2</v>
      </c>
      <c r="C1161" s="2889" t="str">
        <f aca="false">'Смета Внутр'!C1167</f>
        <v>м.п.</v>
      </c>
      <c r="D1161" s="2890" t="n">
        <f aca="false">'Смета Внутр'!D1167</f>
        <v>0</v>
      </c>
      <c r="E1161" s="2888"/>
      <c r="F1161" s="2902"/>
    </row>
    <row r="1162" customFormat="false" ht="14.5" hidden="false" customHeight="false" outlineLevel="0" collapsed="false">
      <c r="B1162" s="2888" t="str">
        <f aca="false">'Смета Внутр'!B1168</f>
        <v>ГПС 150х50-1,5</v>
      </c>
      <c r="C1162" s="2889" t="str">
        <f aca="false">'Смета Внутр'!C1168</f>
        <v>м.п.</v>
      </c>
      <c r="D1162" s="2890" t="n">
        <f aca="false">'Смета Внутр'!D1168</f>
        <v>0</v>
      </c>
      <c r="E1162" s="2888"/>
      <c r="F1162" s="2902"/>
    </row>
    <row r="1163" customFormat="false" ht="14.5" hidden="false" customHeight="false" outlineLevel="0" collapsed="false">
      <c r="B1163" s="2888" t="str">
        <f aca="false">'Смета Внутр'!B1169</f>
        <v>ГПС 150х50-2,0</v>
      </c>
      <c r="C1163" s="2889" t="str">
        <f aca="false">'Смета Внутр'!C1169</f>
        <v>м.п.</v>
      </c>
      <c r="D1163" s="2890" t="n">
        <f aca="false">'Смета Внутр'!D1169</f>
        <v>0</v>
      </c>
      <c r="E1163" s="2888"/>
      <c r="F1163" s="2902"/>
    </row>
    <row r="1164" customFormat="false" ht="14.5" hidden="false" customHeight="false" outlineLevel="0" collapsed="false">
      <c r="B1164" s="2888" t="str">
        <f aca="false">'Смета Внутр'!B1170</f>
        <v>ГПС 170х50-1,2</v>
      </c>
      <c r="C1164" s="2889" t="str">
        <f aca="false">'Смета Внутр'!C1170</f>
        <v>м.п.</v>
      </c>
      <c r="D1164" s="2890" t="n">
        <f aca="false">'Смета Внутр'!D1170</f>
        <v>0</v>
      </c>
      <c r="E1164" s="2888"/>
      <c r="F1164" s="2902"/>
    </row>
    <row r="1165" customFormat="false" ht="14.5" hidden="false" customHeight="false" outlineLevel="0" collapsed="false">
      <c r="B1165" s="2888" t="str">
        <f aca="false">'Смета Внутр'!B1171</f>
        <v>ГПС 170х50-1,5</v>
      </c>
      <c r="C1165" s="2889" t="str">
        <f aca="false">'Смета Внутр'!C1171</f>
        <v>м.п.</v>
      </c>
      <c r="D1165" s="2890" t="n">
        <f aca="false">'Смета Внутр'!D1171</f>
        <v>0</v>
      </c>
      <c r="E1165" s="2888"/>
      <c r="F1165" s="2902"/>
    </row>
    <row r="1166" customFormat="false" ht="14.5" hidden="false" customHeight="false" outlineLevel="0" collapsed="false">
      <c r="B1166" s="2888" t="str">
        <f aca="false">'Смета Внутр'!B1172</f>
        <v>ГПС 170х50-2,0</v>
      </c>
      <c r="C1166" s="2889" t="str">
        <f aca="false">'Смета Внутр'!C1172</f>
        <v>м.п.</v>
      </c>
      <c r="D1166" s="2890" t="n">
        <f aca="false">'Смета Внутр'!D1172</f>
        <v>0</v>
      </c>
      <c r="E1166" s="2888"/>
      <c r="F1166" s="2902"/>
    </row>
    <row r="1167" customFormat="false" ht="14.5" hidden="false" customHeight="false" outlineLevel="0" collapsed="false">
      <c r="B1167" s="2888" t="str">
        <f aca="false">'Смета Внутр'!B1173</f>
        <v>ГПС 200х50-1,2</v>
      </c>
      <c r="C1167" s="2889" t="str">
        <f aca="false">'Смета Внутр'!C1173</f>
        <v>м.п.</v>
      </c>
      <c r="D1167" s="2890" t="n">
        <f aca="false">'Смета Внутр'!D1173</f>
        <v>0</v>
      </c>
      <c r="E1167" s="2888"/>
      <c r="F1167" s="2902"/>
    </row>
    <row r="1168" customFormat="false" ht="14.5" hidden="false" customHeight="false" outlineLevel="0" collapsed="false">
      <c r="B1168" s="2888" t="str">
        <f aca="false">'Смета Внутр'!B1174</f>
        <v>ГПС 200х50-1,5</v>
      </c>
      <c r="C1168" s="2889" t="str">
        <f aca="false">'Смета Внутр'!C1174</f>
        <v>м.п.</v>
      </c>
      <c r="D1168" s="2890" t="n">
        <f aca="false">'Смета Внутр'!D1174</f>
        <v>0</v>
      </c>
      <c r="E1168" s="2888"/>
      <c r="F1168" s="2902"/>
    </row>
    <row r="1169" customFormat="false" ht="14.5" hidden="false" customHeight="false" outlineLevel="0" collapsed="false">
      <c r="B1169" s="2888" t="str">
        <f aca="false">'Смета Внутр'!B1175</f>
        <v>ГПС 200х50-2,0</v>
      </c>
      <c r="C1169" s="2889" t="str">
        <f aca="false">'Смета Внутр'!C1175</f>
        <v>м.п.</v>
      </c>
      <c r="D1169" s="2890" t="n">
        <f aca="false">'Смета Внутр'!D1175</f>
        <v>0</v>
      </c>
      <c r="E1169" s="2888"/>
      <c r="F1169" s="2902"/>
    </row>
    <row r="1170" customFormat="false" ht="14.5" hidden="false" customHeight="false" outlineLevel="0" collapsed="false">
      <c r="B1170" s="2888" t="str">
        <f aca="false">'Смета Внутр'!B1176</f>
        <v>ГПС 250х50-1,2</v>
      </c>
      <c r="C1170" s="2889" t="str">
        <f aca="false">'Смета Внутр'!C1176</f>
        <v>м.п.</v>
      </c>
      <c r="D1170" s="2890" t="n">
        <f aca="false">'Смета Внутр'!D1176</f>
        <v>0</v>
      </c>
      <c r="E1170" s="2888"/>
      <c r="F1170" s="2902"/>
    </row>
    <row r="1171" customFormat="false" ht="14.5" hidden="false" customHeight="false" outlineLevel="0" collapsed="false">
      <c r="B1171" s="2888" t="str">
        <f aca="false">'Смета Внутр'!B1177</f>
        <v>ГПС 250х50-1,5</v>
      </c>
      <c r="C1171" s="2889" t="str">
        <f aca="false">'Смета Внутр'!C1177</f>
        <v>м.п.</v>
      </c>
      <c r="D1171" s="2890" t="n">
        <f aca="false">'Смета Внутр'!D1177</f>
        <v>0</v>
      </c>
      <c r="E1171" s="2888"/>
      <c r="F1171" s="2902"/>
    </row>
    <row r="1172" customFormat="false" ht="14.5" hidden="false" customHeight="false" outlineLevel="0" collapsed="false">
      <c r="B1172" s="2888" t="str">
        <f aca="false">'Смета Внутр'!B1178</f>
        <v>ГПС 250х50-2,0</v>
      </c>
      <c r="C1172" s="2889" t="str">
        <f aca="false">'Смета Внутр'!C1178</f>
        <v>м.п.</v>
      </c>
      <c r="D1172" s="2890" t="n">
        <f aca="false">'Смета Внутр'!D1178</f>
        <v>0</v>
      </c>
      <c r="E1172" s="2888"/>
      <c r="F1172" s="2902"/>
    </row>
    <row r="1173" customFormat="false" ht="14.5" hidden="false" customHeight="false" outlineLevel="0" collapsed="false">
      <c r="B1173" s="2888" t="str">
        <f aca="false">'Смета Внутр'!B1179</f>
        <v>ГПС 280х50-1,2</v>
      </c>
      <c r="C1173" s="2889" t="str">
        <f aca="false">'Смета Внутр'!C1179</f>
        <v>м.п.</v>
      </c>
      <c r="D1173" s="2890" t="n">
        <f aca="false">'Смета Внутр'!D1179</f>
        <v>0</v>
      </c>
      <c r="E1173" s="2888"/>
      <c r="F1173" s="2902"/>
    </row>
    <row r="1174" customFormat="false" ht="14.5" hidden="false" customHeight="false" outlineLevel="0" collapsed="false">
      <c r="B1174" s="2888" t="str">
        <f aca="false">'Смета Внутр'!B1180</f>
        <v>ГПС 280х50-1,5</v>
      </c>
      <c r="C1174" s="2889" t="str">
        <f aca="false">'Смета Внутр'!C1180</f>
        <v>м.п.</v>
      </c>
      <c r="D1174" s="2890" t="n">
        <f aca="false">'Смета Внутр'!D1180</f>
        <v>0</v>
      </c>
      <c r="E1174" s="2888"/>
      <c r="F1174" s="2902"/>
    </row>
    <row r="1175" customFormat="false" ht="14.5" hidden="false" customHeight="false" outlineLevel="0" collapsed="false">
      <c r="B1175" s="2888" t="str">
        <f aca="false">'Смета Внутр'!B1181</f>
        <v>ГПС 280х50-2,0</v>
      </c>
      <c r="C1175" s="2889" t="str">
        <f aca="false">'Смета Внутр'!C1181</f>
        <v>м.п.</v>
      </c>
      <c r="D1175" s="2890" t="n">
        <f aca="false">'Смета Внутр'!D1181</f>
        <v>0</v>
      </c>
      <c r="E1175" s="2888"/>
      <c r="F1175" s="2902"/>
    </row>
    <row r="1176" customFormat="false" ht="14.5" hidden="false" customHeight="false" outlineLevel="0" collapsed="false">
      <c r="B1176" s="2888" t="str">
        <f aca="false">'Смета Внутр'!B1182</f>
        <v>ГПН 102х35-1,2</v>
      </c>
      <c r="C1176" s="2889" t="str">
        <f aca="false">'Смета Внутр'!C1182</f>
        <v>м.п.</v>
      </c>
      <c r="D1176" s="2890" t="n">
        <f aca="false">'Смета Внутр'!D1182</f>
        <v>0</v>
      </c>
      <c r="E1176" s="2888"/>
      <c r="F1176" s="2902"/>
    </row>
    <row r="1177" customFormat="false" ht="14.5" hidden="false" customHeight="false" outlineLevel="0" collapsed="false">
      <c r="B1177" s="2888" t="str">
        <f aca="false">'Смета Внутр'!B1183</f>
        <v>ГПН 102х35-1,5</v>
      </c>
      <c r="C1177" s="2889" t="str">
        <f aca="false">'Смета Внутр'!C1183</f>
        <v>м.п.</v>
      </c>
      <c r="D1177" s="2890" t="n">
        <f aca="false">'Смета Внутр'!D1183</f>
        <v>0</v>
      </c>
      <c r="E1177" s="2888"/>
      <c r="F1177" s="2902"/>
    </row>
    <row r="1178" customFormat="false" ht="14.5" hidden="false" customHeight="false" outlineLevel="0" collapsed="false">
      <c r="B1178" s="2888" t="str">
        <f aca="false">'Смета Внутр'!B1184</f>
        <v>ГПН 102х35-2,0</v>
      </c>
      <c r="C1178" s="2889" t="str">
        <f aca="false">'Смета Внутр'!C1184</f>
        <v>м.п.</v>
      </c>
      <c r="D1178" s="2890" t="n">
        <f aca="false">'Смета Внутр'!D1184</f>
        <v>0</v>
      </c>
      <c r="E1178" s="2888"/>
      <c r="F1178" s="2902"/>
    </row>
    <row r="1179" customFormat="false" ht="14.5" hidden="false" customHeight="false" outlineLevel="0" collapsed="false">
      <c r="B1179" s="2888" t="str">
        <f aca="false">'Смета Внутр'!B1185</f>
        <v>ГПН 122х35-1,2</v>
      </c>
      <c r="C1179" s="2889" t="str">
        <f aca="false">'Смета Внутр'!C1185</f>
        <v>м.п.</v>
      </c>
      <c r="D1179" s="2890" t="n">
        <f aca="false">'Смета Внутр'!D1185</f>
        <v>0</v>
      </c>
      <c r="E1179" s="2888"/>
      <c r="F1179" s="2902"/>
    </row>
    <row r="1180" customFormat="false" ht="14.5" hidden="false" customHeight="false" outlineLevel="0" collapsed="false">
      <c r="B1180" s="2888" t="str">
        <f aca="false">'Смета Внутр'!B1186</f>
        <v>ГПН 122х35-1,5</v>
      </c>
      <c r="C1180" s="2889" t="str">
        <f aca="false">'Смета Внутр'!C1186</f>
        <v>м.п.</v>
      </c>
      <c r="D1180" s="2890" t="n">
        <f aca="false">'Смета Внутр'!D1186</f>
        <v>0</v>
      </c>
      <c r="E1180" s="2888"/>
      <c r="F1180" s="2902"/>
    </row>
    <row r="1181" customFormat="false" ht="14.5" hidden="false" customHeight="false" outlineLevel="0" collapsed="false">
      <c r="B1181" s="2888" t="str">
        <f aca="false">'Смета Внутр'!B1187</f>
        <v>ГПН 122х35-2,0</v>
      </c>
      <c r="C1181" s="2889" t="str">
        <f aca="false">'Смета Внутр'!C1187</f>
        <v>м.п.</v>
      </c>
      <c r="D1181" s="2890" t="n">
        <f aca="false">'Смета Внутр'!D1187</f>
        <v>0</v>
      </c>
      <c r="E1181" s="2888"/>
      <c r="F1181" s="2902"/>
    </row>
    <row r="1182" customFormat="false" ht="14.5" hidden="false" customHeight="false" outlineLevel="0" collapsed="false">
      <c r="B1182" s="2888" t="str">
        <f aca="false">'Смета Внутр'!B1188</f>
        <v>ГПН 152х35-1,2</v>
      </c>
      <c r="C1182" s="2889" t="str">
        <f aca="false">'Смета Внутр'!C1188</f>
        <v>м.п.</v>
      </c>
      <c r="D1182" s="2890" t="n">
        <f aca="false">'Смета Внутр'!D1188</f>
        <v>0</v>
      </c>
      <c r="E1182" s="2888"/>
      <c r="F1182" s="2902"/>
    </row>
    <row r="1183" customFormat="false" ht="14.5" hidden="false" customHeight="false" outlineLevel="0" collapsed="false">
      <c r="B1183" s="2888" t="str">
        <f aca="false">'Смета Внутр'!B1189</f>
        <v>ГПН 152х35-1,5</v>
      </c>
      <c r="C1183" s="2889" t="str">
        <f aca="false">'Смета Внутр'!C1189</f>
        <v>м.п.</v>
      </c>
      <c r="D1183" s="2890" t="n">
        <f aca="false">'Смета Внутр'!D1189</f>
        <v>0</v>
      </c>
      <c r="E1183" s="2888"/>
      <c r="F1183" s="2902"/>
    </row>
    <row r="1184" customFormat="false" ht="14.5" hidden="false" customHeight="false" outlineLevel="0" collapsed="false">
      <c r="B1184" s="2888" t="str">
        <f aca="false">'Смета Внутр'!B1190</f>
        <v>ГПН 152х35-2,0</v>
      </c>
      <c r="C1184" s="2889" t="str">
        <f aca="false">'Смета Внутр'!C1190</f>
        <v>м.п.</v>
      </c>
      <c r="D1184" s="2890" t="n">
        <f aca="false">'Смета Внутр'!D1190</f>
        <v>0</v>
      </c>
      <c r="E1184" s="2888"/>
      <c r="F1184" s="2902"/>
    </row>
    <row r="1185" customFormat="false" ht="14.5" hidden="false" customHeight="false" outlineLevel="0" collapsed="false">
      <c r="B1185" s="2888" t="str">
        <f aca="false">'Смета Внутр'!B1191</f>
        <v>ГПН 172х35-1,2</v>
      </c>
      <c r="C1185" s="2889" t="str">
        <f aca="false">'Смета Внутр'!C1191</f>
        <v>м.п.</v>
      </c>
      <c r="D1185" s="2890" t="n">
        <f aca="false">'Смета Внутр'!D1191</f>
        <v>0</v>
      </c>
      <c r="E1185" s="2888"/>
      <c r="F1185" s="2902"/>
    </row>
    <row r="1186" customFormat="false" ht="14.5" hidden="false" customHeight="false" outlineLevel="0" collapsed="false">
      <c r="B1186" s="2888" t="str">
        <f aca="false">'Смета Внутр'!B1192</f>
        <v>ГПН 172х35-1,5</v>
      </c>
      <c r="C1186" s="2889" t="str">
        <f aca="false">'Смета Внутр'!C1192</f>
        <v>м.п.</v>
      </c>
      <c r="D1186" s="2890" t="n">
        <f aca="false">'Смета Внутр'!D1192</f>
        <v>0</v>
      </c>
      <c r="E1186" s="2888"/>
      <c r="F1186" s="2902"/>
    </row>
    <row r="1187" customFormat="false" ht="14.5" hidden="false" customHeight="false" outlineLevel="0" collapsed="false">
      <c r="B1187" s="2888" t="str">
        <f aca="false">'Смета Внутр'!B1193</f>
        <v>ГПН 172х35-2,0</v>
      </c>
      <c r="C1187" s="2889" t="str">
        <f aca="false">'Смета Внутр'!C1193</f>
        <v>м.п.</v>
      </c>
      <c r="D1187" s="2890" t="n">
        <f aca="false">'Смета Внутр'!D1193</f>
        <v>0</v>
      </c>
      <c r="E1187" s="2888"/>
      <c r="F1187" s="2902"/>
    </row>
    <row r="1188" customFormat="false" ht="14.5" hidden="false" customHeight="false" outlineLevel="0" collapsed="false">
      <c r="B1188" s="2888" t="str">
        <f aca="false">'Смета Внутр'!B1194</f>
        <v>ГПН 202х35-1,2</v>
      </c>
      <c r="C1188" s="2889" t="str">
        <f aca="false">'Смета Внутр'!C1194</f>
        <v>м.п.</v>
      </c>
      <c r="D1188" s="2890" t="n">
        <f aca="false">'Смета Внутр'!D1194</f>
        <v>0</v>
      </c>
      <c r="E1188" s="2888"/>
      <c r="F1188" s="2902"/>
    </row>
    <row r="1189" customFormat="false" ht="14.5" hidden="false" customHeight="false" outlineLevel="0" collapsed="false">
      <c r="B1189" s="2888" t="str">
        <f aca="false">'Смета Внутр'!B1195</f>
        <v>ГПН 202х35-1,5</v>
      </c>
      <c r="C1189" s="2889" t="str">
        <f aca="false">'Смета Внутр'!C1195</f>
        <v>м.п.</v>
      </c>
      <c r="D1189" s="2890" t="n">
        <f aca="false">'Смета Внутр'!D1195</f>
        <v>0</v>
      </c>
      <c r="E1189" s="2888"/>
      <c r="F1189" s="2902"/>
    </row>
    <row r="1190" customFormat="false" ht="14.5" hidden="false" customHeight="false" outlineLevel="0" collapsed="false">
      <c r="B1190" s="2888" t="str">
        <f aca="false">'Смета Внутр'!B1196</f>
        <v>ГПН 202х35-2,0</v>
      </c>
      <c r="C1190" s="2889" t="str">
        <f aca="false">'Смета Внутр'!C1196</f>
        <v>м.п.</v>
      </c>
      <c r="D1190" s="2890" t="n">
        <f aca="false">'Смета Внутр'!D1196</f>
        <v>0</v>
      </c>
      <c r="E1190" s="2888"/>
      <c r="F1190" s="2902"/>
    </row>
    <row r="1191" customFormat="false" ht="14.5" hidden="false" customHeight="false" outlineLevel="0" collapsed="false">
      <c r="B1191" s="2888" t="str">
        <f aca="false">'Смета Внутр'!B1197</f>
        <v>ГПН 252х35-1,2</v>
      </c>
      <c r="C1191" s="2889" t="str">
        <f aca="false">'Смета Внутр'!C1197</f>
        <v>м.п.</v>
      </c>
      <c r="D1191" s="2890" t="n">
        <f aca="false">'Смета Внутр'!D1197</f>
        <v>0</v>
      </c>
      <c r="E1191" s="2888"/>
      <c r="F1191" s="2902"/>
    </row>
    <row r="1192" customFormat="false" ht="14.5" hidden="false" customHeight="false" outlineLevel="0" collapsed="false">
      <c r="B1192" s="2888" t="str">
        <f aca="false">'Смета Внутр'!B1198</f>
        <v>ГПН 252х35-1,5</v>
      </c>
      <c r="C1192" s="2889" t="str">
        <f aca="false">'Смета Внутр'!C1198</f>
        <v>м.п.</v>
      </c>
      <c r="D1192" s="2890" t="n">
        <f aca="false">'Смета Внутр'!D1198</f>
        <v>0</v>
      </c>
      <c r="E1192" s="2888"/>
      <c r="F1192" s="2902"/>
    </row>
    <row r="1193" customFormat="false" ht="14.5" hidden="false" customHeight="false" outlineLevel="0" collapsed="false">
      <c r="B1193" s="2888" t="str">
        <f aca="false">'Смета Внутр'!B1199</f>
        <v>ГПН 252х35-2,0</v>
      </c>
      <c r="C1193" s="2889" t="str">
        <f aca="false">'Смета Внутр'!C1199</f>
        <v>м.п.</v>
      </c>
      <c r="D1193" s="2890" t="n">
        <f aca="false">'Смета Внутр'!D1199</f>
        <v>0</v>
      </c>
      <c r="E1193" s="2888"/>
      <c r="F1193" s="2902"/>
    </row>
    <row r="1194" customFormat="false" ht="14.5" hidden="false" customHeight="false" outlineLevel="0" collapsed="false">
      <c r="B1194" s="2888" t="str">
        <f aca="false">'Смета Внутр'!B1200</f>
        <v>ГПН 282х35-1,2</v>
      </c>
      <c r="C1194" s="2889" t="str">
        <f aca="false">'Смета Внутр'!C1200</f>
        <v>м.п.</v>
      </c>
      <c r="D1194" s="2890" t="n">
        <f aca="false">'Смета Внутр'!D1200</f>
        <v>0</v>
      </c>
      <c r="E1194" s="2888"/>
      <c r="F1194" s="2902"/>
    </row>
    <row r="1195" customFormat="false" ht="14.5" hidden="false" customHeight="false" outlineLevel="0" collapsed="false">
      <c r="B1195" s="2888" t="str">
        <f aca="false">'Смета Внутр'!B1201</f>
        <v>Саморез 5,5 х 25</v>
      </c>
      <c r="C1195" s="2889" t="n">
        <f aca="false">'Смета Внутр'!C1201</f>
        <v>0</v>
      </c>
      <c r="D1195" s="2890" t="n">
        <f aca="false">'Смета Внутр'!D1201</f>
        <v>0</v>
      </c>
      <c r="E1195" s="2888"/>
      <c r="F1195" s="2902"/>
    </row>
    <row r="1196" customFormat="false" ht="14.5" hidden="false" customHeight="false" outlineLevel="0" collapsed="false">
      <c r="B1196" s="2896" t="str">
        <f aca="false">'Смета Внутр'!B1202</f>
        <v>Итого материалы</v>
      </c>
      <c r="C1196" s="2896"/>
      <c r="D1196" s="2896"/>
      <c r="E1196" s="2896"/>
      <c r="F1196" s="2891" t="n">
        <f aca="false">'Смета Внутр'!G1202</f>
        <v>0</v>
      </c>
    </row>
    <row r="1197" customFormat="false" ht="14.5" hidden="false" customHeight="false" outlineLevel="0" collapsed="false">
      <c r="B1197" s="2898" t="str">
        <f aca="false">'Смета Внутр'!B1203</f>
        <v>Работы</v>
      </c>
      <c r="C1197" s="2898"/>
      <c r="D1197" s="2898"/>
      <c r="E1197" s="2898"/>
      <c r="F1197" s="2893" t="n">
        <f aca="false">'Смета Внутр'!H1203</f>
        <v>0</v>
      </c>
    </row>
    <row r="1198" customFormat="false" ht="14.5" hidden="false" customHeight="false" outlineLevel="0" collapsed="false">
      <c r="B1198" s="2888" t="str">
        <f aca="false">'Смета Внутр'!B1204</f>
        <v>Монтаж плит ЖБИ</v>
      </c>
      <c r="C1198" s="2889" t="str">
        <f aca="false">'Смета Внутр'!C1204</f>
        <v>м2</v>
      </c>
      <c r="D1198" s="2890" t="n">
        <f aca="false">'Смета Внутр'!D1204</f>
        <v>0</v>
      </c>
      <c r="E1198" s="2888"/>
      <c r="F1198" s="2895" t="n">
        <f aca="false">'Смета Внутр'!H1204</f>
        <v>0</v>
      </c>
    </row>
    <row r="1199" customFormat="false" ht="14.5" hidden="false" customHeight="false" outlineLevel="0" collapsed="false">
      <c r="B1199" s="2888" t="str">
        <f aca="false">'Смета Внутр'!B1205</f>
        <v>Монтаж опалубки</v>
      </c>
      <c r="C1199" s="2889" t="str">
        <f aca="false">'Смета Внутр'!C1205</f>
        <v>м2</v>
      </c>
      <c r="D1199" s="2890" t="n">
        <f aca="false">'Смета Внутр'!D1205</f>
        <v>0</v>
      </c>
      <c r="E1199" s="2888"/>
      <c r="F1199" s="2895" t="n">
        <f aca="false">'Смета Внутр'!H1205</f>
        <v>0</v>
      </c>
    </row>
    <row r="1200" customFormat="false" ht="14.5" hidden="false" customHeight="false" outlineLevel="0" collapsed="false">
      <c r="B1200" s="2888" t="str">
        <f aca="false">'Смета Внутр'!B1206</f>
        <v>Укладка пленки гидроизоляционной</v>
      </c>
      <c r="C1200" s="2889" t="str">
        <f aca="false">'Смета Внутр'!C1206</f>
        <v>м2</v>
      </c>
      <c r="D1200" s="2890" t="n">
        <f aca="false">'Смета Внутр'!D1206</f>
        <v>0</v>
      </c>
      <c r="E1200" s="2888"/>
      <c r="F1200" s="2895" t="n">
        <f aca="false">'Смета Внутр'!H1206</f>
        <v>0</v>
      </c>
    </row>
    <row r="1201" customFormat="false" ht="14.5" hidden="false" customHeight="false" outlineLevel="0" collapsed="false">
      <c r="B1201" s="2888" t="str">
        <f aca="false">'Смета Внутр'!B1207</f>
        <v>Армирование перекрытия/плиты</v>
      </c>
      <c r="C1201" s="2889" t="str">
        <f aca="false">'Смета Внутр'!C1207</f>
        <v>м2</v>
      </c>
      <c r="D1201" s="2890" t="n">
        <f aca="false">'Смета Внутр'!D1207</f>
        <v>0</v>
      </c>
      <c r="E1201" s="2888"/>
      <c r="F1201" s="2895" t="n">
        <f aca="false">'Смета Внутр'!H1207</f>
        <v>0</v>
      </c>
    </row>
    <row r="1202" customFormat="false" ht="14.5" hidden="false" customHeight="false" outlineLevel="0" collapsed="false">
      <c r="B1202" s="2888" t="str">
        <f aca="false">'Смета Внутр'!B1208</f>
        <v>Заливка бетоном перекрытия/плиты</v>
      </c>
      <c r="C1202" s="2889" t="str">
        <f aca="false">'Смета Внутр'!C1208</f>
        <v>м2</v>
      </c>
      <c r="D1202" s="2890" t="n">
        <f aca="false">'Смета Внутр'!D1208</f>
        <v>0</v>
      </c>
      <c r="E1202" s="2888"/>
      <c r="F1202" s="2895" t="n">
        <f aca="false">'Смета Внутр'!H1208</f>
        <v>0</v>
      </c>
    </row>
    <row r="1203" customFormat="false" ht="14.5" hidden="false" customHeight="false" outlineLevel="0" collapsed="false">
      <c r="B1203" s="2888" t="str">
        <f aca="false">'Смета Внутр'!B1209</f>
        <v>Монтаж перекрытий из бруса</v>
      </c>
      <c r="C1203" s="2889" t="str">
        <f aca="false">'Смета Внутр'!C1209</f>
        <v>м2</v>
      </c>
      <c r="D1203" s="2890" t="n">
        <f aca="false">'Смета Внутр'!D1209</f>
        <v>0</v>
      </c>
      <c r="E1203" s="2888"/>
      <c r="F1203" s="2902" t="n">
        <f aca="false">'Смета Внутр'!H1209</f>
        <v>0</v>
      </c>
    </row>
    <row r="1204" customFormat="false" ht="14.5" hidden="false" customHeight="false" outlineLevel="0" collapsed="false">
      <c r="B1204" s="2888" t="str">
        <f aca="false">'Смета Внутр'!B1210</f>
        <v>Монтаж перекрытий Сип-панели</v>
      </c>
      <c r="C1204" s="2889" t="str">
        <f aca="false">'Смета Внутр'!C1210</f>
        <v>м2</v>
      </c>
      <c r="D1204" s="2890" t="n">
        <f aca="false">'Смета Внутр'!D1210</f>
        <v>0</v>
      </c>
      <c r="E1204" s="2888"/>
      <c r="F1204" s="2895" t="n">
        <f aca="false">'Смета Внутр'!H1210</f>
        <v>0</v>
      </c>
    </row>
    <row r="1205" customFormat="false" ht="14.5" hidden="false" customHeight="false" outlineLevel="0" collapsed="false">
      <c r="B1205" s="2888" t="str">
        <f aca="false">'Смета Внутр'!B1211</f>
        <v>Монтаж перекрытий из сухой доски</v>
      </c>
      <c r="C1205" s="2889" t="str">
        <f aca="false">'Смета Внутр'!C1211</f>
        <v>м2</v>
      </c>
      <c r="D1205" s="2890" t="n">
        <f aca="false">'Смета Внутр'!D1211</f>
        <v>0</v>
      </c>
      <c r="E1205" s="2888"/>
      <c r="F1205" s="2895" t="n">
        <f aca="false">'Смета Внутр'!H1211</f>
        <v>0</v>
      </c>
    </row>
    <row r="1206" customFormat="false" ht="14.5" hidden="false" customHeight="false" outlineLevel="0" collapsed="false">
      <c r="B1206" s="2888" t="str">
        <f aca="false">'Смета Внутр'!B1212</f>
        <v>Монтаж перекрытий из двутавровой балки</v>
      </c>
      <c r="C1206" s="2889" t="str">
        <f aca="false">'Смета Внутр'!C1212</f>
        <v>м2</v>
      </c>
      <c r="D1206" s="2890" t="n">
        <f aca="false">'Смета Внутр'!D1212</f>
        <v>0</v>
      </c>
      <c r="E1206" s="2888"/>
      <c r="F1206" s="2895" t="n">
        <f aca="false">'Смета Внутр'!H1212</f>
        <v>0</v>
      </c>
    </row>
    <row r="1207" customFormat="false" ht="14.5" hidden="false" customHeight="false" outlineLevel="0" collapsed="false">
      <c r="B1207" s="2888" t="str">
        <f aca="false">'Смета Внутр'!B1213</f>
        <v>Монтаж перекрестного пола</v>
      </c>
      <c r="C1207" s="2889" t="str">
        <f aca="false">'Смета Внутр'!C1213</f>
        <v>м2</v>
      </c>
      <c r="D1207" s="2890" t="n">
        <f aca="false">'Смета Внутр'!D1213</f>
        <v>0</v>
      </c>
      <c r="E1207" s="2888"/>
      <c r="F1207" s="2895" t="n">
        <f aca="false">'Смета Внутр'!H1213</f>
        <v>0</v>
      </c>
    </row>
    <row r="1208" customFormat="false" ht="14.5" hidden="false" customHeight="false" outlineLevel="0" collapsed="false">
      <c r="B1208" s="2888" t="str">
        <f aca="false">'Смета Внутр'!B1214</f>
        <v>Монтаж утеплителя перекрытия</v>
      </c>
      <c r="C1208" s="2889" t="str">
        <f aca="false">'Смета Внутр'!C1214</f>
        <v>м2</v>
      </c>
      <c r="D1208" s="2890" t="n">
        <f aca="false">'Смета Внутр'!D1214</f>
        <v>100</v>
      </c>
      <c r="E1208" s="2888"/>
      <c r="F1208" s="2902" t="n">
        <f aca="false">'Смета Внутр'!H1214</f>
        <v>0</v>
      </c>
    </row>
    <row r="1209" customFormat="false" ht="14.5" hidden="false" customHeight="false" outlineLevel="0" collapsed="false">
      <c r="B1209" s="2888" t="str">
        <f aca="false">'Смета Внутр'!B1215</f>
        <v>Монтаж ветроизоляции перекрытий</v>
      </c>
      <c r="C1209" s="2889" t="str">
        <f aca="false">'Смета Внутр'!C1215</f>
        <v>м2</v>
      </c>
      <c r="D1209" s="2890" t="n">
        <f aca="false">'Смета Внутр'!D1215</f>
        <v>0</v>
      </c>
      <c r="E1209" s="2888"/>
      <c r="F1209" s="2902" t="n">
        <f aca="false">'Смета Внутр'!H1215</f>
        <v>0</v>
      </c>
    </row>
    <row r="1210" customFormat="false" ht="14.5" hidden="false" customHeight="false" outlineLevel="0" collapsed="false">
      <c r="B1210" s="2888" t="str">
        <f aca="false">'Смета Внутр'!B1216</f>
        <v>Монтаж пароизоляции перекрытий</v>
      </c>
      <c r="C1210" s="2889" t="str">
        <f aca="false">'Смета Внутр'!C1216</f>
        <v>м2</v>
      </c>
      <c r="D1210" s="2890" t="n">
        <f aca="false">'Смета Внутр'!D1216</f>
        <v>0</v>
      </c>
      <c r="E1210" s="2888"/>
      <c r="F1210" s="2902" t="n">
        <f aca="false">'Смета Внутр'!H1216</f>
        <v>0</v>
      </c>
    </row>
    <row r="1211" customFormat="false" ht="14.5" hidden="false" customHeight="false" outlineLevel="0" collapsed="false">
      <c r="B1211" s="2888" t="str">
        <f aca="false">'Смета Внутр'!B1217</f>
        <v>Монтаж плит ЖБИ</v>
      </c>
      <c r="C1211" s="2889" t="str">
        <f aca="false">'Смета Внутр'!C1217</f>
        <v>м2</v>
      </c>
      <c r="D1211" s="2890" t="n">
        <f aca="false">'Смета Внутр'!D1217</f>
        <v>0</v>
      </c>
      <c r="E1211" s="2888"/>
      <c r="F1211" s="2895" t="n">
        <f aca="false">'Смета Внутр'!H1217</f>
        <v>0</v>
      </c>
    </row>
    <row r="1212" customFormat="false" ht="14.5" hidden="false" customHeight="false" outlineLevel="0" collapsed="false">
      <c r="B1212" s="2888" t="str">
        <f aca="false">'Смета Внутр'!B1218</f>
        <v>Монтаж опалубки</v>
      </c>
      <c r="C1212" s="2889" t="str">
        <f aca="false">'Смета Внутр'!C1218</f>
        <v>м2</v>
      </c>
      <c r="D1212" s="2890" t="n">
        <f aca="false">'Смета Внутр'!D1218</f>
        <v>0</v>
      </c>
      <c r="E1212" s="2888"/>
      <c r="F1212" s="2895" t="n">
        <f aca="false">'Смета Внутр'!H1218</f>
        <v>0</v>
      </c>
    </row>
    <row r="1213" customFormat="false" ht="14.5" hidden="false" customHeight="false" outlineLevel="0" collapsed="false">
      <c r="B1213" s="2888" t="str">
        <f aca="false">'Смета Внутр'!B1219</f>
        <v>Укладка пленки гидроизоляционной</v>
      </c>
      <c r="C1213" s="2889" t="str">
        <f aca="false">'Смета Внутр'!C1219</f>
        <v>м2</v>
      </c>
      <c r="D1213" s="2890" t="n">
        <f aca="false">'Смета Внутр'!D1219</f>
        <v>0</v>
      </c>
      <c r="E1213" s="2888"/>
      <c r="F1213" s="2895" t="n">
        <f aca="false">'Смета Внутр'!H1219</f>
        <v>0</v>
      </c>
    </row>
    <row r="1214" customFormat="false" ht="14.5" hidden="false" customHeight="false" outlineLevel="0" collapsed="false">
      <c r="B1214" s="2888" t="str">
        <f aca="false">'Смета Внутр'!B1220</f>
        <v>Армирование перекрытия/плиты</v>
      </c>
      <c r="C1214" s="2889" t="str">
        <f aca="false">'Смета Внутр'!C1220</f>
        <v>м2</v>
      </c>
      <c r="D1214" s="2890" t="n">
        <f aca="false">'Смета Внутр'!D1220</f>
        <v>0</v>
      </c>
      <c r="E1214" s="2888"/>
      <c r="F1214" s="2895" t="n">
        <f aca="false">'Смета Внутр'!H1220</f>
        <v>0</v>
      </c>
    </row>
    <row r="1215" customFormat="false" ht="14.5" hidden="false" customHeight="false" outlineLevel="0" collapsed="false">
      <c r="B1215" s="2888" t="str">
        <f aca="false">'Смета Внутр'!B1221</f>
        <v>Заливка бетоном перекрытия/плиты</v>
      </c>
      <c r="C1215" s="2889" t="str">
        <f aca="false">'Смета Внутр'!C1221</f>
        <v>м2</v>
      </c>
      <c r="D1215" s="2890" t="n">
        <f aca="false">'Смета Внутр'!D1221</f>
        <v>0</v>
      </c>
      <c r="E1215" s="2888"/>
      <c r="F1215" s="2895" t="n">
        <f aca="false">'Смета Внутр'!H1221</f>
        <v>0</v>
      </c>
    </row>
    <row r="1216" customFormat="false" ht="14.5" hidden="false" customHeight="false" outlineLevel="0" collapsed="false">
      <c r="B1216" s="2888" t="str">
        <f aca="false">'Смета Внутр'!B1222</f>
        <v>Монтаж перекрытий из бруса</v>
      </c>
      <c r="C1216" s="2889" t="str">
        <f aca="false">'Смета Внутр'!C1222</f>
        <v>м2</v>
      </c>
      <c r="D1216" s="2890" t="n">
        <f aca="false">'Смета Внутр'!D1222</f>
        <v>0</v>
      </c>
      <c r="E1216" s="2888"/>
      <c r="F1216" s="2902" t="n">
        <f aca="false">'Смета Внутр'!H1222</f>
        <v>0</v>
      </c>
    </row>
    <row r="1217" customFormat="false" ht="14.5" hidden="false" customHeight="false" outlineLevel="0" collapsed="false">
      <c r="B1217" s="2888" t="str">
        <f aca="false">'Смета Внутр'!B1223</f>
        <v>Монтаж перекрытий Сип-панели</v>
      </c>
      <c r="C1217" s="2889" t="str">
        <f aca="false">'Смета Внутр'!C1223</f>
        <v>м2</v>
      </c>
      <c r="D1217" s="2890" t="n">
        <f aca="false">'Смета Внутр'!D1223</f>
        <v>0</v>
      </c>
      <c r="E1217" s="2888"/>
      <c r="F1217" s="2895" t="n">
        <f aca="false">'Смета Внутр'!H1223</f>
        <v>0</v>
      </c>
    </row>
    <row r="1218" customFormat="false" ht="14.5" hidden="false" customHeight="false" outlineLevel="0" collapsed="false">
      <c r="B1218" s="2888" t="str">
        <f aca="false">'Смета Внутр'!B1224</f>
        <v>Монтаж перекрытий из сухой доски</v>
      </c>
      <c r="C1218" s="2889" t="str">
        <f aca="false">'Смета Внутр'!C1224</f>
        <v>м2</v>
      </c>
      <c r="D1218" s="2890" t="n">
        <f aca="false">'Смета Внутр'!D1224</f>
        <v>0</v>
      </c>
      <c r="E1218" s="2888"/>
      <c r="F1218" s="2895" t="n">
        <f aca="false">'Смета Внутр'!H1224</f>
        <v>0</v>
      </c>
    </row>
    <row r="1219" customFormat="false" ht="14.5" hidden="false" customHeight="false" outlineLevel="0" collapsed="false">
      <c r="B1219" s="2888" t="str">
        <f aca="false">'Смета Внутр'!B1225</f>
        <v>Монтаж перекрытий из двутавровой балки</v>
      </c>
      <c r="C1219" s="2889" t="str">
        <f aca="false">'Смета Внутр'!C1225</f>
        <v>м2</v>
      </c>
      <c r="D1219" s="2890" t="n">
        <f aca="false">'Смета Внутр'!D1225</f>
        <v>0</v>
      </c>
      <c r="E1219" s="2888"/>
      <c r="F1219" s="2895" t="n">
        <f aca="false">'Смета Внутр'!H1225</f>
        <v>0</v>
      </c>
    </row>
    <row r="1220" customFormat="false" ht="14.5" hidden="false" customHeight="false" outlineLevel="0" collapsed="false">
      <c r="B1220" s="2888" t="str">
        <f aca="false">'Смета Внутр'!B1226</f>
        <v>Монтаж утеплителя перекрытия</v>
      </c>
      <c r="C1220" s="2889" t="str">
        <f aca="false">'Смета Внутр'!C1226</f>
        <v>м2</v>
      </c>
      <c r="D1220" s="2890" t="n">
        <f aca="false">'Смета Внутр'!D1226</f>
        <v>100</v>
      </c>
      <c r="E1220" s="2888"/>
      <c r="F1220" s="2902" t="n">
        <f aca="false">'Смета Внутр'!H1226</f>
        <v>0</v>
      </c>
    </row>
    <row r="1221" customFormat="false" ht="14.5" hidden="false" customHeight="false" outlineLevel="0" collapsed="false">
      <c r="B1221" s="2888" t="str">
        <f aca="false">'Смета Внутр'!B1227</f>
        <v>Монтаж ветроизоляции перекрытий</v>
      </c>
      <c r="C1221" s="2889" t="str">
        <f aca="false">'Смета Внутр'!C1227</f>
        <v>м2</v>
      </c>
      <c r="D1221" s="2890" t="n">
        <f aca="false">'Смета Внутр'!D1227</f>
        <v>0</v>
      </c>
      <c r="E1221" s="2888"/>
      <c r="F1221" s="2902" t="n">
        <f aca="false">'Смета Внутр'!H1227</f>
        <v>0</v>
      </c>
    </row>
    <row r="1222" customFormat="false" ht="14.5" hidden="false" customHeight="false" outlineLevel="0" collapsed="false">
      <c r="B1222" s="2888" t="str">
        <f aca="false">'Смета Внутр'!B1228</f>
        <v>Монтаж пароизоляции перекрытий</v>
      </c>
      <c r="C1222" s="2889" t="str">
        <f aca="false">'Смета Внутр'!C1228</f>
        <v>м2</v>
      </c>
      <c r="D1222" s="2890" t="n">
        <f aca="false">'Смета Внутр'!D1228</f>
        <v>0</v>
      </c>
      <c r="E1222" s="2888"/>
      <c r="F1222" s="2902" t="n">
        <f aca="false">'Смета Внутр'!H1228</f>
        <v>0</v>
      </c>
    </row>
    <row r="1223" customFormat="false" ht="14.5" hidden="false" customHeight="false" outlineLevel="0" collapsed="false">
      <c r="B1223" s="2888" t="str">
        <f aca="false">'Смета Внутр'!B1229</f>
        <v>Монтаж плит ЖБИ</v>
      </c>
      <c r="C1223" s="2889" t="str">
        <f aca="false">'Смета Внутр'!C1229</f>
        <v>м2</v>
      </c>
      <c r="D1223" s="2890" t="n">
        <f aca="false">'Смета Внутр'!D1229</f>
        <v>0</v>
      </c>
      <c r="E1223" s="2888"/>
      <c r="F1223" s="2895" t="n">
        <f aca="false">'Смета Внутр'!H1229</f>
        <v>0</v>
      </c>
    </row>
    <row r="1224" customFormat="false" ht="14.5" hidden="false" customHeight="false" outlineLevel="0" collapsed="false">
      <c r="B1224" s="2888" t="str">
        <f aca="false">'Смета Внутр'!B1230</f>
        <v>Монтаж опалубки</v>
      </c>
      <c r="C1224" s="2889" t="str">
        <f aca="false">'Смета Внутр'!C1230</f>
        <v>м2</v>
      </c>
      <c r="D1224" s="2890" t="n">
        <f aca="false">'Смета Внутр'!D1230</f>
        <v>0</v>
      </c>
      <c r="E1224" s="2888"/>
      <c r="F1224" s="2895" t="n">
        <f aca="false">'Смета Внутр'!H1230</f>
        <v>0</v>
      </c>
    </row>
    <row r="1225" customFormat="false" ht="14.5" hidden="false" customHeight="false" outlineLevel="0" collapsed="false">
      <c r="B1225" s="2888" t="str">
        <f aca="false">'Смета Внутр'!B1231</f>
        <v>Укладка пленки гидроизоляционной</v>
      </c>
      <c r="C1225" s="2889" t="str">
        <f aca="false">'Смета Внутр'!C1231</f>
        <v>м2</v>
      </c>
      <c r="D1225" s="2890" t="n">
        <f aca="false">'Смета Внутр'!D1231</f>
        <v>0</v>
      </c>
      <c r="E1225" s="2888"/>
      <c r="F1225" s="2895" t="n">
        <f aca="false">'Смета Внутр'!H1231</f>
        <v>0</v>
      </c>
    </row>
    <row r="1226" customFormat="false" ht="14.5" hidden="false" customHeight="false" outlineLevel="0" collapsed="false">
      <c r="B1226" s="2888" t="str">
        <f aca="false">'Смета Внутр'!B1232</f>
        <v>Армирование перекрытия/плиты</v>
      </c>
      <c r="C1226" s="2889" t="str">
        <f aca="false">'Смета Внутр'!C1232</f>
        <v>м2</v>
      </c>
      <c r="D1226" s="2890" t="n">
        <f aca="false">'Смета Внутр'!D1232</f>
        <v>0</v>
      </c>
      <c r="E1226" s="2888"/>
      <c r="F1226" s="2895" t="n">
        <f aca="false">'Смета Внутр'!H1232</f>
        <v>0</v>
      </c>
    </row>
    <row r="1227" customFormat="false" ht="14.5" hidden="false" customHeight="false" outlineLevel="0" collapsed="false">
      <c r="B1227" s="2888" t="str">
        <f aca="false">'Смета Внутр'!B1233</f>
        <v>Заливка бетоном перекрытия/плиты</v>
      </c>
      <c r="C1227" s="2889" t="str">
        <f aca="false">'Смета Внутр'!C1233</f>
        <v>м2</v>
      </c>
      <c r="D1227" s="2890" t="n">
        <f aca="false">'Смета Внутр'!D1233</f>
        <v>0</v>
      </c>
      <c r="E1227" s="2888"/>
      <c r="F1227" s="2895" t="n">
        <f aca="false">'Смета Внутр'!H1233</f>
        <v>0</v>
      </c>
    </row>
    <row r="1228" customFormat="false" ht="14.5" hidden="false" customHeight="false" outlineLevel="0" collapsed="false">
      <c r="B1228" s="2888" t="str">
        <f aca="false">'Смета Внутр'!B1234</f>
        <v>Монтаж перекрытий из бруса</v>
      </c>
      <c r="C1228" s="2889" t="str">
        <f aca="false">'Смета Внутр'!C1234</f>
        <v>м2</v>
      </c>
      <c r="D1228" s="2890" t="n">
        <f aca="false">'Смета Внутр'!D1234</f>
        <v>0</v>
      </c>
      <c r="E1228" s="2888"/>
      <c r="F1228" s="2902" t="n">
        <f aca="false">'Смета Внутр'!H1234</f>
        <v>0</v>
      </c>
    </row>
    <row r="1229" customFormat="false" ht="14.5" hidden="false" customHeight="false" outlineLevel="0" collapsed="false">
      <c r="B1229" s="2888" t="str">
        <f aca="false">'Смета Внутр'!B1235</f>
        <v>Монтаж перекрытий Сип-панели</v>
      </c>
      <c r="C1229" s="2889" t="str">
        <f aca="false">'Смета Внутр'!C1235</f>
        <v>м2</v>
      </c>
      <c r="D1229" s="2890" t="n">
        <f aca="false">'Смета Внутр'!D1235</f>
        <v>0</v>
      </c>
      <c r="E1229" s="2888"/>
      <c r="F1229" s="2895" t="n">
        <f aca="false">'Смета Внутр'!H1235</f>
        <v>0</v>
      </c>
    </row>
    <row r="1230" customFormat="false" ht="14.5" hidden="false" customHeight="false" outlineLevel="0" collapsed="false">
      <c r="B1230" s="2888" t="str">
        <f aca="false">'Смета Внутр'!B1236</f>
        <v>Монтаж перекрытий из сухой доски</v>
      </c>
      <c r="C1230" s="2889" t="str">
        <f aca="false">'Смета Внутр'!C1236</f>
        <v>м2</v>
      </c>
      <c r="D1230" s="2890" t="n">
        <f aca="false">'Смета Внутр'!D1236</f>
        <v>0</v>
      </c>
      <c r="E1230" s="2888"/>
      <c r="F1230" s="2895" t="n">
        <f aca="false">'Смета Внутр'!H1236</f>
        <v>0</v>
      </c>
    </row>
    <row r="1231" customFormat="false" ht="14.5" hidden="false" customHeight="false" outlineLevel="0" collapsed="false">
      <c r="B1231" s="2888" t="str">
        <f aca="false">'Смета Внутр'!B1237</f>
        <v>Монтаж перекрытий из двутавровой балки</v>
      </c>
      <c r="C1231" s="2889" t="str">
        <f aca="false">'Смета Внутр'!C1237</f>
        <v>м2</v>
      </c>
      <c r="D1231" s="2890" t="n">
        <f aca="false">'Смета Внутр'!D1237</f>
        <v>0</v>
      </c>
      <c r="E1231" s="2888"/>
      <c r="F1231" s="2895" t="n">
        <f aca="false">'Смета Внутр'!H1237</f>
        <v>0</v>
      </c>
    </row>
    <row r="1232" customFormat="false" ht="14.5" hidden="false" customHeight="false" outlineLevel="0" collapsed="false">
      <c r="B1232" s="2888" t="str">
        <f aca="false">'Смета Внутр'!B1238</f>
        <v>Монтаж утеплителя перекрытия</v>
      </c>
      <c r="C1232" s="2889" t="str">
        <f aca="false">'Смета Внутр'!C1238</f>
        <v>м2</v>
      </c>
      <c r="D1232" s="2890" t="n">
        <f aca="false">'Смета Внутр'!D1238</f>
        <v>0</v>
      </c>
      <c r="E1232" s="2888"/>
      <c r="F1232" s="2895" t="n">
        <f aca="false">'Смета Внутр'!H1238</f>
        <v>0</v>
      </c>
    </row>
    <row r="1233" customFormat="false" ht="14.5" hidden="false" customHeight="false" outlineLevel="0" collapsed="false">
      <c r="B1233" s="2888" t="str">
        <f aca="false">'Смета Внутр'!B1239</f>
        <v>Монтаж ветроизоляции перекрытий</v>
      </c>
      <c r="C1233" s="2889" t="str">
        <f aca="false">'Смета Внутр'!C1239</f>
        <v>м2</v>
      </c>
      <c r="D1233" s="2890" t="n">
        <f aca="false">'Смета Внутр'!D1239</f>
        <v>0</v>
      </c>
      <c r="E1233" s="2888"/>
      <c r="F1233" s="2895" t="n">
        <f aca="false">'Смета Внутр'!H1239</f>
        <v>0</v>
      </c>
    </row>
    <row r="1234" customFormat="false" ht="14.5" hidden="false" customHeight="false" outlineLevel="0" collapsed="false">
      <c r="B1234" s="2888" t="str">
        <f aca="false">'Смета Внутр'!B1240</f>
        <v>Монтаж пароизоляции перекрытий</v>
      </c>
      <c r="C1234" s="2889" t="str">
        <f aca="false">'Смета Внутр'!C1240</f>
        <v>м2</v>
      </c>
      <c r="D1234" s="2890" t="n">
        <f aca="false">'Смета Внутр'!D1240</f>
        <v>0</v>
      </c>
      <c r="E1234" s="2888"/>
      <c r="F1234" s="2895" t="n">
        <f aca="false">'Смета Внутр'!H1240</f>
        <v>0</v>
      </c>
    </row>
    <row r="1235" customFormat="false" ht="14.5" hidden="false" customHeight="false" outlineLevel="0" collapsed="false">
      <c r="B1235" s="2888" t="str">
        <f aca="false">'Смета Внутр'!B1241</f>
        <v>Монтаж перекрестного пола</v>
      </c>
      <c r="C1235" s="2889" t="str">
        <f aca="false">'Смета Внутр'!C1241</f>
        <v>м2</v>
      </c>
      <c r="D1235" s="2890" t="n">
        <f aca="false">'Смета Внутр'!D1241</f>
        <v>0</v>
      </c>
      <c r="E1235" s="2888"/>
      <c r="F1235" s="2895" t="n">
        <f aca="false">'Смета Внутр'!H1241</f>
        <v>0</v>
      </c>
    </row>
    <row r="1236" customFormat="false" ht="14.5" hidden="false" customHeight="false" outlineLevel="0" collapsed="false">
      <c r="B1236" s="2888" t="str">
        <f aca="false">'Смета Внутр'!B1242</f>
        <v>Монтаж чернового пола 0 этажа</v>
      </c>
      <c r="C1236" s="2889" t="str">
        <f aca="false">'Смета Внутр'!C1242</f>
        <v>м2</v>
      </c>
      <c r="D1236" s="2890" t="n">
        <f aca="false">'Смета Внутр'!D1242</f>
        <v>0</v>
      </c>
      <c r="E1236" s="2888"/>
      <c r="F1236" s="2902" t="n">
        <f aca="false">'Смета Внутр'!H1242</f>
        <v>0</v>
      </c>
    </row>
    <row r="1237" customFormat="false" ht="14.5" hidden="false" customHeight="false" outlineLevel="0" collapsed="false">
      <c r="B1237" s="2888" t="str">
        <f aca="false">'Смета Внутр'!B1243</f>
        <v>Монтаж чернового пола 1 этажа</v>
      </c>
      <c r="C1237" s="2889" t="str">
        <f aca="false">'Смета Внутр'!C1243</f>
        <v>м2</v>
      </c>
      <c r="D1237" s="2890" t="n">
        <f aca="false">'Смета Внутр'!D1243</f>
        <v>0</v>
      </c>
      <c r="E1237" s="2888"/>
      <c r="F1237" s="2902" t="n">
        <f aca="false">'Смета Внутр'!H1243</f>
        <v>0</v>
      </c>
    </row>
    <row r="1238" customFormat="false" ht="14.5" hidden="false" customHeight="false" outlineLevel="0" collapsed="false">
      <c r="B1238" s="2888" t="str">
        <f aca="false">'Смета Внутр'!B1244</f>
        <v>Монтаж чернового пола 2 этажа</v>
      </c>
      <c r="C1238" s="2889" t="str">
        <f aca="false">'Смета Внутр'!C1244</f>
        <v>м2</v>
      </c>
      <c r="D1238" s="2890" t="n">
        <f aca="false">'Смета Внутр'!D1244</f>
        <v>0</v>
      </c>
      <c r="E1238" s="2888"/>
      <c r="F1238" s="2895" t="n">
        <f aca="false">'Смета Внутр'!H1244</f>
        <v>0</v>
      </c>
    </row>
    <row r="1239" customFormat="false" ht="14.5" hidden="false" customHeight="false" outlineLevel="0" collapsed="false">
      <c r="B1239" s="2888" t="str">
        <f aca="false">'Смета Внутр'!B1245</f>
        <v>Монтаж перекрытий ЛСТК</v>
      </c>
      <c r="C1239" s="2889" t="n">
        <f aca="false">'Смета Внутр'!C1245</f>
        <v>0</v>
      </c>
      <c r="D1239" s="2890" t="n">
        <f aca="false">'Смета Внутр'!D1245</f>
        <v>0</v>
      </c>
      <c r="E1239" s="2888"/>
      <c r="F1239" s="2895"/>
    </row>
    <row r="1240" customFormat="false" ht="14.5" hidden="false" customHeight="false" outlineLevel="0" collapsed="false">
      <c r="B1240" s="2888" t="str">
        <f aca="false">'Смета Внутр'!B1246</f>
        <v>Монтаж перекрытий ЛСТК</v>
      </c>
      <c r="C1240" s="2889" t="n">
        <f aca="false">'Смета Внутр'!C1246</f>
        <v>0</v>
      </c>
      <c r="D1240" s="2890" t="n">
        <f aca="false">'Смета Внутр'!D1246</f>
        <v>0</v>
      </c>
      <c r="E1240" s="2888"/>
      <c r="F1240" s="2895"/>
    </row>
    <row r="1241" customFormat="false" ht="14.5" hidden="false" customHeight="false" outlineLevel="0" collapsed="false">
      <c r="B1241" s="2888" t="str">
        <f aca="false">'Смета Внутр'!B1247</f>
        <v>Монтаж перекрытий ЛСТК</v>
      </c>
      <c r="C1241" s="2889" t="n">
        <f aca="false">'Смета Внутр'!C1247</f>
        <v>0</v>
      </c>
      <c r="D1241" s="2890" t="n">
        <f aca="false">'Смета Внутр'!D1247</f>
        <v>0</v>
      </c>
      <c r="E1241" s="2888"/>
      <c r="F1241" s="2895"/>
    </row>
    <row r="1242" customFormat="false" ht="14.5" hidden="false" customHeight="false" outlineLevel="0" collapsed="false">
      <c r="B1242" s="2896" t="str">
        <f aca="false">'Смета Внутр'!B1248</f>
        <v>Итого работы</v>
      </c>
      <c r="C1242" s="2896"/>
      <c r="D1242" s="2896"/>
      <c r="E1242" s="2896"/>
      <c r="F1242" s="2891" t="n">
        <f aca="false">'Смета Внутр'!G1248</f>
        <v>0</v>
      </c>
    </row>
    <row r="1243" customFormat="false" ht="18.5" hidden="false" customHeight="false" outlineLevel="0" collapsed="false">
      <c r="B1243" s="2899" t="str">
        <f aca="false">'Смета Внутр'!B1249</f>
        <v>Веранда/терасса деревянная</v>
      </c>
      <c r="C1243" s="2899"/>
      <c r="D1243" s="2899"/>
      <c r="E1243" s="2899"/>
      <c r="F1243" s="2893" t="n">
        <f aca="false">'Смета Внутр'!H1249</f>
        <v>0</v>
      </c>
    </row>
    <row r="1244" customFormat="false" ht="14.5" hidden="false" customHeight="false" outlineLevel="0" collapsed="false">
      <c r="B1244" s="2894" t="str">
        <f aca="false">'Смета Внутр'!B1250</f>
        <v>Материалы</v>
      </c>
      <c r="C1244" s="2894"/>
      <c r="D1244" s="2894"/>
      <c r="E1244" s="2894"/>
      <c r="F1244" s="2893" t="n">
        <f aca="false">'Смета Внутр'!H1250</f>
        <v>0</v>
      </c>
    </row>
    <row r="1245" customFormat="false" ht="14.5" hidden="false" customHeight="false" outlineLevel="0" collapsed="false">
      <c r="B1245" s="2888" t="str">
        <f aca="false">'Смета Внутр'!B1251</f>
        <v>Листв. влаж, 200*200мм</v>
      </c>
      <c r="C1245" s="2889" t="str">
        <f aca="false">'Смета Внутр'!C1251</f>
        <v>м3</v>
      </c>
      <c r="D1245" s="2890" t="n">
        <f aca="false">'Смета Внутр'!D1251</f>
        <v>0</v>
      </c>
      <c r="E1245" s="2888"/>
      <c r="F1245" s="2895" t="n">
        <f aca="false">'Смета Внутр'!H1251</f>
        <v>0</v>
      </c>
    </row>
    <row r="1246" customFormat="false" ht="14.5" hidden="false" customHeight="false" outlineLevel="0" collapsed="false">
      <c r="B1246" s="2888" t="str">
        <f aca="false">'Смета Внутр'!B1252</f>
        <v>Листв. влаж, 200*150мм</v>
      </c>
      <c r="C1246" s="2889" t="str">
        <f aca="false">'Смета Внутр'!C1252</f>
        <v>м3</v>
      </c>
      <c r="D1246" s="2890" t="n">
        <f aca="false">'Смета Внутр'!D1252</f>
        <v>0.54</v>
      </c>
      <c r="E1246" s="2888"/>
      <c r="F1246" s="2895" t="n">
        <f aca="false">'Смета Внутр'!H1252</f>
        <v>0</v>
      </c>
    </row>
    <row r="1247" customFormat="false" ht="14.5" hidden="false" customHeight="false" outlineLevel="0" collapsed="false">
      <c r="B1247" s="2888" t="str">
        <f aca="false">'Смета Внутр'!B1253</f>
        <v>Рубероид</v>
      </c>
      <c r="C1247" s="2889" t="str">
        <f aca="false">'Смета Внутр'!C1253</f>
        <v>м.п.</v>
      </c>
      <c r="D1247" s="2890" t="n">
        <f aca="false">'Смета Внутр'!D1253</f>
        <v>0</v>
      </c>
      <c r="E1247" s="2888"/>
      <c r="F1247" s="2895" t="n">
        <f aca="false">'Смета Внутр'!H1253</f>
        <v>0</v>
      </c>
    </row>
    <row r="1248" customFormat="false" ht="14.5" hidden="false" customHeight="false" outlineLevel="0" collapsed="false">
      <c r="B1248" s="2888" t="str">
        <f aca="false">'Смета Внутр'!B1254</f>
        <v>Листв. влаж, 200*150мм</v>
      </c>
      <c r="C1248" s="2889" t="str">
        <f aca="false">'Смета Внутр'!C1254</f>
        <v>м3</v>
      </c>
      <c r="D1248" s="2890" t="n">
        <f aca="false">'Смета Внутр'!D1254</f>
        <v>0</v>
      </c>
      <c r="E1248" s="2888"/>
      <c r="F1248" s="2895" t="n">
        <f aca="false">'Смета Внутр'!H1254</f>
        <v>0</v>
      </c>
    </row>
    <row r="1249" customFormat="false" ht="14.5" hidden="false" customHeight="false" outlineLevel="0" collapsed="false">
      <c r="B1249" s="2888" t="str">
        <f aca="false">'Смета Внутр'!B1255</f>
        <v>Проф.брус вл. 200*150мм</v>
      </c>
      <c r="C1249" s="2889" t="str">
        <f aca="false">'Смета Внутр'!C1255</f>
        <v>м3</v>
      </c>
      <c r="D1249" s="2890" t="n">
        <f aca="false">'Смета Внутр'!D1255</f>
        <v>0.5265</v>
      </c>
      <c r="E1249" s="2888"/>
      <c r="F1249" s="2895" t="n">
        <f aca="false">'Смета Внутр'!H1255</f>
        <v>0</v>
      </c>
    </row>
    <row r="1250" customFormat="false" ht="14.5" hidden="false" customHeight="false" outlineLevel="0" collapsed="false">
      <c r="B1250" s="2888" t="str">
        <f aca="false">'Смета Внутр'!B1256</f>
        <v>Брус клееный проф 2 ламель кедр Шир. 240 выс. 140</v>
      </c>
      <c r="C1250" s="2889" t="str">
        <f aca="false">'Смета Внутр'!C1256</f>
        <v>м3</v>
      </c>
      <c r="D1250" s="2890" t="n">
        <f aca="false">'Смета Внутр'!D1256</f>
        <v>0.3024</v>
      </c>
      <c r="E1250" s="2888"/>
      <c r="F1250" s="2895" t="n">
        <f aca="false">'Смета Внутр'!H1256</f>
        <v>0</v>
      </c>
    </row>
    <row r="1251" customFormat="false" ht="14.5" hidden="false" customHeight="false" outlineLevel="0" collapsed="false">
      <c r="B1251" s="2888" t="str">
        <f aca="false">'Смета Внутр'!B1257</f>
        <v>Брус клееный проф 1 ламель кедр Шир. 240 выс. 140</v>
      </c>
      <c r="C1251" s="2889" t="str">
        <f aca="false">'Смета Внутр'!C1257</f>
        <v>м3</v>
      </c>
      <c r="D1251" s="2890" t="n">
        <f aca="false">'Смета Внутр'!D1257</f>
        <v>1.008</v>
      </c>
      <c r="E1251" s="2888"/>
      <c r="F1251" s="2895" t="n">
        <f aca="false">'Смета Внутр'!H1257</f>
        <v>0</v>
      </c>
    </row>
    <row r="1252" customFormat="false" ht="14.5" hidden="false" customHeight="false" outlineLevel="0" collapsed="false">
      <c r="B1252" s="2888" t="str">
        <f aca="false">'Смета Внутр'!B1258</f>
        <v>Проф.брус вл. 200*180мм</v>
      </c>
      <c r="C1252" s="2889" t="str">
        <f aca="false">'Смета Внутр'!C1258</f>
        <v>м3</v>
      </c>
      <c r="D1252" s="2890" t="n">
        <f aca="false">'Смета Внутр'!D1258</f>
        <v>0.504</v>
      </c>
      <c r="E1252" s="2888"/>
      <c r="F1252" s="2895" t="n">
        <f aca="false">'Смета Внутр'!H1258</f>
        <v>0</v>
      </c>
    </row>
    <row r="1253" customFormat="false" ht="14.5" hidden="false" customHeight="false" outlineLevel="0" collapsed="false">
      <c r="B1253" s="2888" t="str">
        <f aca="false">'Смета Внутр'!B1259</f>
        <v>Нет накладки</v>
      </c>
      <c r="C1253" s="2889" t="str">
        <f aca="false">'Смета Внутр'!C1259</f>
        <v>м.п.</v>
      </c>
      <c r="D1253" s="2890" t="n">
        <f aca="false">'Смета Внутр'!D1259</f>
        <v>9</v>
      </c>
      <c r="E1253" s="2888"/>
      <c r="F1253" s="2895" t="n">
        <f aca="false">'Смета Внутр'!H1259</f>
        <v>0</v>
      </c>
    </row>
    <row r="1254" customFormat="false" ht="14.5" hidden="false" customHeight="false" outlineLevel="0" collapsed="false">
      <c r="B1254" s="2888" t="str">
        <f aca="false">'Смета Внутр'!B1260</f>
        <v>Гидрокомпенсатор</v>
      </c>
      <c r="C1254" s="2889" t="str">
        <f aca="false">'Смета Внутр'!C1260</f>
        <v>шт</v>
      </c>
      <c r="D1254" s="2890" t="n">
        <f aca="false">'Смета Внутр'!D1260</f>
        <v>9</v>
      </c>
      <c r="E1254" s="2888"/>
      <c r="F1254" s="2895" t="n">
        <f aca="false">'Смета Внутр'!H1260</f>
        <v>0</v>
      </c>
    </row>
    <row r="1255" customFormat="false" ht="14.5" hidden="false" customHeight="false" outlineLevel="0" collapsed="false">
      <c r="B1255" s="2888" t="str">
        <f aca="false">'Смета Внутр'!B1261</f>
        <v>Уголок усиленный 90х70х55х2,5</v>
      </c>
      <c r="C1255" s="2889" t="str">
        <f aca="false">'Смета Внутр'!C1261</f>
        <v>шт</v>
      </c>
      <c r="D1255" s="2890" t="n">
        <f aca="false">'Смета Внутр'!D1261</f>
        <v>0</v>
      </c>
      <c r="E1255" s="2888"/>
      <c r="F1255" s="2895" t="n">
        <f aca="false">'Смета Внутр'!H1261</f>
        <v>0</v>
      </c>
    </row>
    <row r="1256" customFormat="false" ht="14.5" hidden="false" customHeight="false" outlineLevel="0" collapsed="false">
      <c r="B1256" s="2888" t="str">
        <f aca="false">'Смета Внутр'!B1262</f>
        <v>Нет уголков</v>
      </c>
      <c r="C1256" s="2889" t="str">
        <f aca="false">'Смета Внутр'!C1262</f>
        <v>шт</v>
      </c>
      <c r="D1256" s="2890" t="n">
        <f aca="false">'Смета Внутр'!D1262</f>
        <v>0</v>
      </c>
      <c r="E1256" s="2888"/>
      <c r="F1256" s="2895" t="n">
        <f aca="false">'Смета Внутр'!H1262</f>
        <v>0</v>
      </c>
    </row>
    <row r="1257" customFormat="false" ht="14.5" hidden="false" customHeight="false" outlineLevel="0" collapsed="false">
      <c r="B1257" s="2888" t="str">
        <f aca="false">'Смета Внутр'!B1263</f>
        <v>Пластина соеденительная 100х240х2</v>
      </c>
      <c r="C1257" s="2889" t="str">
        <f aca="false">'Смета Внутр'!C1263</f>
        <v>шт</v>
      </c>
      <c r="D1257" s="2890" t="n">
        <f aca="false">'Смета Внутр'!D1263</f>
        <v>0</v>
      </c>
      <c r="E1257" s="2888"/>
      <c r="F1257" s="2895" t="n">
        <f aca="false">'Смета Внутр'!H1263</f>
        <v>0</v>
      </c>
    </row>
    <row r="1258" customFormat="false" ht="14.5" hidden="false" customHeight="false" outlineLevel="0" collapsed="false">
      <c r="B1258" s="2888" t="str">
        <f aca="false">'Смета Внутр'!B1264</f>
        <v>Нет пластин</v>
      </c>
      <c r="C1258" s="2889" t="str">
        <f aca="false">'Смета Внутр'!C1264</f>
        <v>шт</v>
      </c>
      <c r="D1258" s="2890" t="n">
        <f aca="false">'Смета Внутр'!D1264</f>
        <v>0</v>
      </c>
      <c r="E1258" s="2888"/>
      <c r="F1258" s="2895" t="n">
        <f aca="false">'Смета Внутр'!H1264</f>
        <v>0</v>
      </c>
    </row>
    <row r="1259" customFormat="false" ht="14.5" hidden="false" customHeight="false" outlineLevel="0" collapsed="false">
      <c r="B1259" s="2888" t="str">
        <f aca="false">'Смета Внутр'!B1265</f>
        <v>Болты анкерные с гайкой 12,0 x 100</v>
      </c>
      <c r="C1259" s="2889" t="str">
        <f aca="false">'Смета Внутр'!C1265</f>
        <v>шт</v>
      </c>
      <c r="D1259" s="2890" t="n">
        <f aca="false">'Смета Внутр'!D1265</f>
        <v>0</v>
      </c>
      <c r="E1259" s="2888"/>
      <c r="F1259" s="2895" t="n">
        <f aca="false">'Смета Внутр'!H1265</f>
        <v>0</v>
      </c>
    </row>
    <row r="1260" customFormat="false" ht="14.5" hidden="false" customHeight="false" outlineLevel="0" collapsed="false">
      <c r="B1260" s="2888" t="str">
        <f aca="false">'Смета Внутр'!B1266</f>
        <v>Нет анкерных болтов</v>
      </c>
      <c r="C1260" s="2889" t="str">
        <f aca="false">'Смета Внутр'!C1266</f>
        <v>шт</v>
      </c>
      <c r="D1260" s="2890" t="n">
        <f aca="false">'Смета Внутр'!D1266</f>
        <v>0</v>
      </c>
      <c r="E1260" s="2888"/>
      <c r="F1260" s="2895" t="n">
        <f aca="false">'Смета Внутр'!H1266</f>
        <v>0</v>
      </c>
    </row>
    <row r="1261" customFormat="false" ht="14.5" hidden="false" customHeight="false" outlineLevel="0" collapsed="false">
      <c r="B1261" s="2888" t="str">
        <f aca="false">'Смета Внутр'!B1267</f>
        <v>Саморезы 3,5 x 45</v>
      </c>
      <c r="C1261" s="2889" t="str">
        <f aca="false">'Смета Внутр'!C1267</f>
        <v>кг</v>
      </c>
      <c r="D1261" s="2890" t="n">
        <f aca="false">'Смета Внутр'!D1267</f>
        <v>0</v>
      </c>
      <c r="E1261" s="2888"/>
      <c r="F1261" s="2895" t="n">
        <f aca="false">'Смета Внутр'!H1267</f>
        <v>0</v>
      </c>
    </row>
    <row r="1262" customFormat="false" ht="14.5" hidden="false" customHeight="false" outlineLevel="0" collapsed="false">
      <c r="B1262" s="2888" t="str">
        <f aca="false">'Смета Внутр'!B1268</f>
        <v>Нет саморезов</v>
      </c>
      <c r="C1262" s="2889" t="str">
        <f aca="false">'Смета Внутр'!C1268</f>
        <v>кг</v>
      </c>
      <c r="D1262" s="2890" t="n">
        <f aca="false">'Смета Внутр'!D1268</f>
        <v>0</v>
      </c>
      <c r="E1262" s="2888"/>
      <c r="F1262" s="2895" t="n">
        <f aca="false">'Смета Внутр'!H1268</f>
        <v>0</v>
      </c>
    </row>
    <row r="1263" customFormat="false" ht="14.5" hidden="false" customHeight="false" outlineLevel="0" collapsed="false">
      <c r="B1263" s="2888" t="str">
        <f aca="false">'Смета Внутр'!B1269</f>
        <v>Гвозди строительные 2,5 x 60</v>
      </c>
      <c r="C1263" s="2889" t="str">
        <f aca="false">'Смета Внутр'!C1269</f>
        <v>кг</v>
      </c>
      <c r="D1263" s="2890" t="n">
        <f aca="false">'Смета Внутр'!D1269</f>
        <v>0</v>
      </c>
      <c r="E1263" s="2888"/>
      <c r="F1263" s="2895" t="n">
        <f aca="false">'Смета Внутр'!H1269</f>
        <v>0</v>
      </c>
    </row>
    <row r="1264" customFormat="false" ht="14.5" hidden="false" customHeight="false" outlineLevel="0" collapsed="false">
      <c r="B1264" s="2888" t="str">
        <f aca="false">'Смета Внутр'!B1270</f>
        <v>Гвозди ершоные 3,4 x 60</v>
      </c>
      <c r="C1264" s="2889" t="str">
        <f aca="false">'Смета Внутр'!C1270</f>
        <v>кг</v>
      </c>
      <c r="D1264" s="2890" t="n">
        <f aca="false">'Смета Внутр'!D1270</f>
        <v>0</v>
      </c>
      <c r="E1264" s="2888"/>
      <c r="F1264" s="2895" t="n">
        <f aca="false">'Смета Внутр'!H1270</f>
        <v>0</v>
      </c>
    </row>
    <row r="1265" customFormat="false" ht="14.5" hidden="false" customHeight="false" outlineLevel="0" collapsed="false">
      <c r="B1265" s="2888" t="str">
        <f aca="false">'Смета Внутр'!B1271</f>
        <v>Гидроизоляция жидкая резина 1</v>
      </c>
      <c r="C1265" s="2889" t="str">
        <f aca="false">'Смета Внутр'!C1271</f>
        <v>кг</v>
      </c>
      <c r="D1265" s="2890" t="n">
        <f aca="false">'Смета Внутр'!D1271</f>
        <v>0</v>
      </c>
      <c r="E1265" s="2888"/>
      <c r="F1265" s="2895" t="n">
        <f aca="false">'Смета Внутр'!H1271</f>
        <v>0</v>
      </c>
    </row>
    <row r="1266" customFormat="false" ht="14.5" hidden="false" customHeight="false" outlineLevel="0" collapsed="false">
      <c r="B1266" s="2888" t="str">
        <f aca="false">'Смета Внутр'!B1272</f>
        <v>Kronospan - OSB-3, 22мм</v>
      </c>
      <c r="C1266" s="2889" t="str">
        <f aca="false">'Смета Внутр'!C1272</f>
        <v>м2</v>
      </c>
      <c r="D1266" s="2890" t="n">
        <f aca="false">'Смета Внутр'!D1272</f>
        <v>0</v>
      </c>
      <c r="E1266" s="2888"/>
      <c r="F1266" s="2895" t="n">
        <f aca="false">'Смета Внутр'!H1272</f>
        <v>0</v>
      </c>
    </row>
    <row r="1267" customFormat="false" ht="14.5" hidden="false" customHeight="false" outlineLevel="0" collapsed="false">
      <c r="B1267" s="2888" t="str">
        <f aca="false">'Смета Внутр'!B1273</f>
        <v>Проф.брус вл. 200*150мм</v>
      </c>
      <c r="C1267" s="2889" t="str">
        <f aca="false">'Смета Внутр'!C1273</f>
        <v>м3</v>
      </c>
      <c r="D1267" s="2890" t="n">
        <f aca="false">'Смета Внутр'!D1273</f>
        <v>0.09</v>
      </c>
      <c r="E1267" s="2888"/>
      <c r="F1267" s="2895" t="n">
        <f aca="false">'Смета Внутр'!H1273</f>
        <v>0</v>
      </c>
    </row>
    <row r="1268" customFormat="false" ht="14.5" hidden="false" customHeight="false" outlineLevel="0" collapsed="false">
      <c r="B1268" s="2888" t="str">
        <f aca="false">'Смета Внутр'!B1274</f>
        <v>Брус клееный проф 2 ламель кедр Шир. 240 выс. 140</v>
      </c>
      <c r="C1268" s="2889" t="str">
        <f aca="false">'Смета Внутр'!C1274</f>
        <v>м3</v>
      </c>
      <c r="D1268" s="2890" t="n">
        <f aca="false">'Смета Внутр'!D1274</f>
        <v>0.12096</v>
      </c>
      <c r="E1268" s="2888"/>
      <c r="F1268" s="2895" t="n">
        <f aca="false">'Смета Внутр'!H1274</f>
        <v>0</v>
      </c>
    </row>
    <row r="1269" customFormat="false" ht="14.5" hidden="false" customHeight="false" outlineLevel="0" collapsed="false">
      <c r="B1269" s="2888" t="str">
        <f aca="false">'Смета Внутр'!B1275</f>
        <v>Брус клееный проф 1 ламель кедр Шир. 240 выс. 140</v>
      </c>
      <c r="C1269" s="2889" t="str">
        <f aca="false">'Смета Внутр'!C1275</f>
        <v>м3</v>
      </c>
      <c r="D1269" s="2890" t="n">
        <f aca="false">'Смета Внутр'!D1275</f>
        <v>0.4368</v>
      </c>
      <c r="E1269" s="2888"/>
      <c r="F1269" s="2895" t="n">
        <f aca="false">'Смета Внутр'!H1275</f>
        <v>0</v>
      </c>
    </row>
    <row r="1270" customFormat="false" ht="14.5" hidden="false" customHeight="false" outlineLevel="0" collapsed="false">
      <c r="B1270" s="2888" t="str">
        <f aca="false">'Смета Внутр'!B1276</f>
        <v>Клееная накладка на перила шир 240мм</v>
      </c>
      <c r="C1270" s="2889" t="str">
        <f aca="false">'Смета Внутр'!C1276</f>
        <v>м.п.</v>
      </c>
      <c r="D1270" s="2890" t="n">
        <f aca="false">'Смета Внутр'!D1276</f>
        <v>3.6</v>
      </c>
      <c r="E1270" s="2888"/>
      <c r="F1270" s="2895" t="n">
        <f aca="false">'Смета Внутр'!H1276</f>
        <v>0</v>
      </c>
    </row>
    <row r="1271" customFormat="false" ht="14.5" hidden="false" customHeight="false" outlineLevel="0" collapsed="false">
      <c r="B1271" s="2896" t="str">
        <f aca="false">'Смета Внутр'!B1277</f>
        <v>Итого материалы</v>
      </c>
      <c r="C1271" s="2896"/>
      <c r="D1271" s="2896"/>
      <c r="E1271" s="2896"/>
      <c r="F1271" s="2897" t="n">
        <f aca="false">'Смета Внутр'!G1277</f>
        <v>0</v>
      </c>
    </row>
    <row r="1272" customFormat="false" ht="14.5" hidden="false" customHeight="false" outlineLevel="0" collapsed="false">
      <c r="B1272" s="2898" t="str">
        <f aca="false">'Смета Внутр'!B1278</f>
        <v>Работы</v>
      </c>
      <c r="C1272" s="2898"/>
      <c r="D1272" s="2898"/>
      <c r="E1272" s="2898"/>
      <c r="F1272" s="2893" t="n">
        <f aca="false">'Смета Внутр'!H1278</f>
        <v>0</v>
      </c>
    </row>
    <row r="1273" customFormat="false" ht="14.5" hidden="false" customHeight="false" outlineLevel="0" collapsed="false">
      <c r="B1273" s="2888" t="str">
        <f aca="false">'Смета Внутр'!B1279</f>
        <v>монтаж веранды</v>
      </c>
      <c r="C1273" s="2889" t="str">
        <f aca="false">'Смета Внутр'!C1279</f>
        <v>м2</v>
      </c>
      <c r="D1273" s="2890" t="n">
        <f aca="false">'Смета Внутр'!D1279</f>
        <v>9</v>
      </c>
      <c r="E1273" s="2888"/>
      <c r="F1273" s="2895" t="n">
        <f aca="false">'Смета Внутр'!H1279</f>
        <v>0</v>
      </c>
    </row>
    <row r="1274" customFormat="false" ht="14.5" hidden="false" customHeight="false" outlineLevel="0" collapsed="false">
      <c r="B1274" s="2888" t="str">
        <f aca="false">'Смета Внутр'!B1280</f>
        <v>монтаж лаги, перекрытия</v>
      </c>
      <c r="C1274" s="2889" t="str">
        <f aca="false">'Смета Внутр'!C1280</f>
        <v>м2</v>
      </c>
      <c r="D1274" s="2890" t="n">
        <f aca="false">'Смета Внутр'!D1280</f>
        <v>9</v>
      </c>
      <c r="E1274" s="2888"/>
      <c r="F1274" s="2895" t="n">
        <f aca="false">'Смета Внутр'!H1280</f>
        <v>0</v>
      </c>
    </row>
    <row r="1275" customFormat="false" ht="14.5" hidden="false" customHeight="false" outlineLevel="0" collapsed="false">
      <c r="B1275" s="2888" t="str">
        <f aca="false">'Смета Внутр'!B1281</f>
        <v>Монтаж накладки на перила</v>
      </c>
      <c r="C1275" s="2889" t="str">
        <f aca="false">'Смета Внутр'!C1281</f>
        <v>м.п.</v>
      </c>
      <c r="D1275" s="2890" t="n">
        <f aca="false">'Смета Внутр'!D1281</f>
        <v>9</v>
      </c>
      <c r="E1275" s="2888"/>
      <c r="F1275" s="2895" t="n">
        <f aca="false">'Смета Внутр'!H1281</f>
        <v>0</v>
      </c>
    </row>
    <row r="1276" customFormat="false" ht="14.5" hidden="false" customHeight="false" outlineLevel="0" collapsed="false">
      <c r="B1276" s="2888" t="str">
        <f aca="false">'Смета Внутр'!B1282</f>
        <v>Монтаж перил</v>
      </c>
      <c r="C1276" s="2889" t="str">
        <f aca="false">'Смета Внутр'!C1282</f>
        <v>м.п.</v>
      </c>
      <c r="D1276" s="2890" t="n">
        <f aca="false">'Смета Внутр'!D1282</f>
        <v>9</v>
      </c>
      <c r="E1276" s="2888"/>
      <c r="F1276" s="2895" t="n">
        <f aca="false">'Смета Внутр'!H1282</f>
        <v>0</v>
      </c>
    </row>
    <row r="1277" customFormat="false" ht="14.5" hidden="false" customHeight="false" outlineLevel="0" collapsed="false">
      <c r="B1277" s="2888" t="str">
        <f aca="false">'Смета Внутр'!B1283</f>
        <v>Гидроизоляция рулонная</v>
      </c>
      <c r="C1277" s="2889" t="str">
        <f aca="false">'Смета Внутр'!C1283</f>
        <v>м2</v>
      </c>
      <c r="D1277" s="2890" t="n">
        <f aca="false">'Смета Внутр'!D1283</f>
        <v>0</v>
      </c>
      <c r="E1277" s="2888"/>
      <c r="F1277" s="2895" t="n">
        <f aca="false">'Смета Внутр'!H1283</f>
        <v>0</v>
      </c>
    </row>
    <row r="1278" customFormat="false" ht="14.5" hidden="false" customHeight="false" outlineLevel="0" collapsed="false">
      <c r="B1278" s="2888" t="str">
        <f aca="false">'Смета Внутр'!B1284</f>
        <v>монтаж OSB пол</v>
      </c>
      <c r="C1278" s="2889" t="str">
        <f aca="false">'Смета Внутр'!C1284</f>
        <v>м2</v>
      </c>
      <c r="D1278" s="2890" t="n">
        <f aca="false">'Смета Внутр'!D1284</f>
        <v>0</v>
      </c>
      <c r="E1278" s="2888"/>
      <c r="F1278" s="2895" t="n">
        <f aca="false">'Смета Внутр'!H1284</f>
        <v>0</v>
      </c>
    </row>
    <row r="1279" customFormat="false" ht="14.5" hidden="false" customHeight="false" outlineLevel="0" collapsed="false">
      <c r="B1279" s="2888" t="str">
        <f aca="false">'Смета Внутр'!B1285</f>
        <v>Монтаж перил</v>
      </c>
      <c r="C1279" s="2889" t="str">
        <f aca="false">'Смета Внутр'!C1285</f>
        <v>м.п.</v>
      </c>
      <c r="D1279" s="2890" t="n">
        <f aca="false">'Смета Внутр'!D1285</f>
        <v>3.6</v>
      </c>
      <c r="E1279" s="2888"/>
      <c r="F1279" s="2895" t="n">
        <f aca="false">'Смета Внутр'!H1285</f>
        <v>0</v>
      </c>
    </row>
    <row r="1280" customFormat="false" ht="14.5" hidden="false" customHeight="false" outlineLevel="0" collapsed="false">
      <c r="B1280" s="2888" t="str">
        <f aca="false">'Смета Внутр'!B1286</f>
        <v>Монтаж накладки на перила</v>
      </c>
      <c r="C1280" s="2889" t="str">
        <f aca="false">'Смета Внутр'!C1286</f>
        <v>м.п.</v>
      </c>
      <c r="D1280" s="2890" t="n">
        <f aca="false">'Смета Внутр'!D1286</f>
        <v>3.6</v>
      </c>
      <c r="E1280" s="2888"/>
      <c r="F1280" s="2895" t="n">
        <f aca="false">'Смета Внутр'!H1286</f>
        <v>0</v>
      </c>
    </row>
    <row r="1281" customFormat="false" ht="14.5" hidden="false" customHeight="false" outlineLevel="0" collapsed="false">
      <c r="B1281" s="2888" t="str">
        <f aca="false">'Смета Внутр'!B1287</f>
        <v>монтаж веранды/крыльцо</v>
      </c>
      <c r="C1281" s="2889" t="str">
        <f aca="false">'Смета Внутр'!C1287</f>
        <v>м2</v>
      </c>
      <c r="D1281" s="2890" t="n">
        <f aca="false">'Смета Внутр'!D1287</f>
        <v>0</v>
      </c>
      <c r="E1281" s="2888"/>
      <c r="F1281" s="2895" t="n">
        <f aca="false">'Смета Внутр'!H1287</f>
        <v>0</v>
      </c>
    </row>
    <row r="1282" customFormat="false" ht="14.5" hidden="false" customHeight="false" outlineLevel="0" collapsed="false">
      <c r="B1282" s="2896" t="str">
        <f aca="false">'Смета Внутр'!B1288</f>
        <v>Итого работы</v>
      </c>
      <c r="C1282" s="2896"/>
      <c r="D1282" s="2896"/>
      <c r="E1282" s="2896"/>
      <c r="F1282" s="2897" t="n">
        <f aca="false">'Смета Внутр'!G1288</f>
        <v>0</v>
      </c>
    </row>
    <row r="1283" customFormat="false" ht="18.5" hidden="false" customHeight="false" outlineLevel="0" collapsed="false">
      <c r="B1283" s="2899" t="str">
        <f aca="false">'Смета Внутр'!B1289</f>
        <v>Крыльцо</v>
      </c>
      <c r="C1283" s="2899"/>
      <c r="D1283" s="2899"/>
      <c r="E1283" s="2899"/>
      <c r="F1283" s="2901" t="n">
        <f aca="false">'Смета Внутр'!H1289</f>
        <v>0</v>
      </c>
    </row>
    <row r="1284" customFormat="false" ht="14.5" hidden="false" customHeight="false" outlineLevel="0" collapsed="false">
      <c r="B1284" s="2894" t="str">
        <f aca="false">'Смета Внутр'!B1290</f>
        <v>Материалы</v>
      </c>
      <c r="C1284" s="2894"/>
      <c r="D1284" s="2894"/>
      <c r="E1284" s="2894"/>
      <c r="F1284" s="2901" t="n">
        <f aca="false">'Смета Внутр'!H1290</f>
        <v>0</v>
      </c>
    </row>
    <row r="1285" customFormat="false" ht="14.5" hidden="false" customHeight="false" outlineLevel="0" collapsed="false">
      <c r="B1285" s="2888" t="str">
        <f aca="false">'Смета Внутр'!B1291</f>
        <v>Листв. влаж, 150*150мм</v>
      </c>
      <c r="C1285" s="2889" t="str">
        <f aca="false">'Смета Внутр'!C1291</f>
        <v>м3</v>
      </c>
      <c r="D1285" s="2890" t="n">
        <f aca="false">'Смета Внутр'!D1291</f>
        <v>0.084</v>
      </c>
      <c r="E1285" s="2888"/>
      <c r="F1285" s="2902" t="n">
        <f aca="false">'Смета Внутр'!H1291</f>
        <v>0</v>
      </c>
    </row>
    <row r="1286" customFormat="false" ht="14.5" hidden="false" customHeight="false" outlineLevel="0" collapsed="false">
      <c r="B1286" s="2888" t="str">
        <f aca="false">'Смета Внутр'!B1292</f>
        <v>Листв. влаж, 150*100мм</v>
      </c>
      <c r="C1286" s="2889" t="str">
        <f aca="false">'Смета Внутр'!C1292</f>
        <v>м3</v>
      </c>
      <c r="D1286" s="2890" t="n">
        <f aca="false">'Смета Внутр'!D1292</f>
        <v>0.09</v>
      </c>
      <c r="E1286" s="2888"/>
      <c r="F1286" s="2902" t="n">
        <f aca="false">'Смета Внутр'!H1292</f>
        <v>0</v>
      </c>
    </row>
    <row r="1287" customFormat="false" ht="14.5" hidden="false" customHeight="false" outlineLevel="0" collapsed="false">
      <c r="B1287" s="2888" t="str">
        <f aca="false">'Смета Внутр'!B1293</f>
        <v>Сосна влаж, 150*100мм</v>
      </c>
      <c r="C1287" s="2889" t="str">
        <f aca="false">'Смета Внутр'!C1293</f>
        <v>м3</v>
      </c>
      <c r="D1287" s="2890" t="n">
        <f aca="false">'Смета Внутр'!D1293</f>
        <v>0.075</v>
      </c>
      <c r="E1287" s="2888"/>
      <c r="F1287" s="2902" t="n">
        <f aca="false">'Смета Внутр'!H1293</f>
        <v>0</v>
      </c>
    </row>
    <row r="1288" customFormat="false" ht="14.5" hidden="false" customHeight="false" outlineLevel="0" collapsed="false">
      <c r="B1288" s="2888" t="str">
        <f aca="false">'Смета Внутр'!B1294</f>
        <v>Нет</v>
      </c>
      <c r="C1288" s="2889" t="str">
        <f aca="false">'Смета Внутр'!C1294</f>
        <v>м3</v>
      </c>
      <c r="D1288" s="2890" t="n">
        <f aca="false">'Смета Внутр'!D1294</f>
        <v>11.5</v>
      </c>
      <c r="E1288" s="2888"/>
      <c r="F1288" s="2902" t="n">
        <f aca="false">'Смета Внутр'!H1294</f>
        <v>0</v>
      </c>
    </row>
    <row r="1289" customFormat="false" ht="14.5" hidden="false" customHeight="false" outlineLevel="0" collapsed="false">
      <c r="B1289" s="2888" t="str">
        <f aca="false">'Смета Внутр'!B1295</f>
        <v>Брус клееный проф 2 ламель кедр Шир. 240 выс. 140</v>
      </c>
      <c r="C1289" s="2889" t="str">
        <f aca="false">'Смета Внутр'!C1295</f>
        <v>м3</v>
      </c>
      <c r="D1289" s="2890" t="n">
        <f aca="false">'Смета Внутр'!D1295</f>
        <v>0.168</v>
      </c>
      <c r="E1289" s="2888"/>
      <c r="F1289" s="2902" t="n">
        <f aca="false">'Смета Внутр'!H1295</f>
        <v>0</v>
      </c>
    </row>
    <row r="1290" customFormat="false" ht="14.5" hidden="false" customHeight="false" outlineLevel="0" collapsed="false">
      <c r="B1290" s="2888" t="str">
        <f aca="false">'Смета Внутр'!B1296</f>
        <v>Брус клееный проф 1 ламель кедр Шир. 240 выс. 140</v>
      </c>
      <c r="C1290" s="2889" t="str">
        <f aca="false">'Смета Внутр'!C1296</f>
        <v>м3</v>
      </c>
      <c r="D1290" s="2890" t="n">
        <f aca="false">'Смета Внутр'!D1296</f>
        <v>0.336</v>
      </c>
      <c r="E1290" s="2888"/>
      <c r="F1290" s="2902" t="n">
        <f aca="false">'Смета Внутр'!H1296</f>
        <v>0</v>
      </c>
    </row>
    <row r="1291" customFormat="false" ht="14.5" hidden="false" customHeight="false" outlineLevel="0" collapsed="false">
      <c r="B1291" s="2888" t="str">
        <f aca="false">'Смета Внутр'!B1297</f>
        <v>Нет накладки</v>
      </c>
      <c r="C1291" s="2889" t="str">
        <f aca="false">'Смета Внутр'!C1297</f>
        <v>м.п.</v>
      </c>
      <c r="D1291" s="2890" t="n">
        <f aca="false">'Смета Внутр'!D1297</f>
        <v>5</v>
      </c>
      <c r="E1291" s="2888"/>
      <c r="F1291" s="2902" t="n">
        <f aca="false">'Смета Внутр'!H1297</f>
        <v>0</v>
      </c>
    </row>
    <row r="1292" customFormat="false" ht="14.5" hidden="false" customHeight="false" outlineLevel="0" collapsed="false">
      <c r="B1292" s="2888" t="str">
        <f aca="false">'Смета Внутр'!B1298</f>
        <v>Листв. влаж, 200*200мм</v>
      </c>
      <c r="C1292" s="2889" t="str">
        <f aca="false">'Смета Внутр'!C1298</f>
        <v>м3</v>
      </c>
      <c r="D1292" s="2890" t="n">
        <f aca="false">'Смета Внутр'!D1298</f>
        <v>0.32</v>
      </c>
      <c r="E1292" s="2888"/>
      <c r="F1292" s="2902" t="n">
        <f aca="false">'Смета Внутр'!H1298</f>
        <v>0</v>
      </c>
    </row>
    <row r="1293" customFormat="false" ht="14.5" hidden="false" customHeight="false" outlineLevel="0" collapsed="false">
      <c r="B1293" s="2888" t="str">
        <f aca="false">'Смета Внутр'!B1299</f>
        <v>Уголок усиленный 90х70х55х2,5</v>
      </c>
      <c r="C1293" s="2889" t="str">
        <f aca="false">'Смета Внутр'!C1299</f>
        <v>шт</v>
      </c>
      <c r="D1293" s="2890" t="n">
        <f aca="false">'Смета Внутр'!D1299</f>
        <v>6</v>
      </c>
      <c r="E1293" s="2888"/>
      <c r="F1293" s="2902" t="n">
        <f aca="false">'Смета Внутр'!H1299</f>
        <v>0</v>
      </c>
    </row>
    <row r="1294" customFormat="false" ht="14.5" hidden="false" customHeight="false" outlineLevel="0" collapsed="false">
      <c r="B1294" s="2888" t="str">
        <f aca="false">'Смета Внутр'!B1300</f>
        <v>Нет уголков</v>
      </c>
      <c r="C1294" s="2889" t="str">
        <f aca="false">'Смета Внутр'!C1300</f>
        <v>шт</v>
      </c>
      <c r="D1294" s="2890" t="n">
        <f aca="false">'Смета Внутр'!D1300</f>
        <v>0</v>
      </c>
      <c r="E1294" s="2888"/>
      <c r="F1294" s="2895" t="n">
        <f aca="false">'Смета Внутр'!H1300</f>
        <v>0</v>
      </c>
    </row>
    <row r="1295" customFormat="false" ht="14.5" hidden="false" customHeight="false" outlineLevel="0" collapsed="false">
      <c r="B1295" s="2888" t="str">
        <f aca="false">'Смета Внутр'!B1301</f>
        <v>Пластина соеденительная 100х240х2</v>
      </c>
      <c r="C1295" s="2889" t="str">
        <f aca="false">'Смета Внутр'!C1301</f>
        <v>шт</v>
      </c>
      <c r="D1295" s="2890" t="n">
        <f aca="false">'Смета Внутр'!D1301</f>
        <v>2</v>
      </c>
      <c r="E1295" s="2888"/>
      <c r="F1295" s="2902" t="n">
        <f aca="false">'Смета Внутр'!H1301</f>
        <v>0</v>
      </c>
    </row>
    <row r="1296" customFormat="false" ht="14.5" hidden="false" customHeight="false" outlineLevel="0" collapsed="false">
      <c r="B1296" s="2888" t="str">
        <f aca="false">'Смета Внутр'!B1302</f>
        <v>Нет пластин</v>
      </c>
      <c r="C1296" s="2889" t="str">
        <f aca="false">'Смета Внутр'!C1302</f>
        <v>шт</v>
      </c>
      <c r="D1296" s="2890" t="n">
        <f aca="false">'Смета Внутр'!D1302</f>
        <v>0</v>
      </c>
      <c r="E1296" s="2888"/>
      <c r="F1296" s="2895" t="n">
        <f aca="false">'Смета Внутр'!H1302</f>
        <v>0</v>
      </c>
    </row>
    <row r="1297" customFormat="false" ht="14.5" hidden="false" customHeight="false" outlineLevel="0" collapsed="false">
      <c r="B1297" s="2888" t="str">
        <f aca="false">'Смета Внутр'!B1303</f>
        <v>Болты анкерные с гайкой 12,0 x 100</v>
      </c>
      <c r="C1297" s="2889" t="str">
        <f aca="false">'Смета Внутр'!C1303</f>
        <v>шт</v>
      </c>
      <c r="D1297" s="2890" t="n">
        <f aca="false">'Смета Внутр'!D1303</f>
        <v>6</v>
      </c>
      <c r="E1297" s="2888"/>
      <c r="F1297" s="2902" t="n">
        <f aca="false">'Смета Внутр'!H1303</f>
        <v>0</v>
      </c>
    </row>
    <row r="1298" customFormat="false" ht="14.5" hidden="false" customHeight="false" outlineLevel="0" collapsed="false">
      <c r="B1298" s="2888" t="str">
        <f aca="false">'Смета Внутр'!B1304</f>
        <v>Нет анкерных болтов</v>
      </c>
      <c r="C1298" s="2889" t="str">
        <f aca="false">'Смета Внутр'!C1304</f>
        <v>шт</v>
      </c>
      <c r="D1298" s="2890" t="n">
        <f aca="false">'Смета Внутр'!D1304</f>
        <v>0</v>
      </c>
      <c r="E1298" s="2888"/>
      <c r="F1298" s="2895" t="n">
        <f aca="false">'Смета Внутр'!H1304</f>
        <v>0</v>
      </c>
    </row>
    <row r="1299" customFormat="false" ht="14.5" hidden="false" customHeight="false" outlineLevel="0" collapsed="false">
      <c r="B1299" s="2888" t="str">
        <f aca="false">'Смета Внутр'!B1305</f>
        <v>Саморезы 3,5 x 45</v>
      </c>
      <c r="C1299" s="2889" t="str">
        <f aca="false">'Смета Внутр'!C1305</f>
        <v>кг</v>
      </c>
      <c r="D1299" s="2890" t="n">
        <f aca="false">'Смета Внутр'!D1305</f>
        <v>0</v>
      </c>
      <c r="E1299" s="2888"/>
      <c r="F1299" s="2895" t="n">
        <f aca="false">'Смета Внутр'!H1305</f>
        <v>0</v>
      </c>
    </row>
    <row r="1300" customFormat="false" ht="14.5" hidden="false" customHeight="false" outlineLevel="0" collapsed="false">
      <c r="B1300" s="2888" t="str">
        <f aca="false">'Смета Внутр'!B1306</f>
        <v>Нет саморезов</v>
      </c>
      <c r="C1300" s="2889" t="str">
        <f aca="false">'Смета Внутр'!C1306</f>
        <v>кг</v>
      </c>
      <c r="D1300" s="2890" t="n">
        <f aca="false">'Смета Внутр'!D1306</f>
        <v>0</v>
      </c>
      <c r="E1300" s="2888"/>
      <c r="F1300" s="2895" t="n">
        <f aca="false">'Смета Внутр'!H1306</f>
        <v>0</v>
      </c>
    </row>
    <row r="1301" customFormat="false" ht="14.5" hidden="false" customHeight="false" outlineLevel="0" collapsed="false">
      <c r="B1301" s="2888" t="str">
        <f aca="false">'Смета Внутр'!B1307</f>
        <v>Гвозди строительные 2,5 x 60</v>
      </c>
      <c r="C1301" s="2889" t="str">
        <f aca="false">'Смета Внутр'!C1307</f>
        <v>кг</v>
      </c>
      <c r="D1301" s="2890" t="n">
        <f aca="false">'Смета Внутр'!D1307</f>
        <v>1</v>
      </c>
      <c r="E1301" s="2888"/>
      <c r="F1301" s="2902" t="n">
        <f aca="false">'Смета Внутр'!H1307</f>
        <v>0</v>
      </c>
    </row>
    <row r="1302" customFormat="false" ht="14.5" hidden="false" customHeight="false" outlineLevel="0" collapsed="false">
      <c r="B1302" s="2888" t="str">
        <f aca="false">'Смета Внутр'!B1308</f>
        <v>Гвозди ершоные 3,4 x 60</v>
      </c>
      <c r="C1302" s="2889" t="str">
        <f aca="false">'Смета Внутр'!C1308</f>
        <v>кг</v>
      </c>
      <c r="D1302" s="2890" t="n">
        <f aca="false">'Смета Внутр'!D1308</f>
        <v>1</v>
      </c>
      <c r="E1302" s="2888"/>
      <c r="F1302" s="2902" t="n">
        <f aca="false">'Смета Внутр'!H1308</f>
        <v>0</v>
      </c>
    </row>
    <row r="1303" customFormat="false" ht="14.5" hidden="false" customHeight="false" outlineLevel="0" collapsed="false">
      <c r="B1303" s="2896" t="str">
        <f aca="false">'Смета Внутр'!B1309</f>
        <v>Итого материалы</v>
      </c>
      <c r="C1303" s="2896"/>
      <c r="D1303" s="2896"/>
      <c r="E1303" s="2896"/>
      <c r="F1303" s="2891" t="n">
        <f aca="false">'Смета Внутр'!G1309</f>
        <v>0</v>
      </c>
    </row>
    <row r="1304" customFormat="false" ht="14.5" hidden="false" customHeight="false" outlineLevel="0" collapsed="false">
      <c r="B1304" s="2898" t="str">
        <f aca="false">'Смета Внутр'!B1310</f>
        <v>Работы</v>
      </c>
      <c r="C1304" s="2898"/>
      <c r="D1304" s="2898"/>
      <c r="E1304" s="2898"/>
      <c r="F1304" s="2901" t="n">
        <f aca="false">'Смета Внутр'!H1310</f>
        <v>0</v>
      </c>
    </row>
    <row r="1305" customFormat="false" ht="14.5" hidden="false" customHeight="false" outlineLevel="0" collapsed="false">
      <c r="B1305" s="2888" t="str">
        <f aca="false">'Смета Внутр'!B1311</f>
        <v>монтаж веранды/крыльцо</v>
      </c>
      <c r="C1305" s="2889" t="str">
        <f aca="false">'Смета Внутр'!C1311</f>
        <v>м2</v>
      </c>
      <c r="D1305" s="2890" t="n">
        <f aca="false">'Смета Внутр'!D1311</f>
        <v>3</v>
      </c>
      <c r="E1305" s="2888"/>
      <c r="F1305" s="2902" t="n">
        <f aca="false">'Смета Внутр'!H1311</f>
        <v>0</v>
      </c>
    </row>
    <row r="1306" customFormat="false" ht="14.5" hidden="false" customHeight="false" outlineLevel="0" collapsed="false">
      <c r="B1306" s="2896" t="str">
        <f aca="false">'Смета Внутр'!B1312</f>
        <v>Итого, работы</v>
      </c>
      <c r="C1306" s="2896"/>
      <c r="D1306" s="2896"/>
      <c r="E1306" s="2896"/>
      <c r="F1306" s="2891" t="n">
        <f aca="false">'Смета Внутр'!G1312</f>
        <v>0</v>
      </c>
    </row>
    <row r="1307" customFormat="false" ht="18.5" hidden="false" customHeight="false" outlineLevel="0" collapsed="false">
      <c r="B1307" s="2899" t="str">
        <f aca="false">'Смета Внутр'!B1313</f>
        <v>Балкон</v>
      </c>
      <c r="C1307" s="2899"/>
      <c r="D1307" s="2899"/>
      <c r="E1307" s="2899"/>
      <c r="F1307" s="2893" t="n">
        <f aca="false">'Смета Внутр'!H1313</f>
        <v>0</v>
      </c>
    </row>
    <row r="1308" customFormat="false" ht="14.5" hidden="false" customHeight="false" outlineLevel="0" collapsed="false">
      <c r="B1308" s="2894" t="str">
        <f aca="false">'Смета Внутр'!B1314</f>
        <v>Материалы</v>
      </c>
      <c r="C1308" s="2894"/>
      <c r="D1308" s="2894"/>
      <c r="E1308" s="2894"/>
      <c r="F1308" s="2893" t="n">
        <f aca="false">'Смета Внутр'!H1314</f>
        <v>0</v>
      </c>
    </row>
    <row r="1309" customFormat="false" ht="14.5" hidden="false" customHeight="false" outlineLevel="0" collapsed="false">
      <c r="B1309" s="2888" t="str">
        <f aca="false">'Смета Внутр'!B1315</f>
        <v>Оцилиндрованное бревно сосна 260мм</v>
      </c>
      <c r="C1309" s="2889" t="str">
        <f aca="false">'Смета Внутр'!C1315</f>
        <v>м3</v>
      </c>
      <c r="D1309" s="2890" t="n">
        <f aca="false">'Смета Внутр'!D1315</f>
        <v>1.17</v>
      </c>
      <c r="E1309" s="2888"/>
      <c r="F1309" s="2895" t="n">
        <f aca="false">'Смета Внутр'!H1315</f>
        <v>0</v>
      </c>
    </row>
    <row r="1310" customFormat="false" ht="14.5" hidden="false" customHeight="false" outlineLevel="0" collapsed="false">
      <c r="B1310" s="2888" t="str">
        <f aca="false">'Смета Внутр'!B1316</f>
        <v>Доска естественной влажности, 200*50мм</v>
      </c>
      <c r="C1310" s="2889" t="str">
        <f aca="false">'Смета Внутр'!C1316</f>
        <v>м3</v>
      </c>
      <c r="D1310" s="2890" t="n">
        <f aca="false">'Смета Внутр'!D1316</f>
        <v>0.09</v>
      </c>
      <c r="E1310" s="2888"/>
      <c r="F1310" s="2895" t="n">
        <f aca="false">'Смета Внутр'!H1316</f>
        <v>0</v>
      </c>
    </row>
    <row r="1311" customFormat="false" ht="14.5" hidden="false" customHeight="false" outlineLevel="0" collapsed="false">
      <c r="B1311" s="2888" t="str">
        <f aca="false">'Смета Внутр'!B1317</f>
        <v>Бензин для пилы</v>
      </c>
      <c r="C1311" s="2889" t="str">
        <f aca="false">'Смета Внутр'!C1317</f>
        <v>л</v>
      </c>
      <c r="D1311" s="2890" t="n">
        <f aca="false">'Смета Внутр'!D1317</f>
        <v>0.63</v>
      </c>
      <c r="E1311" s="2888"/>
      <c r="F1311" s="2895" t="n">
        <f aca="false">'Смета Внутр'!H1317</f>
        <v>0</v>
      </c>
    </row>
    <row r="1312" customFormat="false" ht="14.5" hidden="false" customHeight="false" outlineLevel="0" collapsed="false">
      <c r="B1312" s="2888" t="str">
        <f aca="false">'Смета Внутр'!B1318</f>
        <v>Масло для пилы</v>
      </c>
      <c r="C1312" s="2889" t="str">
        <f aca="false">'Смета Внутр'!C1318</f>
        <v>л</v>
      </c>
      <c r="D1312" s="2890" t="n">
        <f aca="false">'Смета Внутр'!D1318</f>
        <v>0.0525</v>
      </c>
      <c r="E1312" s="2888"/>
      <c r="F1312" s="2895" t="n">
        <f aca="false">'Смета Внутр'!H1318</f>
        <v>0</v>
      </c>
    </row>
    <row r="1313" customFormat="false" ht="14.5" hidden="false" customHeight="false" outlineLevel="0" collapsed="false">
      <c r="B1313" s="2888" t="str">
        <f aca="false">'Смета Внутр'!B1319</f>
        <v>Цепь для пилы</v>
      </c>
      <c r="C1313" s="2889" t="str">
        <f aca="false">'Смета Внутр'!C1319</f>
        <v>л</v>
      </c>
      <c r="D1313" s="2890" t="n">
        <f aca="false">'Смета Внутр'!D1319</f>
        <v>1</v>
      </c>
      <c r="E1313" s="2888"/>
      <c r="F1313" s="2895" t="n">
        <f aca="false">'Смета Внутр'!H1319</f>
        <v>0</v>
      </c>
    </row>
    <row r="1314" customFormat="false" ht="14.5" hidden="false" customHeight="false" outlineLevel="0" collapsed="false">
      <c r="B1314" s="2888" t="str">
        <f aca="false">'Смета Внутр'!B1320</f>
        <v>Гидроизоляция жидкая резина 1</v>
      </c>
      <c r="C1314" s="2889" t="str">
        <f aca="false">'Смета Внутр'!C1320</f>
        <v>кг</v>
      </c>
      <c r="D1314" s="2890" t="n">
        <f aca="false">'Смета Внутр'!D1320</f>
        <v>0</v>
      </c>
      <c r="E1314" s="2888"/>
      <c r="F1314" s="2895" t="n">
        <f aca="false">'Смета Внутр'!H1320</f>
        <v>0</v>
      </c>
    </row>
    <row r="1315" customFormat="false" ht="14.5" hidden="false" customHeight="false" outlineLevel="0" collapsed="false">
      <c r="B1315" s="2888" t="str">
        <f aca="false">'Смета Внутр'!B1321</f>
        <v>Kronospan - OSB-3, 22мм</v>
      </c>
      <c r="C1315" s="2889" t="str">
        <f aca="false">'Смета Внутр'!C1321</f>
        <v>м2</v>
      </c>
      <c r="D1315" s="2890" t="n">
        <f aca="false">'Смета Внутр'!D1321</f>
        <v>0</v>
      </c>
      <c r="E1315" s="2888"/>
      <c r="F1315" s="2895" t="n">
        <f aca="false">'Смета Внутр'!H1321</f>
        <v>0</v>
      </c>
    </row>
    <row r="1316" customFormat="false" ht="14.5" hidden="false" customHeight="false" outlineLevel="0" collapsed="false">
      <c r="B1316" s="2888" t="str">
        <f aca="false">'Смета Внутр'!B1322</f>
        <v>Проф.брус вл. 200*150мм</v>
      </c>
      <c r="C1316" s="2889" t="str">
        <f aca="false">'Смета Внутр'!C1322</f>
        <v>м3</v>
      </c>
      <c r="D1316" s="2890" t="n">
        <f aca="false">'Смета Внутр'!D1322</f>
        <v>0</v>
      </c>
      <c r="E1316" s="2888"/>
      <c r="F1316" s="2895" t="n">
        <f aca="false">'Смета Внутр'!H1322</f>
        <v>0</v>
      </c>
    </row>
    <row r="1317" customFormat="false" ht="14.5" hidden="false" customHeight="false" outlineLevel="0" collapsed="false">
      <c r="B1317" s="2888" t="str">
        <f aca="false">'Смета Внутр'!B1323</f>
        <v>Брус клееный проф 2 ламель кедр Шир. 240 выс. 140</v>
      </c>
      <c r="C1317" s="2889" t="str">
        <f aca="false">'Смета Внутр'!C1323</f>
        <v>м3</v>
      </c>
      <c r="D1317" s="2890" t="n">
        <f aca="false">'Смета Внутр'!D1323</f>
        <v>0</v>
      </c>
      <c r="E1317" s="2888"/>
      <c r="F1317" s="2895" t="n">
        <f aca="false">'Смета Внутр'!H1323</f>
        <v>0</v>
      </c>
    </row>
    <row r="1318" customFormat="false" ht="14.5" hidden="false" customHeight="false" outlineLevel="0" collapsed="false">
      <c r="B1318" s="2888" t="str">
        <f aca="false">'Смета Внутр'!B1324</f>
        <v>Брус клееный проф 1 ламель кедр Шир. 240 выс. 140</v>
      </c>
      <c r="C1318" s="2889" t="str">
        <f aca="false">'Смета Внутр'!C1324</f>
        <v>м3</v>
      </c>
      <c r="D1318" s="2890" t="n">
        <f aca="false">'Смета Внутр'!D1324</f>
        <v>0</v>
      </c>
      <c r="E1318" s="2888"/>
      <c r="F1318" s="2895" t="n">
        <f aca="false">'Смета Внутр'!H1324</f>
        <v>0</v>
      </c>
    </row>
    <row r="1319" customFormat="false" ht="14.5" hidden="false" customHeight="false" outlineLevel="0" collapsed="false">
      <c r="B1319" s="2888" t="str">
        <f aca="false">'Смета Внутр'!B1325</f>
        <v>Клееная накладка на перила шир 240мм</v>
      </c>
      <c r="C1319" s="2889" t="str">
        <f aca="false">'Смета Внутр'!C1325</f>
        <v>м.п.</v>
      </c>
      <c r="D1319" s="2890" t="n">
        <f aca="false">'Смета Внутр'!D1325</f>
        <v>0</v>
      </c>
      <c r="E1319" s="2888"/>
      <c r="F1319" s="2895" t="n">
        <f aca="false">'Смета Внутр'!H1325</f>
        <v>0</v>
      </c>
    </row>
    <row r="1320" customFormat="false" ht="14.5" hidden="false" customHeight="false" outlineLevel="0" collapsed="false">
      <c r="B1320" s="2896" t="str">
        <f aca="false">'Смета Внутр'!B1326</f>
        <v>Итого материалы</v>
      </c>
      <c r="C1320" s="2896"/>
      <c r="D1320" s="2896"/>
      <c r="E1320" s="2896"/>
      <c r="F1320" s="2897" t="n">
        <f aca="false">'Смета Внутр'!G1326</f>
        <v>0</v>
      </c>
    </row>
    <row r="1321" customFormat="false" ht="14.5" hidden="false" customHeight="false" outlineLevel="0" collapsed="false">
      <c r="B1321" s="2898" t="str">
        <f aca="false">'Смета Внутр'!B1327</f>
        <v>Работы</v>
      </c>
      <c r="C1321" s="2898"/>
      <c r="D1321" s="2898"/>
      <c r="E1321" s="2898"/>
      <c r="F1321" s="2893" t="n">
        <f aca="false">'Смета Внутр'!H1327</f>
        <v>0</v>
      </c>
    </row>
    <row r="1322" customFormat="false" ht="14.5" hidden="false" customHeight="false" outlineLevel="0" collapsed="false">
      <c r="B1322" s="2888" t="str">
        <f aca="false">'Смета Внутр'!B1328</f>
        <v>кладка бруса</v>
      </c>
      <c r="C1322" s="2889" t="str">
        <f aca="false">'Смета Внутр'!C1328</f>
        <v>м3</v>
      </c>
      <c r="D1322" s="2890" t="n">
        <f aca="false">'Смета Внутр'!D1328</f>
        <v>1.17</v>
      </c>
      <c r="E1322" s="2888"/>
      <c r="F1322" s="2895" t="n">
        <f aca="false">'Смета Внутр'!H1328</f>
        <v>0</v>
      </c>
    </row>
    <row r="1323" customFormat="false" ht="14.5" hidden="false" customHeight="false" outlineLevel="0" collapsed="false">
      <c r="B1323" s="2888" t="str">
        <f aca="false">'Смета Внутр'!B1329</f>
        <v>Монтаж перекрытий из бруса</v>
      </c>
      <c r="C1323" s="2889" t="str">
        <f aca="false">'Смета Внутр'!C1329</f>
        <v>м2</v>
      </c>
      <c r="D1323" s="2890" t="n">
        <f aca="false">'Смета Внутр'!D1329</f>
        <v>3</v>
      </c>
      <c r="E1323" s="2888"/>
      <c r="F1323" s="2895" t="n">
        <f aca="false">'Смета Внутр'!H1329</f>
        <v>0</v>
      </c>
    </row>
    <row r="1324" customFormat="false" ht="14.5" hidden="false" customHeight="false" outlineLevel="0" collapsed="false">
      <c r="B1324" s="2888" t="str">
        <f aca="false">'Смета Внутр'!B1330</f>
        <v>Гидроизоляция рулонная</v>
      </c>
      <c r="C1324" s="2889" t="str">
        <f aca="false">'Смета Внутр'!C1330</f>
        <v>м2</v>
      </c>
      <c r="D1324" s="2890" t="n">
        <f aca="false">'Смета Внутр'!D1330</f>
        <v>0</v>
      </c>
      <c r="E1324" s="2888"/>
      <c r="F1324" s="2895" t="n">
        <f aca="false">'Смета Внутр'!H1330</f>
        <v>0</v>
      </c>
    </row>
    <row r="1325" customFormat="false" ht="14.5" hidden="false" customHeight="false" outlineLevel="0" collapsed="false">
      <c r="B1325" s="2888" t="str">
        <f aca="false">'Смета Внутр'!B1331</f>
        <v>монтаж OSB пол</v>
      </c>
      <c r="C1325" s="2889" t="str">
        <f aca="false">'Смета Внутр'!C1331</f>
        <v>м2</v>
      </c>
      <c r="D1325" s="2890" t="n">
        <f aca="false">'Смета Внутр'!D1331</f>
        <v>0</v>
      </c>
      <c r="E1325" s="2888"/>
      <c r="F1325" s="2895" t="n">
        <f aca="false">'Смета Внутр'!H1331</f>
        <v>0</v>
      </c>
    </row>
    <row r="1326" customFormat="false" ht="14.5" hidden="false" customHeight="false" outlineLevel="0" collapsed="false">
      <c r="B1326" s="2888" t="str">
        <f aca="false">'Смета Внутр'!B1332</f>
        <v>Монтаж перил</v>
      </c>
      <c r="C1326" s="2889" t="str">
        <f aca="false">'Смета Внутр'!C1332</f>
        <v>м.п.</v>
      </c>
      <c r="D1326" s="2890" t="n">
        <f aca="false">'Смета Внутр'!D1332</f>
        <v>0</v>
      </c>
      <c r="E1326" s="2888"/>
      <c r="F1326" s="2895" t="n">
        <f aca="false">'Смета Внутр'!H1332</f>
        <v>0</v>
      </c>
    </row>
    <row r="1327" customFormat="false" ht="14.5" hidden="false" customHeight="false" outlineLevel="0" collapsed="false">
      <c r="B1327" s="2888" t="str">
        <f aca="false">'Смета Внутр'!B1333</f>
        <v>Монтаж накладки на перила</v>
      </c>
      <c r="C1327" s="2889" t="str">
        <f aca="false">'Смета Внутр'!C1333</f>
        <v>м.п.</v>
      </c>
      <c r="D1327" s="2890" t="n">
        <f aca="false">'Смета Внутр'!D1333</f>
        <v>0</v>
      </c>
      <c r="E1327" s="2888"/>
      <c r="F1327" s="2895" t="n">
        <f aca="false">'Смета Внутр'!H1333</f>
        <v>0</v>
      </c>
    </row>
    <row r="1328" customFormat="false" ht="14.5" hidden="false" customHeight="false" outlineLevel="0" collapsed="false">
      <c r="B1328" s="2896" t="str">
        <f aca="false">'Смета Внутр'!B1334</f>
        <v>Итого работы</v>
      </c>
      <c r="C1328" s="2896"/>
      <c r="D1328" s="2896"/>
      <c r="E1328" s="2896"/>
      <c r="F1328" s="2897" t="n">
        <f aca="false">'Смета Внутр'!G1334</f>
        <v>0</v>
      </c>
    </row>
    <row r="1329" customFormat="false" ht="18.5" hidden="false" customHeight="false" outlineLevel="0" collapsed="false">
      <c r="B1329" s="2899" t="str">
        <f aca="false">'Смета Внутр'!B1335</f>
        <v>Кровля односкатная</v>
      </c>
      <c r="C1329" s="2899"/>
      <c r="D1329" s="2899"/>
      <c r="E1329" s="2899"/>
      <c r="F1329" s="2893" t="n">
        <f aca="false">'Смета Внутр'!H1335</f>
        <v>0</v>
      </c>
    </row>
    <row r="1330" customFormat="false" ht="14.5" hidden="false" customHeight="false" outlineLevel="0" collapsed="false">
      <c r="B1330" s="2894" t="str">
        <f aca="false">'Смета Внутр'!B1336</f>
        <v>Материалы</v>
      </c>
      <c r="C1330" s="2894"/>
      <c r="D1330" s="2894"/>
      <c r="E1330" s="2894"/>
      <c r="F1330" s="2893" t="n">
        <f aca="false">'Смета Внутр'!H1336</f>
        <v>0</v>
      </c>
    </row>
    <row r="1331" customFormat="false" ht="14.5" hidden="false" customHeight="false" outlineLevel="0" collapsed="false">
      <c r="B1331" s="2888" t="str">
        <f aca="false">'Смета Внутр'!B1337</f>
        <v>нет</v>
      </c>
      <c r="C1331" s="2889" t="str">
        <f aca="false">'Смета Внутр'!C1337</f>
        <v>м3</v>
      </c>
      <c r="D1331" s="2890" t="n">
        <f aca="false">'Смета Внутр'!D1337</f>
        <v>0</v>
      </c>
      <c r="E1331" s="2888"/>
      <c r="F1331" s="2895" t="n">
        <f aca="false">'Смета Внутр'!H1337</f>
        <v>0</v>
      </c>
    </row>
    <row r="1332" customFormat="false" ht="14.5" hidden="false" customHeight="false" outlineLevel="0" collapsed="false">
      <c r="B1332" s="2888" t="str">
        <f aca="false">'Смета Внутр'!B1338</f>
        <v>Болты анкерные с гайкой 12,0 х 280</v>
      </c>
      <c r="C1332" s="2889" t="str">
        <f aca="false">'Смета Внутр'!C1338</f>
        <v>шт</v>
      </c>
      <c r="D1332" s="2890" t="n">
        <f aca="false">'Смета Внутр'!D1338</f>
        <v>48.2842712474619</v>
      </c>
      <c r="E1332" s="2888"/>
      <c r="F1332" s="2895" t="n">
        <f aca="false">'Смета Внутр'!H1338</f>
        <v>0</v>
      </c>
    </row>
    <row r="1333" customFormat="false" ht="14.5" hidden="false" customHeight="false" outlineLevel="0" collapsed="false">
      <c r="B1333" s="2888" t="str">
        <f aca="false">'Смета Внутр'!B1339</f>
        <v>Доска сухая, 200*50мм</v>
      </c>
      <c r="C1333" s="2889" t="str">
        <f aca="false">'Смета Внутр'!C1339</f>
        <v>м3</v>
      </c>
      <c r="D1333" s="2890" t="n">
        <f aca="false">'Смета Внутр'!D1339</f>
        <v>7.24541489913801</v>
      </c>
      <c r="E1333" s="2888"/>
      <c r="F1333" s="2895" t="n">
        <f aca="false">'Смета Внутр'!H1339</f>
        <v>0</v>
      </c>
    </row>
    <row r="1334" customFormat="false" ht="14.5" hidden="false" customHeight="false" outlineLevel="0" collapsed="false">
      <c r="B1334" s="2888" t="str">
        <f aca="false">'Смета Внутр'!B1340</f>
        <v>бугель, доска</v>
      </c>
      <c r="C1334" s="2889" t="str">
        <f aca="false">'Смета Внутр'!C1340</f>
        <v>м3</v>
      </c>
      <c r="D1334" s="2890" t="n">
        <f aca="false">'Смета Внутр'!D1340</f>
        <v>2.6</v>
      </c>
      <c r="E1334" s="2888"/>
      <c r="F1334" s="2895" t="n">
        <f aca="false">'Смета Внутр'!H1340</f>
        <v>0</v>
      </c>
    </row>
    <row r="1335" customFormat="false" ht="14.5" hidden="false" customHeight="false" outlineLevel="0" collapsed="false">
      <c r="B1335" s="2888" t="str">
        <f aca="false">'Смета Внутр'!B1341</f>
        <v>стойка под конек</v>
      </c>
      <c r="C1335" s="2889" t="str">
        <f aca="false">'Смета Внутр'!C1341</f>
        <v>м3</v>
      </c>
      <c r="D1335" s="2890" t="n">
        <f aca="false">'Смета Внутр'!D1341</f>
        <v>1.3</v>
      </c>
      <c r="E1335" s="2888"/>
      <c r="F1335" s="2895" t="n">
        <f aca="false">'Смета Внутр'!H1341</f>
        <v>0</v>
      </c>
    </row>
    <row r="1336" customFormat="false" ht="14.5" hidden="false" customHeight="false" outlineLevel="0" collapsed="false">
      <c r="B1336" s="2888" t="str">
        <f aca="false">'Смета Внутр'!B1342</f>
        <v>Сосна влаж,100*25мм</v>
      </c>
      <c r="C1336" s="2889" t="str">
        <f aca="false">'Смета Внутр'!C1342</f>
        <v>м3</v>
      </c>
      <c r="D1336" s="2890" t="n">
        <f aca="false">'Смета Внутр'!D1342</f>
        <v>1.20589694140964</v>
      </c>
      <c r="E1336" s="2888"/>
      <c r="F1336" s="2895" t="n">
        <f aca="false">'Смета Внутр'!H1342</f>
        <v>0</v>
      </c>
    </row>
    <row r="1337" customFormat="false" ht="14.5" hidden="false" customHeight="false" outlineLevel="0" collapsed="false">
      <c r="B1337" s="2888" t="str">
        <f aca="false">'Смета Внутр'!B1343</f>
        <v>Сосна влаж, 50*50мм</v>
      </c>
      <c r="C1337" s="2889" t="str">
        <f aca="false">'Смета Внутр'!C1343</f>
        <v>м3</v>
      </c>
      <c r="D1337" s="2890" t="n">
        <f aca="false">'Смета Внутр'!D1343</f>
        <v>1.00491411784136</v>
      </c>
      <c r="E1337" s="2888"/>
      <c r="F1337" s="2895" t="n">
        <f aca="false">'Смета Внутр'!H1343</f>
        <v>0</v>
      </c>
    </row>
    <row r="1338" customFormat="false" ht="14.5" hidden="false" customHeight="false" outlineLevel="0" collapsed="false">
      <c r="B1338" s="2888" t="str">
        <f aca="false">'Смета Внутр'!B1344</f>
        <v>Нет</v>
      </c>
      <c r="C1338" s="2889" t="str">
        <f aca="false">'Смета Внутр'!C1344</f>
        <v>м3</v>
      </c>
      <c r="D1338" s="2890" t="n">
        <f aca="false">'Смета Внутр'!D1344</f>
        <v>0</v>
      </c>
      <c r="E1338" s="2888"/>
      <c r="F1338" s="2895" t="n">
        <f aca="false">'Смета Внутр'!H1344</f>
        <v>0</v>
      </c>
    </row>
    <row r="1339" customFormat="false" ht="14.5" hidden="false" customHeight="false" outlineLevel="0" collapsed="false">
      <c r="B1339" s="2888" t="str">
        <f aca="false">'Смета Внутр'!B1345</f>
        <v>Гидрокомпенсатор</v>
      </c>
      <c r="C1339" s="2889" t="str">
        <f aca="false">'Смета Внутр'!C1345</f>
        <v>шт</v>
      </c>
      <c r="D1339" s="2890" t="n">
        <f aca="false">'Смета Внутр'!D1345</f>
        <v>0</v>
      </c>
      <c r="E1339" s="2888"/>
      <c r="F1339" s="2895" t="n">
        <f aca="false">'Смета Внутр'!H1345</f>
        <v>0</v>
      </c>
    </row>
    <row r="1340" customFormat="false" ht="14.5" hidden="false" customHeight="false" outlineLevel="0" collapsed="false">
      <c r="B1340" s="2888" t="str">
        <f aca="false">'Смета Внутр'!B1346</f>
        <v>Мембрана MD90</v>
      </c>
      <c r="C1340" s="2889" t="str">
        <f aca="false">'Смета Внутр'!C1346</f>
        <v>м2</v>
      </c>
      <c r="D1340" s="2890" t="n">
        <f aca="false">'Смета Внутр'!D1346</f>
        <v>192.943510625542</v>
      </c>
      <c r="E1340" s="2888"/>
      <c r="F1340" s="2895" t="n">
        <f aca="false">'Смета Внутр'!H1346</f>
        <v>0</v>
      </c>
    </row>
    <row r="1341" customFormat="false" ht="14.5" hidden="false" customHeight="false" outlineLevel="0" collapsed="false">
      <c r="B1341" s="2888" t="str">
        <f aca="false">'Смета Внутр'!B1347</f>
        <v>Мембрана Tyvek AirGuard Reflective</v>
      </c>
      <c r="C1341" s="2889" t="str">
        <f aca="false">'Смета Внутр'!C1347</f>
        <v>м2</v>
      </c>
      <c r="D1341" s="2890" t="n">
        <f aca="false">'Смета Внутр'!D1347</f>
        <v>139.754248593737</v>
      </c>
      <c r="E1341" s="2888"/>
      <c r="F1341" s="2895" t="n">
        <f aca="false">'Смета Внутр'!H1347</f>
        <v>0</v>
      </c>
    </row>
    <row r="1342" customFormat="false" ht="14.5" hidden="false" customHeight="false" outlineLevel="0" collapsed="false">
      <c r="B1342" s="2888" t="str">
        <f aca="false">'Смета Внутр'!B1348</f>
        <v>Плитный,28кг/м3, технониколь, 200мм</v>
      </c>
      <c r="C1342" s="2889" t="str">
        <f aca="false">'Смета Внутр'!C1348</f>
        <v>м3</v>
      </c>
      <c r="D1342" s="2890" t="n">
        <f aca="false">'Смета Внутр'!D1348</f>
        <v>22.3606797749979</v>
      </c>
      <c r="E1342" s="2888"/>
      <c r="F1342" s="2895" t="n">
        <f aca="false">'Смета Внутр'!H1348</f>
        <v>0</v>
      </c>
    </row>
    <row r="1343" customFormat="false" ht="14.5" hidden="false" customHeight="false" outlineLevel="0" collapsed="false">
      <c r="B1343" s="2888" t="str">
        <f aca="false">'Смета Внутр'!B1349</f>
        <v>Металлочерепица</v>
      </c>
      <c r="C1343" s="2889" t="str">
        <f aca="false">'Смета Внутр'!C1349</f>
        <v>м2</v>
      </c>
      <c r="D1343" s="2890" t="n">
        <f aca="false">'Смета Внутр'!D1349</f>
        <v>192.943510625542</v>
      </c>
      <c r="E1343" s="2888"/>
      <c r="F1343" s="2895" t="n">
        <f aca="false">'Смета Внутр'!H1349</f>
        <v>0</v>
      </c>
    </row>
    <row r="1344" customFormat="false" ht="14.5" hidden="false" customHeight="false" outlineLevel="0" collapsed="false">
      <c r="B1344" s="2888" t="str">
        <f aca="false">'Смета Внутр'!B1350</f>
        <v>Карнизная планка</v>
      </c>
      <c r="C1344" s="2889" t="str">
        <f aca="false">'Смета Внутр'!C1350</f>
        <v>м.п.</v>
      </c>
      <c r="D1344" s="2890" t="n">
        <f aca="false">'Смета Внутр'!D1350</f>
        <v>14.278</v>
      </c>
      <c r="E1344" s="2888"/>
      <c r="F1344" s="2895" t="n">
        <f aca="false">'Смета Внутр'!H1350</f>
        <v>0</v>
      </c>
    </row>
    <row r="1345" customFormat="false" ht="14.5" hidden="false" customHeight="false" outlineLevel="0" collapsed="false">
      <c r="B1345" s="2888" t="str">
        <f aca="false">'Смета Внутр'!B1351</f>
        <v>Торцевая планка</v>
      </c>
      <c r="C1345" s="2889" t="str">
        <f aca="false">'Смета Внутр'!C1351</f>
        <v>м.п.</v>
      </c>
      <c r="D1345" s="2890" t="n">
        <f aca="false">'Смета Внутр'!D1351</f>
        <v>41.8384550406915</v>
      </c>
      <c r="E1345" s="2888"/>
      <c r="F1345" s="2895" t="n">
        <f aca="false">'Смета Внутр'!H1351</f>
        <v>0</v>
      </c>
    </row>
    <row r="1346" customFormat="false" ht="14.5" hidden="false" customHeight="false" outlineLevel="0" collapsed="false">
      <c r="B1346" s="2888" t="str">
        <f aca="false">'Смета Внутр'!B1352</f>
        <v>Конек</v>
      </c>
      <c r="C1346" s="2889" t="str">
        <f aca="false">'Смета Внутр'!C1352</f>
        <v>м.п.</v>
      </c>
      <c r="D1346" s="2890" t="n">
        <f aca="false">'Смета Внутр'!D1352</f>
        <v>12.98</v>
      </c>
      <c r="E1346" s="2888"/>
      <c r="F1346" s="2895" t="n">
        <f aca="false">'Смета Внутр'!H1352</f>
        <v>0</v>
      </c>
    </row>
    <row r="1347" customFormat="false" ht="14.5" hidden="false" customHeight="false" outlineLevel="0" collapsed="false">
      <c r="B1347" s="2888" t="str">
        <f aca="false">'Смета Внутр'!B1353</f>
        <v>ондулин</v>
      </c>
      <c r="C1347" s="2889" t="str">
        <f aca="false">'Смета Внутр'!C1353</f>
        <v>м2</v>
      </c>
      <c r="D1347" s="2890" t="n">
        <f aca="false">'Смета Внутр'!D1353</f>
        <v>0</v>
      </c>
      <c r="E1347" s="2888"/>
      <c r="F1347" s="2895" t="n">
        <f aca="false">'Смета Внутр'!H1353</f>
        <v>0</v>
      </c>
    </row>
    <row r="1348" customFormat="false" ht="14.5" hidden="false" customHeight="false" outlineLevel="0" collapsed="false">
      <c r="B1348" s="2888" t="str">
        <f aca="false">'Смета Внутр'!B1354</f>
        <v>Карнизная планка</v>
      </c>
      <c r="C1348" s="2889" t="str">
        <f aca="false">'Смета Внутр'!C1354</f>
        <v>м.п.</v>
      </c>
      <c r="D1348" s="2890" t="n">
        <f aca="false">'Смета Внутр'!D1354</f>
        <v>0</v>
      </c>
      <c r="E1348" s="2888"/>
      <c r="F1348" s="2895" t="n">
        <f aca="false">'Смета Внутр'!H1354</f>
        <v>0</v>
      </c>
    </row>
    <row r="1349" customFormat="false" ht="14.5" hidden="false" customHeight="false" outlineLevel="0" collapsed="false">
      <c r="B1349" s="2888" t="str">
        <f aca="false">'Смета Внутр'!B1355</f>
        <v>Торцевая планка</v>
      </c>
      <c r="C1349" s="2889" t="str">
        <f aca="false">'Смета Внутр'!C1355</f>
        <v>м.п.</v>
      </c>
      <c r="D1349" s="2890" t="n">
        <f aca="false">'Смета Внутр'!D1355</f>
        <v>0</v>
      </c>
      <c r="E1349" s="2888"/>
      <c r="F1349" s="2895" t="n">
        <f aca="false">'Смета Внутр'!H1355</f>
        <v>0</v>
      </c>
    </row>
    <row r="1350" customFormat="false" ht="14.5" hidden="false" customHeight="false" outlineLevel="0" collapsed="false">
      <c r="B1350" s="2888" t="str">
        <f aca="false">'Смета Внутр'!B1356</f>
        <v>Конек</v>
      </c>
      <c r="C1350" s="2889" t="str">
        <f aca="false">'Смета Внутр'!C1356</f>
        <v>м.п</v>
      </c>
      <c r="D1350" s="2890" t="n">
        <f aca="false">'Смета Внутр'!D1356</f>
        <v>0</v>
      </c>
      <c r="E1350" s="2888"/>
      <c r="F1350" s="2895" t="n">
        <f aca="false">'Смета Внутр'!H1356</f>
        <v>0</v>
      </c>
    </row>
    <row r="1351" customFormat="false" ht="14.5" hidden="false" customHeight="false" outlineLevel="0" collapsed="false">
      <c r="B1351" s="2888" t="str">
        <f aca="false">'Смета Внутр'!B1357</f>
        <v>Ендова нижняя</v>
      </c>
      <c r="C1351" s="2889" t="str">
        <f aca="false">'Смета Внутр'!C1357</f>
        <v>м.п.</v>
      </c>
      <c r="D1351" s="2890" t="n">
        <f aca="false">'Смета Внутр'!D1357</f>
        <v>0</v>
      </c>
      <c r="E1351" s="2888"/>
      <c r="F1351" s="2895" t="n">
        <f aca="false">'Смета Внутр'!H1357</f>
        <v>0</v>
      </c>
    </row>
    <row r="1352" customFormat="false" ht="14.5" hidden="false" customHeight="false" outlineLevel="0" collapsed="false">
      <c r="B1352" s="2888" t="str">
        <f aca="false">'Смета Внутр'!B1358</f>
        <v>Ендова верхняя</v>
      </c>
      <c r="C1352" s="2889" t="str">
        <f aca="false">'Смета Внутр'!C1358</f>
        <v>м.п.</v>
      </c>
      <c r="D1352" s="2890" t="n">
        <f aca="false">'Смета Внутр'!D1358</f>
        <v>0</v>
      </c>
      <c r="E1352" s="2888"/>
      <c r="F1352" s="2895" t="n">
        <f aca="false">'Смета Внутр'!H1358</f>
        <v>0</v>
      </c>
    </row>
    <row r="1353" customFormat="false" ht="14.5" hidden="false" customHeight="false" outlineLevel="0" collapsed="false">
      <c r="B1353" s="2888" t="str">
        <f aca="false">'Смета Внутр'!B1359</f>
        <v>Планка примыкания</v>
      </c>
      <c r="C1353" s="2889" t="str">
        <f aca="false">'Смета Внутр'!C1359</f>
        <v>м.п.</v>
      </c>
      <c r="D1353" s="2890" t="n">
        <f aca="false">'Смета Внутр'!D1359</f>
        <v>0</v>
      </c>
      <c r="E1353" s="2888"/>
      <c r="F1353" s="2895" t="n">
        <f aca="false">'Смета Внутр'!H1359</f>
        <v>0</v>
      </c>
    </row>
    <row r="1354" customFormat="false" ht="14.5" hidden="false" customHeight="false" outlineLevel="0" collapsed="false">
      <c r="B1354" s="2888" t="str">
        <f aca="false">'Смета Внутр'!B1360</f>
        <v>Крепеж для ондулина</v>
      </c>
      <c r="C1354" s="2889" t="str">
        <f aca="false">'Смета Внутр'!C1360</f>
        <v>шт</v>
      </c>
      <c r="D1354" s="2890" t="n">
        <f aca="false">'Смета Внутр'!D1360</f>
        <v>0</v>
      </c>
      <c r="E1354" s="2888"/>
      <c r="F1354" s="2895" t="n">
        <f aca="false">'Смета Внутр'!H1360</f>
        <v>0</v>
      </c>
    </row>
    <row r="1355" customFormat="false" ht="14.5" hidden="false" customHeight="false" outlineLevel="0" collapsed="false">
      <c r="B1355" s="2888" t="str">
        <f aca="false">'Смета Внутр'!B1361</f>
        <v>нет</v>
      </c>
      <c r="C1355" s="2889" t="str">
        <f aca="false">'Смета Внутр'!C1361</f>
        <v>м2</v>
      </c>
      <c r="D1355" s="2890" t="n">
        <f aca="false">'Смета Внутр'!D1361</f>
        <v>197.237722486556</v>
      </c>
      <c r="E1355" s="2888"/>
      <c r="F1355" s="2895" t="n">
        <f aca="false">'Смета Внутр'!H1361</f>
        <v>0</v>
      </c>
    </row>
    <row r="1356" customFormat="false" ht="14.5" hidden="false" customHeight="false" outlineLevel="0" collapsed="false">
      <c r="B1356" s="2888" t="str">
        <f aca="false">'Смета Внутр'!B1362</f>
        <v>Рядовая черепица</v>
      </c>
      <c r="C1356" s="2889" t="str">
        <f aca="false">'Смета Внутр'!C1362</f>
        <v>м2</v>
      </c>
      <c r="D1356" s="2890" t="n">
        <f aca="false">'Смета Внутр'!D1362</f>
        <v>0</v>
      </c>
      <c r="E1356" s="2888"/>
      <c r="F1356" s="2895" t="n">
        <f aca="false">'Смета Внутр'!H1362</f>
        <v>0</v>
      </c>
    </row>
    <row r="1357" customFormat="false" ht="14.5" hidden="false" customHeight="false" outlineLevel="0" collapsed="false">
      <c r="B1357" s="2888" t="str">
        <f aca="false">'Смета Внутр'!B1363</f>
        <v>Металл оцинк защита (карниз)</v>
      </c>
      <c r="C1357" s="2889" t="str">
        <f aca="false">'Смета Внутр'!C1363</f>
        <v>м.п.</v>
      </c>
      <c r="D1357" s="2890" t="n">
        <f aca="false">'Смета Внутр'!D1363</f>
        <v>0</v>
      </c>
      <c r="E1357" s="2888"/>
      <c r="F1357" s="2895" t="n">
        <f aca="false">'Смета Внутр'!H1363</f>
        <v>0</v>
      </c>
    </row>
    <row r="1358" customFormat="false" ht="14.5" hidden="false" customHeight="false" outlineLevel="0" collapsed="false">
      <c r="B1358" s="2888" t="str">
        <f aca="false">'Смета Внутр'!B1364</f>
        <v>Подкладочный ковер</v>
      </c>
      <c r="C1358" s="2889" t="str">
        <f aca="false">'Смета Внутр'!C1364</f>
        <v>м.п.</v>
      </c>
      <c r="D1358" s="2890" t="n">
        <f aca="false">'Смета Внутр'!D1364</f>
        <v>0</v>
      </c>
      <c r="E1358" s="2888"/>
      <c r="F1358" s="2895" t="n">
        <f aca="false">'Смета Внутр'!H1364</f>
        <v>0</v>
      </c>
    </row>
    <row r="1359" customFormat="false" ht="14.5" hidden="false" customHeight="false" outlineLevel="0" collapsed="false">
      <c r="B1359" s="2888" t="str">
        <f aca="false">'Смета Внутр'!B1365</f>
        <v>Карнизная самоклеющаяся черепица</v>
      </c>
      <c r="C1359" s="2889" t="str">
        <f aca="false">'Смета Внутр'!C1365</f>
        <v>м.п.</v>
      </c>
      <c r="D1359" s="2890" t="n">
        <f aca="false">'Смета Внутр'!D1365</f>
        <v>0</v>
      </c>
      <c r="E1359" s="2888"/>
      <c r="F1359" s="2895" t="n">
        <f aca="false">'Смета Внутр'!H1365</f>
        <v>0</v>
      </c>
    </row>
    <row r="1360" customFormat="false" ht="14.5" hidden="false" customHeight="false" outlineLevel="0" collapsed="false">
      <c r="B1360" s="2888" t="str">
        <f aca="false">'Смета Внутр'!B1366</f>
        <v>Спец ковер ендова нижняя</v>
      </c>
      <c r="C1360" s="2889" t="str">
        <f aca="false">'Смета Внутр'!C1366</f>
        <v>м.п.</v>
      </c>
      <c r="D1360" s="2890" t="n">
        <f aca="false">'Смета Внутр'!D1366</f>
        <v>0</v>
      </c>
      <c r="E1360" s="2888"/>
      <c r="F1360" s="2895" t="n">
        <f aca="false">'Смета Внутр'!H1366</f>
        <v>0</v>
      </c>
    </row>
    <row r="1361" customFormat="false" ht="14.5" hidden="false" customHeight="false" outlineLevel="0" collapsed="false">
      <c r="B1361" s="2888" t="str">
        <f aca="false">'Смета Внутр'!B1367</f>
        <v>Коньковой элемент</v>
      </c>
      <c r="C1361" s="2889" t="str">
        <f aca="false">'Смета Внутр'!C1367</f>
        <v>м.п.</v>
      </c>
      <c r="D1361" s="2890" t="n">
        <f aca="false">'Смета Внутр'!D1367</f>
        <v>0</v>
      </c>
      <c r="E1361" s="2888"/>
      <c r="F1361" s="2895" t="n">
        <f aca="false">'Смета Внутр'!H1367</f>
        <v>0</v>
      </c>
    </row>
    <row r="1362" customFormat="false" ht="14.5" hidden="false" customHeight="false" outlineLevel="0" collapsed="false">
      <c r="B1362" s="2888" t="str">
        <f aca="false">'Смета Внутр'!B1368</f>
        <v>Планка премыкания</v>
      </c>
      <c r="C1362" s="2889" t="str">
        <f aca="false">'Смета Внутр'!C1368</f>
        <v>м.п.</v>
      </c>
      <c r="D1362" s="2890" t="n">
        <f aca="false">'Смета Внутр'!D1368</f>
        <v>0</v>
      </c>
      <c r="E1362" s="2888"/>
      <c r="F1362" s="2895" t="n">
        <f aca="false">'Смета Внутр'!H1368</f>
        <v>0</v>
      </c>
    </row>
    <row r="1363" customFormat="false" ht="14.5" hidden="false" customHeight="false" outlineLevel="0" collapsed="false">
      <c r="B1363" s="2888" t="str">
        <f aca="false">'Смета Внутр'!B1369</f>
        <v>Гвозди для крепления подкладочного ковра</v>
      </c>
      <c r="C1363" s="2889" t="str">
        <f aca="false">'Смета Внутр'!C1369</f>
        <v>шт</v>
      </c>
      <c r="D1363" s="2890" t="n">
        <f aca="false">'Смета Внутр'!D1369</f>
        <v>0</v>
      </c>
      <c r="E1363" s="2888"/>
      <c r="F1363" s="2895" t="n">
        <f aca="false">'Смета Внутр'!H1369</f>
        <v>0</v>
      </c>
    </row>
    <row r="1364" customFormat="false" ht="14.5" hidden="false" customHeight="false" outlineLevel="0" collapsed="false">
      <c r="B1364" s="2888" t="str">
        <f aca="false">'Смета Внутр'!B1370</f>
        <v>Гвозди для крепления черепицы</v>
      </c>
      <c r="C1364" s="2889" t="str">
        <f aca="false">'Смета Внутр'!C1370</f>
        <v>шт</v>
      </c>
      <c r="D1364" s="2890" t="n">
        <f aca="false">'Смета Внутр'!D1370</f>
        <v>0</v>
      </c>
      <c r="E1364" s="2888"/>
      <c r="F1364" s="2895" t="n">
        <f aca="false">'Смета Внутр'!H1370</f>
        <v>0</v>
      </c>
    </row>
    <row r="1365" customFormat="false" ht="14.5" hidden="false" customHeight="false" outlineLevel="0" collapsed="false">
      <c r="B1365" s="2888" t="str">
        <f aca="false">'Смета Внутр'!B1371</f>
        <v>Клей для монтажа черепицы</v>
      </c>
      <c r="C1365" s="2889" t="str">
        <f aca="false">'Смета Внутр'!C1371</f>
        <v>кг</v>
      </c>
      <c r="D1365" s="2890" t="n">
        <f aca="false">'Смета Внутр'!D1371</f>
        <v>0</v>
      </c>
      <c r="E1365" s="2888"/>
      <c r="F1365" s="2895" t="n">
        <f aca="false">'Смета Внутр'!H1371</f>
        <v>0</v>
      </c>
    </row>
    <row r="1366" customFormat="false" ht="14.5" hidden="false" customHeight="false" outlineLevel="0" collapsed="false">
      <c r="B1366" s="2888" t="str">
        <f aca="false">'Смета Внутр'!B1372</f>
        <v>желоб</v>
      </c>
      <c r="C1366" s="2889" t="str">
        <f aca="false">'Смета Внутр'!C1372</f>
        <v>м.п</v>
      </c>
      <c r="D1366" s="2890" t="n">
        <f aca="false">'Смета Внутр'!D1372</f>
        <v>11.8</v>
      </c>
      <c r="E1366" s="2888"/>
      <c r="F1366" s="2895" t="n">
        <f aca="false">'Смета Внутр'!H1372</f>
        <v>0</v>
      </c>
    </row>
    <row r="1367" customFormat="false" ht="14.5" hidden="false" customHeight="false" outlineLevel="0" collapsed="false">
      <c r="B1367" s="2888" t="str">
        <f aca="false">'Смета Внутр'!B1373</f>
        <v>отвод</v>
      </c>
      <c r="C1367" s="2889" t="str">
        <f aca="false">'Смета Внутр'!C1373</f>
        <v>шт</v>
      </c>
      <c r="D1367" s="2890" t="n">
        <f aca="false">'Смета Внутр'!D1373</f>
        <v>2</v>
      </c>
      <c r="E1367" s="2888"/>
      <c r="F1367" s="2895" t="n">
        <f aca="false">'Смета Внутр'!H1373</f>
        <v>0</v>
      </c>
    </row>
    <row r="1368" customFormat="false" ht="14.5" hidden="false" customHeight="false" outlineLevel="0" collapsed="false">
      <c r="B1368" s="2888" t="str">
        <f aca="false">'Смета Внутр'!B1374</f>
        <v>труба водосточная</v>
      </c>
      <c r="C1368" s="2889" t="str">
        <f aca="false">'Смета Внутр'!C1374</f>
        <v>м.п.</v>
      </c>
      <c r="D1368" s="2890" t="n">
        <f aca="false">'Смета Внутр'!D1374</f>
        <v>8.4</v>
      </c>
      <c r="E1368" s="2888"/>
      <c r="F1368" s="2895" t="n">
        <f aca="false">'Смета Внутр'!H1374</f>
        <v>0</v>
      </c>
    </row>
    <row r="1369" customFormat="false" ht="14.5" hidden="false" customHeight="false" outlineLevel="0" collapsed="false">
      <c r="B1369" s="2888" t="str">
        <f aca="false">'Смета Внутр'!B1375</f>
        <v>заглушка для желоба</v>
      </c>
      <c r="C1369" s="2889" t="str">
        <f aca="false">'Смета Внутр'!C1375</f>
        <v>шт</v>
      </c>
      <c r="D1369" s="2890" t="n">
        <f aca="false">'Смета Внутр'!D1375</f>
        <v>2</v>
      </c>
      <c r="E1369" s="2888"/>
      <c r="F1369" s="2895" t="n">
        <f aca="false">'Смета Внутр'!H1375</f>
        <v>0</v>
      </c>
    </row>
    <row r="1370" customFormat="false" ht="14.5" hidden="false" customHeight="false" outlineLevel="0" collapsed="false">
      <c r="B1370" s="2888" t="str">
        <f aca="false">'Смета Внутр'!B1376</f>
        <v>соеденитель для желоба</v>
      </c>
      <c r="C1370" s="2889" t="str">
        <f aca="false">'Смета Внутр'!C1376</f>
        <v>шт</v>
      </c>
      <c r="D1370" s="2890" t="n">
        <f aca="false">'Смета Внутр'!D1376</f>
        <v>7</v>
      </c>
      <c r="E1370" s="2888"/>
      <c r="F1370" s="2895" t="n">
        <f aca="false">'Смета Внутр'!H1376</f>
        <v>0</v>
      </c>
    </row>
    <row r="1371" customFormat="false" ht="14.5" hidden="false" customHeight="false" outlineLevel="0" collapsed="false">
      <c r="B1371" s="2888" t="str">
        <f aca="false">'Смета Внутр'!B1377</f>
        <v>кронштейн для желоба</v>
      </c>
      <c r="C1371" s="2889" t="str">
        <f aca="false">'Смета Внутр'!C1377</f>
        <v>шт</v>
      </c>
      <c r="D1371" s="2890" t="n">
        <f aca="false">'Смета Внутр'!D1377</f>
        <v>33.5</v>
      </c>
      <c r="E1371" s="2888"/>
      <c r="F1371" s="2895" t="n">
        <f aca="false">'Смета Внутр'!H1377</f>
        <v>0</v>
      </c>
    </row>
    <row r="1372" customFormat="false" ht="14.5" hidden="false" customHeight="false" outlineLevel="0" collapsed="false">
      <c r="B1372" s="2888" t="str">
        <f aca="false">'Смета Внутр'!B1378</f>
        <v>переход из желоба в трубу</v>
      </c>
      <c r="C1372" s="2889" t="str">
        <f aca="false">'Смета Внутр'!C1378</f>
        <v>шт</v>
      </c>
      <c r="D1372" s="2890" t="n">
        <f aca="false">'Смета Внутр'!D1378</f>
        <v>2</v>
      </c>
      <c r="E1372" s="2888"/>
      <c r="F1372" s="2895" t="n">
        <f aca="false">'Смета Внутр'!H1378</f>
        <v>0</v>
      </c>
    </row>
    <row r="1373" customFormat="false" ht="14.5" hidden="false" customHeight="false" outlineLevel="0" collapsed="false">
      <c r="B1373" s="2888" t="str">
        <f aca="false">'Смета Внутр'!B1379</f>
        <v>лента дельта мульти бэнд</v>
      </c>
      <c r="C1373" s="2889" t="str">
        <f aca="false">'Смета Внутр'!C1379</f>
        <v>шт</v>
      </c>
      <c r="D1373" s="2890" t="n">
        <f aca="false">'Смета Внутр'!D1379</f>
        <v>3</v>
      </c>
      <c r="E1373" s="2888"/>
      <c r="F1373" s="2895" t="n">
        <f aca="false">'Смета Внутр'!H1379</f>
        <v>0</v>
      </c>
    </row>
    <row r="1374" customFormat="false" ht="14.5" hidden="false" customHeight="false" outlineLevel="0" collapsed="false">
      <c r="B1374" s="2888" t="str">
        <f aca="false">'Смета Внутр'!B1380</f>
        <v>лента дельта sb-60</v>
      </c>
      <c r="C1374" s="2889" t="str">
        <f aca="false">'Смета Внутр'!C1380</f>
        <v>шт</v>
      </c>
      <c r="D1374" s="2890" t="n">
        <f aca="false">'Смета Внутр'!D1380</f>
        <v>10</v>
      </c>
      <c r="E1374" s="2888"/>
      <c r="F1374" s="2895" t="n">
        <f aca="false">'Смета Внутр'!H1380</f>
        <v>0</v>
      </c>
    </row>
    <row r="1375" customFormat="false" ht="14.5" hidden="false" customHeight="false" outlineLevel="0" collapsed="false">
      <c r="B1375" s="2888" t="str">
        <f aca="false">'Смета Внутр'!B1381</f>
        <v>проходка кровельная, канализационная</v>
      </c>
      <c r="C1375" s="2889" t="str">
        <f aca="false">'Смета Внутр'!C1381</f>
        <v>шт</v>
      </c>
      <c r="D1375" s="2890" t="n">
        <f aca="false">'Смета Внутр'!D1381</f>
        <v>0</v>
      </c>
      <c r="E1375" s="2888"/>
      <c r="F1375" s="2895" t="n">
        <f aca="false">'Смета Внутр'!H1381</f>
        <v>0</v>
      </c>
    </row>
    <row r="1376" customFormat="false" ht="14.5" hidden="false" customHeight="false" outlineLevel="0" collapsed="false">
      <c r="B1376" s="2888" t="str">
        <f aca="false">'Смета Внутр'!B1382</f>
        <v>проходка кровельная, вентиляционная</v>
      </c>
      <c r="C1376" s="2889" t="str">
        <f aca="false">'Смета Внутр'!C1382</f>
        <v>шт</v>
      </c>
      <c r="D1376" s="2890" t="n">
        <f aca="false">'Смета Внутр'!D1382</f>
        <v>0</v>
      </c>
      <c r="E1376" s="2888"/>
      <c r="F1376" s="2895" t="n">
        <f aca="false">'Смета Внутр'!H1382</f>
        <v>0</v>
      </c>
    </row>
    <row r="1377" customFormat="false" ht="14.5" hidden="false" customHeight="false" outlineLevel="0" collapsed="false">
      <c r="B1377" s="2888" t="str">
        <f aca="false">'Смета Внутр'!B1383</f>
        <v>проодка кровельная, труба котел</v>
      </c>
      <c r="C1377" s="2889" t="str">
        <f aca="false">'Смета Внутр'!C1383</f>
        <v>шт</v>
      </c>
      <c r="D1377" s="2890" t="n">
        <f aca="false">'Смета Внутр'!D1383</f>
        <v>0</v>
      </c>
      <c r="E1377" s="2888"/>
      <c r="F1377" s="2895" t="n">
        <f aca="false">'Смета Внутр'!H1383</f>
        <v>0</v>
      </c>
    </row>
    <row r="1378" customFormat="false" ht="14.5" hidden="false" customHeight="false" outlineLevel="0" collapsed="false">
      <c r="B1378" s="2888" t="str">
        <f aca="false">'Смета Внутр'!B1384</f>
        <v>Кровельный саморез</v>
      </c>
      <c r="C1378" s="2889" t="str">
        <f aca="false">'Смета Внутр'!C1384</f>
        <v>шт</v>
      </c>
      <c r="D1378" s="2890" t="n">
        <f aca="false">'Смета Внутр'!D1384</f>
        <v>2315.3221275065</v>
      </c>
      <c r="E1378" s="2888"/>
      <c r="F1378" s="2895" t="n">
        <f aca="false">'Смета Внутр'!H1384</f>
        <v>0</v>
      </c>
    </row>
    <row r="1379" customFormat="false" ht="14.5" hidden="false" customHeight="false" outlineLevel="0" collapsed="false">
      <c r="B1379" s="2888" t="str">
        <f aca="false">'Смета Внутр'!B1385</f>
        <v>Гвозди ершоные 3,4 x 60</v>
      </c>
      <c r="C1379" s="2889" t="str">
        <f aca="false">'Смета Внутр'!C1385</f>
        <v>кг</v>
      </c>
      <c r="D1379" s="2890" t="n">
        <f aca="false">'Смета Внутр'!D1385</f>
        <v>16.0786258854618</v>
      </c>
      <c r="E1379" s="2888"/>
      <c r="F1379" s="2895" t="n">
        <f aca="false">'Смета Внутр'!H1385</f>
        <v>0</v>
      </c>
    </row>
    <row r="1380" customFormat="false" ht="14.5" hidden="false" customHeight="false" outlineLevel="0" collapsed="false">
      <c r="B1380" s="2888" t="str">
        <f aca="false">'Смета Внутр'!B1386</f>
        <v>Гвозди ершоные 2,8 х 90</v>
      </c>
      <c r="C1380" s="2889" t="str">
        <f aca="false">'Смета Внутр'!C1386</f>
        <v>кг</v>
      </c>
      <c r="D1380" s="2890" t="n">
        <f aca="false">'Смета Внутр'!D1386</f>
        <v>36.4509870509381</v>
      </c>
      <c r="E1380" s="2888"/>
      <c r="F1380" s="2895" t="n">
        <f aca="false">'Смета Внутр'!H1386</f>
        <v>0</v>
      </c>
    </row>
    <row r="1381" customFormat="false" ht="14.5" hidden="false" customHeight="false" outlineLevel="0" collapsed="false">
      <c r="B1381" s="2888" t="str">
        <f aca="false">'Смета Внутр'!B1387</f>
        <v>Пластина соеденительная 100х240х2</v>
      </c>
      <c r="C1381" s="2889" t="str">
        <f aca="false">'Смета Внутр'!C1387</f>
        <v>шт</v>
      </c>
      <c r="D1381" s="2890" t="n">
        <f aca="false">'Смета Внутр'!D1387</f>
        <v>0</v>
      </c>
      <c r="E1381" s="2888"/>
      <c r="F1381" s="2895" t="n">
        <f aca="false">'Смета Внутр'!H1387</f>
        <v>0</v>
      </c>
    </row>
    <row r="1382" customFormat="false" ht="14.5" hidden="false" customHeight="false" outlineLevel="0" collapsed="false">
      <c r="B1382" s="2888" t="str">
        <f aca="false">'Смета Внутр'!B1388</f>
        <v>Уголок усиленный 90х70х55х2,5</v>
      </c>
      <c r="C1382" s="2889" t="str">
        <f aca="false">'Смета Внутр'!C1388</f>
        <v>шт</v>
      </c>
      <c r="D1382" s="2890" t="n">
        <f aca="false">'Смета Внутр'!D1388</f>
        <v>65</v>
      </c>
      <c r="E1382" s="2888"/>
      <c r="F1382" s="2895" t="n">
        <f aca="false">'Смета Внутр'!H1388</f>
        <v>0</v>
      </c>
    </row>
    <row r="1383" customFormat="false" ht="14.5" hidden="false" customHeight="false" outlineLevel="0" collapsed="false">
      <c r="B1383" s="2896" t="str">
        <f aca="false">'Смета Внутр'!B1389</f>
        <v>Итого материалы</v>
      </c>
      <c r="C1383" s="2896"/>
      <c r="D1383" s="2896"/>
      <c r="E1383" s="2896"/>
      <c r="F1383" s="2897" t="n">
        <f aca="false">'Смета Внутр'!G1389</f>
        <v>0</v>
      </c>
    </row>
    <row r="1384" customFormat="false" ht="14.5" hidden="false" customHeight="false" outlineLevel="0" collapsed="false">
      <c r="B1384" s="2898" t="str">
        <f aca="false">'Смета Внутр'!B1390</f>
        <v>Работы</v>
      </c>
      <c r="C1384" s="2898"/>
      <c r="D1384" s="2898"/>
      <c r="E1384" s="2898"/>
      <c r="F1384" s="2893" t="n">
        <f aca="false">'Смета Внутр'!H1390</f>
        <v>0</v>
      </c>
    </row>
    <row r="1385" customFormat="false" ht="14.5" hidden="false" customHeight="false" outlineLevel="0" collapsed="false">
      <c r="B1385" s="2888" t="str">
        <f aca="false">'Смета Внутр'!B1391</f>
        <v>монтаж мауэрлата</v>
      </c>
      <c r="C1385" s="2889" t="str">
        <f aca="false">'Смета Внутр'!C1391</f>
        <v>м.п.</v>
      </c>
      <c r="D1385" s="2890" t="n">
        <f aca="false">'Смета Внутр'!D1391</f>
        <v>42.3606797749979</v>
      </c>
      <c r="E1385" s="2888"/>
      <c r="F1385" s="2895" t="n">
        <f aca="false">'Смета Внутр'!H1391</f>
        <v>0</v>
      </c>
    </row>
    <row r="1386" customFormat="false" ht="14.5" hidden="false" customHeight="false" outlineLevel="0" collapsed="false">
      <c r="B1386" s="2888" t="str">
        <f aca="false">'Смета Внутр'!B1392</f>
        <v>монтаж стропил</v>
      </c>
      <c r="C1386" s="2889" t="str">
        <f aca="false">'Смета Внутр'!C1392</f>
        <v>м2</v>
      </c>
      <c r="D1386" s="2890" t="n">
        <f aca="false">'Смета Внутр'!D1392</f>
        <v>160.786258854618</v>
      </c>
      <c r="E1386" s="2888"/>
      <c r="F1386" s="2895" t="n">
        <f aca="false">'Смета Внутр'!H1392</f>
        <v>0</v>
      </c>
    </row>
    <row r="1387" customFormat="false" ht="14.5" hidden="false" customHeight="false" outlineLevel="0" collapsed="false">
      <c r="B1387" s="2888" t="str">
        <f aca="false">'Смета Внутр'!B1393</f>
        <v>обрешетка</v>
      </c>
      <c r="C1387" s="2889" t="str">
        <f aca="false">'Смета Внутр'!C1393</f>
        <v>м2</v>
      </c>
      <c r="D1387" s="2890" t="n">
        <f aca="false">'Смета Внутр'!D1393</f>
        <v>160.786258854618</v>
      </c>
      <c r="E1387" s="2888"/>
      <c r="F1387" s="2895" t="n">
        <f aca="false">'Смета Внутр'!H1393</f>
        <v>0</v>
      </c>
    </row>
    <row r="1388" customFormat="false" ht="14.5" hidden="false" customHeight="false" outlineLevel="0" collapsed="false">
      <c r="B1388" s="2888" t="str">
        <f aca="false">'Смета Внутр'!B1394</f>
        <v>контробеш</v>
      </c>
      <c r="C1388" s="2889" t="str">
        <f aca="false">'Смета Внутр'!C1394</f>
        <v>м2</v>
      </c>
      <c r="D1388" s="2890" t="n">
        <f aca="false">'Смета Внутр'!D1394</f>
        <v>160.786258854618</v>
      </c>
      <c r="E1388" s="2888"/>
      <c r="F1388" s="2895" t="n">
        <f aca="false">'Смета Внутр'!H1394</f>
        <v>0</v>
      </c>
    </row>
    <row r="1389" customFormat="false" ht="14.5" hidden="false" customHeight="false" outlineLevel="0" collapsed="false">
      <c r="B1389" s="2888" t="str">
        <f aca="false">'Смета Внутр'!B1395</f>
        <v>Монтаж металлочерепицы</v>
      </c>
      <c r="C1389" s="2889" t="str">
        <f aca="false">'Смета Внутр'!C1395</f>
        <v>м2</v>
      </c>
      <c r="D1389" s="2890" t="n">
        <f aca="false">'Смета Внутр'!D1395</f>
        <v>160.786258854618</v>
      </c>
      <c r="E1389" s="2888"/>
      <c r="F1389" s="2895" t="n">
        <f aca="false">'Смета Внутр'!H1395</f>
        <v>0</v>
      </c>
    </row>
    <row r="1390" customFormat="false" ht="14.5" hidden="false" customHeight="false" outlineLevel="0" collapsed="false">
      <c r="B1390" s="2888" t="str">
        <f aca="false">'Смета Внутр'!B1396</f>
        <v>Монтаж ондулина</v>
      </c>
      <c r="C1390" s="2889" t="str">
        <f aca="false">'Смета Внутр'!C1396</f>
        <v>м2</v>
      </c>
      <c r="D1390" s="2890" t="n">
        <f aca="false">'Смета Внутр'!D1396</f>
        <v>0</v>
      </c>
      <c r="E1390" s="2888"/>
      <c r="F1390" s="2895" t="n">
        <f aca="false">'Смета Внутр'!H1396</f>
        <v>0</v>
      </c>
    </row>
    <row r="1391" customFormat="false" ht="14.5" hidden="false" customHeight="false" outlineLevel="0" collapsed="false">
      <c r="B1391" s="2888" t="str">
        <f aca="false">'Смета Внутр'!B1397</f>
        <v>мембрана</v>
      </c>
      <c r="C1391" s="2889" t="str">
        <f aca="false">'Смета Внутр'!C1397</f>
        <v>м2</v>
      </c>
      <c r="D1391" s="2890" t="n">
        <f aca="false">'Смета Внутр'!D1397</f>
        <v>160.786258854618</v>
      </c>
      <c r="E1391" s="2888"/>
      <c r="F1391" s="2895" t="n">
        <f aca="false">'Смета Внутр'!H1397</f>
        <v>0</v>
      </c>
    </row>
    <row r="1392" customFormat="false" ht="14.5" hidden="false" customHeight="false" outlineLevel="0" collapsed="false">
      <c r="B1392" s="2888" t="str">
        <f aca="false">'Смета Внутр'!B1398</f>
        <v>пароизоляц</v>
      </c>
      <c r="C1392" s="2889" t="str">
        <f aca="false">'Смета Внутр'!C1398</f>
        <v>м2</v>
      </c>
      <c r="D1392" s="2890" t="n">
        <f aca="false">'Смета Внутр'!D1398</f>
        <v>160.786258854618</v>
      </c>
      <c r="E1392" s="2888"/>
      <c r="F1392" s="2895" t="n">
        <f aca="false">'Смета Внутр'!H1398</f>
        <v>0</v>
      </c>
    </row>
    <row r="1393" customFormat="false" ht="14.5" hidden="false" customHeight="false" outlineLevel="0" collapsed="false">
      <c r="B1393" s="2888" t="str">
        <f aca="false">'Смета Внутр'!B1399</f>
        <v>утеплитель</v>
      </c>
      <c r="C1393" s="2889" t="str">
        <f aca="false">'Смета Внутр'!C1399</f>
        <v>м2</v>
      </c>
      <c r="D1393" s="2890" t="n">
        <f aca="false">'Смета Внутр'!D1399</f>
        <v>111.80339887499</v>
      </c>
      <c r="E1393" s="2888"/>
      <c r="F1393" s="2895" t="n">
        <f aca="false">'Смета Внутр'!H1399</f>
        <v>0</v>
      </c>
    </row>
    <row r="1394" customFormat="false" ht="14.5" hidden="false" customHeight="false" outlineLevel="0" collapsed="false">
      <c r="B1394" s="2888" t="str">
        <f aca="false">'Смета Внутр'!B1400</f>
        <v>карнизная планка</v>
      </c>
      <c r="C1394" s="2889" t="str">
        <f aca="false">'Смета Внутр'!C1400</f>
        <v>м2</v>
      </c>
      <c r="D1394" s="2890" t="n">
        <f aca="false">'Смета Внутр'!D1400</f>
        <v>14.278</v>
      </c>
      <c r="E1394" s="2888"/>
      <c r="F1394" s="2895" t="n">
        <f aca="false">'Смета Внутр'!H1400</f>
        <v>0</v>
      </c>
    </row>
    <row r="1395" customFormat="false" ht="14.5" hidden="false" customHeight="false" outlineLevel="0" collapsed="false">
      <c r="B1395" s="2888" t="str">
        <f aca="false">'Смета Внутр'!B1401</f>
        <v>торцевая планка</v>
      </c>
      <c r="C1395" s="2889" t="str">
        <f aca="false">'Смета Внутр'!C1401</f>
        <v>м2</v>
      </c>
      <c r="D1395" s="2890" t="n">
        <f aca="false">'Смета Внутр'!D1401</f>
        <v>41.8384550406915</v>
      </c>
      <c r="E1395" s="2888"/>
      <c r="F1395" s="2895" t="n">
        <f aca="false">'Смета Внутр'!H1401</f>
        <v>0</v>
      </c>
    </row>
    <row r="1396" customFormat="false" ht="14.5" hidden="false" customHeight="false" outlineLevel="0" collapsed="false">
      <c r="B1396" s="2888" t="str">
        <f aca="false">'Смета Внутр'!B1402</f>
        <v>конек</v>
      </c>
      <c r="C1396" s="2889" t="str">
        <f aca="false">'Смета Внутр'!C1402</f>
        <v>м.п.</v>
      </c>
      <c r="D1396" s="2890" t="n">
        <f aca="false">'Смета Внутр'!D1402</f>
        <v>12.98</v>
      </c>
      <c r="E1396" s="2888"/>
      <c r="F1396" s="2895" t="n">
        <f aca="false">'Смета Внутр'!H1402</f>
        <v>0</v>
      </c>
    </row>
    <row r="1397" customFormat="false" ht="14.5" hidden="false" customHeight="false" outlineLevel="0" collapsed="false">
      <c r="B1397" s="2888" t="str">
        <f aca="false">'Смета Внутр'!B1403</f>
        <v>желоб водосточный</v>
      </c>
      <c r="C1397" s="2889" t="str">
        <f aca="false">'Смета Внутр'!C1403</f>
        <v>м.п.</v>
      </c>
      <c r="D1397" s="2890" t="n">
        <f aca="false">'Смета Внутр'!D1403</f>
        <v>11.8</v>
      </c>
      <c r="E1397" s="2888"/>
      <c r="F1397" s="2895" t="n">
        <f aca="false">'Смета Внутр'!H1403</f>
        <v>0</v>
      </c>
    </row>
    <row r="1398" customFormat="false" ht="14.5" hidden="false" customHeight="false" outlineLevel="0" collapsed="false">
      <c r="B1398" s="2888" t="str">
        <f aca="false">'Смета Внутр'!B1404</f>
        <v>труба водосточная</v>
      </c>
      <c r="C1398" s="2889" t="str">
        <f aca="false">'Смета Внутр'!C1404</f>
        <v>м.п.</v>
      </c>
      <c r="D1398" s="2890" t="n">
        <f aca="false">'Смета Внутр'!D1404</f>
        <v>8.4</v>
      </c>
      <c r="E1398" s="2888"/>
      <c r="F1398" s="2895" t="n">
        <f aca="false">'Смета Внутр'!H1404</f>
        <v>0</v>
      </c>
    </row>
    <row r="1399" customFormat="false" ht="14.5" hidden="false" customHeight="false" outlineLevel="0" collapsed="false">
      <c r="B1399" s="2888" t="str">
        <f aca="false">'Смета Внутр'!B1405</f>
        <v>Монтаж фанеры/osb</v>
      </c>
      <c r="C1399" s="2889" t="str">
        <f aca="false">'Смета Внутр'!C1405</f>
        <v>м2</v>
      </c>
      <c r="D1399" s="2890" t="n">
        <f aca="false">'Смета Внутр'!D1405</f>
        <v>0</v>
      </c>
      <c r="E1399" s="2888"/>
      <c r="F1399" s="2895" t="n">
        <f aca="false">'Смета Внутр'!H1405</f>
        <v>0</v>
      </c>
    </row>
    <row r="1400" customFormat="false" ht="14.5" hidden="false" customHeight="false" outlineLevel="0" collapsed="false">
      <c r="B1400" s="2888" t="str">
        <f aca="false">'Смета Внутр'!B1406</f>
        <v>монтаж подкладочного ковра</v>
      </c>
      <c r="C1400" s="2889" t="str">
        <f aca="false">'Смета Внутр'!C1406</f>
        <v>м2</v>
      </c>
      <c r="D1400" s="2890" t="n">
        <f aca="false">'Смета Внутр'!D1406</f>
        <v>0</v>
      </c>
      <c r="E1400" s="2888"/>
      <c r="F1400" s="2895" t="n">
        <f aca="false">'Смета Внутр'!H1406</f>
        <v>0</v>
      </c>
    </row>
    <row r="1401" customFormat="false" ht="14.5" hidden="false" customHeight="false" outlineLevel="0" collapsed="false">
      <c r="B1401" s="2888" t="str">
        <f aca="false">'Смета Внутр'!B1407</f>
        <v>Монтаж мягкой кровли</v>
      </c>
      <c r="C1401" s="2889" t="str">
        <f aca="false">'Смета Внутр'!C1407</f>
        <v>м2</v>
      </c>
      <c r="D1401" s="2890" t="n">
        <f aca="false">'Смета Внутр'!D1407</f>
        <v>0</v>
      </c>
      <c r="E1401" s="2888"/>
      <c r="F1401" s="2895" t="n">
        <f aca="false">'Смета Внутр'!H1407</f>
        <v>0</v>
      </c>
    </row>
    <row r="1402" customFormat="false" ht="14.5" hidden="false" customHeight="false" outlineLevel="0" collapsed="false">
      <c r="B1402" s="2896" t="str">
        <f aca="false">'Смета Внутр'!B1408</f>
        <v>Итого работы</v>
      </c>
      <c r="C1402" s="2896"/>
      <c r="D1402" s="2896"/>
      <c r="E1402" s="2896"/>
      <c r="F1402" s="2897" t="n">
        <f aca="false">'Смета Внутр'!G1408</f>
        <v>0</v>
      </c>
    </row>
    <row r="1403" customFormat="false" ht="18.5" hidden="false" customHeight="false" outlineLevel="0" collapsed="false">
      <c r="B1403" s="2899" t="str">
        <f aca="false">'Смета Внутр'!B1409</f>
        <v>Кровля двускатная</v>
      </c>
      <c r="C1403" s="2899"/>
      <c r="D1403" s="2899"/>
      <c r="E1403" s="2899"/>
      <c r="F1403" s="2901" t="n">
        <f aca="false">'Смета Внутр'!H1409</f>
        <v>0</v>
      </c>
    </row>
    <row r="1404" customFormat="false" ht="14.5" hidden="false" customHeight="false" outlineLevel="0" collapsed="false">
      <c r="B1404" s="2894" t="str">
        <f aca="false">'Смета Внутр'!B1410</f>
        <v>Материалы</v>
      </c>
      <c r="C1404" s="2894"/>
      <c r="D1404" s="2894"/>
      <c r="E1404" s="2894"/>
      <c r="F1404" s="2901" t="n">
        <f aca="false">'Смета Внутр'!H1410</f>
        <v>0</v>
      </c>
    </row>
    <row r="1405" customFormat="false" ht="14.5" hidden="false" customHeight="false" outlineLevel="0" collapsed="false">
      <c r="B1405" s="2888" t="str">
        <f aca="false">'Смета Внутр'!B1411</f>
        <v>нет</v>
      </c>
      <c r="C1405" s="2889" t="str">
        <f aca="false">'Смета Внутр'!C1411</f>
        <v>м3</v>
      </c>
      <c r="D1405" s="2890" t="n">
        <f aca="false">'Смета Внутр'!D1411</f>
        <v>0</v>
      </c>
      <c r="E1405" s="2888"/>
      <c r="F1405" s="2902" t="n">
        <f aca="false">'Смета Внутр'!H1411</f>
        <v>0</v>
      </c>
    </row>
    <row r="1406" customFormat="false" ht="14.5" hidden="false" customHeight="false" outlineLevel="0" collapsed="false">
      <c r="B1406" s="2888" t="str">
        <f aca="false">'Смета Внутр'!B1412</f>
        <v>Болты анкерные с гайкой 12,0 х 280</v>
      </c>
      <c r="C1406" s="2889" t="str">
        <f aca="false">'Смета Внутр'!C1412</f>
        <v>шт</v>
      </c>
      <c r="D1406" s="2890" t="n">
        <f aca="false">'Смета Внутр'!D1412</f>
        <v>48.2842712474619</v>
      </c>
      <c r="E1406" s="2888"/>
      <c r="F1406" s="2902" t="n">
        <f aca="false">'Смета Внутр'!H1412</f>
        <v>0</v>
      </c>
    </row>
    <row r="1407" customFormat="false" ht="14.5" hidden="false" customHeight="false" outlineLevel="0" collapsed="false">
      <c r="B1407" s="2888" t="str">
        <f aca="false">'Смета Внутр'!B1413</f>
        <v>Доска сухая, 200*50мм</v>
      </c>
      <c r="C1407" s="2889" t="str">
        <f aca="false">'Смета Внутр'!C1413</f>
        <v>м3</v>
      </c>
      <c r="D1407" s="2890" t="n">
        <f aca="false">'Смета Внутр'!D1413</f>
        <v>2.9535780917535</v>
      </c>
      <c r="E1407" s="2888"/>
      <c r="F1407" s="2902" t="n">
        <f aca="false">'Смета Внутр'!H1413</f>
        <v>0</v>
      </c>
    </row>
    <row r="1408" customFormat="false" ht="14.5" hidden="false" customHeight="false" outlineLevel="0" collapsed="false">
      <c r="B1408" s="2888" t="str">
        <f aca="false">'Смета Внутр'!B1414</f>
        <v>бугель, доска</v>
      </c>
      <c r="C1408" s="2889" t="str">
        <f aca="false">'Смета Внутр'!C1414</f>
        <v>м3</v>
      </c>
      <c r="D1408" s="2890" t="n">
        <f aca="false">'Смета Внутр'!D1414</f>
        <v>0.793</v>
      </c>
      <c r="E1408" s="2888"/>
      <c r="F1408" s="2902" t="n">
        <f aca="false">'Смета Внутр'!H1414</f>
        <v>0</v>
      </c>
    </row>
    <row r="1409" customFormat="false" ht="14.5" hidden="false" customHeight="false" outlineLevel="0" collapsed="false">
      <c r="B1409" s="2888" t="str">
        <f aca="false">'Смета Внутр'!B1415</f>
        <v>стойка под конек</v>
      </c>
      <c r="C1409" s="2889" t="str">
        <f aca="false">'Смета Внутр'!C1415</f>
        <v>м3</v>
      </c>
      <c r="D1409" s="2890" t="n">
        <f aca="false">'Смета Внутр'!D1415</f>
        <v>0</v>
      </c>
      <c r="E1409" s="2888"/>
      <c r="F1409" s="2902" t="n">
        <f aca="false">'Смета Внутр'!H1415</f>
        <v>0</v>
      </c>
    </row>
    <row r="1410" customFormat="false" ht="14.5" hidden="false" customHeight="false" outlineLevel="0" collapsed="false">
      <c r="B1410" s="2888" t="str">
        <f aca="false">'Смета Внутр'!B1416</f>
        <v>Сосна влаж,100*25мм</v>
      </c>
      <c r="C1410" s="2889" t="str">
        <f aca="false">'Смета Внутр'!C1416</f>
        <v>м3</v>
      </c>
      <c r="D1410" s="2890" t="n">
        <f aca="false">'Смета Внутр'!D1416</f>
        <v>1.79307020442324</v>
      </c>
      <c r="E1410" s="2888"/>
      <c r="F1410" s="2902" t="n">
        <f aca="false">'Смета Внутр'!H1416</f>
        <v>0</v>
      </c>
    </row>
    <row r="1411" customFormat="false" ht="14.5" hidden="false" customHeight="false" outlineLevel="0" collapsed="false">
      <c r="B1411" s="2888" t="str">
        <f aca="false">'Смета Внутр'!B1417</f>
        <v>Доска сухая, калибр., 35*45мм</v>
      </c>
      <c r="C1411" s="2889" t="str">
        <f aca="false">'Смета Внутр'!C1417</f>
        <v>шт</v>
      </c>
      <c r="D1411" s="2890" t="n">
        <f aca="false">'Смета Внутр'!D1417</f>
        <v>0.385020606395191</v>
      </c>
      <c r="E1411" s="2888"/>
      <c r="F1411" s="2902" t="n">
        <f aca="false">'Смета Внутр'!H1417</f>
        <v>0</v>
      </c>
    </row>
    <row r="1412" customFormat="false" ht="14.5" hidden="false" customHeight="false" outlineLevel="0" collapsed="false">
      <c r="B1412" s="2888" t="str">
        <f aca="false">'Смета Внутр'!B1418</f>
        <v>Сосна влаж, 150*150мм</v>
      </c>
      <c r="C1412" s="2889" t="str">
        <f aca="false">'Смета Внутр'!C1418</f>
        <v>м.п.</v>
      </c>
      <c r="D1412" s="2890" t="n">
        <f aca="false">'Смета Внутр'!D1418</f>
        <v>0</v>
      </c>
      <c r="E1412" s="2888"/>
      <c r="F1412" s="2895" t="n">
        <f aca="false">'Смета Внутр'!H1418</f>
        <v>0</v>
      </c>
    </row>
    <row r="1413" customFormat="false" ht="14.5" hidden="false" customHeight="false" outlineLevel="0" collapsed="false">
      <c r="B1413" s="2888" t="str">
        <f aca="false">'Смета Внутр'!B1419</f>
        <v>Гидрокомпенсатор</v>
      </c>
      <c r="C1413" s="2889" t="str">
        <f aca="false">'Смета Внутр'!C1419</f>
        <v>шт.</v>
      </c>
      <c r="D1413" s="2890" t="n">
        <f aca="false">'Смета Внутр'!D1419</f>
        <v>0</v>
      </c>
      <c r="E1413" s="2888"/>
      <c r="F1413" s="2895" t="n">
        <f aca="false">'Смета Внутр'!H1419</f>
        <v>0</v>
      </c>
    </row>
    <row r="1414" customFormat="false" ht="14.5" hidden="false" customHeight="false" outlineLevel="0" collapsed="false">
      <c r="B1414" s="2888" t="str">
        <f aca="false">'Смета Внутр'!B1420</f>
        <v>Пленка Д110 Стандарт</v>
      </c>
      <c r="C1414" s="2889" t="str">
        <f aca="false">'Смета Внутр'!C1420</f>
        <v>м2</v>
      </c>
      <c r="D1414" s="2890" t="n">
        <f aca="false">'Смета Внутр'!D1420</f>
        <v>215.168424530788</v>
      </c>
      <c r="E1414" s="2888"/>
      <c r="F1414" s="2895" t="n">
        <f aca="false">'Смета Внутр'!H1420</f>
        <v>0</v>
      </c>
    </row>
    <row r="1415" customFormat="false" ht="14.5" hidden="false" customHeight="false" outlineLevel="0" collapsed="false">
      <c r="B1415" s="2888" t="str">
        <f aca="false">'Смета Внутр'!B1421</f>
        <v>Мембрана Tyvek AirGuard SD5</v>
      </c>
      <c r="C1415" s="2889" t="str">
        <f aca="false">'Смета Внутр'!C1421</f>
        <v>м2</v>
      </c>
      <c r="D1415" s="2890" t="n">
        <f aca="false">'Смета Внутр'!D1421</f>
        <v>197.237722486556</v>
      </c>
      <c r="E1415" s="2888"/>
      <c r="F1415" s="2895" t="n">
        <f aca="false">'Смета Внутр'!H1421</f>
        <v>0</v>
      </c>
    </row>
    <row r="1416" customFormat="false" ht="14.5" hidden="false" customHeight="false" outlineLevel="0" collapsed="false">
      <c r="B1416" s="2888" t="str">
        <f aca="false">'Смета Внутр'!B1422</f>
        <v>Плитный,28кг/м3, технониколь, 200мм</v>
      </c>
      <c r="C1416" s="2889" t="str">
        <f aca="false">'Смета Внутр'!C1422</f>
        <v>м3</v>
      </c>
      <c r="D1416" s="2890" t="n">
        <f aca="false">'Смета Внутр'!D1422</f>
        <v>28.9150035245386</v>
      </c>
      <c r="E1416" s="2888"/>
      <c r="F1416" s="2902" t="n">
        <f aca="false">'Смета Внутр'!H1422</f>
        <v>0</v>
      </c>
    </row>
    <row r="1417" customFormat="false" ht="14.5" hidden="false" customHeight="false" outlineLevel="0" collapsed="false">
      <c r="B1417" s="2888" t="str">
        <f aca="false">'Смета Внутр'!B1423</f>
        <v>Металлочерепица</v>
      </c>
      <c r="C1417" s="2889" t="str">
        <f aca="false">'Смета Внутр'!C1423</f>
        <v>м2</v>
      </c>
      <c r="D1417" s="2890" t="n">
        <f aca="false">'Смета Внутр'!D1423</f>
        <v>0</v>
      </c>
      <c r="E1417" s="2888"/>
      <c r="F1417" s="2902" t="n">
        <f aca="false">'Смета Внутр'!H1423</f>
        <v>0</v>
      </c>
    </row>
    <row r="1418" customFormat="false" ht="14.5" hidden="false" customHeight="false" outlineLevel="0" collapsed="false">
      <c r="B1418" s="2888" t="str">
        <f aca="false">'Смета Внутр'!B1424</f>
        <v>Карнизная планка</v>
      </c>
      <c r="C1418" s="2889" t="str">
        <f aca="false">'Смета Внутр'!C1424</f>
        <v>м.п.</v>
      </c>
      <c r="D1418" s="2890" t="n">
        <f aca="false">'Смета Внутр'!D1424</f>
        <v>0</v>
      </c>
      <c r="E1418" s="2888"/>
      <c r="F1418" s="2902" t="n">
        <f aca="false">'Смета Внутр'!H1424</f>
        <v>0</v>
      </c>
    </row>
    <row r="1419" customFormat="false" ht="14.5" hidden="false" customHeight="false" outlineLevel="0" collapsed="false">
      <c r="B1419" s="2888" t="str">
        <f aca="false">'Смета Внутр'!B1425</f>
        <v>Торцевая планка</v>
      </c>
      <c r="C1419" s="2889" t="str">
        <f aca="false">'Смета Внутр'!C1425</f>
        <v>м.п.</v>
      </c>
      <c r="D1419" s="2890" t="n">
        <f aca="false">'Смета Внутр'!D1425</f>
        <v>0</v>
      </c>
      <c r="E1419" s="2888"/>
      <c r="F1419" s="2902" t="n">
        <f aca="false">'Смета Внутр'!H1425</f>
        <v>0</v>
      </c>
    </row>
    <row r="1420" customFormat="false" ht="14.5" hidden="false" customHeight="false" outlineLevel="0" collapsed="false">
      <c r="B1420" s="2888" t="str">
        <f aca="false">'Смета Внутр'!B1426</f>
        <v>Конек</v>
      </c>
      <c r="C1420" s="2889" t="str">
        <f aca="false">'Смета Внутр'!C1426</f>
        <v>м.п.</v>
      </c>
      <c r="D1420" s="2890" t="n">
        <f aca="false">'Смета Внутр'!D1426</f>
        <v>0</v>
      </c>
      <c r="E1420" s="2888"/>
      <c r="F1420" s="2902" t="n">
        <f aca="false">'Смета Внутр'!H1426</f>
        <v>0</v>
      </c>
    </row>
    <row r="1421" customFormat="false" ht="14.5" hidden="false" customHeight="false" outlineLevel="0" collapsed="false">
      <c r="B1421" s="2888" t="str">
        <f aca="false">'Смета Внутр'!B1427</f>
        <v>ондулин</v>
      </c>
      <c r="C1421" s="2889" t="str">
        <f aca="false">'Смета Внутр'!C1427</f>
        <v>м2</v>
      </c>
      <c r="D1421" s="2890" t="n">
        <f aca="false">'Смета Внутр'!D1427</f>
        <v>0</v>
      </c>
      <c r="E1421" s="2888"/>
      <c r="F1421" s="2895" t="n">
        <f aca="false">'Смета Внутр'!H1427</f>
        <v>0</v>
      </c>
    </row>
    <row r="1422" customFormat="false" ht="14.5" hidden="false" customHeight="false" outlineLevel="0" collapsed="false">
      <c r="B1422" s="2888" t="str">
        <f aca="false">'Смета Внутр'!B1428</f>
        <v>Карнизная планка</v>
      </c>
      <c r="C1422" s="2889" t="str">
        <f aca="false">'Смета Внутр'!C1428</f>
        <v>м.п.</v>
      </c>
      <c r="D1422" s="2890" t="n">
        <f aca="false">'Смета Внутр'!D1428</f>
        <v>0</v>
      </c>
      <c r="E1422" s="2888"/>
      <c r="F1422" s="2895" t="n">
        <f aca="false">'Смета Внутр'!H1428</f>
        <v>0</v>
      </c>
    </row>
    <row r="1423" customFormat="false" ht="14.5" hidden="false" customHeight="false" outlineLevel="0" collapsed="false">
      <c r="B1423" s="2888" t="str">
        <f aca="false">'Смета Внутр'!B1429</f>
        <v>Торцевая планка</v>
      </c>
      <c r="C1423" s="2889" t="str">
        <f aca="false">'Смета Внутр'!C1429</f>
        <v>м.п.</v>
      </c>
      <c r="D1423" s="2890" t="n">
        <f aca="false">'Смета Внутр'!D1429</f>
        <v>0</v>
      </c>
      <c r="E1423" s="2888"/>
      <c r="F1423" s="2895" t="n">
        <f aca="false">'Смета Внутр'!H1429</f>
        <v>0</v>
      </c>
    </row>
    <row r="1424" customFormat="false" ht="14.5" hidden="false" customHeight="false" outlineLevel="0" collapsed="false">
      <c r="B1424" s="2888" t="str">
        <f aca="false">'Смета Внутр'!B1430</f>
        <v>Конек</v>
      </c>
      <c r="C1424" s="2889" t="str">
        <f aca="false">'Смета Внутр'!C1430</f>
        <v>м.п</v>
      </c>
      <c r="D1424" s="2890" t="n">
        <f aca="false">'Смета Внутр'!D1430</f>
        <v>0</v>
      </c>
      <c r="E1424" s="2888"/>
      <c r="F1424" s="2895" t="n">
        <f aca="false">'Смета Внутр'!H1430</f>
        <v>0</v>
      </c>
    </row>
    <row r="1425" customFormat="false" ht="14.5" hidden="false" customHeight="false" outlineLevel="0" collapsed="false">
      <c r="B1425" s="2888" t="str">
        <f aca="false">'Смета Внутр'!B1431</f>
        <v>Ендова нижняя</v>
      </c>
      <c r="C1425" s="2889" t="str">
        <f aca="false">'Смета Внутр'!C1431</f>
        <v>м.п.</v>
      </c>
      <c r="D1425" s="2890" t="n">
        <f aca="false">'Смета Внутр'!D1431</f>
        <v>0</v>
      </c>
      <c r="E1425" s="2888"/>
      <c r="F1425" s="2895" t="n">
        <f aca="false">'Смета Внутр'!H1431</f>
        <v>0</v>
      </c>
    </row>
    <row r="1426" customFormat="false" ht="14.5" hidden="false" customHeight="false" outlineLevel="0" collapsed="false">
      <c r="B1426" s="2888" t="str">
        <f aca="false">'Смета Внутр'!B1432</f>
        <v>Ендова верхняя</v>
      </c>
      <c r="C1426" s="2889" t="str">
        <f aca="false">'Смета Внутр'!C1432</f>
        <v>м.п.</v>
      </c>
      <c r="D1426" s="2890" t="n">
        <f aca="false">'Смета Внутр'!D1432</f>
        <v>0</v>
      </c>
      <c r="E1426" s="2888"/>
      <c r="F1426" s="2895" t="n">
        <f aca="false">'Смета Внутр'!H1432</f>
        <v>0</v>
      </c>
    </row>
    <row r="1427" customFormat="false" ht="14.5" hidden="false" customHeight="false" outlineLevel="0" collapsed="false">
      <c r="B1427" s="2888" t="str">
        <f aca="false">'Смета Внутр'!B1433</f>
        <v>Планка примыкания</v>
      </c>
      <c r="C1427" s="2889" t="str">
        <f aca="false">'Смета Внутр'!C1433</f>
        <v>м.п.</v>
      </c>
      <c r="D1427" s="2890" t="n">
        <f aca="false">'Смета Внутр'!D1433</f>
        <v>0</v>
      </c>
      <c r="E1427" s="2888"/>
      <c r="F1427" s="2895" t="n">
        <f aca="false">'Смета Внутр'!H1433</f>
        <v>0</v>
      </c>
    </row>
    <row r="1428" customFormat="false" ht="14.5" hidden="false" customHeight="false" outlineLevel="0" collapsed="false">
      <c r="B1428" s="2888" t="str">
        <f aca="false">'Смета Внутр'!B1434</f>
        <v>Крепеж для ондулина</v>
      </c>
      <c r="C1428" s="2889" t="str">
        <f aca="false">'Смета Внутр'!C1434</f>
        <v>шт</v>
      </c>
      <c r="D1428" s="2890" t="n">
        <f aca="false">'Смета Внутр'!D1434</f>
        <v>0</v>
      </c>
      <c r="E1428" s="2888"/>
      <c r="F1428" s="2895" t="n">
        <f aca="false">'Смета Внутр'!H1434</f>
        <v>0</v>
      </c>
    </row>
    <row r="1429" customFormat="false" ht="14.5" hidden="false" customHeight="false" outlineLevel="0" collapsed="false">
      <c r="B1429" s="2888" t="str">
        <f aca="false">'Смета Внутр'!B1435</f>
        <v>Kronospan - OSB-3, 9мм</v>
      </c>
      <c r="C1429" s="2889" t="str">
        <f aca="false">'Смета Внутр'!C1435</f>
        <v>м2</v>
      </c>
      <c r="D1429" s="2890" t="n">
        <f aca="false">'Смета Внутр'!D1435</f>
        <v>197.237722486556</v>
      </c>
      <c r="E1429" s="2888"/>
      <c r="F1429" s="2895" t="n">
        <f aca="false">'Смета Внутр'!H1435</f>
        <v>0</v>
      </c>
    </row>
    <row r="1430" customFormat="false" ht="14.5" hidden="false" customHeight="false" outlineLevel="0" collapsed="false">
      <c r="B1430" s="2888" t="str">
        <f aca="false">'Смета Внутр'!B1436</f>
        <v>Рядовая черепица</v>
      </c>
      <c r="C1430" s="2889" t="str">
        <f aca="false">'Смета Внутр'!C1436</f>
        <v>м2</v>
      </c>
      <c r="D1430" s="2890" t="n">
        <f aca="false">'Смета Внутр'!D1436</f>
        <v>174.667020442324</v>
      </c>
      <c r="E1430" s="2888"/>
      <c r="F1430" s="2895" t="n">
        <f aca="false">'Смета Внутр'!H1436</f>
        <v>0</v>
      </c>
    </row>
    <row r="1431" customFormat="false" ht="14.5" hidden="false" customHeight="false" outlineLevel="0" collapsed="false">
      <c r="B1431" s="2888" t="str">
        <f aca="false">'Смета Внутр'!B1437</f>
        <v>Металл оцинк защита (карниз)</v>
      </c>
      <c r="C1431" s="2889" t="str">
        <f aca="false">'Смета Внутр'!C1437</f>
        <v>м.п.</v>
      </c>
      <c r="D1431" s="2890" t="n">
        <f aca="false">'Смета Внутр'!D1437</f>
        <v>54.1150035245386</v>
      </c>
      <c r="E1431" s="2888"/>
      <c r="F1431" s="2895" t="n">
        <f aca="false">'Смета Внутр'!H1437</f>
        <v>0</v>
      </c>
    </row>
    <row r="1432" customFormat="false" ht="14.5" hidden="false" customHeight="false" outlineLevel="0" collapsed="false">
      <c r="B1432" s="2888" t="str">
        <f aca="false">'Смета Внутр'!B1438</f>
        <v>Подкладочный ковер</v>
      </c>
      <c r="C1432" s="2889" t="str">
        <f aca="false">'Смета Внутр'!C1438</f>
        <v>м.п.</v>
      </c>
      <c r="D1432" s="2890" t="n">
        <f aca="false">'Смета Внутр'!D1438</f>
        <v>179.307020442324</v>
      </c>
      <c r="E1432" s="2888"/>
      <c r="F1432" s="2895" t="n">
        <f aca="false">'Смета Внутр'!H1438</f>
        <v>0</v>
      </c>
    </row>
    <row r="1433" customFormat="false" ht="14.5" hidden="false" customHeight="false" outlineLevel="0" collapsed="false">
      <c r="B1433" s="2888" t="str">
        <f aca="false">'Смета Внутр'!B1439</f>
        <v>Карнизная самоклеющаяся черепица</v>
      </c>
      <c r="C1433" s="2889" t="str">
        <f aca="false">'Смета Внутр'!C1439</f>
        <v>м.п.</v>
      </c>
      <c r="D1433" s="2890" t="n">
        <f aca="false">'Смета Внутр'!D1439</f>
        <v>23.2</v>
      </c>
      <c r="E1433" s="2888"/>
      <c r="F1433" s="2895" t="n">
        <f aca="false">'Смета Внутр'!H1439</f>
        <v>0</v>
      </c>
    </row>
    <row r="1434" customFormat="false" ht="14.5" hidden="false" customHeight="false" outlineLevel="0" collapsed="false">
      <c r="B1434" s="2888" t="str">
        <f aca="false">'Смета Внутр'!B1440</f>
        <v>Спец ковер ендова нижняя</v>
      </c>
      <c r="C1434" s="2889" t="str">
        <f aca="false">'Смета Внутр'!C1440</f>
        <v>м.п.</v>
      </c>
      <c r="D1434" s="2890" t="n">
        <f aca="false">'Смета Внутр'!D1440</f>
        <v>0</v>
      </c>
      <c r="E1434" s="2888"/>
      <c r="F1434" s="2895" t="n">
        <f aca="false">'Смета Внутр'!H1440</f>
        <v>0</v>
      </c>
    </row>
    <row r="1435" customFormat="false" ht="14.5" hidden="false" customHeight="false" outlineLevel="0" collapsed="false">
      <c r="B1435" s="2888" t="str">
        <f aca="false">'Смета Внутр'!B1441</f>
        <v>Коньковой элемент</v>
      </c>
      <c r="C1435" s="2889" t="str">
        <f aca="false">'Смета Внутр'!C1441</f>
        <v>м.п.</v>
      </c>
      <c r="D1435" s="2890" t="n">
        <f aca="false">'Смета Внутр'!D1441</f>
        <v>12.18</v>
      </c>
      <c r="E1435" s="2888"/>
      <c r="F1435" s="2895" t="n">
        <f aca="false">'Смета Внутр'!H1441</f>
        <v>0</v>
      </c>
    </row>
    <row r="1436" customFormat="false" ht="14.5" hidden="false" customHeight="false" outlineLevel="0" collapsed="false">
      <c r="B1436" s="2888" t="str">
        <f aca="false">'Смета Внутр'!B1442</f>
        <v>Планка премыкания</v>
      </c>
      <c r="C1436" s="2889" t="str">
        <f aca="false">'Смета Внутр'!C1442</f>
        <v>м.п.</v>
      </c>
      <c r="D1436" s="2890" t="n">
        <f aca="false">'Смета Внутр'!D1442</f>
        <v>0</v>
      </c>
      <c r="E1436" s="2888"/>
      <c r="F1436" s="2895" t="n">
        <f aca="false">'Смета Внутр'!H1442</f>
        <v>0</v>
      </c>
    </row>
    <row r="1437" customFormat="false" ht="14.5" hidden="false" customHeight="false" outlineLevel="0" collapsed="false">
      <c r="B1437" s="2888" t="str">
        <f aca="false">'Смета Внутр'!B1443</f>
        <v>Гвозди для крепления подкладочного ковра</v>
      </c>
      <c r="C1437" s="2889" t="str">
        <f aca="false">'Смета Внутр'!C1443</f>
        <v>шт</v>
      </c>
      <c r="D1437" s="2890" t="n">
        <f aca="false">'Смета Внутр'!D1443</f>
        <v>1793.07020442324</v>
      </c>
      <c r="E1437" s="2888"/>
      <c r="F1437" s="2895" t="n">
        <f aca="false">'Смета Внутр'!H1443</f>
        <v>0</v>
      </c>
    </row>
    <row r="1438" customFormat="false" ht="14.5" hidden="false" customHeight="false" outlineLevel="0" collapsed="false">
      <c r="B1438" s="2888" t="str">
        <f aca="false">'Смета Внутр'!B1444</f>
        <v>Гвозди для крепления черепицы</v>
      </c>
      <c r="C1438" s="2889" t="str">
        <f aca="false">'Смета Внутр'!C1444</f>
        <v>шт</v>
      </c>
      <c r="D1438" s="2890" t="n">
        <f aca="false">'Смета Внутр'!D1444</f>
        <v>8733.35102211619</v>
      </c>
      <c r="E1438" s="2888"/>
      <c r="F1438" s="2895" t="n">
        <f aca="false">'Смета Внутр'!H1444</f>
        <v>0</v>
      </c>
    </row>
    <row r="1439" customFormat="false" ht="14.5" hidden="false" customHeight="false" outlineLevel="0" collapsed="false">
      <c r="B1439" s="2888" t="str">
        <f aca="false">'Смета Внутр'!B1445</f>
        <v>Клей для монтажа черепицы</v>
      </c>
      <c r="C1439" s="2889" t="str">
        <f aca="false">'Смета Внутр'!C1445</f>
        <v>кг</v>
      </c>
      <c r="D1439" s="2890" t="n">
        <f aca="false">'Смета Внутр'!D1445</f>
        <v>179.307020442324</v>
      </c>
      <c r="E1439" s="2888"/>
      <c r="F1439" s="2895" t="n">
        <f aca="false">'Смета Внутр'!H1445</f>
        <v>0</v>
      </c>
    </row>
    <row r="1440" customFormat="false" ht="14.5" hidden="false" customHeight="false" outlineLevel="0" collapsed="false">
      <c r="B1440" s="2888" t="str">
        <f aca="false">'Смета Внутр'!B1446</f>
        <v>желоб</v>
      </c>
      <c r="C1440" s="2889" t="str">
        <f aca="false">'Смета Внутр'!C1446</f>
        <v>м.п</v>
      </c>
      <c r="D1440" s="2890" t="n">
        <f aca="false">'Смета Внутр'!D1446</f>
        <v>23.2</v>
      </c>
      <c r="E1440" s="2888"/>
      <c r="F1440" s="2902" t="n">
        <f aca="false">'Смета Внутр'!H1446</f>
        <v>0</v>
      </c>
    </row>
    <row r="1441" customFormat="false" ht="14.5" hidden="false" customHeight="false" outlineLevel="0" collapsed="false">
      <c r="B1441" s="2888" t="str">
        <f aca="false">'Смета Внутр'!B1447</f>
        <v>отвод</v>
      </c>
      <c r="C1441" s="2889" t="str">
        <f aca="false">'Смета Внутр'!C1447</f>
        <v>шт</v>
      </c>
      <c r="D1441" s="2890" t="n">
        <f aca="false">'Смета Внутр'!D1447</f>
        <v>4</v>
      </c>
      <c r="E1441" s="2888"/>
      <c r="F1441" s="2902" t="n">
        <f aca="false">'Смета Внутр'!H1447</f>
        <v>0</v>
      </c>
    </row>
    <row r="1442" customFormat="false" ht="14.5" hidden="false" customHeight="false" outlineLevel="0" collapsed="false">
      <c r="B1442" s="2888" t="str">
        <f aca="false">'Смета Внутр'!B1448</f>
        <v>труба водосточная</v>
      </c>
      <c r="C1442" s="2889" t="str">
        <f aca="false">'Смета Внутр'!C1448</f>
        <v>м.п.</v>
      </c>
      <c r="D1442" s="2890" t="n">
        <f aca="false">'Смета Внутр'!D1448</f>
        <v>8</v>
      </c>
      <c r="E1442" s="2888"/>
      <c r="F1442" s="2902" t="n">
        <f aca="false">'Смета Внутр'!H1448</f>
        <v>0</v>
      </c>
    </row>
    <row r="1443" customFormat="false" ht="14.5" hidden="false" customHeight="false" outlineLevel="0" collapsed="false">
      <c r="B1443" s="2888" t="str">
        <f aca="false">'Смета Внутр'!B1449</f>
        <v>заглушка для желоба</v>
      </c>
      <c r="C1443" s="2889" t="str">
        <f aca="false">'Смета Внутр'!C1449</f>
        <v>шт</v>
      </c>
      <c r="D1443" s="2890" t="n">
        <f aca="false">'Смета Внутр'!D1449</f>
        <v>4</v>
      </c>
      <c r="E1443" s="2888"/>
      <c r="F1443" s="2902" t="n">
        <f aca="false">'Смета Внутр'!H1449</f>
        <v>0</v>
      </c>
    </row>
    <row r="1444" customFormat="false" ht="14.5" hidden="false" customHeight="false" outlineLevel="0" collapsed="false">
      <c r="B1444" s="2888" t="str">
        <f aca="false">'Смета Внутр'!B1450</f>
        <v>соеденитель для желоба</v>
      </c>
      <c r="C1444" s="2889" t="str">
        <f aca="false">'Смета Внутр'!C1450</f>
        <v>шт</v>
      </c>
      <c r="D1444" s="2890" t="n">
        <f aca="false">'Смета Внутр'!D1450</f>
        <v>11.6</v>
      </c>
      <c r="E1444" s="2888"/>
      <c r="F1444" s="2902" t="n">
        <f aca="false">'Смета Внутр'!H1450</f>
        <v>0</v>
      </c>
    </row>
    <row r="1445" customFormat="false" ht="14.5" hidden="false" customHeight="false" outlineLevel="0" collapsed="false">
      <c r="B1445" s="2888" t="str">
        <f aca="false">'Смета Внутр'!B1451</f>
        <v>кронштейн для желоба</v>
      </c>
      <c r="C1445" s="2889" t="str">
        <f aca="false">'Смета Внутр'!C1451</f>
        <v>шт</v>
      </c>
      <c r="D1445" s="2890" t="n">
        <f aca="false">'Смета Внутр'!D1451</f>
        <v>46.4</v>
      </c>
      <c r="E1445" s="2888"/>
      <c r="F1445" s="2902" t="n">
        <f aca="false">'Смета Внутр'!H1451</f>
        <v>0</v>
      </c>
    </row>
    <row r="1446" customFormat="false" ht="14.5" hidden="false" customHeight="false" outlineLevel="0" collapsed="false">
      <c r="B1446" s="2888" t="str">
        <f aca="false">'Смета Внутр'!B1452</f>
        <v>переход из желоба в трубу</v>
      </c>
      <c r="C1446" s="2889" t="str">
        <f aca="false">'Смета Внутр'!C1452</f>
        <v>шт</v>
      </c>
      <c r="D1446" s="2890" t="n">
        <f aca="false">'Смета Внутр'!D1452</f>
        <v>2</v>
      </c>
      <c r="E1446" s="2888"/>
      <c r="F1446" s="2902" t="n">
        <f aca="false">'Смета Внутр'!H1452</f>
        <v>0</v>
      </c>
    </row>
    <row r="1447" customFormat="false" ht="14.5" hidden="false" customHeight="false" outlineLevel="0" collapsed="false">
      <c r="B1447" s="2888" t="str">
        <f aca="false">'Смета Внутр'!B1453</f>
        <v>лента дельта мульти бэнд</v>
      </c>
      <c r="C1447" s="2889" t="str">
        <f aca="false">'Смета Внутр'!C1453</f>
        <v>шт</v>
      </c>
      <c r="D1447" s="2890" t="n">
        <f aca="false">'Смета Внутр'!D1453</f>
        <v>15</v>
      </c>
      <c r="E1447" s="2888"/>
      <c r="F1447" s="2902" t="n">
        <f aca="false">'Смета Внутр'!H1453</f>
        <v>0</v>
      </c>
    </row>
    <row r="1448" customFormat="false" ht="14.5" hidden="false" customHeight="false" outlineLevel="0" collapsed="false">
      <c r="B1448" s="2888" t="str">
        <f aca="false">'Смета Внутр'!B1454</f>
        <v>лента дельта sb-60</v>
      </c>
      <c r="C1448" s="2889" t="str">
        <f aca="false">'Смета Внутр'!C1454</f>
        <v>шт</v>
      </c>
      <c r="D1448" s="2890" t="n">
        <f aca="false">'Смета Внутр'!D1454</f>
        <v>8</v>
      </c>
      <c r="E1448" s="2888"/>
      <c r="F1448" s="2902" t="n">
        <f aca="false">'Смета Внутр'!H1454</f>
        <v>0</v>
      </c>
    </row>
    <row r="1449" customFormat="false" ht="14.5" hidden="false" customHeight="false" outlineLevel="0" collapsed="false">
      <c r="B1449" s="2888" t="str">
        <f aca="false">'Смета Внутр'!B1455</f>
        <v>проходка кровельная, канализационная</v>
      </c>
      <c r="C1449" s="2889" t="str">
        <f aca="false">'Смета Внутр'!C1455</f>
        <v>шт</v>
      </c>
      <c r="D1449" s="2890" t="n">
        <f aca="false">'Смета Внутр'!D1455</f>
        <v>0</v>
      </c>
      <c r="E1449" s="2888"/>
      <c r="F1449" s="2895" t="n">
        <f aca="false">'Смета Внутр'!H1455</f>
        <v>0</v>
      </c>
    </row>
    <row r="1450" customFormat="false" ht="14.5" hidden="false" customHeight="false" outlineLevel="0" collapsed="false">
      <c r="B1450" s="2888" t="str">
        <f aca="false">'Смета Внутр'!B1456</f>
        <v>проходка кровельная, вентиляционная</v>
      </c>
      <c r="C1450" s="2889" t="str">
        <f aca="false">'Смета Внутр'!C1456</f>
        <v>шт</v>
      </c>
      <c r="D1450" s="2890" t="n">
        <f aca="false">'Смета Внутр'!D1456</f>
        <v>0</v>
      </c>
      <c r="E1450" s="2888"/>
      <c r="F1450" s="2895" t="n">
        <f aca="false">'Смета Внутр'!H1456</f>
        <v>0</v>
      </c>
    </row>
    <row r="1451" customFormat="false" ht="14.5" hidden="false" customHeight="false" outlineLevel="0" collapsed="false">
      <c r="B1451" s="2888" t="str">
        <f aca="false">'Смета Внутр'!B1457</f>
        <v>проодка кровельная, труба котел</v>
      </c>
      <c r="C1451" s="2889" t="str">
        <f aca="false">'Смета Внутр'!C1457</f>
        <v>шт</v>
      </c>
      <c r="D1451" s="2890" t="n">
        <f aca="false">'Смета Внутр'!D1457</f>
        <v>0</v>
      </c>
      <c r="E1451" s="2888"/>
      <c r="F1451" s="2895" t="n">
        <f aca="false">'Смета Внутр'!H1457</f>
        <v>0</v>
      </c>
    </row>
    <row r="1452" customFormat="false" ht="14.5" hidden="false" customHeight="false" outlineLevel="0" collapsed="false">
      <c r="B1452" s="2888" t="str">
        <f aca="false">'Смета Внутр'!B1458</f>
        <v>Кровельный саморез</v>
      </c>
      <c r="C1452" s="2889" t="str">
        <f aca="false">'Смета Внутр'!C1458</f>
        <v>шт</v>
      </c>
      <c r="D1452" s="2890" t="n">
        <f aca="false">'Смета Внутр'!D1458</f>
        <v>0</v>
      </c>
      <c r="E1452" s="2888"/>
      <c r="F1452" s="2902" t="n">
        <f aca="false">'Смета Внутр'!H1458</f>
        <v>0</v>
      </c>
    </row>
    <row r="1453" customFormat="false" ht="14.5" hidden="false" customHeight="false" outlineLevel="0" collapsed="false">
      <c r="B1453" s="2888" t="str">
        <f aca="false">'Смета Внутр'!B1459</f>
        <v>Гвозди ершоные 3,4 x 60</v>
      </c>
      <c r="C1453" s="2889" t="str">
        <f aca="false">'Смета Внутр'!C1459</f>
        <v>кг</v>
      </c>
      <c r="D1453" s="2890" t="n">
        <f aca="false">'Смета Внутр'!D1459</f>
        <v>5.77530909592786</v>
      </c>
      <c r="E1453" s="2888"/>
      <c r="F1453" s="2902" t="n">
        <f aca="false">'Смета Внутр'!H1459</f>
        <v>0</v>
      </c>
    </row>
    <row r="1454" customFormat="false" ht="14.5" hidden="false" customHeight="false" outlineLevel="0" collapsed="false">
      <c r="B1454" s="2888" t="str">
        <f aca="false">'Смета Внутр'!B1460</f>
        <v>Гвозди ершоные 2,8 х 90</v>
      </c>
      <c r="C1454" s="2889" t="str">
        <f aca="false">'Смета Внутр'!C1460</f>
        <v>кг</v>
      </c>
      <c r="D1454" s="2890" t="n">
        <f aca="false">'Смета Внутр'!D1460</f>
        <v>37.465780917535</v>
      </c>
      <c r="E1454" s="2888"/>
      <c r="F1454" s="2902" t="n">
        <f aca="false">'Смета Внутр'!H1460</f>
        <v>0</v>
      </c>
    </row>
    <row r="1455" customFormat="false" ht="14.5" hidden="false" customHeight="false" outlineLevel="0" collapsed="false">
      <c r="B1455" s="2888" t="str">
        <f aca="false">'Смета Внутр'!B1461</f>
        <v>Пластина соеденительная 100х240х2</v>
      </c>
      <c r="C1455" s="2889" t="str">
        <f aca="false">'Смета Внутр'!C1461</f>
        <v>шт</v>
      </c>
      <c r="D1455" s="2890" t="n">
        <f aca="false">'Смета Внутр'!D1461</f>
        <v>40.6666666666667</v>
      </c>
      <c r="E1455" s="2888"/>
      <c r="F1455" s="2902" t="n">
        <f aca="false">'Смета Внутр'!H1461</f>
        <v>0</v>
      </c>
    </row>
    <row r="1456" customFormat="false" ht="14.5" hidden="false" customHeight="false" outlineLevel="0" collapsed="false">
      <c r="B1456" s="2888" t="str">
        <f aca="false">'Смета Внутр'!B1462</f>
        <v>Уголок усиленный 90х70х55х2,5</v>
      </c>
      <c r="C1456" s="2889" t="str">
        <f aca="false">'Смета Внутр'!C1462</f>
        <v>шт</v>
      </c>
      <c r="D1456" s="2890" t="n">
        <f aca="false">'Смета Внутр'!D1462</f>
        <v>40.6666666666667</v>
      </c>
      <c r="E1456" s="2888"/>
      <c r="F1456" s="2902" t="n">
        <f aca="false">'Смета Внутр'!H1462</f>
        <v>0</v>
      </c>
    </row>
    <row r="1457" customFormat="false" ht="14.5" hidden="false" customHeight="false" outlineLevel="0" collapsed="false">
      <c r="B1457" s="2896" t="str">
        <f aca="false">'Смета Внутр'!B1463</f>
        <v>Итого материалы</v>
      </c>
      <c r="C1457" s="2896"/>
      <c r="D1457" s="2896"/>
      <c r="E1457" s="2896"/>
      <c r="F1457" s="2891" t="n">
        <f aca="false">'Смета Внутр'!G1463</f>
        <v>0</v>
      </c>
    </row>
    <row r="1458" customFormat="false" ht="14.5" hidden="false" customHeight="false" outlineLevel="0" collapsed="false">
      <c r="B1458" s="2898" t="str">
        <f aca="false">'Смета Внутр'!B1464</f>
        <v>Работы</v>
      </c>
      <c r="C1458" s="2898"/>
      <c r="D1458" s="2898"/>
      <c r="E1458" s="2898"/>
      <c r="F1458" s="2901" t="n">
        <f aca="false">'Смета Внутр'!H1464</f>
        <v>0</v>
      </c>
    </row>
    <row r="1459" customFormat="false" ht="14.5" hidden="false" customHeight="false" outlineLevel="0" collapsed="false">
      <c r="B1459" s="2888" t="str">
        <f aca="false">'Смета Внутр'!B1465</f>
        <v>монтаж мауэрлата</v>
      </c>
      <c r="C1459" s="2889" t="str">
        <f aca="false">'Смета Внутр'!C1465</f>
        <v>м.п.</v>
      </c>
      <c r="D1459" s="2890" t="n">
        <f aca="false">'Смета Внутр'!D1465</f>
        <v>48.2842712474619</v>
      </c>
      <c r="E1459" s="2888"/>
      <c r="F1459" s="2902" t="n">
        <f aca="false">'Смета Внутр'!H1465</f>
        <v>0</v>
      </c>
    </row>
    <row r="1460" customFormat="false" ht="14.5" hidden="false" customHeight="false" outlineLevel="0" collapsed="false">
      <c r="B1460" s="2888" t="str">
        <f aca="false">'Смета Внутр'!B1466</f>
        <v>монтаж стропил</v>
      </c>
      <c r="C1460" s="2889" t="str">
        <f aca="false">'Смета Внутр'!C1466</f>
        <v>м2</v>
      </c>
      <c r="D1460" s="2890" t="n">
        <f aca="false">'Смета Внутр'!D1466</f>
        <v>179.307020442324</v>
      </c>
      <c r="E1460" s="2888"/>
      <c r="F1460" s="2902" t="n">
        <f aca="false">'Смета Внутр'!H1466</f>
        <v>0</v>
      </c>
    </row>
    <row r="1461" customFormat="false" ht="14.5" hidden="false" customHeight="false" outlineLevel="0" collapsed="false">
      <c r="B1461" s="2888" t="str">
        <f aca="false">'Смета Внутр'!B1467</f>
        <v>обрешетка</v>
      </c>
      <c r="C1461" s="2889" t="str">
        <f aca="false">'Смета Внутр'!C1467</f>
        <v>м2</v>
      </c>
      <c r="D1461" s="2890" t="n">
        <f aca="false">'Смета Внутр'!D1467</f>
        <v>179.307020442324</v>
      </c>
      <c r="E1461" s="2888"/>
      <c r="F1461" s="2902" t="n">
        <f aca="false">'Смета Внутр'!H1467</f>
        <v>0</v>
      </c>
    </row>
    <row r="1462" customFormat="false" ht="14.5" hidden="false" customHeight="false" outlineLevel="0" collapsed="false">
      <c r="B1462" s="2888" t="str">
        <f aca="false">'Смета Внутр'!B1468</f>
        <v>контробеш</v>
      </c>
      <c r="C1462" s="2889" t="str">
        <f aca="false">'Смета Внутр'!C1468</f>
        <v>м2</v>
      </c>
      <c r="D1462" s="2890" t="n">
        <f aca="false">'Смета Внутр'!D1468</f>
        <v>179.307020442324</v>
      </c>
      <c r="E1462" s="2888"/>
      <c r="F1462" s="2902" t="n">
        <f aca="false">'Смета Внутр'!H1468</f>
        <v>0</v>
      </c>
    </row>
    <row r="1463" customFormat="false" ht="14.5" hidden="false" customHeight="false" outlineLevel="0" collapsed="false">
      <c r="B1463" s="2888" t="str">
        <f aca="false">'Смета Внутр'!B1469</f>
        <v>Монтаж металлочерепицы</v>
      </c>
      <c r="C1463" s="2889" t="str">
        <f aca="false">'Смета Внутр'!C1469</f>
        <v>м2</v>
      </c>
      <c r="D1463" s="2890" t="n">
        <f aca="false">'Смета Внутр'!D1469</f>
        <v>0</v>
      </c>
      <c r="E1463" s="2888"/>
      <c r="F1463" s="2902" t="n">
        <f aca="false">'Смета Внутр'!H1469</f>
        <v>0</v>
      </c>
    </row>
    <row r="1464" customFormat="false" ht="14.5" hidden="false" customHeight="false" outlineLevel="0" collapsed="false">
      <c r="B1464" s="2888" t="str">
        <f aca="false">'Смета Внутр'!B1470</f>
        <v>Монтаж ондулина</v>
      </c>
      <c r="C1464" s="2889" t="str">
        <f aca="false">'Смета Внутр'!C1470</f>
        <v>м2</v>
      </c>
      <c r="D1464" s="2890" t="n">
        <f aca="false">'Смета Внутр'!D1470</f>
        <v>0</v>
      </c>
      <c r="E1464" s="2888"/>
      <c r="F1464" s="2895" t="n">
        <f aca="false">'Смета Внутр'!H1470</f>
        <v>0</v>
      </c>
    </row>
    <row r="1465" customFormat="false" ht="14.5" hidden="false" customHeight="false" outlineLevel="0" collapsed="false">
      <c r="B1465" s="2888" t="str">
        <f aca="false">'Смета Внутр'!B1471</f>
        <v>мембрана</v>
      </c>
      <c r="C1465" s="2889" t="str">
        <f aca="false">'Смета Внутр'!C1471</f>
        <v>м2</v>
      </c>
      <c r="D1465" s="2890" t="n">
        <f aca="false">'Смета Внутр'!D1471</f>
        <v>179.307020442324</v>
      </c>
      <c r="E1465" s="2888"/>
      <c r="F1465" s="2895" t="n">
        <f aca="false">'Смета Внутр'!H1471</f>
        <v>0</v>
      </c>
    </row>
    <row r="1466" customFormat="false" ht="14.5" hidden="false" customHeight="false" outlineLevel="0" collapsed="false">
      <c r="B1466" s="2888" t="str">
        <f aca="false">'Смета Внутр'!B1472</f>
        <v>пароизоляц</v>
      </c>
      <c r="C1466" s="2889" t="str">
        <f aca="false">'Смета Внутр'!C1472</f>
        <v>м2</v>
      </c>
      <c r="D1466" s="2890" t="n">
        <f aca="false">'Смета Внутр'!D1472</f>
        <v>0</v>
      </c>
      <c r="E1466" s="2888"/>
      <c r="F1466" s="2895" t="n">
        <f aca="false">'Смета Внутр'!H1472</f>
        <v>0</v>
      </c>
    </row>
    <row r="1467" customFormat="false" ht="14.5" hidden="false" customHeight="false" outlineLevel="0" collapsed="false">
      <c r="B1467" s="2888" t="str">
        <f aca="false">'Смета Внутр'!B1473</f>
        <v>утеплитель</v>
      </c>
      <c r="C1467" s="2889" t="str">
        <f aca="false">'Смета Внутр'!C1473</f>
        <v>м2</v>
      </c>
      <c r="D1467" s="2890" t="n">
        <f aca="false">'Смета Внутр'!D1473</f>
        <v>179.307020442324</v>
      </c>
      <c r="E1467" s="2888"/>
      <c r="F1467" s="2902" t="n">
        <f aca="false">'Смета Внутр'!H1473</f>
        <v>0</v>
      </c>
    </row>
    <row r="1468" customFormat="false" ht="14.5" hidden="false" customHeight="false" outlineLevel="0" collapsed="false">
      <c r="B1468" s="2888" t="str">
        <f aca="false">'Смета Внутр'!B1474</f>
        <v>карнизная планка</v>
      </c>
      <c r="C1468" s="2889" t="str">
        <f aca="false">'Смета Внутр'!C1474</f>
        <v>м.п.</v>
      </c>
      <c r="D1468" s="2890" t="n">
        <f aca="false">'Смета Внутр'!D1474</f>
        <v>0</v>
      </c>
      <c r="E1468" s="2888"/>
      <c r="F1468" s="2902" t="n">
        <f aca="false">'Смета Внутр'!H1474</f>
        <v>0</v>
      </c>
    </row>
    <row r="1469" customFormat="false" ht="14.5" hidden="false" customHeight="false" outlineLevel="0" collapsed="false">
      <c r="B1469" s="2888" t="str">
        <f aca="false">'Смета Внутр'!B1475</f>
        <v>торцевая планка</v>
      </c>
      <c r="C1469" s="2889" t="str">
        <f aca="false">'Смета Внутр'!C1475</f>
        <v>м.п.</v>
      </c>
      <c r="D1469" s="2890" t="n">
        <f aca="false">'Смета Внутр'!D1475</f>
        <v>0</v>
      </c>
      <c r="E1469" s="2888"/>
      <c r="F1469" s="2902" t="n">
        <f aca="false">'Смета Внутр'!H1475</f>
        <v>0</v>
      </c>
    </row>
    <row r="1470" customFormat="false" ht="14.5" hidden="false" customHeight="false" outlineLevel="0" collapsed="false">
      <c r="B1470" s="2888" t="str">
        <f aca="false">'Смета Внутр'!B1476</f>
        <v>конек</v>
      </c>
      <c r="C1470" s="2889" t="str">
        <f aca="false">'Смета Внутр'!C1476</f>
        <v>м.п.</v>
      </c>
      <c r="D1470" s="2890" t="n">
        <f aca="false">'Смета Внутр'!D1476</f>
        <v>11.6</v>
      </c>
      <c r="E1470" s="2888"/>
      <c r="F1470" s="2902" t="n">
        <f aca="false">'Смета Внутр'!H1476</f>
        <v>0</v>
      </c>
    </row>
    <row r="1471" customFormat="false" ht="14.5" hidden="false" customHeight="false" outlineLevel="0" collapsed="false">
      <c r="B1471" s="2888" t="str">
        <f aca="false">'Смета Внутр'!B1477</f>
        <v>желоб водосточный</v>
      </c>
      <c r="C1471" s="2889" t="str">
        <f aca="false">'Смета Внутр'!C1477</f>
        <v>м.п.</v>
      </c>
      <c r="D1471" s="2890" t="n">
        <f aca="false">'Смета Внутр'!D1477</f>
        <v>23.2</v>
      </c>
      <c r="E1471" s="2888"/>
      <c r="F1471" s="2902" t="n">
        <f aca="false">'Смета Внутр'!H1477</f>
        <v>0</v>
      </c>
    </row>
    <row r="1472" customFormat="false" ht="14.5" hidden="false" customHeight="false" outlineLevel="0" collapsed="false">
      <c r="B1472" s="2888" t="str">
        <f aca="false">'Смета Внутр'!B1478</f>
        <v>труба водосточная</v>
      </c>
      <c r="C1472" s="2889" t="str">
        <f aca="false">'Смета Внутр'!C1478</f>
        <v>м.п.</v>
      </c>
      <c r="D1472" s="2890" t="n">
        <f aca="false">'Смета Внутр'!D1478</f>
        <v>8</v>
      </c>
      <c r="E1472" s="2888"/>
      <c r="F1472" s="2902" t="n">
        <f aca="false">'Смета Внутр'!H1478</f>
        <v>0</v>
      </c>
    </row>
    <row r="1473" customFormat="false" ht="14.5" hidden="false" customHeight="false" outlineLevel="0" collapsed="false">
      <c r="B1473" s="2888" t="str">
        <f aca="false">'Смета Внутр'!B1479</f>
        <v>Монтаж фанеры/osb</v>
      </c>
      <c r="C1473" s="2889" t="str">
        <f aca="false">'Смета Внутр'!C1479</f>
        <v>м2</v>
      </c>
      <c r="D1473" s="2890" t="n">
        <f aca="false">'Смета Внутр'!D1479</f>
        <v>179.307020442324</v>
      </c>
      <c r="E1473" s="2888"/>
      <c r="F1473" s="2895" t="n">
        <f aca="false">'Смета Внутр'!H1479</f>
        <v>0</v>
      </c>
    </row>
    <row r="1474" customFormat="false" ht="14.5" hidden="false" customHeight="false" outlineLevel="0" collapsed="false">
      <c r="B1474" s="2888" t="str">
        <f aca="false">'Смета Внутр'!B1480</f>
        <v>монтаж подкладочного ковра</v>
      </c>
      <c r="C1474" s="2889" t="str">
        <f aca="false">'Смета Внутр'!C1480</f>
        <v>м2</v>
      </c>
      <c r="D1474" s="2890" t="n">
        <f aca="false">'Смета Внутр'!D1480</f>
        <v>0</v>
      </c>
      <c r="E1474" s="2888"/>
      <c r="F1474" s="2895" t="n">
        <f aca="false">'Смета Внутр'!H1480</f>
        <v>0</v>
      </c>
    </row>
    <row r="1475" customFormat="false" ht="14.5" hidden="false" customHeight="false" outlineLevel="0" collapsed="false">
      <c r="B1475" s="2888" t="str">
        <f aca="false">'Смета Внутр'!B1481</f>
        <v>Монтаж мягкой кровли</v>
      </c>
      <c r="C1475" s="2889" t="str">
        <f aca="false">'Смета Внутр'!C1481</f>
        <v>м2</v>
      </c>
      <c r="D1475" s="2890" t="n">
        <f aca="false">'Смета Внутр'!D1481</f>
        <v>0</v>
      </c>
      <c r="E1475" s="2888"/>
      <c r="F1475" s="2895" t="n">
        <f aca="false">'Смета Внутр'!H1481</f>
        <v>0</v>
      </c>
    </row>
    <row r="1476" customFormat="false" ht="14.5" hidden="false" customHeight="false" outlineLevel="0" collapsed="false">
      <c r="B1476" s="2896" t="str">
        <f aca="false">'Смета Внутр'!B1482</f>
        <v>Итого работы</v>
      </c>
      <c r="C1476" s="2896"/>
      <c r="D1476" s="2896"/>
      <c r="E1476" s="2896"/>
      <c r="F1476" s="2891" t="n">
        <f aca="false">'Смета Внутр'!G1482</f>
        <v>0</v>
      </c>
    </row>
    <row r="1477" customFormat="false" ht="18.5" hidden="false" customHeight="false" outlineLevel="0" collapsed="false">
      <c r="B1477" s="2899" t="str">
        <f aca="false">'Смета Внутр'!B1483</f>
        <v>Кровля четырехскатная</v>
      </c>
      <c r="C1477" s="2899"/>
      <c r="D1477" s="2899"/>
      <c r="E1477" s="2899"/>
      <c r="F1477" s="2893" t="n">
        <f aca="false">'Смета Внутр'!H1483</f>
        <v>0</v>
      </c>
    </row>
    <row r="1478" customFormat="false" ht="14.5" hidden="false" customHeight="false" outlineLevel="0" collapsed="false">
      <c r="B1478" s="2894" t="str">
        <f aca="false">'Смета Внутр'!B1484</f>
        <v>Материалы</v>
      </c>
      <c r="C1478" s="2894"/>
      <c r="D1478" s="2894"/>
      <c r="E1478" s="2894"/>
      <c r="F1478" s="2893" t="n">
        <f aca="false">'Смета Внутр'!H1484</f>
        <v>0</v>
      </c>
    </row>
    <row r="1479" customFormat="false" ht="14.5" hidden="false" customHeight="false" outlineLevel="0" collapsed="false">
      <c r="B1479" s="2888" t="str">
        <f aca="false">'Смета Внутр'!B1485</f>
        <v>нет</v>
      </c>
      <c r="C1479" s="2889" t="str">
        <f aca="false">'Смета Внутр'!C1485</f>
        <v>м3</v>
      </c>
      <c r="D1479" s="2890" t="n">
        <f aca="false">'Смета Внутр'!D1485</f>
        <v>0</v>
      </c>
      <c r="E1479" s="2888"/>
      <c r="F1479" s="2895" t="n">
        <f aca="false">'Смета Внутр'!H1485</f>
        <v>0</v>
      </c>
    </row>
    <row r="1480" customFormat="false" ht="14.5" hidden="false" customHeight="false" outlineLevel="0" collapsed="false">
      <c r="B1480" s="2888" t="str">
        <f aca="false">'Смета Внутр'!B1486</f>
        <v>Болты анкерные с гайкой 12,0 х 280</v>
      </c>
      <c r="C1480" s="2889" t="str">
        <f aca="false">'Смета Внутр'!C1486</f>
        <v>шт</v>
      </c>
      <c r="D1480" s="2890" t="n">
        <f aca="false">'Смета Внутр'!D1486</f>
        <v>44</v>
      </c>
      <c r="E1480" s="2888"/>
      <c r="F1480" s="2895" t="n">
        <f aca="false">'Смета Внутр'!H1486</f>
        <v>0</v>
      </c>
    </row>
    <row r="1481" customFormat="false" ht="14.5" hidden="false" customHeight="false" outlineLevel="0" collapsed="false">
      <c r="B1481" s="2888" t="str">
        <f aca="false">'Смета Внутр'!B1487</f>
        <v>Доска сухая, 200*50мм</v>
      </c>
      <c r="C1481" s="2889" t="str">
        <f aca="false">'Смета Внутр'!C1487</f>
        <v>м3</v>
      </c>
      <c r="D1481" s="2890" t="n">
        <f aca="false">'Смета Внутр'!D1487</f>
        <v>4.16623987671954</v>
      </c>
      <c r="E1481" s="2888"/>
      <c r="F1481" s="2895" t="n">
        <f aca="false">'Смета Внутр'!H1487</f>
        <v>0</v>
      </c>
    </row>
    <row r="1482" customFormat="false" ht="14.5" hidden="false" customHeight="false" outlineLevel="0" collapsed="false">
      <c r="B1482" s="2888" t="str">
        <f aca="false">'Смета Внутр'!B1488</f>
        <v>бугель, доска</v>
      </c>
      <c r="C1482" s="2889" t="str">
        <f aca="false">'Смета Внутр'!C1488</f>
        <v>м3</v>
      </c>
      <c r="D1482" s="2890" t="n">
        <f aca="false">'Смета Внутр'!D1488</f>
        <v>0.28</v>
      </c>
      <c r="E1482" s="2888"/>
      <c r="F1482" s="2895" t="n">
        <f aca="false">'Смета Внутр'!H1488</f>
        <v>0</v>
      </c>
    </row>
    <row r="1483" customFormat="false" ht="14.5" hidden="false" customHeight="false" outlineLevel="0" collapsed="false">
      <c r="B1483" s="2888" t="str">
        <f aca="false">'Смета Внутр'!B1489</f>
        <v>стойка под конек</v>
      </c>
      <c r="C1483" s="2889" t="str">
        <f aca="false">'Смета Внутр'!C1489</f>
        <v>м3</v>
      </c>
      <c r="D1483" s="2890" t="n">
        <f aca="false">'Смета Внутр'!D1489</f>
        <v>0.175</v>
      </c>
      <c r="E1483" s="2888"/>
      <c r="F1483" s="2895" t="n">
        <f aca="false">'Смета Внутр'!H1489</f>
        <v>0</v>
      </c>
    </row>
    <row r="1484" customFormat="false" ht="14.5" hidden="false" customHeight="false" outlineLevel="0" collapsed="false">
      <c r="B1484" s="2888" t="str">
        <f aca="false">'Смета Внутр'!B1490</f>
        <v>Сосна влаж,180*25мм</v>
      </c>
      <c r="C1484" s="2889" t="str">
        <f aca="false">'Смета Внутр'!C1490</f>
        <v>м3</v>
      </c>
      <c r="D1484" s="2890" t="n">
        <f aca="false">'Смета Внутр'!D1490</f>
        <v>3.61886797951293</v>
      </c>
      <c r="E1484" s="2888"/>
      <c r="F1484" s="2895" t="n">
        <f aca="false">'Смета Внутр'!H1490</f>
        <v>0</v>
      </c>
    </row>
    <row r="1485" customFormat="false" ht="14.5" hidden="false" customHeight="false" outlineLevel="0" collapsed="false">
      <c r="B1485" s="2888" t="str">
        <f aca="false">'Смета Внутр'!B1491</f>
        <v>Сосна влаж, 50*50мм</v>
      </c>
      <c r="C1485" s="2889" t="str">
        <f aca="false">'Смета Внутр'!C1491</f>
        <v>м3</v>
      </c>
      <c r="D1485" s="2890" t="n">
        <f aca="false">'Смета Внутр'!D1491</f>
        <v>2.01048221084052</v>
      </c>
      <c r="E1485" s="2888"/>
      <c r="F1485" s="2895" t="n">
        <f aca="false">'Смета Внутр'!H1491</f>
        <v>0</v>
      </c>
    </row>
    <row r="1486" customFormat="false" ht="14.5" hidden="false" customHeight="false" outlineLevel="0" collapsed="false">
      <c r="B1486" s="2888" t="str">
        <f aca="false">'Смета Внутр'!B1492</f>
        <v>Мембрана MD90</v>
      </c>
      <c r="C1486" s="2889" t="str">
        <f aca="false">'Смета Внутр'!C1492</f>
        <v>м2</v>
      </c>
      <c r="D1486" s="2890" t="n">
        <f aca="false">'Смета Внутр'!D1492</f>
        <v>268.064294778735</v>
      </c>
      <c r="E1486" s="2888"/>
      <c r="F1486" s="2895" t="n">
        <f aca="false">'Смета Внутр'!H1492</f>
        <v>0</v>
      </c>
    </row>
    <row r="1487" customFormat="false" ht="14.5" hidden="false" customHeight="false" outlineLevel="0" collapsed="false">
      <c r="B1487" s="2888" t="str">
        <f aca="false">'Смета Внутр'!B1493</f>
        <v>Мембрана Tyvek AirGuard Reflective</v>
      </c>
      <c r="C1487" s="2889" t="str">
        <f aca="false">'Смета Внутр'!C1493</f>
        <v>м2</v>
      </c>
      <c r="D1487" s="2890" t="n">
        <f aca="false">'Смета Внутр'!D1493</f>
        <v>268.064294778735</v>
      </c>
      <c r="E1487" s="2888"/>
      <c r="F1487" s="2895" t="n">
        <f aca="false">'Смета Внутр'!H1493</f>
        <v>0</v>
      </c>
    </row>
    <row r="1488" customFormat="false" ht="14.5" hidden="false" customHeight="false" outlineLevel="0" collapsed="false">
      <c r="B1488" s="2888" t="str">
        <f aca="false">'Смета Внутр'!B1494</f>
        <v>Плитный,28кг/м3, технониколь, 200мм</v>
      </c>
      <c r="C1488" s="2889" t="str">
        <f aca="false">'Смета Внутр'!C1494</f>
        <v>м3</v>
      </c>
      <c r="D1488" s="2890" t="n">
        <f aca="false">'Смета Внутр'!D1494</f>
        <v>38.294899254105</v>
      </c>
      <c r="E1488" s="2888"/>
      <c r="F1488" s="2895" t="n">
        <f aca="false">'Смета Внутр'!H1494</f>
        <v>0</v>
      </c>
    </row>
    <row r="1489" customFormat="false" ht="14.5" hidden="false" customHeight="false" outlineLevel="0" collapsed="false">
      <c r="B1489" s="2888" t="str">
        <f aca="false">'Смета Внутр'!B1495</f>
        <v>металлочерепица</v>
      </c>
      <c r="C1489" s="2889" t="str">
        <f aca="false">'Смета Внутр'!C1495</f>
        <v>м2</v>
      </c>
      <c r="D1489" s="2890" t="n">
        <f aca="false">'Смета Внутр'!D1495</f>
        <v>268.064294778735</v>
      </c>
      <c r="E1489" s="2888"/>
      <c r="F1489" s="2895" t="n">
        <f aca="false">'Смета Внутр'!H1495</f>
        <v>0</v>
      </c>
    </row>
    <row r="1490" customFormat="false" ht="14.5" hidden="false" customHeight="false" outlineLevel="0" collapsed="false">
      <c r="B1490" s="2888" t="str">
        <f aca="false">'Смета Внутр'!B1496</f>
        <v>Конек</v>
      </c>
      <c r="C1490" s="2889" t="str">
        <f aca="false">'Смета Внутр'!C1496</f>
        <v>м.п.</v>
      </c>
      <c r="D1490" s="2890" t="n">
        <f aca="false">'Смета Внутр'!D1496</f>
        <v>39.350000802913</v>
      </c>
      <c r="E1490" s="2888"/>
      <c r="F1490" s="2895" t="n">
        <f aca="false">'Смета Внутр'!H1496</f>
        <v>0</v>
      </c>
    </row>
    <row r="1491" customFormat="false" ht="14.5" hidden="false" customHeight="false" outlineLevel="0" collapsed="false">
      <c r="B1491" s="2888" t="str">
        <f aca="false">'Смета Внутр'!B1497</f>
        <v>Карнизная планка</v>
      </c>
      <c r="C1491" s="2889" t="str">
        <f aca="false">'Смета Внутр'!C1497</f>
        <v>м.п.</v>
      </c>
      <c r="D1491" s="2890" t="n">
        <f aca="false">'Смета Внутр'!D1497</f>
        <v>88</v>
      </c>
      <c r="E1491" s="2888"/>
      <c r="F1491" s="2895" t="n">
        <f aca="false">'Смета Внутр'!H1497</f>
        <v>0</v>
      </c>
    </row>
    <row r="1492" customFormat="false" ht="14.5" hidden="false" customHeight="false" outlineLevel="0" collapsed="false">
      <c r="B1492" s="2888" t="str">
        <f aca="false">'Смета Внутр'!B1498</f>
        <v>ондулин</v>
      </c>
      <c r="C1492" s="2889" t="str">
        <f aca="false">'Смета Внутр'!C1498</f>
        <v>м2</v>
      </c>
      <c r="D1492" s="2890" t="n">
        <f aca="false">'Смета Внутр'!D1498</f>
        <v>0</v>
      </c>
      <c r="E1492" s="2888"/>
      <c r="F1492" s="2895" t="n">
        <f aca="false">'Смета Внутр'!H1498</f>
        <v>0</v>
      </c>
    </row>
    <row r="1493" customFormat="false" ht="14.5" hidden="false" customHeight="false" outlineLevel="0" collapsed="false">
      <c r="B1493" s="2888" t="str">
        <f aca="false">'Смета Внутр'!B1499</f>
        <v>Карнизная планка</v>
      </c>
      <c r="C1493" s="2889" t="str">
        <f aca="false">'Смета Внутр'!C1499</f>
        <v>м.п.</v>
      </c>
      <c r="D1493" s="2890" t="n">
        <f aca="false">'Смета Внутр'!D1499</f>
        <v>0</v>
      </c>
      <c r="E1493" s="2888"/>
      <c r="F1493" s="2895" t="n">
        <f aca="false">'Смета Внутр'!H1499</f>
        <v>0</v>
      </c>
    </row>
    <row r="1494" customFormat="false" ht="14.5" hidden="false" customHeight="false" outlineLevel="0" collapsed="false">
      <c r="B1494" s="2888" t="str">
        <f aca="false">'Смета Внутр'!B1500</f>
        <v>Конек</v>
      </c>
      <c r="C1494" s="2889" t="str">
        <f aca="false">'Смета Внутр'!C1500</f>
        <v>м.п.</v>
      </c>
      <c r="D1494" s="2890" t="n">
        <f aca="false">'Смета Внутр'!D1500</f>
        <v>0</v>
      </c>
      <c r="E1494" s="2888"/>
      <c r="F1494" s="2895" t="n">
        <f aca="false">'Смета Внутр'!H1500</f>
        <v>0</v>
      </c>
    </row>
    <row r="1495" customFormat="false" ht="14.5" hidden="false" customHeight="false" outlineLevel="0" collapsed="false">
      <c r="B1495" s="2888" t="str">
        <f aca="false">'Смета Внутр'!B1501</f>
        <v>Крепеж для ондулина</v>
      </c>
      <c r="C1495" s="2889" t="str">
        <f aca="false">'Смета Внутр'!C1501</f>
        <v>шт</v>
      </c>
      <c r="D1495" s="2890" t="n">
        <f aca="false">'Смета Внутр'!D1501</f>
        <v>0</v>
      </c>
      <c r="E1495" s="2888"/>
      <c r="F1495" s="2895" t="n">
        <f aca="false">'Смета Внутр'!H1501</f>
        <v>0</v>
      </c>
    </row>
    <row r="1496" customFormat="false" ht="14.5" hidden="false" customHeight="false" outlineLevel="0" collapsed="false">
      <c r="B1496" s="2888" t="str">
        <f aca="false">'Смета Внутр'!B1502</f>
        <v>нет</v>
      </c>
      <c r="C1496" s="2889" t="str">
        <f aca="false">'Смета Внутр'!C1502</f>
        <v>м2</v>
      </c>
      <c r="D1496" s="2890" t="n">
        <f aca="false">'Смета Внутр'!D1502</f>
        <v>268.064294778735</v>
      </c>
      <c r="E1496" s="2888"/>
      <c r="F1496" s="2895" t="n">
        <f aca="false">'Смета Внутр'!H1502</f>
        <v>0</v>
      </c>
    </row>
    <row r="1497" customFormat="false" ht="14.5" hidden="false" customHeight="false" outlineLevel="0" collapsed="false">
      <c r="B1497" s="2888" t="str">
        <f aca="false">'Смета Внутр'!B1503</f>
        <v>Рядовая черепица</v>
      </c>
      <c r="C1497" s="2889" t="str">
        <f aca="false">'Смета Внутр'!C1503</f>
        <v>м.п.</v>
      </c>
      <c r="D1497" s="2890" t="n">
        <f aca="false">'Смета Внутр'!D1503</f>
        <v>0</v>
      </c>
      <c r="E1497" s="2888"/>
      <c r="F1497" s="2895" t="n">
        <f aca="false">'Смета Внутр'!H1503</f>
        <v>0</v>
      </c>
    </row>
    <row r="1498" customFormat="false" ht="14.5" hidden="false" customHeight="false" outlineLevel="0" collapsed="false">
      <c r="B1498" s="2888" t="str">
        <f aca="false">'Смета Внутр'!B1504</f>
        <v>Металл оцинк защита (карниз)</v>
      </c>
      <c r="C1498" s="2889" t="str">
        <f aca="false">'Смета Внутр'!C1504</f>
        <v>м.п.</v>
      </c>
      <c r="D1498" s="2890" t="n">
        <f aca="false">'Смета Внутр'!D1504</f>
        <v>0</v>
      </c>
      <c r="E1498" s="2888"/>
      <c r="F1498" s="2895" t="n">
        <f aca="false">'Смета Внутр'!H1504</f>
        <v>0</v>
      </c>
    </row>
    <row r="1499" customFormat="false" ht="14.5" hidden="false" customHeight="false" outlineLevel="0" collapsed="false">
      <c r="B1499" s="2888" t="str">
        <f aca="false">'Смета Внутр'!B1505</f>
        <v>Подкладочный ковер</v>
      </c>
      <c r="C1499" s="2889" t="str">
        <f aca="false">'Смета Внутр'!C1505</f>
        <v>м2</v>
      </c>
      <c r="D1499" s="2890" t="n">
        <f aca="false">'Смета Внутр'!D1505</f>
        <v>0</v>
      </c>
      <c r="E1499" s="2888"/>
      <c r="F1499" s="2895" t="n">
        <f aca="false">'Смета Внутр'!H1505</f>
        <v>0</v>
      </c>
    </row>
    <row r="1500" customFormat="false" ht="14.5" hidden="false" customHeight="false" outlineLevel="0" collapsed="false">
      <c r="B1500" s="2888" t="str">
        <f aca="false">'Смета Внутр'!B1506</f>
        <v>Карнизная самоклеющаяся черепица</v>
      </c>
      <c r="C1500" s="2889" t="str">
        <f aca="false">'Смета Внутр'!C1506</f>
        <v>м2</v>
      </c>
      <c r="D1500" s="2890" t="n">
        <f aca="false">'Смета Внутр'!D1506</f>
        <v>0</v>
      </c>
      <c r="E1500" s="2888"/>
      <c r="F1500" s="2895" t="n">
        <f aca="false">'Смета Внутр'!H1506</f>
        <v>0</v>
      </c>
    </row>
    <row r="1501" customFormat="false" ht="14.5" hidden="false" customHeight="false" outlineLevel="0" collapsed="false">
      <c r="B1501" s="2888" t="str">
        <f aca="false">'Смета Внутр'!B1507</f>
        <v>Спец ковер ендова нижняя</v>
      </c>
      <c r="C1501" s="2889" t="str">
        <f aca="false">'Смета Внутр'!C1507</f>
        <v>м.п</v>
      </c>
      <c r="D1501" s="2890" t="n">
        <f aca="false">'Смета Внутр'!D1507</f>
        <v>0</v>
      </c>
      <c r="E1501" s="2888"/>
      <c r="F1501" s="2895" t="n">
        <f aca="false">'Смета Внутр'!H1507</f>
        <v>0</v>
      </c>
    </row>
    <row r="1502" customFormat="false" ht="14.5" hidden="false" customHeight="false" outlineLevel="0" collapsed="false">
      <c r="B1502" s="2888" t="str">
        <f aca="false">'Смета Внутр'!B1508</f>
        <v>Коньковой элемент</v>
      </c>
      <c r="C1502" s="2889" t="str">
        <f aca="false">'Смета Внутр'!C1508</f>
        <v>м.п</v>
      </c>
      <c r="D1502" s="2890" t="n">
        <f aca="false">'Смета Внутр'!D1508</f>
        <v>0</v>
      </c>
      <c r="E1502" s="2888"/>
      <c r="F1502" s="2895" t="n">
        <f aca="false">'Смета Внутр'!H1508</f>
        <v>0</v>
      </c>
    </row>
    <row r="1503" customFormat="false" ht="14.5" hidden="false" customHeight="false" outlineLevel="0" collapsed="false">
      <c r="B1503" s="2888" t="str">
        <f aca="false">'Смета Внутр'!B1509</f>
        <v>Планка премыкания</v>
      </c>
      <c r="C1503" s="2889" t="str">
        <f aca="false">'Смета Внутр'!C1509</f>
        <v>м.п.</v>
      </c>
      <c r="D1503" s="2890" t="n">
        <f aca="false">'Смета Внутр'!D1509</f>
        <v>0</v>
      </c>
      <c r="E1503" s="2888"/>
      <c r="F1503" s="2895" t="n">
        <f aca="false">'Смета Внутр'!H1509</f>
        <v>0</v>
      </c>
    </row>
    <row r="1504" customFormat="false" ht="14.5" hidden="false" customHeight="false" outlineLevel="0" collapsed="false">
      <c r="B1504" s="2888" t="str">
        <f aca="false">'Смета Внутр'!B1510</f>
        <v>Гвозди для крепления подкладочного ковра</v>
      </c>
      <c r="C1504" s="2889" t="str">
        <f aca="false">'Смета Внутр'!C1510</f>
        <v>шт</v>
      </c>
      <c r="D1504" s="2890" t="n">
        <f aca="false">'Смета Внутр'!D1510</f>
        <v>0</v>
      </c>
      <c r="E1504" s="2888"/>
      <c r="F1504" s="2895" t="n">
        <f aca="false">'Смета Внутр'!H1510</f>
        <v>0</v>
      </c>
    </row>
    <row r="1505" customFormat="false" ht="14.5" hidden="false" customHeight="false" outlineLevel="0" collapsed="false">
      <c r="B1505" s="2888" t="str">
        <f aca="false">'Смета Внутр'!B1511</f>
        <v>Гвозди для крепления черепицы</v>
      </c>
      <c r="C1505" s="2889" t="str">
        <f aca="false">'Смета Внутр'!C1511</f>
        <v>шт</v>
      </c>
      <c r="D1505" s="2890" t="n">
        <f aca="false">'Смета Внутр'!D1511</f>
        <v>0</v>
      </c>
      <c r="E1505" s="2888"/>
      <c r="F1505" s="2895" t="n">
        <f aca="false">'Смета Внутр'!H1511</f>
        <v>0</v>
      </c>
    </row>
    <row r="1506" customFormat="false" ht="14.5" hidden="false" customHeight="false" outlineLevel="0" collapsed="false">
      <c r="B1506" s="2888" t="str">
        <f aca="false">'Смета Внутр'!B1512</f>
        <v>Клей для монтажа черепицы</v>
      </c>
      <c r="C1506" s="2889" t="str">
        <f aca="false">'Смета Внутр'!C1512</f>
        <v>кг</v>
      </c>
      <c r="D1506" s="2890" t="n">
        <f aca="false">'Смета Внутр'!D1512</f>
        <v>0</v>
      </c>
      <c r="E1506" s="2888"/>
      <c r="F1506" s="2895" t="n">
        <f aca="false">'Смета Внутр'!H1512</f>
        <v>0</v>
      </c>
    </row>
    <row r="1507" customFormat="false" ht="14.5" hidden="false" customHeight="false" outlineLevel="0" collapsed="false">
      <c r="B1507" s="2888" t="str">
        <f aca="false">'Смета Внутр'!B1513</f>
        <v>желоб</v>
      </c>
      <c r="C1507" s="2889" t="str">
        <f aca="false">'Смета Внутр'!C1513</f>
        <v>м.п</v>
      </c>
      <c r="D1507" s="2890" t="n">
        <f aca="false">'Смета Внутр'!D1513</f>
        <v>42</v>
      </c>
      <c r="E1507" s="2888"/>
      <c r="F1507" s="2895" t="n">
        <f aca="false">'Смета Внутр'!H1513</f>
        <v>0</v>
      </c>
    </row>
    <row r="1508" customFormat="false" ht="14.5" hidden="false" customHeight="false" outlineLevel="0" collapsed="false">
      <c r="B1508" s="2888" t="str">
        <f aca="false">'Смета Внутр'!B1514</f>
        <v>отвод</v>
      </c>
      <c r="C1508" s="2889" t="str">
        <f aca="false">'Смета Внутр'!C1514</f>
        <v>шт</v>
      </c>
      <c r="D1508" s="2890" t="n">
        <f aca="false">'Смета Внутр'!D1514</f>
        <v>4</v>
      </c>
      <c r="E1508" s="2888"/>
      <c r="F1508" s="2895" t="n">
        <f aca="false">'Смета Внутр'!H1514</f>
        <v>0</v>
      </c>
    </row>
    <row r="1509" customFormat="false" ht="14.5" hidden="false" customHeight="false" outlineLevel="0" collapsed="false">
      <c r="B1509" s="2888" t="str">
        <f aca="false">'Смета Внутр'!B1515</f>
        <v>труба водосточная</v>
      </c>
      <c r="C1509" s="2889" t="str">
        <f aca="false">'Смета Внутр'!C1515</f>
        <v>м.п.</v>
      </c>
      <c r="D1509" s="2890" t="n">
        <f aca="false">'Смета Внутр'!D1515</f>
        <v>6.6</v>
      </c>
      <c r="E1509" s="2888"/>
      <c r="F1509" s="2895" t="n">
        <f aca="false">'Смета Внутр'!H1515</f>
        <v>0</v>
      </c>
    </row>
    <row r="1510" customFormat="false" ht="14.5" hidden="false" customHeight="false" outlineLevel="0" collapsed="false">
      <c r="B1510" s="2888" t="str">
        <f aca="false">'Смета Внутр'!B1516</f>
        <v>заглушка для желоба</v>
      </c>
      <c r="C1510" s="2889" t="str">
        <f aca="false">'Смета Внутр'!C1516</f>
        <v>шт</v>
      </c>
      <c r="D1510" s="2890" t="n">
        <f aca="false">'Смета Внутр'!D1516</f>
        <v>4</v>
      </c>
      <c r="E1510" s="2888"/>
      <c r="F1510" s="2895" t="n">
        <f aca="false">'Смета Внутр'!H1516</f>
        <v>0</v>
      </c>
    </row>
    <row r="1511" customFormat="false" ht="14.5" hidden="false" customHeight="false" outlineLevel="0" collapsed="false">
      <c r="B1511" s="2888" t="str">
        <f aca="false">'Смета Внутр'!B1517</f>
        <v>соеденитель для желоба</v>
      </c>
      <c r="C1511" s="2889" t="str">
        <f aca="false">'Смета Внутр'!C1517</f>
        <v>шт</v>
      </c>
      <c r="D1511" s="2890" t="n">
        <f aca="false">'Смета Внутр'!D1517</f>
        <v>15</v>
      </c>
      <c r="E1511" s="2888"/>
      <c r="F1511" s="2895" t="n">
        <f aca="false">'Смета Внутр'!H1517</f>
        <v>0</v>
      </c>
    </row>
    <row r="1512" customFormat="false" ht="14.5" hidden="false" customHeight="false" outlineLevel="0" collapsed="false">
      <c r="B1512" s="2888" t="str">
        <f aca="false">'Смета Внутр'!B1518</f>
        <v>кронштейн для желоба</v>
      </c>
      <c r="C1512" s="2889" t="str">
        <f aca="false">'Смета Внутр'!C1518</f>
        <v>шт</v>
      </c>
      <c r="D1512" s="2890" t="n">
        <f aca="false">'Смета Внутр'!D1518</f>
        <v>140</v>
      </c>
      <c r="E1512" s="2888"/>
      <c r="F1512" s="2895" t="n">
        <f aca="false">'Смета Внутр'!H1518</f>
        <v>0</v>
      </c>
    </row>
    <row r="1513" customFormat="false" ht="14.5" hidden="false" customHeight="false" outlineLevel="0" collapsed="false">
      <c r="B1513" s="2888" t="str">
        <f aca="false">'Смета Внутр'!B1519</f>
        <v>переход из желоба в трубу</v>
      </c>
      <c r="C1513" s="2889" t="str">
        <f aca="false">'Смета Внутр'!C1519</f>
        <v>шт</v>
      </c>
      <c r="D1513" s="2890" t="n">
        <f aca="false">'Смета Внутр'!D1519</f>
        <v>2</v>
      </c>
      <c r="E1513" s="2888"/>
      <c r="F1513" s="2895" t="n">
        <f aca="false">'Смета Внутр'!H1519</f>
        <v>0</v>
      </c>
    </row>
    <row r="1514" customFormat="false" ht="14.5" hidden="false" customHeight="false" outlineLevel="0" collapsed="false">
      <c r="B1514" s="2888" t="str">
        <f aca="false">'Смета Внутр'!B1520</f>
        <v>лента дельта мульти бэнд</v>
      </c>
      <c r="C1514" s="2889" t="str">
        <f aca="false">'Смета Внутр'!C1520</f>
        <v>шт</v>
      </c>
      <c r="D1514" s="2890" t="n">
        <f aca="false">'Смета Внутр'!D1520</f>
        <v>1</v>
      </c>
      <c r="E1514" s="2888"/>
      <c r="F1514" s="2895" t="n">
        <f aca="false">'Смета Внутр'!H1520</f>
        <v>0</v>
      </c>
    </row>
    <row r="1515" customFormat="false" ht="14.5" hidden="false" customHeight="false" outlineLevel="0" collapsed="false">
      <c r="B1515" s="2888" t="str">
        <f aca="false">'Смета Внутр'!B1521</f>
        <v>лента дельта sb-60</v>
      </c>
      <c r="C1515" s="2889" t="str">
        <f aca="false">'Смета Внутр'!C1521</f>
        <v>шт</v>
      </c>
      <c r="D1515" s="2890" t="n">
        <f aca="false">'Смета Внутр'!D1521</f>
        <v>12.764966418035</v>
      </c>
      <c r="E1515" s="2888"/>
      <c r="F1515" s="2895" t="n">
        <f aca="false">'Смета Внутр'!H1521</f>
        <v>0</v>
      </c>
    </row>
    <row r="1516" customFormat="false" ht="14.5" hidden="false" customHeight="false" outlineLevel="0" collapsed="false">
      <c r="B1516" s="2888" t="str">
        <f aca="false">'Смета Внутр'!B1522</f>
        <v>проходка кровельная, канализационная</v>
      </c>
      <c r="C1516" s="2889" t="str">
        <f aca="false">'Смета Внутр'!C1522</f>
        <v>шт</v>
      </c>
      <c r="D1516" s="2890" t="n">
        <f aca="false">'Смета Внутр'!D1522</f>
        <v>0</v>
      </c>
      <c r="E1516" s="2888"/>
      <c r="F1516" s="2895" t="n">
        <f aca="false">'Смета Внутр'!H1522</f>
        <v>0</v>
      </c>
    </row>
    <row r="1517" customFormat="false" ht="14.5" hidden="false" customHeight="false" outlineLevel="0" collapsed="false">
      <c r="B1517" s="2888" t="str">
        <f aca="false">'Смета Внутр'!B1523</f>
        <v>проходка кровельная, вентиляционная</v>
      </c>
      <c r="C1517" s="2889" t="str">
        <f aca="false">'Смета Внутр'!C1523</f>
        <v>шт</v>
      </c>
      <c r="D1517" s="2890" t="n">
        <f aca="false">'Смета Внутр'!D1523</f>
        <v>0</v>
      </c>
      <c r="E1517" s="2888"/>
      <c r="F1517" s="2895" t="n">
        <f aca="false">'Смета Внутр'!H1523</f>
        <v>0</v>
      </c>
    </row>
    <row r="1518" customFormat="false" ht="14.5" hidden="false" customHeight="false" outlineLevel="0" collapsed="false">
      <c r="B1518" s="2888" t="str">
        <f aca="false">'Смета Внутр'!B1524</f>
        <v>проодка кровельная, труба котел</v>
      </c>
      <c r="C1518" s="2889" t="str">
        <f aca="false">'Смета Внутр'!C1524</f>
        <v>шт</v>
      </c>
      <c r="D1518" s="2890" t="n">
        <f aca="false">'Смета Внутр'!D1524</f>
        <v>0</v>
      </c>
      <c r="E1518" s="2888"/>
      <c r="F1518" s="2895" t="n">
        <f aca="false">'Смета Внутр'!H1524</f>
        <v>0</v>
      </c>
    </row>
    <row r="1519" customFormat="false" ht="14.5" hidden="false" customHeight="false" outlineLevel="0" collapsed="false">
      <c r="B1519" s="2888" t="str">
        <f aca="false">'Смета Внутр'!B1525</f>
        <v>Кровельный саморез</v>
      </c>
      <c r="C1519" s="2889" t="str">
        <f aca="false">'Смета Внутр'!C1525</f>
        <v>шт</v>
      </c>
      <c r="D1519" s="2890" t="n">
        <f aca="false">'Смета Внутр'!D1525</f>
        <v>2297.6939552463</v>
      </c>
      <c r="E1519" s="2888"/>
      <c r="F1519" s="2895" t="n">
        <f aca="false">'Смета Внутр'!H1525</f>
        <v>0</v>
      </c>
    </row>
    <row r="1520" customFormat="false" ht="14.5" hidden="false" customHeight="false" outlineLevel="0" collapsed="false">
      <c r="B1520" s="2888" t="str">
        <f aca="false">'Смета Внутр'!B1526</f>
        <v>Гвозди ершоные 3,4 x 60</v>
      </c>
      <c r="C1520" s="2889" t="str">
        <f aca="false">'Смета Внутр'!C1526</f>
        <v>кг</v>
      </c>
      <c r="D1520" s="2890" t="n">
        <f aca="false">'Смета Внутр'!D1526</f>
        <v>36.1886797951293</v>
      </c>
      <c r="E1520" s="2888"/>
      <c r="F1520" s="2895" t="n">
        <f aca="false">'Смета Внутр'!H1526</f>
        <v>0</v>
      </c>
    </row>
    <row r="1521" customFormat="false" ht="14.5" hidden="false" customHeight="false" outlineLevel="0" collapsed="false">
      <c r="B1521" s="2888" t="str">
        <f aca="false">'Смета Внутр'!B1527</f>
        <v>Гвозди строительные 3,5 x 90</v>
      </c>
      <c r="C1521" s="2889" t="str">
        <f aca="false">'Смета Внутр'!C1527</f>
        <v>кг</v>
      </c>
      <c r="D1521" s="2890" t="n">
        <f aca="false">'Смета Внутр'!D1527</f>
        <v>27.7274392603173</v>
      </c>
      <c r="E1521" s="2888"/>
      <c r="F1521" s="2895" t="n">
        <f aca="false">'Смета Внутр'!H1527</f>
        <v>0</v>
      </c>
    </row>
    <row r="1522" customFormat="false" ht="14.5" hidden="false" customHeight="false" outlineLevel="0" collapsed="false">
      <c r="B1522" s="2888" t="str">
        <f aca="false">'Смета Внутр'!B1528</f>
        <v>Пластина соеденительная 100х240х2</v>
      </c>
      <c r="C1522" s="2889" t="str">
        <f aca="false">'Смета Внутр'!C1528</f>
        <v>шт</v>
      </c>
      <c r="D1522" s="2890" t="n">
        <f aca="false">'Смета Внутр'!D1528</f>
        <v>27.3534994672179</v>
      </c>
      <c r="E1522" s="2888"/>
      <c r="F1522" s="2895" t="n">
        <f aca="false">'Смета Внутр'!H1528</f>
        <v>0</v>
      </c>
    </row>
    <row r="1523" customFormat="false" ht="14.5" hidden="false" customHeight="false" outlineLevel="0" collapsed="false">
      <c r="B1523" s="2888" t="str">
        <f aca="false">'Смета Внутр'!B1529</f>
        <v>Уголок усиленный 90х70х55х2,5</v>
      </c>
      <c r="C1523" s="2889" t="str">
        <f aca="false">'Смета Внутр'!C1529</f>
        <v>шт</v>
      </c>
      <c r="D1523" s="2890" t="n">
        <f aca="false">'Смета Внутр'!D1529</f>
        <v>382.94899254105</v>
      </c>
      <c r="E1523" s="2888"/>
      <c r="F1523" s="2895" t="n">
        <f aca="false">'Смета Внутр'!H1529</f>
        <v>0</v>
      </c>
    </row>
    <row r="1524" customFormat="false" ht="14.5" hidden="false" customHeight="false" outlineLevel="0" collapsed="false">
      <c r="B1524" s="2896" t="str">
        <f aca="false">'Смета Внутр'!B1530</f>
        <v>Итого материалы</v>
      </c>
      <c r="C1524" s="2896"/>
      <c r="D1524" s="2896"/>
      <c r="E1524" s="2896"/>
      <c r="F1524" s="2897" t="n">
        <f aca="false">'Смета Внутр'!G1530</f>
        <v>0</v>
      </c>
    </row>
    <row r="1525" customFormat="false" ht="14.5" hidden="false" customHeight="false" outlineLevel="0" collapsed="false">
      <c r="B1525" s="2898" t="str">
        <f aca="false">'Смета Внутр'!B1531</f>
        <v>Работы</v>
      </c>
      <c r="C1525" s="2898"/>
      <c r="D1525" s="2898"/>
      <c r="E1525" s="2898"/>
      <c r="F1525" s="2893" t="n">
        <f aca="false">'Смета Внутр'!H1531</f>
        <v>0</v>
      </c>
    </row>
    <row r="1526" customFormat="false" ht="14.5" hidden="false" customHeight="false" outlineLevel="0" collapsed="false">
      <c r="B1526" s="2888" t="str">
        <f aca="false">'Смета Внутр'!B1532</f>
        <v>монтаж мауэрлат</v>
      </c>
      <c r="C1526" s="2889" t="str">
        <f aca="false">'Смета Внутр'!C1532</f>
        <v>м.п.</v>
      </c>
      <c r="D1526" s="2890" t="n">
        <f aca="false">'Смета Внутр'!D1532</f>
        <v>40</v>
      </c>
      <c r="E1526" s="2888"/>
      <c r="F1526" s="2895" t="n">
        <f aca="false">'Смета Внутр'!H1532</f>
        <v>0</v>
      </c>
    </row>
    <row r="1527" customFormat="false" ht="14.5" hidden="false" customHeight="false" outlineLevel="0" collapsed="false">
      <c r="B1527" s="2888" t="str">
        <f aca="false">'Смета Внутр'!B1533</f>
        <v>монтаж стропил</v>
      </c>
      <c r="C1527" s="2889" t="str">
        <f aca="false">'Смета Внутр'!C1533</f>
        <v>м2</v>
      </c>
      <c r="D1527" s="2890" t="n">
        <f aca="false">'Смета Внутр'!D1533</f>
        <v>191.474496270525</v>
      </c>
      <c r="E1527" s="2888"/>
      <c r="F1527" s="2895" t="n">
        <f aca="false">'Смета Внутр'!H1533</f>
        <v>0</v>
      </c>
    </row>
    <row r="1528" customFormat="false" ht="14.5" hidden="false" customHeight="false" outlineLevel="0" collapsed="false">
      <c r="B1528" s="2888" t="str">
        <f aca="false">'Смета Внутр'!B1534</f>
        <v>обрешетка</v>
      </c>
      <c r="C1528" s="2889" t="str">
        <f aca="false">'Смета Внутр'!C1534</f>
        <v>м2</v>
      </c>
      <c r="D1528" s="2890" t="n">
        <f aca="false">'Смета Внутр'!D1534</f>
        <v>191.474496270525</v>
      </c>
      <c r="E1528" s="2888"/>
      <c r="F1528" s="2895" t="n">
        <f aca="false">'Смета Внутр'!H1534</f>
        <v>0</v>
      </c>
    </row>
    <row r="1529" customFormat="false" ht="14.5" hidden="false" customHeight="false" outlineLevel="0" collapsed="false">
      <c r="B1529" s="2888" t="str">
        <f aca="false">'Смета Внутр'!B1535</f>
        <v>контробеш</v>
      </c>
      <c r="C1529" s="2889" t="str">
        <f aca="false">'Смета Внутр'!C1535</f>
        <v>м2</v>
      </c>
      <c r="D1529" s="2890" t="n">
        <f aca="false">'Смета Внутр'!D1535</f>
        <v>191.474496270525</v>
      </c>
      <c r="E1529" s="2888"/>
      <c r="F1529" s="2895" t="n">
        <f aca="false">'Смета Внутр'!H1535</f>
        <v>0</v>
      </c>
    </row>
    <row r="1530" customFormat="false" ht="14.5" hidden="false" customHeight="false" outlineLevel="0" collapsed="false">
      <c r="B1530" s="2888" t="str">
        <f aca="false">'Смета Внутр'!B1536</f>
        <v>мембрана</v>
      </c>
      <c r="C1530" s="2889" t="str">
        <f aca="false">'Смета Внутр'!C1536</f>
        <v>м2</v>
      </c>
      <c r="D1530" s="2890" t="n">
        <f aca="false">'Смета Внутр'!D1536</f>
        <v>191.474496270525</v>
      </c>
      <c r="E1530" s="2888"/>
      <c r="F1530" s="2895" t="n">
        <f aca="false">'Смета Внутр'!H1536</f>
        <v>0</v>
      </c>
    </row>
    <row r="1531" customFormat="false" ht="14.5" hidden="false" customHeight="false" outlineLevel="0" collapsed="false">
      <c r="B1531" s="2888" t="str">
        <f aca="false">'Смета Внутр'!B1537</f>
        <v>пароизоляц</v>
      </c>
      <c r="C1531" s="2889" t="str">
        <f aca="false">'Смета Внутр'!C1537</f>
        <v>м2</v>
      </c>
      <c r="D1531" s="2890" t="n">
        <f aca="false">'Смета Внутр'!D1537</f>
        <v>191.474496270525</v>
      </c>
      <c r="E1531" s="2888"/>
      <c r="F1531" s="2895" t="n">
        <f aca="false">'Смета Внутр'!H1537</f>
        <v>0</v>
      </c>
    </row>
    <row r="1532" customFormat="false" ht="14.5" hidden="false" customHeight="false" outlineLevel="0" collapsed="false">
      <c r="B1532" s="2888" t="str">
        <f aca="false">'Смета Внутр'!B1538</f>
        <v>утеплитель</v>
      </c>
      <c r="C1532" s="2889" t="str">
        <f aca="false">'Смета Внутр'!C1538</f>
        <v>м2</v>
      </c>
      <c r="D1532" s="2890" t="n">
        <f aca="false">'Смета Внутр'!D1538</f>
        <v>191.474496270525</v>
      </c>
      <c r="E1532" s="2888"/>
      <c r="F1532" s="2895" t="n">
        <f aca="false">'Смета Внутр'!H1538</f>
        <v>0</v>
      </c>
    </row>
    <row r="1533" customFormat="false" ht="14.5" hidden="false" customHeight="false" outlineLevel="0" collapsed="false">
      <c r="B1533" s="2888" t="str">
        <f aca="false">'Смета Внутр'!B1539</f>
        <v>Монтаж металлочерепицы</v>
      </c>
      <c r="C1533" s="2889" t="str">
        <f aca="false">'Смета Внутр'!C1539</f>
        <v>м2</v>
      </c>
      <c r="D1533" s="2890" t="n">
        <f aca="false">'Смета Внутр'!D1539</f>
        <v>174.067723882296</v>
      </c>
      <c r="E1533" s="2888"/>
      <c r="F1533" s="2895" t="n">
        <f aca="false">'Смета Внутр'!H1539</f>
        <v>0</v>
      </c>
    </row>
    <row r="1534" customFormat="false" ht="14.5" hidden="false" customHeight="false" outlineLevel="0" collapsed="false">
      <c r="B1534" s="2888" t="str">
        <f aca="false">'Смета Внутр'!B1540</f>
        <v>Монтаж ондулина</v>
      </c>
      <c r="C1534" s="2889" t="str">
        <f aca="false">'Смета Внутр'!C1540</f>
        <v>м2</v>
      </c>
      <c r="D1534" s="2890" t="n">
        <f aca="false">'Смета Внутр'!D1540</f>
        <v>0</v>
      </c>
      <c r="E1534" s="2888"/>
      <c r="F1534" s="2895" t="n">
        <f aca="false">'Смета Внутр'!H1540</f>
        <v>0</v>
      </c>
    </row>
    <row r="1535" customFormat="false" ht="14.5" hidden="false" customHeight="false" outlineLevel="0" collapsed="false">
      <c r="B1535" s="2888" t="str">
        <f aca="false">'Смета Внутр'!B1541</f>
        <v>капельник планка</v>
      </c>
      <c r="C1535" s="2889" t="str">
        <f aca="false">'Смета Внутр'!C1541</f>
        <v>м.п.</v>
      </c>
      <c r="D1535" s="2890" t="n">
        <f aca="false">'Смета Внутр'!D1541</f>
        <v>88</v>
      </c>
      <c r="E1535" s="2888"/>
      <c r="F1535" s="2895" t="n">
        <f aca="false">'Смета Внутр'!H1541</f>
        <v>0</v>
      </c>
    </row>
    <row r="1536" customFormat="false" ht="14.5" hidden="false" customHeight="false" outlineLevel="0" collapsed="false">
      <c r="B1536" s="2888" t="str">
        <f aca="false">'Смета Внутр'!B1542</f>
        <v>желоб водосточный</v>
      </c>
      <c r="C1536" s="2889" t="str">
        <f aca="false">'Смета Внутр'!C1542</f>
        <v>м.п.</v>
      </c>
      <c r="D1536" s="2890" t="n">
        <f aca="false">'Смета Внутр'!D1542</f>
        <v>42</v>
      </c>
      <c r="E1536" s="2888"/>
      <c r="F1536" s="2895" t="n">
        <f aca="false">'Смета Внутр'!H1542</f>
        <v>0</v>
      </c>
    </row>
    <row r="1537" customFormat="false" ht="14.5" hidden="false" customHeight="false" outlineLevel="0" collapsed="false">
      <c r="B1537" s="2888" t="str">
        <f aca="false">'Смета Внутр'!B1543</f>
        <v>труба водосточная</v>
      </c>
      <c r="C1537" s="2889" t="str">
        <f aca="false">'Смета Внутр'!C1543</f>
        <v>м.п.</v>
      </c>
      <c r="D1537" s="2890" t="n">
        <f aca="false">'Смета Внутр'!D1543</f>
        <v>6.6</v>
      </c>
      <c r="E1537" s="2888"/>
      <c r="F1537" s="2895" t="n">
        <f aca="false">'Смета Внутр'!H1543</f>
        <v>0</v>
      </c>
    </row>
    <row r="1538" customFormat="false" ht="14.5" hidden="false" customHeight="false" outlineLevel="0" collapsed="false">
      <c r="B1538" s="2888" t="str">
        <f aca="false">'Смета Внутр'!B1544</f>
        <v>конек</v>
      </c>
      <c r="C1538" s="2889" t="str">
        <f aca="false">'Смета Внутр'!C1544</f>
        <v>м.п.</v>
      </c>
      <c r="D1538" s="2890" t="n">
        <f aca="false">'Смета Внутр'!D1544</f>
        <v>39.350000802913</v>
      </c>
      <c r="E1538" s="2888"/>
      <c r="F1538" s="2895" t="n">
        <f aca="false">'Смета Внутр'!H1544</f>
        <v>0</v>
      </c>
    </row>
    <row r="1539" customFormat="false" ht="14.5" hidden="false" customHeight="false" outlineLevel="0" collapsed="false">
      <c r="B1539" s="2888" t="str">
        <f aca="false">'Смета Внутр'!B1545</f>
        <v>Монтаж фанеры/osb</v>
      </c>
      <c r="C1539" s="2889" t="str">
        <f aca="false">'Смета Внутр'!C1545</f>
        <v>м2</v>
      </c>
      <c r="D1539" s="2890" t="n">
        <f aca="false">'Смета Внутр'!D1545</f>
        <v>0</v>
      </c>
      <c r="E1539" s="2888"/>
      <c r="F1539" s="2895" t="n">
        <f aca="false">'Смета Внутр'!H1545</f>
        <v>0</v>
      </c>
    </row>
    <row r="1540" customFormat="false" ht="14.5" hidden="false" customHeight="false" outlineLevel="0" collapsed="false">
      <c r="B1540" s="2888" t="str">
        <f aca="false">'Смета Внутр'!B1546</f>
        <v>монтаж подкладочного ковра</v>
      </c>
      <c r="C1540" s="2889" t="str">
        <f aca="false">'Смета Внутр'!C1546</f>
        <v>м2</v>
      </c>
      <c r="D1540" s="2890" t="n">
        <f aca="false">'Смета Внутр'!D1546</f>
        <v>0</v>
      </c>
      <c r="E1540" s="2888"/>
      <c r="F1540" s="2895" t="n">
        <f aca="false">'Смета Внутр'!H1546</f>
        <v>0</v>
      </c>
    </row>
    <row r="1541" customFormat="false" ht="14.5" hidden="false" customHeight="false" outlineLevel="0" collapsed="false">
      <c r="B1541" s="2888" t="str">
        <f aca="false">'Смета Внутр'!B1547</f>
        <v>Монтаж мягкой кровли</v>
      </c>
      <c r="C1541" s="2889" t="str">
        <f aca="false">'Смета Внутр'!C1547</f>
        <v>м2</v>
      </c>
      <c r="D1541" s="2890" t="n">
        <f aca="false">'Смета Внутр'!D1547</f>
        <v>0</v>
      </c>
      <c r="E1541" s="2888"/>
      <c r="F1541" s="2895" t="n">
        <f aca="false">'Смета Внутр'!H1547</f>
        <v>0</v>
      </c>
    </row>
    <row r="1542" customFormat="false" ht="14.5" hidden="false" customHeight="false" outlineLevel="0" collapsed="false">
      <c r="B1542" s="2896" t="str">
        <f aca="false">'Смета Внутр'!B1548</f>
        <v>Итого работы</v>
      </c>
      <c r="C1542" s="2896"/>
      <c r="D1542" s="2896"/>
      <c r="E1542" s="2896"/>
      <c r="F1542" s="2897" t="n">
        <f aca="false">'Смета Внутр'!G1548</f>
        <v>0</v>
      </c>
    </row>
    <row r="1543" customFormat="false" ht="18.5" hidden="false" customHeight="false" outlineLevel="0" collapsed="false">
      <c r="B1543" s="2899" t="str">
        <f aca="false">'Смета Внутр'!B1549</f>
        <v>Кровля Вальмовая ломаная</v>
      </c>
      <c r="C1543" s="2899"/>
      <c r="D1543" s="2899"/>
      <c r="E1543" s="2899"/>
      <c r="F1543" s="2893" t="n">
        <f aca="false">'Смета Внутр'!H1549</f>
        <v>0</v>
      </c>
    </row>
    <row r="1544" customFormat="false" ht="14.5" hidden="false" customHeight="false" outlineLevel="0" collapsed="false">
      <c r="B1544" s="2894" t="str">
        <f aca="false">'Смета Внутр'!B1550</f>
        <v>Материалы</v>
      </c>
      <c r="C1544" s="2894"/>
      <c r="D1544" s="2894"/>
      <c r="E1544" s="2894"/>
      <c r="F1544" s="2893" t="n">
        <f aca="false">'Смета Внутр'!H1550</f>
        <v>0</v>
      </c>
    </row>
    <row r="1545" customFormat="false" ht="14.5" hidden="false" customHeight="false" outlineLevel="0" collapsed="false">
      <c r="B1545" s="2888" t="str">
        <f aca="false">'Смета Внутр'!B1551</f>
        <v>нет</v>
      </c>
      <c r="C1545" s="2889" t="str">
        <f aca="false">'Смета Внутр'!C1551</f>
        <v>м3</v>
      </c>
      <c r="D1545" s="2890" t="n">
        <f aca="false">'Смета Внутр'!D1551</f>
        <v>0</v>
      </c>
      <c r="E1545" s="2888"/>
      <c r="F1545" s="2895" t="n">
        <f aca="false">'Смета Внутр'!H1551</f>
        <v>0</v>
      </c>
    </row>
    <row r="1546" customFormat="false" ht="14.5" hidden="false" customHeight="false" outlineLevel="0" collapsed="false">
      <c r="B1546" s="2888" t="str">
        <f aca="false">'Смета Внутр'!B1552</f>
        <v>Болты анкерные с гайкой 12,0 х 280</v>
      </c>
      <c r="C1546" s="2889" t="str">
        <f aca="false">'Смета Внутр'!C1552</f>
        <v>шт</v>
      </c>
      <c r="D1546" s="2890" t="n">
        <f aca="false">'Смета Внутр'!D1552</f>
        <v>139.092651273109</v>
      </c>
      <c r="E1546" s="2888"/>
      <c r="F1546" s="2895" t="n">
        <f aca="false">'Смета Внутр'!H1552</f>
        <v>0</v>
      </c>
    </row>
    <row r="1547" customFormat="false" ht="14.5" hidden="false" customHeight="false" outlineLevel="0" collapsed="false">
      <c r="B1547" s="2888" t="str">
        <f aca="false">'Смета Внутр'!B1553</f>
        <v>Доска сырая, 150*50мм</v>
      </c>
      <c r="C1547" s="2889" t="str">
        <f aca="false">'Смета Внутр'!C1553</f>
        <v>м3</v>
      </c>
      <c r="D1547" s="2890" t="n">
        <f aca="false">'Смета Внутр'!D1553</f>
        <v>4.68331574864359</v>
      </c>
      <c r="E1547" s="2888"/>
      <c r="F1547" s="2895" t="n">
        <f aca="false">'Смета Внутр'!H1553</f>
        <v>0</v>
      </c>
    </row>
    <row r="1548" customFormat="false" ht="14.5" hidden="false" customHeight="false" outlineLevel="0" collapsed="false">
      <c r="B1548" s="2888" t="str">
        <f aca="false">'Смета Внутр'!B1554</f>
        <v>бугель, доска</v>
      </c>
      <c r="C1548" s="2889" t="str">
        <f aca="false">'Смета Внутр'!C1554</f>
        <v>м3</v>
      </c>
      <c r="D1548" s="2890" t="n">
        <f aca="false">'Смета Внутр'!D1554</f>
        <v>0.495</v>
      </c>
      <c r="E1548" s="2888"/>
      <c r="F1548" s="2895" t="n">
        <f aca="false">'Смета Внутр'!H1554</f>
        <v>0</v>
      </c>
    </row>
    <row r="1549" customFormat="false" ht="14.5" hidden="false" customHeight="false" outlineLevel="0" collapsed="false">
      <c r="B1549" s="2888" t="str">
        <f aca="false">'Смета Внутр'!B1555</f>
        <v>стойка под конек</v>
      </c>
      <c r="C1549" s="2889" t="str">
        <f aca="false">'Смета Внутр'!C1555</f>
        <v>м3</v>
      </c>
      <c r="D1549" s="2890" t="n">
        <f aca="false">'Смета Внутр'!D1555</f>
        <v>0.15</v>
      </c>
      <c r="E1549" s="2888"/>
      <c r="F1549" s="2895" t="n">
        <f aca="false">'Смета Внутр'!H1555</f>
        <v>0</v>
      </c>
    </row>
    <row r="1550" customFormat="false" ht="14.5" hidden="false" customHeight="false" outlineLevel="0" collapsed="false">
      <c r="B1550" s="2888" t="str">
        <f aca="false">'Смета Внутр'!B1556</f>
        <v>Сосна влаж,100*25мм</v>
      </c>
      <c r="C1550" s="2889" t="str">
        <f aca="false">'Смета Внутр'!C1556</f>
        <v>м3</v>
      </c>
      <c r="D1550" s="2890" t="n">
        <f aca="false">'Смета Внутр'!D1556</f>
        <v>2.31889372866713</v>
      </c>
      <c r="E1550" s="2888"/>
      <c r="F1550" s="2895" t="n">
        <f aca="false">'Смета Внутр'!H1556</f>
        <v>0</v>
      </c>
    </row>
    <row r="1551" customFormat="false" ht="14.5" hidden="false" customHeight="false" outlineLevel="0" collapsed="false">
      <c r="B1551" s="2888" t="str">
        <f aca="false">'Смета Внутр'!B1557</f>
        <v>Доска сухая, калибр., 35*45мм</v>
      </c>
      <c r="C1551" s="2889" t="str">
        <f aca="false">'Смета Внутр'!C1557</f>
        <v>м3</v>
      </c>
      <c r="D1551" s="2890" t="n">
        <f aca="false">'Смета Внутр'!D1557</f>
        <v>0.87404455926684</v>
      </c>
      <c r="E1551" s="2888"/>
      <c r="F1551" s="2895" t="n">
        <f aca="false">'Смета Внутр'!H1557</f>
        <v>0</v>
      </c>
    </row>
    <row r="1552" customFormat="false" ht="14.5" hidden="false" customHeight="false" outlineLevel="0" collapsed="false">
      <c r="B1552" s="2888" t="str">
        <f aca="false">'Смета Внутр'!B1558</f>
        <v>Мембраны  Tyvek Housewrap</v>
      </c>
      <c r="C1552" s="2889" t="str">
        <f aca="false">'Смета Внутр'!C1558</f>
        <v>м2</v>
      </c>
      <c r="D1552" s="2890" t="n">
        <f aca="false">'Смета Внутр'!D1558</f>
        <v>332.969355911177</v>
      </c>
      <c r="E1552" s="2888"/>
      <c r="F1552" s="2895" t="n">
        <f aca="false">'Смета Внутр'!H1558</f>
        <v>0</v>
      </c>
    </row>
    <row r="1553" customFormat="false" ht="14.5" hidden="false" customHeight="false" outlineLevel="0" collapsed="false">
      <c r="B1553" s="2888" t="str">
        <f aca="false">'Смета Внутр'!B1559</f>
        <v>Мембрана Tyvek AirGuard Reflective</v>
      </c>
      <c r="C1553" s="2889" t="str">
        <f aca="false">'Смета Внутр'!C1559</f>
        <v>м2</v>
      </c>
      <c r="D1553" s="2890" t="n">
        <f aca="false">'Смета Внутр'!D1559</f>
        <v>332.969355911177</v>
      </c>
      <c r="E1553" s="2888"/>
      <c r="F1553" s="2895" t="n">
        <f aca="false">'Смета Внутр'!H1559</f>
        <v>0</v>
      </c>
    </row>
    <row r="1554" customFormat="false" ht="14.5" hidden="false" customHeight="false" outlineLevel="0" collapsed="false">
      <c r="B1554" s="2888" t="str">
        <f aca="false">'Смета Внутр'!B1560</f>
        <v>Плитный,28кг/м3, технониколь, 50мм</v>
      </c>
      <c r="C1554" s="2889" t="str">
        <f aca="false">'Смета Внутр'!C1560</f>
        <v>м3</v>
      </c>
      <c r="D1554" s="2890" t="n">
        <f aca="false">'Смета Внутр'!D1560</f>
        <v>11.8917627111135</v>
      </c>
      <c r="E1554" s="2888"/>
      <c r="F1554" s="2895" t="n">
        <f aca="false">'Смета Внутр'!H1560</f>
        <v>0</v>
      </c>
    </row>
    <row r="1555" customFormat="false" ht="14.5" hidden="false" customHeight="false" outlineLevel="0" collapsed="false">
      <c r="B1555" s="2888" t="str">
        <f aca="false">'Смета Внутр'!B1561</f>
        <v>металлочерепица</v>
      </c>
      <c r="C1555" s="2889" t="str">
        <f aca="false">'Смета Внутр'!C1561</f>
        <v>м2</v>
      </c>
      <c r="D1555" s="2890" t="n">
        <f aca="false">'Смета Внутр'!D1561</f>
        <v>332.969355911177</v>
      </c>
      <c r="E1555" s="2888"/>
      <c r="F1555" s="2895" t="n">
        <f aca="false">'Смета Внутр'!H1561</f>
        <v>0</v>
      </c>
    </row>
    <row r="1556" customFormat="false" ht="14.5" hidden="false" customHeight="false" outlineLevel="0" collapsed="false">
      <c r="B1556" s="2888" t="str">
        <f aca="false">'Смета Внутр'!B1562</f>
        <v>Карнизная планка</v>
      </c>
      <c r="C1556" s="2889" t="str">
        <f aca="false">'Смета Внутр'!C1562</f>
        <v>м.п.</v>
      </c>
      <c r="D1556" s="2890" t="n">
        <f aca="false">'Смета Внутр'!D1562</f>
        <v>62</v>
      </c>
      <c r="E1556" s="2888"/>
      <c r="F1556" s="2895" t="n">
        <f aca="false">'Смета Внутр'!H1562</f>
        <v>0</v>
      </c>
    </row>
    <row r="1557" customFormat="false" ht="14.5" hidden="false" customHeight="false" outlineLevel="0" collapsed="false">
      <c r="B1557" s="2888" t="str">
        <f aca="false">'Смета Внутр'!B1563</f>
        <v>Торцевая планка</v>
      </c>
      <c r="C1557" s="2889" t="str">
        <f aca="false">'Смета Внутр'!C1563</f>
        <v>м.п.</v>
      </c>
      <c r="D1557" s="2890" t="n">
        <f aca="false">'Смета Внутр'!D1563</f>
        <v>26.9072480941474</v>
      </c>
      <c r="E1557" s="2888"/>
      <c r="F1557" s="2895" t="n">
        <f aca="false">'Смета Внутр'!H1563</f>
        <v>0</v>
      </c>
    </row>
    <row r="1558" customFormat="false" ht="14.5" hidden="false" customHeight="false" outlineLevel="0" collapsed="false">
      <c r="B1558" s="2888" t="str">
        <f aca="false">'Смета Внутр'!B1564</f>
        <v>Конек</v>
      </c>
      <c r="C1558" s="2889" t="str">
        <f aca="false">'Смета Внутр'!C1564</f>
        <v>м.п.</v>
      </c>
      <c r="D1558" s="2890" t="n">
        <f aca="false">'Смета Внутр'!D1564</f>
        <v>39.7787287881817</v>
      </c>
      <c r="E1558" s="2888"/>
      <c r="F1558" s="2895" t="n">
        <f aca="false">'Смета Внутр'!H1564</f>
        <v>0</v>
      </c>
    </row>
    <row r="1559" customFormat="false" ht="14.5" hidden="false" customHeight="false" outlineLevel="0" collapsed="false">
      <c r="B1559" s="2888" t="str">
        <f aca="false">'Смета Внутр'!B1565</f>
        <v>ондулин</v>
      </c>
      <c r="C1559" s="2889" t="str">
        <f aca="false">'Смета Внутр'!C1565</f>
        <v>м2</v>
      </c>
      <c r="D1559" s="2890" t="n">
        <f aca="false">'Смета Внутр'!D1565</f>
        <v>0</v>
      </c>
      <c r="E1559" s="2888"/>
      <c r="F1559" s="2895" t="n">
        <f aca="false">'Смета Внутр'!H1565</f>
        <v>0</v>
      </c>
    </row>
    <row r="1560" customFormat="false" ht="14.5" hidden="false" customHeight="false" outlineLevel="0" collapsed="false">
      <c r="B1560" s="2888" t="str">
        <f aca="false">'Смета Внутр'!B1566</f>
        <v>Карнизная планка</v>
      </c>
      <c r="C1560" s="2889" t="str">
        <f aca="false">'Смета Внутр'!C1566</f>
        <v>м.п.</v>
      </c>
      <c r="D1560" s="2890" t="n">
        <f aca="false">'Смета Внутр'!D1566</f>
        <v>0</v>
      </c>
      <c r="E1560" s="2888"/>
      <c r="F1560" s="2895" t="n">
        <f aca="false">'Смета Внутр'!H1566</f>
        <v>0</v>
      </c>
    </row>
    <row r="1561" customFormat="false" ht="14.5" hidden="false" customHeight="false" outlineLevel="0" collapsed="false">
      <c r="B1561" s="2888" t="str">
        <f aca="false">'Смета Внутр'!B1567</f>
        <v>Торцевая планка</v>
      </c>
      <c r="C1561" s="2889" t="str">
        <f aca="false">'Смета Внутр'!C1567</f>
        <v>м.п.</v>
      </c>
      <c r="D1561" s="2890" t="n">
        <f aca="false">'Смета Внутр'!D1567</f>
        <v>0</v>
      </c>
      <c r="E1561" s="2888"/>
      <c r="F1561" s="2895" t="n">
        <f aca="false">'Смета Внутр'!H1567</f>
        <v>0</v>
      </c>
    </row>
    <row r="1562" customFormat="false" ht="14.5" hidden="false" customHeight="false" outlineLevel="0" collapsed="false">
      <c r="B1562" s="2888" t="str">
        <f aca="false">'Смета Внутр'!B1568</f>
        <v>Конек</v>
      </c>
      <c r="C1562" s="2889" t="str">
        <f aca="false">'Смета Внутр'!C1568</f>
        <v>м.п.</v>
      </c>
      <c r="D1562" s="2890" t="n">
        <f aca="false">'Смета Внутр'!D1568</f>
        <v>0</v>
      </c>
      <c r="E1562" s="2888"/>
      <c r="F1562" s="2895" t="n">
        <f aca="false">'Смета Внутр'!H1568</f>
        <v>0</v>
      </c>
    </row>
    <row r="1563" customFormat="false" ht="14.5" hidden="false" customHeight="false" outlineLevel="0" collapsed="false">
      <c r="B1563" s="2888" t="str">
        <f aca="false">'Смета Внутр'!B1569</f>
        <v>Ендова нижняя</v>
      </c>
      <c r="C1563" s="2889" t="str">
        <f aca="false">'Смета Внутр'!C1569</f>
        <v>м.п.</v>
      </c>
      <c r="D1563" s="2890" t="n">
        <f aca="false">'Смета Внутр'!D1569</f>
        <v>0</v>
      </c>
      <c r="E1563" s="2888"/>
      <c r="F1563" s="2895" t="n">
        <f aca="false">'Смета Внутр'!H1569</f>
        <v>0</v>
      </c>
    </row>
    <row r="1564" customFormat="false" ht="14.5" hidden="false" customHeight="false" outlineLevel="0" collapsed="false">
      <c r="B1564" s="2888" t="str">
        <f aca="false">'Смета Внутр'!B1570</f>
        <v>Ендова верхняя</v>
      </c>
      <c r="C1564" s="2889" t="str">
        <f aca="false">'Смета Внутр'!C1570</f>
        <v>м.п.</v>
      </c>
      <c r="D1564" s="2890" t="n">
        <f aca="false">'Смета Внутр'!D1570</f>
        <v>0</v>
      </c>
      <c r="E1564" s="2888"/>
      <c r="F1564" s="2895" t="n">
        <f aca="false">'Смета Внутр'!H1570</f>
        <v>0</v>
      </c>
    </row>
    <row r="1565" customFormat="false" ht="14.5" hidden="false" customHeight="false" outlineLevel="0" collapsed="false">
      <c r="B1565" s="2888" t="str">
        <f aca="false">'Смета Внутр'!B1571</f>
        <v>Планка примыкания</v>
      </c>
      <c r="C1565" s="2889" t="str">
        <f aca="false">'Смета Внутр'!C1571</f>
        <v>м.п.</v>
      </c>
      <c r="D1565" s="2890" t="n">
        <f aca="false">'Смета Внутр'!D1571</f>
        <v>0</v>
      </c>
      <c r="E1565" s="2888"/>
      <c r="F1565" s="2895" t="n">
        <f aca="false">'Смета Внутр'!H1571</f>
        <v>0</v>
      </c>
    </row>
    <row r="1566" customFormat="false" ht="14.5" hidden="false" customHeight="false" outlineLevel="0" collapsed="false">
      <c r="B1566" s="2888" t="str">
        <f aca="false">'Смета Внутр'!B1572</f>
        <v>Крепеж для ондулина</v>
      </c>
      <c r="C1566" s="2889" t="str">
        <f aca="false">'Смета Внутр'!C1572</f>
        <v>шт</v>
      </c>
      <c r="D1566" s="2890" t="n">
        <f aca="false">'Смета Внутр'!D1572</f>
        <v>0</v>
      </c>
      <c r="E1566" s="2888"/>
      <c r="F1566" s="2895" t="n">
        <f aca="false">'Смета Внутр'!H1572</f>
        <v>0</v>
      </c>
    </row>
    <row r="1567" customFormat="false" ht="14.5" hidden="false" customHeight="false" outlineLevel="0" collapsed="false">
      <c r="B1567" s="2888" t="str">
        <f aca="false">'Смета Внутр'!B1573</f>
        <v>нет</v>
      </c>
      <c r="C1567" s="2889" t="str">
        <f aca="false">'Смета Внутр'!C1573</f>
        <v>м2</v>
      </c>
      <c r="D1567" s="2890" t="n">
        <f aca="false">'Смета Внутр'!D1573</f>
        <v>273.51054235561</v>
      </c>
      <c r="E1567" s="2888"/>
      <c r="F1567" s="2895" t="n">
        <f aca="false">'Смета Внутр'!H1573</f>
        <v>0</v>
      </c>
    </row>
    <row r="1568" customFormat="false" ht="14.5" hidden="false" customHeight="false" outlineLevel="0" collapsed="false">
      <c r="B1568" s="2888" t="str">
        <f aca="false">'Смета Внутр'!B1574</f>
        <v>Рядовая черепица</v>
      </c>
      <c r="C1568" s="2889" t="str">
        <f aca="false">'Смета Внутр'!C1574</f>
        <v>м2</v>
      </c>
      <c r="D1568" s="2890" t="n">
        <f aca="false">'Смета Внутр'!D1574</f>
        <v>0</v>
      </c>
      <c r="E1568" s="2888"/>
      <c r="F1568" s="2895" t="n">
        <f aca="false">'Смета Внутр'!H1574</f>
        <v>0</v>
      </c>
    </row>
    <row r="1569" customFormat="false" ht="14.5" hidden="false" customHeight="false" outlineLevel="0" collapsed="false">
      <c r="B1569" s="2888" t="str">
        <f aca="false">'Смета Внутр'!B1575</f>
        <v>Металл оцинк защита (карниз)</v>
      </c>
      <c r="C1569" s="2889" t="str">
        <f aca="false">'Смета Внутр'!C1575</f>
        <v>м.п.</v>
      </c>
      <c r="D1569" s="2890" t="n">
        <f aca="false">'Смета Внутр'!D1575</f>
        <v>0</v>
      </c>
      <c r="E1569" s="2888"/>
      <c r="F1569" s="2895" t="n">
        <f aca="false">'Смета Внутр'!H1575</f>
        <v>0</v>
      </c>
    </row>
    <row r="1570" customFormat="false" ht="14.5" hidden="false" customHeight="false" outlineLevel="0" collapsed="false">
      <c r="B1570" s="2888" t="str">
        <f aca="false">'Смета Внутр'!B1576</f>
        <v>Подкладочный ковер</v>
      </c>
      <c r="C1570" s="2889" t="str">
        <f aca="false">'Смета Внутр'!C1576</f>
        <v>м.п.</v>
      </c>
      <c r="D1570" s="2890" t="n">
        <f aca="false">'Смета Внутр'!D1576</f>
        <v>0</v>
      </c>
      <c r="E1570" s="2888"/>
      <c r="F1570" s="2895" t="n">
        <f aca="false">'Смета Внутр'!H1576</f>
        <v>0</v>
      </c>
    </row>
    <row r="1571" customFormat="false" ht="14.5" hidden="false" customHeight="false" outlineLevel="0" collapsed="false">
      <c r="B1571" s="2888" t="str">
        <f aca="false">'Смета Внутр'!B1577</f>
        <v>Карнизная самоклеющаяся черепица</v>
      </c>
      <c r="C1571" s="2889" t="str">
        <f aca="false">'Смета Внутр'!C1577</f>
        <v>м.п.</v>
      </c>
      <c r="D1571" s="2890" t="n">
        <f aca="false">'Смета Внутр'!D1577</f>
        <v>0</v>
      </c>
      <c r="E1571" s="2888"/>
      <c r="F1571" s="2895" t="n">
        <f aca="false">'Смета Внутр'!H1577</f>
        <v>0</v>
      </c>
    </row>
    <row r="1572" customFormat="false" ht="14.5" hidden="false" customHeight="false" outlineLevel="0" collapsed="false">
      <c r="B1572" s="2888" t="str">
        <f aca="false">'Смета Внутр'!B1578</f>
        <v>Спец ковер ендова нижняя</v>
      </c>
      <c r="C1572" s="2889" t="str">
        <f aca="false">'Смета Внутр'!C1578</f>
        <v>м.п.</v>
      </c>
      <c r="D1572" s="2890" t="n">
        <f aca="false">'Смета Внутр'!D1578</f>
        <v>0</v>
      </c>
      <c r="E1572" s="2888"/>
      <c r="F1572" s="2895" t="n">
        <f aca="false">'Смета Внутр'!H1578</f>
        <v>0</v>
      </c>
    </row>
    <row r="1573" customFormat="false" ht="14.5" hidden="false" customHeight="false" outlineLevel="0" collapsed="false">
      <c r="B1573" s="2888" t="str">
        <f aca="false">'Смета Внутр'!B1579</f>
        <v>Коньковой элемент</v>
      </c>
      <c r="C1573" s="2889" t="str">
        <f aca="false">'Смета Внутр'!C1579</f>
        <v>м.п.</v>
      </c>
      <c r="D1573" s="2890" t="n">
        <f aca="false">'Смета Внутр'!D1579</f>
        <v>0</v>
      </c>
      <c r="E1573" s="2888"/>
      <c r="F1573" s="2895" t="n">
        <f aca="false">'Смета Внутр'!H1579</f>
        <v>0</v>
      </c>
    </row>
    <row r="1574" customFormat="false" ht="14.5" hidden="false" customHeight="false" outlineLevel="0" collapsed="false">
      <c r="B1574" s="2888" t="str">
        <f aca="false">'Смета Внутр'!B1580</f>
        <v>Планка премыкания</v>
      </c>
      <c r="C1574" s="2889" t="str">
        <f aca="false">'Смета Внутр'!C1580</f>
        <v>м.п.</v>
      </c>
      <c r="D1574" s="2890" t="n">
        <f aca="false">'Смета Внутр'!D1580</f>
        <v>0</v>
      </c>
      <c r="E1574" s="2888"/>
      <c r="F1574" s="2895" t="n">
        <f aca="false">'Смета Внутр'!H1580</f>
        <v>0</v>
      </c>
    </row>
    <row r="1575" customFormat="false" ht="14.5" hidden="false" customHeight="false" outlineLevel="0" collapsed="false">
      <c r="B1575" s="2888" t="str">
        <f aca="false">'Смета Внутр'!B1581</f>
        <v>Гвозди для крепления подкладочного ковра</v>
      </c>
      <c r="C1575" s="2889" t="str">
        <f aca="false">'Смета Внутр'!C1581</f>
        <v>шт</v>
      </c>
      <c r="D1575" s="2890" t="n">
        <f aca="false">'Смета Внутр'!D1581</f>
        <v>0</v>
      </c>
      <c r="E1575" s="2888"/>
      <c r="F1575" s="2895" t="n">
        <f aca="false">'Смета Внутр'!H1581</f>
        <v>0</v>
      </c>
    </row>
    <row r="1576" customFormat="false" ht="14.5" hidden="false" customHeight="false" outlineLevel="0" collapsed="false">
      <c r="B1576" s="2888" t="str">
        <f aca="false">'Смета Внутр'!B1582</f>
        <v>Гвозди для крепления черепицы</v>
      </c>
      <c r="C1576" s="2889" t="str">
        <f aca="false">'Смета Внутр'!C1582</f>
        <v>шт</v>
      </c>
      <c r="D1576" s="2890" t="n">
        <f aca="false">'Смета Внутр'!D1582</f>
        <v>0</v>
      </c>
      <c r="E1576" s="2888"/>
      <c r="F1576" s="2895" t="n">
        <f aca="false">'Смета Внутр'!H1582</f>
        <v>0</v>
      </c>
    </row>
    <row r="1577" customFormat="false" ht="14.5" hidden="false" customHeight="false" outlineLevel="0" collapsed="false">
      <c r="B1577" s="2888" t="str">
        <f aca="false">'Смета Внутр'!B1583</f>
        <v>Клей для монтажа черепицы</v>
      </c>
      <c r="C1577" s="2889" t="str">
        <f aca="false">'Смета Внутр'!C1583</f>
        <v>кг</v>
      </c>
      <c r="D1577" s="2890" t="n">
        <f aca="false">'Смета Внутр'!D1583</f>
        <v>0</v>
      </c>
      <c r="E1577" s="2888"/>
      <c r="F1577" s="2895" t="n">
        <f aca="false">'Смета Внутр'!H1583</f>
        <v>0</v>
      </c>
    </row>
    <row r="1578" customFormat="false" ht="14.5" hidden="false" customHeight="false" outlineLevel="0" collapsed="false">
      <c r="B1578" s="2888" t="str">
        <f aca="false">'Смета Внутр'!B1584</f>
        <v>желоб</v>
      </c>
      <c r="C1578" s="2889" t="str">
        <f aca="false">'Смета Внутр'!C1584</f>
        <v>м.п</v>
      </c>
      <c r="D1578" s="2890" t="n">
        <f aca="false">'Смета Внутр'!D1584</f>
        <v>51.6666666666667</v>
      </c>
      <c r="E1578" s="2888"/>
      <c r="F1578" s="2895" t="n">
        <f aca="false">'Смета Внутр'!H1584</f>
        <v>0</v>
      </c>
    </row>
    <row r="1579" customFormat="false" ht="14.5" hidden="false" customHeight="false" outlineLevel="0" collapsed="false">
      <c r="B1579" s="2888" t="str">
        <f aca="false">'Смета Внутр'!B1585</f>
        <v>отвод</v>
      </c>
      <c r="C1579" s="2889" t="str">
        <f aca="false">'Смета Внутр'!C1585</f>
        <v>шт</v>
      </c>
      <c r="D1579" s="2890" t="n">
        <f aca="false">'Смета Внутр'!D1585</f>
        <v>4</v>
      </c>
      <c r="E1579" s="2888"/>
      <c r="F1579" s="2895" t="n">
        <f aca="false">'Смета Внутр'!H1585</f>
        <v>0</v>
      </c>
    </row>
    <row r="1580" customFormat="false" ht="14.5" hidden="false" customHeight="false" outlineLevel="0" collapsed="false">
      <c r="B1580" s="2888" t="str">
        <f aca="false">'Смета Внутр'!B1586</f>
        <v>труба водосточная</v>
      </c>
      <c r="C1580" s="2889" t="str">
        <f aca="false">'Смета Внутр'!C1586</f>
        <v>м.п.</v>
      </c>
      <c r="D1580" s="2890" t="n">
        <f aca="false">'Смета Внутр'!D1586</f>
        <v>62</v>
      </c>
      <c r="E1580" s="2888"/>
      <c r="F1580" s="2895" t="n">
        <f aca="false">'Смета Внутр'!H1586</f>
        <v>0</v>
      </c>
    </row>
    <row r="1581" customFormat="false" ht="14.5" hidden="false" customHeight="false" outlineLevel="0" collapsed="false">
      <c r="B1581" s="2888" t="str">
        <f aca="false">'Смета Внутр'!B1587</f>
        <v>заглушка для желоба</v>
      </c>
      <c r="C1581" s="2889" t="str">
        <f aca="false">'Смета Внутр'!C1587</f>
        <v>шт</v>
      </c>
      <c r="D1581" s="2890" t="n">
        <f aca="false">'Смета Внутр'!D1587</f>
        <v>4</v>
      </c>
      <c r="E1581" s="2888"/>
      <c r="F1581" s="2895" t="n">
        <f aca="false">'Смета Внутр'!H1587</f>
        <v>0</v>
      </c>
    </row>
    <row r="1582" customFormat="false" ht="14.5" hidden="false" customHeight="false" outlineLevel="0" collapsed="false">
      <c r="B1582" s="2888" t="str">
        <f aca="false">'Смета Внутр'!B1588</f>
        <v>соеденитель для желоба</v>
      </c>
      <c r="C1582" s="2889" t="str">
        <f aca="false">'Смета Внутр'!C1588</f>
        <v>шт</v>
      </c>
      <c r="D1582" s="2890" t="n">
        <f aca="false">'Смета Внутр'!D1588</f>
        <v>18.2222222222222</v>
      </c>
      <c r="E1582" s="2888"/>
      <c r="F1582" s="2895" t="n">
        <f aca="false">'Смета Внутр'!H1588</f>
        <v>0</v>
      </c>
    </row>
    <row r="1583" customFormat="false" ht="14.5" hidden="false" customHeight="false" outlineLevel="0" collapsed="false">
      <c r="B1583" s="2888" t="str">
        <f aca="false">'Смета Внутр'!B1589</f>
        <v>кронштейн для желоба</v>
      </c>
      <c r="C1583" s="2889" t="str">
        <f aca="false">'Смета Внутр'!C1589</f>
        <v>шт</v>
      </c>
      <c r="D1583" s="2890" t="n">
        <f aca="false">'Смета Внутр'!D1589</f>
        <v>129.166666666667</v>
      </c>
      <c r="E1583" s="2888"/>
      <c r="F1583" s="2895" t="n">
        <f aca="false">'Смета Внутр'!H1589</f>
        <v>0</v>
      </c>
    </row>
    <row r="1584" customFormat="false" ht="14.5" hidden="false" customHeight="false" outlineLevel="0" collapsed="false">
      <c r="B1584" s="2888" t="str">
        <f aca="false">'Смета Внутр'!B1590</f>
        <v>переход из желоба в трубу</v>
      </c>
      <c r="C1584" s="2889" t="str">
        <f aca="false">'Смета Внутр'!C1590</f>
        <v>шт</v>
      </c>
      <c r="D1584" s="2890" t="n">
        <f aca="false">'Смета Внутр'!D1590</f>
        <v>4</v>
      </c>
      <c r="E1584" s="2888"/>
      <c r="F1584" s="2895" t="n">
        <f aca="false">'Смета Внутр'!H1590</f>
        <v>0</v>
      </c>
    </row>
    <row r="1585" customFormat="false" ht="14.5" hidden="false" customHeight="false" outlineLevel="0" collapsed="false">
      <c r="B1585" s="2888" t="str">
        <f aca="false">'Смета Внутр'!B1591</f>
        <v>лента дельта мульти бэнд</v>
      </c>
      <c r="C1585" s="2889" t="str">
        <f aca="false">'Смета Внутр'!C1591</f>
        <v>шт</v>
      </c>
      <c r="D1585" s="2890" t="n">
        <f aca="false">'Смета Внутр'!D1591</f>
        <v>1</v>
      </c>
      <c r="E1585" s="2888"/>
      <c r="F1585" s="2895" t="n">
        <f aca="false">'Смета Внутр'!H1591</f>
        <v>0</v>
      </c>
    </row>
    <row r="1586" customFormat="false" ht="14.5" hidden="false" customHeight="false" outlineLevel="0" collapsed="false">
      <c r="B1586" s="2888" t="str">
        <f aca="false">'Смета Внутр'!B1592</f>
        <v>лента дельта sb-60</v>
      </c>
      <c r="C1586" s="2889" t="str">
        <f aca="false">'Смета Внутр'!C1592</f>
        <v>шт</v>
      </c>
      <c r="D1586" s="2890" t="n">
        <f aca="false">'Смета Внутр'!D1592</f>
        <v>15.855683614818</v>
      </c>
      <c r="E1586" s="2888"/>
      <c r="F1586" s="2895" t="n">
        <f aca="false">'Смета Внутр'!H1592</f>
        <v>0</v>
      </c>
    </row>
    <row r="1587" customFormat="false" ht="14.5" hidden="false" customHeight="false" outlineLevel="0" collapsed="false">
      <c r="B1587" s="2888" t="str">
        <f aca="false">'Смета Внутр'!B1593</f>
        <v>проходка кровельная, канализационная</v>
      </c>
      <c r="C1587" s="2889" t="str">
        <f aca="false">'Смета Внутр'!C1593</f>
        <v>шт</v>
      </c>
      <c r="D1587" s="2890" t="n">
        <f aca="false">'Смета Внутр'!D1593</f>
        <v>0</v>
      </c>
      <c r="E1587" s="2888"/>
      <c r="F1587" s="2895" t="n">
        <f aca="false">'Смета Внутр'!H1593</f>
        <v>0</v>
      </c>
    </row>
    <row r="1588" customFormat="false" ht="14.5" hidden="false" customHeight="false" outlineLevel="0" collapsed="false">
      <c r="B1588" s="2888" t="str">
        <f aca="false">'Смета Внутр'!B1594</f>
        <v>проходка кровельная, вентиляционная</v>
      </c>
      <c r="C1588" s="2889" t="str">
        <f aca="false">'Смета Внутр'!C1594</f>
        <v>шт</v>
      </c>
      <c r="D1588" s="2890" t="n">
        <f aca="false">'Смета Внутр'!D1594</f>
        <v>0</v>
      </c>
      <c r="E1588" s="2888"/>
      <c r="F1588" s="2895" t="n">
        <f aca="false">'Смета Внутр'!H1594</f>
        <v>0</v>
      </c>
    </row>
    <row r="1589" customFormat="false" ht="14.5" hidden="false" customHeight="false" outlineLevel="0" collapsed="false">
      <c r="B1589" s="2888" t="str">
        <f aca="false">'Смета Внутр'!B1595</f>
        <v>проодка кровельная, труба котел</v>
      </c>
      <c r="C1589" s="2889" t="str">
        <f aca="false">'Смета Внутр'!C1595</f>
        <v>шт</v>
      </c>
      <c r="D1589" s="2890" t="n">
        <f aca="false">'Смета Внутр'!D1595</f>
        <v>0</v>
      </c>
      <c r="E1589" s="2888"/>
      <c r="F1589" s="2895" t="n">
        <f aca="false">'Смета Внутр'!H1595</f>
        <v>0</v>
      </c>
    </row>
    <row r="1590" customFormat="false" ht="14.5" hidden="false" customHeight="false" outlineLevel="0" collapsed="false">
      <c r="B1590" s="2888" t="str">
        <f aca="false">'Смета Внутр'!B1596</f>
        <v>Кровельный саморез</v>
      </c>
      <c r="C1590" s="2889" t="str">
        <f aca="false">'Смета Внутр'!C1596</f>
        <v>шт</v>
      </c>
      <c r="D1590" s="2890" t="n">
        <f aca="false">'Смета Внутр'!D1596</f>
        <v>2854.02305066723</v>
      </c>
      <c r="E1590" s="2888"/>
      <c r="F1590" s="2895" t="n">
        <f aca="false">'Смета Внутр'!H1596</f>
        <v>0</v>
      </c>
    </row>
    <row r="1591" customFormat="false" ht="14.5" hidden="false" customHeight="false" outlineLevel="0" collapsed="false">
      <c r="B1591" s="2888" t="str">
        <f aca="false">'Смета Внутр'!B1597</f>
        <v>Гвозди ершоные 3,4 x 60</v>
      </c>
      <c r="C1591" s="2889" t="str">
        <f aca="false">'Смета Внутр'!C1597</f>
        <v>кг</v>
      </c>
      <c r="D1591" s="2890" t="n">
        <f aca="false">'Смета Внутр'!D1597</f>
        <v>23.1889372866713</v>
      </c>
      <c r="E1591" s="2888"/>
      <c r="F1591" s="2895" t="n">
        <f aca="false">'Смета Внутр'!H1597</f>
        <v>0</v>
      </c>
    </row>
    <row r="1592" customFormat="false" ht="14.5" hidden="false" customHeight="false" outlineLevel="0" collapsed="false">
      <c r="B1592" s="2888" t="str">
        <f aca="false">'Смета Внутр'!B1598</f>
        <v>Гвозди ершоные 2,8 х 90</v>
      </c>
      <c r="C1592" s="2889" t="str">
        <f aca="false">'Смета Внутр'!C1598</f>
        <v>кг</v>
      </c>
      <c r="D1592" s="2890" t="n">
        <f aca="false">'Смета Внутр'!D1598</f>
        <v>31.9698944918615</v>
      </c>
      <c r="E1592" s="2888"/>
      <c r="F1592" s="2895" t="n">
        <f aca="false">'Смета Внутр'!H1598</f>
        <v>0</v>
      </c>
    </row>
    <row r="1593" customFormat="false" ht="14.5" hidden="false" customHeight="false" outlineLevel="0" collapsed="false">
      <c r="B1593" s="2888" t="str">
        <f aca="false">'Смета Внутр'!B1599</f>
        <v>Пластина соеденительная 100х240х2</v>
      </c>
      <c r="C1593" s="2889" t="str">
        <f aca="false">'Смета Внутр'!C1599</f>
        <v>шт</v>
      </c>
      <c r="D1593" s="2890" t="n">
        <f aca="false">'Смета Внутр'!D1599</f>
        <v>33.9764648888956</v>
      </c>
      <c r="E1593" s="2888"/>
      <c r="F1593" s="2895" t="n">
        <f aca="false">'Смета Внутр'!H1599</f>
        <v>0</v>
      </c>
    </row>
    <row r="1594" customFormat="false" ht="14.5" hidden="false" customHeight="false" outlineLevel="0" collapsed="false">
      <c r="B1594" s="2888" t="str">
        <f aca="false">'Смета Внутр'!B1600</f>
        <v>Уголок усиленный 90х70х55х2,5</v>
      </c>
      <c r="C1594" s="2889" t="str">
        <f aca="false">'Смета Внутр'!C1600</f>
        <v>шт</v>
      </c>
      <c r="D1594" s="2890" t="n">
        <f aca="false">'Смета Внутр'!D1600</f>
        <v>475.670508444539</v>
      </c>
      <c r="E1594" s="2888"/>
      <c r="F1594" s="2895" t="n">
        <f aca="false">'Смета Внутр'!H1600</f>
        <v>0</v>
      </c>
    </row>
    <row r="1595" customFormat="false" ht="14.5" hidden="false" customHeight="false" outlineLevel="0" collapsed="false">
      <c r="B1595" s="2896" t="str">
        <f aca="false">'Смета Внутр'!B1601</f>
        <v>Итого материалы</v>
      </c>
      <c r="C1595" s="2896"/>
      <c r="D1595" s="2896"/>
      <c r="E1595" s="2896"/>
      <c r="F1595" s="2897" t="n">
        <f aca="false">'Смета Внутр'!G1601</f>
        <v>0</v>
      </c>
    </row>
    <row r="1596" customFormat="false" ht="14.5" hidden="false" customHeight="false" outlineLevel="0" collapsed="false">
      <c r="B1596" s="2898" t="str">
        <f aca="false">'Смета Внутр'!B1602</f>
        <v>Работы</v>
      </c>
      <c r="C1596" s="2898"/>
      <c r="D1596" s="2898"/>
      <c r="E1596" s="2898"/>
      <c r="F1596" s="2893" t="n">
        <f aca="false">'Смета Внутр'!H1602</f>
        <v>0</v>
      </c>
    </row>
    <row r="1597" customFormat="false" ht="14.5" hidden="false" customHeight="false" outlineLevel="0" collapsed="false">
      <c r="B1597" s="2888" t="str">
        <f aca="false">'Смета Внутр'!B1603</f>
        <v>монтаж мауэрлат</v>
      </c>
      <c r="C1597" s="2889" t="str">
        <f aca="false">'Смета Внутр'!C1603</f>
        <v>м.п.</v>
      </c>
      <c r="D1597" s="2890" t="n">
        <f aca="false">'Смета Внутр'!D1603</f>
        <v>139.092651273109</v>
      </c>
      <c r="E1597" s="2888"/>
      <c r="F1597" s="2895" t="n">
        <f aca="false">'Смета Внутр'!H1603</f>
        <v>0</v>
      </c>
    </row>
    <row r="1598" customFormat="false" ht="14.5" hidden="false" customHeight="false" outlineLevel="0" collapsed="false">
      <c r="B1598" s="2888" t="str">
        <f aca="false">'Смета Внутр'!B1604</f>
        <v>монтаж стропил</v>
      </c>
      <c r="C1598" s="2889" t="str">
        <f aca="false">'Смета Внутр'!C1604</f>
        <v>м2</v>
      </c>
      <c r="D1598" s="2890" t="n">
        <f aca="false">'Смета Внутр'!D1604</f>
        <v>237.835254222269</v>
      </c>
      <c r="E1598" s="2888"/>
      <c r="F1598" s="2895" t="n">
        <f aca="false">'Смета Внутр'!H1604</f>
        <v>0</v>
      </c>
    </row>
    <row r="1599" customFormat="false" ht="14.5" hidden="false" customHeight="false" outlineLevel="0" collapsed="false">
      <c r="B1599" s="2888" t="str">
        <f aca="false">'Смета Внутр'!B1605</f>
        <v>обрешетка</v>
      </c>
      <c r="C1599" s="2889" t="str">
        <f aca="false">'Смета Внутр'!C1605</f>
        <v>м2</v>
      </c>
      <c r="D1599" s="2890" t="n">
        <f aca="false">'Смета Внутр'!D1605</f>
        <v>237.835254222269</v>
      </c>
      <c r="E1599" s="2888"/>
      <c r="F1599" s="2895" t="n">
        <f aca="false">'Смета Внутр'!H1605</f>
        <v>0</v>
      </c>
    </row>
    <row r="1600" customFormat="false" ht="14.5" hidden="false" customHeight="false" outlineLevel="0" collapsed="false">
      <c r="B1600" s="2888" t="str">
        <f aca="false">'Смета Внутр'!B1606</f>
        <v>контробеш</v>
      </c>
      <c r="C1600" s="2889" t="str">
        <f aca="false">'Смета Внутр'!C1606</f>
        <v>м2</v>
      </c>
      <c r="D1600" s="2890" t="n">
        <f aca="false">'Смета Внутр'!D1606</f>
        <v>237.835254222269</v>
      </c>
      <c r="E1600" s="2888"/>
      <c r="F1600" s="2895" t="n">
        <f aca="false">'Смета Внутр'!H1606</f>
        <v>0</v>
      </c>
    </row>
    <row r="1601" customFormat="false" ht="14.5" hidden="false" customHeight="false" outlineLevel="0" collapsed="false">
      <c r="B1601" s="2888" t="str">
        <f aca="false">'Смета Внутр'!B1607</f>
        <v>мембрана</v>
      </c>
      <c r="C1601" s="2889" t="str">
        <f aca="false">'Смета Внутр'!C1607</f>
        <v>м2</v>
      </c>
      <c r="D1601" s="2890" t="n">
        <f aca="false">'Смета Внутр'!D1607</f>
        <v>237.835254222269</v>
      </c>
      <c r="E1601" s="2888"/>
      <c r="F1601" s="2895" t="n">
        <f aca="false">'Смета Внутр'!H1607</f>
        <v>0</v>
      </c>
    </row>
    <row r="1602" customFormat="false" ht="14.5" hidden="false" customHeight="false" outlineLevel="0" collapsed="false">
      <c r="B1602" s="2888" t="str">
        <f aca="false">'Смета Внутр'!B1608</f>
        <v>пароизоляц</v>
      </c>
      <c r="C1602" s="2889" t="str">
        <f aca="false">'Смета Внутр'!C1608</f>
        <v>м2</v>
      </c>
      <c r="D1602" s="2890" t="n">
        <f aca="false">'Смета Внутр'!D1608</f>
        <v>237.835254222269</v>
      </c>
      <c r="E1602" s="2888"/>
      <c r="F1602" s="2895" t="n">
        <f aca="false">'Смета Внутр'!H1608</f>
        <v>0</v>
      </c>
    </row>
    <row r="1603" customFormat="false" ht="14.5" hidden="false" customHeight="false" outlineLevel="0" collapsed="false">
      <c r="B1603" s="2888" t="str">
        <f aca="false">'Смета Внутр'!B1609</f>
        <v>утеплитель</v>
      </c>
      <c r="C1603" s="2889" t="str">
        <f aca="false">'Смета Внутр'!C1609</f>
        <v>м2</v>
      </c>
      <c r="D1603" s="2890" t="n">
        <f aca="false">'Смета Внутр'!D1609</f>
        <v>237.835254222269</v>
      </c>
      <c r="E1603" s="2888"/>
      <c r="F1603" s="2895" t="n">
        <f aca="false">'Смета Внутр'!H1609</f>
        <v>0</v>
      </c>
    </row>
    <row r="1604" customFormat="false" ht="14.5" hidden="false" customHeight="false" outlineLevel="0" collapsed="false">
      <c r="B1604" s="2888" t="str">
        <f aca="false">'Смета Внутр'!B1610</f>
        <v>Монтаж металлочерепицы</v>
      </c>
      <c r="C1604" s="2889" t="str">
        <f aca="false">'Смета Внутр'!C1610</f>
        <v>м2</v>
      </c>
      <c r="D1604" s="2890" t="n">
        <f aca="false">'Смета Внутр'!D1610</f>
        <v>237.835254222269</v>
      </c>
      <c r="E1604" s="2888"/>
      <c r="F1604" s="2895" t="n">
        <f aca="false">'Смета Внутр'!H1610</f>
        <v>0</v>
      </c>
    </row>
    <row r="1605" customFormat="false" ht="14.5" hidden="false" customHeight="false" outlineLevel="0" collapsed="false">
      <c r="B1605" s="2888" t="str">
        <f aca="false">'Смета Внутр'!B1611</f>
        <v>ендова верхняя планка</v>
      </c>
      <c r="C1605" s="2889" t="str">
        <f aca="false">'Смета Внутр'!C1611</f>
        <v>м.п.</v>
      </c>
      <c r="D1605" s="2890" t="n">
        <f aca="false">'Смета Внутр'!D1611</f>
        <v>0</v>
      </c>
      <c r="E1605" s="2888"/>
      <c r="F1605" s="2895" t="n">
        <f aca="false">'Смета Внутр'!H1611</f>
        <v>0</v>
      </c>
    </row>
    <row r="1606" customFormat="false" ht="14.5" hidden="false" customHeight="false" outlineLevel="0" collapsed="false">
      <c r="B1606" s="2888" t="str">
        <f aca="false">'Смета Внутр'!B1612</f>
        <v>капельник планка</v>
      </c>
      <c r="C1606" s="2889" t="str">
        <f aca="false">'Смета Внутр'!C1612</f>
        <v>м.п.</v>
      </c>
      <c r="D1606" s="2890" t="n">
        <f aca="false">'Смета Внутр'!D1612</f>
        <v>62</v>
      </c>
      <c r="E1606" s="2888"/>
      <c r="F1606" s="2895" t="n">
        <f aca="false">'Смета Внутр'!H1612</f>
        <v>0</v>
      </c>
    </row>
    <row r="1607" customFormat="false" ht="14.5" hidden="false" customHeight="false" outlineLevel="0" collapsed="false">
      <c r="B1607" s="2888" t="str">
        <f aca="false">'Смета Внутр'!B1613</f>
        <v>желоб водосточный</v>
      </c>
      <c r="C1607" s="2889" t="str">
        <f aca="false">'Смета Внутр'!C1613</f>
        <v>м.п.</v>
      </c>
      <c r="D1607" s="2890" t="n">
        <f aca="false">'Смета Внутр'!D1613</f>
        <v>51.6666666666667</v>
      </c>
      <c r="E1607" s="2888"/>
      <c r="F1607" s="2895" t="n">
        <f aca="false">'Смета Внутр'!H1613</f>
        <v>0</v>
      </c>
    </row>
    <row r="1608" customFormat="false" ht="14.5" hidden="false" customHeight="false" outlineLevel="0" collapsed="false">
      <c r="B1608" s="2888" t="str">
        <f aca="false">'Смета Внутр'!B1614</f>
        <v>труба водосточная</v>
      </c>
      <c r="C1608" s="2889" t="str">
        <f aca="false">'Смета Внутр'!C1614</f>
        <v>м.п.</v>
      </c>
      <c r="D1608" s="2890" t="n">
        <f aca="false">'Смета Внутр'!D1614</f>
        <v>62</v>
      </c>
      <c r="E1608" s="2888"/>
      <c r="F1608" s="2895" t="n">
        <f aca="false">'Смета Внутр'!H1614</f>
        <v>0</v>
      </c>
    </row>
    <row r="1609" customFormat="false" ht="14.5" hidden="false" customHeight="false" outlineLevel="0" collapsed="false">
      <c r="B1609" s="2888" t="str">
        <f aca="false">'Смета Внутр'!B1615</f>
        <v>карнизная планка</v>
      </c>
      <c r="C1609" s="2889" t="str">
        <f aca="false">'Смета Внутр'!C1615</f>
        <v>м.п.</v>
      </c>
      <c r="D1609" s="2890" t="n">
        <f aca="false">'Смета Внутр'!D1615</f>
        <v>26.9072480941474</v>
      </c>
      <c r="E1609" s="2888"/>
      <c r="F1609" s="2895" t="n">
        <f aca="false">'Смета Внутр'!H1615</f>
        <v>0</v>
      </c>
    </row>
    <row r="1610" customFormat="false" ht="14.5" hidden="false" customHeight="false" outlineLevel="0" collapsed="false">
      <c r="B1610" s="2888" t="str">
        <f aca="false">'Смета Внутр'!B1616</f>
        <v>конек</v>
      </c>
      <c r="C1610" s="2889" t="str">
        <f aca="false">'Смета Внутр'!C1616</f>
        <v>м.п.</v>
      </c>
      <c r="D1610" s="2890" t="n">
        <f aca="false">'Смета Внутр'!D1616</f>
        <v>6</v>
      </c>
      <c r="E1610" s="2888"/>
      <c r="F1610" s="2895" t="n">
        <f aca="false">'Смета Внутр'!H1616</f>
        <v>0</v>
      </c>
    </row>
    <row r="1611" customFormat="false" ht="14.5" hidden="false" customHeight="false" outlineLevel="0" collapsed="false">
      <c r="B1611" s="2888" t="str">
        <f aca="false">'Смета Внутр'!B1617</f>
        <v>Монтаж ондулина</v>
      </c>
      <c r="C1611" s="2889" t="str">
        <f aca="false">'Смета Внутр'!C1617</f>
        <v>м2</v>
      </c>
      <c r="D1611" s="2890" t="n">
        <f aca="false">'Смета Внутр'!D1617</f>
        <v>0</v>
      </c>
      <c r="E1611" s="2888"/>
      <c r="F1611" s="2895" t="n">
        <f aca="false">'Смета Внутр'!H1617</f>
        <v>0</v>
      </c>
    </row>
    <row r="1612" customFormat="false" ht="14.5" hidden="false" customHeight="false" outlineLevel="0" collapsed="false">
      <c r="B1612" s="2888" t="str">
        <f aca="false">'Смета Внутр'!B1618</f>
        <v>Монтаж фанеры/osb</v>
      </c>
      <c r="C1612" s="2889" t="str">
        <f aca="false">'Смета Внутр'!C1618</f>
        <v>м2</v>
      </c>
      <c r="D1612" s="2890" t="n">
        <f aca="false">'Смета Внутр'!D1618</f>
        <v>0</v>
      </c>
      <c r="E1612" s="2888"/>
      <c r="F1612" s="2895" t="n">
        <f aca="false">'Смета Внутр'!H1618</f>
        <v>0</v>
      </c>
    </row>
    <row r="1613" customFormat="false" ht="14.5" hidden="false" customHeight="false" outlineLevel="0" collapsed="false">
      <c r="B1613" s="2888" t="str">
        <f aca="false">'Смета Внутр'!B1619</f>
        <v>монтаж подкладочного ковра</v>
      </c>
      <c r="C1613" s="2889" t="str">
        <f aca="false">'Смета Внутр'!C1619</f>
        <v>м2</v>
      </c>
      <c r="D1613" s="2890" t="n">
        <f aca="false">'Смета Внутр'!D1619</f>
        <v>0</v>
      </c>
      <c r="E1613" s="2888"/>
      <c r="F1613" s="2895" t="n">
        <f aca="false">'Смета Внутр'!H1619</f>
        <v>0</v>
      </c>
    </row>
    <row r="1614" customFormat="false" ht="14.5" hidden="false" customHeight="false" outlineLevel="0" collapsed="false">
      <c r="B1614" s="2888" t="str">
        <f aca="false">'Смета Внутр'!B1620</f>
        <v>Монтаж мягкой кровли</v>
      </c>
      <c r="C1614" s="2889" t="str">
        <f aca="false">'Смета Внутр'!C1620</f>
        <v>м2</v>
      </c>
      <c r="D1614" s="2890" t="n">
        <f aca="false">'Смета Внутр'!D1620</f>
        <v>0</v>
      </c>
      <c r="E1614" s="2888"/>
      <c r="F1614" s="2895" t="n">
        <f aca="false">'Смета Внутр'!H1620</f>
        <v>0</v>
      </c>
    </row>
    <row r="1615" customFormat="false" ht="14.5" hidden="false" customHeight="false" outlineLevel="0" collapsed="false">
      <c r="B1615" s="2896" t="str">
        <f aca="false">'Смета Внутр'!B1621</f>
        <v>Итого работы</v>
      </c>
      <c r="C1615" s="2896"/>
      <c r="D1615" s="2896"/>
      <c r="E1615" s="2896"/>
      <c r="F1615" s="2897" t="n">
        <f aca="false">'Смета Внутр'!G1621</f>
        <v>0</v>
      </c>
    </row>
    <row r="1616" customFormat="false" ht="18.5" hidden="false" customHeight="false" outlineLevel="0" collapsed="false">
      <c r="B1616" s="2899" t="str">
        <f aca="false">'Смета Внутр'!B1622</f>
        <v>Элементы на кровле</v>
      </c>
      <c r="C1616" s="2899"/>
      <c r="D1616" s="2899"/>
      <c r="E1616" s="2899"/>
      <c r="F1616" s="2893" t="n">
        <f aca="false">'Смета Внутр'!H1622</f>
        <v>0</v>
      </c>
    </row>
    <row r="1617" customFormat="false" ht="14.5" hidden="false" customHeight="false" outlineLevel="0" collapsed="false">
      <c r="B1617" s="2894" t="str">
        <f aca="false">'Смета Внутр'!B1623</f>
        <v>Материалы</v>
      </c>
      <c r="C1617" s="2894"/>
      <c r="D1617" s="2894"/>
      <c r="E1617" s="2894"/>
      <c r="F1617" s="2893" t="n">
        <f aca="false">'Смета Внутр'!H1623</f>
        <v>0</v>
      </c>
    </row>
    <row r="1618" customFormat="false" ht="14.5" hidden="false" customHeight="false" outlineLevel="0" collapsed="false">
      <c r="B1618" s="2888" t="str">
        <f aca="false">'Смета Внутр'!B1624</f>
        <v>Доска сухая, 200*50мм</v>
      </c>
      <c r="C1618" s="2889" t="str">
        <f aca="false">'Смета Внутр'!C1624</f>
        <v>м3</v>
      </c>
      <c r="D1618" s="2890" t="n">
        <f aca="false">'Смета Внутр'!D1624</f>
        <v>1.22337146290992</v>
      </c>
      <c r="E1618" s="2888"/>
      <c r="F1618" s="2895" t="n">
        <f aca="false">'Смета Внутр'!H1624</f>
        <v>0</v>
      </c>
    </row>
    <row r="1619" customFormat="false" ht="14.5" hidden="false" customHeight="false" outlineLevel="0" collapsed="false">
      <c r="B1619" s="2888" t="str">
        <f aca="false">'Смета Внутр'!B1625</f>
        <v>бугель, доска</v>
      </c>
      <c r="C1619" s="2889" t="str">
        <f aca="false">'Смета Внутр'!C1625</f>
        <v>м3</v>
      </c>
      <c r="D1619" s="2890" t="n">
        <f aca="false">'Смета Внутр'!D1625</f>
        <v>0.297</v>
      </c>
      <c r="E1619" s="2888"/>
      <c r="F1619" s="2895" t="n">
        <f aca="false">'Смета Внутр'!H1625</f>
        <v>0</v>
      </c>
    </row>
    <row r="1620" customFormat="false" ht="14.5" hidden="false" customHeight="false" outlineLevel="0" collapsed="false">
      <c r="B1620" s="2888" t="str">
        <f aca="false">'Смета Внутр'!B1626</f>
        <v>стойка под конек</v>
      </c>
      <c r="C1620" s="2889" t="str">
        <f aca="false">'Смета Внутр'!C1626</f>
        <v>м3</v>
      </c>
      <c r="D1620" s="2890" t="n">
        <f aca="false">'Смета Внутр'!D1626</f>
        <v>0.421770876399966</v>
      </c>
      <c r="E1620" s="2888"/>
      <c r="F1620" s="2895" t="n">
        <f aca="false">'Смета Внутр'!H1626</f>
        <v>0</v>
      </c>
    </row>
    <row r="1621" customFormat="false" ht="14.5" hidden="false" customHeight="false" outlineLevel="0" collapsed="false">
      <c r="B1621" s="2888" t="str">
        <f aca="false">'Смета Внутр'!B1627</f>
        <v>Сосна влаж,100*25мм</v>
      </c>
      <c r="C1621" s="2889" t="str">
        <f aca="false">'Смета Внутр'!C1627</f>
        <v>м3</v>
      </c>
      <c r="D1621" s="2890" t="n">
        <f aca="false">'Смета Внутр'!D1627</f>
        <v>0.50612505167996</v>
      </c>
      <c r="E1621" s="2888"/>
      <c r="F1621" s="2895" t="n">
        <f aca="false">'Смета Внутр'!H1627</f>
        <v>0</v>
      </c>
    </row>
    <row r="1622" customFormat="false" ht="14.5" hidden="false" customHeight="false" outlineLevel="0" collapsed="false">
      <c r="B1622" s="2888" t="str">
        <f aca="false">'Смета Внутр'!B1628</f>
        <v>Доска сухая, калибр., 35*45мм</v>
      </c>
      <c r="C1622" s="2889" t="str">
        <f aca="false">'Смета Внутр'!C1628</f>
        <v>шт</v>
      </c>
      <c r="D1622" s="2890" t="n">
        <f aca="false">'Смета Внутр'!D1628</f>
        <v>0.116250597807741</v>
      </c>
      <c r="E1622" s="2888"/>
      <c r="F1622" s="2895" t="n">
        <f aca="false">'Смета Внутр'!H1628</f>
        <v>0</v>
      </c>
    </row>
    <row r="1623" customFormat="false" ht="14.5" hidden="false" customHeight="false" outlineLevel="0" collapsed="false">
      <c r="B1623" s="2888" t="str">
        <f aca="false">'Смета Внутр'!B1629</f>
        <v>нет ветроизоляции</v>
      </c>
      <c r="C1623" s="2889" t="str">
        <f aca="false">'Смета Внутр'!C1629</f>
        <v>м2</v>
      </c>
      <c r="D1623" s="2890" t="n">
        <f aca="false">'Смета Внутр'!D1629</f>
        <v>24.0409399547981</v>
      </c>
      <c r="E1623" s="2888"/>
      <c r="F1623" s="2895" t="n">
        <f aca="false">'Смета Внутр'!H1629</f>
        <v>0</v>
      </c>
    </row>
    <row r="1624" customFormat="false" ht="14.5" hidden="false" customHeight="false" outlineLevel="0" collapsed="false">
      <c r="B1624" s="2888" t="str">
        <f aca="false">'Смета Внутр'!B1630</f>
        <v>нет пароизоляции</v>
      </c>
      <c r="C1624" s="2889" t="str">
        <f aca="false">'Смета Внутр'!C1630</f>
        <v>м2</v>
      </c>
      <c r="D1624" s="2890" t="n">
        <f aca="false">'Смета Внутр'!D1630</f>
        <v>22.0375282918982</v>
      </c>
      <c r="E1624" s="2888"/>
      <c r="F1624" s="2895" t="n">
        <f aca="false">'Смета Внутр'!H1630</f>
        <v>0</v>
      </c>
    </row>
    <row r="1625" customFormat="false" ht="14.5" hidden="false" customHeight="false" outlineLevel="0" collapsed="false">
      <c r="B1625" s="2888" t="str">
        <f aca="false">'Смета Внутр'!B1631</f>
        <v>Плитный,28кг/м3, технониколь, 100мм</v>
      </c>
      <c r="C1625" s="2889" t="str">
        <f aca="false">'Смета Внутр'!C1631</f>
        <v>м3</v>
      </c>
      <c r="D1625" s="2890" t="n">
        <f aca="false">'Смета Внутр'!D1631</f>
        <v>2.00341166289984</v>
      </c>
      <c r="E1625" s="2888"/>
      <c r="F1625" s="2895" t="n">
        <f aca="false">'Смета Внутр'!H1631</f>
        <v>0</v>
      </c>
    </row>
    <row r="1626" customFormat="false" ht="14.5" hidden="false" customHeight="false" outlineLevel="0" collapsed="false">
      <c r="B1626" s="2888" t="str">
        <f aca="false">'Смета Внутр'!B1632</f>
        <v>Металлочерепица</v>
      </c>
      <c r="C1626" s="2889" t="str">
        <f aca="false">'Смета Внутр'!C1632</f>
        <v>м2</v>
      </c>
      <c r="D1626" s="2890" t="n">
        <f aca="false">'Смета Внутр'!D1632</f>
        <v>28.0477632805978</v>
      </c>
      <c r="E1626" s="2888"/>
      <c r="F1626" s="2895" t="n">
        <f aca="false">'Смета Внутр'!H1632</f>
        <v>0</v>
      </c>
    </row>
    <row r="1627" customFormat="false" ht="14.5" hidden="false" customHeight="false" outlineLevel="0" collapsed="false">
      <c r="B1627" s="2888" t="str">
        <f aca="false">'Смета Внутр'!B1633</f>
        <v>Карнизная планка</v>
      </c>
      <c r="C1627" s="2889" t="str">
        <f aca="false">'Смета Внутр'!C1633</f>
        <v>м.п.</v>
      </c>
      <c r="D1627" s="2890" t="n">
        <f aca="false">'Смета Внутр'!D1633</f>
        <v>4</v>
      </c>
      <c r="E1627" s="2888"/>
      <c r="F1627" s="2895" t="n">
        <f aca="false">'Смета Внутр'!H1633</f>
        <v>0</v>
      </c>
    </row>
    <row r="1628" customFormat="false" ht="14.5" hidden="false" customHeight="false" outlineLevel="0" collapsed="false">
      <c r="B1628" s="2888" t="str">
        <f aca="false">'Смета Внутр'!B1634</f>
        <v>Торцевая планка</v>
      </c>
      <c r="C1628" s="2889" t="str">
        <f aca="false">'Смета Внутр'!C1634</f>
        <v>м.п.</v>
      </c>
      <c r="D1628" s="2890" t="n">
        <f aca="false">'Смета Внутр'!D1634</f>
        <v>10.5442719099992</v>
      </c>
      <c r="E1628" s="2888"/>
      <c r="F1628" s="2895" t="n">
        <f aca="false">'Смета Внутр'!H1634</f>
        <v>0</v>
      </c>
    </row>
    <row r="1629" customFormat="false" ht="14.5" hidden="false" customHeight="false" outlineLevel="0" collapsed="false">
      <c r="B1629" s="2888" t="str">
        <f aca="false">'Смета Внутр'!B1635</f>
        <v>Конек</v>
      </c>
      <c r="C1629" s="2889" t="str">
        <f aca="false">'Смета Внутр'!C1635</f>
        <v>м.п.</v>
      </c>
      <c r="D1629" s="2890" t="n">
        <f aca="false">'Смета Внутр'!D1635</f>
        <v>4.8</v>
      </c>
      <c r="E1629" s="2888"/>
      <c r="F1629" s="2895" t="n">
        <f aca="false">'Смета Внутр'!H1635</f>
        <v>0</v>
      </c>
    </row>
    <row r="1630" customFormat="false" ht="14.5" hidden="false" customHeight="false" outlineLevel="0" collapsed="false">
      <c r="B1630" s="2888" t="str">
        <f aca="false">'Смета Внутр'!B1636</f>
        <v>Ендова нижняя</v>
      </c>
      <c r="C1630" s="2889" t="str">
        <f aca="false">'Смета Внутр'!C1636</f>
        <v>м.п.</v>
      </c>
      <c r="D1630" s="2890" t="n">
        <f aca="false">'Смета Внутр'!D1636</f>
        <v>12.1426168033242</v>
      </c>
      <c r="E1630" s="2888"/>
      <c r="F1630" s="2895" t="n">
        <f aca="false">'Смета Внутр'!H1636</f>
        <v>0</v>
      </c>
    </row>
    <row r="1631" customFormat="false" ht="14.5" hidden="false" customHeight="false" outlineLevel="0" collapsed="false">
      <c r="B1631" s="2888" t="str">
        <f aca="false">'Смета Внутр'!B1637</f>
        <v>Ендова верхняя</v>
      </c>
      <c r="C1631" s="2889" t="str">
        <f aca="false">'Смета Внутр'!C1637</f>
        <v>м.п.</v>
      </c>
      <c r="D1631" s="2890" t="n">
        <f aca="false">'Смета Внутр'!D1637</f>
        <v>12.1426168033242</v>
      </c>
      <c r="E1631" s="2888"/>
      <c r="F1631" s="2895" t="n">
        <f aca="false">'Смета Внутр'!H1637</f>
        <v>0</v>
      </c>
    </row>
    <row r="1632" customFormat="false" ht="14.5" hidden="false" customHeight="false" outlineLevel="0" collapsed="false">
      <c r="B1632" s="2888" t="str">
        <f aca="false">'Смета Внутр'!B1638</f>
        <v>ондулин</v>
      </c>
      <c r="C1632" s="2889" t="str">
        <f aca="false">'Смета Внутр'!C1638</f>
        <v>м2</v>
      </c>
      <c r="D1632" s="2890" t="n">
        <f aca="false">'Смета Внутр'!D1638</f>
        <v>0</v>
      </c>
      <c r="E1632" s="2888"/>
      <c r="F1632" s="2895" t="n">
        <f aca="false">'Смета Внутр'!H1638</f>
        <v>0</v>
      </c>
    </row>
    <row r="1633" customFormat="false" ht="14.5" hidden="false" customHeight="false" outlineLevel="0" collapsed="false">
      <c r="B1633" s="2888" t="str">
        <f aca="false">'Смета Внутр'!B1639</f>
        <v>Карнизная планка</v>
      </c>
      <c r="C1633" s="2889" t="str">
        <f aca="false">'Смета Внутр'!C1639</f>
        <v>м.п.</v>
      </c>
      <c r="D1633" s="2890" t="n">
        <f aca="false">'Смета Внутр'!D1639</f>
        <v>0</v>
      </c>
      <c r="E1633" s="2888"/>
      <c r="F1633" s="2895" t="n">
        <f aca="false">'Смета Внутр'!H1639</f>
        <v>0</v>
      </c>
    </row>
    <row r="1634" customFormat="false" ht="14.5" hidden="false" customHeight="false" outlineLevel="0" collapsed="false">
      <c r="B1634" s="2888" t="str">
        <f aca="false">'Смета Внутр'!B1640</f>
        <v>Торцевая планка</v>
      </c>
      <c r="C1634" s="2889" t="str">
        <f aca="false">'Смета Внутр'!C1640</f>
        <v>м.п.</v>
      </c>
      <c r="D1634" s="2890" t="n">
        <f aca="false">'Смета Внутр'!D1640</f>
        <v>0</v>
      </c>
      <c r="E1634" s="2888"/>
      <c r="F1634" s="2895" t="n">
        <f aca="false">'Смета Внутр'!H1640</f>
        <v>0</v>
      </c>
    </row>
    <row r="1635" customFormat="false" ht="14.5" hidden="false" customHeight="false" outlineLevel="0" collapsed="false">
      <c r="B1635" s="2888" t="str">
        <f aca="false">'Смета Внутр'!B1641</f>
        <v>Конек</v>
      </c>
      <c r="C1635" s="2889" t="str">
        <f aca="false">'Смета Внутр'!C1641</f>
        <v>м.п.</v>
      </c>
      <c r="D1635" s="2890" t="n">
        <f aca="false">'Смета Внутр'!D1641</f>
        <v>0</v>
      </c>
      <c r="E1635" s="2888"/>
      <c r="F1635" s="2895" t="n">
        <f aca="false">'Смета Внутр'!H1641</f>
        <v>0</v>
      </c>
    </row>
    <row r="1636" customFormat="false" ht="14.5" hidden="false" customHeight="false" outlineLevel="0" collapsed="false">
      <c r="B1636" s="2888" t="str">
        <f aca="false">'Смета Внутр'!B1642</f>
        <v>Ендова нижняя</v>
      </c>
      <c r="C1636" s="2889" t="str">
        <f aca="false">'Смета Внутр'!C1642</f>
        <v>м.п.</v>
      </c>
      <c r="D1636" s="2890" t="n">
        <f aca="false">'Смета Внутр'!D1642</f>
        <v>0</v>
      </c>
      <c r="E1636" s="2888"/>
      <c r="F1636" s="2895" t="n">
        <f aca="false">'Смета Внутр'!H1642</f>
        <v>0</v>
      </c>
    </row>
    <row r="1637" customFormat="false" ht="14.5" hidden="false" customHeight="false" outlineLevel="0" collapsed="false">
      <c r="B1637" s="2888" t="str">
        <f aca="false">'Смета Внутр'!B1643</f>
        <v>Ендова верхняя</v>
      </c>
      <c r="C1637" s="2889" t="str">
        <f aca="false">'Смета Внутр'!C1643</f>
        <v>м.п.</v>
      </c>
      <c r="D1637" s="2890" t="n">
        <f aca="false">'Смета Внутр'!D1643</f>
        <v>0</v>
      </c>
      <c r="E1637" s="2888"/>
      <c r="F1637" s="2895" t="n">
        <f aca="false">'Смета Внутр'!H1643</f>
        <v>0</v>
      </c>
    </row>
    <row r="1638" customFormat="false" ht="14.5" hidden="false" customHeight="false" outlineLevel="0" collapsed="false">
      <c r="B1638" s="2888" t="str">
        <f aca="false">'Смета Внутр'!B1644</f>
        <v>Планка примыкания</v>
      </c>
      <c r="C1638" s="2889" t="str">
        <f aca="false">'Смета Внутр'!C1644</f>
        <v>м.п.</v>
      </c>
      <c r="D1638" s="2890" t="n">
        <f aca="false">'Смета Внутр'!D1644</f>
        <v>0</v>
      </c>
      <c r="E1638" s="2888"/>
      <c r="F1638" s="2895" t="n">
        <f aca="false">'Смета Внутр'!H1644</f>
        <v>0</v>
      </c>
    </row>
    <row r="1639" customFormat="false" ht="14.5" hidden="false" customHeight="false" outlineLevel="0" collapsed="false">
      <c r="B1639" s="2888" t="str">
        <f aca="false">'Смета Внутр'!B1645</f>
        <v>Крепеж для ондулина</v>
      </c>
      <c r="C1639" s="2889" t="str">
        <f aca="false">'Смета Внутр'!C1645</f>
        <v>шт</v>
      </c>
      <c r="D1639" s="2890" t="n">
        <f aca="false">'Смета Внутр'!D1645</f>
        <v>0</v>
      </c>
      <c r="E1639" s="2888"/>
      <c r="F1639" s="2895" t="n">
        <f aca="false">'Смета Внутр'!H1645</f>
        <v>0</v>
      </c>
    </row>
    <row r="1640" customFormat="false" ht="14.5" hidden="false" customHeight="false" outlineLevel="0" collapsed="false">
      <c r="B1640" s="2888" t="str">
        <f aca="false">'Смета Внутр'!B1646</f>
        <v>Фанера Березовая марка ФК - влагостойкая,  18 мм</v>
      </c>
      <c r="C1640" s="2889" t="str">
        <f aca="false">'Смета Внутр'!C1646</f>
        <v>м2</v>
      </c>
      <c r="D1640" s="2890" t="n">
        <f aca="false">'Смета Внутр'!D1646</f>
        <v>22.0375282918982</v>
      </c>
      <c r="E1640" s="2888"/>
      <c r="F1640" s="2895" t="n">
        <f aca="false">'Смета Внутр'!H1646</f>
        <v>0</v>
      </c>
    </row>
    <row r="1641" customFormat="false" ht="14.5" hidden="false" customHeight="false" outlineLevel="0" collapsed="false">
      <c r="B1641" s="2888" t="str">
        <f aca="false">'Смета Внутр'!B1647</f>
        <v>Рядовая черепица</v>
      </c>
      <c r="C1641" s="2889" t="str">
        <f aca="false">'Смета Внутр'!C1647</f>
        <v>м2</v>
      </c>
      <c r="D1641" s="2890" t="n">
        <f aca="false">'Смета Внутр'!D1647</f>
        <v>0</v>
      </c>
      <c r="E1641" s="2888"/>
      <c r="F1641" s="2895" t="n">
        <f aca="false">'Смета Внутр'!H1647</f>
        <v>0</v>
      </c>
    </row>
    <row r="1642" customFormat="false" ht="14.5" hidden="false" customHeight="false" outlineLevel="0" collapsed="false">
      <c r="B1642" s="2888" t="str">
        <f aca="false">'Смета Внутр'!B1648</f>
        <v>Металл оцинк защита (карниз)</v>
      </c>
      <c r="C1642" s="2889" t="str">
        <f aca="false">'Смета Внутр'!C1648</f>
        <v>м.п.</v>
      </c>
      <c r="D1642" s="2890" t="n">
        <f aca="false">'Смета Внутр'!D1648</f>
        <v>0</v>
      </c>
      <c r="E1642" s="2888"/>
      <c r="F1642" s="2895" t="n">
        <f aca="false">'Смета Внутр'!H1648</f>
        <v>0</v>
      </c>
    </row>
    <row r="1643" customFormat="false" ht="14.5" hidden="false" customHeight="false" outlineLevel="0" collapsed="false">
      <c r="B1643" s="2888" t="str">
        <f aca="false">'Смета Внутр'!B1649</f>
        <v>Подкладочный ковер</v>
      </c>
      <c r="C1643" s="2889" t="str">
        <f aca="false">'Смета Внутр'!C1649</f>
        <v>м.п.</v>
      </c>
      <c r="D1643" s="2890" t="n">
        <f aca="false">'Смета Внутр'!D1649</f>
        <v>0</v>
      </c>
      <c r="E1643" s="2888"/>
      <c r="F1643" s="2895" t="n">
        <f aca="false">'Смета Внутр'!H1649</f>
        <v>0</v>
      </c>
    </row>
    <row r="1644" customFormat="false" ht="14.5" hidden="false" customHeight="false" outlineLevel="0" collapsed="false">
      <c r="B1644" s="2888" t="str">
        <f aca="false">'Смета Внутр'!B1650</f>
        <v>Карнизная самоклеющаяся черепица</v>
      </c>
      <c r="C1644" s="2889" t="str">
        <f aca="false">'Смета Внутр'!C1650</f>
        <v>м.п.</v>
      </c>
      <c r="D1644" s="2890" t="n">
        <f aca="false">'Смета Внутр'!D1650</f>
        <v>0</v>
      </c>
      <c r="E1644" s="2888"/>
      <c r="F1644" s="2895" t="n">
        <f aca="false">'Смета Внутр'!H1650</f>
        <v>0</v>
      </c>
    </row>
    <row r="1645" customFormat="false" ht="14.5" hidden="false" customHeight="false" outlineLevel="0" collapsed="false">
      <c r="B1645" s="2888" t="str">
        <f aca="false">'Смета Внутр'!B1651</f>
        <v>Спец ковер ендова нижняя</v>
      </c>
      <c r="C1645" s="2889" t="str">
        <f aca="false">'Смета Внутр'!C1651</f>
        <v>м.п.</v>
      </c>
      <c r="D1645" s="2890" t="n">
        <f aca="false">'Смета Внутр'!D1651</f>
        <v>0</v>
      </c>
      <c r="E1645" s="2888"/>
      <c r="F1645" s="2895" t="n">
        <f aca="false">'Смета Внутр'!H1651</f>
        <v>0</v>
      </c>
    </row>
    <row r="1646" customFormat="false" ht="14.5" hidden="false" customHeight="false" outlineLevel="0" collapsed="false">
      <c r="B1646" s="2888" t="str">
        <f aca="false">'Смета Внутр'!B1652</f>
        <v>Коньковой элемент</v>
      </c>
      <c r="C1646" s="2889" t="str">
        <f aca="false">'Смета Внутр'!C1652</f>
        <v>м.п.</v>
      </c>
      <c r="D1646" s="2890" t="n">
        <f aca="false">'Смета Внутр'!D1652</f>
        <v>0</v>
      </c>
      <c r="E1646" s="2888"/>
      <c r="F1646" s="2895" t="n">
        <f aca="false">'Смета Внутр'!H1652</f>
        <v>0</v>
      </c>
    </row>
    <row r="1647" customFormat="false" ht="14.5" hidden="false" customHeight="false" outlineLevel="0" collapsed="false">
      <c r="B1647" s="2888" t="str">
        <f aca="false">'Смета Внутр'!B1653</f>
        <v>Планка премыкания</v>
      </c>
      <c r="C1647" s="2889" t="str">
        <f aca="false">'Смета Внутр'!C1653</f>
        <v>м.п.</v>
      </c>
      <c r="D1647" s="2890" t="n">
        <f aca="false">'Смета Внутр'!D1653</f>
        <v>0</v>
      </c>
      <c r="E1647" s="2888"/>
      <c r="F1647" s="2895" t="n">
        <f aca="false">'Смета Внутр'!H1653</f>
        <v>0</v>
      </c>
    </row>
    <row r="1648" customFormat="false" ht="14.5" hidden="false" customHeight="false" outlineLevel="0" collapsed="false">
      <c r="B1648" s="2888" t="str">
        <f aca="false">'Смета Внутр'!B1654</f>
        <v>Гвозди для крепления подкладочного ковра</v>
      </c>
      <c r="C1648" s="2889" t="str">
        <f aca="false">'Смета Внутр'!C1654</f>
        <v>шт</v>
      </c>
      <c r="D1648" s="2890" t="n">
        <f aca="false">'Смета Внутр'!D1654</f>
        <v>0</v>
      </c>
      <c r="E1648" s="2888"/>
      <c r="F1648" s="2895" t="n">
        <f aca="false">'Смета Внутр'!H1654</f>
        <v>0</v>
      </c>
    </row>
    <row r="1649" customFormat="false" ht="14.5" hidden="false" customHeight="false" outlineLevel="0" collapsed="false">
      <c r="B1649" s="2888" t="str">
        <f aca="false">'Смета Внутр'!B1655</f>
        <v>Гвозди для крепления черепицы</v>
      </c>
      <c r="C1649" s="2889" t="str">
        <f aca="false">'Смета Внутр'!C1655</f>
        <v>шт</v>
      </c>
      <c r="D1649" s="2890" t="n">
        <f aca="false">'Смета Внутр'!D1655</f>
        <v>0</v>
      </c>
      <c r="E1649" s="2888"/>
      <c r="F1649" s="2895" t="n">
        <f aca="false">'Смета Внутр'!H1655</f>
        <v>0</v>
      </c>
    </row>
    <row r="1650" customFormat="false" ht="14.5" hidden="false" customHeight="false" outlineLevel="0" collapsed="false">
      <c r="B1650" s="2888" t="str">
        <f aca="false">'Смета Внутр'!B1656</f>
        <v>Клей для монтажа черепицы</v>
      </c>
      <c r="C1650" s="2889" t="str">
        <f aca="false">'Смета Внутр'!C1656</f>
        <v>кг</v>
      </c>
      <c r="D1650" s="2890" t="n">
        <f aca="false">'Смета Внутр'!D1656</f>
        <v>0</v>
      </c>
      <c r="E1650" s="2888"/>
      <c r="F1650" s="2895" t="n">
        <f aca="false">'Смета Внутр'!H1656</f>
        <v>0</v>
      </c>
    </row>
    <row r="1651" customFormat="false" ht="14.5" hidden="false" customHeight="false" outlineLevel="0" collapsed="false">
      <c r="B1651" s="2888" t="str">
        <f aca="false">'Смета Внутр'!B1657</f>
        <v>лента дельта мульти бэнд</v>
      </c>
      <c r="C1651" s="2889" t="str">
        <f aca="false">'Смета Внутр'!C1657</f>
        <v>шт</v>
      </c>
      <c r="D1651" s="2890" t="n">
        <f aca="false">'Смета Внутр'!D1657</f>
        <v>1.6695097190832</v>
      </c>
      <c r="E1651" s="2888"/>
      <c r="F1651" s="2895" t="n">
        <f aca="false">'Смета Внутр'!H1657</f>
        <v>0</v>
      </c>
    </row>
    <row r="1652" customFormat="false" ht="14.5" hidden="false" customHeight="false" outlineLevel="0" collapsed="false">
      <c r="B1652" s="2888" t="str">
        <f aca="false">'Смета Внутр'!B1658</f>
        <v>лента дельта sb-60</v>
      </c>
      <c r="C1652" s="2889" t="str">
        <f aca="false">'Смета Внутр'!C1658</f>
        <v>шт</v>
      </c>
      <c r="D1652" s="2890" t="n">
        <f aca="false">'Смета Внутр'!D1658</f>
        <v>0.801364665159936</v>
      </c>
      <c r="E1652" s="2888"/>
      <c r="F1652" s="2895" t="n">
        <f aca="false">'Смета Внутр'!H1658</f>
        <v>0</v>
      </c>
    </row>
    <row r="1653" customFormat="false" ht="14.5" hidden="false" customHeight="false" outlineLevel="0" collapsed="false">
      <c r="B1653" s="2888" t="str">
        <f aca="false">'Смета Внутр'!B1659</f>
        <v>Кровельный саморез</v>
      </c>
      <c r="C1653" s="2889" t="str">
        <f aca="false">'Смета Внутр'!C1659</f>
        <v>шт</v>
      </c>
      <c r="D1653" s="2890" t="n">
        <f aca="false">'Смета Внутр'!D1659</f>
        <v>240.409399547981</v>
      </c>
      <c r="E1653" s="2888"/>
      <c r="F1653" s="2895" t="n">
        <f aca="false">'Смета Внутр'!H1659</f>
        <v>0</v>
      </c>
    </row>
    <row r="1654" customFormat="false" ht="14.5" hidden="false" customHeight="false" outlineLevel="0" collapsed="false">
      <c r="B1654" s="2888" t="str">
        <f aca="false">'Смета Внутр'!B1660</f>
        <v>Гвозди ершоные 3,4 x 60</v>
      </c>
      <c r="C1654" s="2889" t="str">
        <f aca="false">'Смета Внутр'!C1660</f>
        <v>кг</v>
      </c>
      <c r="D1654" s="2890" t="n">
        <f aca="false">'Смета Внутр'!D1660</f>
        <v>7.5918757751994</v>
      </c>
      <c r="E1654" s="2888"/>
      <c r="F1654" s="2895" t="n">
        <f aca="false">'Смета Внутр'!H1660</f>
        <v>0</v>
      </c>
    </row>
    <row r="1655" customFormat="false" ht="14.5" hidden="false" customHeight="false" outlineLevel="0" collapsed="false">
      <c r="B1655" s="2888" t="str">
        <f aca="false">'Смета Внутр'!B1661</f>
        <v>Гвозди ершоные 2,8 х 90</v>
      </c>
      <c r="C1655" s="2889" t="str">
        <f aca="false">'Смета Внутр'!C1661</f>
        <v>кг</v>
      </c>
      <c r="D1655" s="2890" t="n">
        <f aca="false">'Смета Внутр'!D1661</f>
        <v>19.4214233930988</v>
      </c>
      <c r="E1655" s="2888"/>
      <c r="F1655" s="2895" t="n">
        <f aca="false">'Смета Внутр'!H1661</f>
        <v>0</v>
      </c>
    </row>
    <row r="1656" customFormat="false" ht="14.5" hidden="false" customHeight="false" outlineLevel="0" collapsed="false">
      <c r="B1656" s="2888" t="str">
        <f aca="false">'Смета Внутр'!B1662</f>
        <v>Пластина соеденительная 100х240х2</v>
      </c>
      <c r="C1656" s="2889" t="str">
        <f aca="false">'Смета Внутр'!C1662</f>
        <v>шт</v>
      </c>
      <c r="D1656" s="2890" t="n">
        <f aca="false">'Смета Внутр'!D1662</f>
        <v>18</v>
      </c>
      <c r="E1656" s="2888"/>
      <c r="F1656" s="2895" t="n">
        <f aca="false">'Смета Внутр'!H1662</f>
        <v>0</v>
      </c>
    </row>
    <row r="1657" customFormat="false" ht="14.5" hidden="false" customHeight="false" outlineLevel="0" collapsed="false">
      <c r="B1657" s="2888" t="str">
        <f aca="false">'Смета Внутр'!B1663</f>
        <v>Уголок усиленный 90х70х55х2,5</v>
      </c>
      <c r="C1657" s="2889" t="str">
        <f aca="false">'Смета Внутр'!C1663</f>
        <v>шт</v>
      </c>
      <c r="D1657" s="2890" t="n">
        <f aca="false">'Смета Внутр'!D1663</f>
        <v>18</v>
      </c>
      <c r="E1657" s="2888"/>
      <c r="F1657" s="2895" t="n">
        <f aca="false">'Смета Внутр'!H1663</f>
        <v>0</v>
      </c>
    </row>
    <row r="1658" customFormat="false" ht="14.5" hidden="false" customHeight="false" outlineLevel="0" collapsed="false">
      <c r="B1658" s="2896" t="str">
        <f aca="false">'Смета Внутр'!B1664</f>
        <v>Итого материалы</v>
      </c>
      <c r="C1658" s="2896"/>
      <c r="D1658" s="2896"/>
      <c r="E1658" s="2896"/>
      <c r="F1658" s="2897" t="n">
        <f aca="false">'Смета Внутр'!G1664</f>
        <v>0</v>
      </c>
    </row>
    <row r="1659" customFormat="false" ht="14.5" hidden="false" customHeight="false" outlineLevel="0" collapsed="false">
      <c r="B1659" s="2898" t="str">
        <f aca="false">'Смета Внутр'!B1665</f>
        <v>Работы</v>
      </c>
      <c r="C1659" s="2898"/>
      <c r="D1659" s="2898"/>
      <c r="E1659" s="2898"/>
      <c r="F1659" s="2893" t="n">
        <f aca="false">'Смета Внутр'!H1665</f>
        <v>0</v>
      </c>
    </row>
    <row r="1660" customFormat="false" ht="14.5" hidden="false" customHeight="false" outlineLevel="0" collapsed="false">
      <c r="B1660" s="2888" t="str">
        <f aca="false">'Смета Внутр'!B1666</f>
        <v>монтаж стропил</v>
      </c>
      <c r="C1660" s="2889" t="str">
        <f aca="false">'Смета Внутр'!C1666</f>
        <v>м2</v>
      </c>
      <c r="D1660" s="2890" t="n">
        <f aca="false">'Смета Внутр'!D1666</f>
        <v>20.0341166289984</v>
      </c>
      <c r="E1660" s="2888"/>
      <c r="F1660" s="2895" t="n">
        <f aca="false">'Смета Внутр'!H1666</f>
        <v>0</v>
      </c>
    </row>
    <row r="1661" customFormat="false" ht="14.5" hidden="false" customHeight="false" outlineLevel="0" collapsed="false">
      <c r="B1661" s="2888" t="str">
        <f aca="false">'Смета Внутр'!B1667</f>
        <v>обрешетка</v>
      </c>
      <c r="C1661" s="2889" t="str">
        <f aca="false">'Смета Внутр'!C1667</f>
        <v>м2</v>
      </c>
      <c r="D1661" s="2890" t="n">
        <f aca="false">'Смета Внутр'!D1667</f>
        <v>20.0341166289984</v>
      </c>
      <c r="E1661" s="2888"/>
      <c r="F1661" s="2895" t="n">
        <f aca="false">'Смета Внутр'!H1667</f>
        <v>0</v>
      </c>
    </row>
    <row r="1662" customFormat="false" ht="14.5" hidden="false" customHeight="false" outlineLevel="0" collapsed="false">
      <c r="B1662" s="2888" t="str">
        <f aca="false">'Смета Внутр'!B1668</f>
        <v>контробеш</v>
      </c>
      <c r="C1662" s="2889" t="str">
        <f aca="false">'Смета Внутр'!C1668</f>
        <v>м2</v>
      </c>
      <c r="D1662" s="2890" t="n">
        <f aca="false">'Смета Внутр'!D1668</f>
        <v>20.0341166289984</v>
      </c>
      <c r="E1662" s="2888"/>
      <c r="F1662" s="2895" t="n">
        <f aca="false">'Смета Внутр'!H1668</f>
        <v>0</v>
      </c>
    </row>
    <row r="1663" customFormat="false" ht="14.5" hidden="false" customHeight="false" outlineLevel="0" collapsed="false">
      <c r="B1663" s="2888" t="str">
        <f aca="false">'Смета Внутр'!B1669</f>
        <v>мембрана</v>
      </c>
      <c r="C1663" s="2889" t="str">
        <f aca="false">'Смета Внутр'!C1669</f>
        <v>м2</v>
      </c>
      <c r="D1663" s="2890" t="n">
        <f aca="false">'Смета Внутр'!D1669</f>
        <v>0</v>
      </c>
      <c r="E1663" s="2888"/>
      <c r="F1663" s="2895" t="n">
        <f aca="false">'Смета Внутр'!H1669</f>
        <v>0</v>
      </c>
    </row>
    <row r="1664" customFormat="false" ht="14.5" hidden="false" customHeight="false" outlineLevel="0" collapsed="false">
      <c r="B1664" s="2888" t="str">
        <f aca="false">'Смета Внутр'!B1670</f>
        <v>пароизоляц</v>
      </c>
      <c r="C1664" s="2889" t="str">
        <f aca="false">'Смета Внутр'!C1670</f>
        <v>м2</v>
      </c>
      <c r="D1664" s="2890" t="n">
        <f aca="false">'Смета Внутр'!D1670</f>
        <v>0</v>
      </c>
      <c r="E1664" s="2888"/>
      <c r="F1664" s="2895" t="n">
        <f aca="false">'Смета Внутр'!H1670</f>
        <v>0</v>
      </c>
    </row>
    <row r="1665" customFormat="false" ht="14.5" hidden="false" customHeight="false" outlineLevel="0" collapsed="false">
      <c r="B1665" s="2888" t="str">
        <f aca="false">'Смета Внутр'!B1671</f>
        <v>утеплитель</v>
      </c>
      <c r="C1665" s="2889" t="str">
        <f aca="false">'Смета Внутр'!C1671</f>
        <v>м2</v>
      </c>
      <c r="D1665" s="2890" t="n">
        <f aca="false">'Смета Внутр'!D1671</f>
        <v>20.0341166289984</v>
      </c>
      <c r="E1665" s="2888"/>
      <c r="F1665" s="2895" t="n">
        <f aca="false">'Смета Внутр'!H1671</f>
        <v>0</v>
      </c>
    </row>
    <row r="1666" customFormat="false" ht="14.5" hidden="false" customHeight="false" outlineLevel="0" collapsed="false">
      <c r="B1666" s="2888" t="str">
        <f aca="false">'Смета Внутр'!B1672</f>
        <v>Монтаж металлочерепицы</v>
      </c>
      <c r="C1666" s="2889" t="str">
        <f aca="false">'Смета Внутр'!C1672</f>
        <v>м2</v>
      </c>
      <c r="D1666" s="2890" t="n">
        <f aca="false">'Смета Внутр'!D1672</f>
        <v>20.0341166289984</v>
      </c>
      <c r="E1666" s="2888"/>
      <c r="F1666" s="2895" t="n">
        <f aca="false">'Смета Внутр'!H1672</f>
        <v>0</v>
      </c>
    </row>
    <row r="1667" customFormat="false" ht="14.5" hidden="false" customHeight="false" outlineLevel="0" collapsed="false">
      <c r="B1667" s="2888" t="str">
        <f aca="false">'Смета Внутр'!B1673</f>
        <v>карнизная планка</v>
      </c>
      <c r="C1667" s="2889" t="str">
        <f aca="false">'Смета Внутр'!C1673</f>
        <v>м.п.</v>
      </c>
      <c r="D1667" s="2890" t="n">
        <f aca="false">'Смета Внутр'!D1673</f>
        <v>4</v>
      </c>
      <c r="E1667" s="2888"/>
      <c r="F1667" s="2895" t="n">
        <f aca="false">'Смета Внутр'!H1673</f>
        <v>0</v>
      </c>
    </row>
    <row r="1668" customFormat="false" ht="14.5" hidden="false" customHeight="false" outlineLevel="0" collapsed="false">
      <c r="B1668" s="2888" t="str">
        <f aca="false">'Смета Внутр'!B1674</f>
        <v>торцевая планка</v>
      </c>
      <c r="C1668" s="2889" t="str">
        <f aca="false">'Смета Внутр'!C1674</f>
        <v>м.п.</v>
      </c>
      <c r="D1668" s="2890" t="n">
        <f aca="false">'Смета Внутр'!D1674</f>
        <v>10.5442719099992</v>
      </c>
      <c r="E1668" s="2888"/>
      <c r="F1668" s="2895" t="n">
        <f aca="false">'Смета Внутр'!H1674</f>
        <v>0</v>
      </c>
    </row>
    <row r="1669" customFormat="false" ht="14.5" hidden="false" customHeight="false" outlineLevel="0" collapsed="false">
      <c r="B1669" s="2888" t="str">
        <f aca="false">'Смета Внутр'!B1675</f>
        <v>Монтаж ондулина</v>
      </c>
      <c r="C1669" s="2889" t="str">
        <f aca="false">'Смета Внутр'!C1675</f>
        <v>м2</v>
      </c>
      <c r="D1669" s="2890" t="n">
        <f aca="false">'Смета Внутр'!D1675</f>
        <v>0</v>
      </c>
      <c r="E1669" s="2888"/>
      <c r="F1669" s="2895" t="n">
        <f aca="false">'Смета Внутр'!H1675</f>
        <v>0</v>
      </c>
    </row>
    <row r="1670" customFormat="false" ht="14.5" hidden="false" customHeight="false" outlineLevel="0" collapsed="false">
      <c r="B1670" s="2888" t="str">
        <f aca="false">'Смета Внутр'!B1676</f>
        <v>Монтаж фанеры/osb</v>
      </c>
      <c r="C1670" s="2889" t="str">
        <f aca="false">'Смета Внутр'!C1676</f>
        <v>м2</v>
      </c>
      <c r="D1670" s="2890" t="n">
        <f aca="false">'Смета Внутр'!D1676</f>
        <v>20.0341166289984</v>
      </c>
      <c r="E1670" s="2888"/>
      <c r="F1670" s="2895" t="n">
        <f aca="false">'Смета Внутр'!H1676</f>
        <v>0</v>
      </c>
    </row>
    <row r="1671" customFormat="false" ht="14.5" hidden="false" customHeight="false" outlineLevel="0" collapsed="false">
      <c r="B1671" s="2888" t="str">
        <f aca="false">'Смета Внутр'!B1677</f>
        <v>монтаж подкладочного ковра</v>
      </c>
      <c r="C1671" s="2889" t="str">
        <f aca="false">'Смета Внутр'!C1677</f>
        <v>м2</v>
      </c>
      <c r="D1671" s="2890" t="n">
        <f aca="false">'Смета Внутр'!D1677</f>
        <v>0</v>
      </c>
      <c r="E1671" s="2888"/>
      <c r="F1671" s="2895" t="n">
        <f aca="false">'Смета Внутр'!H1677</f>
        <v>0</v>
      </c>
    </row>
    <row r="1672" customFormat="false" ht="14.5" hidden="false" customHeight="false" outlineLevel="0" collapsed="false">
      <c r="B1672" s="2888" t="str">
        <f aca="false">'Смета Внутр'!B1678</f>
        <v>Монтаж мягкой кровли</v>
      </c>
      <c r="C1672" s="2889" t="str">
        <f aca="false">'Смета Внутр'!C1678</f>
        <v>м2</v>
      </c>
      <c r="D1672" s="2890" t="n">
        <f aca="false">'Смета Внутр'!D1678</f>
        <v>0</v>
      </c>
      <c r="E1672" s="2888"/>
      <c r="F1672" s="2895" t="n">
        <f aca="false">'Смета Внутр'!H1678</f>
        <v>0</v>
      </c>
    </row>
    <row r="1673" customFormat="false" ht="14.5" hidden="false" customHeight="false" outlineLevel="0" collapsed="false">
      <c r="B1673" s="2896" t="str">
        <f aca="false">'Смета Внутр'!B1679</f>
        <v>Итого работы</v>
      </c>
      <c r="C1673" s="2896"/>
      <c r="D1673" s="2896"/>
      <c r="E1673" s="2896"/>
      <c r="F1673" s="2897" t="n">
        <f aca="false">'Смета Внутр'!G1679</f>
        <v>0</v>
      </c>
    </row>
    <row r="1674" customFormat="false" ht="18.5" hidden="false" customHeight="false" outlineLevel="0" collapsed="false">
      <c r="B1674" s="2899" t="str">
        <f aca="false">'Смета Внутр'!B1680</f>
        <v>Кровля на пристройке</v>
      </c>
      <c r="C1674" s="2899"/>
      <c r="D1674" s="2899"/>
      <c r="E1674" s="2899"/>
      <c r="F1674" s="2893" t="n">
        <f aca="false">'Смета Внутр'!H1680</f>
        <v>0</v>
      </c>
    </row>
    <row r="1675" customFormat="false" ht="14.5" hidden="false" customHeight="false" outlineLevel="0" collapsed="false">
      <c r="B1675" s="2894" t="str">
        <f aca="false">'Смета Внутр'!B1681</f>
        <v>Материалы</v>
      </c>
      <c r="C1675" s="2894"/>
      <c r="D1675" s="2894"/>
      <c r="E1675" s="2894"/>
      <c r="F1675" s="2893" t="n">
        <f aca="false">'Смета Внутр'!H1681</f>
        <v>0</v>
      </c>
    </row>
    <row r="1676" customFormat="false" ht="14.5" hidden="false" customHeight="false" outlineLevel="0" collapsed="false">
      <c r="B1676" s="2888" t="str">
        <f aca="false">'Смета Внутр'!B1682</f>
        <v>Доска сухая калиброванная, 190*45мм</v>
      </c>
      <c r="C1676" s="2889" t="str">
        <f aca="false">'Смета Внутр'!C1682</f>
        <v>м3</v>
      </c>
      <c r="D1676" s="2890" t="n">
        <f aca="false">'Смета Внутр'!D1682</f>
        <v>0</v>
      </c>
      <c r="E1676" s="2888"/>
      <c r="F1676" s="2895" t="n">
        <f aca="false">'Смета Внутр'!H1682</f>
        <v>0</v>
      </c>
    </row>
    <row r="1677" customFormat="false" ht="14.5" hidden="false" customHeight="false" outlineLevel="0" collapsed="false">
      <c r="B1677" s="2888" t="str">
        <f aca="false">'Смета Внутр'!B1683</f>
        <v>Болты анкерные с гайкой 12,0 х 280</v>
      </c>
      <c r="C1677" s="2889" t="str">
        <f aca="false">'Смета Внутр'!C1683</f>
        <v>шт</v>
      </c>
      <c r="D1677" s="2890" t="n">
        <f aca="false">'Смета Внутр'!D1683</f>
        <v>0</v>
      </c>
      <c r="E1677" s="2888"/>
      <c r="F1677" s="2895" t="n">
        <f aca="false">'Смета Внутр'!H1683</f>
        <v>0</v>
      </c>
    </row>
    <row r="1678" customFormat="false" ht="14.5" hidden="false" customHeight="false" outlineLevel="0" collapsed="false">
      <c r="B1678" s="2888" t="str">
        <f aca="false">'Смета Внутр'!B1684</f>
        <v>Доска сухая, 200*50мм</v>
      </c>
      <c r="C1678" s="2889" t="str">
        <f aca="false">'Смета Внутр'!C1684</f>
        <v>м3</v>
      </c>
      <c r="D1678" s="2890" t="n">
        <f aca="false">'Смета Внутр'!D1684</f>
        <v>0</v>
      </c>
      <c r="E1678" s="2888"/>
      <c r="F1678" s="2895" t="n">
        <f aca="false">'Смета Внутр'!H1684</f>
        <v>0</v>
      </c>
    </row>
    <row r="1679" customFormat="false" ht="14.5" hidden="false" customHeight="false" outlineLevel="0" collapsed="false">
      <c r="B1679" s="2888" t="str">
        <f aca="false">'Смета Внутр'!B1685</f>
        <v>бугель, доска</v>
      </c>
      <c r="C1679" s="2889" t="str">
        <f aca="false">'Смета Внутр'!C1685</f>
        <v>м3</v>
      </c>
      <c r="D1679" s="2890" t="n">
        <f aca="false">'Смета Внутр'!D1685</f>
        <v>0</v>
      </c>
      <c r="E1679" s="2888"/>
      <c r="F1679" s="2895" t="n">
        <f aca="false">'Смета Внутр'!H1685</f>
        <v>0</v>
      </c>
    </row>
    <row r="1680" customFormat="false" ht="14.5" hidden="false" customHeight="false" outlineLevel="0" collapsed="false">
      <c r="B1680" s="2888" t="str">
        <f aca="false">'Смета Внутр'!B1686</f>
        <v>Сосна влаж,100*25мм</v>
      </c>
      <c r="C1680" s="2889" t="str">
        <f aca="false">'Смета Внутр'!C1686</f>
        <v>м3</v>
      </c>
      <c r="D1680" s="2890" t="n">
        <f aca="false">'Смета Внутр'!D1686</f>
        <v>0</v>
      </c>
      <c r="E1680" s="2888"/>
      <c r="F1680" s="2895" t="n">
        <f aca="false">'Смета Внутр'!H1686</f>
        <v>0</v>
      </c>
    </row>
    <row r="1681" customFormat="false" ht="14.5" hidden="false" customHeight="false" outlineLevel="0" collapsed="false">
      <c r="B1681" s="2888" t="str">
        <f aca="false">'Смета Внутр'!B1687</f>
        <v>Доска сухая, калибр., 35*45мм</v>
      </c>
      <c r="C1681" s="2889" t="str">
        <f aca="false">'Смета Внутр'!C1687</f>
        <v>шт</v>
      </c>
      <c r="D1681" s="2890" t="n">
        <f aca="false">'Смета Внутр'!D1687</f>
        <v>0</v>
      </c>
      <c r="E1681" s="2888"/>
      <c r="F1681" s="2895" t="n">
        <f aca="false">'Смета Внутр'!H1687</f>
        <v>0</v>
      </c>
    </row>
    <row r="1682" customFormat="false" ht="14.5" hidden="false" customHeight="false" outlineLevel="0" collapsed="false">
      <c r="B1682" s="2888" t="str">
        <f aca="false">'Смета Внутр'!B1688</f>
        <v>Мембраны Tyvek Soft</v>
      </c>
      <c r="C1682" s="2889" t="str">
        <f aca="false">'Смета Внутр'!C1688</f>
        <v>м2</v>
      </c>
      <c r="D1682" s="2890" t="n">
        <f aca="false">'Смета Внутр'!D1688</f>
        <v>0</v>
      </c>
      <c r="E1682" s="2888"/>
      <c r="F1682" s="2895" t="n">
        <f aca="false">'Смета Внутр'!H1688</f>
        <v>0</v>
      </c>
    </row>
    <row r="1683" customFormat="false" ht="14.5" hidden="false" customHeight="false" outlineLevel="0" collapsed="false">
      <c r="B1683" s="2888" t="str">
        <f aca="false">'Смета Внутр'!B1689</f>
        <v>Пленка Delta-Reflex</v>
      </c>
      <c r="C1683" s="2889" t="str">
        <f aca="false">'Смета Внутр'!C1689</f>
        <v>м2</v>
      </c>
      <c r="D1683" s="2890" t="n">
        <f aca="false">'Смета Внутр'!D1689</f>
        <v>0</v>
      </c>
      <c r="E1683" s="2888"/>
      <c r="F1683" s="2895" t="n">
        <f aca="false">'Смета Внутр'!H1689</f>
        <v>0</v>
      </c>
    </row>
    <row r="1684" customFormat="false" ht="14.5" hidden="false" customHeight="false" outlineLevel="0" collapsed="false">
      <c r="B1684" s="2888" t="str">
        <f aca="false">'Смета Внутр'!B1690</f>
        <v>Плитный,28кг/м3, технониколь, 200мм</v>
      </c>
      <c r="C1684" s="2889" t="str">
        <f aca="false">'Смета Внутр'!C1690</f>
        <v>м3</v>
      </c>
      <c r="D1684" s="2890" t="n">
        <f aca="false">'Смета Внутр'!D1690</f>
        <v>0</v>
      </c>
      <c r="E1684" s="2888"/>
      <c r="F1684" s="2895" t="n">
        <f aca="false">'Смета Внутр'!H1690</f>
        <v>0</v>
      </c>
    </row>
    <row r="1685" customFormat="false" ht="14.5" hidden="false" customHeight="false" outlineLevel="0" collapsed="false">
      <c r="B1685" s="2888" t="str">
        <f aca="false">'Смета Внутр'!B1691</f>
        <v>металлочерепица</v>
      </c>
      <c r="C1685" s="2889" t="str">
        <f aca="false">'Смета Внутр'!C1691</f>
        <v>м2</v>
      </c>
      <c r="D1685" s="2890" t="n">
        <f aca="false">'Смета Внутр'!D1691</f>
        <v>0</v>
      </c>
      <c r="E1685" s="2888"/>
      <c r="F1685" s="2895" t="n">
        <f aca="false">'Смета Внутр'!H1691</f>
        <v>0</v>
      </c>
    </row>
    <row r="1686" customFormat="false" ht="14.5" hidden="false" customHeight="false" outlineLevel="0" collapsed="false">
      <c r="B1686" s="2888" t="str">
        <f aca="false">'Смета Внутр'!B1692</f>
        <v>Карнизная планка</v>
      </c>
      <c r="C1686" s="2889" t="str">
        <f aca="false">'Смета Внутр'!C1692</f>
        <v>м.п.</v>
      </c>
      <c r="D1686" s="2890" t="n">
        <f aca="false">'Смета Внутр'!D1692</f>
        <v>0</v>
      </c>
      <c r="E1686" s="2888"/>
      <c r="F1686" s="2895" t="n">
        <f aca="false">'Смета Внутр'!H1692</f>
        <v>0</v>
      </c>
    </row>
    <row r="1687" customFormat="false" ht="14.5" hidden="false" customHeight="false" outlineLevel="0" collapsed="false">
      <c r="B1687" s="2888" t="str">
        <f aca="false">'Смета Внутр'!B1693</f>
        <v>Торцевая планка</v>
      </c>
      <c r="C1687" s="2889" t="str">
        <f aca="false">'Смета Внутр'!C1693</f>
        <v>м.п.</v>
      </c>
      <c r="D1687" s="2890" t="n">
        <f aca="false">'Смета Внутр'!D1693</f>
        <v>0</v>
      </c>
      <c r="E1687" s="2888"/>
      <c r="F1687" s="2895" t="n">
        <f aca="false">'Смета Внутр'!H1693</f>
        <v>0</v>
      </c>
    </row>
    <row r="1688" customFormat="false" ht="14.5" hidden="false" customHeight="false" outlineLevel="0" collapsed="false">
      <c r="B1688" s="2888" t="str">
        <f aca="false">'Смета Внутр'!B1694</f>
        <v>Конек</v>
      </c>
      <c r="C1688" s="2889" t="str">
        <f aca="false">'Смета Внутр'!C1694</f>
        <v>м.п.</v>
      </c>
      <c r="D1688" s="2890" t="n">
        <f aca="false">'Смета Внутр'!D1694</f>
        <v>0</v>
      </c>
      <c r="E1688" s="2888"/>
      <c r="F1688" s="2895" t="n">
        <f aca="false">'Смета Внутр'!H1694</f>
        <v>0</v>
      </c>
    </row>
    <row r="1689" customFormat="false" ht="14.5" hidden="false" customHeight="false" outlineLevel="0" collapsed="false">
      <c r="B1689" s="2888" t="str">
        <f aca="false">'Смета Внутр'!B1695</f>
        <v>Ендова нижняя</v>
      </c>
      <c r="C1689" s="2889" t="str">
        <f aca="false">'Смета Внутр'!C1695</f>
        <v>м.п</v>
      </c>
      <c r="D1689" s="2890" t="n">
        <f aca="false">'Смета Внутр'!D1695</f>
        <v>0</v>
      </c>
      <c r="E1689" s="2888"/>
      <c r="F1689" s="2895" t="n">
        <f aca="false">'Смета Внутр'!H1695</f>
        <v>0</v>
      </c>
    </row>
    <row r="1690" customFormat="false" ht="14.5" hidden="false" customHeight="false" outlineLevel="0" collapsed="false">
      <c r="B1690" s="2888" t="str">
        <f aca="false">'Смета Внутр'!B1696</f>
        <v>Планка примыкания</v>
      </c>
      <c r="C1690" s="2889" t="str">
        <f aca="false">'Смета Внутр'!C1696</f>
        <v>м.п.</v>
      </c>
      <c r="D1690" s="2890" t="n">
        <f aca="false">'Смета Внутр'!D1696</f>
        <v>0</v>
      </c>
      <c r="E1690" s="2888"/>
      <c r="F1690" s="2895" t="n">
        <f aca="false">'Смета Внутр'!H1696</f>
        <v>0</v>
      </c>
    </row>
    <row r="1691" customFormat="false" ht="14.5" hidden="false" customHeight="false" outlineLevel="0" collapsed="false">
      <c r="B1691" s="2888" t="str">
        <f aca="false">'Смета Внутр'!B1697</f>
        <v>ондулин</v>
      </c>
      <c r="C1691" s="2889" t="str">
        <f aca="false">'Смета Внутр'!C1697</f>
        <v>м2</v>
      </c>
      <c r="D1691" s="2890" t="n">
        <f aca="false">'Смета Внутр'!D1697</f>
        <v>0</v>
      </c>
      <c r="E1691" s="2888"/>
      <c r="F1691" s="2895" t="n">
        <f aca="false">'Смета Внутр'!H1697</f>
        <v>0</v>
      </c>
    </row>
    <row r="1692" customFormat="false" ht="14.5" hidden="false" customHeight="false" outlineLevel="0" collapsed="false">
      <c r="B1692" s="2888" t="str">
        <f aca="false">'Смета Внутр'!B1698</f>
        <v>Карнизная планка</v>
      </c>
      <c r="C1692" s="2889" t="str">
        <f aca="false">'Смета Внутр'!C1698</f>
        <v>м.п.</v>
      </c>
      <c r="D1692" s="2890" t="n">
        <f aca="false">'Смета Внутр'!D1698</f>
        <v>0</v>
      </c>
      <c r="E1692" s="2888"/>
      <c r="F1692" s="2895" t="n">
        <f aca="false">'Смета Внутр'!H1698</f>
        <v>0</v>
      </c>
    </row>
    <row r="1693" customFormat="false" ht="14.5" hidden="false" customHeight="false" outlineLevel="0" collapsed="false">
      <c r="B1693" s="2888" t="str">
        <f aca="false">'Смета Внутр'!B1699</f>
        <v>Торцевая планка</v>
      </c>
      <c r="C1693" s="2889" t="str">
        <f aca="false">'Смета Внутр'!C1699</f>
        <v>м.п.</v>
      </c>
      <c r="D1693" s="2890" t="n">
        <f aca="false">'Смета Внутр'!D1699</f>
        <v>0</v>
      </c>
      <c r="E1693" s="2888"/>
      <c r="F1693" s="2895" t="n">
        <f aca="false">'Смета Внутр'!H1699</f>
        <v>0</v>
      </c>
    </row>
    <row r="1694" customFormat="false" ht="14.5" hidden="false" customHeight="false" outlineLevel="0" collapsed="false">
      <c r="B1694" s="2888" t="str">
        <f aca="false">'Смета Внутр'!B1700</f>
        <v>Конек</v>
      </c>
      <c r="C1694" s="2889" t="str">
        <f aca="false">'Смета Внутр'!C1700</f>
        <v>м.п.</v>
      </c>
      <c r="D1694" s="2890" t="n">
        <f aca="false">'Смета Внутр'!D1700</f>
        <v>0</v>
      </c>
      <c r="E1694" s="2888"/>
      <c r="F1694" s="2895" t="n">
        <f aca="false">'Смета Внутр'!H1700</f>
        <v>0</v>
      </c>
    </row>
    <row r="1695" customFormat="false" ht="14.5" hidden="false" customHeight="false" outlineLevel="0" collapsed="false">
      <c r="B1695" s="2888" t="str">
        <f aca="false">'Смета Внутр'!B1701</f>
        <v>Ендова нижняя</v>
      </c>
      <c r="C1695" s="2889" t="str">
        <f aca="false">'Смета Внутр'!C1701</f>
        <v>м.п.</v>
      </c>
      <c r="D1695" s="2890" t="n">
        <f aca="false">'Смета Внутр'!D1701</f>
        <v>0</v>
      </c>
      <c r="E1695" s="2888"/>
      <c r="F1695" s="2895" t="n">
        <f aca="false">'Смета Внутр'!H1701</f>
        <v>0</v>
      </c>
    </row>
    <row r="1696" customFormat="false" ht="14.5" hidden="false" customHeight="false" outlineLevel="0" collapsed="false">
      <c r="B1696" s="2888" t="str">
        <f aca="false">'Смета Внутр'!B1702</f>
        <v>Ендова верхняя</v>
      </c>
      <c r="C1696" s="2889" t="str">
        <f aca="false">'Смета Внутр'!C1702</f>
        <v>м.п.</v>
      </c>
      <c r="D1696" s="2890" t="n">
        <f aca="false">'Смета Внутр'!D1702</f>
        <v>0</v>
      </c>
      <c r="E1696" s="2888"/>
      <c r="F1696" s="2895" t="n">
        <f aca="false">'Смета Внутр'!H1702</f>
        <v>0</v>
      </c>
    </row>
    <row r="1697" customFormat="false" ht="14.5" hidden="false" customHeight="false" outlineLevel="0" collapsed="false">
      <c r="B1697" s="2888" t="str">
        <f aca="false">'Смета Внутр'!B1703</f>
        <v>Планка примыкания</v>
      </c>
      <c r="C1697" s="2889" t="str">
        <f aca="false">'Смета Внутр'!C1703</f>
        <v>м.п.</v>
      </c>
      <c r="D1697" s="2890" t="n">
        <f aca="false">'Смета Внутр'!D1703</f>
        <v>0</v>
      </c>
      <c r="E1697" s="2888"/>
      <c r="F1697" s="2895" t="n">
        <f aca="false">'Смета Внутр'!H1703</f>
        <v>0</v>
      </c>
    </row>
    <row r="1698" customFormat="false" ht="14.5" hidden="false" customHeight="false" outlineLevel="0" collapsed="false">
      <c r="B1698" s="2888" t="str">
        <f aca="false">'Смета Внутр'!B1704</f>
        <v>Крепеж для ондулина</v>
      </c>
      <c r="C1698" s="2889" t="str">
        <f aca="false">'Смета Внутр'!C1704</f>
        <v>шт</v>
      </c>
      <c r="D1698" s="2890" t="n">
        <f aca="false">'Смета Внутр'!D1704</f>
        <v>0</v>
      </c>
      <c r="E1698" s="2888"/>
      <c r="F1698" s="2895" t="n">
        <f aca="false">'Смета Внутр'!H1704</f>
        <v>0</v>
      </c>
    </row>
    <row r="1699" customFormat="false" ht="14.5" hidden="false" customHeight="false" outlineLevel="0" collapsed="false">
      <c r="B1699" s="2888" t="str">
        <f aca="false">'Смета Внутр'!B1705</f>
        <v>нет</v>
      </c>
      <c r="C1699" s="2889" t="str">
        <f aca="false">'Смета Внутр'!C1705</f>
        <v>м2</v>
      </c>
      <c r="D1699" s="2890" t="n">
        <f aca="false">'Смета Внутр'!D1705</f>
        <v>0</v>
      </c>
      <c r="E1699" s="2888"/>
      <c r="F1699" s="2895" t="n">
        <f aca="false">'Смета Внутр'!H1705</f>
        <v>0</v>
      </c>
    </row>
    <row r="1700" customFormat="false" ht="14.5" hidden="false" customHeight="false" outlineLevel="0" collapsed="false">
      <c r="B1700" s="2888" t="str">
        <f aca="false">'Смета Внутр'!B1706</f>
        <v>Рядовая черепица</v>
      </c>
      <c r="C1700" s="2889" t="str">
        <f aca="false">'Смета Внутр'!C1706</f>
        <v>м2</v>
      </c>
      <c r="D1700" s="2890" t="n">
        <f aca="false">'Смета Внутр'!D1706</f>
        <v>0</v>
      </c>
      <c r="E1700" s="2888"/>
      <c r="F1700" s="2895" t="n">
        <f aca="false">'Смета Внутр'!H1706</f>
        <v>0</v>
      </c>
    </row>
    <row r="1701" customFormat="false" ht="14.5" hidden="false" customHeight="false" outlineLevel="0" collapsed="false">
      <c r="B1701" s="2888" t="str">
        <f aca="false">'Смета Внутр'!B1707</f>
        <v>Металл оцинк защита (карниз)</v>
      </c>
      <c r="C1701" s="2889" t="str">
        <f aca="false">'Смета Внутр'!C1707</f>
        <v>м.п.</v>
      </c>
      <c r="D1701" s="2890" t="n">
        <f aca="false">'Смета Внутр'!D1707</f>
        <v>0</v>
      </c>
      <c r="E1701" s="2888"/>
      <c r="F1701" s="2895" t="n">
        <f aca="false">'Смета Внутр'!H1707</f>
        <v>0</v>
      </c>
    </row>
    <row r="1702" customFormat="false" ht="14.5" hidden="false" customHeight="false" outlineLevel="0" collapsed="false">
      <c r="B1702" s="2888" t="str">
        <f aca="false">'Смета Внутр'!B1708</f>
        <v>Подкладочный ковер</v>
      </c>
      <c r="C1702" s="2889" t="str">
        <f aca="false">'Смета Внутр'!C1708</f>
        <v>м.п.</v>
      </c>
      <c r="D1702" s="2890" t="n">
        <f aca="false">'Смета Внутр'!D1708</f>
        <v>0</v>
      </c>
      <c r="E1702" s="2888"/>
      <c r="F1702" s="2895" t="n">
        <f aca="false">'Смета Внутр'!H1708</f>
        <v>0</v>
      </c>
    </row>
    <row r="1703" customFormat="false" ht="14.5" hidden="false" customHeight="false" outlineLevel="0" collapsed="false">
      <c r="B1703" s="2888" t="str">
        <f aca="false">'Смета Внутр'!B1709</f>
        <v>Карнизная самоклеющаяся черепица</v>
      </c>
      <c r="C1703" s="2889" t="str">
        <f aca="false">'Смета Внутр'!C1709</f>
        <v>м.п.</v>
      </c>
      <c r="D1703" s="2890" t="n">
        <f aca="false">'Смета Внутр'!D1709</f>
        <v>0</v>
      </c>
      <c r="E1703" s="2888"/>
      <c r="F1703" s="2895" t="n">
        <f aca="false">'Смета Внутр'!H1709</f>
        <v>0</v>
      </c>
    </row>
    <row r="1704" customFormat="false" ht="14.5" hidden="false" customHeight="false" outlineLevel="0" collapsed="false">
      <c r="B1704" s="2888" t="str">
        <f aca="false">'Смета Внутр'!B1710</f>
        <v>Спец ковер ендова нижняя</v>
      </c>
      <c r="C1704" s="2889" t="str">
        <f aca="false">'Смета Внутр'!C1710</f>
        <v>м.п.</v>
      </c>
      <c r="D1704" s="2890" t="n">
        <f aca="false">'Смета Внутр'!D1710</f>
        <v>0</v>
      </c>
      <c r="E1704" s="2888"/>
      <c r="F1704" s="2895" t="n">
        <f aca="false">'Смета Внутр'!H1710</f>
        <v>0</v>
      </c>
    </row>
    <row r="1705" customFormat="false" ht="14.5" hidden="false" customHeight="false" outlineLevel="0" collapsed="false">
      <c r="B1705" s="2888" t="str">
        <f aca="false">'Смета Внутр'!B1711</f>
        <v>Коньковой элемент</v>
      </c>
      <c r="C1705" s="2889" t="str">
        <f aca="false">'Смета Внутр'!C1711</f>
        <v>м.п.</v>
      </c>
      <c r="D1705" s="2890" t="n">
        <f aca="false">'Смета Внутр'!D1711</f>
        <v>0</v>
      </c>
      <c r="E1705" s="2888"/>
      <c r="F1705" s="2895" t="n">
        <f aca="false">'Смета Внутр'!H1711</f>
        <v>0</v>
      </c>
    </row>
    <row r="1706" customFormat="false" ht="14.5" hidden="false" customHeight="false" outlineLevel="0" collapsed="false">
      <c r="B1706" s="2888" t="str">
        <f aca="false">'Смета Внутр'!B1712</f>
        <v>Планка премыкания</v>
      </c>
      <c r="C1706" s="2889" t="str">
        <f aca="false">'Смета Внутр'!C1712</f>
        <v>м.п.</v>
      </c>
      <c r="D1706" s="2890" t="n">
        <f aca="false">'Смета Внутр'!D1712</f>
        <v>0</v>
      </c>
      <c r="E1706" s="2888"/>
      <c r="F1706" s="2895" t="n">
        <f aca="false">'Смета Внутр'!H1712</f>
        <v>0</v>
      </c>
    </row>
    <row r="1707" customFormat="false" ht="14.5" hidden="false" customHeight="false" outlineLevel="0" collapsed="false">
      <c r="B1707" s="2888" t="str">
        <f aca="false">'Смета Внутр'!B1713</f>
        <v>Гвозди для крепления подкладочного ковра</v>
      </c>
      <c r="C1707" s="2889" t="str">
        <f aca="false">'Смета Внутр'!C1713</f>
        <v>шт</v>
      </c>
      <c r="D1707" s="2890" t="n">
        <f aca="false">'Смета Внутр'!D1713</f>
        <v>0</v>
      </c>
      <c r="E1707" s="2888"/>
      <c r="F1707" s="2895" t="n">
        <f aca="false">'Смета Внутр'!H1713</f>
        <v>0</v>
      </c>
    </row>
    <row r="1708" customFormat="false" ht="14.5" hidden="false" customHeight="false" outlineLevel="0" collapsed="false">
      <c r="B1708" s="2888" t="str">
        <f aca="false">'Смета Внутр'!B1714</f>
        <v>Гвозди для крепления черепицы</v>
      </c>
      <c r="C1708" s="2889" t="str">
        <f aca="false">'Смета Внутр'!C1714</f>
        <v>шт</v>
      </c>
      <c r="D1708" s="2890" t="n">
        <f aca="false">'Смета Внутр'!D1714</f>
        <v>0</v>
      </c>
      <c r="E1708" s="2888"/>
      <c r="F1708" s="2895" t="n">
        <f aca="false">'Смета Внутр'!H1714</f>
        <v>0</v>
      </c>
    </row>
    <row r="1709" customFormat="false" ht="14.5" hidden="false" customHeight="false" outlineLevel="0" collapsed="false">
      <c r="B1709" s="2888" t="str">
        <f aca="false">'Смета Внутр'!B1715</f>
        <v>Клей для монтажа черепицы</v>
      </c>
      <c r="C1709" s="2889" t="str">
        <f aca="false">'Смета Внутр'!C1715</f>
        <v>кг</v>
      </c>
      <c r="D1709" s="2890" t="n">
        <f aca="false">'Смета Внутр'!D1715</f>
        <v>0</v>
      </c>
      <c r="E1709" s="2888"/>
      <c r="F1709" s="2895" t="n">
        <f aca="false">'Смета Внутр'!H1715</f>
        <v>0</v>
      </c>
    </row>
    <row r="1710" customFormat="false" ht="14.5" hidden="false" customHeight="false" outlineLevel="0" collapsed="false">
      <c r="B1710" s="2888" t="str">
        <f aca="false">'Смета Внутр'!B1716</f>
        <v>желоб</v>
      </c>
      <c r="C1710" s="2889" t="str">
        <f aca="false">'Смета Внутр'!C1716</f>
        <v>м.п</v>
      </c>
      <c r="D1710" s="2890" t="n">
        <f aca="false">'Смета Внутр'!D1716</f>
        <v>0</v>
      </c>
      <c r="E1710" s="2888"/>
      <c r="F1710" s="2895" t="n">
        <f aca="false">'Смета Внутр'!H1716</f>
        <v>0</v>
      </c>
    </row>
    <row r="1711" customFormat="false" ht="14.5" hidden="false" customHeight="false" outlineLevel="0" collapsed="false">
      <c r="B1711" s="2888" t="str">
        <f aca="false">'Смета Внутр'!B1717</f>
        <v>отвод</v>
      </c>
      <c r="C1711" s="2889" t="str">
        <f aca="false">'Смета Внутр'!C1717</f>
        <v>шт</v>
      </c>
      <c r="D1711" s="2890" t="n">
        <f aca="false">'Смета Внутр'!D1717</f>
        <v>0</v>
      </c>
      <c r="E1711" s="2888"/>
      <c r="F1711" s="2895" t="n">
        <f aca="false">'Смета Внутр'!H1717</f>
        <v>0</v>
      </c>
    </row>
    <row r="1712" customFormat="false" ht="14.5" hidden="false" customHeight="false" outlineLevel="0" collapsed="false">
      <c r="B1712" s="2888" t="str">
        <f aca="false">'Смета Внутр'!B1718</f>
        <v>труба водосточная</v>
      </c>
      <c r="C1712" s="2889" t="str">
        <f aca="false">'Смета Внутр'!C1718</f>
        <v>м.п.</v>
      </c>
      <c r="D1712" s="2890" t="n">
        <f aca="false">'Смета Внутр'!D1718</f>
        <v>0</v>
      </c>
      <c r="E1712" s="2888"/>
      <c r="F1712" s="2895" t="n">
        <f aca="false">'Смета Внутр'!H1718</f>
        <v>0</v>
      </c>
    </row>
    <row r="1713" customFormat="false" ht="14.5" hidden="false" customHeight="false" outlineLevel="0" collapsed="false">
      <c r="B1713" s="2888" t="str">
        <f aca="false">'Смета Внутр'!B1719</f>
        <v>заглушка для желоба</v>
      </c>
      <c r="C1713" s="2889" t="str">
        <f aca="false">'Смета Внутр'!C1719</f>
        <v>шт</v>
      </c>
      <c r="D1713" s="2890" t="n">
        <f aca="false">'Смета Внутр'!D1719</f>
        <v>0</v>
      </c>
      <c r="E1713" s="2888"/>
      <c r="F1713" s="2895" t="n">
        <f aca="false">'Смета Внутр'!H1719</f>
        <v>0</v>
      </c>
    </row>
    <row r="1714" customFormat="false" ht="14.5" hidden="false" customHeight="false" outlineLevel="0" collapsed="false">
      <c r="B1714" s="2888" t="str">
        <f aca="false">'Смета Внутр'!B1720</f>
        <v>соеденитель для желоба</v>
      </c>
      <c r="C1714" s="2889" t="str">
        <f aca="false">'Смета Внутр'!C1720</f>
        <v>шт</v>
      </c>
      <c r="D1714" s="2890" t="n">
        <f aca="false">'Смета Внутр'!D1720</f>
        <v>2</v>
      </c>
      <c r="E1714" s="2888"/>
      <c r="F1714" s="2895" t="n">
        <f aca="false">'Смета Внутр'!H1720</f>
        <v>0</v>
      </c>
    </row>
    <row r="1715" customFormat="false" ht="14.5" hidden="false" customHeight="false" outlineLevel="0" collapsed="false">
      <c r="B1715" s="2888" t="str">
        <f aca="false">'Смета Внутр'!B1721</f>
        <v>кронштейн для желоба</v>
      </c>
      <c r="C1715" s="2889" t="str">
        <f aca="false">'Смета Внутр'!C1721</f>
        <v>шт</v>
      </c>
      <c r="D1715" s="2890" t="n">
        <f aca="false">'Смета Внутр'!D1721</f>
        <v>0</v>
      </c>
      <c r="E1715" s="2888"/>
      <c r="F1715" s="2895" t="n">
        <f aca="false">'Смета Внутр'!H1721</f>
        <v>0</v>
      </c>
    </row>
    <row r="1716" customFormat="false" ht="14.5" hidden="false" customHeight="false" outlineLevel="0" collapsed="false">
      <c r="B1716" s="2888" t="str">
        <f aca="false">'Смета Внутр'!B1722</f>
        <v>переход из желоба в трубу</v>
      </c>
      <c r="C1716" s="2889" t="str">
        <f aca="false">'Смета Внутр'!C1722</f>
        <v>шт</v>
      </c>
      <c r="D1716" s="2890" t="n">
        <f aca="false">'Смета Внутр'!D1722</f>
        <v>0</v>
      </c>
      <c r="E1716" s="2888"/>
      <c r="F1716" s="2895" t="n">
        <f aca="false">'Смета Внутр'!H1722</f>
        <v>0</v>
      </c>
    </row>
    <row r="1717" customFormat="false" ht="14.5" hidden="false" customHeight="false" outlineLevel="0" collapsed="false">
      <c r="B1717" s="2888" t="str">
        <f aca="false">'Смета Внутр'!B1723</f>
        <v>лента дельта мульти бэнд</v>
      </c>
      <c r="C1717" s="2889" t="str">
        <f aca="false">'Смета Внутр'!C1723</f>
        <v>шт</v>
      </c>
      <c r="D1717" s="2890" t="n">
        <f aca="false">'Смета Внутр'!D1723</f>
        <v>0</v>
      </c>
      <c r="E1717" s="2888"/>
      <c r="F1717" s="2895" t="n">
        <f aca="false">'Смета Внутр'!H1723</f>
        <v>0</v>
      </c>
    </row>
    <row r="1718" customFormat="false" ht="14.5" hidden="false" customHeight="false" outlineLevel="0" collapsed="false">
      <c r="B1718" s="2888" t="str">
        <f aca="false">'Смета Внутр'!B1724</f>
        <v>лента дельта sb-60</v>
      </c>
      <c r="C1718" s="2889" t="str">
        <f aca="false">'Смета Внутр'!C1724</f>
        <v>шт</v>
      </c>
      <c r="D1718" s="2890" t="n">
        <f aca="false">'Смета Внутр'!D1724</f>
        <v>0</v>
      </c>
      <c r="E1718" s="2888"/>
      <c r="F1718" s="2895" t="n">
        <f aca="false">'Смета Внутр'!H1724</f>
        <v>0</v>
      </c>
    </row>
    <row r="1719" customFormat="false" ht="14.5" hidden="false" customHeight="false" outlineLevel="0" collapsed="false">
      <c r="B1719" s="2888" t="str">
        <f aca="false">'Смета Внутр'!B1725</f>
        <v>Кровельный саморез</v>
      </c>
      <c r="C1719" s="2889" t="str">
        <f aca="false">'Смета Внутр'!C1725</f>
        <v>шт</v>
      </c>
      <c r="D1719" s="2890" t="n">
        <f aca="false">'Смета Внутр'!D1725</f>
        <v>0</v>
      </c>
      <c r="E1719" s="2888"/>
      <c r="F1719" s="2895" t="n">
        <f aca="false">'Смета Внутр'!H1725</f>
        <v>0</v>
      </c>
    </row>
    <row r="1720" customFormat="false" ht="14.5" hidden="false" customHeight="false" outlineLevel="0" collapsed="false">
      <c r="B1720" s="2888" t="str">
        <f aca="false">'Смета Внутр'!B1726</f>
        <v>Гвозди ершоные 3,4 x 60</v>
      </c>
      <c r="C1720" s="2889" t="str">
        <f aca="false">'Смета Внутр'!C1726</f>
        <v>кг</v>
      </c>
      <c r="D1720" s="2890" t="n">
        <f aca="false">'Смета Внутр'!D1726</f>
        <v>0</v>
      </c>
      <c r="E1720" s="2888"/>
      <c r="F1720" s="2895" t="n">
        <f aca="false">'Смета Внутр'!H1726</f>
        <v>0</v>
      </c>
    </row>
    <row r="1721" customFormat="false" ht="14.5" hidden="false" customHeight="false" outlineLevel="0" collapsed="false">
      <c r="B1721" s="2888" t="str">
        <f aca="false">'Смета Внутр'!B1727</f>
        <v>Гвозди ершоные 2,8 х 90</v>
      </c>
      <c r="C1721" s="2889" t="str">
        <f aca="false">'Смета Внутр'!C1727</f>
        <v>кг</v>
      </c>
      <c r="D1721" s="2890" t="n">
        <f aca="false">'Смета Внутр'!D1727</f>
        <v>0</v>
      </c>
      <c r="E1721" s="2888"/>
      <c r="F1721" s="2895" t="n">
        <f aca="false">'Смета Внутр'!H1727</f>
        <v>0</v>
      </c>
    </row>
    <row r="1722" customFormat="false" ht="14.5" hidden="false" customHeight="false" outlineLevel="0" collapsed="false">
      <c r="B1722" s="2888" t="str">
        <f aca="false">'Смета Внутр'!B1728</f>
        <v>Уголок усиленный 90х70х55х2,5</v>
      </c>
      <c r="C1722" s="2889" t="str">
        <f aca="false">'Смета Внутр'!C1728</f>
        <v>шт</v>
      </c>
      <c r="D1722" s="2890" t="n">
        <f aca="false">'Смета Внутр'!D1728</f>
        <v>0</v>
      </c>
      <c r="E1722" s="2888"/>
      <c r="F1722" s="2895" t="n">
        <f aca="false">'Смета Внутр'!H1728</f>
        <v>0</v>
      </c>
    </row>
    <row r="1723" customFormat="false" ht="14.5" hidden="false" customHeight="false" outlineLevel="0" collapsed="false">
      <c r="B1723" s="2896" t="str">
        <f aca="false">'Смета Внутр'!B1729</f>
        <v>Итого материалы</v>
      </c>
      <c r="C1723" s="2896"/>
      <c r="D1723" s="2896"/>
      <c r="E1723" s="2896"/>
      <c r="F1723" s="2897" t="n">
        <f aca="false">'Смета Внутр'!G1729</f>
        <v>0</v>
      </c>
    </row>
    <row r="1724" customFormat="false" ht="14.5" hidden="false" customHeight="false" outlineLevel="0" collapsed="false">
      <c r="B1724" s="2898" t="str">
        <f aca="false">'Смета Внутр'!B1730</f>
        <v>Работы</v>
      </c>
      <c r="C1724" s="2898"/>
      <c r="D1724" s="2898"/>
      <c r="E1724" s="2898"/>
      <c r="F1724" s="2893" t="n">
        <f aca="false">'Смета Внутр'!H1730</f>
        <v>0</v>
      </c>
    </row>
    <row r="1725" customFormat="false" ht="14.5" hidden="false" customHeight="false" outlineLevel="0" collapsed="false">
      <c r="B1725" s="2888" t="str">
        <f aca="false">'Смета Внутр'!B1731</f>
        <v>монтаж мауэрлат</v>
      </c>
      <c r="C1725" s="2889" t="str">
        <f aca="false">'Смета Внутр'!C1731</f>
        <v>м.п.</v>
      </c>
      <c r="D1725" s="2890" t="n">
        <f aca="false">'Смета Внутр'!D1731</f>
        <v>0</v>
      </c>
      <c r="E1725" s="2888"/>
      <c r="F1725" s="2895" t="n">
        <f aca="false">'Смета Внутр'!H1731</f>
        <v>0</v>
      </c>
    </row>
    <row r="1726" customFormat="false" ht="14.5" hidden="false" customHeight="false" outlineLevel="0" collapsed="false">
      <c r="B1726" s="2888" t="str">
        <f aca="false">'Смета Внутр'!B1732</f>
        <v>монтаж стропил</v>
      </c>
      <c r="C1726" s="2889" t="str">
        <f aca="false">'Смета Внутр'!C1732</f>
        <v>м2</v>
      </c>
      <c r="D1726" s="2890" t="n">
        <f aca="false">'Смета Внутр'!D1732</f>
        <v>0</v>
      </c>
      <c r="E1726" s="2888"/>
      <c r="F1726" s="2895" t="n">
        <f aca="false">'Смета Внутр'!H1732</f>
        <v>0</v>
      </c>
    </row>
    <row r="1727" customFormat="false" ht="14.5" hidden="false" customHeight="false" outlineLevel="0" collapsed="false">
      <c r="B1727" s="2888" t="str">
        <f aca="false">'Смета Внутр'!B1733</f>
        <v>обрешетка</v>
      </c>
      <c r="C1727" s="2889" t="str">
        <f aca="false">'Смета Внутр'!C1733</f>
        <v>м2</v>
      </c>
      <c r="D1727" s="2890" t="n">
        <f aca="false">'Смета Внутр'!D1733</f>
        <v>0</v>
      </c>
      <c r="E1727" s="2888"/>
      <c r="F1727" s="2895" t="n">
        <f aca="false">'Смета Внутр'!H1733</f>
        <v>0</v>
      </c>
    </row>
    <row r="1728" customFormat="false" ht="14.5" hidden="false" customHeight="false" outlineLevel="0" collapsed="false">
      <c r="B1728" s="2888" t="str">
        <f aca="false">'Смета Внутр'!B1734</f>
        <v>контробеш</v>
      </c>
      <c r="C1728" s="2889" t="str">
        <f aca="false">'Смета Внутр'!C1734</f>
        <v>м2</v>
      </c>
      <c r="D1728" s="2890" t="n">
        <f aca="false">'Смета Внутр'!D1734</f>
        <v>0</v>
      </c>
      <c r="E1728" s="2888"/>
      <c r="F1728" s="2895" t="n">
        <f aca="false">'Смета Внутр'!H1734</f>
        <v>0</v>
      </c>
    </row>
    <row r="1729" customFormat="false" ht="14.5" hidden="false" customHeight="false" outlineLevel="0" collapsed="false">
      <c r="B1729" s="2888" t="str">
        <f aca="false">'Смета Внутр'!B1735</f>
        <v>мембрана</v>
      </c>
      <c r="C1729" s="2889" t="str">
        <f aca="false">'Смета Внутр'!C1735</f>
        <v>м2</v>
      </c>
      <c r="D1729" s="2890" t="n">
        <f aca="false">'Смета Внутр'!D1735</f>
        <v>0</v>
      </c>
      <c r="E1729" s="2888"/>
      <c r="F1729" s="2895" t="n">
        <f aca="false">'Смета Внутр'!H1735</f>
        <v>0</v>
      </c>
    </row>
    <row r="1730" customFormat="false" ht="14.5" hidden="false" customHeight="false" outlineLevel="0" collapsed="false">
      <c r="B1730" s="2888" t="str">
        <f aca="false">'Смета Внутр'!B1736</f>
        <v>пароизоляц</v>
      </c>
      <c r="C1730" s="2889" t="str">
        <f aca="false">'Смета Внутр'!C1736</f>
        <v>м2</v>
      </c>
      <c r="D1730" s="2890" t="n">
        <f aca="false">'Смета Внутр'!D1736</f>
        <v>0</v>
      </c>
      <c r="E1730" s="2888"/>
      <c r="F1730" s="2895" t="n">
        <f aca="false">'Смета Внутр'!H1736</f>
        <v>0</v>
      </c>
    </row>
    <row r="1731" customFormat="false" ht="14.5" hidden="false" customHeight="false" outlineLevel="0" collapsed="false">
      <c r="B1731" s="2888" t="str">
        <f aca="false">'Смета Внутр'!B1737</f>
        <v>утеплитель</v>
      </c>
      <c r="C1731" s="2889" t="str">
        <f aca="false">'Смета Внутр'!C1737</f>
        <v>м2</v>
      </c>
      <c r="D1731" s="2890" t="n">
        <f aca="false">'Смета Внутр'!D1737</f>
        <v>0</v>
      </c>
      <c r="E1731" s="2888"/>
      <c r="F1731" s="2895" t="n">
        <f aca="false">'Смета Внутр'!H1737</f>
        <v>0</v>
      </c>
    </row>
    <row r="1732" customFormat="false" ht="14.5" hidden="false" customHeight="false" outlineLevel="0" collapsed="false">
      <c r="B1732" s="2888" t="str">
        <f aca="false">'Смета Внутр'!B1738</f>
        <v>Монтаж металлочерепицы</v>
      </c>
      <c r="C1732" s="2889" t="str">
        <f aca="false">'Смета Внутр'!C1738</f>
        <v>м2</v>
      </c>
      <c r="D1732" s="2890" t="n">
        <f aca="false">'Смета Внутр'!D1738</f>
        <v>0</v>
      </c>
      <c r="E1732" s="2888"/>
      <c r="F1732" s="2895" t="n">
        <f aca="false">'Смета Внутр'!H1738</f>
        <v>0</v>
      </c>
    </row>
    <row r="1733" customFormat="false" ht="14.5" hidden="false" customHeight="false" outlineLevel="0" collapsed="false">
      <c r="B1733" s="2888" t="str">
        <f aca="false">'Смета Внутр'!B1739</f>
        <v>карнизная планка</v>
      </c>
      <c r="C1733" s="2889" t="str">
        <f aca="false">'Смета Внутр'!C1739</f>
        <v>м2</v>
      </c>
      <c r="D1733" s="2890" t="n">
        <f aca="false">'Смета Внутр'!D1739</f>
        <v>0</v>
      </c>
      <c r="E1733" s="2888"/>
      <c r="F1733" s="2895" t="n">
        <f aca="false">'Смета Внутр'!H1739</f>
        <v>0</v>
      </c>
    </row>
    <row r="1734" customFormat="false" ht="14.5" hidden="false" customHeight="false" outlineLevel="0" collapsed="false">
      <c r="B1734" s="2888" t="str">
        <f aca="false">'Смета Внутр'!B1740</f>
        <v>торцевая планка</v>
      </c>
      <c r="C1734" s="2889" t="str">
        <f aca="false">'Смета Внутр'!C1740</f>
        <v>м2</v>
      </c>
      <c r="D1734" s="2890" t="n">
        <f aca="false">'Смета Внутр'!D1740</f>
        <v>0</v>
      </c>
      <c r="E1734" s="2888"/>
      <c r="F1734" s="2895" t="n">
        <f aca="false">'Смета Внутр'!H1740</f>
        <v>0</v>
      </c>
    </row>
    <row r="1735" customFormat="false" ht="14.5" hidden="false" customHeight="false" outlineLevel="0" collapsed="false">
      <c r="B1735" s="2888" t="str">
        <f aca="false">'Смета Внутр'!B1741</f>
        <v>желоб водосточный</v>
      </c>
      <c r="C1735" s="2889" t="str">
        <f aca="false">'Смета Внутр'!C1741</f>
        <v>м.п.</v>
      </c>
      <c r="D1735" s="2890" t="n">
        <f aca="false">'Смета Внутр'!D1741</f>
        <v>0</v>
      </c>
      <c r="E1735" s="2888"/>
      <c r="F1735" s="2895" t="n">
        <f aca="false">'Смета Внутр'!H1741</f>
        <v>0</v>
      </c>
    </row>
    <row r="1736" customFormat="false" ht="14.5" hidden="false" customHeight="false" outlineLevel="0" collapsed="false">
      <c r="B1736" s="2888" t="str">
        <f aca="false">'Смета Внутр'!B1742</f>
        <v>труба водосточная</v>
      </c>
      <c r="C1736" s="2889" t="str">
        <f aca="false">'Смета Внутр'!C1742</f>
        <v>м.п.</v>
      </c>
      <c r="D1736" s="2890" t="n">
        <f aca="false">'Смета Внутр'!D1742</f>
        <v>0</v>
      </c>
      <c r="E1736" s="2888"/>
      <c r="F1736" s="2895" t="n">
        <f aca="false">'Смета Внутр'!H1742</f>
        <v>0</v>
      </c>
    </row>
    <row r="1737" customFormat="false" ht="14.5" hidden="false" customHeight="false" outlineLevel="0" collapsed="false">
      <c r="B1737" s="2888" t="str">
        <f aca="false">'Смета Внутр'!B1743</f>
        <v>ендова внутр/наружн</v>
      </c>
      <c r="C1737" s="2889" t="str">
        <f aca="false">'Смета Внутр'!C1743</f>
        <v>м.п.</v>
      </c>
      <c r="D1737" s="2890" t="n">
        <f aca="false">'Смета Внутр'!D1743</f>
        <v>0</v>
      </c>
      <c r="E1737" s="2888"/>
      <c r="F1737" s="2895" t="n">
        <f aca="false">'Смета Внутр'!H1743</f>
        <v>0</v>
      </c>
    </row>
    <row r="1738" customFormat="false" ht="14.5" hidden="false" customHeight="false" outlineLevel="0" collapsed="false">
      <c r="B1738" s="2888" t="str">
        <f aca="false">'Смета Внутр'!B1744</f>
        <v>Монтаж ондулина</v>
      </c>
      <c r="C1738" s="2889" t="str">
        <f aca="false">'Смета Внутр'!C1744</f>
        <v>м2</v>
      </c>
      <c r="D1738" s="2890" t="n">
        <f aca="false">'Смета Внутр'!D1744</f>
        <v>0</v>
      </c>
      <c r="E1738" s="2888"/>
      <c r="F1738" s="2895" t="n">
        <f aca="false">'Смета Внутр'!H1744</f>
        <v>0</v>
      </c>
    </row>
    <row r="1739" customFormat="false" ht="14.5" hidden="false" customHeight="false" outlineLevel="0" collapsed="false">
      <c r="B1739" s="2888" t="str">
        <f aca="false">'Смета Внутр'!B1745</f>
        <v>Монтаж фанеры/osb</v>
      </c>
      <c r="C1739" s="2889" t="str">
        <f aca="false">'Смета Внутр'!C1745</f>
        <v>м2</v>
      </c>
      <c r="D1739" s="2890" t="n">
        <f aca="false">'Смета Внутр'!D1745</f>
        <v>0</v>
      </c>
      <c r="E1739" s="2888"/>
      <c r="F1739" s="2895" t="n">
        <f aca="false">'Смета Внутр'!H1745</f>
        <v>0</v>
      </c>
    </row>
    <row r="1740" customFormat="false" ht="14.5" hidden="false" customHeight="false" outlineLevel="0" collapsed="false">
      <c r="B1740" s="2888" t="str">
        <f aca="false">'Смета Внутр'!B1746</f>
        <v>монтаж подкладочного ковра</v>
      </c>
      <c r="C1740" s="2889" t="str">
        <f aca="false">'Смета Внутр'!C1746</f>
        <v>м2</v>
      </c>
      <c r="D1740" s="2890" t="n">
        <f aca="false">'Смета Внутр'!D1746</f>
        <v>0</v>
      </c>
      <c r="E1740" s="2888"/>
      <c r="F1740" s="2895" t="n">
        <f aca="false">'Смета Внутр'!H1746</f>
        <v>0</v>
      </c>
    </row>
    <row r="1741" customFormat="false" ht="14.5" hidden="false" customHeight="false" outlineLevel="0" collapsed="false">
      <c r="B1741" s="2888" t="str">
        <f aca="false">'Смета Внутр'!B1747</f>
        <v>Монтаж мягкой кровли</v>
      </c>
      <c r="C1741" s="2889" t="str">
        <f aca="false">'Смета Внутр'!C1747</f>
        <v>м2</v>
      </c>
      <c r="D1741" s="2890" t="n">
        <f aca="false">'Смета Внутр'!D1747</f>
        <v>0</v>
      </c>
      <c r="E1741" s="2888"/>
      <c r="F1741" s="2895" t="n">
        <f aca="false">'Смета Внутр'!H1747</f>
        <v>0</v>
      </c>
    </row>
    <row r="1742" customFormat="false" ht="14.5" hidden="false" customHeight="false" outlineLevel="0" collapsed="false">
      <c r="B1742" s="2896" t="str">
        <f aca="false">'Смета Внутр'!B1748</f>
        <v>Итого работы</v>
      </c>
      <c r="C1742" s="2896"/>
      <c r="D1742" s="2896"/>
      <c r="E1742" s="2896"/>
      <c r="F1742" s="2897" t="n">
        <f aca="false">'Смета Внутр'!G1748</f>
        <v>0</v>
      </c>
    </row>
    <row r="1743" customFormat="false" ht="18.5" hidden="false" customHeight="false" outlineLevel="0" collapsed="false">
      <c r="B1743" s="2899" t="str">
        <f aca="false">'Смета Внутр'!B1749</f>
        <v>Кровля на Эркере</v>
      </c>
      <c r="C1743" s="2899"/>
      <c r="D1743" s="2899"/>
      <c r="E1743" s="2899"/>
      <c r="F1743" s="2893" t="n">
        <f aca="false">'Смета Внутр'!H1749</f>
        <v>0</v>
      </c>
    </row>
    <row r="1744" customFormat="false" ht="14.5" hidden="false" customHeight="false" outlineLevel="0" collapsed="false">
      <c r="B1744" s="2894" t="str">
        <f aca="false">'Смета Внутр'!B1750</f>
        <v>Материалы</v>
      </c>
      <c r="C1744" s="2894"/>
      <c r="D1744" s="2894"/>
      <c r="E1744" s="2894"/>
      <c r="F1744" s="2893" t="n">
        <f aca="false">'Смета Внутр'!H1750</f>
        <v>0</v>
      </c>
    </row>
    <row r="1745" customFormat="false" ht="14.5" hidden="false" customHeight="false" outlineLevel="0" collapsed="false">
      <c r="B1745" s="2888" t="str">
        <f aca="false">'Смета Внутр'!B1751</f>
        <v>Брус естественной влажности, 100*100мм</v>
      </c>
      <c r="C1745" s="2889" t="str">
        <f aca="false">'Смета Внутр'!C1751</f>
        <v>м3</v>
      </c>
      <c r="D1745" s="2890" t="n">
        <f aca="false">'Смета Внутр'!D1751</f>
        <v>0</v>
      </c>
      <c r="E1745" s="2888"/>
      <c r="F1745" s="2895" t="n">
        <f aca="false">'Смета Внутр'!H1751</f>
        <v>0</v>
      </c>
    </row>
    <row r="1746" customFormat="false" ht="14.5" hidden="false" customHeight="false" outlineLevel="0" collapsed="false">
      <c r="B1746" s="2888" t="str">
        <f aca="false">'Смета Внутр'!B1752</f>
        <v>Болты анкерные с гайкой 12,0 х 280</v>
      </c>
      <c r="C1746" s="2889" t="str">
        <f aca="false">'Смета Внутр'!C1752</f>
        <v>шт</v>
      </c>
      <c r="D1746" s="2890" t="n">
        <f aca="false">'Смета Внутр'!D1752</f>
        <v>0</v>
      </c>
      <c r="E1746" s="2888"/>
      <c r="F1746" s="2895" t="n">
        <f aca="false">'Смета Внутр'!H1752</f>
        <v>0</v>
      </c>
    </row>
    <row r="1747" customFormat="false" ht="14.5" hidden="false" customHeight="false" outlineLevel="0" collapsed="false">
      <c r="B1747" s="2888" t="str">
        <f aca="false">'Смета Внутр'!B1753</f>
        <v>Доска сухая, 200*50мм</v>
      </c>
      <c r="C1747" s="2889" t="str">
        <f aca="false">'Смета Внутр'!C1753</f>
        <v>м3</v>
      </c>
      <c r="D1747" s="2890" t="n">
        <f aca="false">'Смета Внутр'!D1753</f>
        <v>0</v>
      </c>
      <c r="E1747" s="2888"/>
      <c r="F1747" s="2895" t="n">
        <f aca="false">'Смета Внутр'!H1753</f>
        <v>0</v>
      </c>
    </row>
    <row r="1748" customFormat="false" ht="14.5" hidden="false" customHeight="false" outlineLevel="0" collapsed="false">
      <c r="B1748" s="2888" t="str">
        <f aca="false">'Смета Внутр'!B1754</f>
        <v>Сосна влаж,100*25мм</v>
      </c>
      <c r="C1748" s="2889" t="str">
        <f aca="false">'Смета Внутр'!C1754</f>
        <v>м3</v>
      </c>
      <c r="D1748" s="2890" t="n">
        <f aca="false">'Смета Внутр'!D1754</f>
        <v>0</v>
      </c>
      <c r="E1748" s="2888"/>
      <c r="F1748" s="2895" t="n">
        <f aca="false">'Смета Внутр'!H1754</f>
        <v>0</v>
      </c>
    </row>
    <row r="1749" customFormat="false" ht="14.5" hidden="false" customHeight="false" outlineLevel="0" collapsed="false">
      <c r="B1749" s="2888" t="str">
        <f aca="false">'Смета Внутр'!B1755</f>
        <v>Доска сухая, калибр., 35*45мм</v>
      </c>
      <c r="C1749" s="2889" t="str">
        <f aca="false">'Смета Внутр'!C1755</f>
        <v>шт</v>
      </c>
      <c r="D1749" s="2890" t="n">
        <f aca="false">'Смета Внутр'!D1755</f>
        <v>0</v>
      </c>
      <c r="E1749" s="2888"/>
      <c r="F1749" s="2895" t="n">
        <f aca="false">'Смета Внутр'!H1755</f>
        <v>0</v>
      </c>
    </row>
    <row r="1750" customFormat="false" ht="14.5" hidden="false" customHeight="false" outlineLevel="0" collapsed="false">
      <c r="B1750" s="2888" t="str">
        <f aca="false">'Смета Внутр'!B1756</f>
        <v>нет ветроизоляции</v>
      </c>
      <c r="C1750" s="2889" t="str">
        <f aca="false">'Смета Внутр'!C1756</f>
        <v>м2</v>
      </c>
      <c r="D1750" s="2890" t="n">
        <f aca="false">'Смета Внутр'!D1756</f>
        <v>0</v>
      </c>
      <c r="E1750" s="2888"/>
      <c r="F1750" s="2895" t="n">
        <f aca="false">'Смета Внутр'!H1756</f>
        <v>0</v>
      </c>
    </row>
    <row r="1751" customFormat="false" ht="14.5" hidden="false" customHeight="false" outlineLevel="0" collapsed="false">
      <c r="B1751" s="2888" t="str">
        <f aca="false">'Смета Внутр'!B1757</f>
        <v>нет пароизоляции</v>
      </c>
      <c r="C1751" s="2889" t="str">
        <f aca="false">'Смета Внутр'!C1757</f>
        <v>м2</v>
      </c>
      <c r="D1751" s="2890" t="n">
        <f aca="false">'Смета Внутр'!D1757</f>
        <v>0</v>
      </c>
      <c r="E1751" s="2888"/>
      <c r="F1751" s="2895" t="n">
        <f aca="false">'Смета Внутр'!H1757</f>
        <v>0</v>
      </c>
    </row>
    <row r="1752" customFormat="false" ht="14.5" hidden="false" customHeight="false" outlineLevel="0" collapsed="false">
      <c r="B1752" s="2888" t="str">
        <f aca="false">'Смета Внутр'!B1758</f>
        <v>Плитный,28кг/м3, технониколь, 100мм</v>
      </c>
      <c r="C1752" s="2889" t="str">
        <f aca="false">'Смета Внутр'!C1758</f>
        <v>м3</v>
      </c>
      <c r="D1752" s="2890" t="n">
        <f aca="false">'Смета Внутр'!D1758</f>
        <v>1.1256598192649</v>
      </c>
      <c r="E1752" s="2888"/>
      <c r="F1752" s="2895" t="n">
        <f aca="false">'Смета Внутр'!H1758</f>
        <v>0</v>
      </c>
    </row>
    <row r="1753" customFormat="false" ht="14.5" hidden="false" customHeight="false" outlineLevel="0" collapsed="false">
      <c r="B1753" s="2888" t="str">
        <f aca="false">'Смета Внутр'!B1759</f>
        <v>металлочерепица</v>
      </c>
      <c r="C1753" s="2889" t="str">
        <f aca="false">'Смета Внутр'!C1759</f>
        <v>м2</v>
      </c>
      <c r="D1753" s="2890" t="n">
        <f aca="false">'Смета Внутр'!D1759</f>
        <v>0</v>
      </c>
      <c r="E1753" s="2888"/>
      <c r="F1753" s="2895" t="n">
        <f aca="false">'Смета Внутр'!H1759</f>
        <v>0</v>
      </c>
    </row>
    <row r="1754" customFormat="false" ht="14.5" hidden="false" customHeight="false" outlineLevel="0" collapsed="false">
      <c r="B1754" s="2888" t="str">
        <f aca="false">'Смета Внутр'!B1760</f>
        <v>Карнизная планка</v>
      </c>
      <c r="C1754" s="2889" t="str">
        <f aca="false">'Смета Внутр'!C1760</f>
        <v>м.п.</v>
      </c>
      <c r="D1754" s="2890" t="n">
        <f aca="false">'Смета Внутр'!D1760</f>
        <v>0</v>
      </c>
      <c r="E1754" s="2888"/>
      <c r="F1754" s="2895" t="n">
        <f aca="false">'Смета Внутр'!H1760</f>
        <v>0</v>
      </c>
    </row>
    <row r="1755" customFormat="false" ht="14.5" hidden="false" customHeight="false" outlineLevel="0" collapsed="false">
      <c r="B1755" s="2888" t="str">
        <f aca="false">'Смета Внутр'!B1761</f>
        <v>Конек</v>
      </c>
      <c r="C1755" s="2889" t="str">
        <f aca="false">'Смета Внутр'!C1761</f>
        <v>м.п.</v>
      </c>
      <c r="D1755" s="2890" t="n">
        <f aca="false">'Смета Внутр'!D1761</f>
        <v>0</v>
      </c>
      <c r="E1755" s="2888"/>
      <c r="F1755" s="2895" t="n">
        <f aca="false">'Смета Внутр'!H1761</f>
        <v>0</v>
      </c>
    </row>
    <row r="1756" customFormat="false" ht="14.5" hidden="false" customHeight="false" outlineLevel="0" collapsed="false">
      <c r="B1756" s="2888" t="str">
        <f aca="false">'Смета Внутр'!B1762</f>
        <v>Ендова нижняя</v>
      </c>
      <c r="C1756" s="2889" t="str">
        <f aca="false">'Смета Внутр'!C1762</f>
        <v>м.п</v>
      </c>
      <c r="D1756" s="2890" t="n">
        <f aca="false">'Смета Внутр'!D1762</f>
        <v>0</v>
      </c>
      <c r="E1756" s="2888"/>
      <c r="F1756" s="2895" t="n">
        <f aca="false">'Смета Внутр'!H1762</f>
        <v>0</v>
      </c>
    </row>
    <row r="1757" customFormat="false" ht="14.5" hidden="false" customHeight="false" outlineLevel="0" collapsed="false">
      <c r="B1757" s="2888" t="str">
        <f aca="false">'Смета Внутр'!B1763</f>
        <v>Планка примыкания</v>
      </c>
      <c r="C1757" s="2889" t="str">
        <f aca="false">'Смета Внутр'!C1763</f>
        <v>м.п</v>
      </c>
      <c r="D1757" s="2890" t="n">
        <f aca="false">'Смета Внутр'!D1763</f>
        <v>0</v>
      </c>
      <c r="E1757" s="2888"/>
      <c r="F1757" s="2895" t="n">
        <f aca="false">'Смета Внутр'!H1763</f>
        <v>0</v>
      </c>
    </row>
    <row r="1758" customFormat="false" ht="14.5" hidden="false" customHeight="false" outlineLevel="0" collapsed="false">
      <c r="B1758" s="2888" t="str">
        <f aca="false">'Смета Внутр'!B1764</f>
        <v>ондулин</v>
      </c>
      <c r="C1758" s="2889" t="str">
        <f aca="false">'Смета Внутр'!C1764</f>
        <v>м2</v>
      </c>
      <c r="D1758" s="2890" t="n">
        <f aca="false">'Смета Внутр'!D1764</f>
        <v>0</v>
      </c>
      <c r="E1758" s="2888"/>
      <c r="F1758" s="2895" t="n">
        <f aca="false">'Смета Внутр'!H1764</f>
        <v>0</v>
      </c>
    </row>
    <row r="1759" customFormat="false" ht="14.5" hidden="false" customHeight="false" outlineLevel="0" collapsed="false">
      <c r="B1759" s="2888" t="str">
        <f aca="false">'Смета Внутр'!B1765</f>
        <v>Карнизная планка</v>
      </c>
      <c r="C1759" s="2889" t="str">
        <f aca="false">'Смета Внутр'!C1765</f>
        <v>м.п.</v>
      </c>
      <c r="D1759" s="2890" t="n">
        <f aca="false">'Смета Внутр'!D1765</f>
        <v>0</v>
      </c>
      <c r="E1759" s="2888"/>
      <c r="F1759" s="2895" t="n">
        <f aca="false">'Смета Внутр'!H1765</f>
        <v>0</v>
      </c>
    </row>
    <row r="1760" customFormat="false" ht="14.5" hidden="false" customHeight="false" outlineLevel="0" collapsed="false">
      <c r="B1760" s="2888" t="str">
        <f aca="false">'Смета Внутр'!B1766</f>
        <v>Торцевая планка</v>
      </c>
      <c r="C1760" s="2889" t="str">
        <f aca="false">'Смета Внутр'!C1766</f>
        <v>м.п.</v>
      </c>
      <c r="D1760" s="2890" t="n">
        <f aca="false">'Смета Внутр'!D1766</f>
        <v>0</v>
      </c>
      <c r="E1760" s="2888"/>
      <c r="F1760" s="2895" t="n">
        <f aca="false">'Смета Внутр'!H1766</f>
        <v>0</v>
      </c>
    </row>
    <row r="1761" customFormat="false" ht="14.5" hidden="false" customHeight="false" outlineLevel="0" collapsed="false">
      <c r="B1761" s="2888" t="str">
        <f aca="false">'Смета Внутр'!B1767</f>
        <v>Конек</v>
      </c>
      <c r="C1761" s="2889" t="str">
        <f aca="false">'Смета Внутр'!C1767</f>
        <v>м.п.</v>
      </c>
      <c r="D1761" s="2890" t="n">
        <f aca="false">'Смета Внутр'!D1767</f>
        <v>0</v>
      </c>
      <c r="E1761" s="2888"/>
      <c r="F1761" s="2895" t="n">
        <f aca="false">'Смета Внутр'!H1767</f>
        <v>0</v>
      </c>
    </row>
    <row r="1762" customFormat="false" ht="14.5" hidden="false" customHeight="false" outlineLevel="0" collapsed="false">
      <c r="B1762" s="2888" t="str">
        <f aca="false">'Смета Внутр'!B1768</f>
        <v>Ендова нижняя</v>
      </c>
      <c r="C1762" s="2889" t="str">
        <f aca="false">'Смета Внутр'!C1768</f>
        <v>м.п.</v>
      </c>
      <c r="D1762" s="2890" t="n">
        <f aca="false">'Смета Внутр'!D1768</f>
        <v>0</v>
      </c>
      <c r="E1762" s="2888"/>
      <c r="F1762" s="2895" t="n">
        <f aca="false">'Смета Внутр'!H1768</f>
        <v>0</v>
      </c>
    </row>
    <row r="1763" customFormat="false" ht="14.5" hidden="false" customHeight="false" outlineLevel="0" collapsed="false">
      <c r="B1763" s="2888" t="str">
        <f aca="false">'Смета Внутр'!B1769</f>
        <v>Ендова верхняя</v>
      </c>
      <c r="C1763" s="2889" t="str">
        <f aca="false">'Смета Внутр'!C1769</f>
        <v>м.п.</v>
      </c>
      <c r="D1763" s="2890" t="n">
        <f aca="false">'Смета Внутр'!D1769</f>
        <v>0</v>
      </c>
      <c r="E1763" s="2888"/>
      <c r="F1763" s="2895" t="n">
        <f aca="false">'Смета Внутр'!H1769</f>
        <v>0</v>
      </c>
    </row>
    <row r="1764" customFormat="false" ht="14.5" hidden="false" customHeight="false" outlineLevel="0" collapsed="false">
      <c r="B1764" s="2888" t="str">
        <f aca="false">'Смета Внутр'!B1770</f>
        <v>Планка примыкания</v>
      </c>
      <c r="C1764" s="2889" t="str">
        <f aca="false">'Смета Внутр'!C1770</f>
        <v>м.п.</v>
      </c>
      <c r="D1764" s="2890" t="n">
        <f aca="false">'Смета Внутр'!D1770</f>
        <v>0</v>
      </c>
      <c r="E1764" s="2888"/>
      <c r="F1764" s="2895" t="n">
        <f aca="false">'Смета Внутр'!H1770</f>
        <v>0</v>
      </c>
    </row>
    <row r="1765" customFormat="false" ht="14.5" hidden="false" customHeight="false" outlineLevel="0" collapsed="false">
      <c r="B1765" s="2888" t="str">
        <f aca="false">'Смета Внутр'!B1771</f>
        <v>Крепеж для ондулина</v>
      </c>
      <c r="C1765" s="2889" t="str">
        <f aca="false">'Смета Внутр'!C1771</f>
        <v>шт</v>
      </c>
      <c r="D1765" s="2890" t="n">
        <f aca="false">'Смета Внутр'!D1771</f>
        <v>0</v>
      </c>
      <c r="E1765" s="2888"/>
      <c r="F1765" s="2895" t="n">
        <f aca="false">'Смета Внутр'!H1771</f>
        <v>0</v>
      </c>
    </row>
    <row r="1766" customFormat="false" ht="14.5" hidden="false" customHeight="false" outlineLevel="0" collapsed="false">
      <c r="B1766" s="2888" t="str">
        <f aca="false">'Смета Внутр'!B1772</f>
        <v>нет</v>
      </c>
      <c r="C1766" s="2889" t="str">
        <f aca="false">'Смета Внутр'!C1772</f>
        <v>м2</v>
      </c>
      <c r="D1766" s="2890" t="n">
        <f aca="false">'Смета Внутр'!D1772</f>
        <v>0</v>
      </c>
      <c r="E1766" s="2888"/>
      <c r="F1766" s="2895" t="n">
        <f aca="false">'Смета Внутр'!H1772</f>
        <v>0</v>
      </c>
    </row>
    <row r="1767" customFormat="false" ht="14.5" hidden="false" customHeight="false" outlineLevel="0" collapsed="false">
      <c r="B1767" s="2888" t="str">
        <f aca="false">'Смета Внутр'!B1773</f>
        <v>Рядовая черепица</v>
      </c>
      <c r="C1767" s="2889" t="str">
        <f aca="false">'Смета Внутр'!C1773</f>
        <v>м2</v>
      </c>
      <c r="D1767" s="2890" t="n">
        <f aca="false">'Смета Внутр'!D1773</f>
        <v>0</v>
      </c>
      <c r="E1767" s="2888"/>
      <c r="F1767" s="2895" t="n">
        <f aca="false">'Смета Внутр'!H1773</f>
        <v>0</v>
      </c>
    </row>
    <row r="1768" customFormat="false" ht="14.5" hidden="false" customHeight="false" outlineLevel="0" collapsed="false">
      <c r="B1768" s="2888" t="str">
        <f aca="false">'Смета Внутр'!B1774</f>
        <v>Металл оцинк защита (карниз)</v>
      </c>
      <c r="C1768" s="2889" t="str">
        <f aca="false">'Смета Внутр'!C1774</f>
        <v>м.п.</v>
      </c>
      <c r="D1768" s="2890" t="n">
        <f aca="false">'Смета Внутр'!D1774</f>
        <v>0</v>
      </c>
      <c r="E1768" s="2888"/>
      <c r="F1768" s="2895" t="n">
        <f aca="false">'Смета Внутр'!H1774</f>
        <v>0</v>
      </c>
    </row>
    <row r="1769" customFormat="false" ht="14.5" hidden="false" customHeight="false" outlineLevel="0" collapsed="false">
      <c r="B1769" s="2888" t="str">
        <f aca="false">'Смета Внутр'!B1775</f>
        <v>Подкладочный ковер</v>
      </c>
      <c r="C1769" s="2889" t="str">
        <f aca="false">'Смета Внутр'!C1775</f>
        <v>м.п.</v>
      </c>
      <c r="D1769" s="2890" t="n">
        <f aca="false">'Смета Внутр'!D1775</f>
        <v>0</v>
      </c>
      <c r="E1769" s="2888"/>
      <c r="F1769" s="2895" t="n">
        <f aca="false">'Смета Внутр'!H1775</f>
        <v>0</v>
      </c>
    </row>
    <row r="1770" customFormat="false" ht="14.5" hidden="false" customHeight="false" outlineLevel="0" collapsed="false">
      <c r="B1770" s="2888" t="str">
        <f aca="false">'Смета Внутр'!B1776</f>
        <v>Карнизная самоклеющаяся черепица</v>
      </c>
      <c r="C1770" s="2889" t="str">
        <f aca="false">'Смета Внутр'!C1776</f>
        <v>м.п.</v>
      </c>
      <c r="D1770" s="2890" t="n">
        <f aca="false">'Смета Внутр'!D1776</f>
        <v>0</v>
      </c>
      <c r="E1770" s="2888"/>
      <c r="F1770" s="2895" t="n">
        <f aca="false">'Смета Внутр'!H1776</f>
        <v>0</v>
      </c>
    </row>
    <row r="1771" customFormat="false" ht="14.5" hidden="false" customHeight="false" outlineLevel="0" collapsed="false">
      <c r="B1771" s="2888" t="str">
        <f aca="false">'Смета Внутр'!B1777</f>
        <v>Спец ковер ендова нижняя</v>
      </c>
      <c r="C1771" s="2889" t="str">
        <f aca="false">'Смета Внутр'!C1777</f>
        <v>м.п.</v>
      </c>
      <c r="D1771" s="2890" t="n">
        <f aca="false">'Смета Внутр'!D1777</f>
        <v>0</v>
      </c>
      <c r="E1771" s="2888"/>
      <c r="F1771" s="2895" t="n">
        <f aca="false">'Смета Внутр'!H1777</f>
        <v>0</v>
      </c>
    </row>
    <row r="1772" customFormat="false" ht="14.5" hidden="false" customHeight="false" outlineLevel="0" collapsed="false">
      <c r="B1772" s="2888" t="str">
        <f aca="false">'Смета Внутр'!B1778</f>
        <v>Коньковой элемент</v>
      </c>
      <c r="C1772" s="2889" t="str">
        <f aca="false">'Смета Внутр'!C1778</f>
        <v>м.п.</v>
      </c>
      <c r="D1772" s="2890" t="n">
        <f aca="false">'Смета Внутр'!D1778</f>
        <v>0</v>
      </c>
      <c r="E1772" s="2888"/>
      <c r="F1772" s="2895" t="n">
        <f aca="false">'Смета Внутр'!H1778</f>
        <v>0</v>
      </c>
    </row>
    <row r="1773" customFormat="false" ht="14.5" hidden="false" customHeight="false" outlineLevel="0" collapsed="false">
      <c r="B1773" s="2888" t="str">
        <f aca="false">'Смета Внутр'!B1779</f>
        <v>Планка премыкания</v>
      </c>
      <c r="C1773" s="2889" t="str">
        <f aca="false">'Смета Внутр'!C1779</f>
        <v>м.п.</v>
      </c>
      <c r="D1773" s="2890" t="n">
        <f aca="false">'Смета Внутр'!D1779</f>
        <v>0</v>
      </c>
      <c r="E1773" s="2888"/>
      <c r="F1773" s="2895" t="n">
        <f aca="false">'Смета Внутр'!H1779</f>
        <v>0</v>
      </c>
    </row>
    <row r="1774" customFormat="false" ht="14.5" hidden="false" customHeight="false" outlineLevel="0" collapsed="false">
      <c r="B1774" s="2888" t="str">
        <f aca="false">'Смета Внутр'!B1780</f>
        <v>Гвозди для крепления подкладочного ковра</v>
      </c>
      <c r="C1774" s="2889" t="str">
        <f aca="false">'Смета Внутр'!C1780</f>
        <v>шт</v>
      </c>
      <c r="D1774" s="2890" t="n">
        <f aca="false">'Смета Внутр'!D1780</f>
        <v>0</v>
      </c>
      <c r="E1774" s="2888"/>
      <c r="F1774" s="2895" t="n">
        <f aca="false">'Смета Внутр'!H1780</f>
        <v>0</v>
      </c>
    </row>
    <row r="1775" customFormat="false" ht="14.5" hidden="false" customHeight="false" outlineLevel="0" collapsed="false">
      <c r="B1775" s="2888" t="str">
        <f aca="false">'Смета Внутр'!B1781</f>
        <v>Гвозди для крепления черепицы</v>
      </c>
      <c r="C1775" s="2889" t="str">
        <f aca="false">'Смета Внутр'!C1781</f>
        <v>шт</v>
      </c>
      <c r="D1775" s="2890" t="n">
        <f aca="false">'Смета Внутр'!D1781</f>
        <v>0</v>
      </c>
      <c r="E1775" s="2888"/>
      <c r="F1775" s="2895" t="n">
        <f aca="false">'Смета Внутр'!H1781</f>
        <v>0</v>
      </c>
    </row>
    <row r="1776" customFormat="false" ht="14.5" hidden="false" customHeight="false" outlineLevel="0" collapsed="false">
      <c r="B1776" s="2888" t="str">
        <f aca="false">'Смета Внутр'!B1782</f>
        <v>Клей для монтажа черепицы</v>
      </c>
      <c r="C1776" s="2889" t="str">
        <f aca="false">'Смета Внутр'!C1782</f>
        <v>кг</v>
      </c>
      <c r="D1776" s="2890" t="n">
        <f aca="false">'Смета Внутр'!D1782</f>
        <v>0</v>
      </c>
      <c r="E1776" s="2888"/>
      <c r="F1776" s="2895" t="n">
        <f aca="false">'Смета Внутр'!H1782</f>
        <v>0</v>
      </c>
    </row>
    <row r="1777" customFormat="false" ht="14.5" hidden="false" customHeight="false" outlineLevel="0" collapsed="false">
      <c r="B1777" s="2888" t="str">
        <f aca="false">'Смета Внутр'!B1783</f>
        <v>желоб</v>
      </c>
      <c r="C1777" s="2889" t="str">
        <f aca="false">'Смета Внутр'!C1783</f>
        <v>м.п</v>
      </c>
      <c r="D1777" s="2890" t="n">
        <f aca="false">'Смета Внутр'!D1783</f>
        <v>0</v>
      </c>
      <c r="E1777" s="2888"/>
      <c r="F1777" s="2895" t="n">
        <f aca="false">'Смета Внутр'!H1783</f>
        <v>0</v>
      </c>
    </row>
    <row r="1778" customFormat="false" ht="14.5" hidden="false" customHeight="false" outlineLevel="0" collapsed="false">
      <c r="B1778" s="2888" t="str">
        <f aca="false">'Смета Внутр'!B1784</f>
        <v>отвод</v>
      </c>
      <c r="C1778" s="2889" t="str">
        <f aca="false">'Смета Внутр'!C1784</f>
        <v>шт</v>
      </c>
      <c r="D1778" s="2890" t="n">
        <f aca="false">'Смета Внутр'!D1784</f>
        <v>4</v>
      </c>
      <c r="E1778" s="2888"/>
      <c r="F1778" s="2895" t="n">
        <f aca="false">'Смета Внутр'!H1784</f>
        <v>0</v>
      </c>
    </row>
    <row r="1779" customFormat="false" ht="14.5" hidden="false" customHeight="false" outlineLevel="0" collapsed="false">
      <c r="B1779" s="2888" t="str">
        <f aca="false">'Смета Внутр'!B1785</f>
        <v>труба водосточная</v>
      </c>
      <c r="C1779" s="2889" t="str">
        <f aca="false">'Смета Внутр'!C1785</f>
        <v>м.п.</v>
      </c>
      <c r="D1779" s="2890" t="n">
        <f aca="false">'Смета Внутр'!D1785</f>
        <v>0</v>
      </c>
      <c r="E1779" s="2888"/>
      <c r="F1779" s="2895" t="n">
        <f aca="false">'Смета Внутр'!H1785</f>
        <v>0</v>
      </c>
    </row>
    <row r="1780" customFormat="false" ht="14.5" hidden="false" customHeight="false" outlineLevel="0" collapsed="false">
      <c r="B1780" s="2888" t="str">
        <f aca="false">'Смета Внутр'!B1786</f>
        <v>заглушка для желоба</v>
      </c>
      <c r="C1780" s="2889" t="str">
        <f aca="false">'Смета Внутр'!C1786</f>
        <v>шт</v>
      </c>
      <c r="D1780" s="2890" t="n">
        <f aca="false">'Смета Внутр'!D1786</f>
        <v>0</v>
      </c>
      <c r="E1780" s="2888"/>
      <c r="F1780" s="2895" t="n">
        <f aca="false">'Смета Внутр'!H1786</f>
        <v>0</v>
      </c>
    </row>
    <row r="1781" customFormat="false" ht="14.5" hidden="false" customHeight="false" outlineLevel="0" collapsed="false">
      <c r="B1781" s="2888" t="str">
        <f aca="false">'Смета Внутр'!B1787</f>
        <v>соеденитель для желоба</v>
      </c>
      <c r="C1781" s="2889" t="str">
        <f aca="false">'Смета Внутр'!C1787</f>
        <v>шт</v>
      </c>
      <c r="D1781" s="2890" t="n">
        <f aca="false">'Смета Внутр'!D1787</f>
        <v>0</v>
      </c>
      <c r="E1781" s="2888"/>
      <c r="F1781" s="2895" t="n">
        <f aca="false">'Смета Внутр'!H1787</f>
        <v>0</v>
      </c>
    </row>
    <row r="1782" customFormat="false" ht="14.5" hidden="false" customHeight="false" outlineLevel="0" collapsed="false">
      <c r="B1782" s="2888" t="str">
        <f aca="false">'Смета Внутр'!B1788</f>
        <v>кронштейн для желоба</v>
      </c>
      <c r="C1782" s="2889" t="str">
        <f aca="false">'Смета Внутр'!C1788</f>
        <v>шт</v>
      </c>
      <c r="D1782" s="2890" t="n">
        <f aca="false">'Смета Внутр'!D1788</f>
        <v>0</v>
      </c>
      <c r="E1782" s="2888"/>
      <c r="F1782" s="2895" t="n">
        <f aca="false">'Смета Внутр'!H1788</f>
        <v>0</v>
      </c>
    </row>
    <row r="1783" customFormat="false" ht="14.5" hidden="false" customHeight="false" outlineLevel="0" collapsed="false">
      <c r="B1783" s="2888" t="str">
        <f aca="false">'Смета Внутр'!B1789</f>
        <v>переход из желоба в трубу</v>
      </c>
      <c r="C1783" s="2889" t="str">
        <f aca="false">'Смета Внутр'!C1789</f>
        <v>шт</v>
      </c>
      <c r="D1783" s="2890" t="n">
        <f aca="false">'Смета Внутр'!D1789</f>
        <v>2</v>
      </c>
      <c r="E1783" s="2888"/>
      <c r="F1783" s="2895" t="n">
        <f aca="false">'Смета Внутр'!H1789</f>
        <v>0</v>
      </c>
    </row>
    <row r="1784" customFormat="false" ht="14.5" hidden="false" customHeight="false" outlineLevel="0" collapsed="false">
      <c r="B1784" s="2888" t="str">
        <f aca="false">'Смета Внутр'!B1790</f>
        <v>лента дельта мульти бэнд</v>
      </c>
      <c r="C1784" s="2889" t="str">
        <f aca="false">'Смета Внутр'!C1790</f>
        <v>шт</v>
      </c>
      <c r="D1784" s="2890" t="n">
        <f aca="false">'Смета Внутр'!D1790</f>
        <v>0</v>
      </c>
      <c r="E1784" s="2888"/>
      <c r="F1784" s="2895" t="n">
        <f aca="false">'Смета Внутр'!H1790</f>
        <v>0</v>
      </c>
    </row>
    <row r="1785" customFormat="false" ht="14.5" hidden="false" customHeight="false" outlineLevel="0" collapsed="false">
      <c r="B1785" s="2888" t="str">
        <f aca="false">'Смета Внутр'!B1791</f>
        <v>лента дельта sb-60</v>
      </c>
      <c r="C1785" s="2889" t="str">
        <f aca="false">'Смета Внутр'!C1791</f>
        <v>шт</v>
      </c>
      <c r="D1785" s="2890" t="n">
        <f aca="false">'Смета Внутр'!D1791</f>
        <v>0</v>
      </c>
      <c r="E1785" s="2888"/>
      <c r="F1785" s="2895" t="n">
        <f aca="false">'Смета Внутр'!H1791</f>
        <v>0</v>
      </c>
    </row>
    <row r="1786" customFormat="false" ht="14.5" hidden="false" customHeight="false" outlineLevel="0" collapsed="false">
      <c r="B1786" s="2888" t="str">
        <f aca="false">'Смета Внутр'!B1792</f>
        <v>Кровельный саморез</v>
      </c>
      <c r="C1786" s="2889" t="str">
        <f aca="false">'Смета Внутр'!C1792</f>
        <v>шт</v>
      </c>
      <c r="D1786" s="2890" t="n">
        <f aca="false">'Смета Внутр'!D1792</f>
        <v>0</v>
      </c>
      <c r="E1786" s="2888"/>
      <c r="F1786" s="2895" t="n">
        <f aca="false">'Смета Внутр'!H1792</f>
        <v>0</v>
      </c>
    </row>
    <row r="1787" customFormat="false" ht="14.5" hidden="false" customHeight="false" outlineLevel="0" collapsed="false">
      <c r="B1787" s="2888" t="str">
        <f aca="false">'Смета Внутр'!B1793</f>
        <v>Гвозди ершоные 3,4 x 60</v>
      </c>
      <c r="C1787" s="2889" t="str">
        <f aca="false">'Смета Внутр'!C1793</f>
        <v>кг</v>
      </c>
      <c r="D1787" s="2890" t="n">
        <f aca="false">'Смета Внутр'!D1793</f>
        <v>0</v>
      </c>
      <c r="E1787" s="2888"/>
      <c r="F1787" s="2895" t="n">
        <f aca="false">'Смета Внутр'!H1793</f>
        <v>0</v>
      </c>
    </row>
    <row r="1788" customFormat="false" ht="14.5" hidden="false" customHeight="false" outlineLevel="0" collapsed="false">
      <c r="B1788" s="2888" t="str">
        <f aca="false">'Смета Внутр'!B1794</f>
        <v>Гвозди ершоные 2,8 х 90</v>
      </c>
      <c r="C1788" s="2889" t="str">
        <f aca="false">'Смета Внутр'!C1794</f>
        <v>кг</v>
      </c>
      <c r="D1788" s="2890" t="n">
        <f aca="false">'Смета Внутр'!D1794</f>
        <v>0</v>
      </c>
      <c r="E1788" s="2888"/>
      <c r="F1788" s="2895" t="n">
        <f aca="false">'Смета Внутр'!H1794</f>
        <v>0</v>
      </c>
    </row>
    <row r="1789" customFormat="false" ht="14.5" hidden="false" customHeight="false" outlineLevel="0" collapsed="false">
      <c r="B1789" s="2888" t="str">
        <f aca="false">'Смета Внутр'!B1795</f>
        <v>Пластина соеденительная 100х240х2</v>
      </c>
      <c r="C1789" s="2889" t="str">
        <f aca="false">'Смета Внутр'!C1795</f>
        <v>шт</v>
      </c>
      <c r="D1789" s="2890" t="n">
        <f aca="false">'Смета Внутр'!D1795</f>
        <v>2.3</v>
      </c>
      <c r="E1789" s="2888"/>
      <c r="F1789" s="2895" t="n">
        <f aca="false">'Смета Внутр'!H1795</f>
        <v>0</v>
      </c>
    </row>
    <row r="1790" customFormat="false" ht="14.5" hidden="false" customHeight="false" outlineLevel="0" collapsed="false">
      <c r="B1790" s="2888" t="str">
        <f aca="false">'Смета Внутр'!B1796</f>
        <v>Уголок усиленный 90х70х55х2,5</v>
      </c>
      <c r="C1790" s="2889" t="str">
        <f aca="false">'Смета Внутр'!C1796</f>
        <v>шт</v>
      </c>
      <c r="D1790" s="2890" t="n">
        <f aca="false">'Смета Внутр'!D1796</f>
        <v>3.45</v>
      </c>
      <c r="E1790" s="2888"/>
      <c r="F1790" s="2895" t="n">
        <f aca="false">'Смета Внутр'!H1796</f>
        <v>0</v>
      </c>
    </row>
    <row r="1791" customFormat="false" ht="14.5" hidden="false" customHeight="false" outlineLevel="0" collapsed="false">
      <c r="B1791" s="2896" t="str">
        <f aca="false">'Смета Внутр'!B1797</f>
        <v>Итого материалы</v>
      </c>
      <c r="C1791" s="2896"/>
      <c r="D1791" s="2896"/>
      <c r="E1791" s="2896"/>
      <c r="F1791" s="2897" t="n">
        <f aca="false">'Смета Внутр'!G1797</f>
        <v>0</v>
      </c>
    </row>
    <row r="1792" customFormat="false" ht="14.5" hidden="false" customHeight="false" outlineLevel="0" collapsed="false">
      <c r="B1792" s="2898" t="str">
        <f aca="false">'Смета Внутр'!B1798</f>
        <v>Работы</v>
      </c>
      <c r="C1792" s="2898"/>
      <c r="D1792" s="2898"/>
      <c r="E1792" s="2898"/>
      <c r="F1792" s="2893" t="n">
        <f aca="false">'Смета Внутр'!H1798</f>
        <v>0</v>
      </c>
    </row>
    <row r="1793" customFormat="false" ht="14.5" hidden="false" customHeight="false" outlineLevel="0" collapsed="false">
      <c r="B1793" s="2888" t="str">
        <f aca="false">'Смета Внутр'!B1799</f>
        <v>монтаж мауэрлат</v>
      </c>
      <c r="C1793" s="2889" t="str">
        <f aca="false">'Смета Внутр'!C1799</f>
        <v>м.п.</v>
      </c>
      <c r="D1793" s="2890" t="n">
        <f aca="false">'Смета Внутр'!D1799</f>
        <v>0</v>
      </c>
      <c r="E1793" s="2888"/>
      <c r="F1793" s="2895" t="n">
        <f aca="false">'Смета Внутр'!H1799</f>
        <v>0</v>
      </c>
    </row>
    <row r="1794" customFormat="false" ht="14.5" hidden="false" customHeight="false" outlineLevel="0" collapsed="false">
      <c r="B1794" s="2888" t="str">
        <f aca="false">'Смета Внутр'!B1800</f>
        <v>монтаж стропил</v>
      </c>
      <c r="C1794" s="2889" t="str">
        <f aca="false">'Смета Внутр'!C1800</f>
        <v>м2</v>
      </c>
      <c r="D1794" s="2890" t="n">
        <f aca="false">'Смета Внутр'!D1800</f>
        <v>0</v>
      </c>
      <c r="E1794" s="2888"/>
      <c r="F1794" s="2895" t="n">
        <f aca="false">'Смета Внутр'!H1800</f>
        <v>0</v>
      </c>
    </row>
    <row r="1795" customFormat="false" ht="14.5" hidden="false" customHeight="false" outlineLevel="0" collapsed="false">
      <c r="B1795" s="2888" t="str">
        <f aca="false">'Смета Внутр'!B1801</f>
        <v>обрешетка</v>
      </c>
      <c r="C1795" s="2889" t="str">
        <f aca="false">'Смета Внутр'!C1801</f>
        <v>м2</v>
      </c>
      <c r="D1795" s="2890" t="n">
        <f aca="false">'Смета Внутр'!D1801</f>
        <v>0</v>
      </c>
      <c r="E1795" s="2888"/>
      <c r="F1795" s="2895" t="n">
        <f aca="false">'Смета Внутр'!H1801</f>
        <v>0</v>
      </c>
    </row>
    <row r="1796" customFormat="false" ht="14.5" hidden="false" customHeight="false" outlineLevel="0" collapsed="false">
      <c r="B1796" s="2888" t="str">
        <f aca="false">'Смета Внутр'!B1802</f>
        <v>контробеш</v>
      </c>
      <c r="C1796" s="2889" t="str">
        <f aca="false">'Смета Внутр'!C1802</f>
        <v>м2</v>
      </c>
      <c r="D1796" s="2890" t="n">
        <f aca="false">'Смета Внутр'!D1802</f>
        <v>0</v>
      </c>
      <c r="E1796" s="2888"/>
      <c r="F1796" s="2895" t="n">
        <f aca="false">'Смета Внутр'!H1802</f>
        <v>0</v>
      </c>
    </row>
    <row r="1797" customFormat="false" ht="14.5" hidden="false" customHeight="false" outlineLevel="0" collapsed="false">
      <c r="B1797" s="2888" t="str">
        <f aca="false">'Смета Внутр'!B1803</f>
        <v>мембрана</v>
      </c>
      <c r="C1797" s="2889" t="str">
        <f aca="false">'Смета Внутр'!C1803</f>
        <v>м2</v>
      </c>
      <c r="D1797" s="2890" t="n">
        <f aca="false">'Смета Внутр'!D1803</f>
        <v>0</v>
      </c>
      <c r="E1797" s="2888"/>
      <c r="F1797" s="2895" t="n">
        <f aca="false">'Смета Внутр'!H1803</f>
        <v>0</v>
      </c>
    </row>
    <row r="1798" customFormat="false" ht="14.5" hidden="false" customHeight="false" outlineLevel="0" collapsed="false">
      <c r="B1798" s="2888" t="str">
        <f aca="false">'Смета Внутр'!B1804</f>
        <v>пароизоляц</v>
      </c>
      <c r="C1798" s="2889" t="str">
        <f aca="false">'Смета Внутр'!C1804</f>
        <v>м2</v>
      </c>
      <c r="D1798" s="2890" t="n">
        <f aca="false">'Смета Внутр'!D1804</f>
        <v>0</v>
      </c>
      <c r="E1798" s="2888"/>
      <c r="F1798" s="2895" t="n">
        <f aca="false">'Смета Внутр'!H1804</f>
        <v>0</v>
      </c>
    </row>
    <row r="1799" customFormat="false" ht="14.5" hidden="false" customHeight="false" outlineLevel="0" collapsed="false">
      <c r="B1799" s="2888" t="str">
        <f aca="false">'Смета Внутр'!B1805</f>
        <v>утеплитель</v>
      </c>
      <c r="C1799" s="2889" t="str">
        <f aca="false">'Смета Внутр'!C1805</f>
        <v>м2</v>
      </c>
      <c r="D1799" s="2890" t="n">
        <f aca="false">'Смета Внутр'!D1805</f>
        <v>0</v>
      </c>
      <c r="E1799" s="2888"/>
      <c r="F1799" s="2895" t="n">
        <f aca="false">'Смета Внутр'!H1805</f>
        <v>0</v>
      </c>
    </row>
    <row r="1800" customFormat="false" ht="14.5" hidden="false" customHeight="false" outlineLevel="0" collapsed="false">
      <c r="B1800" s="2888" t="str">
        <f aca="false">'Смета Внутр'!B1806</f>
        <v>Монтаж металлочерепицы</v>
      </c>
      <c r="C1800" s="2889" t="str">
        <f aca="false">'Смета Внутр'!C1806</f>
        <v>м2</v>
      </c>
      <c r="D1800" s="2890" t="n">
        <f aca="false">'Смета Внутр'!D1806</f>
        <v>0</v>
      </c>
      <c r="E1800" s="2888"/>
      <c r="F1800" s="2895" t="n">
        <f aca="false">'Смета Внутр'!H1806</f>
        <v>0</v>
      </c>
    </row>
    <row r="1801" customFormat="false" ht="14.5" hidden="false" customHeight="false" outlineLevel="0" collapsed="false">
      <c r="B1801" s="2888" t="str">
        <f aca="false">'Смета Внутр'!B1807</f>
        <v>карнизная планка</v>
      </c>
      <c r="C1801" s="2889" t="str">
        <f aca="false">'Смета Внутр'!C1807</f>
        <v>м2</v>
      </c>
      <c r="D1801" s="2890" t="n">
        <f aca="false">'Смета Внутр'!D1807</f>
        <v>0</v>
      </c>
      <c r="E1801" s="2888"/>
      <c r="F1801" s="2895" t="n">
        <f aca="false">'Смета Внутр'!H1807</f>
        <v>0</v>
      </c>
    </row>
    <row r="1802" customFormat="false" ht="14.5" hidden="false" customHeight="false" outlineLevel="0" collapsed="false">
      <c r="B1802" s="2888" t="str">
        <f aca="false">'Смета Внутр'!B1808</f>
        <v>желоб водосточный</v>
      </c>
      <c r="C1802" s="2889" t="str">
        <f aca="false">'Смета Внутр'!C1808</f>
        <v>м.п.</v>
      </c>
      <c r="D1802" s="2890" t="n">
        <f aca="false">'Смета Внутр'!D1808</f>
        <v>0</v>
      </c>
      <c r="E1802" s="2888"/>
      <c r="F1802" s="2895" t="n">
        <f aca="false">'Смета Внутр'!H1808</f>
        <v>0</v>
      </c>
    </row>
    <row r="1803" customFormat="false" ht="14.5" hidden="false" customHeight="false" outlineLevel="0" collapsed="false">
      <c r="B1803" s="2888" t="str">
        <f aca="false">'Смета Внутр'!B1809</f>
        <v>труба водосточная</v>
      </c>
      <c r="C1803" s="2889" t="str">
        <f aca="false">'Смета Внутр'!C1809</f>
        <v>м.п.</v>
      </c>
      <c r="D1803" s="2890" t="n">
        <f aca="false">'Смета Внутр'!D1809</f>
        <v>0</v>
      </c>
      <c r="E1803" s="2888"/>
      <c r="F1803" s="2895" t="n">
        <f aca="false">'Смета Внутр'!H1809</f>
        <v>0</v>
      </c>
    </row>
    <row r="1804" customFormat="false" ht="14.5" hidden="false" customHeight="false" outlineLevel="0" collapsed="false">
      <c r="B1804" s="2888" t="str">
        <f aca="false">'Смета Внутр'!B1810</f>
        <v>ендова внутр/наружн</v>
      </c>
      <c r="C1804" s="2889" t="str">
        <f aca="false">'Смета Внутр'!C1810</f>
        <v>м.п.</v>
      </c>
      <c r="D1804" s="2890" t="n">
        <f aca="false">'Смета Внутр'!D1810</f>
        <v>0</v>
      </c>
      <c r="E1804" s="2888"/>
      <c r="F1804" s="2895" t="n">
        <f aca="false">'Смета Внутр'!H1810</f>
        <v>0</v>
      </c>
    </row>
    <row r="1805" customFormat="false" ht="14.5" hidden="false" customHeight="false" outlineLevel="0" collapsed="false">
      <c r="B1805" s="2888" t="str">
        <f aca="false">'Смета Внутр'!B1811</f>
        <v>Монтаж фанеры/osb</v>
      </c>
      <c r="C1805" s="2889" t="str">
        <f aca="false">'Смета Внутр'!C1811</f>
        <v>м2</v>
      </c>
      <c r="D1805" s="2890" t="n">
        <f aca="false">'Смета Внутр'!D1811</f>
        <v>0</v>
      </c>
      <c r="E1805" s="2888"/>
      <c r="F1805" s="2895" t="n">
        <f aca="false">'Смета Внутр'!H1811</f>
        <v>0</v>
      </c>
    </row>
    <row r="1806" customFormat="false" ht="14.5" hidden="false" customHeight="false" outlineLevel="0" collapsed="false">
      <c r="B1806" s="2888" t="str">
        <f aca="false">'Смета Внутр'!B1812</f>
        <v>монтаж подкладочного ковра</v>
      </c>
      <c r="C1806" s="2889" t="str">
        <f aca="false">'Смета Внутр'!C1812</f>
        <v>м2</v>
      </c>
      <c r="D1806" s="2890" t="n">
        <f aca="false">'Смета Внутр'!D1812</f>
        <v>0</v>
      </c>
      <c r="E1806" s="2888"/>
      <c r="F1806" s="2895" t="n">
        <f aca="false">'Смета Внутр'!H1812</f>
        <v>0</v>
      </c>
    </row>
    <row r="1807" customFormat="false" ht="14.5" hidden="false" customHeight="false" outlineLevel="0" collapsed="false">
      <c r="B1807" s="2888" t="str">
        <f aca="false">'Смета Внутр'!B1813</f>
        <v>Монтаж мягкой кровли</v>
      </c>
      <c r="C1807" s="2889" t="str">
        <f aca="false">'Смета Внутр'!C1813</f>
        <v>м2</v>
      </c>
      <c r="D1807" s="2890" t="n">
        <f aca="false">'Смета Внутр'!D1813</f>
        <v>0</v>
      </c>
      <c r="E1807" s="2888"/>
      <c r="F1807" s="2895" t="n">
        <f aca="false">'Смета Внутр'!H1813</f>
        <v>0</v>
      </c>
    </row>
    <row r="1808" customFormat="false" ht="14.5" hidden="false" customHeight="false" outlineLevel="0" collapsed="false">
      <c r="B1808" s="2896" t="str">
        <f aca="false">'Смета Внутр'!B1814</f>
        <v>Итого работы</v>
      </c>
      <c r="C1808" s="2896"/>
      <c r="D1808" s="2896"/>
      <c r="E1808" s="2896"/>
      <c r="F1808" s="2897" t="n">
        <f aca="false">'Смета Внутр'!G1814</f>
        <v>0</v>
      </c>
    </row>
    <row r="1809" customFormat="false" ht="18.5" hidden="false" customHeight="false" outlineLevel="0" collapsed="false">
      <c r="B1809" s="2899" t="str">
        <f aca="false">'Смета Внутр'!B1815</f>
        <v>Кровля на террасу/веранду</v>
      </c>
      <c r="C1809" s="2899"/>
      <c r="D1809" s="2899"/>
      <c r="E1809" s="2899"/>
      <c r="F1809" s="2893" t="n">
        <f aca="false">'Смета Внутр'!H1815</f>
        <v>0</v>
      </c>
    </row>
    <row r="1810" customFormat="false" ht="14.5" hidden="false" customHeight="false" outlineLevel="0" collapsed="false">
      <c r="B1810" s="2894" t="str">
        <f aca="false">'Смета Внутр'!B1816</f>
        <v>Материалы</v>
      </c>
      <c r="C1810" s="2894"/>
      <c r="D1810" s="2894"/>
      <c r="E1810" s="2894"/>
      <c r="F1810" s="2893" t="n">
        <f aca="false">'Смета Внутр'!H1816</f>
        <v>0</v>
      </c>
    </row>
    <row r="1811" customFormat="false" ht="14.5" hidden="false" customHeight="false" outlineLevel="0" collapsed="false">
      <c r="B1811" s="2888" t="str">
        <f aca="false">'Смета Внутр'!B1817</f>
        <v>Доска сухая, 200*50мм</v>
      </c>
      <c r="C1811" s="2889" t="str">
        <f aca="false">'Смета Внутр'!C1817</f>
        <v>м3</v>
      </c>
      <c r="D1811" s="2890" t="n">
        <f aca="false">'Смета Внутр'!D1817</f>
        <v>0</v>
      </c>
      <c r="E1811" s="2888"/>
      <c r="F1811" s="2895" t="n">
        <f aca="false">'Смета Внутр'!H1817</f>
        <v>0</v>
      </c>
    </row>
    <row r="1812" customFormat="false" ht="14.5" hidden="false" customHeight="false" outlineLevel="0" collapsed="false">
      <c r="B1812" s="2888" t="str">
        <f aca="false">'Смета Внутр'!B1818</f>
        <v>Сосна влаж,100*25мм</v>
      </c>
      <c r="C1812" s="2889" t="str">
        <f aca="false">'Смета Внутр'!C1818</f>
        <v>м3</v>
      </c>
      <c r="D1812" s="2890" t="n">
        <f aca="false">'Смета Внутр'!D1818</f>
        <v>0</v>
      </c>
      <c r="E1812" s="2888"/>
      <c r="F1812" s="2895" t="n">
        <f aca="false">'Смета Внутр'!H1818</f>
        <v>0</v>
      </c>
    </row>
    <row r="1813" customFormat="false" ht="14.5" hidden="false" customHeight="false" outlineLevel="0" collapsed="false">
      <c r="B1813" s="2888" t="str">
        <f aca="false">'Смета Внутр'!B1819</f>
        <v>Доска сухая, калибр., 35*45мм</v>
      </c>
      <c r="C1813" s="2889" t="str">
        <f aca="false">'Смета Внутр'!C1819</f>
        <v>шт</v>
      </c>
      <c r="D1813" s="2890" t="n">
        <f aca="false">'Смета Внутр'!D1819</f>
        <v>0</v>
      </c>
      <c r="E1813" s="2888"/>
      <c r="F1813" s="2895" t="n">
        <f aca="false">'Смета Внутр'!H1819</f>
        <v>0</v>
      </c>
    </row>
    <row r="1814" customFormat="false" ht="14.5" hidden="false" customHeight="false" outlineLevel="0" collapsed="false">
      <c r="B1814" s="2888" t="str">
        <f aca="false">'Смета Внутр'!B1820</f>
        <v>нет ветроизоляции</v>
      </c>
      <c r="C1814" s="2889" t="str">
        <f aca="false">'Смета Внутр'!C1820</f>
        <v>м2</v>
      </c>
      <c r="D1814" s="2890" t="n">
        <f aca="false">'Смета Внутр'!D1820</f>
        <v>0</v>
      </c>
      <c r="E1814" s="2888"/>
      <c r="F1814" s="2895" t="n">
        <f aca="false">'Смета Внутр'!H1820</f>
        <v>0</v>
      </c>
    </row>
    <row r="1815" customFormat="false" ht="14.5" hidden="false" customHeight="false" outlineLevel="0" collapsed="false">
      <c r="B1815" s="2888" t="str">
        <f aca="false">'Смета Внутр'!B1821</f>
        <v>металлочерепица</v>
      </c>
      <c r="C1815" s="2889" t="str">
        <f aca="false">'Смета Внутр'!C1821</f>
        <v>м2</v>
      </c>
      <c r="D1815" s="2890" t="n">
        <f aca="false">'Смета Внутр'!D1821</f>
        <v>0</v>
      </c>
      <c r="E1815" s="2888"/>
      <c r="F1815" s="2895" t="n">
        <f aca="false">'Смета Внутр'!H1821</f>
        <v>0</v>
      </c>
    </row>
    <row r="1816" customFormat="false" ht="14.5" hidden="false" customHeight="false" outlineLevel="0" collapsed="false">
      <c r="B1816" s="2888" t="str">
        <f aca="false">'Смета Внутр'!B1822</f>
        <v>карнизная планка</v>
      </c>
      <c r="C1816" s="2889" t="str">
        <f aca="false">'Смета Внутр'!C1822</f>
        <v>м.п.</v>
      </c>
      <c r="D1816" s="2890" t="n">
        <f aca="false">'Смета Внутр'!D1822</f>
        <v>0</v>
      </c>
      <c r="E1816" s="2888"/>
      <c r="F1816" s="2895" t="n">
        <f aca="false">'Смета Внутр'!H1822</f>
        <v>0</v>
      </c>
    </row>
    <row r="1817" customFormat="false" ht="14.5" hidden="false" customHeight="false" outlineLevel="0" collapsed="false">
      <c r="B1817" s="2888" t="str">
        <f aca="false">'Смета Внутр'!B1823</f>
        <v>торцевая планка</v>
      </c>
      <c r="C1817" s="2889" t="str">
        <f aca="false">'Смета Внутр'!C1823</f>
        <v>м.п.</v>
      </c>
      <c r="D1817" s="2890" t="n">
        <f aca="false">'Смета Внутр'!D1823</f>
        <v>0</v>
      </c>
      <c r="E1817" s="2888"/>
      <c r="F1817" s="2895" t="n">
        <f aca="false">'Смета Внутр'!H1823</f>
        <v>0</v>
      </c>
    </row>
    <row r="1818" customFormat="false" ht="14.5" hidden="false" customHeight="false" outlineLevel="0" collapsed="false">
      <c r="B1818" s="2888" t="str">
        <f aca="false">'Смета Внутр'!B1824</f>
        <v>конек</v>
      </c>
      <c r="C1818" s="2889" t="str">
        <f aca="false">'Смета Внутр'!C1824</f>
        <v>м.п.</v>
      </c>
      <c r="D1818" s="2890" t="n">
        <f aca="false">'Смета Внутр'!D1824</f>
        <v>0</v>
      </c>
      <c r="E1818" s="2888"/>
      <c r="F1818" s="2895" t="n">
        <f aca="false">'Смета Внутр'!H1824</f>
        <v>0</v>
      </c>
    </row>
    <row r="1819" customFormat="false" ht="14.5" hidden="false" customHeight="false" outlineLevel="0" collapsed="false">
      <c r="B1819" s="2888" t="str">
        <f aca="false">'Смета Внутр'!B1825</f>
        <v>ондулин</v>
      </c>
      <c r="C1819" s="2889" t="str">
        <f aca="false">'Смета Внутр'!C1825</f>
        <v>м2</v>
      </c>
      <c r="D1819" s="2890" t="n">
        <f aca="false">'Смета Внутр'!D1825</f>
        <v>0</v>
      </c>
      <c r="E1819" s="2888"/>
      <c r="F1819" s="2895" t="n">
        <f aca="false">'Смета Внутр'!H1825</f>
        <v>0</v>
      </c>
    </row>
    <row r="1820" customFormat="false" ht="14.5" hidden="false" customHeight="false" outlineLevel="0" collapsed="false">
      <c r="B1820" s="2888" t="str">
        <f aca="false">'Смета Внутр'!B1826</f>
        <v>Карнизная планка</v>
      </c>
      <c r="C1820" s="2889" t="str">
        <f aca="false">'Смета Внутр'!C1826</f>
        <v>м.п.</v>
      </c>
      <c r="D1820" s="2890" t="n">
        <f aca="false">'Смета Внутр'!D1826</f>
        <v>0</v>
      </c>
      <c r="E1820" s="2888"/>
      <c r="F1820" s="2895" t="n">
        <f aca="false">'Смета Внутр'!H1826</f>
        <v>0</v>
      </c>
    </row>
    <row r="1821" customFormat="false" ht="14.5" hidden="false" customHeight="false" outlineLevel="0" collapsed="false">
      <c r="B1821" s="2888" t="str">
        <f aca="false">'Смета Внутр'!B1827</f>
        <v>Торцевая планка</v>
      </c>
      <c r="C1821" s="2889" t="str">
        <f aca="false">'Смета Внутр'!C1827</f>
        <v>м.п.</v>
      </c>
      <c r="D1821" s="2890" t="n">
        <f aca="false">'Смета Внутр'!D1827</f>
        <v>0</v>
      </c>
      <c r="E1821" s="2888"/>
      <c r="F1821" s="2895" t="n">
        <f aca="false">'Смета Внутр'!H1827</f>
        <v>0</v>
      </c>
    </row>
    <row r="1822" customFormat="false" ht="14.5" hidden="false" customHeight="false" outlineLevel="0" collapsed="false">
      <c r="B1822" s="2888" t="str">
        <f aca="false">'Смета Внутр'!B1828</f>
        <v>Конек</v>
      </c>
      <c r="C1822" s="2889" t="str">
        <f aca="false">'Смета Внутр'!C1828</f>
        <v>м.п.</v>
      </c>
      <c r="D1822" s="2890" t="n">
        <f aca="false">'Смета Внутр'!D1828</f>
        <v>0</v>
      </c>
      <c r="E1822" s="2888"/>
      <c r="F1822" s="2895" t="n">
        <f aca="false">'Смета Внутр'!H1828</f>
        <v>0</v>
      </c>
    </row>
    <row r="1823" customFormat="false" ht="14.5" hidden="false" customHeight="false" outlineLevel="0" collapsed="false">
      <c r="B1823" s="2888" t="str">
        <f aca="false">'Смета Внутр'!B1829</f>
        <v>Ендова нижняя</v>
      </c>
      <c r="C1823" s="2889" t="str">
        <f aca="false">'Смета Внутр'!C1829</f>
        <v>м.п.</v>
      </c>
      <c r="D1823" s="2890" t="n">
        <f aca="false">'Смета Внутр'!D1829</f>
        <v>0</v>
      </c>
      <c r="E1823" s="2888"/>
      <c r="F1823" s="2895" t="n">
        <f aca="false">'Смета Внутр'!H1829</f>
        <v>0</v>
      </c>
    </row>
    <row r="1824" customFormat="false" ht="14.5" hidden="false" customHeight="false" outlineLevel="0" collapsed="false">
      <c r="B1824" s="2888" t="str">
        <f aca="false">'Смета Внутр'!B1830</f>
        <v>Ендова верхняя</v>
      </c>
      <c r="C1824" s="2889" t="str">
        <f aca="false">'Смета Внутр'!C1830</f>
        <v>м.п.</v>
      </c>
      <c r="D1824" s="2890" t="n">
        <f aca="false">'Смета Внутр'!D1830</f>
        <v>0</v>
      </c>
      <c r="E1824" s="2888"/>
      <c r="F1824" s="2895" t="n">
        <f aca="false">'Смета Внутр'!H1830</f>
        <v>0</v>
      </c>
    </row>
    <row r="1825" customFormat="false" ht="14.5" hidden="false" customHeight="false" outlineLevel="0" collapsed="false">
      <c r="B1825" s="2888" t="str">
        <f aca="false">'Смета Внутр'!B1831</f>
        <v>Планка примыкания</v>
      </c>
      <c r="C1825" s="2889" t="str">
        <f aca="false">'Смета Внутр'!C1831</f>
        <v>м.п.</v>
      </c>
      <c r="D1825" s="2890" t="n">
        <f aca="false">'Смета Внутр'!D1831</f>
        <v>0</v>
      </c>
      <c r="E1825" s="2888"/>
      <c r="F1825" s="2895" t="n">
        <f aca="false">'Смета Внутр'!H1831</f>
        <v>0</v>
      </c>
    </row>
    <row r="1826" customFormat="false" ht="14.5" hidden="false" customHeight="false" outlineLevel="0" collapsed="false">
      <c r="B1826" s="2888" t="str">
        <f aca="false">'Смета Внутр'!B1832</f>
        <v>Крепеж для ондулина</v>
      </c>
      <c r="C1826" s="2889" t="str">
        <f aca="false">'Смета Внутр'!C1832</f>
        <v>шт</v>
      </c>
      <c r="D1826" s="2890" t="n">
        <f aca="false">'Смета Внутр'!D1832</f>
        <v>0</v>
      </c>
      <c r="E1826" s="2888"/>
      <c r="F1826" s="2895" t="n">
        <f aca="false">'Смета Внутр'!H1832</f>
        <v>0</v>
      </c>
    </row>
    <row r="1827" customFormat="false" ht="14.5" hidden="false" customHeight="false" outlineLevel="0" collapsed="false">
      <c r="B1827" s="2888" t="str">
        <f aca="false">'Смета Внутр'!B1833</f>
        <v>нет</v>
      </c>
      <c r="C1827" s="2889" t="str">
        <f aca="false">'Смета Внутр'!C1833</f>
        <v>м2</v>
      </c>
      <c r="D1827" s="2890" t="n">
        <f aca="false">'Смета Внутр'!D1833</f>
        <v>21.4120474499754</v>
      </c>
      <c r="E1827" s="2888"/>
      <c r="F1827" s="2895" t="n">
        <f aca="false">'Смета Внутр'!H1833</f>
        <v>0</v>
      </c>
    </row>
    <row r="1828" customFormat="false" ht="14.5" hidden="false" customHeight="false" outlineLevel="0" collapsed="false">
      <c r="B1828" s="2888" t="str">
        <f aca="false">'Смета Внутр'!B1834</f>
        <v>Рядовая черепица</v>
      </c>
      <c r="C1828" s="2889" t="str">
        <f aca="false">'Смета Внутр'!C1834</f>
        <v>м2</v>
      </c>
      <c r="D1828" s="2890" t="n">
        <f aca="false">'Смета Внутр'!D1834</f>
        <v>0</v>
      </c>
      <c r="E1828" s="2888"/>
      <c r="F1828" s="2895" t="n">
        <f aca="false">'Смета Внутр'!H1834</f>
        <v>0</v>
      </c>
    </row>
    <row r="1829" customFormat="false" ht="14.5" hidden="false" customHeight="false" outlineLevel="0" collapsed="false">
      <c r="B1829" s="2888" t="str">
        <f aca="false">'Смета Внутр'!B1835</f>
        <v>Металл оцинк защита (карниз)</v>
      </c>
      <c r="C1829" s="2889" t="str">
        <f aca="false">'Смета Внутр'!C1835</f>
        <v>м.п.</v>
      </c>
      <c r="D1829" s="2890" t="n">
        <f aca="false">'Смета Внутр'!D1835</f>
        <v>0</v>
      </c>
      <c r="E1829" s="2888"/>
      <c r="F1829" s="2895" t="n">
        <f aca="false">'Смета Внутр'!H1835</f>
        <v>0</v>
      </c>
    </row>
    <row r="1830" customFormat="false" ht="14.5" hidden="false" customHeight="false" outlineLevel="0" collapsed="false">
      <c r="B1830" s="2888" t="str">
        <f aca="false">'Смета Внутр'!B1836</f>
        <v>Подкладочный ковер</v>
      </c>
      <c r="C1830" s="2889" t="str">
        <f aca="false">'Смета Внутр'!C1836</f>
        <v>м.п.</v>
      </c>
      <c r="D1830" s="2890" t="n">
        <f aca="false">'Смета Внутр'!D1836</f>
        <v>0</v>
      </c>
      <c r="E1830" s="2888"/>
      <c r="F1830" s="2895" t="n">
        <f aca="false">'Смета Внутр'!H1836</f>
        <v>0</v>
      </c>
    </row>
    <row r="1831" customFormat="false" ht="14.5" hidden="false" customHeight="false" outlineLevel="0" collapsed="false">
      <c r="B1831" s="2888" t="str">
        <f aca="false">'Смета Внутр'!B1837</f>
        <v>Карнизная самоклеющаяся черепица</v>
      </c>
      <c r="C1831" s="2889" t="str">
        <f aca="false">'Смета Внутр'!C1837</f>
        <v>м.п.</v>
      </c>
      <c r="D1831" s="2890" t="n">
        <f aca="false">'Смета Внутр'!D1837</f>
        <v>0</v>
      </c>
      <c r="E1831" s="2888"/>
      <c r="F1831" s="2895" t="n">
        <f aca="false">'Смета Внутр'!H1837</f>
        <v>0</v>
      </c>
    </row>
    <row r="1832" customFormat="false" ht="14.5" hidden="false" customHeight="false" outlineLevel="0" collapsed="false">
      <c r="B1832" s="2888" t="str">
        <f aca="false">'Смета Внутр'!B1838</f>
        <v>Спец ковер ендова нижняя</v>
      </c>
      <c r="C1832" s="2889" t="str">
        <f aca="false">'Смета Внутр'!C1838</f>
        <v>м.п.</v>
      </c>
      <c r="D1832" s="2890" t="n">
        <f aca="false">'Смета Внутр'!D1838</f>
        <v>0</v>
      </c>
      <c r="E1832" s="2888"/>
      <c r="F1832" s="2895" t="n">
        <f aca="false">'Смета Внутр'!H1838</f>
        <v>0</v>
      </c>
    </row>
    <row r="1833" customFormat="false" ht="14.5" hidden="false" customHeight="false" outlineLevel="0" collapsed="false">
      <c r="B1833" s="2888" t="str">
        <f aca="false">'Смета Внутр'!B1839</f>
        <v>Коньковой элемент</v>
      </c>
      <c r="C1833" s="2889" t="str">
        <f aca="false">'Смета Внутр'!C1839</f>
        <v>м.п.</v>
      </c>
      <c r="D1833" s="2890" t="n">
        <f aca="false">'Смета Внутр'!D1839</f>
        <v>0</v>
      </c>
      <c r="E1833" s="2888"/>
      <c r="F1833" s="2895" t="n">
        <f aca="false">'Смета Внутр'!H1839</f>
        <v>0</v>
      </c>
    </row>
    <row r="1834" customFormat="false" ht="14.5" hidden="false" customHeight="false" outlineLevel="0" collapsed="false">
      <c r="B1834" s="2888" t="str">
        <f aca="false">'Смета Внутр'!B1840</f>
        <v>Планка премыкания</v>
      </c>
      <c r="C1834" s="2889" t="str">
        <f aca="false">'Смета Внутр'!C1840</f>
        <v>м.п.</v>
      </c>
      <c r="D1834" s="2890" t="n">
        <f aca="false">'Смета Внутр'!D1840</f>
        <v>0</v>
      </c>
      <c r="E1834" s="2888"/>
      <c r="F1834" s="2895" t="n">
        <f aca="false">'Смета Внутр'!H1840</f>
        <v>0</v>
      </c>
    </row>
    <row r="1835" customFormat="false" ht="14.5" hidden="false" customHeight="false" outlineLevel="0" collapsed="false">
      <c r="B1835" s="2888" t="str">
        <f aca="false">'Смета Внутр'!B1841</f>
        <v>Гвозди для крепления подкладочного ковра</v>
      </c>
      <c r="C1835" s="2889" t="str">
        <f aca="false">'Смета Внутр'!C1841</f>
        <v>шт</v>
      </c>
      <c r="D1835" s="2890" t="n">
        <f aca="false">'Смета Внутр'!D1841</f>
        <v>0</v>
      </c>
      <c r="E1835" s="2888"/>
      <c r="F1835" s="2895" t="n">
        <f aca="false">'Смета Внутр'!H1841</f>
        <v>0</v>
      </c>
    </row>
    <row r="1836" customFormat="false" ht="14.5" hidden="false" customHeight="false" outlineLevel="0" collapsed="false">
      <c r="B1836" s="2888" t="str">
        <f aca="false">'Смета Внутр'!B1842</f>
        <v>Гвозди для крепления черепицы</v>
      </c>
      <c r="C1836" s="2889" t="str">
        <f aca="false">'Смета Внутр'!C1842</f>
        <v>шт</v>
      </c>
      <c r="D1836" s="2890" t="n">
        <f aca="false">'Смета Внутр'!D1842</f>
        <v>0</v>
      </c>
      <c r="E1836" s="2888"/>
      <c r="F1836" s="2895" t="n">
        <f aca="false">'Смета Внутр'!H1842</f>
        <v>0</v>
      </c>
    </row>
    <row r="1837" customFormat="false" ht="14.5" hidden="false" customHeight="false" outlineLevel="0" collapsed="false">
      <c r="B1837" s="2888" t="str">
        <f aca="false">'Смета Внутр'!B1843</f>
        <v>Клей для монтажа черепицы</v>
      </c>
      <c r="C1837" s="2889" t="str">
        <f aca="false">'Смета Внутр'!C1843</f>
        <v>кг</v>
      </c>
      <c r="D1837" s="2890" t="n">
        <f aca="false">'Смета Внутр'!D1843</f>
        <v>0</v>
      </c>
      <c r="E1837" s="2888"/>
      <c r="F1837" s="2895" t="n">
        <f aca="false">'Смета Внутр'!H1843</f>
        <v>0</v>
      </c>
    </row>
    <row r="1838" customFormat="false" ht="14.5" hidden="false" customHeight="false" outlineLevel="0" collapsed="false">
      <c r="B1838" s="2888" t="str">
        <f aca="false">'Смета Внутр'!B1844</f>
        <v>желоб</v>
      </c>
      <c r="C1838" s="2889" t="str">
        <f aca="false">'Смета Внутр'!C1844</f>
        <v>м.п</v>
      </c>
      <c r="D1838" s="2890" t="n">
        <f aca="false">'Смета Внутр'!D1844</f>
        <v>7.6</v>
      </c>
      <c r="E1838" s="2888"/>
      <c r="F1838" s="2895" t="n">
        <f aca="false">'Смета Внутр'!H1844</f>
        <v>0</v>
      </c>
    </row>
    <row r="1839" customFormat="false" ht="14.5" hidden="false" customHeight="false" outlineLevel="0" collapsed="false">
      <c r="B1839" s="2888" t="str">
        <f aca="false">'Смета Внутр'!B1845</f>
        <v>отвод</v>
      </c>
      <c r="C1839" s="2889" t="str">
        <f aca="false">'Смета Внутр'!C1845</f>
        <v>шт</v>
      </c>
      <c r="D1839" s="2890" t="n">
        <f aca="false">'Смета Внутр'!D1845</f>
        <v>0</v>
      </c>
      <c r="E1839" s="2888"/>
      <c r="F1839" s="2895" t="n">
        <f aca="false">'Смета Внутр'!H1845</f>
        <v>0</v>
      </c>
    </row>
    <row r="1840" customFormat="false" ht="14.5" hidden="false" customHeight="false" outlineLevel="0" collapsed="false">
      <c r="B1840" s="2888" t="str">
        <f aca="false">'Смета Внутр'!B1846</f>
        <v>труба водосточная</v>
      </c>
      <c r="C1840" s="2889" t="str">
        <f aca="false">'Смета Внутр'!C1846</f>
        <v>м.п.</v>
      </c>
      <c r="D1840" s="2890" t="n">
        <f aca="false">'Смета Внутр'!D1846</f>
        <v>3.7</v>
      </c>
      <c r="E1840" s="2888"/>
      <c r="F1840" s="2895" t="n">
        <f aca="false">'Смета Внутр'!H1846</f>
        <v>0</v>
      </c>
    </row>
    <row r="1841" customFormat="false" ht="14.5" hidden="false" customHeight="false" outlineLevel="0" collapsed="false">
      <c r="B1841" s="2888" t="str">
        <f aca="false">'Смета Внутр'!B1847</f>
        <v>заглушка для желоба</v>
      </c>
      <c r="C1841" s="2889" t="str">
        <f aca="false">'Смета Внутр'!C1847</f>
        <v>шт</v>
      </c>
      <c r="D1841" s="2890" t="n">
        <f aca="false">'Смета Внутр'!D1847</f>
        <v>0</v>
      </c>
      <c r="E1841" s="2888"/>
      <c r="F1841" s="2895" t="n">
        <f aca="false">'Смета Внутр'!H1847</f>
        <v>0</v>
      </c>
    </row>
    <row r="1842" customFormat="false" ht="14.5" hidden="false" customHeight="false" outlineLevel="0" collapsed="false">
      <c r="B1842" s="2888" t="str">
        <f aca="false">'Смета Внутр'!B1848</f>
        <v>соеденитель для желоба</v>
      </c>
      <c r="C1842" s="2889" t="str">
        <f aca="false">'Смета Внутр'!C1848</f>
        <v>шт</v>
      </c>
      <c r="D1842" s="2890" t="n">
        <f aca="false">'Смета Внутр'!D1848</f>
        <v>0</v>
      </c>
      <c r="E1842" s="2888"/>
      <c r="F1842" s="2895" t="n">
        <f aca="false">'Смета Внутр'!H1848</f>
        <v>0</v>
      </c>
    </row>
    <row r="1843" customFormat="false" ht="14.5" hidden="false" customHeight="false" outlineLevel="0" collapsed="false">
      <c r="B1843" s="2888" t="str">
        <f aca="false">'Смета Внутр'!B1849</f>
        <v>кронштейн для желоба</v>
      </c>
      <c r="C1843" s="2889" t="str">
        <f aca="false">'Смета Внутр'!C1849</f>
        <v>шт</v>
      </c>
      <c r="D1843" s="2890" t="n">
        <f aca="false">'Смета Внутр'!D1849</f>
        <v>0</v>
      </c>
      <c r="E1843" s="2888"/>
      <c r="F1843" s="2895" t="n">
        <f aca="false">'Смета Внутр'!H1849</f>
        <v>0</v>
      </c>
    </row>
    <row r="1844" customFormat="false" ht="14.5" hidden="false" customHeight="false" outlineLevel="0" collapsed="false">
      <c r="B1844" s="2888" t="str">
        <f aca="false">'Смета Внутр'!B1850</f>
        <v>переход из желоба в трубу</v>
      </c>
      <c r="C1844" s="2889" t="str">
        <f aca="false">'Смета Внутр'!C1850</f>
        <v>шт</v>
      </c>
      <c r="D1844" s="2890" t="n">
        <f aca="false">'Смета Внутр'!D1850</f>
        <v>0</v>
      </c>
      <c r="E1844" s="2888"/>
      <c r="F1844" s="2895" t="n">
        <f aca="false">'Смета Внутр'!H1850</f>
        <v>0</v>
      </c>
    </row>
    <row r="1845" customFormat="false" ht="14.5" hidden="false" customHeight="false" outlineLevel="0" collapsed="false">
      <c r="B1845" s="2888" t="str">
        <f aca="false">'Смета Внутр'!B1851</f>
        <v>лента дельта мульти бэнд</v>
      </c>
      <c r="C1845" s="2889" t="str">
        <f aca="false">'Смета Внутр'!C1851</f>
        <v>шт</v>
      </c>
      <c r="D1845" s="2890" t="n">
        <f aca="false">'Смета Внутр'!D1851</f>
        <v>0</v>
      </c>
      <c r="E1845" s="2888"/>
      <c r="F1845" s="2895" t="n">
        <f aca="false">'Смета Внутр'!H1851</f>
        <v>0</v>
      </c>
    </row>
    <row r="1846" customFormat="false" ht="14.5" hidden="false" customHeight="false" outlineLevel="0" collapsed="false">
      <c r="B1846" s="2888" t="str">
        <f aca="false">'Смета Внутр'!B1852</f>
        <v>лента дельта sb-60</v>
      </c>
      <c r="C1846" s="2889" t="str">
        <f aca="false">'Смета Внутр'!C1852</f>
        <v>шт</v>
      </c>
      <c r="D1846" s="2890" t="n">
        <f aca="false">'Смета Внутр'!D1852</f>
        <v>0</v>
      </c>
      <c r="E1846" s="2888"/>
      <c r="F1846" s="2895" t="n">
        <f aca="false">'Смета Внутр'!H1852</f>
        <v>0</v>
      </c>
    </row>
    <row r="1847" customFormat="false" ht="14.5" hidden="false" customHeight="false" outlineLevel="0" collapsed="false">
      <c r="B1847" s="2888" t="str">
        <f aca="false">'Смета Внутр'!B1853</f>
        <v>Кровельный саморез</v>
      </c>
      <c r="C1847" s="2889" t="str">
        <f aca="false">'Смета Внутр'!C1853</f>
        <v>шт</v>
      </c>
      <c r="D1847" s="2890" t="n">
        <f aca="false">'Смета Внутр'!D1853</f>
        <v>0</v>
      </c>
      <c r="E1847" s="2888"/>
      <c r="F1847" s="2895" t="n">
        <f aca="false">'Смета Внутр'!H1853</f>
        <v>0</v>
      </c>
    </row>
    <row r="1848" customFormat="false" ht="14.5" hidden="false" customHeight="false" outlineLevel="0" collapsed="false">
      <c r="B1848" s="2888" t="str">
        <f aca="false">'Смета Внутр'!B1854</f>
        <v>Гвозди ершоные 3,4 x 60</v>
      </c>
      <c r="C1848" s="2889" t="str">
        <f aca="false">'Смета Внутр'!C1854</f>
        <v>кг</v>
      </c>
      <c r="D1848" s="2890" t="n">
        <f aca="false">'Смета Внутр'!D1854</f>
        <v>0</v>
      </c>
      <c r="E1848" s="2888"/>
      <c r="F1848" s="2895" t="n">
        <f aca="false">'Смета Внутр'!H1854</f>
        <v>0</v>
      </c>
    </row>
    <row r="1849" customFormat="false" ht="14.5" hidden="false" customHeight="false" outlineLevel="0" collapsed="false">
      <c r="B1849" s="2888" t="str">
        <f aca="false">'Смета Внутр'!B1855</f>
        <v>Гвозди ершоные 2,8 х 90</v>
      </c>
      <c r="C1849" s="2889" t="str">
        <f aca="false">'Смета Внутр'!C1855</f>
        <v>шт</v>
      </c>
      <c r="D1849" s="2890" t="n">
        <f aca="false">'Смета Внутр'!D1855</f>
        <v>0</v>
      </c>
      <c r="E1849" s="2888"/>
      <c r="F1849" s="2895" t="n">
        <f aca="false">'Смета Внутр'!H1855</f>
        <v>0</v>
      </c>
    </row>
    <row r="1850" customFormat="false" ht="14.5" hidden="false" customHeight="false" outlineLevel="0" collapsed="false">
      <c r="B1850" s="2888" t="str">
        <f aca="false">'Смета Внутр'!B1856</f>
        <v>Пластина соеденительная 100х240х2</v>
      </c>
      <c r="C1850" s="2889" t="str">
        <f aca="false">'Смета Внутр'!C1856</f>
        <v>шт</v>
      </c>
      <c r="D1850" s="2890" t="n">
        <f aca="false">'Смета Внутр'!D1856</f>
        <v>0</v>
      </c>
      <c r="E1850" s="2888"/>
      <c r="F1850" s="2895" t="n">
        <f aca="false">'Смета Внутр'!H1856</f>
        <v>0</v>
      </c>
    </row>
    <row r="1851" customFormat="false" ht="14.5" hidden="false" customHeight="false" outlineLevel="0" collapsed="false">
      <c r="B1851" s="2888" t="str">
        <f aca="false">'Смета Внутр'!B1857</f>
        <v>Уголок усиленный 90х70х55х2,5</v>
      </c>
      <c r="C1851" s="2889" t="str">
        <f aca="false">'Смета Внутр'!C1857</f>
        <v>шт</v>
      </c>
      <c r="D1851" s="2890" t="n">
        <f aca="false">'Смета Внутр'!D1857</f>
        <v>0</v>
      </c>
      <c r="E1851" s="2888"/>
      <c r="F1851" s="2895" t="n">
        <f aca="false">'Смета Внутр'!H1857</f>
        <v>0</v>
      </c>
    </row>
    <row r="1852" customFormat="false" ht="14.5" hidden="false" customHeight="false" outlineLevel="0" collapsed="false">
      <c r="B1852" s="2896" t="str">
        <f aca="false">'Смета Внутр'!B1858</f>
        <v>Итого материалы</v>
      </c>
      <c r="C1852" s="2896"/>
      <c r="D1852" s="2896"/>
      <c r="E1852" s="2896"/>
      <c r="F1852" s="2897" t="n">
        <f aca="false">'Смета Внутр'!G1858</f>
        <v>0</v>
      </c>
    </row>
    <row r="1853" customFormat="false" ht="14.5" hidden="false" customHeight="false" outlineLevel="0" collapsed="false">
      <c r="B1853" s="2898" t="str">
        <f aca="false">'Смета Внутр'!B1859</f>
        <v>Работы</v>
      </c>
      <c r="C1853" s="2898"/>
      <c r="D1853" s="2898"/>
      <c r="E1853" s="2898"/>
      <c r="F1853" s="2893" t="n">
        <f aca="false">'Смета Внутр'!H1859</f>
        <v>0</v>
      </c>
    </row>
    <row r="1854" customFormat="false" ht="14.5" hidden="false" customHeight="false" outlineLevel="0" collapsed="false">
      <c r="B1854" s="2888" t="str">
        <f aca="false">'Смета Внутр'!B1860</f>
        <v>монтаж стропил</v>
      </c>
      <c r="C1854" s="2889" t="str">
        <f aca="false">'Смета Внутр'!C1860</f>
        <v>м2</v>
      </c>
      <c r="D1854" s="2890" t="n">
        <f aca="false">'Смета Внутр'!D1860</f>
        <v>0</v>
      </c>
      <c r="E1854" s="2888"/>
      <c r="F1854" s="2895" t="n">
        <f aca="false">'Смета Внутр'!H1860</f>
        <v>0</v>
      </c>
    </row>
    <row r="1855" customFormat="false" ht="14.5" hidden="false" customHeight="false" outlineLevel="0" collapsed="false">
      <c r="B1855" s="2888" t="str">
        <f aca="false">'Смета Внутр'!B1861</f>
        <v>обрешетка</v>
      </c>
      <c r="C1855" s="2889" t="str">
        <f aca="false">'Смета Внутр'!C1861</f>
        <v>м2</v>
      </c>
      <c r="D1855" s="2890" t="n">
        <f aca="false">'Смета Внутр'!D1861</f>
        <v>0</v>
      </c>
      <c r="E1855" s="2888"/>
      <c r="F1855" s="2895" t="n">
        <f aca="false">'Смета Внутр'!H1861</f>
        <v>0</v>
      </c>
    </row>
    <row r="1856" customFormat="false" ht="14.5" hidden="false" customHeight="false" outlineLevel="0" collapsed="false">
      <c r="B1856" s="2888" t="str">
        <f aca="false">'Смета Внутр'!B1862</f>
        <v>контробеш</v>
      </c>
      <c r="C1856" s="2889" t="str">
        <f aca="false">'Смета Внутр'!C1862</f>
        <v>м2</v>
      </c>
      <c r="D1856" s="2890" t="n">
        <f aca="false">'Смета Внутр'!D1862</f>
        <v>0</v>
      </c>
      <c r="E1856" s="2888"/>
      <c r="F1856" s="2895" t="n">
        <f aca="false">'Смета Внутр'!H1862</f>
        <v>0</v>
      </c>
    </row>
    <row r="1857" customFormat="false" ht="14.5" hidden="false" customHeight="false" outlineLevel="0" collapsed="false">
      <c r="B1857" s="2888" t="str">
        <f aca="false">'Смета Внутр'!B1863</f>
        <v>мембрана</v>
      </c>
      <c r="C1857" s="2889" t="str">
        <f aca="false">'Смета Внутр'!C1863</f>
        <v>м2</v>
      </c>
      <c r="D1857" s="2890" t="n">
        <f aca="false">'Смета Внутр'!D1863</f>
        <v>0</v>
      </c>
      <c r="E1857" s="2888"/>
      <c r="F1857" s="2895" t="n">
        <f aca="false">'Смета Внутр'!H1863</f>
        <v>0</v>
      </c>
    </row>
    <row r="1858" customFormat="false" ht="14.5" hidden="false" customHeight="false" outlineLevel="0" collapsed="false">
      <c r="B1858" s="2888" t="str">
        <f aca="false">'Смета Внутр'!B1864</f>
        <v>Монтаж металлочерепицы</v>
      </c>
      <c r="C1858" s="2889" t="str">
        <f aca="false">'Смета Внутр'!C1864</f>
        <v>м2</v>
      </c>
      <c r="D1858" s="2890" t="n">
        <f aca="false">'Смета Внутр'!D1864</f>
        <v>0</v>
      </c>
      <c r="E1858" s="2888"/>
      <c r="F1858" s="2895" t="n">
        <f aca="false">'Смета Внутр'!H1864</f>
        <v>0</v>
      </c>
    </row>
    <row r="1859" customFormat="false" ht="14.5" hidden="false" customHeight="false" outlineLevel="0" collapsed="false">
      <c r="B1859" s="2888" t="str">
        <f aca="false">'Смета Внутр'!B1865</f>
        <v>карнизная планка</v>
      </c>
      <c r="C1859" s="2889" t="str">
        <f aca="false">'Смета Внутр'!C1865</f>
        <v>м2</v>
      </c>
      <c r="D1859" s="2890" t="n">
        <f aca="false">'Смета Внутр'!D1865</f>
        <v>0</v>
      </c>
      <c r="E1859" s="2888"/>
      <c r="F1859" s="2895" t="n">
        <f aca="false">'Смета Внутр'!H1865</f>
        <v>0</v>
      </c>
    </row>
    <row r="1860" customFormat="false" ht="14.5" hidden="false" customHeight="false" outlineLevel="0" collapsed="false">
      <c r="B1860" s="2888" t="str">
        <f aca="false">'Смета Внутр'!B1866</f>
        <v>торцевая планка</v>
      </c>
      <c r="C1860" s="2889" t="str">
        <f aca="false">'Смета Внутр'!C1866</f>
        <v>м2</v>
      </c>
      <c r="D1860" s="2890" t="n">
        <f aca="false">'Смета Внутр'!D1866</f>
        <v>0</v>
      </c>
      <c r="E1860" s="2888"/>
      <c r="F1860" s="2895" t="n">
        <f aca="false">'Смета Внутр'!H1866</f>
        <v>0</v>
      </c>
    </row>
    <row r="1861" customFormat="false" ht="14.5" hidden="false" customHeight="false" outlineLevel="0" collapsed="false">
      <c r="B1861" s="2888" t="str">
        <f aca="false">'Смета Внутр'!B1867</f>
        <v>желоб водосточный</v>
      </c>
      <c r="C1861" s="2889" t="str">
        <f aca="false">'Смета Внутр'!C1867</f>
        <v>м.п.</v>
      </c>
      <c r="D1861" s="2890" t="n">
        <f aca="false">'Смета Внутр'!D1867</f>
        <v>0</v>
      </c>
      <c r="E1861" s="2888"/>
      <c r="F1861" s="2895" t="n">
        <f aca="false">'Смета Внутр'!H1867</f>
        <v>0</v>
      </c>
    </row>
    <row r="1862" customFormat="false" ht="14.5" hidden="false" customHeight="false" outlineLevel="0" collapsed="false">
      <c r="B1862" s="2888" t="str">
        <f aca="false">'Смета Внутр'!B1868</f>
        <v>труба водосточная</v>
      </c>
      <c r="C1862" s="2889" t="str">
        <f aca="false">'Смета Внутр'!C1868</f>
        <v>м.п.</v>
      </c>
      <c r="D1862" s="2890" t="n">
        <f aca="false">'Смета Внутр'!D1868</f>
        <v>0</v>
      </c>
      <c r="E1862" s="2888"/>
      <c r="F1862" s="2895" t="n">
        <f aca="false">'Смета Внутр'!H1868</f>
        <v>0</v>
      </c>
    </row>
    <row r="1863" customFormat="false" ht="14.5" hidden="false" customHeight="false" outlineLevel="0" collapsed="false">
      <c r="B1863" s="2888" t="str">
        <f aca="false">'Смета Внутр'!B1869</f>
        <v>Монтаж ондулина</v>
      </c>
      <c r="C1863" s="2889" t="str">
        <f aca="false">'Смета Внутр'!C1869</f>
        <v>м2</v>
      </c>
      <c r="D1863" s="2890" t="n">
        <f aca="false">'Смета Внутр'!D1869</f>
        <v>0</v>
      </c>
      <c r="E1863" s="2888"/>
      <c r="F1863" s="2895" t="n">
        <f aca="false">'Смета Внутр'!H1869</f>
        <v>0</v>
      </c>
    </row>
    <row r="1864" customFormat="false" ht="14.5" hidden="false" customHeight="false" outlineLevel="0" collapsed="false">
      <c r="B1864" s="2888" t="str">
        <f aca="false">'Смета Внутр'!B1870</f>
        <v>Монтаж фанеры/osb</v>
      </c>
      <c r="C1864" s="2889" t="str">
        <f aca="false">'Смета Внутр'!C1870</f>
        <v>м2</v>
      </c>
      <c r="D1864" s="2890" t="n">
        <f aca="false">'Смета Внутр'!D1870</f>
        <v>0</v>
      </c>
      <c r="E1864" s="2888"/>
      <c r="F1864" s="2895" t="n">
        <f aca="false">'Смета Внутр'!H1870</f>
        <v>0</v>
      </c>
    </row>
    <row r="1865" customFormat="false" ht="14.5" hidden="false" customHeight="false" outlineLevel="0" collapsed="false">
      <c r="B1865" s="2888" t="str">
        <f aca="false">'Смета Внутр'!B1871</f>
        <v>монтаж подкладочного ковра</v>
      </c>
      <c r="C1865" s="2889" t="str">
        <f aca="false">'Смета Внутр'!C1871</f>
        <v>м2</v>
      </c>
      <c r="D1865" s="2890" t="n">
        <f aca="false">'Смета Внутр'!D1871</f>
        <v>0</v>
      </c>
      <c r="E1865" s="2888"/>
      <c r="F1865" s="2895" t="n">
        <f aca="false">'Смета Внутр'!H1871</f>
        <v>0</v>
      </c>
    </row>
    <row r="1866" customFormat="false" ht="14.5" hidden="false" customHeight="false" outlineLevel="0" collapsed="false">
      <c r="B1866" s="2888" t="str">
        <f aca="false">'Смета Внутр'!B1872</f>
        <v>Монтаж мягкой кровли</v>
      </c>
      <c r="C1866" s="2889" t="str">
        <f aca="false">'Смета Внутр'!C1872</f>
        <v>м2</v>
      </c>
      <c r="D1866" s="2890" t="n">
        <f aca="false">'Смета Внутр'!D1872</f>
        <v>0</v>
      </c>
      <c r="E1866" s="2888"/>
      <c r="F1866" s="2895" t="n">
        <f aca="false">'Смета Внутр'!H1872</f>
        <v>0</v>
      </c>
    </row>
    <row r="1867" customFormat="false" ht="14.5" hidden="false" customHeight="false" outlineLevel="0" collapsed="false">
      <c r="B1867" s="2896" t="str">
        <f aca="false">'Смета Внутр'!B1873</f>
        <v>Итого работы</v>
      </c>
      <c r="C1867" s="2896"/>
      <c r="D1867" s="2896"/>
      <c r="E1867" s="2896"/>
      <c r="F1867" s="2897" t="n">
        <f aca="false">'Смета Внутр'!G1873</f>
        <v>0</v>
      </c>
    </row>
    <row r="1868" customFormat="false" ht="18.5" hidden="false" customHeight="false" outlineLevel="0" collapsed="false">
      <c r="B1868" s="2899" t="str">
        <f aca="false">'Смета Внутр'!B1874</f>
        <v>Кровля на крыльцо</v>
      </c>
      <c r="C1868" s="2899"/>
      <c r="D1868" s="2899"/>
      <c r="E1868" s="2899"/>
      <c r="F1868" s="2901" t="n">
        <f aca="false">'Смета Внутр'!H1874</f>
        <v>0</v>
      </c>
    </row>
    <row r="1869" customFormat="false" ht="14.5" hidden="false" customHeight="false" outlineLevel="0" collapsed="false">
      <c r="B1869" s="2894" t="str">
        <f aca="false">'Смета Внутр'!B1875</f>
        <v>Материалы</v>
      </c>
      <c r="C1869" s="2894"/>
      <c r="D1869" s="2894"/>
      <c r="E1869" s="2894"/>
      <c r="F1869" s="2901" t="n">
        <f aca="false">'Смета Внутр'!H1875</f>
        <v>0</v>
      </c>
    </row>
    <row r="1870" customFormat="false" ht="14.5" hidden="false" customHeight="false" outlineLevel="0" collapsed="false">
      <c r="B1870" s="2888" t="str">
        <f aca="false">'Смета Внутр'!B1876</f>
        <v>Доска сухая, 150*50мм</v>
      </c>
      <c r="C1870" s="2889" t="str">
        <f aca="false">'Смета Внутр'!C1876</f>
        <v>м3</v>
      </c>
      <c r="D1870" s="2890" t="n">
        <f aca="false">'Смета Внутр'!D1876</f>
        <v>0.158290972598336</v>
      </c>
      <c r="E1870" s="2888"/>
      <c r="F1870" s="2902" t="n">
        <f aca="false">'Смета Внутр'!H1876</f>
        <v>0</v>
      </c>
    </row>
    <row r="1871" customFormat="false" ht="14.5" hidden="false" customHeight="false" outlineLevel="0" collapsed="false">
      <c r="B1871" s="2888" t="str">
        <f aca="false">'Смета Внутр'!B1877</f>
        <v>Сосна влаж,100*25мм</v>
      </c>
      <c r="C1871" s="2889" t="str">
        <f aca="false">'Смета Внутр'!C1877</f>
        <v>м3</v>
      </c>
      <c r="D1871" s="2890" t="n">
        <f aca="false">'Смета Внутр'!D1877</f>
        <v>0.0461886835048411</v>
      </c>
      <c r="E1871" s="2888"/>
      <c r="F1871" s="2902" t="n">
        <f aca="false">'Смета Внутр'!H1877</f>
        <v>0</v>
      </c>
    </row>
    <row r="1872" customFormat="false" ht="14.5" hidden="false" customHeight="false" outlineLevel="0" collapsed="false">
      <c r="B1872" s="2888" t="str">
        <f aca="false">'Смета Внутр'!B1878</f>
        <v>нет</v>
      </c>
      <c r="C1872" s="2889" t="str">
        <f aca="false">'Смета Внутр'!C1878</f>
        <v>м2</v>
      </c>
      <c r="D1872" s="2890" t="n">
        <f aca="false">'Смета Внутр'!D1878</f>
        <v>0</v>
      </c>
      <c r="E1872" s="2888"/>
      <c r="F1872" s="2902" t="n">
        <f aca="false">'Смета Внутр'!H1878</f>
        <v>0</v>
      </c>
    </row>
    <row r="1873" customFormat="false" ht="14.5" hidden="false" customHeight="false" outlineLevel="0" collapsed="false">
      <c r="B1873" s="2888" t="str">
        <f aca="false">'Смета Внутр'!B1879</f>
        <v>нет</v>
      </c>
      <c r="C1873" s="2889" t="str">
        <f aca="false">'Смета Внутр'!C1879</f>
        <v>м2</v>
      </c>
      <c r="D1873" s="2890" t="n">
        <f aca="false">'Смета Внутр'!D1879</f>
        <v>7.39018936077457</v>
      </c>
      <c r="E1873" s="2888"/>
      <c r="F1873" s="2895" t="n">
        <f aca="false">'Смета Внутр'!H1879</f>
        <v>0</v>
      </c>
    </row>
    <row r="1874" customFormat="false" ht="14.5" hidden="false" customHeight="false" outlineLevel="0" collapsed="false">
      <c r="B1874" s="2888" t="str">
        <f aca="false">'Смета Внутр'!B1880</f>
        <v>Мембраны Tyvek Solid</v>
      </c>
      <c r="C1874" s="2889" t="str">
        <f aca="false">'Смета Внутр'!C1880</f>
        <v>м2</v>
      </c>
      <c r="D1874" s="2890" t="n">
        <f aca="false">'Смета Внутр'!D1880</f>
        <v>7.39018936077457</v>
      </c>
      <c r="E1874" s="2888"/>
      <c r="F1874" s="2902" t="n">
        <f aca="false">'Смета Внутр'!H1880</f>
        <v>0</v>
      </c>
    </row>
    <row r="1875" customFormat="false" ht="14.5" hidden="false" customHeight="false" outlineLevel="0" collapsed="false">
      <c r="B1875" s="2888" t="str">
        <f aca="false">'Смета Внутр'!B1881</f>
        <v>металлочерепица</v>
      </c>
      <c r="C1875" s="2889" t="str">
        <f aca="false">'Смета Внутр'!C1881</f>
        <v>м2</v>
      </c>
      <c r="D1875" s="2890" t="n">
        <f aca="false">'Смета Внутр'!D1881</f>
        <v>7.39018936077457</v>
      </c>
      <c r="E1875" s="2888"/>
      <c r="F1875" s="2902" t="n">
        <f aca="false">'Смета Внутр'!H1881</f>
        <v>0</v>
      </c>
    </row>
    <row r="1876" customFormat="false" ht="14.5" hidden="false" customHeight="false" outlineLevel="0" collapsed="false">
      <c r="B1876" s="2888" t="str">
        <f aca="false">'Смета Внутр'!B1882</f>
        <v>карнизная планка</v>
      </c>
      <c r="C1876" s="2889" t="str">
        <f aca="false">'Смета Внутр'!C1882</f>
        <v>м.п.</v>
      </c>
      <c r="D1876" s="2890" t="n">
        <f aca="false">'Смета Внутр'!D1882</f>
        <v>4.18</v>
      </c>
      <c r="E1876" s="2888"/>
      <c r="F1876" s="2902" t="n">
        <f aca="false">'Смета Внутр'!H1882</f>
        <v>0</v>
      </c>
    </row>
    <row r="1877" customFormat="false" ht="14.5" hidden="false" customHeight="false" outlineLevel="0" collapsed="false">
      <c r="B1877" s="2888" t="str">
        <f aca="false">'Смета Внутр'!B1883</f>
        <v>торцевая планка</v>
      </c>
      <c r="C1877" s="2889" t="str">
        <f aca="false">'Смета Внутр'!C1883</f>
        <v>м.п.</v>
      </c>
      <c r="D1877" s="2890" t="n">
        <f aca="false">'Смета Внутр'!D1883</f>
        <v>3.56544223546141</v>
      </c>
      <c r="E1877" s="2888"/>
      <c r="F1877" s="2902" t="n">
        <f aca="false">'Смета Внутр'!H1883</f>
        <v>0</v>
      </c>
    </row>
    <row r="1878" customFormat="false" ht="14.5" hidden="false" customHeight="false" outlineLevel="0" collapsed="false">
      <c r="B1878" s="2888" t="str">
        <f aca="false">'Смета Внутр'!B1884</f>
        <v>конек</v>
      </c>
      <c r="C1878" s="2889" t="str">
        <f aca="false">'Смета Внутр'!C1884</f>
        <v>м.п.</v>
      </c>
      <c r="D1878" s="2890" t="n">
        <f aca="false">'Смета Внутр'!D1884</f>
        <v>0</v>
      </c>
      <c r="E1878" s="2888"/>
      <c r="F1878" s="2902" t="n">
        <f aca="false">'Смета Внутр'!H1884</f>
        <v>0</v>
      </c>
    </row>
    <row r="1879" customFormat="false" ht="14.5" hidden="false" customHeight="false" outlineLevel="0" collapsed="false">
      <c r="B1879" s="2888" t="str">
        <f aca="false">'Смета Внутр'!B1885</f>
        <v>ондулин</v>
      </c>
      <c r="C1879" s="2889" t="str">
        <f aca="false">'Смета Внутр'!C1885</f>
        <v>м2</v>
      </c>
      <c r="D1879" s="2890" t="n">
        <f aca="false">'Смета Внутр'!D1885</f>
        <v>0</v>
      </c>
      <c r="E1879" s="2888"/>
      <c r="F1879" s="2895" t="n">
        <f aca="false">'Смета Внутр'!H1885</f>
        <v>0</v>
      </c>
    </row>
    <row r="1880" customFormat="false" ht="14.5" hidden="false" customHeight="false" outlineLevel="0" collapsed="false">
      <c r="B1880" s="2888" t="str">
        <f aca="false">'Смета Внутр'!B1886</f>
        <v>Карнизная планка</v>
      </c>
      <c r="C1880" s="2889" t="str">
        <f aca="false">'Смета Внутр'!C1886</f>
        <v>м.п.</v>
      </c>
      <c r="D1880" s="2890" t="n">
        <f aca="false">'Смета Внутр'!D1886</f>
        <v>0</v>
      </c>
      <c r="E1880" s="2888"/>
      <c r="F1880" s="2895" t="n">
        <f aca="false">'Смета Внутр'!H1886</f>
        <v>0</v>
      </c>
    </row>
    <row r="1881" customFormat="false" ht="14.5" hidden="false" customHeight="false" outlineLevel="0" collapsed="false">
      <c r="B1881" s="2888" t="str">
        <f aca="false">'Смета Внутр'!B1887</f>
        <v>Торцевая планка</v>
      </c>
      <c r="C1881" s="2889" t="str">
        <f aca="false">'Смета Внутр'!C1887</f>
        <v>м.п.</v>
      </c>
      <c r="D1881" s="2890" t="n">
        <f aca="false">'Смета Внутр'!D1887</f>
        <v>0</v>
      </c>
      <c r="E1881" s="2888"/>
      <c r="F1881" s="2895" t="n">
        <f aca="false">'Смета Внутр'!H1887</f>
        <v>0</v>
      </c>
    </row>
    <row r="1882" customFormat="false" ht="14.5" hidden="false" customHeight="false" outlineLevel="0" collapsed="false">
      <c r="B1882" s="2888" t="str">
        <f aca="false">'Смета Внутр'!B1888</f>
        <v>Конек</v>
      </c>
      <c r="C1882" s="2889" t="str">
        <f aca="false">'Смета Внутр'!C1888</f>
        <v>м.п.</v>
      </c>
      <c r="D1882" s="2890" t="n">
        <f aca="false">'Смета Внутр'!D1888</f>
        <v>0</v>
      </c>
      <c r="E1882" s="2888"/>
      <c r="F1882" s="2895" t="n">
        <f aca="false">'Смета Внутр'!H1888</f>
        <v>0</v>
      </c>
    </row>
    <row r="1883" customFormat="false" ht="14.5" hidden="false" customHeight="false" outlineLevel="0" collapsed="false">
      <c r="B1883" s="2888" t="str">
        <f aca="false">'Смета Внутр'!B1889</f>
        <v>Ендова нижняя</v>
      </c>
      <c r="C1883" s="2889" t="str">
        <f aca="false">'Смета Внутр'!C1889</f>
        <v>м.п.</v>
      </c>
      <c r="D1883" s="2890" t="n">
        <f aca="false">'Смета Внутр'!D1889</f>
        <v>0</v>
      </c>
      <c r="E1883" s="2888"/>
      <c r="F1883" s="2895" t="n">
        <f aca="false">'Смета Внутр'!H1889</f>
        <v>0</v>
      </c>
    </row>
    <row r="1884" customFormat="false" ht="14.5" hidden="false" customHeight="false" outlineLevel="0" collapsed="false">
      <c r="B1884" s="2888" t="str">
        <f aca="false">'Смета Внутр'!B1890</f>
        <v>Ендова верхняя</v>
      </c>
      <c r="C1884" s="2889" t="str">
        <f aca="false">'Смета Внутр'!C1890</f>
        <v>м.п.</v>
      </c>
      <c r="D1884" s="2890" t="n">
        <f aca="false">'Смета Внутр'!D1890</f>
        <v>0</v>
      </c>
      <c r="E1884" s="2888"/>
      <c r="F1884" s="2895" t="n">
        <f aca="false">'Смета Внутр'!H1890</f>
        <v>0</v>
      </c>
    </row>
    <row r="1885" customFormat="false" ht="14.5" hidden="false" customHeight="false" outlineLevel="0" collapsed="false">
      <c r="B1885" s="2888" t="str">
        <f aca="false">'Смета Внутр'!B1891</f>
        <v>Планка примыкания</v>
      </c>
      <c r="C1885" s="2889" t="str">
        <f aca="false">'Смета Внутр'!C1891</f>
        <v>м.п.</v>
      </c>
      <c r="D1885" s="2890" t="n">
        <f aca="false">'Смета Внутр'!D1891</f>
        <v>0</v>
      </c>
      <c r="E1885" s="2888"/>
      <c r="F1885" s="2895" t="n">
        <f aca="false">'Смета Внутр'!H1891</f>
        <v>0</v>
      </c>
    </row>
    <row r="1886" customFormat="false" ht="14.5" hidden="false" customHeight="false" outlineLevel="0" collapsed="false">
      <c r="B1886" s="2888" t="str">
        <f aca="false">'Смета Внутр'!B1892</f>
        <v>Крепеж для ондулина</v>
      </c>
      <c r="C1886" s="2889" t="str">
        <f aca="false">'Смета Внутр'!C1892</f>
        <v>шт</v>
      </c>
      <c r="D1886" s="2890" t="n">
        <f aca="false">'Смета Внутр'!D1892</f>
        <v>0</v>
      </c>
      <c r="E1886" s="2888"/>
      <c r="F1886" s="2895" t="n">
        <f aca="false">'Смета Внутр'!H1892</f>
        <v>0</v>
      </c>
    </row>
    <row r="1887" customFormat="false" ht="14.5" hidden="false" customHeight="false" outlineLevel="0" collapsed="false">
      <c r="B1887" s="2888" t="str">
        <f aca="false">'Смета Внутр'!B1893</f>
        <v>Рядовая черепица</v>
      </c>
      <c r="C1887" s="2889" t="str">
        <f aca="false">'Смета Внутр'!C1893</f>
        <v>м2</v>
      </c>
      <c r="D1887" s="2890" t="n">
        <f aca="false">'Смета Внутр'!D1893</f>
        <v>0</v>
      </c>
      <c r="E1887" s="2888"/>
      <c r="F1887" s="2895" t="n">
        <f aca="false">'Смета Внутр'!H1893</f>
        <v>0</v>
      </c>
    </row>
    <row r="1888" customFormat="false" ht="14.5" hidden="false" customHeight="false" outlineLevel="0" collapsed="false">
      <c r="B1888" s="2888" t="str">
        <f aca="false">'Смета Внутр'!B1894</f>
        <v>Металл оцинк защита (карниз)</v>
      </c>
      <c r="C1888" s="2889" t="str">
        <f aca="false">'Смета Внутр'!C1894</f>
        <v>м.п.</v>
      </c>
      <c r="D1888" s="2890" t="n">
        <f aca="false">'Смета Внутр'!D1894</f>
        <v>0</v>
      </c>
      <c r="E1888" s="2888"/>
      <c r="F1888" s="2895" t="n">
        <f aca="false">'Смета Внутр'!H1894</f>
        <v>0</v>
      </c>
    </row>
    <row r="1889" customFormat="false" ht="14.5" hidden="false" customHeight="false" outlineLevel="0" collapsed="false">
      <c r="B1889" s="2888" t="str">
        <f aca="false">'Смета Внутр'!B1895</f>
        <v>Подкладочный ковер</v>
      </c>
      <c r="C1889" s="2889" t="str">
        <f aca="false">'Смета Внутр'!C1895</f>
        <v>м.п.</v>
      </c>
      <c r="D1889" s="2890" t="n">
        <f aca="false">'Смета Внутр'!D1895</f>
        <v>0</v>
      </c>
      <c r="E1889" s="2888"/>
      <c r="F1889" s="2895" t="n">
        <f aca="false">'Смета Внутр'!H1895</f>
        <v>0</v>
      </c>
    </row>
    <row r="1890" customFormat="false" ht="14.5" hidden="false" customHeight="false" outlineLevel="0" collapsed="false">
      <c r="B1890" s="2888" t="str">
        <f aca="false">'Смета Внутр'!B1896</f>
        <v>Карнизная самоклеющаяся черепица</v>
      </c>
      <c r="C1890" s="2889" t="str">
        <f aca="false">'Смета Внутр'!C1896</f>
        <v>м.п.</v>
      </c>
      <c r="D1890" s="2890" t="n">
        <f aca="false">'Смета Внутр'!D1896</f>
        <v>0</v>
      </c>
      <c r="E1890" s="2888"/>
      <c r="F1890" s="2895" t="n">
        <f aca="false">'Смета Внутр'!H1896</f>
        <v>0</v>
      </c>
    </row>
    <row r="1891" customFormat="false" ht="14.5" hidden="false" customHeight="false" outlineLevel="0" collapsed="false">
      <c r="B1891" s="2888" t="str">
        <f aca="false">'Смета Внутр'!B1897</f>
        <v>Спец ковер ендова нижняя</v>
      </c>
      <c r="C1891" s="2889" t="str">
        <f aca="false">'Смета Внутр'!C1897</f>
        <v>м.п.</v>
      </c>
      <c r="D1891" s="2890" t="n">
        <f aca="false">'Смета Внутр'!D1897</f>
        <v>0</v>
      </c>
      <c r="E1891" s="2888"/>
      <c r="F1891" s="2895" t="n">
        <f aca="false">'Смета Внутр'!H1897</f>
        <v>0</v>
      </c>
    </row>
    <row r="1892" customFormat="false" ht="14.5" hidden="false" customHeight="false" outlineLevel="0" collapsed="false">
      <c r="B1892" s="2888" t="str">
        <f aca="false">'Смета Внутр'!B1898</f>
        <v>Коньковой элемент</v>
      </c>
      <c r="C1892" s="2889" t="str">
        <f aca="false">'Смета Внутр'!C1898</f>
        <v>м.п.</v>
      </c>
      <c r="D1892" s="2890" t="n">
        <f aca="false">'Смета Внутр'!D1898</f>
        <v>0</v>
      </c>
      <c r="E1892" s="2888"/>
      <c r="F1892" s="2895" t="n">
        <f aca="false">'Смета Внутр'!H1898</f>
        <v>0</v>
      </c>
    </row>
    <row r="1893" customFormat="false" ht="14.5" hidden="false" customHeight="false" outlineLevel="0" collapsed="false">
      <c r="B1893" s="2888" t="str">
        <f aca="false">'Смета Внутр'!B1899</f>
        <v>Планка премыкания</v>
      </c>
      <c r="C1893" s="2889" t="str">
        <f aca="false">'Смета Внутр'!C1899</f>
        <v>м.п.</v>
      </c>
      <c r="D1893" s="2890" t="n">
        <f aca="false">'Смета Внутр'!D1899</f>
        <v>0</v>
      </c>
      <c r="E1893" s="2888"/>
      <c r="F1893" s="2895" t="n">
        <f aca="false">'Смета Внутр'!H1899</f>
        <v>0</v>
      </c>
    </row>
    <row r="1894" customFormat="false" ht="14.5" hidden="false" customHeight="false" outlineLevel="0" collapsed="false">
      <c r="B1894" s="2888" t="str">
        <f aca="false">'Смета Внутр'!B1900</f>
        <v>Гвозди для крепления подкладочного ковра</v>
      </c>
      <c r="C1894" s="2889" t="str">
        <f aca="false">'Смета Внутр'!C1900</f>
        <v>шт</v>
      </c>
      <c r="D1894" s="2890" t="n">
        <f aca="false">'Смета Внутр'!D1900</f>
        <v>0</v>
      </c>
      <c r="E1894" s="2888"/>
      <c r="F1894" s="2895" t="n">
        <f aca="false">'Смета Внутр'!H1900</f>
        <v>0</v>
      </c>
    </row>
    <row r="1895" customFormat="false" ht="14.5" hidden="false" customHeight="false" outlineLevel="0" collapsed="false">
      <c r="B1895" s="2888" t="str">
        <f aca="false">'Смета Внутр'!B1901</f>
        <v>Гвозди для крепления черепицы</v>
      </c>
      <c r="C1895" s="2889" t="str">
        <f aca="false">'Смета Внутр'!C1901</f>
        <v>шт</v>
      </c>
      <c r="D1895" s="2890" t="n">
        <f aca="false">'Смета Внутр'!D1901</f>
        <v>0</v>
      </c>
      <c r="E1895" s="2888"/>
      <c r="F1895" s="2895" t="n">
        <f aca="false">'Смета Внутр'!H1901</f>
        <v>0</v>
      </c>
    </row>
    <row r="1896" customFormat="false" ht="14.5" hidden="false" customHeight="false" outlineLevel="0" collapsed="false">
      <c r="B1896" s="2888" t="str">
        <f aca="false">'Смета Внутр'!B1902</f>
        <v>Клей для монтажа черепицы</v>
      </c>
      <c r="C1896" s="2889" t="str">
        <f aca="false">'Смета Внутр'!C1902</f>
        <v>кг</v>
      </c>
      <c r="D1896" s="2890" t="n">
        <f aca="false">'Смета Внутр'!D1902</f>
        <v>0</v>
      </c>
      <c r="E1896" s="2888"/>
      <c r="F1896" s="2895" t="n">
        <f aca="false">'Смета Внутр'!H1902</f>
        <v>0</v>
      </c>
    </row>
    <row r="1897" customFormat="false" ht="14.5" hidden="false" customHeight="false" outlineLevel="0" collapsed="false">
      <c r="B1897" s="2888" t="str">
        <f aca="false">'Смета Внутр'!B1903</f>
        <v>желоб</v>
      </c>
      <c r="C1897" s="2889" t="str">
        <f aca="false">'Смета Внутр'!C1903</f>
        <v>м.п</v>
      </c>
      <c r="D1897" s="2890" t="n">
        <f aca="false">'Смета Внутр'!D1903</f>
        <v>4.18</v>
      </c>
      <c r="E1897" s="2888"/>
      <c r="F1897" s="2902" t="n">
        <f aca="false">'Смета Внутр'!H1903</f>
        <v>0</v>
      </c>
    </row>
    <row r="1898" customFormat="false" ht="14.5" hidden="false" customHeight="false" outlineLevel="0" collapsed="false">
      <c r="B1898" s="2888" t="str">
        <f aca="false">'Смета Внутр'!B1904</f>
        <v>отвод</v>
      </c>
      <c r="C1898" s="2889" t="str">
        <f aca="false">'Смета Внутр'!C1904</f>
        <v>шт</v>
      </c>
      <c r="D1898" s="2890" t="n">
        <f aca="false">'Смета Внутр'!D1904</f>
        <v>2</v>
      </c>
      <c r="E1898" s="2888"/>
      <c r="F1898" s="2902" t="n">
        <f aca="false">'Смета Внутр'!H1904</f>
        <v>0</v>
      </c>
    </row>
    <row r="1899" customFormat="false" ht="14.5" hidden="false" customHeight="false" outlineLevel="0" collapsed="false">
      <c r="B1899" s="2888" t="str">
        <f aca="false">'Смета Внутр'!B1905</f>
        <v>труба водосточная</v>
      </c>
      <c r="C1899" s="2889" t="str">
        <f aca="false">'Смета Внутр'!C1905</f>
        <v>м.п.</v>
      </c>
      <c r="D1899" s="2890" t="n">
        <f aca="false">'Смета Внутр'!D1905</f>
        <v>0</v>
      </c>
      <c r="E1899" s="2888"/>
      <c r="F1899" s="2902" t="n">
        <f aca="false">'Смета Внутр'!H1905</f>
        <v>0</v>
      </c>
    </row>
    <row r="1900" customFormat="false" ht="14.5" hidden="false" customHeight="false" outlineLevel="0" collapsed="false">
      <c r="B1900" s="2888" t="str">
        <f aca="false">'Смета Внутр'!B1906</f>
        <v>заглушка для желоба</v>
      </c>
      <c r="C1900" s="2889" t="str">
        <f aca="false">'Смета Внутр'!C1906</f>
        <v>шт</v>
      </c>
      <c r="D1900" s="2890" t="n">
        <f aca="false">'Смета Внутр'!D1906</f>
        <v>2</v>
      </c>
      <c r="E1900" s="2888"/>
      <c r="F1900" s="2902" t="n">
        <f aca="false">'Смета Внутр'!H1906</f>
        <v>0</v>
      </c>
    </row>
    <row r="1901" customFormat="false" ht="14.5" hidden="false" customHeight="false" outlineLevel="0" collapsed="false">
      <c r="B1901" s="2888" t="str">
        <f aca="false">'Смета Внутр'!B1907</f>
        <v>соеденитель для желоба</v>
      </c>
      <c r="C1901" s="2889" t="str">
        <f aca="false">'Смета Внутр'!C1907</f>
        <v>шт</v>
      </c>
      <c r="D1901" s="2890" t="n">
        <f aca="false">'Смета Внутр'!D1907</f>
        <v>2</v>
      </c>
      <c r="E1901" s="2888"/>
      <c r="F1901" s="2902" t="n">
        <f aca="false">'Смета Внутр'!H1907</f>
        <v>0</v>
      </c>
    </row>
    <row r="1902" customFormat="false" ht="14.5" hidden="false" customHeight="false" outlineLevel="0" collapsed="false">
      <c r="B1902" s="2888" t="str">
        <f aca="false">'Смета Внутр'!B1908</f>
        <v>кронштейн для желоба</v>
      </c>
      <c r="C1902" s="2889" t="str">
        <f aca="false">'Смета Внутр'!C1908</f>
        <v>шт</v>
      </c>
      <c r="D1902" s="2890" t="n">
        <f aca="false">'Смета Внутр'!D1908</f>
        <v>10.45</v>
      </c>
      <c r="E1902" s="2888"/>
      <c r="F1902" s="2902" t="n">
        <f aca="false">'Смета Внутр'!H1908</f>
        <v>0</v>
      </c>
    </row>
    <row r="1903" customFormat="false" ht="14.5" hidden="false" customHeight="false" outlineLevel="0" collapsed="false">
      <c r="B1903" s="2888" t="str">
        <f aca="false">'Смета Внутр'!B1909</f>
        <v>переход из желоба в трубу</v>
      </c>
      <c r="C1903" s="2889" t="str">
        <f aca="false">'Смета Внутр'!C1909</f>
        <v>шт</v>
      </c>
      <c r="D1903" s="2890" t="n">
        <f aca="false">'Смета Внутр'!D1909</f>
        <v>2</v>
      </c>
      <c r="E1903" s="2888"/>
      <c r="F1903" s="2902" t="n">
        <f aca="false">'Смета Внутр'!H1909</f>
        <v>0</v>
      </c>
    </row>
    <row r="1904" customFormat="false" ht="14.5" hidden="false" customHeight="false" outlineLevel="0" collapsed="false">
      <c r="B1904" s="2888" t="str">
        <f aca="false">'Смета Внутр'!B1910</f>
        <v>лента дельта мульти бэнд</v>
      </c>
      <c r="C1904" s="2889" t="str">
        <f aca="false">'Смета Внутр'!C1910</f>
        <v>шт</v>
      </c>
      <c r="D1904" s="2890" t="n">
        <f aca="false">'Смета Внутр'!D1910</f>
        <v>0.175956889542252</v>
      </c>
      <c r="E1904" s="2888"/>
      <c r="F1904" s="2902" t="n">
        <f aca="false">'Смета Внутр'!H1910</f>
        <v>0</v>
      </c>
    </row>
    <row r="1905" customFormat="false" ht="14.5" hidden="false" customHeight="false" outlineLevel="0" collapsed="false">
      <c r="B1905" s="2888" t="str">
        <f aca="false">'Смета Внутр'!B1911</f>
        <v>лента дельта sb-60</v>
      </c>
      <c r="C1905" s="2889" t="str">
        <f aca="false">'Смета Внутр'!C1911</f>
        <v>шт</v>
      </c>
      <c r="D1905" s="2890" t="n">
        <f aca="false">'Смета Внутр'!D1911</f>
        <v>0.136855358532862</v>
      </c>
      <c r="E1905" s="2888"/>
      <c r="F1905" s="2902" t="n">
        <f aca="false">'Смета Внутр'!H1911</f>
        <v>0</v>
      </c>
    </row>
    <row r="1906" customFormat="false" ht="14.5" hidden="false" customHeight="false" outlineLevel="0" collapsed="false">
      <c r="B1906" s="2888" t="str">
        <f aca="false">'Смета Внутр'!B1912</f>
        <v>Кровельный саморез</v>
      </c>
      <c r="C1906" s="2889" t="str">
        <f aca="false">'Смета Внутр'!C1912</f>
        <v>шт</v>
      </c>
      <c r="D1906" s="2890" t="n">
        <f aca="false">'Смета Внутр'!D1912</f>
        <v>73.9018936077457</v>
      </c>
      <c r="E1906" s="2888"/>
      <c r="F1906" s="2902" t="n">
        <f aca="false">'Смета Внутр'!H1912</f>
        <v>0</v>
      </c>
    </row>
    <row r="1907" customFormat="false" ht="14.5" hidden="false" customHeight="false" outlineLevel="0" collapsed="false">
      <c r="B1907" s="2896" t="str">
        <f aca="false">'Смета Внутр'!B1913</f>
        <v>Итого материалы</v>
      </c>
      <c r="C1907" s="2896"/>
      <c r="D1907" s="2896"/>
      <c r="E1907" s="2896"/>
      <c r="F1907" s="2891" t="n">
        <f aca="false">'Смета Внутр'!G1913</f>
        <v>0</v>
      </c>
    </row>
    <row r="1908" customFormat="false" ht="14.5" hidden="false" customHeight="false" outlineLevel="0" collapsed="false">
      <c r="B1908" s="2898" t="str">
        <f aca="false">'Смета Внутр'!B1914</f>
        <v>Работы</v>
      </c>
      <c r="C1908" s="2898"/>
      <c r="D1908" s="2898"/>
      <c r="E1908" s="2898"/>
      <c r="F1908" s="2901" t="n">
        <f aca="false">'Смета Внутр'!H1914</f>
        <v>0</v>
      </c>
    </row>
    <row r="1909" customFormat="false" ht="14.5" hidden="false" customHeight="false" outlineLevel="0" collapsed="false">
      <c r="B1909" s="2888" t="str">
        <f aca="false">'Смета Внутр'!B1915</f>
        <v>монтаж стропил</v>
      </c>
      <c r="C1909" s="2889" t="str">
        <f aca="false">'Смета Внутр'!C1915</f>
        <v>м2</v>
      </c>
      <c r="D1909" s="2890" t="n">
        <f aca="false">'Смета Внутр'!D1915</f>
        <v>6.15849113397881</v>
      </c>
      <c r="E1909" s="2888"/>
      <c r="F1909" s="2902" t="n">
        <f aca="false">'Смета Внутр'!H1915</f>
        <v>0</v>
      </c>
    </row>
    <row r="1910" customFormat="false" ht="14.5" hidden="false" customHeight="false" outlineLevel="0" collapsed="false">
      <c r="B1910" s="2888" t="str">
        <f aca="false">'Смета Внутр'!B1916</f>
        <v>обрешетка</v>
      </c>
      <c r="C1910" s="2889" t="str">
        <f aca="false">'Смета Внутр'!C1916</f>
        <v>м2</v>
      </c>
      <c r="D1910" s="2890" t="n">
        <f aca="false">'Смета Внутр'!D1916</f>
        <v>6.15849113397881</v>
      </c>
      <c r="E1910" s="2888"/>
      <c r="F1910" s="2902" t="n">
        <f aca="false">'Смета Внутр'!H1916</f>
        <v>0</v>
      </c>
    </row>
    <row r="1911" customFormat="false" ht="14.5" hidden="false" customHeight="false" outlineLevel="0" collapsed="false">
      <c r="B1911" s="2888" t="str">
        <f aca="false">'Смета Внутр'!B1917</f>
        <v>контробеш</v>
      </c>
      <c r="C1911" s="2889" t="str">
        <f aca="false">'Смета Внутр'!C1917</f>
        <v>м2</v>
      </c>
      <c r="D1911" s="2890" t="n">
        <f aca="false">'Смета Внутр'!D1917</f>
        <v>0</v>
      </c>
      <c r="E1911" s="2888"/>
      <c r="F1911" s="2902" t="n">
        <f aca="false">'Смета Внутр'!H1917</f>
        <v>0</v>
      </c>
    </row>
    <row r="1912" customFormat="false" ht="14.5" hidden="false" customHeight="false" outlineLevel="0" collapsed="false">
      <c r="B1912" s="2888" t="str">
        <f aca="false">'Смета Внутр'!B1918</f>
        <v>мембрана</v>
      </c>
      <c r="C1912" s="2889" t="str">
        <f aca="false">'Смета Внутр'!C1918</f>
        <v>м2</v>
      </c>
      <c r="D1912" s="2890" t="n">
        <f aca="false">'Смета Внутр'!D1918</f>
        <v>6.15849113397881</v>
      </c>
      <c r="E1912" s="2888"/>
      <c r="F1912" s="2902" t="n">
        <f aca="false">'Смета Внутр'!H1918</f>
        <v>0</v>
      </c>
    </row>
    <row r="1913" customFormat="false" ht="14.5" hidden="false" customHeight="false" outlineLevel="0" collapsed="false">
      <c r="B1913" s="2888" t="str">
        <f aca="false">'Смета Внутр'!B1919</f>
        <v>Монтаж металлочерепицы</v>
      </c>
      <c r="C1913" s="2889" t="str">
        <f aca="false">'Смета Внутр'!C1919</f>
        <v>м2</v>
      </c>
      <c r="D1913" s="2890" t="n">
        <f aca="false">'Смета Внутр'!D1919</f>
        <v>6.15849113397881</v>
      </c>
      <c r="E1913" s="2888"/>
      <c r="F1913" s="2902" t="n">
        <f aca="false">'Смета Внутр'!H1919</f>
        <v>0</v>
      </c>
    </row>
    <row r="1914" customFormat="false" ht="14.5" hidden="false" customHeight="false" outlineLevel="0" collapsed="false">
      <c r="B1914" s="2888" t="str">
        <f aca="false">'Смета Внутр'!B1920</f>
        <v>карнизная планка</v>
      </c>
      <c r="C1914" s="2889" t="str">
        <f aca="false">'Смета Внутр'!C1920</f>
        <v>м2</v>
      </c>
      <c r="D1914" s="2890" t="n">
        <f aca="false">'Смета Внутр'!D1920</f>
        <v>4.18</v>
      </c>
      <c r="E1914" s="2888"/>
      <c r="F1914" s="2902" t="n">
        <f aca="false">'Смета Внутр'!H1920</f>
        <v>0</v>
      </c>
    </row>
    <row r="1915" customFormat="false" ht="14.5" hidden="false" customHeight="false" outlineLevel="0" collapsed="false">
      <c r="B1915" s="2888" t="str">
        <f aca="false">'Смета Внутр'!B1921</f>
        <v>торцевая планка</v>
      </c>
      <c r="C1915" s="2889" t="str">
        <f aca="false">'Смета Внутр'!C1921</f>
        <v>м2</v>
      </c>
      <c r="D1915" s="2890" t="n">
        <f aca="false">'Смета Внутр'!D1921</f>
        <v>3.56544223546141</v>
      </c>
      <c r="E1915" s="2888"/>
      <c r="F1915" s="2902" t="n">
        <f aca="false">'Смета Внутр'!H1921</f>
        <v>0</v>
      </c>
    </row>
    <row r="1916" customFormat="false" ht="14.5" hidden="false" customHeight="false" outlineLevel="0" collapsed="false">
      <c r="B1916" s="2888" t="str">
        <f aca="false">'Смета Внутр'!B1922</f>
        <v>желоб водосточный</v>
      </c>
      <c r="C1916" s="2889" t="str">
        <f aca="false">'Смета Внутр'!C1922</f>
        <v>м.п.</v>
      </c>
      <c r="D1916" s="2890" t="n">
        <f aca="false">'Смета Внутр'!D1922</f>
        <v>4.18</v>
      </c>
      <c r="E1916" s="2888"/>
      <c r="F1916" s="2902" t="n">
        <f aca="false">'Смета Внутр'!H1922</f>
        <v>0</v>
      </c>
    </row>
    <row r="1917" customFormat="false" ht="14.5" hidden="false" customHeight="false" outlineLevel="0" collapsed="false">
      <c r="B1917" s="2888" t="str">
        <f aca="false">'Смета Внутр'!B1923</f>
        <v>труба водосточная</v>
      </c>
      <c r="C1917" s="2889" t="str">
        <f aca="false">'Смета Внутр'!C1923</f>
        <v>м.п.</v>
      </c>
      <c r="D1917" s="2890" t="n">
        <f aca="false">'Смета Внутр'!D1923</f>
        <v>0</v>
      </c>
      <c r="E1917" s="2888"/>
      <c r="F1917" s="2902" t="n">
        <f aca="false">'Смета Внутр'!H1923</f>
        <v>0</v>
      </c>
    </row>
    <row r="1918" customFormat="false" ht="14.5" hidden="false" customHeight="false" outlineLevel="0" collapsed="false">
      <c r="B1918" s="2888" t="str">
        <f aca="false">'Смета Внутр'!B1924</f>
        <v>Монтаж ондулина</v>
      </c>
      <c r="C1918" s="2889" t="str">
        <f aca="false">'Смета Внутр'!C1924</f>
        <v>м2</v>
      </c>
      <c r="D1918" s="2890" t="n">
        <f aca="false">'Смета Внутр'!D1924</f>
        <v>0</v>
      </c>
      <c r="E1918" s="2888"/>
      <c r="F1918" s="2895" t="n">
        <f aca="false">'Смета Внутр'!H1924</f>
        <v>0</v>
      </c>
    </row>
    <row r="1919" customFormat="false" ht="14.5" hidden="false" customHeight="false" outlineLevel="0" collapsed="false">
      <c r="B1919" s="2888" t="str">
        <f aca="false">'Смета Внутр'!B1925</f>
        <v>Монтаж фанеры/osb</v>
      </c>
      <c r="C1919" s="2889" t="str">
        <f aca="false">'Смета Внутр'!C1925</f>
        <v>м2</v>
      </c>
      <c r="D1919" s="2890" t="n">
        <f aca="false">'Смета Внутр'!D1925</f>
        <v>0</v>
      </c>
      <c r="E1919" s="2888"/>
      <c r="F1919" s="2895" t="n">
        <f aca="false">'Смета Внутр'!H1925</f>
        <v>0</v>
      </c>
    </row>
    <row r="1920" customFormat="false" ht="14.5" hidden="false" customHeight="false" outlineLevel="0" collapsed="false">
      <c r="B1920" s="2888" t="str">
        <f aca="false">'Смета Внутр'!B1926</f>
        <v>монтаж подкладочного ковра</v>
      </c>
      <c r="C1920" s="2889" t="str">
        <f aca="false">'Смета Внутр'!C1926</f>
        <v>м2</v>
      </c>
      <c r="D1920" s="2890" t="n">
        <f aca="false">'Смета Внутр'!D1926</f>
        <v>0</v>
      </c>
      <c r="E1920" s="2888"/>
      <c r="F1920" s="2895" t="n">
        <f aca="false">'Смета Внутр'!H1926</f>
        <v>0</v>
      </c>
    </row>
    <row r="1921" customFormat="false" ht="14.5" hidden="false" customHeight="false" outlineLevel="0" collapsed="false">
      <c r="B1921" s="2888" t="str">
        <f aca="false">'Смета Внутр'!B1927</f>
        <v>Монтаж мягкой кровли</v>
      </c>
      <c r="C1921" s="2889" t="str">
        <f aca="false">'Смета Внутр'!C1927</f>
        <v>м2</v>
      </c>
      <c r="D1921" s="2890" t="n">
        <f aca="false">'Смета Внутр'!D1927</f>
        <v>0</v>
      </c>
      <c r="E1921" s="2888"/>
      <c r="F1921" s="2895" t="n">
        <f aca="false">'Смета Внутр'!H1927</f>
        <v>0</v>
      </c>
    </row>
    <row r="1922" customFormat="false" ht="14.5" hidden="false" customHeight="false" outlineLevel="0" collapsed="false">
      <c r="B1922" s="2888" t="str">
        <f aca="false">'Смета Внутр'!B1928</f>
        <v>Монтаж планки примыкания</v>
      </c>
      <c r="C1922" s="2889" t="str">
        <f aca="false">'Смета Внутр'!C1928</f>
        <v>м.п.</v>
      </c>
      <c r="D1922" s="2890" t="n">
        <f aca="false">'Смета Внутр'!D1928</f>
        <v>0</v>
      </c>
      <c r="E1922" s="2888"/>
      <c r="F1922" s="2895" t="n">
        <f aca="false">'Смета Внутр'!H1928</f>
        <v>0</v>
      </c>
    </row>
    <row r="1923" customFormat="false" ht="14.5" hidden="false" customHeight="false" outlineLevel="0" collapsed="false">
      <c r="B1923" s="2896" t="str">
        <f aca="false">'Смета Внутр'!B1929</f>
        <v>Итого работы</v>
      </c>
      <c r="C1923" s="2896"/>
      <c r="D1923" s="2896"/>
      <c r="E1923" s="2896"/>
      <c r="F1923" s="2891" t="n">
        <f aca="false">'Смета Внутр'!G1929</f>
        <v>0</v>
      </c>
    </row>
    <row r="1924" customFormat="false" ht="18.5" hidden="false" customHeight="false" outlineLevel="0" collapsed="false">
      <c r="B1924" s="2899" t="str">
        <f aca="false">'Смета Внутр'!B1930</f>
        <v>Окна и двери</v>
      </c>
      <c r="C1924" s="2899"/>
      <c r="D1924" s="2899"/>
      <c r="E1924" s="2899"/>
      <c r="F1924" s="2893" t="n">
        <f aca="false">'Смета Внутр'!H1930</f>
        <v>0</v>
      </c>
    </row>
    <row r="1925" customFormat="false" ht="14.5" hidden="false" customHeight="false" outlineLevel="0" collapsed="false">
      <c r="B1925" s="2894" t="str">
        <f aca="false">'Смета Внутр'!B1931</f>
        <v>Материалы</v>
      </c>
      <c r="C1925" s="2894"/>
      <c r="D1925" s="2894"/>
      <c r="E1925" s="2894"/>
      <c r="F1925" s="2893" t="n">
        <f aca="false">'Смета Внутр'!H1931</f>
        <v>0</v>
      </c>
    </row>
    <row r="1926" customFormat="false" ht="14.5" hidden="false" customHeight="false" outlineLevel="0" collapsed="false">
      <c r="B1926" s="2888" t="str">
        <f aca="false">'Смета Внутр'!B1932</f>
        <v>окна</v>
      </c>
      <c r="C1926" s="2889" t="str">
        <f aca="false">'Смета Внутр'!C1932</f>
        <v>м2</v>
      </c>
      <c r="D1926" s="2890" t="n">
        <f aca="false">'Смета Внутр'!D1932</f>
        <v>1.2</v>
      </c>
      <c r="E1926" s="2888"/>
      <c r="F1926" s="2895" t="n">
        <f aca="false">'Смета Внутр'!H1932</f>
        <v>0</v>
      </c>
    </row>
    <row r="1927" customFormat="false" ht="14.5" hidden="false" customHeight="false" outlineLevel="0" collapsed="false">
      <c r="B1927" s="2888" t="str">
        <f aca="false">'Смета Внутр'!B1933</f>
        <v>подоконник</v>
      </c>
      <c r="C1927" s="2889" t="str">
        <f aca="false">'Смета Внутр'!C1933</f>
        <v>м.п.</v>
      </c>
      <c r="D1927" s="2890" t="n">
        <f aca="false">'Смета Внутр'!D1933</f>
        <v>1</v>
      </c>
      <c r="E1927" s="2888"/>
      <c r="F1927" s="2895" t="n">
        <f aca="false">'Смета Внутр'!H1933</f>
        <v>0</v>
      </c>
    </row>
    <row r="1928" customFormat="false" ht="14.5" hidden="false" customHeight="false" outlineLevel="0" collapsed="false">
      <c r="B1928" s="2888" t="str">
        <f aca="false">'Смета Внутр'!B1934</f>
        <v>направляющие для откосов внутр</v>
      </c>
      <c r="C1928" s="2889" t="str">
        <f aca="false">'Смета Внутр'!C1934</f>
        <v>шт</v>
      </c>
      <c r="D1928" s="2890" t="n">
        <f aca="false">'Смета Внутр'!D1934</f>
        <v>3.4</v>
      </c>
      <c r="E1928" s="2888"/>
      <c r="F1928" s="2895" t="n">
        <f aca="false">'Смета Внутр'!H1934</f>
        <v>0</v>
      </c>
    </row>
    <row r="1929" customFormat="false" ht="14.5" hidden="false" customHeight="false" outlineLevel="0" collapsed="false">
      <c r="B1929" s="2888" t="str">
        <f aca="false">'Смета Внутр'!B1935</f>
        <v>откосы внутр</v>
      </c>
      <c r="C1929" s="2889" t="str">
        <f aca="false">'Смета Внутр'!C1935</f>
        <v>шт</v>
      </c>
      <c r="D1929" s="2890" t="n">
        <f aca="false">'Смета Внутр'!D1935</f>
        <v>3.4</v>
      </c>
      <c r="E1929" s="2888"/>
      <c r="F1929" s="2895" t="n">
        <f aca="false">'Смета Внутр'!H1935</f>
        <v>0</v>
      </c>
    </row>
    <row r="1930" customFormat="false" ht="14.5" hidden="false" customHeight="false" outlineLevel="0" collapsed="false">
      <c r="B1930" s="2888" t="str">
        <f aca="false">'Смета Внутр'!B1936</f>
        <v>уголок для откосов внутр</v>
      </c>
      <c r="C1930" s="2889" t="str">
        <f aca="false">'Смета Внутр'!C1936</f>
        <v>шт</v>
      </c>
      <c r="D1930" s="2890" t="n">
        <f aca="false">'Смета Внутр'!D1936</f>
        <v>3.4</v>
      </c>
      <c r="E1930" s="2888"/>
      <c r="F1930" s="2895" t="n">
        <f aca="false">'Смета Внутр'!H1936</f>
        <v>0</v>
      </c>
    </row>
    <row r="1931" customFormat="false" ht="14.5" hidden="false" customHeight="false" outlineLevel="0" collapsed="false">
      <c r="B1931" s="2888" t="str">
        <f aca="false">'Смета Внутр'!B1937</f>
        <v>отлив</v>
      </c>
      <c r="C1931" s="2889" t="str">
        <f aca="false">'Смета Внутр'!C1937</f>
        <v>шт</v>
      </c>
      <c r="D1931" s="2890" t="n">
        <f aca="false">'Смета Внутр'!D1937</f>
        <v>0</v>
      </c>
      <c r="E1931" s="2888"/>
      <c r="F1931" s="2895" t="n">
        <f aca="false">'Смета Внутр'!H1937</f>
        <v>0</v>
      </c>
    </row>
    <row r="1932" customFormat="false" ht="14.5" hidden="false" customHeight="false" outlineLevel="0" collapsed="false">
      <c r="B1932" s="2888" t="str">
        <f aca="false">'Смета Внутр'!B1938</f>
        <v>откосы нар</v>
      </c>
      <c r="C1932" s="2889" t="str">
        <f aca="false">'Смета Внутр'!C1938</f>
        <v>шт</v>
      </c>
      <c r="D1932" s="2890" t="n">
        <f aca="false">'Смета Внутр'!D1938</f>
        <v>0</v>
      </c>
      <c r="E1932" s="2888"/>
      <c r="F1932" s="2895" t="n">
        <f aca="false">'Смета Внутр'!H1938</f>
        <v>0</v>
      </c>
    </row>
    <row r="1933" customFormat="false" ht="14.5" hidden="false" customHeight="false" outlineLevel="0" collapsed="false">
      <c r="B1933" s="2888" t="str">
        <f aca="false">'Смета Внутр'!B1939</f>
        <v>направляющие для откосов нар</v>
      </c>
      <c r="C1933" s="2889" t="str">
        <f aca="false">'Смета Внутр'!C1939</f>
        <v>шт</v>
      </c>
      <c r="D1933" s="2890" t="n">
        <f aca="false">'Смета Внутр'!D1939</f>
        <v>0</v>
      </c>
      <c r="E1933" s="2888"/>
      <c r="F1933" s="2895" t="n">
        <f aca="false">'Смета Внутр'!H1939</f>
        <v>0</v>
      </c>
    </row>
    <row r="1934" customFormat="false" ht="14.5" hidden="false" customHeight="false" outlineLevel="0" collapsed="false">
      <c r="B1934" s="2888" t="str">
        <f aca="false">'Смета Внутр'!B1940</f>
        <v>уголок для откосов нар</v>
      </c>
      <c r="C1934" s="2889" t="str">
        <f aca="false">'Смета Внутр'!C1940</f>
        <v>шт</v>
      </c>
      <c r="D1934" s="2890" t="n">
        <f aca="false">'Смета Внутр'!D1940</f>
        <v>0</v>
      </c>
      <c r="E1934" s="2888"/>
      <c r="F1934" s="2895" t="n">
        <f aca="false">'Смета Внутр'!H1940</f>
        <v>0</v>
      </c>
    </row>
    <row r="1935" customFormat="false" ht="14.5" hidden="false" customHeight="false" outlineLevel="0" collapsed="false">
      <c r="B1935" s="2888" t="str">
        <f aca="false">'Смета Внутр'!B1941</f>
        <v>ветроизоляция окон</v>
      </c>
      <c r="C1935" s="2889" t="str">
        <f aca="false">'Смета Внутр'!C1941</f>
        <v>м.п.</v>
      </c>
      <c r="D1935" s="2890" t="n">
        <f aca="false">'Смета Внутр'!D1941</f>
        <v>0</v>
      </c>
      <c r="E1935" s="2888"/>
      <c r="F1935" s="2895" t="n">
        <f aca="false">'Смета Внутр'!H1941</f>
        <v>0</v>
      </c>
    </row>
    <row r="1936" customFormat="false" ht="14.5" hidden="false" customHeight="false" outlineLevel="0" collapsed="false">
      <c r="B1936" s="2888" t="str">
        <f aca="false">'Смета Внутр'!B1942</f>
        <v>пароизоляция окон</v>
      </c>
      <c r="C1936" s="2889" t="str">
        <f aca="false">'Смета Внутр'!C1942</f>
        <v>шт</v>
      </c>
      <c r="D1936" s="2890" t="n">
        <f aca="false">'Смета Внутр'!D1942</f>
        <v>3.4</v>
      </c>
      <c r="E1936" s="2888"/>
      <c r="F1936" s="2895" t="n">
        <f aca="false">'Смета Внутр'!H1942</f>
        <v>0</v>
      </c>
    </row>
    <row r="1937" customFormat="false" ht="14.5" hidden="false" customHeight="false" outlineLevel="0" collapsed="false">
      <c r="B1937" s="2888" t="str">
        <f aca="false">'Смета Внутр'!B1943</f>
        <v>крепления</v>
      </c>
      <c r="C1937" s="2889" t="str">
        <f aca="false">'Смета Внутр'!C1943</f>
        <v>шт</v>
      </c>
      <c r="D1937" s="2890" t="n">
        <f aca="false">'Смета Внутр'!D1943</f>
        <v>8</v>
      </c>
      <c r="E1937" s="2888"/>
      <c r="F1937" s="2895" t="n">
        <f aca="false">'Смета Внутр'!H1943</f>
        <v>0</v>
      </c>
    </row>
    <row r="1938" customFormat="false" ht="14.5" hidden="false" customHeight="false" outlineLevel="0" collapsed="false">
      <c r="B1938" s="2888" t="str">
        <f aca="false">'Смета Внутр'!B1944</f>
        <v>Пена монтажная, всесезонняя 800мл</v>
      </c>
      <c r="C1938" s="2889" t="str">
        <f aca="false">'Смета Внутр'!C1944</f>
        <v>шт</v>
      </c>
      <c r="D1938" s="2890" t="n">
        <f aca="false">'Смета Внутр'!D1944</f>
        <v>1</v>
      </c>
      <c r="E1938" s="2888"/>
      <c r="F1938" s="2895" t="n">
        <f aca="false">'Смета Внутр'!H1944</f>
        <v>0</v>
      </c>
    </row>
    <row r="1939" customFormat="false" ht="14.5" hidden="false" customHeight="false" outlineLevel="0" collapsed="false">
      <c r="B1939" s="2888" t="str">
        <f aca="false">'Смета Внутр'!B1945</f>
        <v>Французские окна</v>
      </c>
      <c r="C1939" s="2889" t="str">
        <f aca="false">'Смета Внутр'!C1945</f>
        <v>м2</v>
      </c>
      <c r="D1939" s="2890" t="n">
        <f aca="false">'Смета Внутр'!D1945</f>
        <v>0</v>
      </c>
      <c r="E1939" s="2888"/>
      <c r="F1939" s="2895" t="n">
        <f aca="false">'Смета Внутр'!H1945</f>
        <v>0</v>
      </c>
    </row>
    <row r="1940" customFormat="false" ht="14.5" hidden="false" customHeight="false" outlineLevel="0" collapsed="false">
      <c r="B1940" s="2888" t="str">
        <f aca="false">'Смета Внутр'!B1946</f>
        <v>анкерный болт для крепления окно фр</v>
      </c>
      <c r="C1940" s="2889" t="str">
        <f aca="false">'Смета Внутр'!C1946</f>
        <v>шт</v>
      </c>
      <c r="D1940" s="2890" t="n">
        <f aca="false">'Смета Внутр'!D1946</f>
        <v>0</v>
      </c>
      <c r="E1940" s="2888"/>
      <c r="F1940" s="2895" t="n">
        <f aca="false">'Смета Внутр'!H1946</f>
        <v>0</v>
      </c>
    </row>
    <row r="1941" customFormat="false" ht="14.5" hidden="false" customHeight="false" outlineLevel="0" collapsed="false">
      <c r="B1941" s="2888" t="str">
        <f aca="false">'Смета Внутр'!B1947</f>
        <v>Пена монтажная, всесезонняя 800мл</v>
      </c>
      <c r="C1941" s="2889" t="str">
        <f aca="false">'Смета Внутр'!C1947</f>
        <v>шт</v>
      </c>
      <c r="D1941" s="2890" t="n">
        <f aca="false">'Смета Внутр'!D1947</f>
        <v>0</v>
      </c>
      <c r="E1941" s="2888"/>
      <c r="F1941" s="2895" t="n">
        <f aca="false">'Смета Внутр'!H1947</f>
        <v>0</v>
      </c>
    </row>
    <row r="1942" customFormat="false" ht="14.5" hidden="false" customHeight="false" outlineLevel="0" collapsed="false">
      <c r="B1942" s="2888" t="str">
        <f aca="false">'Смета Внутр'!B1948</f>
        <v>пластины для крепления</v>
      </c>
      <c r="C1942" s="2889" t="str">
        <f aca="false">'Смета Внутр'!C1948</f>
        <v>шт</v>
      </c>
      <c r="D1942" s="2890" t="n">
        <f aca="false">'Смета Внутр'!D1948</f>
        <v>0</v>
      </c>
      <c r="E1942" s="2888"/>
      <c r="F1942" s="2895" t="n">
        <f aca="false">'Смета Внутр'!H1948</f>
        <v>0</v>
      </c>
    </row>
    <row r="1943" customFormat="false" ht="14.5" hidden="false" customHeight="false" outlineLevel="0" collapsed="false">
      <c r="B1943" s="2888" t="str">
        <f aca="false">'Смета Внутр'!B1949</f>
        <v>Двери входные</v>
      </c>
      <c r="C1943" s="2889" t="str">
        <f aca="false">'Смета Внутр'!C1949</f>
        <v>шт</v>
      </c>
      <c r="D1943" s="2890" t="n">
        <f aca="false">'Смета Внутр'!D1949</f>
        <v>0</v>
      </c>
      <c r="E1943" s="2888"/>
      <c r="F1943" s="2895" t="n">
        <f aca="false">'Смета Внутр'!H1949</f>
        <v>0</v>
      </c>
    </row>
    <row r="1944" customFormat="false" ht="14.5" hidden="false" customHeight="false" outlineLevel="0" collapsed="false">
      <c r="B1944" s="2888" t="str">
        <f aca="false">'Смета Внутр'!B1950</f>
        <v>Анкер болт, 12*200</v>
      </c>
      <c r="C1944" s="2889" t="str">
        <f aca="false">'Смета Внутр'!C1950</f>
        <v>шт</v>
      </c>
      <c r="D1944" s="2890" t="n">
        <f aca="false">'Смета Внутр'!D1950</f>
        <v>0</v>
      </c>
      <c r="E1944" s="2888"/>
      <c r="F1944" s="2895" t="n">
        <f aca="false">'Смета Внутр'!H1950</f>
        <v>0</v>
      </c>
    </row>
    <row r="1945" customFormat="false" ht="14.5" hidden="false" customHeight="false" outlineLevel="0" collapsed="false">
      <c r="B1945" s="2888" t="str">
        <f aca="false">'Смета Внутр'!B1951</f>
        <v>Пена монтажная</v>
      </c>
      <c r="C1945" s="2889" t="str">
        <f aca="false">'Смета Внутр'!C1951</f>
        <v>шт</v>
      </c>
      <c r="D1945" s="2890" t="n">
        <f aca="false">'Смета Внутр'!D1951</f>
        <v>0</v>
      </c>
      <c r="E1945" s="2888"/>
      <c r="F1945" s="2895" t="n">
        <f aca="false">'Смета Внутр'!H1951</f>
        <v>0</v>
      </c>
    </row>
    <row r="1946" customFormat="false" ht="14.5" hidden="false" customHeight="false" outlineLevel="0" collapsed="false">
      <c r="B1946" s="2896" t="str">
        <f aca="false">'Смета Внутр'!B1952</f>
        <v>Итого материалы</v>
      </c>
      <c r="C1946" s="2896"/>
      <c r="D1946" s="2896"/>
      <c r="E1946" s="2896"/>
      <c r="F1946" s="2897" t="n">
        <f aca="false">'Смета Внутр'!G1952</f>
        <v>0</v>
      </c>
    </row>
    <row r="1947" customFormat="false" ht="14.5" hidden="false" customHeight="false" outlineLevel="0" collapsed="false">
      <c r="B1947" s="2898" t="str">
        <f aca="false">'Смета Внутр'!B1953</f>
        <v>Работы</v>
      </c>
      <c r="C1947" s="2898"/>
      <c r="D1947" s="2898"/>
      <c r="E1947" s="2898"/>
      <c r="F1947" s="2893" t="n">
        <f aca="false">'Смета Внутр'!H1953</f>
        <v>0</v>
      </c>
    </row>
    <row r="1948" customFormat="false" ht="14.5" hidden="false" customHeight="false" outlineLevel="0" collapsed="false">
      <c r="B1948" s="2888" t="str">
        <f aca="false">'Смета Внутр'!B1954</f>
        <v>монтаж окон</v>
      </c>
      <c r="C1948" s="2889" t="str">
        <f aca="false">'Смета Внутр'!C1954</f>
        <v>шт</v>
      </c>
      <c r="D1948" s="2890" t="n">
        <f aca="false">'Смета Внутр'!D1954</f>
        <v>1</v>
      </c>
      <c r="E1948" s="2888"/>
      <c r="F1948" s="2895" t="n">
        <f aca="false">'Смета Внутр'!H1954</f>
        <v>0</v>
      </c>
    </row>
    <row r="1949" customFormat="false" ht="14.5" hidden="false" customHeight="false" outlineLevel="0" collapsed="false">
      <c r="B1949" s="2888" t="str">
        <f aca="false">'Смета Внутр'!B1955</f>
        <v>монтаж подоконника</v>
      </c>
      <c r="C1949" s="2889" t="str">
        <f aca="false">'Смета Внутр'!C1955</f>
        <v>шт</v>
      </c>
      <c r="D1949" s="2890" t="n">
        <f aca="false">'Смета Внутр'!D1955</f>
        <v>1</v>
      </c>
      <c r="E1949" s="2888"/>
      <c r="F1949" s="2895" t="n">
        <f aca="false">'Смета Внутр'!H1955</f>
        <v>0</v>
      </c>
    </row>
    <row r="1950" customFormat="false" ht="14.5" hidden="false" customHeight="false" outlineLevel="0" collapsed="false">
      <c r="B1950" s="2888" t="str">
        <f aca="false">'Смета Внутр'!B1956</f>
        <v>монтаж откосов вн</v>
      </c>
      <c r="C1950" s="2889" t="str">
        <f aca="false">'Смета Внутр'!C1956</f>
        <v>шт</v>
      </c>
      <c r="D1950" s="2890" t="n">
        <f aca="false">'Смета Внутр'!D1956</f>
        <v>3.4</v>
      </c>
      <c r="E1950" s="2888"/>
      <c r="F1950" s="2895" t="n">
        <f aca="false">'Смета Внутр'!H1956</f>
        <v>0</v>
      </c>
    </row>
    <row r="1951" customFormat="false" ht="14.5" hidden="false" customHeight="false" outlineLevel="0" collapsed="false">
      <c r="B1951" s="2888" t="str">
        <f aca="false">'Смета Внутр'!B1957</f>
        <v>монтаж направл вн</v>
      </c>
      <c r="C1951" s="2889" t="str">
        <f aca="false">'Смета Внутр'!C1957</f>
        <v>шт</v>
      </c>
      <c r="D1951" s="2890" t="n">
        <f aca="false">'Смета Внутр'!D1957</f>
        <v>3.4</v>
      </c>
      <c r="E1951" s="2888"/>
      <c r="F1951" s="2895" t="n">
        <f aca="false">'Смета Внутр'!H1957</f>
        <v>0</v>
      </c>
    </row>
    <row r="1952" customFormat="false" ht="14.5" hidden="false" customHeight="false" outlineLevel="0" collapsed="false">
      <c r="B1952" s="2888" t="str">
        <f aca="false">'Смета Внутр'!B1958</f>
        <v>монтаж уголков вн</v>
      </c>
      <c r="C1952" s="2889" t="str">
        <f aca="false">'Смета Внутр'!C1958</f>
        <v>шт</v>
      </c>
      <c r="D1952" s="2890" t="n">
        <f aca="false">'Смета Внутр'!D1958</f>
        <v>3.4</v>
      </c>
      <c r="E1952" s="2888"/>
      <c r="F1952" s="2895" t="n">
        <f aca="false">'Смета Внутр'!H1958</f>
        <v>0</v>
      </c>
    </row>
    <row r="1953" customFormat="false" ht="14.5" hidden="false" customHeight="false" outlineLevel="0" collapsed="false">
      <c r="B1953" s="2888" t="str">
        <f aca="false">'Смета Внутр'!B1959</f>
        <v>монтаж отлива</v>
      </c>
      <c r="C1953" s="2889" t="str">
        <f aca="false">'Смета Внутр'!C1959</f>
        <v>шт</v>
      </c>
      <c r="D1953" s="2890" t="n">
        <f aca="false">'Смета Внутр'!D1959</f>
        <v>0</v>
      </c>
      <c r="E1953" s="2888"/>
      <c r="F1953" s="2895" t="n">
        <f aca="false">'Смета Внутр'!H1959</f>
        <v>0</v>
      </c>
    </row>
    <row r="1954" customFormat="false" ht="14.5" hidden="false" customHeight="false" outlineLevel="0" collapsed="false">
      <c r="B1954" s="2888" t="str">
        <f aca="false">'Смета Внутр'!B1960</f>
        <v>монтаж откосов</v>
      </c>
      <c r="C1954" s="2889" t="str">
        <f aca="false">'Смета Внутр'!C1960</f>
        <v>шт</v>
      </c>
      <c r="D1954" s="2890" t="n">
        <f aca="false">'Смета Внутр'!D1960</f>
        <v>0</v>
      </c>
      <c r="E1954" s="2888"/>
      <c r="F1954" s="2895" t="n">
        <f aca="false">'Смета Внутр'!H1960</f>
        <v>0</v>
      </c>
    </row>
    <row r="1955" customFormat="false" ht="14.5" hidden="false" customHeight="false" outlineLevel="0" collapsed="false">
      <c r="B1955" s="2888" t="str">
        <f aca="false">'Смета Внутр'!B1961</f>
        <v>монтаж направляющ</v>
      </c>
      <c r="C1955" s="2889" t="str">
        <f aca="false">'Смета Внутр'!C1961</f>
        <v>шт</v>
      </c>
      <c r="D1955" s="2890" t="n">
        <f aca="false">'Смета Внутр'!D1961</f>
        <v>0</v>
      </c>
      <c r="E1955" s="2888"/>
      <c r="F1955" s="2895" t="n">
        <f aca="false">'Смета Внутр'!H1961</f>
        <v>0</v>
      </c>
    </row>
    <row r="1956" customFormat="false" ht="14.5" hidden="false" customHeight="false" outlineLevel="0" collapsed="false">
      <c r="B1956" s="2888" t="str">
        <f aca="false">'Смета Внутр'!B1962</f>
        <v>монтаж уголков</v>
      </c>
      <c r="C1956" s="2889" t="str">
        <f aca="false">'Смета Внутр'!C1962</f>
        <v>шт</v>
      </c>
      <c r="D1956" s="2890" t="n">
        <f aca="false">'Смета Внутр'!D1962</f>
        <v>0</v>
      </c>
      <c r="E1956" s="2888"/>
      <c r="F1956" s="2895" t="n">
        <f aca="false">'Смета Внутр'!H1962</f>
        <v>0</v>
      </c>
    </row>
    <row r="1957" customFormat="false" ht="14.5" hidden="false" customHeight="false" outlineLevel="0" collapsed="false">
      <c r="B1957" s="2888" t="str">
        <f aca="false">'Смета Внутр'!B1963</f>
        <v>монтаж ветроизоляции</v>
      </c>
      <c r="C1957" s="2889" t="str">
        <f aca="false">'Смета Внутр'!C1963</f>
        <v>м.п.</v>
      </c>
      <c r="D1957" s="2890" t="n">
        <f aca="false">'Смета Внутр'!D1963</f>
        <v>0</v>
      </c>
      <c r="E1957" s="2888"/>
      <c r="F1957" s="2895" t="n">
        <f aca="false">'Смета Внутр'!H1963</f>
        <v>0</v>
      </c>
    </row>
    <row r="1958" customFormat="false" ht="14.5" hidden="false" customHeight="false" outlineLevel="0" collapsed="false">
      <c r="B1958" s="2888" t="str">
        <f aca="false">'Смета Внутр'!B1964</f>
        <v>монтаж пароизоляции</v>
      </c>
      <c r="C1958" s="2889" t="str">
        <f aca="false">'Смета Внутр'!C1964</f>
        <v>м.п.</v>
      </c>
      <c r="D1958" s="2890" t="n">
        <f aca="false">'Смета Внутр'!D1964</f>
        <v>3.4</v>
      </c>
      <c r="E1958" s="2888"/>
      <c r="F1958" s="2895" t="n">
        <f aca="false">'Смета Внутр'!H1964</f>
        <v>0</v>
      </c>
    </row>
    <row r="1959" customFormat="false" ht="14.5" hidden="false" customHeight="false" outlineLevel="0" collapsed="false">
      <c r="B1959" s="2888" t="str">
        <f aca="false">'Смета Внутр'!B1965</f>
        <v>Двери входные</v>
      </c>
      <c r="C1959" s="2889" t="str">
        <f aca="false">'Смета Внутр'!C1965</f>
        <v>шт</v>
      </c>
      <c r="D1959" s="2890" t="n">
        <f aca="false">'Смета Внутр'!D1965</f>
        <v>0</v>
      </c>
      <c r="E1959" s="2888"/>
      <c r="F1959" s="2895" t="n">
        <f aca="false">'Смета Внутр'!H1965</f>
        <v>0</v>
      </c>
    </row>
    <row r="1960" customFormat="false" ht="14.5" hidden="false" customHeight="false" outlineLevel="0" collapsed="false">
      <c r="B1960" s="2888" t="str">
        <f aca="false">'Смета Внутр'!B1966</f>
        <v>монтаж франццзских окон</v>
      </c>
      <c r="C1960" s="2889" t="str">
        <f aca="false">'Смета Внутр'!C1966</f>
        <v>шт</v>
      </c>
      <c r="D1960" s="2890" t="n">
        <f aca="false">'Смета Внутр'!D1966</f>
        <v>0</v>
      </c>
      <c r="E1960" s="2888"/>
      <c r="F1960" s="2895" t="n">
        <f aca="false">'Смета Внутр'!H1966</f>
        <v>0</v>
      </c>
    </row>
    <row r="1961" customFormat="false" ht="14.5" hidden="false" customHeight="false" outlineLevel="0" collapsed="false">
      <c r="B1961" s="2896" t="str">
        <f aca="false">'Смета Внутр'!B1967</f>
        <v>Итого работы</v>
      </c>
      <c r="C1961" s="2896"/>
      <c r="D1961" s="2896"/>
      <c r="E1961" s="2896"/>
      <c r="F1961" s="2897" t="n">
        <f aca="false">'Смета Внутр'!G1967</f>
        <v>0</v>
      </c>
    </row>
    <row r="1962" customFormat="false" ht="21" hidden="false" customHeight="false" outlineLevel="0" collapsed="false">
      <c r="B1962" s="2914" t="str">
        <f aca="false">'Смета Внутр'!B1968</f>
        <v>Лестница деревянная</v>
      </c>
      <c r="C1962" s="2914"/>
      <c r="D1962" s="2914"/>
      <c r="E1962" s="2914"/>
      <c r="F1962" s="2893" t="n">
        <f aca="false">'Смета Внутр'!H1968</f>
        <v>0</v>
      </c>
    </row>
    <row r="1963" customFormat="false" ht="14.5" hidden="false" customHeight="false" outlineLevel="0" collapsed="false">
      <c r="B1963" s="2894" t="str">
        <f aca="false">'Смета Внутр'!B1969</f>
        <v>Материалы</v>
      </c>
      <c r="C1963" s="2894"/>
      <c r="D1963" s="2894"/>
      <c r="E1963" s="2894"/>
      <c r="F1963" s="2893" t="n">
        <f aca="false">'Смета Внутр'!H1969</f>
        <v>0</v>
      </c>
    </row>
    <row r="1964" customFormat="false" ht="14.5" hidden="false" customHeight="false" outlineLevel="0" collapsed="false">
      <c r="B1964" s="2888" t="str">
        <f aca="false">'Смета Внутр'!B1970</f>
        <v>ступени хвоя</v>
      </c>
      <c r="C1964" s="2889" t="str">
        <f aca="false">'Смета Внутр'!C1970</f>
        <v>шт</v>
      </c>
      <c r="D1964" s="2890" t="n">
        <f aca="false">'Смета Внутр'!D1970</f>
        <v>18</v>
      </c>
      <c r="E1964" s="2888"/>
      <c r="F1964" s="2895" t="n">
        <f aca="false">'Смета Внутр'!H1970</f>
        <v>0</v>
      </c>
    </row>
    <row r="1965" customFormat="false" ht="14.5" hidden="false" customHeight="false" outlineLevel="0" collapsed="false">
      <c r="B1965" s="2888" t="str">
        <f aca="false">'Смета Внутр'!B1971</f>
        <v>площадка хвоя</v>
      </c>
      <c r="C1965" s="2889" t="str">
        <f aca="false">'Смета Внутр'!C1971</f>
        <v>шт</v>
      </c>
      <c r="D1965" s="2890" t="n">
        <f aca="false">'Смета Внутр'!D1971</f>
        <v>1</v>
      </c>
      <c r="E1965" s="2888"/>
      <c r="F1965" s="2895" t="n">
        <f aca="false">'Смета Внутр'!H1971</f>
        <v>0</v>
      </c>
    </row>
    <row r="1966" customFormat="false" ht="14.5" hidden="false" customHeight="false" outlineLevel="0" collapsed="false">
      <c r="B1966" s="2888" t="str">
        <f aca="false">'Смета Внутр'!B1972</f>
        <v>столб под площадку, 2м</v>
      </c>
      <c r="C1966" s="2889" t="str">
        <f aca="false">'Смета Внутр'!C1972</f>
        <v>шт</v>
      </c>
      <c r="D1966" s="2890" t="n">
        <f aca="false">'Смета Внутр'!D1972</f>
        <v>4</v>
      </c>
      <c r="E1966" s="2888"/>
      <c r="F1966" s="2895" t="n">
        <f aca="false">'Смета Внутр'!H1972</f>
        <v>0</v>
      </c>
    </row>
    <row r="1967" customFormat="false" ht="14.5" hidden="false" customHeight="false" outlineLevel="0" collapsed="false">
      <c r="B1967" s="2888" t="str">
        <f aca="false">'Смета Внутр'!B1973</f>
        <v>столб обвязка перил 1 и 2 этажа</v>
      </c>
      <c r="C1967" s="2889" t="str">
        <f aca="false">'Смета Внутр'!C1973</f>
        <v>шт</v>
      </c>
      <c r="D1967" s="2890" t="n">
        <f aca="false">'Смета Внутр'!D1973</f>
        <v>1</v>
      </c>
      <c r="E1967" s="2888"/>
      <c r="F1967" s="2895" t="n">
        <f aca="false">'Смета Внутр'!H1973</f>
        <v>0</v>
      </c>
    </row>
    <row r="1968" customFormat="false" ht="14.5" hidden="false" customHeight="false" outlineLevel="0" collapsed="false">
      <c r="B1968" s="2888" t="str">
        <f aca="false">'Смета Внутр'!B1974</f>
        <v>балясина 80*80, первая</v>
      </c>
      <c r="C1968" s="2889" t="str">
        <f aca="false">'Смета Внутр'!C1974</f>
        <v>шт</v>
      </c>
      <c r="D1968" s="2890" t="n">
        <f aca="false">'Смета Внутр'!D1974</f>
        <v>2</v>
      </c>
      <c r="E1968" s="2888"/>
      <c r="F1968" s="2895" t="n">
        <f aca="false">'Смета Внутр'!H1974</f>
        <v>0</v>
      </c>
    </row>
    <row r="1969" customFormat="false" ht="14.5" hidden="false" customHeight="false" outlineLevel="0" collapsed="false">
      <c r="B1969" s="2888" t="str">
        <f aca="false">'Смета Внутр'!B1975</f>
        <v>тетева, 3м.п.</v>
      </c>
      <c r="C1969" s="2889" t="str">
        <f aca="false">'Смета Внутр'!C1975</f>
        <v>шт</v>
      </c>
      <c r="D1969" s="2890" t="n">
        <f aca="false">'Смета Внутр'!D1975</f>
        <v>4</v>
      </c>
      <c r="E1969" s="2888"/>
      <c r="F1969" s="2895" t="n">
        <f aca="false">'Смета Внутр'!H1975</f>
        <v>0</v>
      </c>
    </row>
    <row r="1970" customFormat="false" ht="14.5" hidden="false" customHeight="false" outlineLevel="0" collapsed="false">
      <c r="B1970" s="2888" t="str">
        <f aca="false">'Смета Внутр'!B1976</f>
        <v>крепления для ступеней, болт</v>
      </c>
      <c r="C1970" s="2889" t="str">
        <f aca="false">'Смета Внутр'!C1976</f>
        <v>шт</v>
      </c>
      <c r="D1970" s="2890" t="n">
        <f aca="false">'Смета Внутр'!D1976</f>
        <v>108</v>
      </c>
      <c r="E1970" s="2888"/>
      <c r="F1970" s="2895" t="n">
        <f aca="false">'Смета Внутр'!H1976</f>
        <v>0</v>
      </c>
    </row>
    <row r="1971" customFormat="false" ht="14.5" hidden="false" customHeight="false" outlineLevel="0" collapsed="false">
      <c r="B1971" s="2888" t="str">
        <f aca="false">'Смета Внутр'!B1977</f>
        <v>крепления для площадки</v>
      </c>
      <c r="C1971" s="2889" t="str">
        <f aca="false">'Смета Внутр'!C1977</f>
        <v>шт</v>
      </c>
      <c r="D1971" s="2890" t="n">
        <f aca="false">'Смета Внутр'!D1977</f>
        <v>8</v>
      </c>
      <c r="E1971" s="2888"/>
      <c r="F1971" s="2895" t="n">
        <f aca="false">'Смета Внутр'!H1977</f>
        <v>0</v>
      </c>
    </row>
    <row r="1972" customFormat="false" ht="14.5" hidden="false" customHeight="false" outlineLevel="0" collapsed="false">
      <c r="B1972" s="2888" t="str">
        <f aca="false">'Смета Внутр'!B1978</f>
        <v>поручни</v>
      </c>
      <c r="C1972" s="2889" t="str">
        <f aca="false">'Смета Внутр'!C1978</f>
        <v>шт</v>
      </c>
      <c r="D1972" s="2890" t="n">
        <f aca="false">'Смета Внутр'!D1978</f>
        <v>4</v>
      </c>
      <c r="E1972" s="2888"/>
      <c r="F1972" s="2895" t="n">
        <f aca="false">'Смета Внутр'!H1978</f>
        <v>0</v>
      </c>
    </row>
    <row r="1973" customFormat="false" ht="14.5" hidden="false" customHeight="false" outlineLevel="0" collapsed="false">
      <c r="B1973" s="2888" t="str">
        <f aca="false">'Смета Внутр'!B1979</f>
        <v>балясины</v>
      </c>
      <c r="C1973" s="2889" t="str">
        <f aca="false">'Смета Внутр'!C1979</f>
        <v>шт</v>
      </c>
      <c r="D1973" s="2890" t="n">
        <f aca="false">'Смета Внутр'!D1979</f>
        <v>25</v>
      </c>
      <c r="E1973" s="2888"/>
      <c r="F1973" s="2895" t="n">
        <f aca="false">'Смета Внутр'!H1979</f>
        <v>0</v>
      </c>
    </row>
    <row r="1974" customFormat="false" ht="14.5" hidden="false" customHeight="false" outlineLevel="0" collapsed="false">
      <c r="B1974" s="2896" t="str">
        <f aca="false">'Смета Внутр'!B1980</f>
        <v>Итого материалы</v>
      </c>
      <c r="C1974" s="2896"/>
      <c r="D1974" s="2896"/>
      <c r="E1974" s="2896"/>
      <c r="F1974" s="2897" t="n">
        <f aca="false">'Смета Внутр'!G1980</f>
        <v>0</v>
      </c>
    </row>
    <row r="1975" customFormat="false" ht="14.5" hidden="false" customHeight="false" outlineLevel="0" collapsed="false">
      <c r="B1975" s="2898" t="str">
        <f aca="false">'Смета Внутр'!B1981</f>
        <v>Работы</v>
      </c>
      <c r="C1975" s="2898"/>
      <c r="D1975" s="2898"/>
      <c r="E1975" s="2898"/>
      <c r="F1975" s="2893" t="n">
        <f aca="false">'Смета Внутр'!H1981</f>
        <v>0</v>
      </c>
    </row>
    <row r="1976" customFormat="false" ht="14.5" hidden="false" customHeight="false" outlineLevel="0" collapsed="false">
      <c r="B1976" s="2888" t="str">
        <f aca="false">'Смета Внутр'!B1982</f>
        <v>сборка лестницы</v>
      </c>
      <c r="C1976" s="2889" t="str">
        <f aca="false">'Смета Внутр'!C1982</f>
        <v>шт</v>
      </c>
      <c r="D1976" s="2890" t="n">
        <f aca="false">'Смета Внутр'!D1982</f>
        <v>1</v>
      </c>
      <c r="E1976" s="2888"/>
      <c r="F1976" s="2895" t="n">
        <f aca="false">'Смета Внутр'!H1982</f>
        <v>0</v>
      </c>
    </row>
    <row r="1977" customFormat="false" ht="14.5" hidden="false" customHeight="false" outlineLevel="0" collapsed="false">
      <c r="B1977" s="2896" t="str">
        <f aca="false">'Смета Внутр'!B1983</f>
        <v>Итого работы</v>
      </c>
      <c r="C1977" s="2896"/>
      <c r="D1977" s="2896"/>
      <c r="E1977" s="2896"/>
      <c r="F1977" s="2897" t="n">
        <f aca="false">'Смета Внутр'!G1983</f>
        <v>0</v>
      </c>
    </row>
    <row r="1978" customFormat="false" ht="18.5" hidden="false" customHeight="false" outlineLevel="0" collapsed="false">
      <c r="B1978" s="2908" t="str">
        <f aca="false">'Смета Внутр'!B1984</f>
        <v>Лестница бетонная</v>
      </c>
      <c r="C1978" s="2908"/>
      <c r="D1978" s="2908"/>
      <c r="E1978" s="2908"/>
      <c r="F1978" s="2908"/>
    </row>
    <row r="1979" customFormat="false" ht="14.5" hidden="false" customHeight="false" outlineLevel="0" collapsed="false">
      <c r="B1979" s="2909" t="str">
        <f aca="false">'Смета Внутр'!B1985</f>
        <v>Материалы</v>
      </c>
      <c r="C1979" s="2909"/>
      <c r="D1979" s="2909"/>
      <c r="E1979" s="2909"/>
      <c r="F1979" s="2909"/>
    </row>
    <row r="1980" customFormat="false" ht="14.5" hidden="false" customHeight="false" outlineLevel="0" collapsed="false">
      <c r="B1980" s="2915" t="str">
        <f aca="false">'Смета Внутр'!B1986</f>
        <v>Арматура А1 8 мм</v>
      </c>
      <c r="C1980" s="2915" t="str">
        <f aca="false">'Смета Внутр'!C1986</f>
        <v>м.п.</v>
      </c>
      <c r="D1980" s="2916" t="n">
        <f aca="false">'Смета Внутр'!D1986</f>
        <v>52</v>
      </c>
      <c r="E1980" s="2917"/>
      <c r="F1980" s="2897"/>
    </row>
    <row r="1981" customFormat="false" ht="14.5" hidden="false" customHeight="false" outlineLevel="0" collapsed="false">
      <c r="B1981" s="2915" t="str">
        <f aca="false">'Смета Внутр'!B1987</f>
        <v>Доска 50/150</v>
      </c>
      <c r="C1981" s="2915" t="str">
        <f aca="false">'Смета Внутр'!C1987</f>
        <v>м.п.</v>
      </c>
      <c r="D1981" s="2916" t="n">
        <f aca="false">'Смета Внутр'!D1987</f>
        <v>10</v>
      </c>
      <c r="E1981" s="2896"/>
      <c r="F1981" s="2897"/>
    </row>
    <row r="1982" customFormat="false" ht="14.5" hidden="false" customHeight="false" outlineLevel="0" collapsed="false">
      <c r="B1982" s="2915" t="str">
        <f aca="false">'Смета Внутр'!B1988</f>
        <v>OSB-3 КНР (для наружных работ), 12мм</v>
      </c>
      <c r="C1982" s="2915" t="str">
        <f aca="false">'Смета Внутр'!C1988</f>
        <v>м2</v>
      </c>
      <c r="D1982" s="2916" t="n">
        <f aca="false">'Смета Внутр'!D1988</f>
        <v>7</v>
      </c>
      <c r="E1982" s="2896"/>
      <c r="F1982" s="2897"/>
    </row>
    <row r="1983" customFormat="false" ht="14.5" hidden="false" customHeight="false" outlineLevel="0" collapsed="false">
      <c r="B1983" s="2915" t="str">
        <f aca="false">'Смета Внутр'!B1989</f>
        <v>Бетон, м350</v>
      </c>
      <c r="C1983" s="2915" t="str">
        <f aca="false">'Смета Внутр'!C1989</f>
        <v>м3</v>
      </c>
      <c r="D1983" s="2916" t="n">
        <f aca="false">'Смета Внутр'!D1989</f>
        <v>0.424</v>
      </c>
      <c r="E1983" s="2896"/>
      <c r="F1983" s="2897"/>
    </row>
    <row r="1984" customFormat="false" ht="14.5" hidden="false" customHeight="false" outlineLevel="0" collapsed="false">
      <c r="B1984" s="2915" t="str">
        <f aca="false">'Смета Внутр'!B1990</f>
        <v>Саморезы 3,5 x 55</v>
      </c>
      <c r="C1984" s="2915" t="str">
        <f aca="false">'Смета Внутр'!C1990</f>
        <v>кг</v>
      </c>
      <c r="D1984" s="2916" t="n">
        <f aca="false">'Смета Внутр'!D1990</f>
        <v>1</v>
      </c>
      <c r="E1984" s="2896"/>
      <c r="F1984" s="2897"/>
    </row>
    <row r="1985" customFormat="false" ht="14.5" hidden="false" customHeight="false" outlineLevel="0" collapsed="false">
      <c r="B1985" s="2915" t="str">
        <f aca="false">'Смета Внутр'!B1991</f>
        <v>Нет техники</v>
      </c>
      <c r="C1985" s="2915" t="str">
        <f aca="false">'Смета Внутр'!C1991</f>
        <v>час</v>
      </c>
      <c r="D1985" s="2916" t="n">
        <f aca="false">'Смета Внутр'!D1991</f>
        <v>0</v>
      </c>
      <c r="E1985" s="2896"/>
      <c r="F1985" s="2897"/>
    </row>
    <row r="1986" customFormat="false" ht="14.5" hidden="false" customHeight="false" outlineLevel="0" collapsed="false">
      <c r="B1986" s="2915" t="str">
        <f aca="false">'Смета Внутр'!B1992</f>
        <v>Нет техники</v>
      </c>
      <c r="C1986" s="2915" t="str">
        <f aca="false">'Смета Внутр'!C1992</f>
        <v>шт.</v>
      </c>
      <c r="D1986" s="2916" t="n">
        <f aca="false">'Смета Внутр'!D1992</f>
        <v>3</v>
      </c>
      <c r="E1986" s="2896"/>
      <c r="F1986" s="2897"/>
    </row>
    <row r="1987" customFormat="false" ht="14.5" hidden="false" customHeight="false" outlineLevel="0" collapsed="false">
      <c r="B1987" s="2915" t="str">
        <f aca="false">'Смета Внутр'!B1993</f>
        <v>Доп. Расходы</v>
      </c>
      <c r="C1987" s="2915" t="str">
        <f aca="false">'Смета Внутр'!C1993</f>
        <v>руб.</v>
      </c>
      <c r="D1987" s="2916" t="n">
        <f aca="false">'Смета Внутр'!D1993</f>
        <v>1</v>
      </c>
      <c r="E1987" s="2896"/>
      <c r="F1987" s="2897"/>
    </row>
    <row r="1988" customFormat="false" ht="14.5" hidden="false" customHeight="false" outlineLevel="0" collapsed="false">
      <c r="B1988" s="2918" t="str">
        <f aca="false">'Смета Внутр'!B1994</f>
        <v>Итого материалы</v>
      </c>
      <c r="C1988" s="2918"/>
      <c r="D1988" s="2918"/>
      <c r="E1988" s="2918"/>
      <c r="F1988" s="2686" t="n">
        <f aca="false">'Смета Внутр'!G1994</f>
        <v>6891.596</v>
      </c>
      <c r="G1988" s="2910"/>
      <c r="H1988" s="2910"/>
      <c r="I1988" s="2910"/>
    </row>
    <row r="1989" customFormat="false" ht="14.5" hidden="false" customHeight="false" outlineLevel="0" collapsed="false">
      <c r="B1989" s="2909" t="str">
        <f aca="false">'Смета Внутр'!B1995</f>
        <v>Работы</v>
      </c>
      <c r="C1989" s="2909"/>
      <c r="D1989" s="2909"/>
      <c r="E1989" s="2909"/>
      <c r="F1989" s="2909"/>
      <c r="G1989" s="2919"/>
      <c r="H1989" s="2919"/>
      <c r="I1989" s="2919"/>
    </row>
    <row r="1990" customFormat="false" ht="14.5" hidden="false" customHeight="false" outlineLevel="0" collapsed="false">
      <c r="B1990" s="2917" t="str">
        <f aca="false">'Смета Внутр'!B1996</f>
        <v>Монтаж лестницы</v>
      </c>
      <c r="C1990" s="2917" t="str">
        <f aca="false">'Смета Внутр'!C1996</f>
        <v>руб.</v>
      </c>
      <c r="D1990" s="2889" t="n">
        <f aca="false">'Смета Внутр'!D1996</f>
        <v>1</v>
      </c>
      <c r="E1990" s="2917"/>
      <c r="F1990" s="2917"/>
    </row>
    <row r="1991" customFormat="false" ht="14.5" hidden="false" customHeight="false" outlineLevel="0" collapsed="false">
      <c r="B1991" s="2896" t="str">
        <f aca="false">'Смета Внутр'!B1997</f>
        <v>Итого работы</v>
      </c>
      <c r="C1991" s="2896"/>
      <c r="D1991" s="2896"/>
      <c r="E1991" s="2896"/>
      <c r="F1991" s="2686" t="n">
        <f aca="false">'Смета Внутр'!G1997</f>
        <v>50000</v>
      </c>
      <c r="G1991" s="2910"/>
      <c r="H1991" s="2910"/>
      <c r="I1991" s="2910"/>
    </row>
    <row r="1992" customFormat="false" ht="18.5" hidden="false" customHeight="false" outlineLevel="0" collapsed="false">
      <c r="B1992" s="2920" t="str">
        <f aca="false">'Смета Внутр'!B1998</f>
        <v>Лестница готовая</v>
      </c>
      <c r="C1992" s="2920"/>
      <c r="D1992" s="2920"/>
      <c r="E1992" s="2920"/>
      <c r="F1992" s="2920"/>
    </row>
    <row r="1993" customFormat="false" ht="14.5" hidden="false" customHeight="false" outlineLevel="0" collapsed="false">
      <c r="B1993" s="2909" t="str">
        <f aca="false">'Смета Внутр'!B1999</f>
        <v>Материалы</v>
      </c>
      <c r="C1993" s="2909"/>
      <c r="D1993" s="2909"/>
      <c r="E1993" s="2909"/>
      <c r="F1993" s="2909"/>
    </row>
    <row r="1994" customFormat="false" ht="14.5" hidden="false" customHeight="false" outlineLevel="0" collapsed="false">
      <c r="B1994" s="2917" t="str">
        <f aca="false">'Смета Внутр'!B2000</f>
        <v>Бетонная лестница 2</v>
      </c>
      <c r="C1994" s="2917" t="str">
        <f aca="false">'Смета Внутр'!C2000</f>
        <v>шт.</v>
      </c>
      <c r="D1994" s="2917" t="n">
        <f aca="false">'Смета Внутр'!D2000</f>
        <v>1</v>
      </c>
      <c r="E1994" s="2896"/>
      <c r="F1994" s="2897"/>
    </row>
    <row r="1995" customFormat="false" ht="14.5" hidden="false" customHeight="false" outlineLevel="0" collapsed="false">
      <c r="B1995" s="2917" t="str">
        <f aca="false">'Смета Внутр'!B2001</f>
        <v>Нет</v>
      </c>
      <c r="C1995" s="2917" t="str">
        <f aca="false">'Смета Внутр'!C2001</f>
        <v>шт.</v>
      </c>
      <c r="D1995" s="2917" t="n">
        <f aca="false">'Смета Внутр'!D2001</f>
        <v>2</v>
      </c>
      <c r="E1995" s="2896"/>
      <c r="F1995" s="2897"/>
    </row>
    <row r="1996" customFormat="false" ht="14.5" hidden="false" customHeight="false" outlineLevel="0" collapsed="false">
      <c r="B1996" s="2917" t="str">
        <f aca="false">'Смета Внутр'!B2002</f>
        <v>Доп. Расходы</v>
      </c>
      <c r="C1996" s="2917" t="str">
        <f aca="false">'Смета Внутр'!C2002</f>
        <v>руб.</v>
      </c>
      <c r="D1996" s="2917" t="n">
        <f aca="false">'Смета Внутр'!D2002</f>
        <v>1</v>
      </c>
      <c r="E1996" s="2896"/>
      <c r="F1996" s="2897"/>
    </row>
    <row r="1997" customFormat="false" ht="14.5" hidden="false" customHeight="false" outlineLevel="0" collapsed="false">
      <c r="B1997" s="2917" t="str">
        <f aca="false">'Смета Внутр'!B2003</f>
        <v>Нет техники</v>
      </c>
      <c r="C1997" s="2917" t="str">
        <f aca="false">'Смета Внутр'!C2003</f>
        <v>час</v>
      </c>
      <c r="D1997" s="2917" t="n">
        <f aca="false">'Смета Внутр'!D2003</f>
        <v>0</v>
      </c>
      <c r="E1997" s="2896"/>
      <c r="F1997" s="2897"/>
    </row>
    <row r="1998" customFormat="false" ht="14.5" hidden="false" customHeight="false" outlineLevel="0" collapsed="false">
      <c r="B1998" s="2917" t="str">
        <f aca="false">'Смета Внутр'!B2004</f>
        <v>Нет техники</v>
      </c>
      <c r="C1998" s="2917" t="str">
        <f aca="false">'Смета Внутр'!C2004</f>
        <v>шт.</v>
      </c>
      <c r="D1998" s="2917" t="n">
        <f aca="false">'Смета Внутр'!D2004</f>
        <v>3</v>
      </c>
      <c r="E1998" s="2896"/>
      <c r="F1998" s="2897"/>
    </row>
    <row r="1999" customFormat="false" ht="14.5" hidden="false" customHeight="false" outlineLevel="0" collapsed="false">
      <c r="B1999" s="2896" t="str">
        <f aca="false">'Смета Внутр'!B2005</f>
        <v>Итого материалы</v>
      </c>
      <c r="C1999" s="2896"/>
      <c r="D1999" s="2896"/>
      <c r="E1999" s="2896"/>
      <c r="F1999" s="2686" t="n">
        <f aca="false">'Смета Внутр'!G2005</f>
        <v>32000</v>
      </c>
    </row>
    <row r="2000" customFormat="false" ht="14.5" hidden="false" customHeight="false" outlineLevel="0" collapsed="false">
      <c r="B2000" s="2909" t="str">
        <f aca="false">'Смета Внутр'!B2006</f>
        <v>Работы</v>
      </c>
      <c r="C2000" s="2909"/>
      <c r="D2000" s="2909"/>
      <c r="E2000" s="2909"/>
      <c r="F2000" s="2909"/>
    </row>
    <row r="2001" customFormat="false" ht="14.5" hidden="false" customHeight="false" outlineLevel="0" collapsed="false">
      <c r="B2001" s="2917" t="str">
        <f aca="false">'Смета Внутр'!B2007</f>
        <v>Монтаж готовой бетонной лестницы 2</v>
      </c>
      <c r="C2001" s="2917" t="str">
        <f aca="false">'Смета Внутр'!C2007</f>
        <v>руб.</v>
      </c>
      <c r="D2001" s="2917" t="n">
        <f aca="false">'Смета Внутр'!D2007</f>
        <v>1</v>
      </c>
      <c r="E2001" s="2896"/>
      <c r="F2001" s="2897"/>
    </row>
    <row r="2002" customFormat="false" ht="14.5" hidden="false" customHeight="false" outlineLevel="0" collapsed="false">
      <c r="B2002" s="2921" t="str">
        <f aca="false">'Смета Внутр'!B2008</f>
        <v>Итого работы</v>
      </c>
      <c r="C2002" s="2921"/>
      <c r="D2002" s="2921"/>
      <c r="E2002" s="2921"/>
      <c r="F2002" s="2897" t="n">
        <f aca="false">'Смета Внутр'!G2008</f>
        <v>10000</v>
      </c>
    </row>
    <row r="2003" customFormat="false" ht="18.5" hidden="false" customHeight="false" outlineLevel="0" collapsed="false">
      <c r="B2003" s="2899" t="str">
        <f aca="false">'Смета Внутр'!B2009</f>
        <v>Мансардные окна</v>
      </c>
      <c r="C2003" s="2899"/>
      <c r="D2003" s="2899"/>
      <c r="E2003" s="2899"/>
      <c r="F2003" s="2893" t="n">
        <f aca="false">'Смета Внутр'!H2009</f>
        <v>0</v>
      </c>
    </row>
    <row r="2004" customFormat="false" ht="14.5" hidden="false" customHeight="false" outlineLevel="0" collapsed="false">
      <c r="B2004" s="2894" t="str">
        <f aca="false">'Смета Внутр'!B2010</f>
        <v>Материалы</v>
      </c>
      <c r="C2004" s="2894"/>
      <c r="D2004" s="2894"/>
      <c r="E2004" s="2894"/>
      <c r="F2004" s="2893" t="n">
        <f aca="false">'Смета Внутр'!H2010</f>
        <v>0</v>
      </c>
    </row>
    <row r="2005" customFormat="false" ht="14.5" hidden="false" customHeight="false" outlineLevel="0" collapsed="false">
      <c r="B2005" s="2888" t="str">
        <f aca="false">'Смета Внутр'!B2011</f>
        <v>MR10 78X160</v>
      </c>
      <c r="C2005" s="2889" t="str">
        <f aca="false">'Смета Внутр'!C2011</f>
        <v>шт</v>
      </c>
      <c r="D2005" s="2890" t="n">
        <f aca="false">'Смета Внутр'!D2011</f>
        <v>1</v>
      </c>
      <c r="E2005" s="2888"/>
      <c r="F2005" s="2895" t="n">
        <f aca="false">'Смета Внутр'!H2011</f>
        <v>0</v>
      </c>
    </row>
    <row r="2006" customFormat="false" ht="14.5" hidden="false" customHeight="false" outlineLevel="0" collapsed="false">
      <c r="B2006" s="2888" t="str">
        <f aca="false">'Смета Внутр'!B2012</f>
        <v>MR08 78X140</v>
      </c>
      <c r="C2006" s="2889" t="str">
        <f aca="false">'Смета Внутр'!C2012</f>
        <v>шт</v>
      </c>
      <c r="D2006" s="2890" t="n">
        <f aca="false">'Смета Внутр'!D2012</f>
        <v>2</v>
      </c>
      <c r="E2006" s="2888"/>
      <c r="F2006" s="2895" t="n">
        <f aca="false">'Смета Внутр'!H2012</f>
        <v>0</v>
      </c>
    </row>
    <row r="2007" customFormat="false" ht="14.5" hidden="false" customHeight="false" outlineLevel="0" collapsed="false">
      <c r="B2007" s="2888" t="str">
        <f aca="false">'Смета Внутр'!B2013</f>
        <v>MR10 78X160</v>
      </c>
      <c r="C2007" s="2889" t="str">
        <f aca="false">'Смета Внутр'!C2013</f>
        <v>шт</v>
      </c>
      <c r="D2007" s="2890" t="n">
        <f aca="false">'Смета Внутр'!D2013</f>
        <v>5</v>
      </c>
      <c r="E2007" s="2888"/>
      <c r="F2007" s="2895" t="n">
        <f aca="false">'Смета Внутр'!H2013</f>
        <v>0</v>
      </c>
    </row>
    <row r="2008" customFormat="false" ht="14.5" hidden="false" customHeight="false" outlineLevel="0" collapsed="false">
      <c r="B2008" s="2888" t="str">
        <f aca="false">'Смета Внутр'!B2014</f>
        <v>MR04 78X98</v>
      </c>
      <c r="C2008" s="2889" t="str">
        <f aca="false">'Смета Внутр'!C2014</f>
        <v>шт</v>
      </c>
      <c r="D2008" s="2890" t="n">
        <f aca="false">'Смета Внутр'!D2014</f>
        <v>0</v>
      </c>
      <c r="E2008" s="2888"/>
      <c r="F2008" s="2895" t="n">
        <f aca="false">'Смета Внутр'!H2014</f>
        <v>0</v>
      </c>
    </row>
    <row r="2009" customFormat="false" ht="14.5" hidden="false" customHeight="false" outlineLevel="0" collapsed="false">
      <c r="B2009" s="2896" t="str">
        <f aca="false">'Смета Внутр'!B2015</f>
        <v>Итого материалы</v>
      </c>
      <c r="C2009" s="2896"/>
      <c r="D2009" s="2896"/>
      <c r="E2009" s="2896"/>
      <c r="F2009" s="2897" t="n">
        <f aca="false">'Смета Внутр'!G2015</f>
        <v>0</v>
      </c>
    </row>
    <row r="2010" customFormat="false" ht="14.5" hidden="false" customHeight="false" outlineLevel="0" collapsed="false">
      <c r="B2010" s="2898" t="str">
        <f aca="false">'Смета Внутр'!B2016</f>
        <v>Работы</v>
      </c>
      <c r="C2010" s="2898"/>
      <c r="D2010" s="2898"/>
      <c r="E2010" s="2898"/>
      <c r="F2010" s="2893" t="n">
        <f aca="false">'Смета Внутр'!H2016</f>
        <v>0</v>
      </c>
    </row>
    <row r="2011" customFormat="false" ht="14.5" hidden="false" customHeight="false" outlineLevel="0" collapsed="false">
      <c r="B2011" s="2888" t="str">
        <f aca="false">'Смета Внутр'!B2017</f>
        <v>MR10 78X160</v>
      </c>
      <c r="C2011" s="2889" t="str">
        <f aca="false">'Смета Внутр'!C2017</f>
        <v>шт</v>
      </c>
      <c r="D2011" s="2890" t="n">
        <f aca="false">'Смета Внутр'!D2017</f>
        <v>1</v>
      </c>
      <c r="E2011" s="2888"/>
      <c r="F2011" s="2895" t="n">
        <f aca="false">'Смета Внутр'!H2017</f>
        <v>0</v>
      </c>
    </row>
    <row r="2012" customFormat="false" ht="14.5" hidden="false" customHeight="false" outlineLevel="0" collapsed="false">
      <c r="B2012" s="2888" t="str">
        <f aca="false">'Смета Внутр'!B2018</f>
        <v>MR08 78X140</v>
      </c>
      <c r="C2012" s="2889" t="str">
        <f aca="false">'Смета Внутр'!C2018</f>
        <v>шт</v>
      </c>
      <c r="D2012" s="2890" t="n">
        <f aca="false">'Смета Внутр'!D2018</f>
        <v>2</v>
      </c>
      <c r="E2012" s="2888"/>
      <c r="F2012" s="2895" t="n">
        <f aca="false">'Смета Внутр'!H2018</f>
        <v>0</v>
      </c>
    </row>
    <row r="2013" customFormat="false" ht="14.5" hidden="false" customHeight="false" outlineLevel="0" collapsed="false">
      <c r="B2013" s="2888" t="str">
        <f aca="false">'Смета Внутр'!B2019</f>
        <v>MR10 78X160</v>
      </c>
      <c r="C2013" s="2889" t="str">
        <f aca="false">'Смета Внутр'!C2019</f>
        <v>шт</v>
      </c>
      <c r="D2013" s="2890" t="n">
        <f aca="false">'Смета Внутр'!D2019</f>
        <v>5</v>
      </c>
      <c r="E2013" s="2888"/>
      <c r="F2013" s="2895" t="n">
        <f aca="false">'Смета Внутр'!H2019</f>
        <v>0</v>
      </c>
    </row>
    <row r="2014" customFormat="false" ht="14.5" hidden="false" customHeight="false" outlineLevel="0" collapsed="false">
      <c r="B2014" s="2888" t="str">
        <f aca="false">'Смета Внутр'!B2020</f>
        <v>MR04 78X98</v>
      </c>
      <c r="C2014" s="2889" t="str">
        <f aca="false">'Смета Внутр'!C2020</f>
        <v>шт</v>
      </c>
      <c r="D2014" s="2890" t="n">
        <f aca="false">'Смета Внутр'!D2020</f>
        <v>0</v>
      </c>
      <c r="E2014" s="2888"/>
      <c r="F2014" s="2895" t="n">
        <f aca="false">'Смета Внутр'!H2020</f>
        <v>0</v>
      </c>
    </row>
    <row r="2015" customFormat="false" ht="14.5" hidden="false" customHeight="false" outlineLevel="0" collapsed="false">
      <c r="B2015" s="2896" t="str">
        <f aca="false">'Смета Внутр'!B2021</f>
        <v>Итого работы</v>
      </c>
      <c r="C2015" s="2896"/>
      <c r="D2015" s="2896"/>
      <c r="E2015" s="2896"/>
      <c r="F2015" s="2897" t="n">
        <f aca="false">'Смета Внутр'!G2021</f>
        <v>0</v>
      </c>
    </row>
    <row r="2016" customFormat="false" ht="18.5" hidden="false" customHeight="false" outlineLevel="0" collapsed="false">
      <c r="B2016" s="2899" t="str">
        <f aca="false">'Смета Внутр'!B2022</f>
        <v>Отделка внешняя</v>
      </c>
      <c r="C2016" s="2899"/>
      <c r="D2016" s="2899"/>
      <c r="E2016" s="2899"/>
      <c r="F2016" s="2893" t="n">
        <f aca="false">'Смета Внутр'!H2022</f>
        <v>0</v>
      </c>
    </row>
    <row r="2017" customFormat="false" ht="14.5" hidden="false" customHeight="false" outlineLevel="0" collapsed="false">
      <c r="B2017" s="2894" t="str">
        <f aca="false">'Смета Внутр'!B2023</f>
        <v>Материалы</v>
      </c>
      <c r="C2017" s="2894"/>
      <c r="D2017" s="2894"/>
      <c r="E2017" s="2894"/>
      <c r="F2017" s="2893" t="n">
        <f aca="false">'Смета Внутр'!H2023</f>
        <v>0</v>
      </c>
    </row>
    <row r="2018" customFormat="false" ht="14.5" hidden="false" customHeight="false" outlineLevel="0" collapsed="false">
      <c r="B2018" s="2889" t="str">
        <f aca="false">'Смета Внутр'!B2024</f>
        <v>дом, стены</v>
      </c>
      <c r="C2018" s="2889"/>
      <c r="D2018" s="2889"/>
      <c r="E2018" s="2889"/>
      <c r="F2018" s="2895" t="n">
        <f aca="false">'Смета Внутр'!H2024</f>
        <v>0</v>
      </c>
    </row>
    <row r="2019" customFormat="false" ht="14.5" hidden="false" customHeight="false" outlineLevel="0" collapsed="false">
      <c r="B2019" s="2888" t="str">
        <f aca="false">'Смета Внутр'!B2025</f>
        <v>Г-образный профиль 40*40, 9мм</v>
      </c>
      <c r="C2019" s="2889" t="str">
        <f aca="false">'Смета Внутр'!C2025</f>
        <v>м.п.</v>
      </c>
      <c r="D2019" s="2890" t="n">
        <f aca="false">'Смета Внутр'!D2025</f>
        <v>243.54</v>
      </c>
      <c r="E2019" s="2888"/>
      <c r="F2019" s="2895" t="n">
        <f aca="false">'Смета Внутр'!H2025</f>
        <v>0</v>
      </c>
    </row>
    <row r="2020" customFormat="false" ht="14.5" hidden="false" customHeight="false" outlineLevel="0" collapsed="false">
      <c r="B2020" s="2888" t="str">
        <f aca="false">'Смета Внутр'!B2026</f>
        <v>Фасадный кронштейн КК 90</v>
      </c>
      <c r="C2020" s="2889" t="str">
        <f aca="false">'Смета Внутр'!C2026</f>
        <v>шт</v>
      </c>
      <c r="D2020" s="2890" t="n">
        <f aca="false">'Смета Внутр'!D2026</f>
        <v>584.496</v>
      </c>
      <c r="E2020" s="2888"/>
      <c r="F2020" s="2895" t="n">
        <f aca="false">'Смета Внутр'!H2026</f>
        <v>0</v>
      </c>
    </row>
    <row r="2021" customFormat="false" ht="14.5" hidden="false" customHeight="false" outlineLevel="0" collapsed="false">
      <c r="B2021" s="2888" t="str">
        <f aca="false">'Смета Внутр'!B2027</f>
        <v>Саморезы 3,5 x 45</v>
      </c>
      <c r="C2021" s="2889" t="str">
        <f aca="false">'Смета Внутр'!C2027</f>
        <v>шт</v>
      </c>
      <c r="D2021" s="2890" t="n">
        <f aca="false">'Смета Внутр'!D2027</f>
        <v>1168.992</v>
      </c>
      <c r="E2021" s="2888"/>
      <c r="F2021" s="2895" t="n">
        <f aca="false">'Смета Внутр'!H2027</f>
        <v>0</v>
      </c>
    </row>
    <row r="2022" customFormat="false" ht="14.5" hidden="false" customHeight="false" outlineLevel="0" collapsed="false">
      <c r="B2022" s="2888" t="str">
        <f aca="false">'Смета Внутр'!B2028</f>
        <v>Болты анкерные с гайкой 10,0 х 97</v>
      </c>
      <c r="C2022" s="2889" t="str">
        <f aca="false">'Смета Внутр'!C2028</f>
        <v>шт</v>
      </c>
      <c r="D2022" s="2890" t="n">
        <f aca="false">'Смета Внутр'!D2028</f>
        <v>1168.992</v>
      </c>
      <c r="E2022" s="2888"/>
      <c r="F2022" s="2895" t="n">
        <f aca="false">'Смета Внутр'!H2028</f>
        <v>0</v>
      </c>
    </row>
    <row r="2023" customFormat="false" ht="14.5" hidden="false" customHeight="false" outlineLevel="0" collapsed="false">
      <c r="B2023" s="2888" t="str">
        <f aca="false">'Смета Внутр'!B2029</f>
        <v>0,7НФ/150/75 Аренберг</v>
      </c>
      <c r="C2023" s="2889" t="str">
        <f aca="false">'Смета Внутр'!C2029</f>
        <v>м2</v>
      </c>
      <c r="D2023" s="2890" t="n">
        <f aca="false">'Смета Внутр'!D2029</f>
        <v>95.04</v>
      </c>
      <c r="E2023" s="2888"/>
      <c r="F2023" s="2895" t="n">
        <f aca="false">'Смета Внутр'!H2029</f>
        <v>0</v>
      </c>
    </row>
    <row r="2024" customFormat="false" ht="14.5" hidden="false" customHeight="false" outlineLevel="0" collapsed="false">
      <c r="B2024" s="2888" t="str">
        <f aca="false">'Смета Внутр'!B2030</f>
        <v>Цемент, мешок, 50кг</v>
      </c>
      <c r="C2024" s="2889" t="str">
        <f aca="false">'Смета Внутр'!C2030</f>
        <v>меш</v>
      </c>
      <c r="D2024" s="2890" t="n">
        <f aca="false">'Смета Внутр'!D2030</f>
        <v>532.224</v>
      </c>
      <c r="E2024" s="2888"/>
      <c r="F2024" s="2895" t="n">
        <f aca="false">'Смета Внутр'!H2030</f>
        <v>0</v>
      </c>
    </row>
    <row r="2025" customFormat="false" ht="14.5" hidden="false" customHeight="false" outlineLevel="0" collapsed="false">
      <c r="B2025" s="2888" t="str">
        <f aca="false">'Смета Внутр'!B2031</f>
        <v>Песок, м3</v>
      </c>
      <c r="C2025" s="2889" t="str">
        <f aca="false">'Смета Внутр'!C2031</f>
        <v>м3</v>
      </c>
      <c r="D2025" s="2890" t="n">
        <f aca="false">'Смета Внутр'!D2031</f>
        <v>38.016</v>
      </c>
      <c r="E2025" s="2888"/>
      <c r="F2025" s="2895" t="n">
        <f aca="false">'Смета Внутр'!H2031</f>
        <v>0</v>
      </c>
    </row>
    <row r="2026" customFormat="false" ht="14.5" hidden="false" customHeight="false" outlineLevel="0" collapsed="false">
      <c r="B2026" s="2888" t="str">
        <f aca="false">'Смета Внутр'!B2032</f>
        <v>Кладочная сетка, 100*100/150*150/200*200мм</v>
      </c>
      <c r="C2026" s="2889" t="str">
        <f aca="false">'Смета Внутр'!C2032</f>
        <v>м2</v>
      </c>
      <c r="D2026" s="2890" t="n">
        <f aca="false">'Смета Внутр'!D2032</f>
        <v>19.8</v>
      </c>
      <c r="E2026" s="2888"/>
      <c r="F2026" s="2895" t="n">
        <f aca="false">'Смета Внутр'!H2032</f>
        <v>0</v>
      </c>
    </row>
    <row r="2027" customFormat="false" ht="14.5" hidden="false" customHeight="false" outlineLevel="0" collapsed="false">
      <c r="B2027" s="2888" t="str">
        <f aca="false">'Смета Внутр'!B2033</f>
        <v>сайдинг виниловый</v>
      </c>
      <c r="C2027" s="2889" t="str">
        <f aca="false">'Смета Внутр'!C2033</f>
        <v>м2</v>
      </c>
      <c r="D2027" s="2890" t="n">
        <f aca="false">'Смета Внутр'!D2033</f>
        <v>0</v>
      </c>
      <c r="E2027" s="2888"/>
      <c r="F2027" s="2895" t="n">
        <f aca="false">'Смета Внутр'!H2033</f>
        <v>0</v>
      </c>
    </row>
    <row r="2028" customFormat="false" ht="14.5" hidden="false" customHeight="false" outlineLevel="0" collapsed="false">
      <c r="B2028" s="2888" t="str">
        <f aca="false">'Смета Внутр'!B2034</f>
        <v>доборные элементы для винил сайдинга</v>
      </c>
      <c r="C2028" s="2889" t="str">
        <f aca="false">'Смета Внутр'!C2034</f>
        <v>шт</v>
      </c>
      <c r="D2028" s="2890" t="n">
        <f aca="false">'Смета Внутр'!D2034</f>
        <v>0</v>
      </c>
      <c r="E2028" s="2888"/>
      <c r="F2028" s="2895" t="n">
        <f aca="false">'Смета Внутр'!H2034</f>
        <v>0</v>
      </c>
    </row>
    <row r="2029" customFormat="false" ht="14.5" hidden="false" customHeight="false" outlineLevel="0" collapsed="false">
      <c r="B2029" s="2888" t="str">
        <f aca="false">'Смета Внутр'!B2035</f>
        <v>сайдинг металлический</v>
      </c>
      <c r="C2029" s="2889" t="str">
        <f aca="false">'Смета Внутр'!C2035</f>
        <v>м2</v>
      </c>
      <c r="D2029" s="2890" t="n">
        <f aca="false">'Смета Внутр'!D2035</f>
        <v>0</v>
      </c>
      <c r="E2029" s="2888"/>
      <c r="F2029" s="2895" t="n">
        <f aca="false">'Смета Внутр'!H2035</f>
        <v>0</v>
      </c>
    </row>
    <row r="2030" customFormat="false" ht="14.5" hidden="false" customHeight="false" outlineLevel="0" collapsed="false">
      <c r="B2030" s="2888" t="str">
        <f aca="false">'Смета Внутр'!B2036</f>
        <v>доборные элементы для метал сайдинга</v>
      </c>
      <c r="C2030" s="2889" t="str">
        <f aca="false">'Смета Внутр'!C2036</f>
        <v>шт</v>
      </c>
      <c r="D2030" s="2890" t="n">
        <f aca="false">'Смета Внутр'!D2036</f>
        <v>0</v>
      </c>
      <c r="E2030" s="2888"/>
      <c r="F2030" s="2895" t="n">
        <f aca="false">'Смета Внутр'!H2036</f>
        <v>0</v>
      </c>
    </row>
    <row r="2031" customFormat="false" ht="14.5" hidden="false" customHeight="false" outlineLevel="0" collapsed="false">
      <c r="B2031" s="2888" t="n">
        <f aca="false">'Смета Внутр'!B2037</f>
        <v>0</v>
      </c>
      <c r="C2031" s="2889" t="str">
        <f aca="false">'Смета Внутр'!C2037</f>
        <v>м2</v>
      </c>
      <c r="D2031" s="2890" t="n">
        <f aca="false">'Смета Внутр'!D2037</f>
        <v>0</v>
      </c>
      <c r="E2031" s="2888"/>
      <c r="F2031" s="2895" t="n">
        <f aca="false">'Смета Внутр'!H2037</f>
        <v>0</v>
      </c>
    </row>
    <row r="2032" customFormat="false" ht="14.5" hidden="false" customHeight="false" outlineLevel="0" collapsed="false">
      <c r="B2032" s="2888" t="str">
        <f aca="false">'Смета Внутр'!B2038</f>
        <v>крепления для планкена, змейка</v>
      </c>
      <c r="C2032" s="2889" t="str">
        <f aca="false">'Смета Внутр'!C2038</f>
        <v>шт</v>
      </c>
      <c r="D2032" s="2890" t="n">
        <f aca="false">'Смета Внутр'!D2038</f>
        <v>0</v>
      </c>
      <c r="E2032" s="2888"/>
      <c r="F2032" s="2895" t="n">
        <f aca="false">'Смета Внутр'!H2038</f>
        <v>0</v>
      </c>
    </row>
    <row r="2033" customFormat="false" ht="14.5" hidden="false" customHeight="false" outlineLevel="0" collapsed="false">
      <c r="B2033" s="2888" t="n">
        <f aca="false">'Смета Внутр'!B2039</f>
        <v>0</v>
      </c>
      <c r="C2033" s="2889" t="str">
        <f aca="false">'Смета Внутр'!C2039</f>
        <v>м2</v>
      </c>
      <c r="D2033" s="2890" t="n">
        <f aca="false">'Смета Внутр'!D2039</f>
        <v>0</v>
      </c>
      <c r="E2033" s="2888"/>
      <c r="F2033" s="2895" t="n">
        <f aca="false">'Смета Внутр'!H2039</f>
        <v>0</v>
      </c>
    </row>
    <row r="2034" customFormat="false" ht="14.5" hidden="false" customHeight="false" outlineLevel="0" collapsed="false">
      <c r="B2034" s="2888" t="n">
        <f aca="false">'Смета Внутр'!B2040</f>
        <v>0</v>
      </c>
      <c r="C2034" s="2889" t="str">
        <f aca="false">'Смета Внутр'!C2040</f>
        <v>м2</v>
      </c>
      <c r="D2034" s="2890" t="n">
        <f aca="false">'Смета Внутр'!D2040</f>
        <v>0</v>
      </c>
      <c r="E2034" s="2888"/>
      <c r="F2034" s="2895" t="n">
        <f aca="false">'Смета Внутр'!H2040</f>
        <v>0</v>
      </c>
    </row>
    <row r="2035" customFormat="false" ht="14.5" hidden="false" customHeight="false" outlineLevel="0" collapsed="false">
      <c r="B2035" s="2888" t="str">
        <f aca="false">'Смета Внутр'!B2041</f>
        <v>клей для камня</v>
      </c>
      <c r="C2035" s="2889" t="str">
        <f aca="false">'Смета Внутр'!C2041</f>
        <v>меш</v>
      </c>
      <c r="D2035" s="2890" t="n">
        <f aca="false">'Смета Внутр'!D2041</f>
        <v>0</v>
      </c>
      <c r="E2035" s="2888"/>
      <c r="F2035" s="2895" t="n">
        <f aca="false">'Смета Внутр'!H2041</f>
        <v>0</v>
      </c>
    </row>
    <row r="2036" customFormat="false" ht="14.5" hidden="false" customHeight="false" outlineLevel="0" collapsed="false">
      <c r="B2036" s="2888" t="str">
        <f aca="false">'Смета Внутр'!B2042</f>
        <v>Грунт  1</v>
      </c>
      <c r="C2036" s="2889" t="str">
        <f aca="false">'Смета Внутр'!C2042</f>
        <v>л</v>
      </c>
      <c r="D2036" s="2890" t="n">
        <f aca="false">'Смета Внутр'!D2042</f>
        <v>95.04</v>
      </c>
      <c r="E2036" s="2888"/>
      <c r="F2036" s="2895" t="n">
        <f aca="false">'Смета Внутр'!H2042</f>
        <v>0</v>
      </c>
    </row>
    <row r="2037" customFormat="false" ht="14.5" hidden="false" customHeight="false" outlineLevel="0" collapsed="false">
      <c r="B2037" s="2888" t="str">
        <f aca="false">'Смета Внутр'!B2043</f>
        <v>"Тонерол" Антисептик  бесцветный  1л</v>
      </c>
      <c r="C2037" s="2889" t="str">
        <f aca="false">'Смета Внутр'!C2043</f>
        <v>л</v>
      </c>
      <c r="D2037" s="2890" t="n">
        <f aca="false">'Смета Внутр'!D2043</f>
        <v>0</v>
      </c>
      <c r="E2037" s="2888"/>
      <c r="F2037" s="2895" t="n">
        <f aca="false">'Смета Внутр'!H2043</f>
        <v>0</v>
      </c>
    </row>
    <row r="2038" customFormat="false" ht="14.5" hidden="false" customHeight="false" outlineLevel="0" collapsed="false">
      <c r="B2038" s="2888" t="str">
        <f aca="false">'Смета Внутр'!B2044</f>
        <v>Лак для поверхностей 1</v>
      </c>
      <c r="C2038" s="2889" t="str">
        <f aca="false">'Смета Внутр'!C2044</f>
        <v>л</v>
      </c>
      <c r="D2038" s="2890" t="n">
        <f aca="false">'Смета Внутр'!D2044</f>
        <v>0</v>
      </c>
      <c r="E2038" s="2888"/>
      <c r="F2038" s="2895" t="n">
        <f aca="false">'Смета Внутр'!H2044</f>
        <v>0</v>
      </c>
    </row>
    <row r="2039" customFormat="false" ht="14.5" hidden="false" customHeight="false" outlineLevel="0" collapsed="false">
      <c r="B2039" s="2888" t="str">
        <f aca="false">'Смета Внутр'!B2045</f>
        <v>Плитный,28кг/м3, технониколь, 100мм</v>
      </c>
      <c r="C2039" s="2889" t="str">
        <f aca="false">'Смета Внутр'!C2045</f>
        <v>м3</v>
      </c>
      <c r="D2039" s="2890" t="n">
        <f aca="false">'Смета Внутр'!D2045</f>
        <v>11.88</v>
      </c>
      <c r="E2039" s="2888"/>
      <c r="F2039" s="2895" t="n">
        <f aca="false">'Смета Внутр'!H2045</f>
        <v>0</v>
      </c>
    </row>
    <row r="2040" customFormat="false" ht="14.5" hidden="false" customHeight="false" outlineLevel="0" collapsed="false">
      <c r="B2040" s="2888" t="n">
        <f aca="false">'Смета Внутр'!B2046</f>
        <v>0</v>
      </c>
      <c r="C2040" s="2889" t="str">
        <f aca="false">'Смета Внутр'!C2046</f>
        <v>меш</v>
      </c>
      <c r="D2040" s="2890" t="n">
        <f aca="false">'Смета Внутр'!D2046</f>
        <v>0</v>
      </c>
      <c r="E2040" s="2888"/>
      <c r="F2040" s="2895" t="n">
        <f aca="false">'Смета Внутр'!H2046</f>
        <v>0</v>
      </c>
    </row>
    <row r="2041" customFormat="false" ht="14.5" hidden="false" customHeight="false" outlineLevel="0" collapsed="false">
      <c r="B2041" s="2888" t="str">
        <f aca="false">'Смета Внутр'!B2047</f>
        <v>Сетка штукатурная ПВС 40 Оцинкованная рулон</v>
      </c>
      <c r="C2041" s="2889" t="str">
        <f aca="false">'Смета Внутр'!C2047</f>
        <v>м2</v>
      </c>
      <c r="D2041" s="2890" t="n">
        <f aca="false">'Смета Внутр'!D2047</f>
        <v>0</v>
      </c>
      <c r="E2041" s="2888"/>
      <c r="F2041" s="2895" t="n">
        <f aca="false">'Смета Внутр'!H2047</f>
        <v>0</v>
      </c>
    </row>
    <row r="2042" customFormat="false" ht="14.5" hidden="false" customHeight="false" outlineLevel="0" collapsed="false">
      <c r="B2042" s="2888" t="str">
        <f aca="false">'Смета Внутр'!B2048</f>
        <v>Штукатурка для наружних работ</v>
      </c>
      <c r="C2042" s="2889" t="str">
        <f aca="false">'Смета Внутр'!C2048</f>
        <v>м2</v>
      </c>
      <c r="D2042" s="2890" t="n">
        <f aca="false">'Смета Внутр'!D2048</f>
        <v>0</v>
      </c>
      <c r="E2042" s="2888"/>
      <c r="F2042" s="2895" t="n">
        <f aca="false">'Смета Внутр'!H2048</f>
        <v>0</v>
      </c>
    </row>
    <row r="2043" customFormat="false" ht="14.5" hidden="false" customHeight="false" outlineLevel="0" collapsed="false">
      <c r="B2043" s="2889" t="str">
        <f aca="false">'Смета Внутр'!B2049</f>
        <v>цоколь</v>
      </c>
      <c r="C2043" s="2889"/>
      <c r="D2043" s="2889"/>
      <c r="E2043" s="2889"/>
      <c r="F2043" s="2895" t="n">
        <f aca="false">'Смета Внутр'!H2049</f>
        <v>0</v>
      </c>
    </row>
    <row r="2044" customFormat="false" ht="14.5" hidden="false" customHeight="false" outlineLevel="0" collapsed="false">
      <c r="B2044" s="2888" t="str">
        <f aca="false">'Смета Внутр'!B2050</f>
        <v>отлив металлический</v>
      </c>
      <c r="C2044" s="2889" t="str">
        <f aca="false">'Смета Внутр'!C2050</f>
        <v>м.п.</v>
      </c>
      <c r="D2044" s="2890" t="n">
        <f aca="false">'Смета Внутр'!D2050</f>
        <v>56</v>
      </c>
      <c r="E2044" s="2888"/>
      <c r="F2044" s="2895" t="n">
        <f aca="false">'Смета Внутр'!H2050</f>
        <v>0</v>
      </c>
    </row>
    <row r="2045" customFormat="false" ht="14.5" hidden="false" customHeight="false" outlineLevel="0" collapsed="false">
      <c r="B2045" s="2888" t="str">
        <f aca="false">'Смета Внутр'!B2051</f>
        <v>сайдинг металлический</v>
      </c>
      <c r="C2045" s="2889" t="str">
        <f aca="false">'Смета Внутр'!C2051</f>
        <v>м2</v>
      </c>
      <c r="D2045" s="2890" t="n">
        <f aca="false">'Смета Внутр'!D2051</f>
        <v>0</v>
      </c>
      <c r="E2045" s="2888"/>
      <c r="F2045" s="2895" t="n">
        <f aca="false">'Смета Внутр'!H2051</f>
        <v>0</v>
      </c>
    </row>
    <row r="2046" customFormat="false" ht="14.5" hidden="false" customHeight="false" outlineLevel="0" collapsed="false">
      <c r="B2046" s="2888" t="str">
        <f aca="false">'Смета Внутр'!B2052</f>
        <v>камень природный</v>
      </c>
      <c r="C2046" s="2889" t="str">
        <f aca="false">'Смета Внутр'!C2052</f>
        <v>м2</v>
      </c>
      <c r="D2046" s="2890" t="n">
        <f aca="false">'Смета Внутр'!D2052</f>
        <v>22.4</v>
      </c>
      <c r="E2046" s="2888"/>
      <c r="F2046" s="2895" t="n">
        <f aca="false">'Смета Внутр'!H2052</f>
        <v>0</v>
      </c>
    </row>
    <row r="2047" customFormat="false" ht="14.5" hidden="false" customHeight="false" outlineLevel="0" collapsed="false">
      <c r="B2047" s="2888" t="str">
        <f aca="false">'Смета Внутр'!B2053</f>
        <v>камень искуственный</v>
      </c>
      <c r="C2047" s="2889" t="str">
        <f aca="false">'Смета Внутр'!C2053</f>
        <v>м2</v>
      </c>
      <c r="D2047" s="2890" t="n">
        <f aca="false">'Смета Внутр'!D2053</f>
        <v>0</v>
      </c>
      <c r="E2047" s="2888"/>
      <c r="F2047" s="2895" t="n">
        <f aca="false">'Смета Внутр'!H2053</f>
        <v>0</v>
      </c>
    </row>
    <row r="2048" customFormat="false" ht="14.5" hidden="false" customHeight="false" outlineLevel="0" collapsed="false">
      <c r="B2048" s="2888" t="str">
        <f aca="false">'Смета Внутр'!B2054</f>
        <v>клей для камня</v>
      </c>
      <c r="C2048" s="2889" t="str">
        <f aca="false">'Смета Внутр'!C2054</f>
        <v>меш</v>
      </c>
      <c r="D2048" s="2890" t="n">
        <f aca="false">'Смета Внутр'!D2054</f>
        <v>7.46666666666667</v>
      </c>
      <c r="E2048" s="2888"/>
      <c r="F2048" s="2895" t="n">
        <f aca="false">'Смета Внутр'!H2054</f>
        <v>0</v>
      </c>
    </row>
    <row r="2049" customFormat="false" ht="14.5" hidden="false" customHeight="false" outlineLevel="0" collapsed="false">
      <c r="B2049" s="2888" t="str">
        <f aca="false">'Смета Внутр'!B2055</f>
        <v>Грунт  1</v>
      </c>
      <c r="C2049" s="2889" t="str">
        <f aca="false">'Смета Внутр'!C2055</f>
        <v>л</v>
      </c>
      <c r="D2049" s="2890" t="n">
        <f aca="false">'Смета Внутр'!D2055</f>
        <v>0</v>
      </c>
      <c r="E2049" s="2888"/>
      <c r="F2049" s="2895" t="n">
        <f aca="false">'Смета Внутр'!H2055</f>
        <v>0</v>
      </c>
    </row>
    <row r="2050" customFormat="false" ht="14.5" hidden="false" customHeight="false" outlineLevel="0" collapsed="false">
      <c r="B2050" s="2888" t="str">
        <f aca="false">'Смета Внутр'!B2056</f>
        <v>нет</v>
      </c>
      <c r="C2050" s="2889" t="str">
        <f aca="false">'Смета Внутр'!C2056</f>
        <v>м.п.</v>
      </c>
      <c r="D2050" s="2890" t="n">
        <f aca="false">'Смета Внутр'!D2056</f>
        <v>45.28</v>
      </c>
      <c r="E2050" s="2888"/>
      <c r="F2050" s="2895" t="n">
        <f aca="false">'Смета Внутр'!H2056</f>
        <v>0</v>
      </c>
    </row>
    <row r="2051" customFormat="false" ht="14.5" hidden="false" customHeight="false" outlineLevel="0" collapsed="false">
      <c r="B2051" s="2888" t="str">
        <f aca="false">'Смета Внутр'!B2057</f>
        <v>Фасадный кронштейн КК 120</v>
      </c>
      <c r="C2051" s="2889" t="str">
        <f aca="false">'Смета Внутр'!C2057</f>
        <v>шт</v>
      </c>
      <c r="D2051" s="2890" t="n">
        <f aca="false">'Смета Внутр'!D2057</f>
        <v>168</v>
      </c>
      <c r="E2051" s="2888"/>
      <c r="F2051" s="2895" t="n">
        <f aca="false">'Смета Внутр'!H2057</f>
        <v>0</v>
      </c>
    </row>
    <row r="2052" customFormat="false" ht="14.5" hidden="false" customHeight="false" outlineLevel="0" collapsed="false">
      <c r="B2052" s="2888" t="str">
        <f aca="false">'Смета Внутр'!B2058</f>
        <v>Болты анкерные с гайкой 10,0 х 97</v>
      </c>
      <c r="C2052" s="2889" t="str">
        <f aca="false">'Смета Внутр'!C2058</f>
        <v>шт</v>
      </c>
      <c r="D2052" s="2890" t="n">
        <f aca="false">'Смета Внутр'!D2058</f>
        <v>336</v>
      </c>
      <c r="E2052" s="2888"/>
      <c r="F2052" s="2895" t="n">
        <f aca="false">'Смета Внутр'!H2058</f>
        <v>0</v>
      </c>
    </row>
    <row r="2053" customFormat="false" ht="14.5" hidden="false" customHeight="false" outlineLevel="0" collapsed="false">
      <c r="B2053" s="2888" t="str">
        <f aca="false">'Смета Внутр'!B2059</f>
        <v>Саморезы 3,5 x 45</v>
      </c>
      <c r="C2053" s="2889" t="str">
        <f aca="false">'Смета Внутр'!C2059</f>
        <v>шт</v>
      </c>
      <c r="D2053" s="2890" t="n">
        <f aca="false">'Смета Внутр'!D2059</f>
        <v>336</v>
      </c>
      <c r="E2053" s="2888"/>
      <c r="F2053" s="2895" t="n">
        <f aca="false">'Смета Внутр'!H2059</f>
        <v>0</v>
      </c>
    </row>
    <row r="2054" customFormat="false" ht="14.5" hidden="false" customHeight="false" outlineLevel="0" collapsed="false">
      <c r="B2054" s="2888" t="str">
        <f aca="false">'Смета Внутр'!B2060</f>
        <v>Плоский шифер 8 мм</v>
      </c>
      <c r="C2054" s="2889" t="str">
        <f aca="false">'Смета Внутр'!C2060</f>
        <v>м2</v>
      </c>
      <c r="D2054" s="2890" t="n">
        <f aca="false">'Смета Внутр'!D2060</f>
        <v>0</v>
      </c>
      <c r="E2054" s="2888"/>
      <c r="F2054" s="2895" t="n">
        <f aca="false">'Смета Внутр'!H2060</f>
        <v>0</v>
      </c>
    </row>
    <row r="2055" customFormat="false" ht="14.5" hidden="false" customHeight="false" outlineLevel="0" collapsed="false">
      <c r="B2055" s="2889" t="str">
        <f aca="false">'Смета Внутр'!B2061</f>
        <v>кровля, подшивка свесов</v>
      </c>
      <c r="C2055" s="2889"/>
      <c r="D2055" s="2889"/>
      <c r="E2055" s="2889"/>
      <c r="F2055" s="2895" t="n">
        <f aca="false">'Смета Внутр'!H2061</f>
        <v>0</v>
      </c>
    </row>
    <row r="2056" customFormat="false" ht="14.5" hidden="false" customHeight="false" outlineLevel="0" collapsed="false">
      <c r="B2056" s="2888" t="str">
        <f aca="false">'Смета Внутр'!B2062</f>
        <v>планкен</v>
      </c>
      <c r="C2056" s="2889" t="str">
        <f aca="false">'Смета Внутр'!C2062</f>
        <v>м2</v>
      </c>
      <c r="D2056" s="2890" t="n">
        <f aca="false">'Смета Внутр'!D2062</f>
        <v>0</v>
      </c>
      <c r="E2056" s="2888"/>
      <c r="F2056" s="2895" t="n">
        <f aca="false">'Смета Внутр'!H2062</f>
        <v>0</v>
      </c>
    </row>
    <row r="2057" customFormat="false" ht="14.5" hidden="false" customHeight="false" outlineLevel="0" collapsed="false">
      <c r="B2057" s="2888" t="str">
        <f aca="false">'Смета Внутр'!B2063</f>
        <v>Доска сухая, калибр., 35*45мм</v>
      </c>
      <c r="C2057" s="2889" t="str">
        <f aca="false">'Смета Внутр'!C2063</f>
        <v>м.п.</v>
      </c>
      <c r="D2057" s="2890" t="n">
        <f aca="false">'Смета Внутр'!D2063</f>
        <v>112</v>
      </c>
      <c r="E2057" s="2888"/>
      <c r="F2057" s="2895" t="n">
        <f aca="false">'Смета Внутр'!H2063</f>
        <v>0</v>
      </c>
    </row>
    <row r="2058" customFormat="false" ht="14.5" hidden="false" customHeight="false" outlineLevel="0" collapsed="false">
      <c r="B2058" s="2888" t="str">
        <f aca="false">'Смета Внутр'!B2064</f>
        <v>сайдинг</v>
      </c>
      <c r="C2058" s="2889" t="str">
        <f aca="false">'Смета Внутр'!C2064</f>
        <v>м2</v>
      </c>
      <c r="D2058" s="2890" t="n">
        <f aca="false">'Смета Внутр'!D2064</f>
        <v>0</v>
      </c>
      <c r="E2058" s="2888"/>
      <c r="F2058" s="2895" t="n">
        <f aca="false">'Смета Внутр'!H2064</f>
        <v>0</v>
      </c>
    </row>
    <row r="2059" customFormat="false" ht="14.5" hidden="false" customHeight="false" outlineLevel="0" collapsed="false">
      <c r="B2059" s="2888" t="str">
        <f aca="false">'Смета Внутр'!B2065</f>
        <v>торцевая планка винил</v>
      </c>
      <c r="C2059" s="2889" t="str">
        <f aca="false">'Смета Внутр'!C2065</f>
        <v>м.п.</v>
      </c>
      <c r="D2059" s="2890" t="n">
        <f aca="false">'Смета Внутр'!D2065</f>
        <v>0</v>
      </c>
      <c r="E2059" s="2888"/>
      <c r="F2059" s="2895" t="n">
        <f aca="false">'Смета Внутр'!H2065</f>
        <v>0</v>
      </c>
    </row>
    <row r="2060" customFormat="false" ht="14.5" hidden="false" customHeight="false" outlineLevel="0" collapsed="false">
      <c r="B2060" s="2888" t="str">
        <f aca="false">'Смета Внутр'!B2066</f>
        <v>стартовый профиль для сайдинга</v>
      </c>
      <c r="C2060" s="2889" t="str">
        <f aca="false">'Смета Внутр'!C2066</f>
        <v>м.п.</v>
      </c>
      <c r="D2060" s="2890" t="n">
        <f aca="false">'Смета Внутр'!D2066</f>
        <v>0</v>
      </c>
      <c r="E2060" s="2888"/>
      <c r="F2060" s="2895" t="n">
        <f aca="false">'Смета Внутр'!H2066</f>
        <v>0</v>
      </c>
    </row>
    <row r="2061" customFormat="false" ht="14.5" hidden="false" customHeight="false" outlineLevel="0" collapsed="false">
      <c r="B2061" s="2888" t="str">
        <f aca="false">'Смета Внутр'!B2067</f>
        <v>Саморезы 3,5 x 45</v>
      </c>
      <c r="C2061" s="2889" t="str">
        <f aca="false">'Смета Внутр'!C2067</f>
        <v>шт</v>
      </c>
      <c r="D2061" s="2890" t="n">
        <f aca="false">'Смета Внутр'!D2067</f>
        <v>336</v>
      </c>
      <c r="E2061" s="2888"/>
      <c r="F2061" s="2895" t="n">
        <f aca="false">'Смета Внутр'!H2067</f>
        <v>0</v>
      </c>
    </row>
    <row r="2062" customFormat="false" ht="14.5" hidden="false" customHeight="false" outlineLevel="0" collapsed="false">
      <c r="B2062" s="2888" t="str">
        <f aca="false">'Смета Внутр'!B2068</f>
        <v>Саморезы 4,2 х 75</v>
      </c>
      <c r="C2062" s="2889" t="str">
        <f aca="false">'Смета Внутр'!C2068</f>
        <v>шт</v>
      </c>
      <c r="D2062" s="2890" t="n">
        <f aca="false">'Смета Внутр'!D2068</f>
        <v>0</v>
      </c>
      <c r="E2062" s="2888"/>
      <c r="F2062" s="2895" t="n">
        <f aca="false">'Смета Внутр'!H2068</f>
        <v>0</v>
      </c>
    </row>
    <row r="2063" customFormat="false" ht="14.5" hidden="false" customHeight="false" outlineLevel="0" collapsed="false">
      <c r="B2063" s="2896" t="str">
        <f aca="false">'Смета Внутр'!B2069</f>
        <v>Итого материалы</v>
      </c>
      <c r="C2063" s="2896"/>
      <c r="D2063" s="2896"/>
      <c r="E2063" s="2896"/>
      <c r="F2063" s="2897" t="n">
        <f aca="false">'Смета Внутр'!G2069</f>
        <v>0</v>
      </c>
    </row>
    <row r="2064" customFormat="false" ht="14.5" hidden="false" customHeight="false" outlineLevel="0" collapsed="false">
      <c r="B2064" s="2898" t="str">
        <f aca="false">'Смета Внутр'!B2070</f>
        <v>Работы</v>
      </c>
      <c r="C2064" s="2898"/>
      <c r="D2064" s="2898"/>
      <c r="E2064" s="2898"/>
      <c r="F2064" s="2893" t="n">
        <f aca="false">'Смета Внутр'!H2070</f>
        <v>0</v>
      </c>
    </row>
    <row r="2065" customFormat="false" ht="14.5" hidden="false" customHeight="false" outlineLevel="0" collapsed="false">
      <c r="B2065" s="2889" t="str">
        <f aca="false">'Смета Внутр'!B2071</f>
        <v>стены</v>
      </c>
      <c r="C2065" s="2889"/>
      <c r="D2065" s="2889"/>
      <c r="E2065" s="2889"/>
      <c r="F2065" s="2895" t="n">
        <f aca="false">'Смета Внутр'!H2071</f>
        <v>0</v>
      </c>
    </row>
    <row r="2066" customFormat="false" ht="14.5" hidden="false" customHeight="false" outlineLevel="0" collapsed="false">
      <c r="B2066" s="2888" t="str">
        <f aca="false">'Смета Внутр'!B2072</f>
        <v>кладка кирпича облицов</v>
      </c>
      <c r="C2066" s="2889" t="str">
        <f aca="false">'Смета Внутр'!C2072</f>
        <v>м2</v>
      </c>
      <c r="D2066" s="2890" t="n">
        <f aca="false">'Смета Внутр'!D2072</f>
        <v>118.8</v>
      </c>
      <c r="E2066" s="2888"/>
      <c r="F2066" s="2895" t="n">
        <f aca="false">'Смета Внутр'!H2072</f>
        <v>0</v>
      </c>
    </row>
    <row r="2067" customFormat="false" ht="14.5" hidden="false" customHeight="false" outlineLevel="0" collapsed="false">
      <c r="B2067" s="2888" t="str">
        <f aca="false">'Смета Внутр'!B2073</f>
        <v>монтаж подсистемы</v>
      </c>
      <c r="C2067" s="2889" t="str">
        <f aca="false">'Смета Внутр'!C2073</f>
        <v>м2</v>
      </c>
      <c r="D2067" s="2890" t="n">
        <f aca="false">'Смета Внутр'!D2073</f>
        <v>118.8</v>
      </c>
      <c r="E2067" s="2888"/>
      <c r="F2067" s="2895" t="n">
        <f aca="false">'Смета Внутр'!H2073</f>
        <v>0</v>
      </c>
    </row>
    <row r="2068" customFormat="false" ht="14.5" hidden="false" customHeight="false" outlineLevel="0" collapsed="false">
      <c r="B2068" s="2888" t="str">
        <f aca="false">'Смета Внутр'!B2074</f>
        <v>сайдинг виниловый</v>
      </c>
      <c r="C2068" s="2889" t="str">
        <f aca="false">'Смета Внутр'!C2074</f>
        <v>м2</v>
      </c>
      <c r="D2068" s="2890" t="n">
        <f aca="false">'Смета Внутр'!D2074</f>
        <v>0</v>
      </c>
      <c r="E2068" s="2888"/>
      <c r="F2068" s="2895" t="n">
        <f aca="false">'Смета Внутр'!H2074</f>
        <v>0</v>
      </c>
    </row>
    <row r="2069" customFormat="false" ht="14.5" hidden="false" customHeight="false" outlineLevel="0" collapsed="false">
      <c r="B2069" s="2888" t="str">
        <f aca="false">'Смета Внутр'!B2075</f>
        <v>сайдинг металл</v>
      </c>
      <c r="C2069" s="2889" t="str">
        <f aca="false">'Смета Внутр'!C2075</f>
        <v>м2</v>
      </c>
      <c r="D2069" s="2890" t="n">
        <f aca="false">'Смета Внутр'!D2075</f>
        <v>0</v>
      </c>
      <c r="E2069" s="2888"/>
      <c r="F2069" s="2895" t="n">
        <f aca="false">'Смета Внутр'!H2075</f>
        <v>0</v>
      </c>
    </row>
    <row r="2070" customFormat="false" ht="14.5" hidden="false" customHeight="false" outlineLevel="0" collapsed="false">
      <c r="B2070" s="2888" t="str">
        <f aca="false">'Смета Внутр'!B2076</f>
        <v>планкен</v>
      </c>
      <c r="C2070" s="2889" t="str">
        <f aca="false">'Смета Внутр'!C2076</f>
        <v>м2</v>
      </c>
      <c r="D2070" s="2890" t="n">
        <f aca="false">'Смета Внутр'!D2076</f>
        <v>0</v>
      </c>
      <c r="E2070" s="2888"/>
      <c r="F2070" s="2895" t="n">
        <f aca="false">'Смета Внутр'!H2076</f>
        <v>0</v>
      </c>
    </row>
    <row r="2071" customFormat="false" ht="14.5" hidden="false" customHeight="false" outlineLevel="0" collapsed="false">
      <c r="B2071" s="2888" t="str">
        <f aca="false">'Смета Внутр'!B2077</f>
        <v>камень</v>
      </c>
      <c r="C2071" s="2889" t="str">
        <f aca="false">'Смета Внутр'!C2077</f>
        <v>м2</v>
      </c>
      <c r="D2071" s="2890" t="n">
        <f aca="false">'Смета Внутр'!D2077</f>
        <v>0</v>
      </c>
      <c r="E2071" s="2888"/>
      <c r="F2071" s="2895" t="n">
        <f aca="false">'Смета Внутр'!H2077</f>
        <v>0</v>
      </c>
    </row>
    <row r="2072" customFormat="false" ht="14.5" hidden="false" customHeight="false" outlineLevel="0" collapsed="false">
      <c r="B2072" s="2888" t="str">
        <f aca="false">'Смета Внутр'!B2078</f>
        <v>окрашивание поверхности</v>
      </c>
      <c r="C2072" s="2889" t="str">
        <f aca="false">'Смета Внутр'!C2078</f>
        <v>м2</v>
      </c>
      <c r="D2072" s="2890" t="n">
        <f aca="false">'Смета Внутр'!D2078</f>
        <v>0</v>
      </c>
      <c r="E2072" s="2888"/>
      <c r="F2072" s="2895" t="n">
        <f aca="false">'Смета Внутр'!H2078</f>
        <v>0</v>
      </c>
    </row>
    <row r="2073" customFormat="false" ht="14.5" hidden="false" customHeight="false" outlineLevel="0" collapsed="false">
      <c r="B2073" s="2888" t="str">
        <f aca="false">'Смета Внутр'!B2079</f>
        <v>лакирование пов-ти</v>
      </c>
      <c r="C2073" s="2889" t="str">
        <f aca="false">'Смета Внутр'!C2079</f>
        <v>м2</v>
      </c>
      <c r="D2073" s="2890" t="n">
        <f aca="false">'Смета Внутр'!D2079</f>
        <v>0</v>
      </c>
      <c r="E2073" s="2888"/>
      <c r="F2073" s="2895" t="n">
        <f aca="false">'Смета Внутр'!H2079</f>
        <v>0</v>
      </c>
    </row>
    <row r="2074" customFormat="false" ht="14.5" hidden="false" customHeight="false" outlineLevel="0" collapsed="false">
      <c r="B2074" s="2888" t="str">
        <f aca="false">'Смета Внутр'!B2080</f>
        <v>монтаж плоский шифер</v>
      </c>
      <c r="C2074" s="2889" t="str">
        <f aca="false">'Смета Внутр'!C2080</f>
        <v>м2</v>
      </c>
      <c r="D2074" s="2890" t="n">
        <f aca="false">'Смета Внутр'!D2080</f>
        <v>0</v>
      </c>
      <c r="E2074" s="2888"/>
      <c r="F2074" s="2895" t="n">
        <f aca="false">'Смета Внутр'!H2080</f>
        <v>0</v>
      </c>
    </row>
    <row r="2075" customFormat="false" ht="14.5" hidden="false" customHeight="false" outlineLevel="0" collapsed="false">
      <c r="B2075" s="2888" t="str">
        <f aca="false">'Смета Внутр'!B2081</f>
        <v>имитация бруса</v>
      </c>
      <c r="C2075" s="2889" t="str">
        <f aca="false">'Смета Внутр'!C2081</f>
        <v>м2</v>
      </c>
      <c r="D2075" s="2890" t="n">
        <f aca="false">'Смета Внутр'!D2081</f>
        <v>0</v>
      </c>
      <c r="E2075" s="2888"/>
      <c r="F2075" s="2895" t="n">
        <f aca="false">'Смета Внутр'!H2081</f>
        <v>0</v>
      </c>
    </row>
    <row r="2076" customFormat="false" ht="14.5" hidden="false" customHeight="false" outlineLevel="0" collapsed="false">
      <c r="B2076" s="2888" t="str">
        <f aca="false">'Смета Внутр'!B2082</f>
        <v>Утепление наружних стен</v>
      </c>
      <c r="C2076" s="2889" t="str">
        <f aca="false">'Смета Внутр'!C2082</f>
        <v>м2</v>
      </c>
      <c r="D2076" s="2890" t="n">
        <f aca="false">'Смета Внутр'!D2082</f>
        <v>118.8</v>
      </c>
      <c r="E2076" s="2888"/>
      <c r="F2076" s="2895" t="n">
        <f aca="false">'Смета Внутр'!H2082</f>
        <v>0</v>
      </c>
    </row>
    <row r="2077" customFormat="false" ht="14.5" hidden="false" customHeight="false" outlineLevel="0" collapsed="false">
      <c r="B2077" s="2888" t="str">
        <f aca="false">'Смета Внутр'!B2083</f>
        <v>Оштукатуривание поверхности, подготовка</v>
      </c>
      <c r="C2077" s="2889" t="str">
        <f aca="false">'Смета Внутр'!C2083</f>
        <v>м2</v>
      </c>
      <c r="D2077" s="2890" t="n">
        <f aca="false">'Смета Внутр'!D2083</f>
        <v>0</v>
      </c>
      <c r="E2077" s="2888"/>
      <c r="F2077" s="2895" t="n">
        <f aca="false">'Смета Внутр'!H2083</f>
        <v>0</v>
      </c>
    </row>
    <row r="2078" customFormat="false" ht="14.5" hidden="false" customHeight="false" outlineLevel="0" collapsed="false">
      <c r="B2078" s="2888" t="str">
        <f aca="false">'Смета Внутр'!B2084</f>
        <v>Наклейка сетки</v>
      </c>
      <c r="C2078" s="2889" t="str">
        <f aca="false">'Смета Внутр'!C2084</f>
        <v>м2</v>
      </c>
      <c r="D2078" s="2890" t="n">
        <f aca="false">'Смета Внутр'!D2084</f>
        <v>0</v>
      </c>
      <c r="E2078" s="2888"/>
      <c r="F2078" s="2895" t="n">
        <f aca="false">'Смета Внутр'!H2084</f>
        <v>0</v>
      </c>
    </row>
    <row r="2079" customFormat="false" ht="14.5" hidden="false" customHeight="false" outlineLevel="0" collapsed="false">
      <c r="B2079" s="2888" t="str">
        <f aca="false">'Смета Внутр'!B2085</f>
        <v>Нанесение декоративной штукатурки</v>
      </c>
      <c r="C2079" s="2889" t="str">
        <f aca="false">'Смета Внутр'!C2085</f>
        <v>м2</v>
      </c>
      <c r="D2079" s="2890" t="n">
        <f aca="false">'Смета Внутр'!D2085</f>
        <v>0</v>
      </c>
      <c r="E2079" s="2888"/>
      <c r="F2079" s="2895" t="n">
        <f aca="false">'Смета Внутр'!H2085</f>
        <v>0</v>
      </c>
    </row>
    <row r="2080" customFormat="false" ht="14.5" hidden="false" customHeight="false" outlineLevel="0" collapsed="false">
      <c r="B2080" s="2889" t="str">
        <f aca="false">'Смета Внутр'!B2086</f>
        <v>цоколь</v>
      </c>
      <c r="C2080" s="2889"/>
      <c r="D2080" s="2889"/>
      <c r="E2080" s="2889"/>
      <c r="F2080" s="2895" t="n">
        <f aca="false">'Смета Внутр'!H2086</f>
        <v>0</v>
      </c>
    </row>
    <row r="2081" customFormat="false" ht="14.5" hidden="false" customHeight="false" outlineLevel="0" collapsed="false">
      <c r="B2081" s="2888" t="str">
        <f aca="false">'Смета Внутр'!B2087</f>
        <v>монтаж подсистемы</v>
      </c>
      <c r="C2081" s="2889" t="str">
        <f aca="false">'Смета Внутр'!C2087</f>
        <v>м2</v>
      </c>
      <c r="D2081" s="2890" t="n">
        <f aca="false">'Смета Внутр'!D2087</f>
        <v>0</v>
      </c>
      <c r="E2081" s="2888"/>
      <c r="F2081" s="2895" t="n">
        <f aca="false">'Смета Внутр'!H2087</f>
        <v>0</v>
      </c>
    </row>
    <row r="2082" customFormat="false" ht="14.5" hidden="false" customHeight="false" outlineLevel="0" collapsed="false">
      <c r="B2082" s="2888" t="str">
        <f aca="false">'Смета Внутр'!B2088</f>
        <v>монтаж отлив</v>
      </c>
      <c r="C2082" s="2889" t="str">
        <f aca="false">'Смета Внутр'!C2088</f>
        <v>м.п.</v>
      </c>
      <c r="D2082" s="2890" t="n">
        <f aca="false">'Смета Внутр'!D2088</f>
        <v>56</v>
      </c>
      <c r="E2082" s="2888"/>
      <c r="F2082" s="2895" t="n">
        <f aca="false">'Смета Внутр'!H2088</f>
        <v>0</v>
      </c>
    </row>
    <row r="2083" customFormat="false" ht="14.5" hidden="false" customHeight="false" outlineLevel="0" collapsed="false">
      <c r="B2083" s="2888" t="str">
        <f aca="false">'Смета Внутр'!B2089</f>
        <v>монтаж плоский шифер</v>
      </c>
      <c r="C2083" s="2889" t="str">
        <f aca="false">'Смета Внутр'!C2089</f>
        <v>м2</v>
      </c>
      <c r="D2083" s="2890" t="n">
        <f aca="false">'Смета Внутр'!D2089</f>
        <v>22.4</v>
      </c>
      <c r="E2083" s="2888"/>
      <c r="F2083" s="2895" t="n">
        <f aca="false">'Смета Внутр'!H2089</f>
        <v>0</v>
      </c>
    </row>
    <row r="2084" customFormat="false" ht="14.5" hidden="false" customHeight="false" outlineLevel="0" collapsed="false">
      <c r="B2084" s="2888" t="str">
        <f aca="false">'Смета Внутр'!B2090</f>
        <v>сайдинг металл сайдинг</v>
      </c>
      <c r="C2084" s="2889" t="str">
        <f aca="false">'Смета Внутр'!C2090</f>
        <v>м2</v>
      </c>
      <c r="D2084" s="2890" t="n">
        <f aca="false">'Смета Внутр'!D2090</f>
        <v>0</v>
      </c>
      <c r="E2084" s="2888"/>
      <c r="F2084" s="2895" t="n">
        <f aca="false">'Смета Внутр'!H2090</f>
        <v>0</v>
      </c>
    </row>
    <row r="2085" customFormat="false" ht="14.5" hidden="false" customHeight="false" outlineLevel="0" collapsed="false">
      <c r="B2085" s="2888" t="str">
        <f aca="false">'Смета Внутр'!B2091</f>
        <v>монтаж камень природ</v>
      </c>
      <c r="C2085" s="2889" t="str">
        <f aca="false">'Смета Внутр'!C2091</f>
        <v>м2</v>
      </c>
      <c r="D2085" s="2890" t="n">
        <f aca="false">'Смета Внутр'!D2091</f>
        <v>22.4</v>
      </c>
      <c r="E2085" s="2888"/>
      <c r="F2085" s="2895" t="n">
        <f aca="false">'Смета Внутр'!H2091</f>
        <v>0</v>
      </c>
    </row>
    <row r="2086" customFormat="false" ht="14.5" hidden="false" customHeight="false" outlineLevel="0" collapsed="false">
      <c r="B2086" s="2888" t="str">
        <f aca="false">'Смета Внутр'!B2092</f>
        <v>монтаж камень искуст-ый</v>
      </c>
      <c r="C2086" s="2889" t="str">
        <f aca="false">'Смета Внутр'!C2092</f>
        <v>м2</v>
      </c>
      <c r="D2086" s="2890" t="n">
        <f aca="false">'Смета Внутр'!D2092</f>
        <v>0</v>
      </c>
      <c r="E2086" s="2888"/>
      <c r="F2086" s="2895" t="n">
        <f aca="false">'Смета Внутр'!H2092</f>
        <v>0</v>
      </c>
    </row>
    <row r="2087" customFormat="false" ht="14.5" hidden="false" customHeight="false" outlineLevel="0" collapsed="false">
      <c r="B2087" s="2889" t="str">
        <f aca="false">'Смета Внутр'!B2093</f>
        <v>карнизы</v>
      </c>
      <c r="C2087" s="2889"/>
      <c r="D2087" s="2889"/>
      <c r="E2087" s="2889"/>
      <c r="F2087" s="2895" t="n">
        <f aca="false">'Смета Внутр'!H2093</f>
        <v>0</v>
      </c>
    </row>
    <row r="2088" customFormat="false" ht="14.5" hidden="false" customHeight="false" outlineLevel="0" collapsed="false">
      <c r="B2088" s="2888" t="str">
        <f aca="false">'Смета Внутр'!B2094</f>
        <v>планкен</v>
      </c>
      <c r="C2088" s="2889" t="str">
        <f aca="false">'Смета Внутр'!C2094</f>
        <v>м2</v>
      </c>
      <c r="D2088" s="2890" t="n">
        <f aca="false">'Смета Внутр'!D2094</f>
        <v>0</v>
      </c>
      <c r="E2088" s="2888"/>
      <c r="F2088" s="2895" t="n">
        <f aca="false">'Смета Внутр'!H2094</f>
        <v>0</v>
      </c>
    </row>
    <row r="2089" customFormat="false" ht="14.5" hidden="false" customHeight="false" outlineLevel="0" collapsed="false">
      <c r="B2089" s="2888" t="str">
        <f aca="false">'Смета Внутр'!B2095</f>
        <v>сайдинг</v>
      </c>
      <c r="C2089" s="2889" t="str">
        <f aca="false">'Смета Внутр'!C2095</f>
        <v>м2</v>
      </c>
      <c r="D2089" s="2890" t="n">
        <f aca="false">'Смета Внутр'!D2095</f>
        <v>0</v>
      </c>
      <c r="E2089" s="2888"/>
      <c r="F2089" s="2895" t="n">
        <f aca="false">'Смета Внутр'!H2095</f>
        <v>0</v>
      </c>
    </row>
    <row r="2090" customFormat="false" ht="14.5" hidden="false" customHeight="false" outlineLevel="0" collapsed="false">
      <c r="B2090" s="2888" t="str">
        <f aca="false">'Смета Внутр'!B2096</f>
        <v>монтаж леса стрительные</v>
      </c>
      <c r="C2090" s="2889" t="str">
        <f aca="false">'Смета Внутр'!C2096</f>
        <v>м2</v>
      </c>
      <c r="D2090" s="2890" t="n">
        <f aca="false">'Смета Внутр'!D2096</f>
        <v>118.8</v>
      </c>
      <c r="E2090" s="2888"/>
      <c r="F2090" s="2895" t="n">
        <f aca="false">'Смета Внутр'!H2096</f>
        <v>0</v>
      </c>
    </row>
    <row r="2091" customFormat="false" ht="14.5" hidden="false" customHeight="false" outlineLevel="0" collapsed="false">
      <c r="B2091" s="2896" t="str">
        <f aca="false">'Смета Внутр'!B2097</f>
        <v>Итого работы</v>
      </c>
      <c r="C2091" s="2896"/>
      <c r="D2091" s="2896"/>
      <c r="E2091" s="2896"/>
      <c r="F2091" s="2897" t="n">
        <f aca="false">'Смета Внутр'!G2097</f>
        <v>0</v>
      </c>
    </row>
    <row r="2092" customFormat="false" ht="18.5" hidden="false" customHeight="false" outlineLevel="0" collapsed="false">
      <c r="B2092" s="2899" t="str">
        <f aca="false">'Смета Внутр'!B2098</f>
        <v>Чистовая отделка</v>
      </c>
      <c r="C2092" s="2899"/>
      <c r="D2092" s="2899"/>
      <c r="E2092" s="2899"/>
      <c r="F2092" s="2901" t="n">
        <f aca="false">'Смета Внутр'!H2098</f>
        <v>0</v>
      </c>
    </row>
    <row r="2093" customFormat="false" ht="14.5" hidden="false" customHeight="false" outlineLevel="0" collapsed="false">
      <c r="B2093" s="2894" t="str">
        <f aca="false">'Смета Внутр'!B2099</f>
        <v>Материалы</v>
      </c>
      <c r="C2093" s="2894"/>
      <c r="D2093" s="2894"/>
      <c r="E2093" s="2894"/>
      <c r="F2093" s="2901" t="n">
        <f aca="false">'Смета Внутр'!H2099</f>
        <v>0</v>
      </c>
    </row>
    <row r="2094" customFormat="false" ht="14.5" hidden="false" customHeight="false" outlineLevel="0" collapsed="false">
      <c r="B2094" s="2889" t="str">
        <f aca="false">'Смета Внутр'!B2100</f>
        <v>Стены</v>
      </c>
      <c r="C2094" s="2889"/>
      <c r="D2094" s="2889"/>
      <c r="E2094" s="2889"/>
      <c r="F2094" s="2902" t="n">
        <f aca="false">'Смета Внутр'!H2100</f>
        <v>0</v>
      </c>
    </row>
    <row r="2095" customFormat="false" ht="14.5" hidden="false" customHeight="false" outlineLevel="0" collapsed="false">
      <c r="B2095" s="2888" t="str">
        <f aca="false">'Смета Внутр'!B2101</f>
        <v>ГКЛ, 12мм</v>
      </c>
      <c r="C2095" s="2889" t="str">
        <f aca="false">'Смета Внутр'!C2101</f>
        <v>м2</v>
      </c>
      <c r="D2095" s="2890" t="n">
        <f aca="false">'Смета Внутр'!D2101</f>
        <v>0</v>
      </c>
      <c r="E2095" s="2888"/>
      <c r="F2095" s="2895" t="n">
        <f aca="false">'Смета Внутр'!H2101</f>
        <v>0</v>
      </c>
    </row>
    <row r="2096" customFormat="false" ht="14.5" hidden="false" customHeight="false" outlineLevel="0" collapsed="false">
      <c r="B2096" s="2888" t="str">
        <f aca="false">'Смета Внутр'!B2102</f>
        <v>профиль 60/27/3000</v>
      </c>
      <c r="C2096" s="2889" t="str">
        <f aca="false">'Смета Внутр'!C2102</f>
        <v>шт</v>
      </c>
      <c r="D2096" s="2890" t="n">
        <f aca="false">'Смета Внутр'!D2102</f>
        <v>0</v>
      </c>
      <c r="E2096" s="2888"/>
      <c r="F2096" s="2895" t="n">
        <f aca="false">'Смета Внутр'!H2102</f>
        <v>0</v>
      </c>
    </row>
    <row r="2097" customFormat="false" ht="14.5" hidden="false" customHeight="false" outlineLevel="0" collapsed="false">
      <c r="B2097" s="2888" t="str">
        <f aca="false">'Смета Внутр'!B2103</f>
        <v>профиль 27/28/3000</v>
      </c>
      <c r="C2097" s="2889" t="str">
        <f aca="false">'Смета Внутр'!C2103</f>
        <v>шт</v>
      </c>
      <c r="D2097" s="2890" t="n">
        <f aca="false">'Смета Внутр'!D2103</f>
        <v>0</v>
      </c>
      <c r="E2097" s="2888"/>
      <c r="F2097" s="2895" t="n">
        <f aca="false">'Смета Внутр'!H2103</f>
        <v>0</v>
      </c>
    </row>
    <row r="2098" customFormat="false" ht="14.5" hidden="false" customHeight="false" outlineLevel="0" collapsed="false">
      <c r="B2098" s="2888" t="str">
        <f aca="false">'Смета Внутр'!B2104</f>
        <v>подвес прямой</v>
      </c>
      <c r="C2098" s="2889" t="str">
        <f aca="false">'Смета Внутр'!C2104</f>
        <v>шт</v>
      </c>
      <c r="D2098" s="2890" t="n">
        <f aca="false">'Смета Внутр'!D2104</f>
        <v>0</v>
      </c>
      <c r="E2098" s="2888"/>
      <c r="F2098" s="2895" t="n">
        <f aca="false">'Смета Внутр'!H2104</f>
        <v>0</v>
      </c>
    </row>
    <row r="2099" customFormat="false" ht="14.5" hidden="false" customHeight="false" outlineLevel="0" collapsed="false">
      <c r="B2099" s="2888" t="str">
        <f aca="false">'Смета Внутр'!B2105</f>
        <v>саморез металл/металл, 13мм</v>
      </c>
      <c r="C2099" s="2889" t="str">
        <f aca="false">'Смета Внутр'!C2105</f>
        <v>шт</v>
      </c>
      <c r="D2099" s="2890" t="n">
        <f aca="false">'Смета Внутр'!D2105</f>
        <v>0</v>
      </c>
      <c r="E2099" s="2888"/>
      <c r="F2099" s="2895" t="n">
        <f aca="false">'Смета Внутр'!H2105</f>
        <v>0</v>
      </c>
    </row>
    <row r="2100" customFormat="false" ht="14.5" hidden="false" customHeight="false" outlineLevel="0" collapsed="false">
      <c r="B2100" s="2888" t="str">
        <f aca="false">'Смета Внутр'!B2106</f>
        <v>саморез гкл/металл, 25мм</v>
      </c>
      <c r="C2100" s="2889" t="str">
        <f aca="false">'Смета Внутр'!C2106</f>
        <v>шт</v>
      </c>
      <c r="D2100" s="2890" t="n">
        <f aca="false">'Смета Внутр'!D2106</f>
        <v>0</v>
      </c>
      <c r="E2100" s="2888"/>
      <c r="F2100" s="2895" t="n">
        <f aca="false">'Смета Внутр'!H2106</f>
        <v>0</v>
      </c>
    </row>
    <row r="2101" customFormat="false" ht="14.5" hidden="false" customHeight="false" outlineLevel="0" collapsed="false">
      <c r="B2101" s="2888" t="str">
        <f aca="false">'Смета Внутр'!B2107</f>
        <v>грунтовка, 10л</v>
      </c>
      <c r="C2101" s="2889" t="str">
        <f aca="false">'Смета Внутр'!C2107</f>
        <v>шт</v>
      </c>
      <c r="D2101" s="2890" t="n">
        <f aca="false">'Смета Внутр'!D2107</f>
        <v>0</v>
      </c>
      <c r="E2101" s="2888"/>
      <c r="F2101" s="2895" t="n">
        <f aca="false">'Смета Внутр'!H2107</f>
        <v>0</v>
      </c>
    </row>
    <row r="2102" customFormat="false" ht="14.5" hidden="false" customHeight="false" outlineLevel="0" collapsed="false">
      <c r="B2102" s="2888" t="str">
        <f aca="false">'Смета Внутр'!B2108</f>
        <v>шпаклевка для швов, 25кг</v>
      </c>
      <c r="C2102" s="2889" t="str">
        <f aca="false">'Смета Внутр'!C2108</f>
        <v>шт</v>
      </c>
      <c r="D2102" s="2890" t="n">
        <f aca="false">'Смета Внутр'!D2108</f>
        <v>0</v>
      </c>
      <c r="E2102" s="2888"/>
      <c r="F2102" s="2895" t="n">
        <f aca="false">'Смета Внутр'!H2108</f>
        <v>0</v>
      </c>
    </row>
    <row r="2103" customFormat="false" ht="14.5" hidden="false" customHeight="false" outlineLevel="0" collapsed="false">
      <c r="B2103" s="2888" t="str">
        <f aca="false">'Смета Внутр'!B2109</f>
        <v>шпаклевка финишная, 25кг</v>
      </c>
      <c r="C2103" s="2889" t="str">
        <f aca="false">'Смета Внутр'!C2109</f>
        <v>шт</v>
      </c>
      <c r="D2103" s="2890" t="n">
        <f aca="false">'Смета Внутр'!D2109</f>
        <v>0</v>
      </c>
      <c r="E2103" s="2888"/>
      <c r="F2103" s="2895" t="n">
        <f aca="false">'Смета Внутр'!H2109</f>
        <v>0</v>
      </c>
    </row>
    <row r="2104" customFormat="false" ht="14.5" hidden="false" customHeight="false" outlineLevel="0" collapsed="false">
      <c r="B2104" s="2888" t="str">
        <f aca="false">'Смета Внутр'!B2110</f>
        <v>серпянка для швов, 50м.п.</v>
      </c>
      <c r="C2104" s="2889" t="str">
        <f aca="false">'Смета Внутр'!C2110</f>
        <v>шт</v>
      </c>
      <c r="D2104" s="2890" t="n">
        <f aca="false">'Смета Внутр'!D2110</f>
        <v>0</v>
      </c>
      <c r="E2104" s="2888"/>
      <c r="F2104" s="2895" t="n">
        <f aca="false">'Смета Внутр'!H2110</f>
        <v>0</v>
      </c>
    </row>
    <row r="2105" customFormat="false" ht="14.5" hidden="false" customHeight="false" outlineLevel="0" collapsed="false">
      <c r="B2105" s="2888" t="str">
        <f aca="false">'Смета Внутр'!B2111</f>
        <v>обои</v>
      </c>
      <c r="C2105" s="2889" t="str">
        <f aca="false">'Смета Внутр'!C2111</f>
        <v>м2</v>
      </c>
      <c r="D2105" s="2890" t="n">
        <f aca="false">'Смета Внутр'!D2111</f>
        <v>0</v>
      </c>
      <c r="E2105" s="2888"/>
      <c r="F2105" s="2895" t="n">
        <f aca="false">'Смета Внутр'!H2111</f>
        <v>0</v>
      </c>
    </row>
    <row r="2106" customFormat="false" ht="14.5" hidden="false" customHeight="false" outlineLevel="0" collapsed="false">
      <c r="B2106" s="2888" t="str">
        <f aca="false">'Смета Внутр'!B2112</f>
        <v>клей обойный</v>
      </c>
      <c r="C2106" s="2889" t="str">
        <f aca="false">'Смета Внутр'!C2112</f>
        <v>шт</v>
      </c>
      <c r="D2106" s="2890" t="n">
        <f aca="false">'Смета Внутр'!D2112</f>
        <v>0</v>
      </c>
      <c r="E2106" s="2888"/>
      <c r="F2106" s="2895" t="n">
        <f aca="false">'Смета Внутр'!H2112</f>
        <v>0</v>
      </c>
    </row>
    <row r="2107" customFormat="false" ht="14.5" hidden="false" customHeight="false" outlineLevel="0" collapsed="false">
      <c r="B2107" s="2888" t="str">
        <f aca="false">'Смета Внутр'!B2113</f>
        <v>краска для стен, 10л</v>
      </c>
      <c r="C2107" s="2889" t="str">
        <f aca="false">'Смета Внутр'!C2113</f>
        <v>шт</v>
      </c>
      <c r="D2107" s="2890" t="n">
        <f aca="false">'Смета Внутр'!D2113</f>
        <v>0</v>
      </c>
      <c r="E2107" s="2888"/>
      <c r="F2107" s="2895" t="n">
        <f aca="false">'Смета Внутр'!H2113</f>
        <v>0</v>
      </c>
    </row>
    <row r="2108" customFormat="false" ht="14.5" hidden="false" customHeight="false" outlineLevel="0" collapsed="false">
      <c r="B2108" s="2888" t="str">
        <f aca="false">'Смета Внутр'!B2114</f>
        <v>имитация бруса</v>
      </c>
      <c r="C2108" s="2889" t="str">
        <f aca="false">'Смета Внутр'!C2114</f>
        <v>м2</v>
      </c>
      <c r="D2108" s="2890" t="n">
        <f aca="false">'Смета Внутр'!D2114</f>
        <v>0</v>
      </c>
      <c r="E2108" s="2888"/>
      <c r="F2108" s="2895" t="n">
        <f aca="false">'Смета Внутр'!H2114</f>
        <v>0</v>
      </c>
    </row>
    <row r="2109" customFormat="false" ht="14.5" hidden="false" customHeight="false" outlineLevel="0" collapsed="false">
      <c r="B2109" s="2888" t="str">
        <f aca="false">'Смета Внутр'!B2115</f>
        <v>блокхаус</v>
      </c>
      <c r="C2109" s="2889" t="str">
        <f aca="false">'Смета Внутр'!C2115</f>
        <v>м2</v>
      </c>
      <c r="D2109" s="2890" t="n">
        <f aca="false">'Смета Внутр'!D2115</f>
        <v>0</v>
      </c>
      <c r="E2109" s="2888"/>
      <c r="F2109" s="2895" t="n">
        <f aca="false">'Смета Внутр'!H2115</f>
        <v>0</v>
      </c>
    </row>
    <row r="2110" customFormat="false" ht="14.5" hidden="false" customHeight="false" outlineLevel="0" collapsed="false">
      <c r="B2110" s="2888" t="str">
        <f aca="false">'Смета Внутр'!B2116</f>
        <v>вагонка</v>
      </c>
      <c r="C2110" s="2889" t="str">
        <f aca="false">'Смета Внутр'!C2116</f>
        <v>м2</v>
      </c>
      <c r="D2110" s="2890" t="n">
        <f aca="false">'Смета Внутр'!D2116</f>
        <v>0</v>
      </c>
      <c r="E2110" s="2888"/>
      <c r="F2110" s="2902" t="n">
        <f aca="false">'Смета Внутр'!H2116</f>
        <v>0</v>
      </c>
    </row>
    <row r="2111" customFormat="false" ht="14.5" hidden="false" customHeight="false" outlineLevel="0" collapsed="false">
      <c r="B2111" s="2888" t="str">
        <f aca="false">'Смета Внутр'!B2117</f>
        <v>подсистема, брусок</v>
      </c>
      <c r="C2111" s="2889" t="str">
        <f aca="false">'Смета Внутр'!C2117</f>
        <v>м.п.</v>
      </c>
      <c r="D2111" s="2890" t="n">
        <f aca="false">'Смета Внутр'!D2117</f>
        <v>0</v>
      </c>
      <c r="E2111" s="2888"/>
      <c r="F2111" s="2895" t="n">
        <f aca="false">'Смета Внутр'!H2117</f>
        <v>0</v>
      </c>
    </row>
    <row r="2112" customFormat="false" ht="14.5" hidden="false" customHeight="false" outlineLevel="0" collapsed="false">
      <c r="B2112" s="2888" t="str">
        <f aca="false">'Смета Внутр'!B2118</f>
        <v>уголок крепежный</v>
      </c>
      <c r="C2112" s="2889" t="str">
        <f aca="false">'Смета Внутр'!C2118</f>
        <v>шт</v>
      </c>
      <c r="D2112" s="2890" t="n">
        <f aca="false">'Смета Внутр'!D2118</f>
        <v>0</v>
      </c>
      <c r="E2112" s="2888"/>
      <c r="F2112" s="2895" t="n">
        <f aca="false">'Смета Внутр'!H2118</f>
        <v>0</v>
      </c>
    </row>
    <row r="2113" customFormat="false" ht="14.5" hidden="false" customHeight="false" outlineLevel="0" collapsed="false">
      <c r="B2113" s="2888" t="str">
        <f aca="false">'Смета Внутр'!B2119</f>
        <v>гвозди/саморезы для крепления подсистемы</v>
      </c>
      <c r="C2113" s="2889" t="str">
        <f aca="false">'Смета Внутр'!C2119</f>
        <v>шт</v>
      </c>
      <c r="D2113" s="2890" t="n">
        <f aca="false">'Смета Внутр'!D2119</f>
        <v>0</v>
      </c>
      <c r="E2113" s="2888"/>
      <c r="F2113" s="2895" t="n">
        <f aca="false">'Смета Внутр'!H2119</f>
        <v>0</v>
      </c>
    </row>
    <row r="2114" customFormat="false" ht="14.5" hidden="false" customHeight="false" outlineLevel="0" collapsed="false">
      <c r="B2114" s="2888" t="str">
        <f aca="false">'Смета Внутр'!B2120</f>
        <v>гвозди/саморезы для крепления</v>
      </c>
      <c r="C2114" s="2889" t="str">
        <f aca="false">'Смета Внутр'!C2120</f>
        <v>шт</v>
      </c>
      <c r="D2114" s="2890" t="n">
        <f aca="false">'Смета Внутр'!D2120</f>
        <v>0</v>
      </c>
      <c r="E2114" s="2888"/>
      <c r="F2114" s="2902" t="n">
        <f aca="false">'Смета Внутр'!H2120</f>
        <v>0</v>
      </c>
    </row>
    <row r="2115" customFormat="false" ht="14.5" hidden="false" customHeight="false" outlineLevel="0" collapsed="false">
      <c r="B2115" s="2888" t="str">
        <f aca="false">'Смета Внутр'!B2121</f>
        <v>Монтаж евровагонка</v>
      </c>
      <c r="C2115" s="2889" t="str">
        <f aca="false">'Смета Внутр'!C2121</f>
        <v>м2</v>
      </c>
      <c r="D2115" s="2890" t="n">
        <f aca="false">'Смета Внутр'!D2121</f>
        <v>0</v>
      </c>
      <c r="E2115" s="2888"/>
      <c r="F2115" s="2895" t="n">
        <f aca="false">'Смета Внутр'!H2121</f>
        <v>0</v>
      </c>
    </row>
    <row r="2116" customFormat="false" ht="14.5" hidden="false" customHeight="false" outlineLevel="0" collapsed="false">
      <c r="B2116" s="2888" t="str">
        <f aca="false">'Смета Внутр'!B2122</f>
        <v>Монтаж вагонка штиль</v>
      </c>
      <c r="C2116" s="2889" t="str">
        <f aca="false">'Смета Внутр'!C2122</f>
        <v>м2</v>
      </c>
      <c r="D2116" s="2890" t="n">
        <f aca="false">'Смета Внутр'!D2122</f>
        <v>0</v>
      </c>
      <c r="E2116" s="2888"/>
      <c r="F2116" s="2895" t="n">
        <f aca="false">'Смета Внутр'!H2122</f>
        <v>0</v>
      </c>
    </row>
    <row r="2117" customFormat="false" ht="14.5" hidden="false" customHeight="false" outlineLevel="0" collapsed="false">
      <c r="B2117" s="2888" t="str">
        <f aca="false">'Смета Внутр'!B2123</f>
        <v>Монтаж софт лайн</v>
      </c>
      <c r="C2117" s="2889" t="str">
        <f aca="false">'Смета Внутр'!C2123</f>
        <v>м2</v>
      </c>
      <c r="D2117" s="2890" t="n">
        <f aca="false">'Смета Внутр'!D2123</f>
        <v>0</v>
      </c>
      <c r="E2117" s="2888"/>
      <c r="F2117" s="2895" t="n">
        <f aca="false">'Смета Внутр'!H2123</f>
        <v>0</v>
      </c>
    </row>
    <row r="2118" customFormat="false" ht="14.5" hidden="false" customHeight="false" outlineLevel="0" collapsed="false">
      <c r="B2118" s="2888" t="str">
        <f aca="false">'Смета Внутр'!B2124</f>
        <v>Монтаж блокхаус</v>
      </c>
      <c r="C2118" s="2889" t="str">
        <f aca="false">'Смета Внутр'!C2124</f>
        <v>м2</v>
      </c>
      <c r="D2118" s="2890" t="n">
        <f aca="false">'Смета Внутр'!D2124</f>
        <v>0</v>
      </c>
      <c r="E2118" s="2888"/>
      <c r="F2118" s="2895" t="n">
        <f aca="false">'Смета Внутр'!H2124</f>
        <v>0</v>
      </c>
    </row>
    <row r="2119" customFormat="false" ht="14.5" hidden="false" customHeight="false" outlineLevel="0" collapsed="false">
      <c r="B2119" s="2889" t="str">
        <f aca="false">'Смета Внутр'!B2125</f>
        <v>Потолок</v>
      </c>
      <c r="C2119" s="2889"/>
      <c r="D2119" s="2889"/>
      <c r="E2119" s="2889"/>
      <c r="F2119" s="2902" t="n">
        <f aca="false">'Смета Внутр'!H2125</f>
        <v>0</v>
      </c>
    </row>
    <row r="2120" customFormat="false" ht="14.5" hidden="false" customHeight="false" outlineLevel="0" collapsed="false">
      <c r="B2120" s="2888" t="str">
        <f aca="false">'Смета Внутр'!B2126</f>
        <v>ГКЛ, 9мм</v>
      </c>
      <c r="C2120" s="2889" t="str">
        <f aca="false">'Смета Внутр'!C2126</f>
        <v>м2</v>
      </c>
      <c r="D2120" s="2890" t="n">
        <f aca="false">'Смета Внутр'!D2126</f>
        <v>0</v>
      </c>
      <c r="E2120" s="2888"/>
      <c r="F2120" s="2895" t="n">
        <f aca="false">'Смета Внутр'!H2126</f>
        <v>0</v>
      </c>
    </row>
    <row r="2121" customFormat="false" ht="14.5" hidden="false" customHeight="false" outlineLevel="0" collapsed="false">
      <c r="B2121" s="2888" t="str">
        <f aca="false">'Смета Внутр'!B2127</f>
        <v>профиль 60/27/3000</v>
      </c>
      <c r="C2121" s="2889" t="str">
        <f aca="false">'Смета Внутр'!C2127</f>
        <v>шт</v>
      </c>
      <c r="D2121" s="2890" t="n">
        <f aca="false">'Смета Внутр'!D2127</f>
        <v>0</v>
      </c>
      <c r="E2121" s="2888"/>
      <c r="F2121" s="2895" t="n">
        <f aca="false">'Смета Внутр'!H2127</f>
        <v>0</v>
      </c>
    </row>
    <row r="2122" customFormat="false" ht="14.5" hidden="false" customHeight="false" outlineLevel="0" collapsed="false">
      <c r="B2122" s="2888" t="str">
        <f aca="false">'Смета Внутр'!B2128</f>
        <v>профиль 27/28/3000</v>
      </c>
      <c r="C2122" s="2889" t="str">
        <f aca="false">'Смета Внутр'!C2128</f>
        <v>шт</v>
      </c>
      <c r="D2122" s="2890" t="n">
        <f aca="false">'Смета Внутр'!D2128</f>
        <v>0</v>
      </c>
      <c r="E2122" s="2888"/>
      <c r="F2122" s="2895" t="n">
        <f aca="false">'Смета Внутр'!H2128</f>
        <v>0</v>
      </c>
    </row>
    <row r="2123" customFormat="false" ht="14.5" hidden="false" customHeight="false" outlineLevel="0" collapsed="false">
      <c r="B2123" s="2888" t="str">
        <f aca="false">'Смета Внутр'!B2129</f>
        <v>подвес прямой</v>
      </c>
      <c r="C2123" s="2889" t="str">
        <f aca="false">'Смета Внутр'!C2129</f>
        <v>шт</v>
      </c>
      <c r="D2123" s="2890" t="n">
        <f aca="false">'Смета Внутр'!D2129</f>
        <v>0</v>
      </c>
      <c r="E2123" s="2888"/>
      <c r="F2123" s="2895" t="n">
        <f aca="false">'Смета Внутр'!H2129</f>
        <v>0</v>
      </c>
    </row>
    <row r="2124" customFormat="false" ht="14.5" hidden="false" customHeight="false" outlineLevel="0" collapsed="false">
      <c r="B2124" s="2888" t="str">
        <f aca="false">'Смета Внутр'!B2130</f>
        <v>саморез металл/металл, 13мм</v>
      </c>
      <c r="C2124" s="2889" t="str">
        <f aca="false">'Смета Внутр'!C2130</f>
        <v>шт</v>
      </c>
      <c r="D2124" s="2890" t="n">
        <f aca="false">'Смета Внутр'!D2130</f>
        <v>0</v>
      </c>
      <c r="E2124" s="2888"/>
      <c r="F2124" s="2895" t="n">
        <f aca="false">'Смета Внутр'!H2130</f>
        <v>0</v>
      </c>
    </row>
    <row r="2125" customFormat="false" ht="14.5" hidden="false" customHeight="false" outlineLevel="0" collapsed="false">
      <c r="B2125" s="2888" t="str">
        <f aca="false">'Смета Внутр'!B2131</f>
        <v>саморез гкл/металл, 25мм</v>
      </c>
      <c r="C2125" s="2889" t="str">
        <f aca="false">'Смета Внутр'!C2131</f>
        <v>шт</v>
      </c>
      <c r="D2125" s="2890" t="n">
        <f aca="false">'Смета Внутр'!D2131</f>
        <v>0</v>
      </c>
      <c r="E2125" s="2888"/>
      <c r="F2125" s="2895" t="n">
        <f aca="false">'Смета Внутр'!H2131</f>
        <v>0</v>
      </c>
    </row>
    <row r="2126" customFormat="false" ht="14.5" hidden="false" customHeight="false" outlineLevel="0" collapsed="false">
      <c r="B2126" s="2888" t="str">
        <f aca="false">'Смета Внутр'!B2132</f>
        <v>грунтовка, 10л</v>
      </c>
      <c r="C2126" s="2889" t="str">
        <f aca="false">'Смета Внутр'!C2132</f>
        <v>шт</v>
      </c>
      <c r="D2126" s="2890" t="n">
        <f aca="false">'Смета Внутр'!D2132</f>
        <v>0</v>
      </c>
      <c r="E2126" s="2888"/>
      <c r="F2126" s="2895" t="n">
        <f aca="false">'Смета Внутр'!H2132</f>
        <v>0</v>
      </c>
    </row>
    <row r="2127" customFormat="false" ht="14.5" hidden="false" customHeight="false" outlineLevel="0" collapsed="false">
      <c r="B2127" s="2888" t="str">
        <f aca="false">'Смета Внутр'!B2133</f>
        <v>шпаклевка для швов, 25кг</v>
      </c>
      <c r="C2127" s="2889" t="str">
        <f aca="false">'Смета Внутр'!C2133</f>
        <v>шт</v>
      </c>
      <c r="D2127" s="2890" t="n">
        <f aca="false">'Смета Внутр'!D2133</f>
        <v>0</v>
      </c>
      <c r="E2127" s="2888"/>
      <c r="F2127" s="2895" t="n">
        <f aca="false">'Смета Внутр'!H2133</f>
        <v>0</v>
      </c>
    </row>
    <row r="2128" customFormat="false" ht="14.5" hidden="false" customHeight="false" outlineLevel="0" collapsed="false">
      <c r="B2128" s="2888" t="str">
        <f aca="false">'Смета Внутр'!B2134</f>
        <v>шпаклевка финишная, 25кг</v>
      </c>
      <c r="C2128" s="2889" t="str">
        <f aca="false">'Смета Внутр'!C2134</f>
        <v>шт</v>
      </c>
      <c r="D2128" s="2890" t="n">
        <f aca="false">'Смета Внутр'!D2134</f>
        <v>0</v>
      </c>
      <c r="E2128" s="2888"/>
      <c r="F2128" s="2895" t="n">
        <f aca="false">'Смета Внутр'!H2134</f>
        <v>0</v>
      </c>
    </row>
    <row r="2129" customFormat="false" ht="14.5" hidden="false" customHeight="false" outlineLevel="0" collapsed="false">
      <c r="B2129" s="2888" t="str">
        <f aca="false">'Смета Внутр'!B2135</f>
        <v>серпянка для швов, 50м.п.</v>
      </c>
      <c r="C2129" s="2889" t="str">
        <f aca="false">'Смета Внутр'!C2135</f>
        <v>шт</v>
      </c>
      <c r="D2129" s="2890" t="n">
        <f aca="false">'Смета Внутр'!D2135</f>
        <v>0</v>
      </c>
      <c r="E2129" s="2888"/>
      <c r="F2129" s="2895" t="n">
        <f aca="false">'Смета Внутр'!H2135</f>
        <v>0</v>
      </c>
    </row>
    <row r="2130" customFormat="false" ht="14.5" hidden="false" customHeight="false" outlineLevel="0" collapsed="false">
      <c r="B2130" s="2888" t="str">
        <f aca="false">'Смета Внутр'!B2136</f>
        <v>краска для потолков, 10л</v>
      </c>
      <c r="C2130" s="2889" t="str">
        <f aca="false">'Смета Внутр'!C2136</f>
        <v>шт</v>
      </c>
      <c r="D2130" s="2890" t="n">
        <f aca="false">'Смета Внутр'!D2136</f>
        <v>0</v>
      </c>
      <c r="E2130" s="2888"/>
      <c r="F2130" s="2895" t="n">
        <f aca="false">'Смета Внутр'!H2136</f>
        <v>0</v>
      </c>
    </row>
    <row r="2131" customFormat="false" ht="14.5" hidden="false" customHeight="false" outlineLevel="0" collapsed="false">
      <c r="B2131" s="2888" t="str">
        <f aca="false">'Смета Внутр'!B2137</f>
        <v>багет 1мп</v>
      </c>
      <c r="C2131" s="2889" t="str">
        <f aca="false">'Смета Внутр'!C2137</f>
        <v>м.п.</v>
      </c>
      <c r="D2131" s="2890" t="n">
        <f aca="false">'Смета Внутр'!D2137</f>
        <v>0</v>
      </c>
      <c r="E2131" s="2888"/>
      <c r="F2131" s="2895" t="n">
        <f aca="false">'Смета Внутр'!H2137</f>
        <v>0</v>
      </c>
    </row>
    <row r="2132" customFormat="false" ht="14.5" hidden="false" customHeight="false" outlineLevel="0" collapsed="false">
      <c r="B2132" s="2888" t="str">
        <f aca="false">'Смета Внутр'!B2138</f>
        <v>шпаклевка для багета, 5 кг</v>
      </c>
      <c r="C2132" s="2889" t="str">
        <f aca="false">'Смета Внутр'!C2138</f>
        <v>шт</v>
      </c>
      <c r="D2132" s="2890" t="n">
        <f aca="false">'Смета Внутр'!D2138</f>
        <v>0</v>
      </c>
      <c r="E2132" s="2888"/>
      <c r="F2132" s="2895" t="n">
        <f aca="false">'Смета Внутр'!H2138</f>
        <v>0</v>
      </c>
    </row>
    <row r="2133" customFormat="false" ht="14.5" hidden="false" customHeight="false" outlineLevel="0" collapsed="false">
      <c r="B2133" s="2888" t="str">
        <f aca="false">'Смета Внутр'!B2139</f>
        <v>краска для багета, 5 л</v>
      </c>
      <c r="C2133" s="2889" t="str">
        <f aca="false">'Смета Внутр'!C2139</f>
        <v>шт</v>
      </c>
      <c r="D2133" s="2890" t="n">
        <f aca="false">'Смета Внутр'!D2139</f>
        <v>0</v>
      </c>
      <c r="E2133" s="2888"/>
      <c r="F2133" s="2895" t="n">
        <f aca="false">'Смета Внутр'!H2139</f>
        <v>0</v>
      </c>
    </row>
    <row r="2134" customFormat="false" ht="14.5" hidden="false" customHeight="false" outlineLevel="0" collapsed="false">
      <c r="B2134" s="2888" t="str">
        <f aca="false">'Смета Внутр'!B2140</f>
        <v>наждачная бумага финишная</v>
      </c>
      <c r="C2134" s="2889" t="str">
        <f aca="false">'Смета Внутр'!C2140</f>
        <v>м2</v>
      </c>
      <c r="D2134" s="2890" t="n">
        <f aca="false">'Смета Внутр'!D2140</f>
        <v>0</v>
      </c>
      <c r="E2134" s="2888"/>
      <c r="F2134" s="2895" t="n">
        <f aca="false">'Смета Внутр'!H2140</f>
        <v>0</v>
      </c>
    </row>
    <row r="2135" customFormat="false" ht="14.5" hidden="false" customHeight="false" outlineLevel="0" collapsed="false">
      <c r="B2135" s="2888" t="str">
        <f aca="false">'Смета Внутр'!B2141</f>
        <v>натяжной потолок</v>
      </c>
      <c r="C2135" s="2889" t="str">
        <f aca="false">'Смета Внутр'!C2141</f>
        <v>м2</v>
      </c>
      <c r="D2135" s="2890" t="n">
        <f aca="false">'Смета Внутр'!D2141</f>
        <v>0</v>
      </c>
      <c r="E2135" s="2888"/>
      <c r="F2135" s="2895" t="n">
        <f aca="false">'Смета Внутр'!H2141</f>
        <v>0</v>
      </c>
    </row>
    <row r="2136" customFormat="false" ht="14.5" hidden="false" customHeight="false" outlineLevel="0" collapsed="false">
      <c r="B2136" s="2888" t="str">
        <f aca="false">'Смета Внутр'!B2142</f>
        <v>имитация бруса</v>
      </c>
      <c r="C2136" s="2889" t="str">
        <f aca="false">'Смета Внутр'!C2142</f>
        <v>м2</v>
      </c>
      <c r="D2136" s="2890" t="n">
        <f aca="false">'Смета Внутр'!D2142</f>
        <v>0</v>
      </c>
      <c r="E2136" s="2888"/>
      <c r="F2136" s="2895" t="n">
        <f aca="false">'Смета Внутр'!H2142</f>
        <v>0</v>
      </c>
    </row>
    <row r="2137" customFormat="false" ht="14.5" hidden="false" customHeight="false" outlineLevel="0" collapsed="false">
      <c r="B2137" s="2888" t="str">
        <f aca="false">'Смета Внутр'!B2143</f>
        <v>блокхаус</v>
      </c>
      <c r="C2137" s="2889" t="str">
        <f aca="false">'Смета Внутр'!C2143</f>
        <v>м2</v>
      </c>
      <c r="D2137" s="2890" t="n">
        <f aca="false">'Смета Внутр'!D2143</f>
        <v>0</v>
      </c>
      <c r="E2137" s="2888"/>
      <c r="F2137" s="2895" t="n">
        <f aca="false">'Смета Внутр'!H2143</f>
        <v>0</v>
      </c>
    </row>
    <row r="2138" customFormat="false" ht="14.5" hidden="false" customHeight="false" outlineLevel="0" collapsed="false">
      <c r="B2138" s="2888" t="str">
        <f aca="false">'Смета Внутр'!B2144</f>
        <v>вагонка</v>
      </c>
      <c r="C2138" s="2889" t="str">
        <f aca="false">'Смета Внутр'!C2144</f>
        <v>м2</v>
      </c>
      <c r="D2138" s="2890" t="n">
        <f aca="false">'Смета Внутр'!D2144</f>
        <v>0</v>
      </c>
      <c r="E2138" s="2888"/>
      <c r="F2138" s="2902" t="n">
        <f aca="false">'Смета Внутр'!H2144</f>
        <v>0</v>
      </c>
    </row>
    <row r="2139" customFormat="false" ht="14.5" hidden="false" customHeight="false" outlineLevel="0" collapsed="false">
      <c r="B2139" s="2888" t="str">
        <f aca="false">'Смета Внутр'!B2145</f>
        <v>подсистема, брусок</v>
      </c>
      <c r="C2139" s="2889" t="str">
        <f aca="false">'Смета Внутр'!C2145</f>
        <v>м.п.</v>
      </c>
      <c r="D2139" s="2890" t="n">
        <f aca="false">'Смета Внутр'!D2145</f>
        <v>0</v>
      </c>
      <c r="E2139" s="2888"/>
      <c r="F2139" s="2895" t="n">
        <f aca="false">'Смета Внутр'!H2145</f>
        <v>0</v>
      </c>
    </row>
    <row r="2140" customFormat="false" ht="14.5" hidden="false" customHeight="false" outlineLevel="0" collapsed="false">
      <c r="B2140" s="2888" t="str">
        <f aca="false">'Смета Внутр'!B2146</f>
        <v>уголок крепежный</v>
      </c>
      <c r="C2140" s="2889" t="str">
        <f aca="false">'Смета Внутр'!C2146</f>
        <v>шт</v>
      </c>
      <c r="D2140" s="2890" t="n">
        <f aca="false">'Смета Внутр'!D2146</f>
        <v>0</v>
      </c>
      <c r="E2140" s="2888"/>
      <c r="F2140" s="2895" t="n">
        <f aca="false">'Смета Внутр'!H2146</f>
        <v>0</v>
      </c>
    </row>
    <row r="2141" customFormat="false" ht="14.5" hidden="false" customHeight="false" outlineLevel="0" collapsed="false">
      <c r="B2141" s="2888" t="str">
        <f aca="false">'Смета Внутр'!B2147</f>
        <v>гвозди/саморезы для крепления подсистемы</v>
      </c>
      <c r="C2141" s="2889" t="str">
        <f aca="false">'Смета Внутр'!C2147</f>
        <v>шт</v>
      </c>
      <c r="D2141" s="2890" t="n">
        <f aca="false">'Смета Внутр'!D2147</f>
        <v>0</v>
      </c>
      <c r="E2141" s="2888"/>
      <c r="F2141" s="2895" t="n">
        <f aca="false">'Смета Внутр'!H2147</f>
        <v>0</v>
      </c>
    </row>
    <row r="2142" customFormat="false" ht="14.5" hidden="false" customHeight="false" outlineLevel="0" collapsed="false">
      <c r="B2142" s="2888" t="str">
        <f aca="false">'Смета Внутр'!B2148</f>
        <v>гвозди/саморезы для крепления</v>
      </c>
      <c r="C2142" s="2889" t="str">
        <f aca="false">'Смета Внутр'!C2148</f>
        <v>шт</v>
      </c>
      <c r="D2142" s="2890" t="n">
        <f aca="false">'Смета Внутр'!D2148</f>
        <v>0</v>
      </c>
      <c r="E2142" s="2888"/>
      <c r="F2142" s="2902" t="n">
        <f aca="false">'Смета Внутр'!H2148</f>
        <v>0</v>
      </c>
    </row>
    <row r="2143" customFormat="false" ht="14.5" hidden="false" customHeight="false" outlineLevel="0" collapsed="false">
      <c r="B2143" s="2889" t="str">
        <f aca="false">'Смета Внутр'!B2149</f>
        <v>Пол</v>
      </c>
      <c r="C2143" s="2889"/>
      <c r="D2143" s="2889"/>
      <c r="E2143" s="2889"/>
      <c r="F2143" s="2895" t="n">
        <f aca="false">'Смета Внутр'!H2149</f>
        <v>0</v>
      </c>
    </row>
    <row r="2144" customFormat="false" ht="14.5" hidden="false" customHeight="false" outlineLevel="0" collapsed="false">
      <c r="B2144" s="2888" t="str">
        <f aca="false">'Смета Внутр'!B2150</f>
        <v>подложка под покрытие</v>
      </c>
      <c r="C2144" s="2889" t="str">
        <f aca="false">'Смета Внутр'!C2150</f>
        <v>м2</v>
      </c>
      <c r="D2144" s="2890" t="n">
        <f aca="false">'Смета Внутр'!D2150</f>
        <v>0</v>
      </c>
      <c r="E2144" s="2888"/>
      <c r="F2144" s="2895" t="n">
        <f aca="false">'Смета Внутр'!H2150</f>
        <v>0</v>
      </c>
    </row>
    <row r="2145" customFormat="false" ht="14.5" hidden="false" customHeight="false" outlineLevel="0" collapsed="false">
      <c r="B2145" s="2888" t="str">
        <f aca="false">'Смета Внутр'!B2151</f>
        <v>линолеум</v>
      </c>
      <c r="C2145" s="2889" t="str">
        <f aca="false">'Смета Внутр'!C2151</f>
        <v>м2</v>
      </c>
      <c r="D2145" s="2890" t="n">
        <f aca="false">'Смета Внутр'!D2151</f>
        <v>0</v>
      </c>
      <c r="E2145" s="2888"/>
      <c r="F2145" s="2895" t="n">
        <f aca="false">'Смета Внутр'!H2151</f>
        <v>0</v>
      </c>
    </row>
    <row r="2146" customFormat="false" ht="14.5" hidden="false" customHeight="false" outlineLevel="0" collapsed="false">
      <c r="B2146" s="2888" t="str">
        <f aca="false">'Смета Внутр'!B2152</f>
        <v>ламинат</v>
      </c>
      <c r="C2146" s="2889" t="str">
        <f aca="false">'Смета Внутр'!C2152</f>
        <v>м2</v>
      </c>
      <c r="D2146" s="2890" t="n">
        <f aca="false">'Смета Внутр'!D2152</f>
        <v>94</v>
      </c>
      <c r="E2146" s="2888"/>
      <c r="F2146" s="2895" t="n">
        <f aca="false">'Смета Внутр'!H2152</f>
        <v>0</v>
      </c>
    </row>
    <row r="2147" customFormat="false" ht="14.5" hidden="false" customHeight="false" outlineLevel="0" collapsed="false">
      <c r="B2147" s="2888" t="str">
        <f aca="false">'Смета Внутр'!B2153</f>
        <v>уголки, расходные материалы</v>
      </c>
      <c r="C2147" s="2889" t="str">
        <f aca="false">'Смета Внутр'!C2153</f>
        <v>шт</v>
      </c>
      <c r="D2147" s="2890" t="n">
        <f aca="false">'Смета Внутр'!D2153</f>
        <v>0</v>
      </c>
      <c r="E2147" s="2888"/>
      <c r="F2147" s="2895" t="n">
        <f aca="false">'Смета Внутр'!H2153</f>
        <v>0</v>
      </c>
    </row>
    <row r="2148" customFormat="false" ht="14.5" hidden="false" customHeight="false" outlineLevel="0" collapsed="false">
      <c r="B2148" s="2888" t="str">
        <f aca="false">'Смета Внутр'!B2154</f>
        <v>плинтус</v>
      </c>
      <c r="C2148" s="2889" t="str">
        <f aca="false">'Смета Внутр'!C2154</f>
        <v>м.п.</v>
      </c>
      <c r="D2148" s="2890" t="n">
        <f aca="false">'Смета Внутр'!D2154</f>
        <v>0</v>
      </c>
      <c r="E2148" s="2888"/>
      <c r="F2148" s="2895" t="n">
        <f aca="false">'Смета Внутр'!H2154</f>
        <v>0</v>
      </c>
    </row>
    <row r="2149" customFormat="false" ht="14.5" hidden="false" customHeight="false" outlineLevel="0" collapsed="false">
      <c r="B2149" s="2888" t="str">
        <f aca="false">'Смета Внутр'!B2155</f>
        <v>кафель</v>
      </c>
      <c r="C2149" s="2889" t="str">
        <f aca="false">'Смета Внутр'!C2155</f>
        <v>м2</v>
      </c>
      <c r="D2149" s="2890" t="n">
        <f aca="false">'Смета Внутр'!D2155</f>
        <v>0</v>
      </c>
      <c r="E2149" s="2888"/>
      <c r="F2149" s="2895" t="n">
        <f aca="false">'Смета Внутр'!H2155</f>
        <v>0</v>
      </c>
    </row>
    <row r="2150" customFormat="false" ht="14.5" hidden="false" customHeight="false" outlineLevel="0" collapsed="false">
      <c r="B2150" s="2888" t="str">
        <f aca="false">'Смета Внутр'!B2156</f>
        <v>клей для кафеля, 25кг</v>
      </c>
      <c r="C2150" s="2889" t="str">
        <f aca="false">'Смета Внутр'!C2156</f>
        <v>шт</v>
      </c>
      <c r="D2150" s="2890" t="n">
        <f aca="false">'Смета Внутр'!D2156</f>
        <v>0</v>
      </c>
      <c r="E2150" s="2888"/>
      <c r="F2150" s="2895" t="n">
        <f aca="false">'Смета Внутр'!H2156</f>
        <v>0</v>
      </c>
    </row>
    <row r="2151" customFormat="false" ht="14.5" hidden="false" customHeight="false" outlineLevel="0" collapsed="false">
      <c r="B2151" s="2888" t="str">
        <f aca="false">'Смета Внутр'!B2157</f>
        <v>грунтовка, 10л</v>
      </c>
      <c r="C2151" s="2889" t="str">
        <f aca="false">'Смета Внутр'!C2157</f>
        <v>шт</v>
      </c>
      <c r="D2151" s="2890" t="n">
        <f aca="false">'Смета Внутр'!D2157</f>
        <v>0</v>
      </c>
      <c r="E2151" s="2888"/>
      <c r="F2151" s="2895" t="n">
        <f aca="false">'Смета Внутр'!H2157</f>
        <v>0</v>
      </c>
    </row>
    <row r="2152" customFormat="false" ht="14.5" hidden="false" customHeight="false" outlineLevel="0" collapsed="false">
      <c r="B2152" s="2888" t="str">
        <f aca="false">'Смета Внутр'!B2158</f>
        <v>крестики, 100шт</v>
      </c>
      <c r="C2152" s="2889" t="str">
        <f aca="false">'Смета Внутр'!C2158</f>
        <v>шт</v>
      </c>
      <c r="D2152" s="2890" t="n">
        <f aca="false">'Смета Внутр'!D2158</f>
        <v>0</v>
      </c>
      <c r="E2152" s="2888"/>
      <c r="F2152" s="2895" t="n">
        <f aca="false">'Смета Внутр'!H2158</f>
        <v>0</v>
      </c>
    </row>
    <row r="2153" customFormat="false" ht="14.5" hidden="false" customHeight="false" outlineLevel="0" collapsed="false">
      <c r="B2153" s="2888" t="str">
        <f aca="false">'Смета Внутр'!B2159</f>
        <v>затирка для швов</v>
      </c>
      <c r="C2153" s="2889" t="str">
        <f aca="false">'Смета Внутр'!C2159</f>
        <v>шт</v>
      </c>
      <c r="D2153" s="2890" t="n">
        <f aca="false">'Смета Внутр'!D2159</f>
        <v>0</v>
      </c>
      <c r="E2153" s="2888"/>
      <c r="F2153" s="2895" t="n">
        <f aca="false">'Смета Внутр'!H2159</f>
        <v>0</v>
      </c>
    </row>
    <row r="2154" customFormat="false" ht="14.5" hidden="false" customHeight="false" outlineLevel="0" collapsed="false">
      <c r="B2154" s="2889" t="str">
        <f aca="false">'Смета Внутр'!B2160</f>
        <v>санузел/ванная</v>
      </c>
      <c r="C2154" s="2889"/>
      <c r="D2154" s="2889"/>
      <c r="E2154" s="2889"/>
      <c r="F2154" s="2895" t="n">
        <f aca="false">'Смета Внутр'!H2160</f>
        <v>0</v>
      </c>
    </row>
    <row r="2155" customFormat="false" ht="14.5" hidden="false" customHeight="false" outlineLevel="0" collapsed="false">
      <c r="B2155" s="2888" t="str">
        <f aca="false">'Смета Внутр'!B2161</f>
        <v>кафель стены</v>
      </c>
      <c r="C2155" s="2889" t="str">
        <f aca="false">'Смета Внутр'!C2161</f>
        <v>м2</v>
      </c>
      <c r="D2155" s="2890" t="n">
        <f aca="false">'Смета Внутр'!D2161</f>
        <v>0</v>
      </c>
      <c r="E2155" s="2888"/>
      <c r="F2155" s="2895" t="n">
        <f aca="false">'Смета Внутр'!H2161</f>
        <v>0</v>
      </c>
    </row>
    <row r="2156" customFormat="false" ht="14.5" hidden="false" customHeight="false" outlineLevel="0" collapsed="false">
      <c r="B2156" s="2888" t="str">
        <f aca="false">'Смета Внутр'!B2162</f>
        <v>кафель потолок</v>
      </c>
      <c r="C2156" s="2889" t="str">
        <f aca="false">'Смета Внутр'!C2162</f>
        <v>м2</v>
      </c>
      <c r="D2156" s="2890" t="n">
        <f aca="false">'Смета Внутр'!D2162</f>
        <v>0</v>
      </c>
      <c r="E2156" s="2888"/>
      <c r="F2156" s="2895" t="n">
        <f aca="false">'Смета Внутр'!H2162</f>
        <v>0</v>
      </c>
    </row>
    <row r="2157" customFormat="false" ht="14.5" hidden="false" customHeight="false" outlineLevel="0" collapsed="false">
      <c r="B2157" s="2888" t="str">
        <f aca="false">'Смета Внутр'!B2163</f>
        <v>кафель пол</v>
      </c>
      <c r="C2157" s="2889" t="str">
        <f aca="false">'Смета Внутр'!C2163</f>
        <v>м2</v>
      </c>
      <c r="D2157" s="2890" t="n">
        <f aca="false">'Смета Внутр'!D2163</f>
        <v>0</v>
      </c>
      <c r="E2157" s="2888"/>
      <c r="F2157" s="2895" t="n">
        <f aca="false">'Смета Внутр'!H2163</f>
        <v>0</v>
      </c>
    </row>
    <row r="2158" customFormat="false" ht="14.5" hidden="false" customHeight="false" outlineLevel="0" collapsed="false">
      <c r="B2158" s="2888" t="str">
        <f aca="false">'Смета Внутр'!B2164</f>
        <v>клей для кафеля, 25кг</v>
      </c>
      <c r="C2158" s="2889" t="str">
        <f aca="false">'Смета Внутр'!C2164</f>
        <v>шт</v>
      </c>
      <c r="D2158" s="2890" t="n">
        <f aca="false">'Смета Внутр'!D2164</f>
        <v>0</v>
      </c>
      <c r="E2158" s="2888"/>
      <c r="F2158" s="2895" t="n">
        <f aca="false">'Смета Внутр'!H2164</f>
        <v>0</v>
      </c>
    </row>
    <row r="2159" customFormat="false" ht="14.5" hidden="false" customHeight="false" outlineLevel="0" collapsed="false">
      <c r="B2159" s="2888" t="str">
        <f aca="false">'Смета Внутр'!B2165</f>
        <v>грунтовка, 10л</v>
      </c>
      <c r="C2159" s="2889" t="str">
        <f aca="false">'Смета Внутр'!C2165</f>
        <v>шт</v>
      </c>
      <c r="D2159" s="2890" t="n">
        <f aca="false">'Смета Внутр'!D2165</f>
        <v>0</v>
      </c>
      <c r="E2159" s="2888"/>
      <c r="F2159" s="2895" t="n">
        <f aca="false">'Смета Внутр'!H2165</f>
        <v>0</v>
      </c>
    </row>
    <row r="2160" customFormat="false" ht="14.5" hidden="false" customHeight="false" outlineLevel="0" collapsed="false">
      <c r="B2160" s="2888" t="str">
        <f aca="false">'Смета Внутр'!B2166</f>
        <v>крестики, 100 шт</v>
      </c>
      <c r="C2160" s="2889" t="str">
        <f aca="false">'Смета Внутр'!C2166</f>
        <v>шт</v>
      </c>
      <c r="D2160" s="2890" t="n">
        <f aca="false">'Смета Внутр'!D2166</f>
        <v>0</v>
      </c>
      <c r="E2160" s="2888"/>
      <c r="F2160" s="2895" t="n">
        <f aca="false">'Смета Внутр'!H2166</f>
        <v>0</v>
      </c>
    </row>
    <row r="2161" customFormat="false" ht="14.5" hidden="false" customHeight="false" outlineLevel="0" collapsed="false">
      <c r="B2161" s="2888" t="str">
        <f aca="false">'Смета Внутр'!B2167</f>
        <v>затирка для швов</v>
      </c>
      <c r="C2161" s="2889" t="str">
        <f aca="false">'Смета Внутр'!C2167</f>
        <v>шт</v>
      </c>
      <c r="D2161" s="2890" t="n">
        <f aca="false">'Смета Внутр'!D2167</f>
        <v>0</v>
      </c>
      <c r="E2161" s="2888"/>
      <c r="F2161" s="2895" t="n">
        <f aca="false">'Смета Внутр'!H2167</f>
        <v>0</v>
      </c>
    </row>
    <row r="2162" customFormat="false" ht="14.5" hidden="false" customHeight="false" outlineLevel="0" collapsed="false">
      <c r="B2162" s="2888" t="str">
        <f aca="false">'Смета Внутр'!B2168</f>
        <v>стеновые панели пластик стены</v>
      </c>
      <c r="C2162" s="2889" t="str">
        <f aca="false">'Смета Внутр'!C2168</f>
        <v>м2</v>
      </c>
      <c r="D2162" s="2890" t="n">
        <f aca="false">'Смета Внутр'!D2168</f>
        <v>0</v>
      </c>
      <c r="E2162" s="2888"/>
      <c r="F2162" s="2895" t="n">
        <f aca="false">'Смета Внутр'!H2168</f>
        <v>0</v>
      </c>
    </row>
    <row r="2163" customFormat="false" ht="14.5" hidden="false" customHeight="false" outlineLevel="0" collapsed="false">
      <c r="B2163" s="2888" t="str">
        <f aca="false">'Смета Внутр'!B2169</f>
        <v>стеновые панели пластик потолок</v>
      </c>
      <c r="C2163" s="2889" t="str">
        <f aca="false">'Смета Внутр'!C2169</f>
        <v>м2</v>
      </c>
      <c r="D2163" s="2890" t="n">
        <f aca="false">'Смета Внутр'!D2169</f>
        <v>0</v>
      </c>
      <c r="E2163" s="2888"/>
      <c r="F2163" s="2895" t="n">
        <f aca="false">'Смета Внутр'!H2169</f>
        <v>0</v>
      </c>
    </row>
    <row r="2164" customFormat="false" ht="14.5" hidden="false" customHeight="false" outlineLevel="0" collapsed="false">
      <c r="B2164" s="2888" t="str">
        <f aca="false">'Смета Внутр'!B2170</f>
        <v>скобы для крепления панелей, 1000шт/уп</v>
      </c>
      <c r="C2164" s="2889" t="str">
        <f aca="false">'Смета Внутр'!C2170</f>
        <v>шт</v>
      </c>
      <c r="D2164" s="2890" t="n">
        <f aca="false">'Смета Внутр'!D2170</f>
        <v>0</v>
      </c>
      <c r="E2164" s="2888"/>
      <c r="F2164" s="2895" t="n">
        <f aca="false">'Смета Внутр'!H2170</f>
        <v>0</v>
      </c>
    </row>
    <row r="2165" customFormat="false" ht="14.5" hidden="false" customHeight="false" outlineLevel="0" collapsed="false">
      <c r="B2165" s="2888" t="str">
        <f aca="false">'Смета Внутр'!B2171</f>
        <v>натяжной потолок</v>
      </c>
      <c r="C2165" s="2889" t="str">
        <f aca="false">'Смета Внутр'!C2171</f>
        <v>м2</v>
      </c>
      <c r="D2165" s="2890" t="n">
        <f aca="false">'Смета Внутр'!D2171</f>
        <v>0</v>
      </c>
      <c r="E2165" s="2888"/>
      <c r="F2165" s="2895" t="n">
        <f aca="false">'Смета Внутр'!H2171</f>
        <v>0</v>
      </c>
    </row>
    <row r="2166" customFormat="false" ht="14.5" hidden="false" customHeight="false" outlineLevel="0" collapsed="false">
      <c r="B2166" s="2889" t="str">
        <f aca="false">'Смета Внутр'!B2172</f>
        <v>Двери межкомнатные</v>
      </c>
      <c r="C2166" s="2889"/>
      <c r="D2166" s="2889"/>
      <c r="E2166" s="2889"/>
      <c r="F2166" s="2895" t="n">
        <f aca="false">'Смета Внутр'!H2172</f>
        <v>0</v>
      </c>
    </row>
    <row r="2167" customFormat="false" ht="14.5" hidden="false" customHeight="false" outlineLevel="0" collapsed="false">
      <c r="B2167" s="2888" t="str">
        <f aca="false">'Смета Внутр'!B2173</f>
        <v>двери межкомнатные</v>
      </c>
      <c r="C2167" s="2889" t="str">
        <f aca="false">'Смета Внутр'!C2173</f>
        <v>шт</v>
      </c>
      <c r="D2167" s="2890" t="n">
        <f aca="false">'Смета Внутр'!D2173</f>
        <v>0</v>
      </c>
      <c r="E2167" s="2888"/>
      <c r="F2167" s="2895" t="n">
        <f aca="false">'Смета Внутр'!H2173</f>
        <v>0</v>
      </c>
    </row>
    <row r="2168" customFormat="false" ht="14.5" hidden="false" customHeight="false" outlineLevel="0" collapsed="false">
      <c r="B2168" s="2888" t="str">
        <f aca="false">'Смета Внутр'!B2174</f>
        <v>пена монтажная для дверей</v>
      </c>
      <c r="C2168" s="2889" t="str">
        <f aca="false">'Смета Внутр'!C2174</f>
        <v>шт</v>
      </c>
      <c r="D2168" s="2890" t="n">
        <f aca="false">'Смета Внутр'!D2174</f>
        <v>0</v>
      </c>
      <c r="E2168" s="2888"/>
      <c r="F2168" s="2895" t="n">
        <f aca="false">'Смета Внутр'!H2174</f>
        <v>0</v>
      </c>
    </row>
    <row r="2169" customFormat="false" ht="14.5" hidden="false" customHeight="false" outlineLevel="0" collapsed="false">
      <c r="B2169" s="2888" t="str">
        <f aca="false">'Смета Внутр'!B2175</f>
        <v>порожки металлические</v>
      </c>
      <c r="C2169" s="2889" t="str">
        <f aca="false">'Смета Внутр'!C2175</f>
        <v>шт</v>
      </c>
      <c r="D2169" s="2890" t="n">
        <f aca="false">'Смета Внутр'!D2175</f>
        <v>0</v>
      </c>
      <c r="E2169" s="2888"/>
      <c r="F2169" s="2895" t="n">
        <f aca="false">'Смета Внутр'!H2175</f>
        <v>0</v>
      </c>
    </row>
    <row r="2170" customFormat="false" ht="14.5" hidden="false" customHeight="false" outlineLevel="0" collapsed="false">
      <c r="B2170" s="2888" t="str">
        <f aca="false">'Смета Внутр'!B2176</f>
        <v>отбойник для дверей</v>
      </c>
      <c r="C2170" s="2889" t="str">
        <f aca="false">'Смета Внутр'!C2176</f>
        <v>шт</v>
      </c>
      <c r="D2170" s="2890" t="n">
        <f aca="false">'Смета Внутр'!D2176</f>
        <v>0</v>
      </c>
      <c r="E2170" s="2888"/>
      <c r="F2170" s="2895" t="n">
        <f aca="false">'Смета Внутр'!H2176</f>
        <v>0</v>
      </c>
    </row>
    <row r="2171" customFormat="false" ht="14.5" hidden="false" customHeight="false" outlineLevel="0" collapsed="false">
      <c r="B2171" s="2888" t="str">
        <f aca="false">'Смета Внутр'!B2177</f>
        <v>коробка для дверей</v>
      </c>
      <c r="C2171" s="2889" t="str">
        <f aca="false">'Смета Внутр'!C2177</f>
        <v>шт</v>
      </c>
      <c r="D2171" s="2890" t="n">
        <f aca="false">'Смета Внутр'!D2177</f>
        <v>0</v>
      </c>
      <c r="E2171" s="2888"/>
      <c r="F2171" s="2895" t="n">
        <f aca="false">'Смета Внутр'!H2177</f>
        <v>0</v>
      </c>
    </row>
    <row r="2172" customFormat="false" ht="14.5" hidden="false" customHeight="false" outlineLevel="0" collapsed="false">
      <c r="B2172" s="2888" t="str">
        <f aca="false">'Смета Внутр'!B2178</f>
        <v>наличник на дверь, комплект</v>
      </c>
      <c r="C2172" s="2889" t="str">
        <f aca="false">'Смета Внутр'!C2178</f>
        <v>шт</v>
      </c>
      <c r="D2172" s="2890" t="n">
        <f aca="false">'Смета Внутр'!D2178</f>
        <v>0</v>
      </c>
      <c r="E2172" s="2888"/>
      <c r="F2172" s="2895" t="n">
        <f aca="false">'Смета Внутр'!H2178</f>
        <v>0</v>
      </c>
    </row>
    <row r="2173" customFormat="false" ht="14.5" hidden="false" customHeight="false" outlineLevel="0" collapsed="false">
      <c r="B2173" s="2896" t="str">
        <f aca="false">'Смета Внутр'!B2179</f>
        <v>Итого материалы</v>
      </c>
      <c r="C2173" s="2896"/>
      <c r="D2173" s="2896"/>
      <c r="E2173" s="2896"/>
      <c r="F2173" s="2891" t="n">
        <f aca="false">'Смета Внутр'!G2179</f>
        <v>0</v>
      </c>
    </row>
    <row r="2174" customFormat="false" ht="14.5" hidden="false" customHeight="false" outlineLevel="0" collapsed="false">
      <c r="B2174" s="2898" t="str">
        <f aca="false">'Смета Внутр'!B2180</f>
        <v>Работы</v>
      </c>
      <c r="C2174" s="2898"/>
      <c r="D2174" s="2898"/>
      <c r="E2174" s="2898"/>
      <c r="F2174" s="2901" t="n">
        <f aca="false">'Смета Внутр'!H2180</f>
        <v>0</v>
      </c>
    </row>
    <row r="2175" customFormat="false" ht="14.5" hidden="false" customHeight="false" outlineLevel="0" collapsed="false">
      <c r="B2175" s="2889" t="str">
        <f aca="false">'Смета Внутр'!B2181</f>
        <v>стены</v>
      </c>
      <c r="C2175" s="2889"/>
      <c r="D2175" s="2889"/>
      <c r="E2175" s="2889"/>
      <c r="F2175" s="2902" t="n">
        <f aca="false">'Смета Внутр'!H2181</f>
        <v>0</v>
      </c>
    </row>
    <row r="2176" customFormat="false" ht="14.5" hidden="false" customHeight="false" outlineLevel="0" collapsed="false">
      <c r="B2176" s="2888" t="str">
        <f aca="false">'Смета Внутр'!B2182</f>
        <v>монтаж гкл стены</v>
      </c>
      <c r="C2176" s="2889" t="str">
        <f aca="false">'Смета Внутр'!C2182</f>
        <v>м2</v>
      </c>
      <c r="D2176" s="2890" t="n">
        <f aca="false">'Смета Внутр'!D2182</f>
        <v>0</v>
      </c>
      <c r="E2176" s="2888"/>
      <c r="F2176" s="2895" t="n">
        <f aca="false">'Смета Внутр'!H2182</f>
        <v>0</v>
      </c>
    </row>
    <row r="2177" customFormat="false" ht="14.5" hidden="false" customHeight="false" outlineLevel="0" collapsed="false">
      <c r="B2177" s="2888" t="str">
        <f aca="false">'Смета Внутр'!B2183</f>
        <v>монтаж подсистемы</v>
      </c>
      <c r="C2177" s="2889" t="str">
        <f aca="false">'Смета Внутр'!C2183</f>
        <v>м2</v>
      </c>
      <c r="D2177" s="2890" t="n">
        <f aca="false">'Смета Внутр'!D2183</f>
        <v>0</v>
      </c>
      <c r="E2177" s="2888"/>
      <c r="F2177" s="2895" t="n">
        <f aca="false">'Смета Внутр'!H2183</f>
        <v>0</v>
      </c>
    </row>
    <row r="2178" customFormat="false" ht="14.5" hidden="false" customHeight="false" outlineLevel="0" collapsed="false">
      <c r="B2178" s="2888" t="str">
        <f aca="false">'Смета Внутр'!B2184</f>
        <v>шпаклевка швов стены</v>
      </c>
      <c r="C2178" s="2889" t="str">
        <f aca="false">'Смета Внутр'!C2184</f>
        <v>м2</v>
      </c>
      <c r="D2178" s="2890" t="n">
        <f aca="false">'Смета Внутр'!D2184</f>
        <v>0</v>
      </c>
      <c r="E2178" s="2888"/>
      <c r="F2178" s="2895" t="n">
        <f aca="false">'Смета Внутр'!H2184</f>
        <v>0</v>
      </c>
    </row>
    <row r="2179" customFormat="false" ht="14.5" hidden="false" customHeight="false" outlineLevel="0" collapsed="false">
      <c r="B2179" s="2888" t="str">
        <f aca="false">'Смета Внутр'!B2185</f>
        <v>шпаклевка финишная стены</v>
      </c>
      <c r="C2179" s="2889" t="str">
        <f aca="false">'Смета Внутр'!C2185</f>
        <v>м2</v>
      </c>
      <c r="D2179" s="2890" t="n">
        <f aca="false">'Смета Внутр'!D2185</f>
        <v>0</v>
      </c>
      <c r="E2179" s="2888"/>
      <c r="F2179" s="2895" t="n">
        <f aca="false">'Смета Внутр'!H2185</f>
        <v>0</v>
      </c>
    </row>
    <row r="2180" customFormat="false" ht="14.5" hidden="false" customHeight="false" outlineLevel="0" collapsed="false">
      <c r="B2180" s="2888" t="str">
        <f aca="false">'Смета Внутр'!B2186</f>
        <v>оклейка обои</v>
      </c>
      <c r="C2180" s="2889" t="str">
        <f aca="false">'Смета Внутр'!C2186</f>
        <v>м2</v>
      </c>
      <c r="D2180" s="2890" t="n">
        <f aca="false">'Смета Внутр'!D2186</f>
        <v>0</v>
      </c>
      <c r="E2180" s="2888"/>
      <c r="F2180" s="2895" t="n">
        <f aca="false">'Смета Внутр'!H2186</f>
        <v>0</v>
      </c>
    </row>
    <row r="2181" customFormat="false" ht="14.5" hidden="false" customHeight="false" outlineLevel="0" collapsed="false">
      <c r="B2181" s="2888" t="str">
        <f aca="false">'Смета Внутр'!B2187</f>
        <v>покраска стен</v>
      </c>
      <c r="C2181" s="2889" t="str">
        <f aca="false">'Смета Внутр'!C2187</f>
        <v>м2</v>
      </c>
      <c r="D2181" s="2890" t="n">
        <f aca="false">'Смета Внутр'!D2187</f>
        <v>0</v>
      </c>
      <c r="E2181" s="2888"/>
      <c r="F2181" s="2895" t="n">
        <f aca="false">'Смета Внутр'!H2187</f>
        <v>0</v>
      </c>
    </row>
    <row r="2182" customFormat="false" ht="14.5" hidden="false" customHeight="false" outlineLevel="0" collapsed="false">
      <c r="B2182" s="2888" t="str">
        <f aca="false">'Смета Внутр'!B2188</f>
        <v>имитация бруса</v>
      </c>
      <c r="C2182" s="2889" t="str">
        <f aca="false">'Смета Внутр'!C2188</f>
        <v>м2</v>
      </c>
      <c r="D2182" s="2890" t="n">
        <f aca="false">'Смета Внутр'!D2188</f>
        <v>0</v>
      </c>
      <c r="E2182" s="2888"/>
      <c r="F2182" s="2895" t="n">
        <f aca="false">'Смета Внутр'!H2188</f>
        <v>0</v>
      </c>
    </row>
    <row r="2183" customFormat="false" ht="14.5" hidden="false" customHeight="false" outlineLevel="0" collapsed="false">
      <c r="B2183" s="2888" t="str">
        <f aca="false">'Смета Внутр'!B2189</f>
        <v>блокхаус</v>
      </c>
      <c r="C2183" s="2889" t="str">
        <f aca="false">'Смета Внутр'!C2189</f>
        <v>м2</v>
      </c>
      <c r="D2183" s="2890" t="n">
        <f aca="false">'Смета Внутр'!D2189</f>
        <v>0</v>
      </c>
      <c r="E2183" s="2888"/>
      <c r="F2183" s="2895" t="n">
        <f aca="false">'Смета Внутр'!H2189</f>
        <v>0</v>
      </c>
    </row>
    <row r="2184" customFormat="false" ht="14.5" hidden="false" customHeight="false" outlineLevel="0" collapsed="false">
      <c r="B2184" s="2888" t="str">
        <f aca="false">'Смета Внутр'!B2190</f>
        <v>вагонка</v>
      </c>
      <c r="C2184" s="2889" t="str">
        <f aca="false">'Смета Внутр'!C2190</f>
        <v>м2</v>
      </c>
      <c r="D2184" s="2890" t="n">
        <f aca="false">'Смета Внутр'!D2190</f>
        <v>0</v>
      </c>
      <c r="E2184" s="2888"/>
      <c r="F2184" s="2902" t="n">
        <f aca="false">'Смета Внутр'!H2190</f>
        <v>0</v>
      </c>
    </row>
    <row r="2185" customFormat="false" ht="14.5" hidden="false" customHeight="false" outlineLevel="0" collapsed="false">
      <c r="B2185" s="2888" t="str">
        <f aca="false">'Смета Внутр'!B2191</f>
        <v>подсистема, брусок</v>
      </c>
      <c r="C2185" s="2889" t="str">
        <f aca="false">'Смета Внутр'!C2191</f>
        <v>м2</v>
      </c>
      <c r="D2185" s="2890" t="n">
        <f aca="false">'Смета Внутр'!D2191</f>
        <v>0</v>
      </c>
      <c r="E2185" s="2888"/>
      <c r="F2185" s="2895" t="n">
        <f aca="false">'Смета Внутр'!H2191</f>
        <v>0</v>
      </c>
    </row>
    <row r="2186" customFormat="false" ht="14.5" hidden="false" customHeight="false" outlineLevel="0" collapsed="false">
      <c r="B2186" s="2889" t="str">
        <f aca="false">'Смета Внутр'!B2192</f>
        <v>потолок</v>
      </c>
      <c r="C2186" s="2889"/>
      <c r="D2186" s="2889"/>
      <c r="E2186" s="2889"/>
      <c r="F2186" s="2902" t="n">
        <f aca="false">'Смета Внутр'!H2192</f>
        <v>0</v>
      </c>
    </row>
    <row r="2187" customFormat="false" ht="14.5" hidden="false" customHeight="false" outlineLevel="0" collapsed="false">
      <c r="B2187" s="2888" t="str">
        <f aca="false">'Смета Внутр'!B2193</f>
        <v>монтаж гкл потолок</v>
      </c>
      <c r="C2187" s="2889" t="str">
        <f aca="false">'Смета Внутр'!C2193</f>
        <v>м2</v>
      </c>
      <c r="D2187" s="2890" t="n">
        <f aca="false">'Смета Внутр'!D2193</f>
        <v>0</v>
      </c>
      <c r="E2187" s="2888"/>
      <c r="F2187" s="2895" t="n">
        <f aca="false">'Смета Внутр'!H2193</f>
        <v>0</v>
      </c>
    </row>
    <row r="2188" customFormat="false" ht="14.5" hidden="false" customHeight="false" outlineLevel="0" collapsed="false">
      <c r="B2188" s="2888" t="str">
        <f aca="false">'Смета Внутр'!B2194</f>
        <v>монтаж подсистемы</v>
      </c>
      <c r="C2188" s="2889" t="str">
        <f aca="false">'Смета Внутр'!C2194</f>
        <v>м2</v>
      </c>
      <c r="D2188" s="2890" t="n">
        <f aca="false">'Смета Внутр'!D2194</f>
        <v>0</v>
      </c>
      <c r="E2188" s="2888"/>
      <c r="F2188" s="2895" t="n">
        <f aca="false">'Смета Внутр'!H2194</f>
        <v>0</v>
      </c>
    </row>
    <row r="2189" customFormat="false" ht="14.5" hidden="false" customHeight="false" outlineLevel="0" collapsed="false">
      <c r="B2189" s="2888" t="str">
        <f aca="false">'Смета Внутр'!B2195</f>
        <v>шпаклевка швов потолок</v>
      </c>
      <c r="C2189" s="2889" t="str">
        <f aca="false">'Смета Внутр'!C2195</f>
        <v>м2</v>
      </c>
      <c r="D2189" s="2890" t="n">
        <f aca="false">'Смета Внутр'!D2195</f>
        <v>0</v>
      </c>
      <c r="E2189" s="2888"/>
      <c r="F2189" s="2895" t="n">
        <f aca="false">'Смета Внутр'!H2195</f>
        <v>0</v>
      </c>
    </row>
    <row r="2190" customFormat="false" ht="14.5" hidden="false" customHeight="false" outlineLevel="0" collapsed="false">
      <c r="B2190" s="2888" t="str">
        <f aca="false">'Смета Внутр'!B2196</f>
        <v>шпаклевка финишная пот</v>
      </c>
      <c r="C2190" s="2889" t="str">
        <f aca="false">'Смета Внутр'!C2196</f>
        <v>м2</v>
      </c>
      <c r="D2190" s="2890" t="n">
        <f aca="false">'Смета Внутр'!D2196</f>
        <v>0</v>
      </c>
      <c r="E2190" s="2888"/>
      <c r="F2190" s="2895" t="n">
        <f aca="false">'Смета Внутр'!H2196</f>
        <v>0</v>
      </c>
    </row>
    <row r="2191" customFormat="false" ht="14.5" hidden="false" customHeight="false" outlineLevel="0" collapsed="false">
      <c r="B2191" s="2888" t="str">
        <f aca="false">'Смета Внутр'!B2197</f>
        <v>окраска потолка</v>
      </c>
      <c r="C2191" s="2889" t="str">
        <f aca="false">'Смета Внутр'!C2197</f>
        <v>м2</v>
      </c>
      <c r="D2191" s="2890" t="n">
        <f aca="false">'Смета Внутр'!D2197</f>
        <v>0</v>
      </c>
      <c r="E2191" s="2888"/>
      <c r="F2191" s="2895" t="n">
        <f aca="false">'Смета Внутр'!H2197</f>
        <v>0</v>
      </c>
    </row>
    <row r="2192" customFormat="false" ht="14.5" hidden="false" customHeight="false" outlineLevel="0" collapsed="false">
      <c r="B2192" s="2888" t="str">
        <f aca="false">'Смета Внутр'!B2198</f>
        <v>натяжной потолок</v>
      </c>
      <c r="C2192" s="2889" t="str">
        <f aca="false">'Смета Внутр'!C2198</f>
        <v>м2</v>
      </c>
      <c r="D2192" s="2890" t="n">
        <f aca="false">'Смета Внутр'!D2198</f>
        <v>0</v>
      </c>
      <c r="E2192" s="2888"/>
      <c r="F2192" s="2895" t="n">
        <f aca="false">'Смета Внутр'!H2198</f>
        <v>0</v>
      </c>
    </row>
    <row r="2193" customFormat="false" ht="14.5" hidden="false" customHeight="false" outlineLevel="0" collapsed="false">
      <c r="B2193" s="2888" t="str">
        <f aca="false">'Смета Внутр'!B2199</f>
        <v>багем монтаж</v>
      </c>
      <c r="C2193" s="2889" t="str">
        <f aca="false">'Смета Внутр'!C2199</f>
        <v>м.п.</v>
      </c>
      <c r="D2193" s="2890" t="n">
        <f aca="false">'Смета Внутр'!D2199</f>
        <v>0</v>
      </c>
      <c r="E2193" s="2888"/>
      <c r="F2193" s="2895" t="n">
        <f aca="false">'Смета Внутр'!H2199</f>
        <v>0</v>
      </c>
    </row>
    <row r="2194" customFormat="false" ht="14.5" hidden="false" customHeight="false" outlineLevel="0" collapsed="false">
      <c r="B2194" s="2888" t="str">
        <f aca="false">'Смета Внутр'!B2200</f>
        <v>багет шпаклевка</v>
      </c>
      <c r="C2194" s="2889" t="str">
        <f aca="false">'Смета Внутр'!C2200</f>
        <v>м.п.</v>
      </c>
      <c r="D2194" s="2890" t="n">
        <f aca="false">'Смета Внутр'!D2200</f>
        <v>0</v>
      </c>
      <c r="E2194" s="2888"/>
      <c r="F2194" s="2895" t="n">
        <f aca="false">'Смета Внутр'!H2200</f>
        <v>0</v>
      </c>
    </row>
    <row r="2195" customFormat="false" ht="14.5" hidden="false" customHeight="false" outlineLevel="0" collapsed="false">
      <c r="B2195" s="2888" t="str">
        <f aca="false">'Смета Внутр'!B2201</f>
        <v>багет покраска</v>
      </c>
      <c r="C2195" s="2889" t="str">
        <f aca="false">'Смета Внутр'!C2201</f>
        <v>м.п.</v>
      </c>
      <c r="D2195" s="2890" t="n">
        <f aca="false">'Смета Внутр'!D2201</f>
        <v>0</v>
      </c>
      <c r="E2195" s="2888"/>
      <c r="F2195" s="2895" t="n">
        <f aca="false">'Смета Внутр'!H2201</f>
        <v>0</v>
      </c>
    </row>
    <row r="2196" customFormat="false" ht="14.5" hidden="false" customHeight="false" outlineLevel="0" collapsed="false">
      <c r="B2196" s="2888" t="str">
        <f aca="false">'Смета Внутр'!B2202</f>
        <v>имитация бруса</v>
      </c>
      <c r="C2196" s="2889" t="str">
        <f aca="false">'Смета Внутр'!C2202</f>
        <v>м2</v>
      </c>
      <c r="D2196" s="2890" t="n">
        <f aca="false">'Смета Внутр'!D2202</f>
        <v>0</v>
      </c>
      <c r="E2196" s="2888"/>
      <c r="F2196" s="2895" t="n">
        <f aca="false">'Смета Внутр'!H2202</f>
        <v>0</v>
      </c>
    </row>
    <row r="2197" customFormat="false" ht="14.5" hidden="false" customHeight="false" outlineLevel="0" collapsed="false">
      <c r="B2197" s="2888" t="str">
        <f aca="false">'Смета Внутр'!B2203</f>
        <v>блокхаус</v>
      </c>
      <c r="C2197" s="2889" t="str">
        <f aca="false">'Смета Внутр'!C2203</f>
        <v>м2</v>
      </c>
      <c r="D2197" s="2890" t="n">
        <f aca="false">'Смета Внутр'!D2203</f>
        <v>0</v>
      </c>
      <c r="E2197" s="2888"/>
      <c r="F2197" s="2895" t="n">
        <f aca="false">'Смета Внутр'!H2203</f>
        <v>0</v>
      </c>
    </row>
    <row r="2198" customFormat="false" ht="14.5" hidden="false" customHeight="false" outlineLevel="0" collapsed="false">
      <c r="B2198" s="2888" t="str">
        <f aca="false">'Смета Внутр'!B2204</f>
        <v>вагонка</v>
      </c>
      <c r="C2198" s="2889" t="str">
        <f aca="false">'Смета Внутр'!C2204</f>
        <v>м2</v>
      </c>
      <c r="D2198" s="2890" t="n">
        <f aca="false">'Смета Внутр'!D2204</f>
        <v>0</v>
      </c>
      <c r="E2198" s="2888"/>
      <c r="F2198" s="2902" t="n">
        <f aca="false">'Смета Внутр'!H2204</f>
        <v>0</v>
      </c>
    </row>
    <row r="2199" customFormat="false" ht="14.5" hidden="false" customHeight="false" outlineLevel="0" collapsed="false">
      <c r="B2199" s="2888" t="str">
        <f aca="false">'Смета Внутр'!B2205</f>
        <v>подсистема, брусок</v>
      </c>
      <c r="C2199" s="2889" t="str">
        <f aca="false">'Смета Внутр'!C2205</f>
        <v>м2</v>
      </c>
      <c r="D2199" s="2890" t="n">
        <f aca="false">'Смета Внутр'!D2205</f>
        <v>0</v>
      </c>
      <c r="E2199" s="2888"/>
      <c r="F2199" s="2895" t="n">
        <f aca="false">'Смета Внутр'!H2205</f>
        <v>0</v>
      </c>
    </row>
    <row r="2200" customFormat="false" ht="14.5" hidden="false" customHeight="false" outlineLevel="0" collapsed="false">
      <c r="B2200" s="2889" t="str">
        <f aca="false">'Смета Внутр'!B2206</f>
        <v>пол</v>
      </c>
      <c r="C2200" s="2889"/>
      <c r="D2200" s="2889"/>
      <c r="E2200" s="2889"/>
      <c r="F2200" s="2895" t="n">
        <f aca="false">'Смета Внутр'!H2206</f>
        <v>0</v>
      </c>
    </row>
    <row r="2201" customFormat="false" ht="14.5" hidden="false" customHeight="false" outlineLevel="0" collapsed="false">
      <c r="B2201" s="2888" t="str">
        <f aca="false">'Смета Внутр'!B2207</f>
        <v>подложка</v>
      </c>
      <c r="C2201" s="2889" t="str">
        <f aca="false">'Смета Внутр'!C2207</f>
        <v>м2</v>
      </c>
      <c r="D2201" s="2890" t="n">
        <f aca="false">'Смета Внутр'!D2207</f>
        <v>94</v>
      </c>
      <c r="E2201" s="2888"/>
      <c r="F2201" s="2895" t="n">
        <f aca="false">'Смета Внутр'!H2207</f>
        <v>0</v>
      </c>
    </row>
    <row r="2202" customFormat="false" ht="14.5" hidden="false" customHeight="false" outlineLevel="0" collapsed="false">
      <c r="B2202" s="2888" t="str">
        <f aca="false">'Смета Внутр'!B2208</f>
        <v>линолеум</v>
      </c>
      <c r="C2202" s="2889" t="str">
        <f aca="false">'Смета Внутр'!C2208</f>
        <v>м2</v>
      </c>
      <c r="D2202" s="2890" t="n">
        <f aca="false">'Смета Внутр'!D2208</f>
        <v>0</v>
      </c>
      <c r="E2202" s="2888"/>
      <c r="F2202" s="2895" t="n">
        <f aca="false">'Смета Внутр'!H2208</f>
        <v>0</v>
      </c>
    </row>
    <row r="2203" customFormat="false" ht="14.5" hidden="false" customHeight="false" outlineLevel="0" collapsed="false">
      <c r="B2203" s="2888" t="str">
        <f aca="false">'Смета Внутр'!B2209</f>
        <v>ламинат</v>
      </c>
      <c r="C2203" s="2889" t="str">
        <f aca="false">'Смета Внутр'!C2209</f>
        <v>м2</v>
      </c>
      <c r="D2203" s="2890" t="n">
        <f aca="false">'Смета Внутр'!D2209</f>
        <v>94</v>
      </c>
      <c r="E2203" s="2888"/>
      <c r="F2203" s="2895" t="n">
        <f aca="false">'Смета Внутр'!H2209</f>
        <v>0</v>
      </c>
    </row>
    <row r="2204" customFormat="false" ht="14.5" hidden="false" customHeight="false" outlineLevel="0" collapsed="false">
      <c r="B2204" s="2888" t="str">
        <f aca="false">'Смета Внутр'!B2210</f>
        <v>плинтус</v>
      </c>
      <c r="C2204" s="2889" t="str">
        <f aca="false">'Смета Внутр'!C2210</f>
        <v>м.п.</v>
      </c>
      <c r="D2204" s="2890" t="n">
        <f aca="false">'Смета Внутр'!D2210</f>
        <v>0</v>
      </c>
      <c r="E2204" s="2888"/>
      <c r="F2204" s="2895" t="n">
        <f aca="false">'Смета Внутр'!H2210</f>
        <v>0</v>
      </c>
    </row>
    <row r="2205" customFormat="false" ht="14.5" hidden="false" customHeight="false" outlineLevel="0" collapsed="false">
      <c r="B2205" s="2888" t="str">
        <f aca="false">'Смета Внутр'!B2211</f>
        <v>кафель</v>
      </c>
      <c r="C2205" s="2889" t="str">
        <f aca="false">'Смета Внутр'!C2211</f>
        <v>м2</v>
      </c>
      <c r="D2205" s="2890" t="n">
        <f aca="false">'Смета Внутр'!D2211</f>
        <v>0</v>
      </c>
      <c r="E2205" s="2888"/>
      <c r="F2205" s="2895" t="n">
        <f aca="false">'Смета Внутр'!H2211</f>
        <v>0</v>
      </c>
    </row>
    <row r="2206" customFormat="false" ht="14.5" hidden="false" customHeight="false" outlineLevel="0" collapsed="false">
      <c r="B2206" s="2889" t="str">
        <f aca="false">'Смета Внутр'!B2212</f>
        <v>санузел/ванная</v>
      </c>
      <c r="C2206" s="2889"/>
      <c r="D2206" s="2889"/>
      <c r="E2206" s="2889"/>
      <c r="F2206" s="2895" t="n">
        <f aca="false">'Смета Внутр'!H2212</f>
        <v>0</v>
      </c>
    </row>
    <row r="2207" customFormat="false" ht="14.5" hidden="false" customHeight="false" outlineLevel="0" collapsed="false">
      <c r="B2207" s="2888" t="str">
        <f aca="false">'Смета Внутр'!B2213</f>
        <v>кафель стены</v>
      </c>
      <c r="C2207" s="2889" t="str">
        <f aca="false">'Смета Внутр'!C2213</f>
        <v>м2</v>
      </c>
      <c r="D2207" s="2890" t="n">
        <f aca="false">'Смета Внутр'!D2213</f>
        <v>0</v>
      </c>
      <c r="E2207" s="2888"/>
      <c r="F2207" s="2895" t="n">
        <f aca="false">'Смета Внутр'!H2213</f>
        <v>0</v>
      </c>
    </row>
    <row r="2208" customFormat="false" ht="14.5" hidden="false" customHeight="false" outlineLevel="0" collapsed="false">
      <c r="B2208" s="2888" t="str">
        <f aca="false">'Смета Внутр'!B2214</f>
        <v>кафель потолок</v>
      </c>
      <c r="C2208" s="2889" t="str">
        <f aca="false">'Смета Внутр'!C2214</f>
        <v>м2</v>
      </c>
      <c r="D2208" s="2890" t="n">
        <f aca="false">'Смета Внутр'!D2214</f>
        <v>0</v>
      </c>
      <c r="E2208" s="2888"/>
      <c r="F2208" s="2895" t="n">
        <f aca="false">'Смета Внутр'!H2214</f>
        <v>0</v>
      </c>
    </row>
    <row r="2209" customFormat="false" ht="14.5" hidden="false" customHeight="false" outlineLevel="0" collapsed="false">
      <c r="B2209" s="2888" t="str">
        <f aca="false">'Смета Внутр'!B2215</f>
        <v>кафель пол</v>
      </c>
      <c r="C2209" s="2889" t="str">
        <f aca="false">'Смета Внутр'!C2215</f>
        <v>м2</v>
      </c>
      <c r="D2209" s="2890" t="n">
        <f aca="false">'Смета Внутр'!D2215</f>
        <v>0</v>
      </c>
      <c r="E2209" s="2888"/>
      <c r="F2209" s="2895" t="n">
        <f aca="false">'Смета Внутр'!H2215</f>
        <v>0</v>
      </c>
    </row>
    <row r="2210" customFormat="false" ht="14.5" hidden="false" customHeight="false" outlineLevel="0" collapsed="false">
      <c r="B2210" s="2888" t="str">
        <f aca="false">'Смета Внутр'!B2216</f>
        <v>панели пластик стены</v>
      </c>
      <c r="C2210" s="2889" t="str">
        <f aca="false">'Смета Внутр'!C2216</f>
        <v>м2</v>
      </c>
      <c r="D2210" s="2890" t="n">
        <f aca="false">'Смета Внутр'!D2216</f>
        <v>0</v>
      </c>
      <c r="E2210" s="2888"/>
      <c r="F2210" s="2895" t="n">
        <f aca="false">'Смета Внутр'!H2216</f>
        <v>0</v>
      </c>
    </row>
    <row r="2211" customFormat="false" ht="14.5" hidden="false" customHeight="false" outlineLevel="0" collapsed="false">
      <c r="B2211" s="2888" t="str">
        <f aca="false">'Смета Внутр'!B2217</f>
        <v>панели пластик потолок</v>
      </c>
      <c r="C2211" s="2889" t="str">
        <f aca="false">'Смета Внутр'!C2217</f>
        <v>м2</v>
      </c>
      <c r="D2211" s="2890" t="n">
        <f aca="false">'Смета Внутр'!D2217</f>
        <v>0</v>
      </c>
      <c r="E2211" s="2888"/>
      <c r="F2211" s="2895" t="n">
        <f aca="false">'Смета Внутр'!H2217</f>
        <v>0</v>
      </c>
    </row>
    <row r="2212" customFormat="false" ht="14.5" hidden="false" customHeight="false" outlineLevel="0" collapsed="false">
      <c r="B2212" s="2888" t="str">
        <f aca="false">'Смета Внутр'!B2218</f>
        <v>натяжной потолок</v>
      </c>
      <c r="C2212" s="2889" t="str">
        <f aca="false">'Смета Внутр'!C2218</f>
        <v>м2</v>
      </c>
      <c r="D2212" s="2890" t="n">
        <f aca="false">'Смета Внутр'!D2218</f>
        <v>0</v>
      </c>
      <c r="E2212" s="2888"/>
      <c r="F2212" s="2895" t="n">
        <f aca="false">'Смета Внутр'!H2218</f>
        <v>0</v>
      </c>
    </row>
    <row r="2213" customFormat="false" ht="18.5" hidden="false" customHeight="false" outlineLevel="0" collapsed="false">
      <c r="B2213" s="2922" t="str">
        <f aca="false">'Смета Внутр'!B2219</f>
        <v>Двери межкомнатные</v>
      </c>
      <c r="C2213" s="2922"/>
      <c r="D2213" s="2922"/>
      <c r="E2213" s="2922"/>
      <c r="F2213" s="2895" t="n">
        <f aca="false">'Смета Внутр'!H2219</f>
        <v>0</v>
      </c>
    </row>
    <row r="2214" customFormat="false" ht="14.5" hidden="false" customHeight="false" outlineLevel="0" collapsed="false">
      <c r="B2214" s="2888" t="str">
        <f aca="false">'Смета Внутр'!B2220</f>
        <v>устанвка дверей</v>
      </c>
      <c r="C2214" s="2889" t="str">
        <f aca="false">'Смета Внутр'!C2220</f>
        <v>шт</v>
      </c>
      <c r="D2214" s="2890" t="n">
        <f aca="false">'Смета Внутр'!D2220</f>
        <v>0</v>
      </c>
      <c r="E2214" s="2888"/>
      <c r="F2214" s="2895" t="n">
        <f aca="false">'Смета Внутр'!H2220</f>
        <v>0</v>
      </c>
    </row>
    <row r="2215" customFormat="false" ht="14.5" hidden="false" customHeight="false" outlineLevel="0" collapsed="false">
      <c r="B2215" s="2888" t="str">
        <f aca="false">'Смета Внутр'!B2221</f>
        <v>монтаж коробки</v>
      </c>
      <c r="C2215" s="2889" t="str">
        <f aca="false">'Смета Внутр'!C2221</f>
        <v>шт</v>
      </c>
      <c r="D2215" s="2890" t="n">
        <f aca="false">'Смета Внутр'!D2221</f>
        <v>0</v>
      </c>
      <c r="E2215" s="2888"/>
      <c r="F2215" s="2895" t="n">
        <f aca="false">'Смета Внутр'!H2221</f>
        <v>0</v>
      </c>
    </row>
    <row r="2216" customFormat="false" ht="14.5" hidden="false" customHeight="false" outlineLevel="0" collapsed="false">
      <c r="B2216" s="2888" t="str">
        <f aca="false">'Смета Внутр'!B2222</f>
        <v>монтаж наличников</v>
      </c>
      <c r="C2216" s="2889" t="str">
        <f aca="false">'Смета Внутр'!C2222</f>
        <v>шт</v>
      </c>
      <c r="D2216" s="2890" t="n">
        <f aca="false">'Смета Внутр'!D2222</f>
        <v>0</v>
      </c>
      <c r="E2216" s="2888"/>
      <c r="F2216" s="2895" t="n">
        <f aca="false">'Смета Внутр'!H2222</f>
        <v>0</v>
      </c>
    </row>
    <row r="2217" customFormat="false" ht="14.5" hidden="false" customHeight="false" outlineLevel="0" collapsed="false">
      <c r="B2217" s="2888" t="str">
        <f aca="false">'Смета Внутр'!B2223</f>
        <v>монтаж порожков</v>
      </c>
      <c r="C2217" s="2889" t="str">
        <f aca="false">'Смета Внутр'!C2223</f>
        <v>шт</v>
      </c>
      <c r="D2217" s="2890" t="n">
        <f aca="false">'Смета Внутр'!D2223</f>
        <v>0</v>
      </c>
      <c r="E2217" s="2888"/>
      <c r="F2217" s="2895" t="n">
        <f aca="false">'Смета Внутр'!H2223</f>
        <v>0</v>
      </c>
    </row>
    <row r="2218" customFormat="false" ht="14.5" hidden="false" customHeight="false" outlineLevel="0" collapsed="false">
      <c r="B2218" s="2888" t="str">
        <f aca="false">'Смета Внутр'!B2224</f>
        <v>монтаж отбойников</v>
      </c>
      <c r="C2218" s="2889" t="str">
        <f aca="false">'Смета Внутр'!C2224</f>
        <v>шт</v>
      </c>
      <c r="D2218" s="2890" t="n">
        <f aca="false">'Смета Внутр'!D2224</f>
        <v>0</v>
      </c>
      <c r="E2218" s="2888"/>
      <c r="F2218" s="2895" t="n">
        <f aca="false">'Смета Внутр'!H2224</f>
        <v>0</v>
      </c>
    </row>
    <row r="2219" customFormat="false" ht="14.5" hidden="false" customHeight="false" outlineLevel="0" collapsed="false">
      <c r="B2219" s="2896" t="str">
        <f aca="false">'Смета Внутр'!B2225</f>
        <v>Итого работы</v>
      </c>
      <c r="C2219" s="2896"/>
      <c r="D2219" s="2896"/>
      <c r="E2219" s="2896"/>
      <c r="F2219" s="2891" t="n">
        <f aca="false">'Смета Внутр'!G2225</f>
        <v>0</v>
      </c>
    </row>
    <row r="2220" customFormat="false" ht="18.5" hidden="false" customHeight="false" outlineLevel="0" collapsed="false">
      <c r="B2220" s="2899" t="str">
        <f aca="false">'Смета Внутр'!B2226</f>
        <v>Электрика</v>
      </c>
      <c r="C2220" s="2899"/>
      <c r="D2220" s="2899"/>
      <c r="E2220" s="2899"/>
      <c r="F2220" s="2893" t="n">
        <f aca="false">'Смета Внутр'!H2226</f>
        <v>0</v>
      </c>
    </row>
    <row r="2221" customFormat="false" ht="14.5" hidden="false" customHeight="false" outlineLevel="0" collapsed="false">
      <c r="B2221" s="2894" t="str">
        <f aca="false">'Смета Внутр'!B2227</f>
        <v>Материалы</v>
      </c>
      <c r="C2221" s="2894"/>
      <c r="D2221" s="2894"/>
      <c r="E2221" s="2894"/>
      <c r="F2221" s="2893" t="n">
        <f aca="false">'Смета Внутр'!H2227</f>
        <v>0</v>
      </c>
    </row>
    <row r="2222" customFormat="false" ht="14.5" hidden="false" customHeight="false" outlineLevel="0" collapsed="false">
      <c r="B2222" s="2888" t="str">
        <f aca="false">'Смета Внутр'!B2228</f>
        <v>Кабель ВВГнг(А)-LS 3х2,5 0,66</v>
      </c>
      <c r="C2222" s="2889" t="str">
        <f aca="false">'Смета Внутр'!C2228</f>
        <v>м.п.</v>
      </c>
      <c r="D2222" s="2890" t="n">
        <f aca="false">'Смета Внутр'!D2228</f>
        <v>111.4</v>
      </c>
      <c r="E2222" s="2888"/>
      <c r="F2222" s="2895" t="n">
        <f aca="false">'Смета Внутр'!H2228</f>
        <v>0</v>
      </c>
    </row>
    <row r="2223" customFormat="false" ht="14.5" hidden="false" customHeight="false" outlineLevel="0" collapsed="false">
      <c r="B2223" s="2888" t="str">
        <f aca="false">'Смета Внутр'!B2229</f>
        <v>Труба ПВХ гофрировонная гибкая 20</v>
      </c>
      <c r="C2223" s="2889" t="str">
        <f aca="false">'Смета Внутр'!C2229</f>
        <v>м.п.</v>
      </c>
      <c r="D2223" s="2890" t="n">
        <f aca="false">'Смета Внутр'!D2229</f>
        <v>122.54</v>
      </c>
      <c r="E2223" s="2888"/>
      <c r="F2223" s="2895" t="n">
        <f aca="false">'Смета Внутр'!H2229</f>
        <v>0</v>
      </c>
    </row>
    <row r="2224" customFormat="false" ht="14.5" hidden="false" customHeight="false" outlineLevel="0" collapsed="false">
      <c r="B2224" s="2888" t="str">
        <f aca="false">'Смета Внутр'!B2230</f>
        <v>Кабель ВВГнг(А)-LS 3х1,5 0,66</v>
      </c>
      <c r="C2224" s="2889" t="str">
        <f aca="false">'Смета Внутр'!C2230</f>
        <v>м.п.</v>
      </c>
      <c r="D2224" s="2890" t="n">
        <f aca="false">'Смета Внутр'!D2230</f>
        <v>186.8</v>
      </c>
      <c r="E2224" s="2888"/>
      <c r="F2224" s="2895" t="n">
        <f aca="false">'Смета Внутр'!H2230</f>
        <v>0</v>
      </c>
    </row>
    <row r="2225" customFormat="false" ht="14.5" hidden="false" customHeight="false" outlineLevel="0" collapsed="false">
      <c r="B2225" s="2888" t="str">
        <f aca="false">'Смета Внутр'!B2231</f>
        <v>Труба ПВХ гофрировонная гибкая 25</v>
      </c>
      <c r="C2225" s="2889" t="str">
        <f aca="false">'Смета Внутр'!C2231</f>
        <v>м.п.</v>
      </c>
      <c r="D2225" s="2890" t="n">
        <f aca="false">'Смета Внутр'!D2231</f>
        <v>205.48</v>
      </c>
      <c r="E2225" s="2888"/>
      <c r="F2225" s="2895" t="n">
        <f aca="false">'Смета Внутр'!H2231</f>
        <v>0</v>
      </c>
    </row>
    <row r="2226" customFormat="false" ht="14.5" hidden="false" customHeight="false" outlineLevel="0" collapsed="false">
      <c r="B2226" s="2888" t="str">
        <f aca="false">'Смета Внутр'!B2232</f>
        <v>Кабель ВВГнг(А)-LS 3х4 0,66</v>
      </c>
      <c r="C2226" s="2889" t="str">
        <f aca="false">'Смета Внутр'!C2232</f>
        <v>м.п.</v>
      </c>
      <c r="D2226" s="2890" t="n">
        <f aca="false">'Смета Внутр'!D2232</f>
        <v>75</v>
      </c>
      <c r="E2226" s="2888"/>
      <c r="F2226" s="2895" t="n">
        <f aca="false">'Смета Внутр'!H2232</f>
        <v>0</v>
      </c>
    </row>
    <row r="2227" customFormat="false" ht="14.5" hidden="false" customHeight="false" outlineLevel="0" collapsed="false">
      <c r="B2227" s="2888" t="str">
        <f aca="false">'Смета Внутр'!B2233</f>
        <v>Труба ПВХ гофрировонная гибкая 32</v>
      </c>
      <c r="C2227" s="2889" t="str">
        <f aca="false">'Смета Внутр'!C2233</f>
        <v>м.п.</v>
      </c>
      <c r="D2227" s="2890" t="n">
        <f aca="false">'Смета Внутр'!D2233</f>
        <v>82.5</v>
      </c>
      <c r="E2227" s="2888"/>
      <c r="F2227" s="2895" t="n">
        <f aca="false">'Смета Внутр'!H2233</f>
        <v>0</v>
      </c>
    </row>
    <row r="2228" customFormat="false" ht="14.5" hidden="false" customHeight="false" outlineLevel="0" collapsed="false">
      <c r="B2228" s="2888" t="str">
        <f aca="false">'Смета Внутр'!B2234</f>
        <v>крепления для гофры</v>
      </c>
      <c r="C2228" s="2889" t="str">
        <f aca="false">'Смета Внутр'!C2234</f>
        <v>шт</v>
      </c>
      <c r="D2228" s="2890" t="n">
        <f aca="false">'Смета Внутр'!D2234</f>
        <v>400</v>
      </c>
      <c r="E2228" s="2888"/>
      <c r="F2228" s="2895" t="n">
        <f aca="false">'Смета Внутр'!H2234</f>
        <v>0</v>
      </c>
    </row>
    <row r="2229" customFormat="false" ht="14.5" hidden="false" customHeight="false" outlineLevel="0" collapsed="false">
      <c r="B2229" s="2888" t="str">
        <f aca="false">'Смета Внутр'!B2235</f>
        <v>саморез для крепления гофры</v>
      </c>
      <c r="C2229" s="2889" t="str">
        <f aca="false">'Смета Внутр'!C2235</f>
        <v>шт</v>
      </c>
      <c r="D2229" s="2890" t="n">
        <f aca="false">'Смета Внутр'!D2235</f>
        <v>800</v>
      </c>
      <c r="E2229" s="2888"/>
      <c r="F2229" s="2895" t="n">
        <f aca="false">'Смета Внутр'!H2235</f>
        <v>0</v>
      </c>
    </row>
    <row r="2230" customFormat="false" ht="14.5" hidden="false" customHeight="false" outlineLevel="0" collapsed="false">
      <c r="B2230" s="2888" t="str">
        <f aca="false">'Смета Внутр'!B2236</f>
        <v>Коробка распределения</v>
      </c>
      <c r="C2230" s="2889" t="str">
        <f aca="false">'Смета Внутр'!C2236</f>
        <v>шт</v>
      </c>
      <c r="D2230" s="2890" t="n">
        <f aca="false">'Смета Внутр'!D2236</f>
        <v>6</v>
      </c>
      <c r="E2230" s="2888"/>
      <c r="F2230" s="2895" t="n">
        <f aca="false">'Смета Внутр'!H2236</f>
        <v>0</v>
      </c>
    </row>
    <row r="2231" customFormat="false" ht="14.5" hidden="false" customHeight="false" outlineLevel="0" collapsed="false">
      <c r="B2231" s="2888" t="str">
        <f aca="false">'Смета Внутр'!B2237</f>
        <v>Вага</v>
      </c>
      <c r="C2231" s="2889" t="str">
        <f aca="false">'Смета Внутр'!C2237</f>
        <v>шт</v>
      </c>
      <c r="D2231" s="2890" t="n">
        <f aca="false">'Смета Внутр'!D2237</f>
        <v>480</v>
      </c>
      <c r="E2231" s="2888"/>
      <c r="F2231" s="2895" t="n">
        <f aca="false">'Смета Внутр'!H2237</f>
        <v>0</v>
      </c>
    </row>
    <row r="2232" customFormat="false" ht="14.5" hidden="false" customHeight="false" outlineLevel="0" collapsed="false">
      <c r="B2232" s="2888" t="str">
        <f aca="false">'Смета Внутр'!B2238</f>
        <v>Щиток электрический</v>
      </c>
      <c r="C2232" s="2889" t="str">
        <f aca="false">'Смета Внутр'!C2238</f>
        <v>шт</v>
      </c>
      <c r="D2232" s="2890" t="n">
        <f aca="false">'Смета Внутр'!D2238</f>
        <v>1</v>
      </c>
      <c r="E2232" s="2888"/>
      <c r="F2232" s="2895" t="n">
        <f aca="false">'Смета Внутр'!H2238</f>
        <v>0</v>
      </c>
    </row>
    <row r="2233" customFormat="false" ht="14.5" hidden="false" customHeight="false" outlineLevel="0" collapsed="false">
      <c r="B2233" s="2888" t="str">
        <f aca="false">'Смета Внутр'!B2239</f>
        <v>автомат, 3 полюса, 32амп</v>
      </c>
      <c r="C2233" s="2889" t="str">
        <f aca="false">'Смета Внутр'!C2239</f>
        <v>шт</v>
      </c>
      <c r="D2233" s="2890" t="n">
        <f aca="false">'Смета Внутр'!D2239</f>
        <v>2</v>
      </c>
      <c r="E2233" s="2888"/>
      <c r="F2233" s="2895" t="n">
        <f aca="false">'Смета Внутр'!H2239</f>
        <v>0</v>
      </c>
    </row>
    <row r="2234" customFormat="false" ht="14.5" hidden="false" customHeight="false" outlineLevel="0" collapsed="false">
      <c r="B2234" s="2888" t="str">
        <f aca="false">'Смета Внутр'!B2240</f>
        <v>автомат, 1 полюс, 16амп</v>
      </c>
      <c r="C2234" s="2889" t="str">
        <f aca="false">'Смета Внутр'!C2240</f>
        <v>шт</v>
      </c>
      <c r="D2234" s="2890" t="n">
        <f aca="false">'Смета Внутр'!D2240</f>
        <v>20</v>
      </c>
      <c r="E2234" s="2888"/>
      <c r="F2234" s="2895" t="n">
        <f aca="false">'Смета Внутр'!H2240</f>
        <v>0</v>
      </c>
    </row>
    <row r="2235" customFormat="false" ht="14.5" hidden="false" customHeight="false" outlineLevel="0" collapsed="false">
      <c r="B2235" s="2888" t="str">
        <f aca="false">'Смета Внутр'!B2241</f>
        <v>автомат, 1 полюс, 25 амп</v>
      </c>
      <c r="C2235" s="2889" t="str">
        <f aca="false">'Смета Внутр'!C2241</f>
        <v>шт</v>
      </c>
      <c r="D2235" s="2890" t="n">
        <f aca="false">'Смета Внутр'!D2241</f>
        <v>2</v>
      </c>
      <c r="E2235" s="2888"/>
      <c r="F2235" s="2895" t="n">
        <f aca="false">'Смета Внутр'!H2241</f>
        <v>0</v>
      </c>
    </row>
    <row r="2236" customFormat="false" ht="14.5" hidden="false" customHeight="false" outlineLevel="0" collapsed="false">
      <c r="B2236" s="2888" t="str">
        <f aca="false">'Смета Внутр'!B2242</f>
        <v>Коробка электрическая</v>
      </c>
      <c r="C2236" s="2889" t="str">
        <f aca="false">'Смета Внутр'!C2242</f>
        <v>шт</v>
      </c>
      <c r="D2236" s="2890" t="n">
        <f aca="false">'Смета Внутр'!D2242</f>
        <v>60</v>
      </c>
      <c r="E2236" s="2888"/>
      <c r="F2236" s="2895" t="n">
        <f aca="false">'Смета Внутр'!H2242</f>
        <v>0</v>
      </c>
    </row>
    <row r="2237" customFormat="false" ht="14.5" hidden="false" customHeight="false" outlineLevel="0" collapsed="false">
      <c r="B2237" s="2888" t="str">
        <f aca="false">'Смета Внутр'!B2243</f>
        <v>Розетка 2</v>
      </c>
      <c r="C2237" s="2889" t="str">
        <f aca="false">'Смета Внутр'!C2243</f>
        <v>шт</v>
      </c>
      <c r="D2237" s="2890" t="n">
        <f aca="false">'Смета Внутр'!D2243</f>
        <v>40</v>
      </c>
      <c r="E2237" s="2888"/>
      <c r="F2237" s="2895" t="n">
        <f aca="false">'Смета Внутр'!H2243</f>
        <v>0</v>
      </c>
    </row>
    <row r="2238" customFormat="false" ht="14.5" hidden="false" customHeight="false" outlineLevel="0" collapsed="false">
      <c r="B2238" s="2888" t="str">
        <f aca="false">'Смета Внутр'!B2244</f>
        <v>Выключатель 3</v>
      </c>
      <c r="C2238" s="2889" t="str">
        <f aca="false">'Смета Внутр'!C2244</f>
        <v>шт</v>
      </c>
      <c r="D2238" s="2890" t="n">
        <f aca="false">'Смета Внутр'!D2244</f>
        <v>20</v>
      </c>
      <c r="E2238" s="2888"/>
      <c r="F2238" s="2895" t="n">
        <f aca="false">'Смета Внутр'!H2244</f>
        <v>0</v>
      </c>
    </row>
    <row r="2239" customFormat="false" ht="14.5" hidden="false" customHeight="false" outlineLevel="0" collapsed="false">
      <c r="B2239" s="2896" t="str">
        <f aca="false">'Смета Внутр'!B2245</f>
        <v>Итого материалы</v>
      </c>
      <c r="C2239" s="2896"/>
      <c r="D2239" s="2896"/>
      <c r="E2239" s="2896"/>
      <c r="F2239" s="2897" t="n">
        <f aca="false">'Смета Внутр'!G2245</f>
        <v>0</v>
      </c>
    </row>
    <row r="2240" customFormat="false" ht="14.5" hidden="false" customHeight="false" outlineLevel="0" collapsed="false">
      <c r="B2240" s="2898" t="str">
        <f aca="false">'Смета Внутр'!B2246</f>
        <v>Работы</v>
      </c>
      <c r="C2240" s="2898"/>
      <c r="D2240" s="2898"/>
      <c r="E2240" s="2898"/>
      <c r="F2240" s="2893" t="n">
        <f aca="false">'Смета Внутр'!H2246</f>
        <v>0</v>
      </c>
    </row>
    <row r="2241" customFormat="false" ht="14.5" hidden="false" customHeight="false" outlineLevel="0" collapsed="false">
      <c r="B2241" s="2888" t="str">
        <f aca="false">'Смета Внутр'!B2247</f>
        <v>монтаж кабеля</v>
      </c>
      <c r="C2241" s="2889" t="str">
        <f aca="false">'Смета Внутр'!C2247</f>
        <v>м.п.</v>
      </c>
      <c r="D2241" s="2890" t="n">
        <f aca="false">'Смета Внутр'!D2247</f>
        <v>373.2</v>
      </c>
      <c r="E2241" s="2888"/>
      <c r="F2241" s="2895" t="n">
        <f aca="false">'Смета Внутр'!H2247</f>
        <v>0</v>
      </c>
    </row>
    <row r="2242" customFormat="false" ht="14.5" hidden="false" customHeight="false" outlineLevel="0" collapsed="false">
      <c r="B2242" s="2888" t="str">
        <f aca="false">'Смета Внутр'!B2248</f>
        <v>монтаж гофры</v>
      </c>
      <c r="C2242" s="2889" t="str">
        <f aca="false">'Смета Внутр'!C2248</f>
        <v>м.п.</v>
      </c>
      <c r="D2242" s="2890" t="n">
        <f aca="false">'Смета Внутр'!D2248</f>
        <v>373.2</v>
      </c>
      <c r="E2242" s="2888"/>
      <c r="F2242" s="2895" t="n">
        <f aca="false">'Смета Внутр'!H2248</f>
        <v>0</v>
      </c>
    </row>
    <row r="2243" customFormat="false" ht="14.5" hidden="false" customHeight="false" outlineLevel="0" collapsed="false">
      <c r="B2243" s="2888" t="str">
        <f aca="false">'Смета Внутр'!B2249</f>
        <v>монтаж коробок распр</v>
      </c>
      <c r="C2243" s="2889" t="str">
        <f aca="false">'Смета Внутр'!C2249</f>
        <v>шт.</v>
      </c>
      <c r="D2243" s="2890" t="n">
        <f aca="false">'Смета Внутр'!D2249</f>
        <v>6</v>
      </c>
      <c r="E2243" s="2888"/>
      <c r="F2243" s="2895" t="n">
        <f aca="false">'Смета Внутр'!H2249</f>
        <v>0</v>
      </c>
    </row>
    <row r="2244" customFormat="false" ht="14.5" hidden="false" customHeight="false" outlineLevel="0" collapsed="false">
      <c r="B2244" s="2888" t="str">
        <f aca="false">'Смета Внутр'!B2250</f>
        <v>монтаж коробок роз</v>
      </c>
      <c r="C2244" s="2889" t="str">
        <f aca="false">'Смета Внутр'!C2250</f>
        <v>шт.</v>
      </c>
      <c r="D2244" s="2890" t="n">
        <f aca="false">'Смета Внутр'!D2250</f>
        <v>40</v>
      </c>
      <c r="E2244" s="2888"/>
      <c r="F2244" s="2895" t="n">
        <f aca="false">'Смета Внутр'!H2250</f>
        <v>0</v>
      </c>
    </row>
    <row r="2245" customFormat="false" ht="14.5" hidden="false" customHeight="false" outlineLevel="0" collapsed="false">
      <c r="B2245" s="2888" t="str">
        <f aca="false">'Смета Внутр'!B2251</f>
        <v>монтаж коробок выкл</v>
      </c>
      <c r="C2245" s="2889" t="str">
        <f aca="false">'Смета Внутр'!C2251</f>
        <v>шт.</v>
      </c>
      <c r="D2245" s="2890" t="n">
        <f aca="false">'Смета Внутр'!D2251</f>
        <v>20</v>
      </c>
      <c r="E2245" s="2888"/>
      <c r="F2245" s="2895" t="n">
        <f aca="false">'Смета Внутр'!H2251</f>
        <v>0</v>
      </c>
    </row>
    <row r="2246" customFormat="false" ht="14.5" hidden="false" customHeight="false" outlineLevel="0" collapsed="false">
      <c r="B2246" s="2888" t="str">
        <f aca="false">'Смета Внутр'!B2252</f>
        <v>монтаж щитка</v>
      </c>
      <c r="C2246" s="2889" t="str">
        <f aca="false">'Смета Внутр'!C2252</f>
        <v>шт.</v>
      </c>
      <c r="D2246" s="2890" t="n">
        <f aca="false">'Смета Внутр'!D2252</f>
        <v>1</v>
      </c>
      <c r="E2246" s="2888"/>
      <c r="F2246" s="2895" t="n">
        <f aca="false">'Смета Внутр'!H2252</f>
        <v>0</v>
      </c>
    </row>
    <row r="2247" customFormat="false" ht="14.5" hidden="false" customHeight="false" outlineLevel="0" collapsed="false">
      <c r="B2247" s="2888" t="str">
        <f aca="false">'Смета Внутр'!B2253</f>
        <v>установка розеток</v>
      </c>
      <c r="C2247" s="2889" t="str">
        <f aca="false">'Смета Внутр'!C2253</f>
        <v>шт.</v>
      </c>
      <c r="D2247" s="2890" t="n">
        <f aca="false">'Смета Внутр'!D2253</f>
        <v>40</v>
      </c>
      <c r="E2247" s="2888"/>
      <c r="F2247" s="2895" t="n">
        <f aca="false">'Смета Внутр'!H2253</f>
        <v>0</v>
      </c>
    </row>
    <row r="2248" customFormat="false" ht="14.5" hidden="false" customHeight="false" outlineLevel="0" collapsed="false">
      <c r="B2248" s="2888" t="str">
        <f aca="false">'Смета Внутр'!B2254</f>
        <v>установка выключателей</v>
      </c>
      <c r="C2248" s="2889" t="str">
        <f aca="false">'Смета Внутр'!C2254</f>
        <v>шт.</v>
      </c>
      <c r="D2248" s="2890" t="n">
        <f aca="false">'Смета Внутр'!D2254</f>
        <v>20</v>
      </c>
      <c r="E2248" s="2888"/>
      <c r="F2248" s="2895" t="n">
        <f aca="false">'Смета Внутр'!H2254</f>
        <v>0</v>
      </c>
    </row>
    <row r="2249" customFormat="false" ht="14.5" hidden="false" customHeight="false" outlineLevel="0" collapsed="false">
      <c r="B2249" s="2896" t="str">
        <f aca="false">'Смета Внутр'!B2255</f>
        <v>Итого работы</v>
      </c>
      <c r="C2249" s="2896"/>
      <c r="D2249" s="2896"/>
      <c r="E2249" s="2896"/>
      <c r="F2249" s="2897" t="n">
        <f aca="false">'Смета Внутр'!G2255</f>
        <v>0</v>
      </c>
    </row>
    <row r="2250" customFormat="false" ht="18.5" hidden="false" customHeight="false" outlineLevel="0" collapsed="false">
      <c r="B2250" s="2899" t="str">
        <f aca="false">'Смета Внутр'!B2256</f>
        <v>Отопление радиаторное, холодное и горячее водоснабжение</v>
      </c>
      <c r="C2250" s="2899"/>
      <c r="D2250" s="2899"/>
      <c r="E2250" s="2899"/>
      <c r="F2250" s="2893" t="n">
        <f aca="false">'Смета Внутр'!H2256</f>
        <v>0</v>
      </c>
    </row>
    <row r="2251" customFormat="false" ht="14.5" hidden="false" customHeight="false" outlineLevel="0" collapsed="false">
      <c r="B2251" s="2894" t="str">
        <f aca="false">'Смета Внутр'!B2257</f>
        <v>Материалы</v>
      </c>
      <c r="C2251" s="2894"/>
      <c r="D2251" s="2894"/>
      <c r="E2251" s="2894"/>
      <c r="F2251" s="2893" t="n">
        <f aca="false">'Смета Внутр'!H2257</f>
        <v>0</v>
      </c>
    </row>
    <row r="2252" customFormat="false" ht="14.5" hidden="false" customHeight="false" outlineLevel="0" collapsed="false">
      <c r="B2252" s="2888" t="str">
        <f aca="false">'Смета Внутр'!B2258</f>
        <v>труба диам 25/32 отопление</v>
      </c>
      <c r="C2252" s="2889" t="str">
        <f aca="false">'Смета Внутр'!C2258</f>
        <v>м.п.</v>
      </c>
      <c r="D2252" s="2890" t="n">
        <f aca="false">'Смета Внутр'!D2258</f>
        <v>150.8</v>
      </c>
      <c r="E2252" s="2888"/>
      <c r="F2252" s="2895" t="n">
        <f aca="false">'Смета Внутр'!H2258</f>
        <v>0</v>
      </c>
    </row>
    <row r="2253" customFormat="false" ht="14.5" hidden="false" customHeight="false" outlineLevel="0" collapsed="false">
      <c r="B2253" s="2888" t="str">
        <f aca="false">'Смета Внутр'!B2259</f>
        <v>соеденители для трубы</v>
      </c>
      <c r="C2253" s="2889" t="str">
        <f aca="false">'Смета Внутр'!C2259</f>
        <v>шт</v>
      </c>
      <c r="D2253" s="2890" t="n">
        <f aca="false">'Смета Внутр'!D2259</f>
        <v>50.2666666666667</v>
      </c>
      <c r="E2253" s="2888"/>
      <c r="F2253" s="2895" t="n">
        <f aca="false">'Смета Внутр'!H2259</f>
        <v>0</v>
      </c>
    </row>
    <row r="2254" customFormat="false" ht="14.5" hidden="false" customHeight="false" outlineLevel="0" collapsed="false">
      <c r="B2254" s="2888" t="str">
        <f aca="false">'Смета Внутр'!B2260</f>
        <v>уголок 90 град</v>
      </c>
      <c r="C2254" s="2889" t="str">
        <f aca="false">'Смета Внутр'!C2260</f>
        <v>шт</v>
      </c>
      <c r="D2254" s="2890" t="n">
        <f aca="false">'Смета Внутр'!D2260</f>
        <v>60.32</v>
      </c>
      <c r="E2254" s="2888"/>
      <c r="F2254" s="2895" t="n">
        <f aca="false">'Смета Внутр'!H2260</f>
        <v>0</v>
      </c>
    </row>
    <row r="2255" customFormat="false" ht="14.5" hidden="false" customHeight="false" outlineLevel="0" collapsed="false">
      <c r="B2255" s="2888" t="str">
        <f aca="false">'Смета Внутр'!B2261</f>
        <v>радиаторы, 1 секция</v>
      </c>
      <c r="C2255" s="2889" t="str">
        <f aca="false">'Смета Внутр'!C2261</f>
        <v>шт</v>
      </c>
      <c r="D2255" s="2890" t="n">
        <f aca="false">'Смета Внутр'!D2261</f>
        <v>50</v>
      </c>
      <c r="E2255" s="2888"/>
      <c r="F2255" s="2895" t="n">
        <f aca="false">'Смета Внутр'!H2261</f>
        <v>0</v>
      </c>
    </row>
    <row r="2256" customFormat="false" ht="14.5" hidden="false" customHeight="false" outlineLevel="0" collapsed="false">
      <c r="B2256" s="2888" t="str">
        <f aca="false">'Смета Внутр'!B2262</f>
        <v>комплектующие для радиаторов</v>
      </c>
      <c r="C2256" s="2889" t="str">
        <f aca="false">'Смета Внутр'!C2262</f>
        <v>шт</v>
      </c>
      <c r="D2256" s="2890" t="n">
        <f aca="false">'Смета Внутр'!D2262</f>
        <v>50</v>
      </c>
      <c r="E2256" s="2888"/>
      <c r="F2256" s="2895" t="n">
        <f aca="false">'Смета Внутр'!H2262</f>
        <v>0</v>
      </c>
    </row>
    <row r="2257" customFormat="false" ht="14.5" hidden="false" customHeight="false" outlineLevel="0" collapsed="false">
      <c r="B2257" s="2888" t="str">
        <f aca="false">'Смета Внутр'!B2263</f>
        <v>кран американка ду 25/32 для радиаторов</v>
      </c>
      <c r="C2257" s="2889" t="str">
        <f aca="false">'Смета Внутр'!C2263</f>
        <v>шт</v>
      </c>
      <c r="D2257" s="2890" t="n">
        <f aca="false">'Смета Внутр'!D2263</f>
        <v>100</v>
      </c>
      <c r="E2257" s="2888"/>
      <c r="F2257" s="2895" t="n">
        <f aca="false">'Смета Внутр'!H2263</f>
        <v>0</v>
      </c>
    </row>
    <row r="2258" customFormat="false" ht="14.5" hidden="false" customHeight="false" outlineLevel="0" collapsed="false">
      <c r="B2258" s="2888" t="str">
        <f aca="false">'Смета Внутр'!B2264</f>
        <v>кран гайка/резьба ду 25/32</v>
      </c>
      <c r="C2258" s="2889" t="str">
        <f aca="false">'Смета Внутр'!C2264</f>
        <v>шт</v>
      </c>
      <c r="D2258" s="2890" t="n">
        <f aca="false">'Смета Внутр'!D2264</f>
        <v>100</v>
      </c>
      <c r="E2258" s="2888"/>
      <c r="F2258" s="2895" t="n">
        <f aca="false">'Смета Внутр'!H2264</f>
        <v>0</v>
      </c>
    </row>
    <row r="2259" customFormat="false" ht="14.5" hidden="false" customHeight="false" outlineLevel="0" collapsed="false">
      <c r="B2259" s="2888" t="str">
        <f aca="false">'Смета Внутр'!B2265</f>
        <v>труба диам 20 вода</v>
      </c>
      <c r="C2259" s="2889" t="str">
        <f aca="false">'Смета Внутр'!C2265</f>
        <v>м.п.</v>
      </c>
      <c r="D2259" s="2890" t="n">
        <f aca="false">'Смета Внутр'!D2265</f>
        <v>30</v>
      </c>
      <c r="E2259" s="2888"/>
      <c r="F2259" s="2895" t="n">
        <f aca="false">'Смета Внутр'!H2265</f>
        <v>0</v>
      </c>
    </row>
    <row r="2260" customFormat="false" ht="14.5" hidden="false" customHeight="false" outlineLevel="0" collapsed="false">
      <c r="B2260" s="2888" t="str">
        <f aca="false">'Смета Внутр'!B2266</f>
        <v>комплектующие для хол и гор водоснаб</v>
      </c>
      <c r="C2260" s="2889" t="str">
        <f aca="false">'Смета Внутр'!C2266</f>
        <v>шт</v>
      </c>
      <c r="D2260" s="2890" t="n">
        <f aca="false">'Смета Внутр'!D2266</f>
        <v>1</v>
      </c>
      <c r="E2260" s="2888"/>
      <c r="F2260" s="2895" t="n">
        <f aca="false">'Смета Внутр'!H2266</f>
        <v>0</v>
      </c>
    </row>
    <row r="2261" customFormat="false" ht="14.5" hidden="false" customHeight="false" outlineLevel="0" collapsed="false">
      <c r="B2261" s="2888" t="str">
        <f aca="false">'Смета Внутр'!B2267</f>
        <v>соеденители для трубы</v>
      </c>
      <c r="C2261" s="2889" t="str">
        <f aca="false">'Смета Внутр'!C2267</f>
        <v>шт</v>
      </c>
      <c r="D2261" s="2890" t="n">
        <f aca="false">'Смета Внутр'!D2267</f>
        <v>10</v>
      </c>
      <c r="E2261" s="2888"/>
      <c r="F2261" s="2895" t="n">
        <f aca="false">'Смета Внутр'!H2267</f>
        <v>0</v>
      </c>
    </row>
    <row r="2262" customFormat="false" ht="14.5" hidden="false" customHeight="false" outlineLevel="0" collapsed="false">
      <c r="B2262" s="2888" t="str">
        <f aca="false">'Смета Внутр'!B2268</f>
        <v>уголок 90 град</v>
      </c>
      <c r="C2262" s="2889" t="str">
        <f aca="false">'Смета Внутр'!C2268</f>
        <v>шт</v>
      </c>
      <c r="D2262" s="2890" t="n">
        <f aca="false">'Смета Внутр'!D2268</f>
        <v>15</v>
      </c>
      <c r="E2262" s="2888"/>
      <c r="F2262" s="2895" t="n">
        <f aca="false">'Смета Внутр'!H2268</f>
        <v>0</v>
      </c>
    </row>
    <row r="2263" customFormat="false" ht="14.5" hidden="false" customHeight="false" outlineLevel="0" collapsed="false">
      <c r="B2263" s="2896" t="str">
        <f aca="false">'Смета Внутр'!B2269</f>
        <v>Итого материалы</v>
      </c>
      <c r="C2263" s="2896"/>
      <c r="D2263" s="2896"/>
      <c r="E2263" s="2896"/>
      <c r="F2263" s="2897" t="n">
        <f aca="false">'Смета Внутр'!G2269</f>
        <v>0</v>
      </c>
    </row>
    <row r="2264" customFormat="false" ht="14.5" hidden="false" customHeight="false" outlineLevel="0" collapsed="false">
      <c r="B2264" s="2898" t="str">
        <f aca="false">'Смета Внутр'!B2270</f>
        <v>Работы</v>
      </c>
      <c r="C2264" s="2898"/>
      <c r="D2264" s="2898"/>
      <c r="E2264" s="2898"/>
      <c r="F2264" s="2893" t="n">
        <f aca="false">'Смета Внутр'!H2270</f>
        <v>0</v>
      </c>
    </row>
    <row r="2265" customFormat="false" ht="14.5" hidden="false" customHeight="false" outlineLevel="0" collapsed="false">
      <c r="B2265" s="2888" t="str">
        <f aca="false">'Смета Внутр'!B2271</f>
        <v>монтаж трубы</v>
      </c>
      <c r="C2265" s="2889" t="str">
        <f aca="false">'Смета Внутр'!C2271</f>
        <v>м.п.</v>
      </c>
      <c r="D2265" s="2890" t="n">
        <f aca="false">'Смета Внутр'!D2271</f>
        <v>180.8</v>
      </c>
      <c r="E2265" s="2888"/>
      <c r="F2265" s="2895" t="n">
        <f aca="false">'Смета Внутр'!H2271</f>
        <v>0</v>
      </c>
    </row>
    <row r="2266" customFormat="false" ht="14.5" hidden="false" customHeight="false" outlineLevel="0" collapsed="false">
      <c r="B2266" s="2888" t="str">
        <f aca="false">'Смета Внутр'!B2272</f>
        <v>установка радиаторов</v>
      </c>
      <c r="C2266" s="2889" t="str">
        <f aca="false">'Смета Внутр'!C2272</f>
        <v>шт</v>
      </c>
      <c r="D2266" s="2890" t="n">
        <f aca="false">'Смета Внутр'!D2272</f>
        <v>5</v>
      </c>
      <c r="E2266" s="2888"/>
      <c r="F2266" s="2895" t="n">
        <f aca="false">'Смета Внутр'!H2272</f>
        <v>0</v>
      </c>
    </row>
    <row r="2267" customFormat="false" ht="14.5" hidden="false" customHeight="false" outlineLevel="0" collapsed="false">
      <c r="B2267" s="2888" t="str">
        <f aca="false">'Смета Внутр'!B2273</f>
        <v>монтаж трубы</v>
      </c>
      <c r="C2267" s="2889" t="str">
        <f aca="false">'Смета Внутр'!C2273</f>
        <v>м.п.</v>
      </c>
      <c r="D2267" s="2890" t="n">
        <f aca="false">'Смета Внутр'!D2273</f>
        <v>30</v>
      </c>
      <c r="E2267" s="2888"/>
      <c r="F2267" s="2895" t="n">
        <f aca="false">'Смета Внутр'!H2273</f>
        <v>0</v>
      </c>
    </row>
    <row r="2268" customFormat="false" ht="14.5" hidden="false" customHeight="false" outlineLevel="0" collapsed="false">
      <c r="B2268" s="2896" t="str">
        <f aca="false">'Смета Внутр'!B2274</f>
        <v>Итого работы</v>
      </c>
      <c r="C2268" s="2896"/>
      <c r="D2268" s="2896"/>
      <c r="E2268" s="2896"/>
      <c r="F2268" s="2897" t="n">
        <f aca="false">'Смета Внутр'!G2274</f>
        <v>0</v>
      </c>
    </row>
    <row r="2269" customFormat="false" ht="18.5" hidden="false" customHeight="false" outlineLevel="0" collapsed="false">
      <c r="B2269" s="2899" t="str">
        <f aca="false">'Смета Внутр'!B2275</f>
        <v>Скважина</v>
      </c>
      <c r="C2269" s="2899"/>
      <c r="D2269" s="2899"/>
      <c r="E2269" s="2899"/>
      <c r="F2269" s="2893" t="n">
        <f aca="false">'Смета Внутр'!H2275</f>
        <v>0</v>
      </c>
    </row>
    <row r="2270" customFormat="false" ht="14.5" hidden="false" customHeight="false" outlineLevel="0" collapsed="false">
      <c r="B2270" s="2894" t="str">
        <f aca="false">'Смета Внутр'!B2276</f>
        <v>Материалы</v>
      </c>
      <c r="C2270" s="2894"/>
      <c r="D2270" s="2894"/>
      <c r="E2270" s="2894"/>
      <c r="F2270" s="2893" t="n">
        <f aca="false">'Смета Внутр'!H2276</f>
        <v>0</v>
      </c>
    </row>
    <row r="2271" customFormat="false" ht="14.5" hidden="false" customHeight="false" outlineLevel="0" collapsed="false">
      <c r="B2271" s="2888" t="str">
        <f aca="false">'Смета Внутр'!B2277</f>
        <v>насос малыш</v>
      </c>
      <c r="C2271" s="2889" t="str">
        <f aca="false">'Смета Внутр'!C2277</f>
        <v>шт</v>
      </c>
      <c r="D2271" s="2890" t="n">
        <f aca="false">'Смета Внутр'!D2277</f>
        <v>1</v>
      </c>
      <c r="E2271" s="2888"/>
      <c r="F2271" s="2895" t="n">
        <f aca="false">'Смета Внутр'!H2277</f>
        <v>0</v>
      </c>
    </row>
    <row r="2272" customFormat="false" ht="14.5" hidden="false" customHeight="false" outlineLevel="0" collapsed="false">
      <c r="B2272" s="2888" t="str">
        <f aca="false">'Смета Внутр'!B2278</f>
        <v>шланг для насоса</v>
      </c>
      <c r="C2272" s="2889" t="str">
        <f aca="false">'Смета Внутр'!C2278</f>
        <v>м.п.</v>
      </c>
      <c r="D2272" s="2890" t="n">
        <f aca="false">'Смета Внутр'!D2278</f>
        <v>72</v>
      </c>
      <c r="E2272" s="2888"/>
      <c r="F2272" s="2895" t="n">
        <f aca="false">'Смета Внутр'!H2278</f>
        <v>0</v>
      </c>
    </row>
    <row r="2273" customFormat="false" ht="14.5" hidden="false" customHeight="false" outlineLevel="0" collapsed="false">
      <c r="B2273" s="2888" t="str">
        <f aca="false">'Смета Внутр'!B2279</f>
        <v>тросик для насоса</v>
      </c>
      <c r="C2273" s="2889" t="str">
        <f aca="false">'Смета Внутр'!C2279</f>
        <v>м.п.</v>
      </c>
      <c r="D2273" s="2890" t="n">
        <f aca="false">'Смета Внутр'!D2279</f>
        <v>72</v>
      </c>
      <c r="E2273" s="2888"/>
      <c r="F2273" s="2895" t="n">
        <f aca="false">'Смета Внутр'!H2279</f>
        <v>0</v>
      </c>
    </row>
    <row r="2274" customFormat="false" ht="14.5" hidden="false" customHeight="false" outlineLevel="0" collapsed="false">
      <c r="B2274" s="2888" t="str">
        <f aca="false">'Смета Внутр'!B2280</f>
        <v>изолента</v>
      </c>
      <c r="C2274" s="2889" t="str">
        <f aca="false">'Смета Внутр'!C2280</f>
        <v>рул</v>
      </c>
      <c r="D2274" s="2890" t="n">
        <f aca="false">'Смета Внутр'!D2280</f>
        <v>1</v>
      </c>
      <c r="E2274" s="2888"/>
      <c r="F2274" s="2895" t="n">
        <f aca="false">'Смета Внутр'!H2280</f>
        <v>0</v>
      </c>
    </row>
    <row r="2275" customFormat="false" ht="14.5" hidden="false" customHeight="false" outlineLevel="0" collapsed="false">
      <c r="B2275" s="2888" t="str">
        <f aca="false">'Смета Внутр'!B2281</f>
        <v>гидроаккумулятор, 80л</v>
      </c>
      <c r="C2275" s="2889" t="str">
        <f aca="false">'Смета Внутр'!C2281</f>
        <v>шт</v>
      </c>
      <c r="D2275" s="2890" t="n">
        <f aca="false">'Смета Внутр'!D2281</f>
        <v>1</v>
      </c>
      <c r="E2275" s="2888"/>
      <c r="F2275" s="2895" t="n">
        <f aca="false">'Смета Внутр'!H2281</f>
        <v>0</v>
      </c>
    </row>
    <row r="2276" customFormat="false" ht="14.5" hidden="false" customHeight="false" outlineLevel="0" collapsed="false">
      <c r="B2276" s="2888" t="str">
        <f aca="false">'Смета Внутр'!B2282</f>
        <v>автоматика</v>
      </c>
      <c r="C2276" s="2889" t="str">
        <f aca="false">'Смета Внутр'!C2282</f>
        <v>шт</v>
      </c>
      <c r="D2276" s="2890" t="n">
        <f aca="false">'Смета Внутр'!D2282</f>
        <v>1</v>
      </c>
      <c r="E2276" s="2888"/>
      <c r="F2276" s="2895" t="n">
        <f aca="false">'Смета Внутр'!H2282</f>
        <v>0</v>
      </c>
    </row>
    <row r="2277" customFormat="false" ht="14.5" hidden="false" customHeight="false" outlineLevel="0" collapsed="false">
      <c r="B2277" s="2888" t="str">
        <f aca="false">'Смета Внутр'!B2283</f>
        <v>пнд труба</v>
      </c>
      <c r="C2277" s="2889" t="str">
        <f aca="false">'Смета Внутр'!C2283</f>
        <v>м.п.</v>
      </c>
      <c r="D2277" s="2890" t="n">
        <f aca="false">'Смета Внутр'!D2283</f>
        <v>72</v>
      </c>
      <c r="E2277" s="2888"/>
      <c r="F2277" s="2895" t="n">
        <f aca="false">'Смета Внутр'!H2283</f>
        <v>0</v>
      </c>
    </row>
    <row r="2278" customFormat="false" ht="14.5" hidden="false" customHeight="false" outlineLevel="0" collapsed="false">
      <c r="B2278" s="2888" t="str">
        <f aca="false">'Смета Внутр'!B2284</f>
        <v>скорлупа утепления двойная</v>
      </c>
      <c r="C2278" s="2889" t="str">
        <f aca="false">'Смета Внутр'!C2284</f>
        <v>м.п.</v>
      </c>
      <c r="D2278" s="2890" t="n">
        <f aca="false">'Смета Внутр'!D2284</f>
        <v>10</v>
      </c>
      <c r="E2278" s="2888"/>
      <c r="F2278" s="2895" t="n">
        <f aca="false">'Смета Внутр'!H2284</f>
        <v>0</v>
      </c>
    </row>
    <row r="2279" customFormat="false" ht="14.5" hidden="false" customHeight="false" outlineLevel="0" collapsed="false">
      <c r="B2279" s="2888" t="str">
        <f aca="false">'Смета Внутр'!B2285</f>
        <v>скважинный адаптер</v>
      </c>
      <c r="C2279" s="2889" t="str">
        <f aca="false">'Смета Внутр'!C2285</f>
        <v>шт</v>
      </c>
      <c r="D2279" s="2890" t="n">
        <f aca="false">'Смета Внутр'!D2285</f>
        <v>1</v>
      </c>
      <c r="E2279" s="2888"/>
      <c r="F2279" s="2895" t="n">
        <f aca="false">'Смета Внутр'!H2285</f>
        <v>0</v>
      </c>
    </row>
    <row r="2280" customFormat="false" ht="14.5" hidden="false" customHeight="false" outlineLevel="0" collapsed="false">
      <c r="B2280" s="2896" t="str">
        <f aca="false">'Смета Внутр'!B2286</f>
        <v>Итого материалы</v>
      </c>
      <c r="C2280" s="2896"/>
      <c r="D2280" s="2896"/>
      <c r="E2280" s="2896"/>
      <c r="F2280" s="2897" t="n">
        <f aca="false">'Смета Внутр'!G2286</f>
        <v>0</v>
      </c>
    </row>
    <row r="2281" customFormat="false" ht="14.5" hidden="false" customHeight="false" outlineLevel="0" collapsed="false">
      <c r="B2281" s="2898" t="str">
        <f aca="false">'Смета Внутр'!B2287</f>
        <v>Работы</v>
      </c>
      <c r="C2281" s="2898"/>
      <c r="D2281" s="2898"/>
      <c r="E2281" s="2898"/>
      <c r="F2281" s="2893" t="n">
        <f aca="false">'Смета Внутр'!H2287</f>
        <v>0</v>
      </c>
    </row>
    <row r="2282" customFormat="false" ht="14.5" hidden="false" customHeight="false" outlineLevel="0" collapsed="false">
      <c r="B2282" s="2888" t="str">
        <f aca="false">'Смета Внутр'!B2288</f>
        <v>контроль за земляными</v>
      </c>
      <c r="C2282" s="2889" t="str">
        <f aca="false">'Смета Внутр'!C2288</f>
        <v>шт</v>
      </c>
      <c r="D2282" s="2890" t="n">
        <f aca="false">'Смета Внутр'!D2288</f>
        <v>1</v>
      </c>
      <c r="E2282" s="2888"/>
      <c r="F2282" s="2895" t="n">
        <f aca="false">'Смета Внутр'!H2288</f>
        <v>0</v>
      </c>
    </row>
    <row r="2283" customFormat="false" ht="14.5" hidden="false" customHeight="false" outlineLevel="0" collapsed="false">
      <c r="B2283" s="2888" t="str">
        <f aca="false">'Смета Внутр'!B2289</f>
        <v>контроль за бурением</v>
      </c>
      <c r="C2283" s="2889" t="str">
        <f aca="false">'Смета Внутр'!C2289</f>
        <v>шт</v>
      </c>
      <c r="D2283" s="2890" t="n">
        <f aca="false">'Смета Внутр'!D2289</f>
        <v>1</v>
      </c>
      <c r="E2283" s="2888"/>
      <c r="F2283" s="2895" t="n">
        <f aca="false">'Смета Внутр'!H2289</f>
        <v>0</v>
      </c>
    </row>
    <row r="2284" customFormat="false" ht="14.5" hidden="false" customHeight="false" outlineLevel="0" collapsed="false">
      <c r="B2284" s="2888" t="str">
        <f aca="false">'Смета Внутр'!B2290</f>
        <v>установка скваж адап</v>
      </c>
      <c r="C2284" s="2889" t="str">
        <f aca="false">'Смета Внутр'!C2290</f>
        <v>шт</v>
      </c>
      <c r="D2284" s="2890" t="n">
        <f aca="false">'Смета Внутр'!D2290</f>
        <v>1</v>
      </c>
      <c r="E2284" s="2888"/>
      <c r="F2284" s="2895" t="n">
        <f aca="false">'Смета Внутр'!H2290</f>
        <v>0</v>
      </c>
    </row>
    <row r="2285" customFormat="false" ht="14.5" hidden="false" customHeight="false" outlineLevel="0" collapsed="false">
      <c r="B2285" s="2888" t="str">
        <f aca="false">'Смета Внутр'!B2291</f>
        <v>установка гидроаккум</v>
      </c>
      <c r="C2285" s="2889" t="str">
        <f aca="false">'Смета Внутр'!C2291</f>
        <v>шт</v>
      </c>
      <c r="D2285" s="2890" t="n">
        <f aca="false">'Смета Внутр'!D2291</f>
        <v>1</v>
      </c>
      <c r="E2285" s="2888"/>
      <c r="F2285" s="2895" t="n">
        <f aca="false">'Смета Внутр'!H2291</f>
        <v>0</v>
      </c>
    </row>
    <row r="2286" customFormat="false" ht="14.5" hidden="false" customHeight="false" outlineLevel="0" collapsed="false">
      <c r="B2286" s="2888" t="str">
        <f aca="false">'Смета Внутр'!B2292</f>
        <v>монтаж автоматики</v>
      </c>
      <c r="C2286" s="2889" t="str">
        <f aca="false">'Смета Внутр'!C2292</f>
        <v>шт</v>
      </c>
      <c r="D2286" s="2890" t="n">
        <f aca="false">'Смета Внутр'!D2292</f>
        <v>1</v>
      </c>
      <c r="E2286" s="2888"/>
      <c r="F2286" s="2895" t="n">
        <f aca="false">'Смета Внутр'!H2292</f>
        <v>0</v>
      </c>
    </row>
    <row r="2287" customFormat="false" ht="14.5" hidden="false" customHeight="false" outlineLevel="0" collapsed="false">
      <c r="B2287" s="2888" t="str">
        <f aca="false">'Смета Внутр'!B2293</f>
        <v>прокладка пнд с утепл</v>
      </c>
      <c r="C2287" s="2889" t="str">
        <f aca="false">'Смета Внутр'!C2293</f>
        <v>м.п.</v>
      </c>
      <c r="D2287" s="2890" t="n">
        <f aca="false">'Смета Внутр'!D2293</f>
        <v>10</v>
      </c>
      <c r="E2287" s="2888"/>
      <c r="F2287" s="2895" t="n">
        <f aca="false">'Смета Внутр'!H2293</f>
        <v>0</v>
      </c>
    </row>
    <row r="2288" customFormat="false" ht="14.5" hidden="false" customHeight="false" outlineLevel="0" collapsed="false">
      <c r="B2288" s="2896" t="str">
        <f aca="false">'Смета Внутр'!B2294</f>
        <v>Итого работы</v>
      </c>
      <c r="C2288" s="2896"/>
      <c r="D2288" s="2896"/>
      <c r="E2288" s="2896"/>
      <c r="F2288" s="2897" t="n">
        <f aca="false">'Смета Внутр'!G2294</f>
        <v>0</v>
      </c>
    </row>
    <row r="2289" customFormat="false" ht="18.5" hidden="false" customHeight="false" outlineLevel="0" collapsed="false">
      <c r="B2289" s="2899" t="str">
        <f aca="false">'Смета Внутр'!B2295</f>
        <v>Септик с утепленной канализацией</v>
      </c>
      <c r="C2289" s="2899"/>
      <c r="D2289" s="2899"/>
      <c r="E2289" s="2899"/>
      <c r="F2289" s="2893" t="n">
        <f aca="false">'Смета Внутр'!H2295</f>
        <v>0</v>
      </c>
    </row>
    <row r="2290" customFormat="false" ht="14.5" hidden="false" customHeight="false" outlineLevel="0" collapsed="false">
      <c r="B2290" s="2894" t="str">
        <f aca="false">'Смета Внутр'!B2296</f>
        <v>Материалы</v>
      </c>
      <c r="C2290" s="2894"/>
      <c r="D2290" s="2894"/>
      <c r="E2290" s="2894"/>
      <c r="F2290" s="2893" t="n">
        <f aca="false">'Смета Внутр'!H2296</f>
        <v>0</v>
      </c>
    </row>
    <row r="2291" customFormat="false" ht="14.5" hidden="false" customHeight="false" outlineLevel="0" collapsed="false">
      <c r="B2291" s="2888" t="str">
        <f aca="false">'Смета Внутр'!B2297</f>
        <v>дно бетонное, диаметр 1,5м.п.</v>
      </c>
      <c r="C2291" s="2889" t="str">
        <f aca="false">'Смета Внутр'!C2297</f>
        <v>шт</v>
      </c>
      <c r="D2291" s="2890" t="n">
        <f aca="false">'Смета Внутр'!D2297</f>
        <v>1</v>
      </c>
      <c r="E2291" s="2888"/>
      <c r="F2291" s="2895" t="n">
        <f aca="false">'Смета Внутр'!H2297</f>
        <v>0</v>
      </c>
    </row>
    <row r="2292" customFormat="false" ht="14.5" hidden="false" customHeight="false" outlineLevel="0" collapsed="false">
      <c r="B2292" s="2888" t="str">
        <f aca="false">'Смета Внутр'!B2298</f>
        <v>кольцо бетонное, диаметр 1,5м.п.</v>
      </c>
      <c r="C2292" s="2889" t="str">
        <f aca="false">'Смета Внутр'!C2298</f>
        <v>шт</v>
      </c>
      <c r="D2292" s="2890" t="n">
        <f aca="false">'Смета Внутр'!D2298</f>
        <v>3</v>
      </c>
      <c r="E2292" s="2888"/>
      <c r="F2292" s="2895" t="n">
        <f aca="false">'Смета Внутр'!H2298</f>
        <v>0</v>
      </c>
    </row>
    <row r="2293" customFormat="false" ht="14.5" hidden="false" customHeight="false" outlineLevel="0" collapsed="false">
      <c r="B2293" s="2888" t="str">
        <f aca="false">'Смета Внутр'!B2299</f>
        <v>крышка бетонная, диаметр 1,5м.п.</v>
      </c>
      <c r="C2293" s="2889" t="str">
        <f aca="false">'Смета Внутр'!C2299</f>
        <v>шт</v>
      </c>
      <c r="D2293" s="2890" t="n">
        <f aca="false">'Смета Внутр'!D2299</f>
        <v>1</v>
      </c>
      <c r="E2293" s="2888"/>
      <c r="F2293" s="2895" t="n">
        <f aca="false">'Смета Внутр'!H2299</f>
        <v>0</v>
      </c>
    </row>
    <row r="2294" customFormat="false" ht="14.5" hidden="false" customHeight="false" outlineLevel="0" collapsed="false">
      <c r="B2294" s="2888" t="str">
        <f aca="false">'Смета Внутр'!B2300</f>
        <v>Нет люка для крышки</v>
      </c>
      <c r="C2294" s="2889" t="str">
        <f aca="false">'Смета Внутр'!C2300</f>
        <v>шт</v>
      </c>
      <c r="D2294" s="2890" t="n">
        <f aca="false">'Смета Внутр'!D2300</f>
        <v>0</v>
      </c>
      <c r="E2294" s="2888"/>
      <c r="F2294" s="2895" t="n">
        <f aca="false">'Смета Внутр'!H2300</f>
        <v>0</v>
      </c>
    </row>
    <row r="2295" customFormat="false" ht="14.5" hidden="false" customHeight="false" outlineLevel="0" collapsed="false">
      <c r="B2295" s="2888" t="str">
        <f aca="false">'Смета Внутр'!B2301</f>
        <v>Горловина для септика бетонная</v>
      </c>
      <c r="C2295" s="2889" t="str">
        <f aca="false">'Смета Внутр'!C2301</f>
        <v>шт</v>
      </c>
      <c r="D2295" s="2890" t="n">
        <f aca="false">'Смета Внутр'!D2301</f>
        <v>1</v>
      </c>
      <c r="E2295" s="2888"/>
      <c r="F2295" s="2895" t="n">
        <f aca="false">'Смета Внутр'!H2301</f>
        <v>0</v>
      </c>
    </row>
    <row r="2296" customFormat="false" ht="14.5" hidden="false" customHeight="false" outlineLevel="0" collapsed="false">
      <c r="B2296" s="2888" t="str">
        <f aca="false">'Смета Внутр'!B2302</f>
        <v>Труба канализационная D110</v>
      </c>
      <c r="C2296" s="2889" t="str">
        <f aca="false">'Смета Внутр'!C2302</f>
        <v>м.п.</v>
      </c>
      <c r="D2296" s="2890" t="n">
        <f aca="false">'Смета Внутр'!D2302</f>
        <v>10</v>
      </c>
      <c r="E2296" s="2888"/>
      <c r="F2296" s="2895" t="n">
        <f aca="false">'Смета Внутр'!H2302</f>
        <v>0</v>
      </c>
    </row>
    <row r="2297" customFormat="false" ht="14.5" hidden="false" customHeight="false" outlineLevel="0" collapsed="false">
      <c r="B2297" s="2888" t="str">
        <f aca="false">'Смета Внутр'!B2303</f>
        <v>утепление для канализационной трубы</v>
      </c>
      <c r="C2297" s="2889" t="str">
        <f aca="false">'Смета Внутр'!C2303</f>
        <v>м.п.</v>
      </c>
      <c r="D2297" s="2890" t="n">
        <f aca="false">'Смета Внутр'!D2303</f>
        <v>8</v>
      </c>
      <c r="E2297" s="2888"/>
      <c r="F2297" s="2895" t="n">
        <f aca="false">'Смета Внутр'!H2303</f>
        <v>0</v>
      </c>
    </row>
    <row r="2298" customFormat="false" ht="14.5" hidden="false" customHeight="false" outlineLevel="0" collapsed="false">
      <c r="B2298" s="2888" t="str">
        <f aca="false">'Смета Внутр'!B2304</f>
        <v>раствор для бетонирования</v>
      </c>
      <c r="C2298" s="2889" t="str">
        <f aca="false">'Смета Внутр'!C2304</f>
        <v>шт</v>
      </c>
      <c r="D2298" s="2890" t="n">
        <f aca="false">'Смета Внутр'!D2304</f>
        <v>3</v>
      </c>
      <c r="E2298" s="2888"/>
      <c r="F2298" s="2895" t="n">
        <f aca="false">'Смета Внутр'!H2304</f>
        <v>0</v>
      </c>
    </row>
    <row r="2299" customFormat="false" ht="14.5" hidden="false" customHeight="false" outlineLevel="0" collapsed="false">
      <c r="B2299" s="2888" t="str">
        <f aca="false">'Смета Внутр'!B2305</f>
        <v>скотч для скорлупы утепления</v>
      </c>
      <c r="C2299" s="2889" t="str">
        <f aca="false">'Смета Внутр'!C2305</f>
        <v>шт</v>
      </c>
      <c r="D2299" s="2890" t="n">
        <f aca="false">'Смета Внутр'!D2305</f>
        <v>3</v>
      </c>
      <c r="E2299" s="2888"/>
      <c r="F2299" s="2895" t="n">
        <f aca="false">'Смета Внутр'!H2305</f>
        <v>0</v>
      </c>
    </row>
    <row r="2300" customFormat="false" ht="14.5" hidden="false" customHeight="false" outlineLevel="0" collapsed="false">
      <c r="B2300" s="2888" t="str">
        <f aca="false">'Смета Внутр'!B2306</f>
        <v>дно бетонное, диаметр 2м.п.</v>
      </c>
      <c r="C2300" s="2889" t="str">
        <f aca="false">'Смета Внутр'!C2306</f>
        <v>шт</v>
      </c>
      <c r="D2300" s="2890" t="n">
        <f aca="false">'Смета Внутр'!D2306</f>
        <v>1</v>
      </c>
      <c r="E2300" s="2888"/>
      <c r="F2300" s="2895" t="n">
        <f aca="false">'Смета Внутр'!H2306</f>
        <v>0</v>
      </c>
    </row>
    <row r="2301" customFormat="false" ht="14.5" hidden="false" customHeight="false" outlineLevel="0" collapsed="false">
      <c r="B2301" s="2888" t="str">
        <f aca="false">'Смета Внутр'!B2307</f>
        <v>кольцо бетонное, диаметр 2м.п.</v>
      </c>
      <c r="C2301" s="2889" t="str">
        <f aca="false">'Смета Внутр'!C2307</f>
        <v>шт</v>
      </c>
      <c r="D2301" s="2890" t="n">
        <f aca="false">'Смета Внутр'!D2307</f>
        <v>3</v>
      </c>
      <c r="E2301" s="2888"/>
      <c r="F2301" s="2895" t="n">
        <f aca="false">'Смета Внутр'!H2307</f>
        <v>0</v>
      </c>
    </row>
    <row r="2302" customFormat="false" ht="14.5" hidden="false" customHeight="false" outlineLevel="0" collapsed="false">
      <c r="B2302" s="2888" t="str">
        <f aca="false">'Смета Внутр'!B2308</f>
        <v>крышка бетонная, диаметр 2м.п.</v>
      </c>
      <c r="C2302" s="2889" t="str">
        <f aca="false">'Смета Внутр'!C2308</f>
        <v>шт</v>
      </c>
      <c r="D2302" s="2890" t="n">
        <f aca="false">'Смета Внутр'!D2308</f>
        <v>1</v>
      </c>
      <c r="E2302" s="2888"/>
      <c r="F2302" s="2895" t="n">
        <f aca="false">'Смета Внутр'!H2308</f>
        <v>0</v>
      </c>
    </row>
    <row r="2303" customFormat="false" ht="14.5" hidden="false" customHeight="false" outlineLevel="0" collapsed="false">
      <c r="B2303" s="2888" t="str">
        <f aca="false">'Смета Внутр'!B2309</f>
        <v>Нет люка для крышки</v>
      </c>
      <c r="C2303" s="2889" t="str">
        <f aca="false">'Смета Внутр'!C2309</f>
        <v>шт</v>
      </c>
      <c r="D2303" s="2890" t="n">
        <f aca="false">'Смета Внутр'!D2309</f>
        <v>0</v>
      </c>
      <c r="E2303" s="2888"/>
      <c r="F2303" s="2895" t="n">
        <f aca="false">'Смета Внутр'!H2309</f>
        <v>0</v>
      </c>
    </row>
    <row r="2304" customFormat="false" ht="14.5" hidden="false" customHeight="false" outlineLevel="0" collapsed="false">
      <c r="B2304" s="2896" t="str">
        <f aca="false">'Смета Внутр'!B2310</f>
        <v>Итого материалы</v>
      </c>
      <c r="C2304" s="2896"/>
      <c r="D2304" s="2896"/>
      <c r="E2304" s="2896"/>
      <c r="F2304" s="2897" t="n">
        <f aca="false">'Смета Внутр'!G2310</f>
        <v>0</v>
      </c>
    </row>
    <row r="2305" customFormat="false" ht="14.5" hidden="false" customHeight="false" outlineLevel="0" collapsed="false">
      <c r="B2305" s="2898" t="str">
        <f aca="false">'Смета Внутр'!B2311</f>
        <v>Работы</v>
      </c>
      <c r="C2305" s="2898"/>
      <c r="D2305" s="2898"/>
      <c r="E2305" s="2898"/>
      <c r="F2305" s="2893" t="n">
        <f aca="false">'Смета Внутр'!H2311</f>
        <v>0</v>
      </c>
    </row>
    <row r="2306" customFormat="false" ht="14.5" hidden="false" customHeight="false" outlineLevel="0" collapsed="false">
      <c r="B2306" s="2888" t="str">
        <f aca="false">'Смета Внутр'!B2312</f>
        <v>монтаж дна</v>
      </c>
      <c r="C2306" s="2889" t="str">
        <f aca="false">'Смета Внутр'!C2312</f>
        <v>шт</v>
      </c>
      <c r="D2306" s="2890" t="n">
        <f aca="false">'Смета Внутр'!D2312</f>
        <v>2</v>
      </c>
      <c r="E2306" s="2888"/>
      <c r="F2306" s="2895" t="n">
        <f aca="false">'Смета Внутр'!H2312</f>
        <v>0</v>
      </c>
    </row>
    <row r="2307" customFormat="false" ht="14.5" hidden="false" customHeight="false" outlineLevel="0" collapsed="false">
      <c r="B2307" s="2888" t="str">
        <f aca="false">'Смета Внутр'!B2313</f>
        <v>монтаж колец</v>
      </c>
      <c r="C2307" s="2889" t="str">
        <f aca="false">'Смета Внутр'!C2313</f>
        <v>шт</v>
      </c>
      <c r="D2307" s="2890" t="n">
        <f aca="false">'Смета Внутр'!D2313</f>
        <v>6</v>
      </c>
      <c r="E2307" s="2888"/>
      <c r="F2307" s="2895" t="n">
        <f aca="false">'Смета Внутр'!H2313</f>
        <v>0</v>
      </c>
    </row>
    <row r="2308" customFormat="false" ht="14.5" hidden="false" customHeight="false" outlineLevel="0" collapsed="false">
      <c r="B2308" s="2888" t="str">
        <f aca="false">'Смета Внутр'!B2314</f>
        <v>монтаж крышки</v>
      </c>
      <c r="C2308" s="2889" t="str">
        <f aca="false">'Смета Внутр'!C2314</f>
        <v>шт</v>
      </c>
      <c r="D2308" s="2890" t="n">
        <f aca="false">'Смета Внутр'!D2314</f>
        <v>2</v>
      </c>
      <c r="E2308" s="2888"/>
      <c r="F2308" s="2895" t="n">
        <f aca="false">'Смета Внутр'!H2314</f>
        <v>0</v>
      </c>
    </row>
    <row r="2309" customFormat="false" ht="14.5" hidden="false" customHeight="false" outlineLevel="0" collapsed="false">
      <c r="B2309" s="2888" t="str">
        <f aca="false">'Смета Внутр'!B2315</f>
        <v>монтаж люка</v>
      </c>
      <c r="C2309" s="2889" t="str">
        <f aca="false">'Смета Внутр'!C2315</f>
        <v>шт</v>
      </c>
      <c r="D2309" s="2890" t="n">
        <f aca="false">'Смета Внутр'!D2315</f>
        <v>0</v>
      </c>
      <c r="E2309" s="2888"/>
      <c r="F2309" s="2895" t="n">
        <f aca="false">'Смета Внутр'!H2315</f>
        <v>0</v>
      </c>
    </row>
    <row r="2310" customFormat="false" ht="14.5" hidden="false" customHeight="false" outlineLevel="0" collapsed="false">
      <c r="B2310" s="2888" t="str">
        <f aca="false">'Смета Внутр'!B2316</f>
        <v>монтаж горловины</v>
      </c>
      <c r="C2310" s="2889" t="str">
        <f aca="false">'Смета Внутр'!C2316</f>
        <v>м.п.</v>
      </c>
      <c r="D2310" s="2890" t="n">
        <f aca="false">'Смета Внутр'!D2316</f>
        <v>1</v>
      </c>
      <c r="E2310" s="2888"/>
      <c r="F2310" s="2895" t="n">
        <f aca="false">'Смета Внутр'!H2316</f>
        <v>0</v>
      </c>
    </row>
    <row r="2311" customFormat="false" ht="14.5" hidden="false" customHeight="false" outlineLevel="0" collapsed="false">
      <c r="B2311" s="2888" t="str">
        <f aca="false">'Смета Внутр'!B2317</f>
        <v>м/ж ут-ной канал</v>
      </c>
      <c r="C2311" s="2889" t="str">
        <f aca="false">'Смета Внутр'!C2317</f>
        <v>шт</v>
      </c>
      <c r="D2311" s="2890" t="n">
        <f aca="false">'Смета Внутр'!D2317</f>
        <v>10</v>
      </c>
      <c r="E2311" s="2888"/>
      <c r="F2311" s="2895" t="n">
        <f aca="false">'Смета Внутр'!H2317</f>
        <v>0</v>
      </c>
    </row>
    <row r="2312" customFormat="false" ht="14.5" hidden="false" customHeight="false" outlineLevel="0" collapsed="false">
      <c r="B2312" s="2888" t="str">
        <f aca="false">'Смета Внутр'!B2318</f>
        <v>бетонирование</v>
      </c>
      <c r="C2312" s="2889" t="str">
        <f aca="false">'Смета Внутр'!C2318</f>
        <v>шт</v>
      </c>
      <c r="D2312" s="2890" t="n">
        <f aca="false">'Смета Внутр'!D2318</f>
        <v>1</v>
      </c>
      <c r="E2312" s="2888"/>
      <c r="F2312" s="2895" t="n">
        <f aca="false">'Смета Внутр'!H2318</f>
        <v>0</v>
      </c>
    </row>
    <row r="2313" customFormat="false" ht="14.5" hidden="false" customHeight="false" outlineLevel="0" collapsed="false">
      <c r="B2313" s="2896" t="str">
        <f aca="false">'Смета Внутр'!B2319</f>
        <v>Итого работы</v>
      </c>
      <c r="C2313" s="2896"/>
      <c r="D2313" s="2896"/>
      <c r="E2313" s="2896"/>
      <c r="F2313" s="2897" t="n">
        <f aca="false">'Смета Внутр'!G2319</f>
        <v>0</v>
      </c>
    </row>
    <row r="2314" customFormat="false" ht="18.5" hidden="false" customHeight="false" outlineLevel="0" collapsed="false">
      <c r="B2314" s="2899" t="str">
        <f aca="false">'Смета Внутр'!B2320</f>
        <v>Котельная</v>
      </c>
      <c r="C2314" s="2899"/>
      <c r="D2314" s="2899"/>
      <c r="E2314" s="2899"/>
      <c r="F2314" s="2893" t="n">
        <f aca="false">'Смета Внутр'!H2320</f>
        <v>0</v>
      </c>
    </row>
    <row r="2315" customFormat="false" ht="14.5" hidden="false" customHeight="false" outlineLevel="0" collapsed="false">
      <c r="B2315" s="2894" t="str">
        <f aca="false">'Смета Внутр'!B2321</f>
        <v>Материалы</v>
      </c>
      <c r="C2315" s="2894"/>
      <c r="D2315" s="2894"/>
      <c r="E2315" s="2894"/>
      <c r="F2315" s="2893" t="n">
        <f aca="false">'Смета Внутр'!H2321</f>
        <v>0</v>
      </c>
    </row>
    <row r="2316" customFormat="false" ht="14.5" hidden="false" customHeight="false" outlineLevel="0" collapsed="false">
      <c r="B2316" s="2888" t="str">
        <f aca="false">'Смета Внутр'!B2322</f>
        <v>котел</v>
      </c>
      <c r="C2316" s="2889" t="str">
        <f aca="false">'Смета Внутр'!C2322</f>
        <v>шт</v>
      </c>
      <c r="D2316" s="2890" t="n">
        <f aca="false">'Смета Внутр'!D2322</f>
        <v>1</v>
      </c>
      <c r="E2316" s="2888"/>
      <c r="F2316" s="2895" t="n">
        <f aca="false">'Смета Внутр'!H2322</f>
        <v>0</v>
      </c>
    </row>
    <row r="2317" customFormat="false" ht="14.5" hidden="false" customHeight="false" outlineLevel="0" collapsed="false">
      <c r="B2317" s="2888" t="str">
        <f aca="false">'Смета Внутр'!B2323</f>
        <v>бойлер</v>
      </c>
      <c r="C2317" s="2889" t="str">
        <f aca="false">'Смета Внутр'!C2323</f>
        <v>шт</v>
      </c>
      <c r="D2317" s="2890" t="n">
        <f aca="false">'Смета Внутр'!D2323</f>
        <v>1</v>
      </c>
      <c r="E2317" s="2888"/>
      <c r="F2317" s="2895" t="n">
        <f aca="false">'Смета Внутр'!H2323</f>
        <v>0</v>
      </c>
    </row>
    <row r="2318" customFormat="false" ht="14.5" hidden="false" customHeight="false" outlineLevel="0" collapsed="false">
      <c r="B2318" s="2888" t="str">
        <f aca="false">'Смета Внутр'!B2324</f>
        <v>гребенка</v>
      </c>
      <c r="C2318" s="2889" t="str">
        <f aca="false">'Смета Внутр'!C2324</f>
        <v>шт</v>
      </c>
      <c r="D2318" s="2890" t="n">
        <f aca="false">'Смета Внутр'!D2324</f>
        <v>1</v>
      </c>
      <c r="E2318" s="2888"/>
      <c r="F2318" s="2895" t="n">
        <f aca="false">'Смета Внутр'!H2324</f>
        <v>0</v>
      </c>
    </row>
    <row r="2319" customFormat="false" ht="14.5" hidden="false" customHeight="false" outlineLevel="0" collapsed="false">
      <c r="B2319" s="2888" t="str">
        <f aca="false">'Смета Внутр'!B2325</f>
        <v>насос на отопление</v>
      </c>
      <c r="C2319" s="2889" t="str">
        <f aca="false">'Смета Внутр'!C2325</f>
        <v>шт</v>
      </c>
      <c r="D2319" s="2890" t="n">
        <f aca="false">'Смета Внутр'!D2325</f>
        <v>1</v>
      </c>
      <c r="E2319" s="2888"/>
      <c r="F2319" s="2895" t="n">
        <f aca="false">'Смета Внутр'!H2325</f>
        <v>0</v>
      </c>
    </row>
    <row r="2320" customFormat="false" ht="14.5" hidden="false" customHeight="false" outlineLevel="0" collapsed="false">
      <c r="B2320" s="2888" t="str">
        <f aca="false">'Смета Внутр'!B2326</f>
        <v>насос на горячее водоснабжение</v>
      </c>
      <c r="C2320" s="2889" t="str">
        <f aca="false">'Смета Внутр'!C2326</f>
        <v>шт</v>
      </c>
      <c r="D2320" s="2890" t="n">
        <f aca="false">'Смета Внутр'!D2326</f>
        <v>1</v>
      </c>
      <c r="E2320" s="2888"/>
      <c r="F2320" s="2895" t="n">
        <f aca="false">'Смета Внутр'!H2326</f>
        <v>0</v>
      </c>
    </row>
    <row r="2321" customFormat="false" ht="14.5" hidden="false" customHeight="false" outlineLevel="0" collapsed="false">
      <c r="B2321" s="2888" t="str">
        <f aca="false">'Смета Внутр'!B2327</f>
        <v>датчик давления</v>
      </c>
      <c r="C2321" s="2889" t="str">
        <f aca="false">'Смета Внутр'!C2327</f>
        <v>шт</v>
      </c>
      <c r="D2321" s="2890" t="n">
        <f aca="false">'Смета Внутр'!D2327</f>
        <v>2</v>
      </c>
      <c r="E2321" s="2888"/>
      <c r="F2321" s="2895" t="n">
        <f aca="false">'Смета Внутр'!H2327</f>
        <v>0</v>
      </c>
    </row>
    <row r="2322" customFormat="false" ht="14.5" hidden="false" customHeight="false" outlineLevel="0" collapsed="false">
      <c r="B2322" s="2888" t="str">
        <f aca="false">'Смета Внутр'!B2328</f>
        <v>сбросной клапан</v>
      </c>
      <c r="C2322" s="2889" t="str">
        <f aca="false">'Смета Внутр'!C2328</f>
        <v>шт</v>
      </c>
      <c r="D2322" s="2890" t="n">
        <f aca="false">'Смета Внутр'!D2328</f>
        <v>1</v>
      </c>
      <c r="E2322" s="2888"/>
      <c r="F2322" s="2895" t="n">
        <f aca="false">'Смета Внутр'!H2328</f>
        <v>0</v>
      </c>
    </row>
    <row r="2323" customFormat="false" ht="14.5" hidden="false" customHeight="false" outlineLevel="0" collapsed="false">
      <c r="B2323" s="2888" t="str">
        <f aca="false">'Смета Внутр'!B2329</f>
        <v>труба, черная ду 32</v>
      </c>
      <c r="C2323" s="2889" t="str">
        <f aca="false">'Смета Внутр'!C2329</f>
        <v>м.п.</v>
      </c>
      <c r="D2323" s="2890" t="n">
        <f aca="false">'Смета Внутр'!D2329</f>
        <v>20</v>
      </c>
      <c r="E2323" s="2888"/>
      <c r="F2323" s="2895" t="n">
        <f aca="false">'Смета Внутр'!H2329</f>
        <v>0</v>
      </c>
    </row>
    <row r="2324" customFormat="false" ht="14.5" hidden="false" customHeight="false" outlineLevel="0" collapsed="false">
      <c r="B2324" s="2888" t="str">
        <f aca="false">'Смета Внутр'!B2330</f>
        <v>угол ду 32</v>
      </c>
      <c r="C2324" s="2889" t="str">
        <f aca="false">'Смета Внутр'!C2330</f>
        <v>шт</v>
      </c>
      <c r="D2324" s="2890" t="n">
        <f aca="false">'Смета Внутр'!D2330</f>
        <v>10</v>
      </c>
      <c r="E2324" s="2888"/>
      <c r="F2324" s="2895" t="n">
        <f aca="false">'Смета Внутр'!H2330</f>
        <v>0</v>
      </c>
    </row>
    <row r="2325" customFormat="false" ht="14.5" hidden="false" customHeight="false" outlineLevel="0" collapsed="false">
      <c r="B2325" s="2888" t="str">
        <f aca="false">'Смета Внутр'!B2331</f>
        <v>бочонок ду 32</v>
      </c>
      <c r="C2325" s="2889" t="str">
        <f aca="false">'Смета Внутр'!C2331</f>
        <v>шт</v>
      </c>
      <c r="D2325" s="2890" t="n">
        <f aca="false">'Смета Внутр'!D2331</f>
        <v>10</v>
      </c>
      <c r="E2325" s="2888"/>
      <c r="F2325" s="2895" t="n">
        <f aca="false">'Смета Внутр'!H2331</f>
        <v>0</v>
      </c>
    </row>
    <row r="2326" customFormat="false" ht="14.5" hidden="false" customHeight="false" outlineLevel="0" collapsed="false">
      <c r="B2326" s="2888" t="str">
        <f aca="false">'Смета Внутр'!B2332</f>
        <v>резьба ду 32</v>
      </c>
      <c r="C2326" s="2889" t="str">
        <f aca="false">'Смета Внутр'!C2332</f>
        <v>шт</v>
      </c>
      <c r="D2326" s="2890" t="n">
        <f aca="false">'Смета Внутр'!D2332</f>
        <v>10</v>
      </c>
      <c r="E2326" s="2888"/>
      <c r="F2326" s="2895" t="n">
        <f aca="false">'Смета Внутр'!H2332</f>
        <v>0</v>
      </c>
    </row>
    <row r="2327" customFormat="false" ht="14.5" hidden="false" customHeight="false" outlineLevel="0" collapsed="false">
      <c r="B2327" s="2888" t="str">
        <f aca="false">'Смета Внутр'!B2333</f>
        <v>переод с ду 32на 20</v>
      </c>
      <c r="C2327" s="2889" t="str">
        <f aca="false">'Смета Внутр'!C2333</f>
        <v>шт</v>
      </c>
      <c r="D2327" s="2890" t="n">
        <f aca="false">'Смета Внутр'!D2333</f>
        <v>5</v>
      </c>
      <c r="E2327" s="2888"/>
      <c r="F2327" s="2895" t="n">
        <f aca="false">'Смета Внутр'!H2333</f>
        <v>0</v>
      </c>
    </row>
    <row r="2328" customFormat="false" ht="14.5" hidden="false" customHeight="false" outlineLevel="0" collapsed="false">
      <c r="B2328" s="2888" t="str">
        <f aca="false">'Смета Внутр'!B2334</f>
        <v>электроды, пачка</v>
      </c>
      <c r="C2328" s="2889" t="str">
        <f aca="false">'Смета Внутр'!C2334</f>
        <v>шт</v>
      </c>
      <c r="D2328" s="2890" t="n">
        <f aca="false">'Смета Внутр'!D2334</f>
        <v>1</v>
      </c>
      <c r="E2328" s="2888"/>
      <c r="F2328" s="2895" t="n">
        <f aca="false">'Смета Внутр'!H2334</f>
        <v>0</v>
      </c>
    </row>
    <row r="2329" customFormat="false" ht="14.5" hidden="false" customHeight="false" outlineLevel="0" collapsed="false">
      <c r="B2329" s="2888" t="str">
        <f aca="false">'Смета Внутр'!B2335</f>
        <v>лен</v>
      </c>
      <c r="C2329" s="2889" t="str">
        <f aca="false">'Смета Внутр'!C2335</f>
        <v>рулон</v>
      </c>
      <c r="D2329" s="2890" t="n">
        <f aca="false">'Смета Внутр'!D2335</f>
        <v>1</v>
      </c>
      <c r="E2329" s="2888"/>
      <c r="F2329" s="2895" t="n">
        <f aca="false">'Смета Внутр'!H2335</f>
        <v>0</v>
      </c>
    </row>
    <row r="2330" customFormat="false" ht="14.5" hidden="false" customHeight="false" outlineLevel="0" collapsed="false">
      <c r="B2330" s="2896" t="str">
        <f aca="false">'Смета Внутр'!B2336</f>
        <v>Итого материалы</v>
      </c>
      <c r="C2330" s="2896"/>
      <c r="D2330" s="2896"/>
      <c r="E2330" s="2896"/>
      <c r="F2330" s="2897" t="n">
        <f aca="false">'Смета Внутр'!G2336</f>
        <v>0</v>
      </c>
    </row>
    <row r="2331" customFormat="false" ht="14.5" hidden="false" customHeight="false" outlineLevel="0" collapsed="false">
      <c r="B2331" s="2898" t="str">
        <f aca="false">'Смета Внутр'!B2337</f>
        <v>Работы</v>
      </c>
      <c r="C2331" s="2898"/>
      <c r="D2331" s="2898"/>
      <c r="E2331" s="2898"/>
      <c r="F2331" s="2893" t="n">
        <f aca="false">'Смета Внутр'!H2337</f>
        <v>0</v>
      </c>
    </row>
    <row r="2332" customFormat="false" ht="14.5" hidden="false" customHeight="false" outlineLevel="0" collapsed="false">
      <c r="B2332" s="2888" t="str">
        <f aca="false">'Смета Внутр'!B2338</f>
        <v>котел установка</v>
      </c>
      <c r="C2332" s="2889" t="str">
        <f aca="false">'Смета Внутр'!C2338</f>
        <v>шт</v>
      </c>
      <c r="D2332" s="2890" t="n">
        <f aca="false">'Смета Внутр'!D2338</f>
        <v>1</v>
      </c>
      <c r="E2332" s="2888"/>
      <c r="F2332" s="2895" t="n">
        <f aca="false">'Смета Внутр'!H2338</f>
        <v>0</v>
      </c>
    </row>
    <row r="2333" customFormat="false" ht="14.5" hidden="false" customHeight="false" outlineLevel="0" collapsed="false">
      <c r="B2333" s="2888" t="str">
        <f aca="false">'Смета Внутр'!B2339</f>
        <v>бойлер установка</v>
      </c>
      <c r="C2333" s="2889" t="str">
        <f aca="false">'Смета Внутр'!C2339</f>
        <v>шт</v>
      </c>
      <c r="D2333" s="2890" t="n">
        <f aca="false">'Смета Внутр'!D2339</f>
        <v>1</v>
      </c>
      <c r="E2333" s="2888"/>
      <c r="F2333" s="2895" t="n">
        <f aca="false">'Смета Внутр'!H2339</f>
        <v>0</v>
      </c>
    </row>
    <row r="2334" customFormat="false" ht="14.5" hidden="false" customHeight="false" outlineLevel="0" collapsed="false">
      <c r="B2334" s="2888" t="str">
        <f aca="false">'Смета Внутр'!B2340</f>
        <v>гребенка установка</v>
      </c>
      <c r="C2334" s="2889" t="str">
        <f aca="false">'Смета Внутр'!C2340</f>
        <v>шт</v>
      </c>
      <c r="D2334" s="2890" t="n">
        <f aca="false">'Смета Внутр'!D2340</f>
        <v>1</v>
      </c>
      <c r="E2334" s="2888"/>
      <c r="F2334" s="2895" t="n">
        <f aca="false">'Смета Внутр'!H2340</f>
        <v>0</v>
      </c>
    </row>
    <row r="2335" customFormat="false" ht="14.5" hidden="false" customHeight="false" outlineLevel="0" collapsed="false">
      <c r="B2335" s="2888" t="str">
        <f aca="false">'Смета Внутр'!B2341</f>
        <v>насос установка на отопл</v>
      </c>
      <c r="C2335" s="2889" t="str">
        <f aca="false">'Смета Внутр'!C2341</f>
        <v>шт</v>
      </c>
      <c r="D2335" s="2890" t="n">
        <f aca="false">'Смета Внутр'!D2341</f>
        <v>1</v>
      </c>
      <c r="E2335" s="2888"/>
      <c r="F2335" s="2895" t="n">
        <f aca="false">'Смета Внутр'!H2341</f>
        <v>0</v>
      </c>
    </row>
    <row r="2336" customFormat="false" ht="14.5" hidden="false" customHeight="false" outlineLevel="0" collapsed="false">
      <c r="B2336" s="2888" t="str">
        <f aca="false">'Смета Внутр'!B2342</f>
        <v>насос установка на гвс</v>
      </c>
      <c r="C2336" s="2889" t="str">
        <f aca="false">'Смета Внутр'!C2342</f>
        <v>шт</v>
      </c>
      <c r="D2336" s="2890" t="n">
        <f aca="false">'Смета Внутр'!D2342</f>
        <v>1</v>
      </c>
      <c r="E2336" s="2888"/>
      <c r="F2336" s="2895" t="n">
        <f aca="false">'Смета Внутр'!H2342</f>
        <v>0</v>
      </c>
    </row>
    <row r="2337" customFormat="false" ht="14.5" hidden="false" customHeight="false" outlineLevel="0" collapsed="false">
      <c r="B2337" s="2888" t="str">
        <f aca="false">'Смета Внутр'!B2343</f>
        <v>монтаж сбросного клапана</v>
      </c>
      <c r="C2337" s="2889" t="str">
        <f aca="false">'Смета Внутр'!C2343</f>
        <v>шт</v>
      </c>
      <c r="D2337" s="2890" t="n">
        <f aca="false">'Смета Внутр'!D2343</f>
        <v>1</v>
      </c>
      <c r="E2337" s="2888"/>
      <c r="F2337" s="2895" t="n">
        <f aca="false">'Смета Внутр'!H2343</f>
        <v>0</v>
      </c>
    </row>
    <row r="2338" customFormat="false" ht="14.5" hidden="false" customHeight="false" outlineLevel="0" collapsed="false">
      <c r="B2338" s="2888" t="str">
        <f aca="false">'Смета Внутр'!B2344</f>
        <v>монтаж датчика</v>
      </c>
      <c r="C2338" s="2889" t="str">
        <f aca="false">'Смета Внутр'!C2344</f>
        <v>шт</v>
      </c>
      <c r="D2338" s="2890" t="n">
        <f aca="false">'Смета Внутр'!D2344</f>
        <v>2</v>
      </c>
      <c r="E2338" s="2888"/>
      <c r="F2338" s="2895" t="n">
        <f aca="false">'Смета Внутр'!H2344</f>
        <v>0</v>
      </c>
    </row>
    <row r="2339" customFormat="false" ht="14.5" hidden="false" customHeight="false" outlineLevel="0" collapsed="false">
      <c r="B2339" s="2888" t="str">
        <f aca="false">'Смета Внутр'!B2345</f>
        <v>труба обвязка</v>
      </c>
      <c r="C2339" s="2889" t="str">
        <f aca="false">'Смета Внутр'!C2345</f>
        <v>м.п.</v>
      </c>
      <c r="D2339" s="2890" t="n">
        <f aca="false">'Смета Внутр'!D2345</f>
        <v>20</v>
      </c>
      <c r="E2339" s="2888"/>
      <c r="F2339" s="2895" t="n">
        <f aca="false">'Смета Внутр'!H2345</f>
        <v>0</v>
      </c>
    </row>
    <row r="2340" customFormat="false" ht="14.5" hidden="false" customHeight="false" outlineLevel="0" collapsed="false">
      <c r="B2340" s="2896" t="str">
        <f aca="false">'Смета Внутр'!B2346</f>
        <v>Итого работы</v>
      </c>
      <c r="C2340" s="2896"/>
      <c r="D2340" s="2896"/>
      <c r="E2340" s="2896"/>
      <c r="F2340" s="2897" t="n">
        <f aca="false">'Смета Внутр'!G2346</f>
        <v>0</v>
      </c>
    </row>
    <row r="2341" customFormat="false" ht="18.5" hidden="false" customHeight="false" outlineLevel="0" collapsed="false">
      <c r="B2341" s="2923" t="str">
        <f aca="false">'Смета Внутр'!B2347</f>
        <v>Транспорт</v>
      </c>
      <c r="C2341" s="2923"/>
      <c r="D2341" s="2923"/>
      <c r="E2341" s="2923"/>
      <c r="F2341" s="2893" t="n">
        <f aca="false">'Смета Внутр'!H2347</f>
        <v>0</v>
      </c>
    </row>
    <row r="2342" customFormat="false" ht="14.5" hidden="false" customHeight="false" outlineLevel="0" collapsed="false">
      <c r="B2342" s="2896" t="str">
        <f aca="false">'Смета Внутр'!B2441</f>
        <v>Итого, рублей</v>
      </c>
      <c r="C2342" s="2896"/>
      <c r="D2342" s="2896"/>
      <c r="E2342" s="2896"/>
      <c r="F2342" s="2897" t="n">
        <f aca="false">'Смета Внутр'!G2441</f>
        <v>0</v>
      </c>
    </row>
    <row r="2343" customFormat="false" ht="18.5" hidden="false" customHeight="false" outlineLevel="0" collapsed="false">
      <c r="B2343" s="2923" t="str">
        <f aca="false">'Смета Внутр'!B2442</f>
        <v>Расходные материалы</v>
      </c>
      <c r="C2343" s="2923"/>
      <c r="D2343" s="2923"/>
      <c r="E2343" s="2923"/>
      <c r="F2343" s="2901" t="n">
        <f aca="false">F2344</f>
        <v>15000</v>
      </c>
    </row>
    <row r="2344" customFormat="false" ht="14.5" hidden="false" customHeight="false" outlineLevel="0" collapsed="false">
      <c r="B2344" s="2896" t="str">
        <f aca="false">'Смета Внутр'!B2482</f>
        <v>Итого, рублей</v>
      </c>
      <c r="C2344" s="2896"/>
      <c r="D2344" s="2896"/>
      <c r="E2344" s="2896"/>
      <c r="F2344" s="2891" t="n">
        <f aca="false">'Смета Внутр'!G2482</f>
        <v>15000</v>
      </c>
    </row>
    <row r="2345" customFormat="false" ht="18.5" hidden="false" customHeight="false" outlineLevel="0" collapsed="false">
      <c r="B2345" s="2923" t="str">
        <f aca="false">'Смета Внутр'!B2483</f>
        <v>Командировочные расходы</v>
      </c>
      <c r="C2345" s="2923"/>
      <c r="D2345" s="2923"/>
      <c r="E2345" s="2923"/>
      <c r="F2345" s="2893" t="n">
        <f aca="false">'Смета Внутр'!H2483</f>
        <v>0</v>
      </c>
    </row>
    <row r="2346" customFormat="false" ht="14.5" hidden="false" customHeight="false" outlineLevel="0" collapsed="false">
      <c r="B2346" s="2896" t="str">
        <f aca="false">'Смета Внутр'!B2496</f>
        <v>Итого, рублей</v>
      </c>
      <c r="C2346" s="2896"/>
      <c r="D2346" s="2896"/>
      <c r="E2346" s="2896"/>
      <c r="F2346" s="2897" t="n">
        <f aca="false">'Смета Внутр'!G2496</f>
        <v>0</v>
      </c>
    </row>
    <row r="2348" customFormat="false" ht="14.5" hidden="false" customHeight="false" outlineLevel="0" collapsed="false">
      <c r="B2348" s="2885" t="str">
        <f aca="false">'Смета Внутр'!B2498</f>
        <v>Всего материалов, рублей</v>
      </c>
      <c r="C2348" s="2885"/>
      <c r="D2348" s="2885"/>
      <c r="E2348" s="2885"/>
      <c r="F2348" s="2886" t="n">
        <f aca="false">'Смета Внутр'!G2498</f>
        <v>720924.686214383</v>
      </c>
    </row>
    <row r="2349" customFormat="false" ht="14.5" hidden="false" customHeight="false" outlineLevel="0" collapsed="false">
      <c r="B2349" s="2885" t="str">
        <f aca="false">'Смета Внутр'!B2499</f>
        <v>Всего работы, рублей</v>
      </c>
      <c r="C2349" s="2885"/>
      <c r="D2349" s="2885"/>
      <c r="E2349" s="2885"/>
      <c r="F2349" s="2886" t="n">
        <f aca="false">'Смета Внутр'!G2499</f>
        <v>307133.6</v>
      </c>
    </row>
    <row r="2350" customFormat="false" ht="14.5" hidden="false" customHeight="false" outlineLevel="0" collapsed="false">
      <c r="B2350" s="2885" t="str">
        <f aca="false">'Смета Внутр'!E2500</f>
        <v>Всего транспортные расходы, рублей</v>
      </c>
      <c r="C2350" s="2885"/>
      <c r="D2350" s="2885"/>
      <c r="E2350" s="2885"/>
      <c r="F2350" s="2886" t="n">
        <f aca="false">'Смета Внутр'!G2500</f>
        <v>0</v>
      </c>
    </row>
    <row r="2351" customFormat="false" ht="14.5" hidden="false" customHeight="false" outlineLevel="0" collapsed="false">
      <c r="B2351" s="2885" t="s">
        <v>4676</v>
      </c>
      <c r="C2351" s="2885"/>
      <c r="D2351" s="2885"/>
      <c r="E2351" s="2885"/>
      <c r="F2351" s="2886" t="n">
        <f aca="false">'Смета Внутр'!G2501</f>
        <v>15000</v>
      </c>
    </row>
    <row r="2352" customFormat="false" ht="14.5" hidden="false" customHeight="false" outlineLevel="0" collapsed="false">
      <c r="B2352" s="2885" t="str">
        <f aca="false">'Смета Внутр'!B2502</f>
        <v>Всего, командировочные расходы, рублей</v>
      </c>
      <c r="C2352" s="2885"/>
      <c r="D2352" s="2885"/>
      <c r="E2352" s="2885"/>
      <c r="F2352" s="2886" t="n">
        <f aca="false">'Смета Внутр'!G2502</f>
        <v>0</v>
      </c>
    </row>
    <row r="2353" customFormat="false" ht="14.5" hidden="false" customHeight="false" outlineLevel="0" collapsed="false">
      <c r="B2353" s="2885" t="str">
        <f aca="false">'Смета Внутр'!B2503</f>
        <v>Всего работ и материалов, рублей</v>
      </c>
      <c r="C2353" s="2885"/>
      <c r="D2353" s="2885"/>
      <c r="E2353" s="2885"/>
      <c r="F2353" s="2886" t="n">
        <f aca="false">'Смета Внутр'!G2503</f>
        <v>1043058.28621438</v>
      </c>
    </row>
    <row r="2354" customFormat="false" ht="14.5" hidden="false" customHeight="false" outlineLevel="0" collapsed="false">
      <c r="B2354" s="2881" t="str">
        <f aca="false">'Смета Внутр'!B2504</f>
        <v>Составил: Инженер             _________________</v>
      </c>
    </row>
    <row r="2355" customFormat="false" ht="14.5" hidden="false" customHeight="false" outlineLevel="0" collapsed="false">
      <c r="B2355" s="2881" t="str">
        <f aca="false">'Смета Внутр'!B2505</f>
        <v>С перечнем работ и материалов, ознакомлен, с итоговой стоимостью согласен.</v>
      </c>
    </row>
    <row r="2356" customFormat="false" ht="14.5" hidden="false" customHeight="false" outlineLevel="0" collapsed="false">
      <c r="B2356" s="2881" t="str">
        <f aca="false">'Смета Внутр'!B2506</f>
        <v>Подпись Заказчика              _________________</v>
      </c>
    </row>
    <row r="2357" customFormat="false" ht="14.5" hidden="false" customHeight="false" outlineLevel="0" collapsed="false">
      <c r="B2357" s="2881" t="str">
        <f aca="false">'Смета Внутр'!B2507</f>
        <v>Подпись Подрядчика          _________________</v>
      </c>
    </row>
  </sheetData>
  <autoFilter ref="F12:F2346"/>
  <mergeCells count="274">
    <mergeCell ref="C3:E3"/>
    <mergeCell ref="C4:E4"/>
    <mergeCell ref="C5:E5"/>
    <mergeCell ref="C6:E6"/>
    <mergeCell ref="C7:E7"/>
    <mergeCell ref="B9:F9"/>
    <mergeCell ref="B10:F10"/>
    <mergeCell ref="B13:E13"/>
    <mergeCell ref="B14:E14"/>
    <mergeCell ref="B24:E24"/>
    <mergeCell ref="B25:E25"/>
    <mergeCell ref="B34:E34"/>
    <mergeCell ref="B35:E35"/>
    <mergeCell ref="B36:E36"/>
    <mergeCell ref="B55:E55"/>
    <mergeCell ref="B56:E56"/>
    <mergeCell ref="B71:E71"/>
    <mergeCell ref="B72:E72"/>
    <mergeCell ref="B73:E73"/>
    <mergeCell ref="B88:E88"/>
    <mergeCell ref="B89:E89"/>
    <mergeCell ref="B99:E99"/>
    <mergeCell ref="B100:E100"/>
    <mergeCell ref="B101:E101"/>
    <mergeCell ref="B113:E113"/>
    <mergeCell ref="B114:E114"/>
    <mergeCell ref="B123:E123"/>
    <mergeCell ref="B124:E124"/>
    <mergeCell ref="B125:E125"/>
    <mergeCell ref="B132:E132"/>
    <mergeCell ref="B133:E133"/>
    <mergeCell ref="B141:E141"/>
    <mergeCell ref="B142:E142"/>
    <mergeCell ref="B143:E143"/>
    <mergeCell ref="B150:E150"/>
    <mergeCell ref="B151:E151"/>
    <mergeCell ref="B159:E159"/>
    <mergeCell ref="B160:E160"/>
    <mergeCell ref="B161:E161"/>
    <mergeCell ref="B168:E168"/>
    <mergeCell ref="B169:E169"/>
    <mergeCell ref="B177:E177"/>
    <mergeCell ref="B178:E178"/>
    <mergeCell ref="B179:E179"/>
    <mergeCell ref="B197:E197"/>
    <mergeCell ref="B198:E198"/>
    <mergeCell ref="B214:E214"/>
    <mergeCell ref="B215:E215"/>
    <mergeCell ref="B216:E216"/>
    <mergeCell ref="B237:E237"/>
    <mergeCell ref="B238:E238"/>
    <mergeCell ref="B256:E256"/>
    <mergeCell ref="B257:E257"/>
    <mergeCell ref="B258:E258"/>
    <mergeCell ref="B282:E282"/>
    <mergeCell ref="B283:E283"/>
    <mergeCell ref="B302:E302"/>
    <mergeCell ref="B303:E303"/>
    <mergeCell ref="B304:E304"/>
    <mergeCell ref="B323:E323"/>
    <mergeCell ref="B324:E324"/>
    <mergeCell ref="B331:E331"/>
    <mergeCell ref="B332:E332"/>
    <mergeCell ref="B333:E333"/>
    <mergeCell ref="B352:E352"/>
    <mergeCell ref="B353:E353"/>
    <mergeCell ref="B368:E368"/>
    <mergeCell ref="B369:E369"/>
    <mergeCell ref="B370:E370"/>
    <mergeCell ref="B423:E423"/>
    <mergeCell ref="B424:F424"/>
    <mergeCell ref="B446:E446"/>
    <mergeCell ref="B447:F447"/>
    <mergeCell ref="B451:E451"/>
    <mergeCell ref="B452:F452"/>
    <mergeCell ref="B453:F453"/>
    <mergeCell ref="B506:E506"/>
    <mergeCell ref="B507:F507"/>
    <mergeCell ref="B529:E529"/>
    <mergeCell ref="B530:F530"/>
    <mergeCell ref="B534:E534"/>
    <mergeCell ref="B535:E535"/>
    <mergeCell ref="B536:E536"/>
    <mergeCell ref="B586:E586"/>
    <mergeCell ref="B587:E587"/>
    <mergeCell ref="B599:E599"/>
    <mergeCell ref="B600:E600"/>
    <mergeCell ref="B601:E601"/>
    <mergeCell ref="B646:E646"/>
    <mergeCell ref="B647:E647"/>
    <mergeCell ref="B659:E659"/>
    <mergeCell ref="B660:E660"/>
    <mergeCell ref="B661:E661"/>
    <mergeCell ref="B702:E702"/>
    <mergeCell ref="B703:E703"/>
    <mergeCell ref="B711:E711"/>
    <mergeCell ref="B712:E712"/>
    <mergeCell ref="B713:E713"/>
    <mergeCell ref="B737:E737"/>
    <mergeCell ref="B738:E738"/>
    <mergeCell ref="B748:E748"/>
    <mergeCell ref="B749:E749"/>
    <mergeCell ref="B750:E750"/>
    <mergeCell ref="B774:E774"/>
    <mergeCell ref="B775:E775"/>
    <mergeCell ref="B785:E785"/>
    <mergeCell ref="B786:E786"/>
    <mergeCell ref="B787:E787"/>
    <mergeCell ref="B811:E811"/>
    <mergeCell ref="B812:E812"/>
    <mergeCell ref="B822:E822"/>
    <mergeCell ref="B823:E823"/>
    <mergeCell ref="B824:E824"/>
    <mergeCell ref="B848:E848"/>
    <mergeCell ref="B849:E849"/>
    <mergeCell ref="B859:E859"/>
    <mergeCell ref="B860:E860"/>
    <mergeCell ref="B861:E861"/>
    <mergeCell ref="B885:E885"/>
    <mergeCell ref="B886:E886"/>
    <mergeCell ref="B896:E896"/>
    <mergeCell ref="B897:E897"/>
    <mergeCell ref="B898:E898"/>
    <mergeCell ref="B1196:E1196"/>
    <mergeCell ref="B1197:E1197"/>
    <mergeCell ref="B1242:E1242"/>
    <mergeCell ref="B1243:E1243"/>
    <mergeCell ref="B1244:E1244"/>
    <mergeCell ref="B1271:E1271"/>
    <mergeCell ref="B1272:E1272"/>
    <mergeCell ref="B1282:E1282"/>
    <mergeCell ref="B1283:E1283"/>
    <mergeCell ref="B1284:E1284"/>
    <mergeCell ref="B1303:E1303"/>
    <mergeCell ref="B1304:E1304"/>
    <mergeCell ref="B1306:E1306"/>
    <mergeCell ref="B1307:E1307"/>
    <mergeCell ref="B1308:E1308"/>
    <mergeCell ref="B1320:E1320"/>
    <mergeCell ref="B1321:E1321"/>
    <mergeCell ref="B1328:E1328"/>
    <mergeCell ref="B1329:E1329"/>
    <mergeCell ref="B1330:E1330"/>
    <mergeCell ref="B1383:E1383"/>
    <mergeCell ref="B1384:E1384"/>
    <mergeCell ref="B1402:E1402"/>
    <mergeCell ref="B1403:E1403"/>
    <mergeCell ref="B1404:E1404"/>
    <mergeCell ref="B1457:E1457"/>
    <mergeCell ref="B1458:E1458"/>
    <mergeCell ref="B1476:E1476"/>
    <mergeCell ref="B1477:E1477"/>
    <mergeCell ref="B1478:E1478"/>
    <mergeCell ref="B1524:E1524"/>
    <mergeCell ref="B1525:E1525"/>
    <mergeCell ref="B1542:E1542"/>
    <mergeCell ref="B1543:E1543"/>
    <mergeCell ref="B1544:E1544"/>
    <mergeCell ref="B1595:E1595"/>
    <mergeCell ref="B1596:E1596"/>
    <mergeCell ref="B1615:E1615"/>
    <mergeCell ref="B1616:E1616"/>
    <mergeCell ref="B1617:E1617"/>
    <mergeCell ref="B1658:E1658"/>
    <mergeCell ref="B1659:E1659"/>
    <mergeCell ref="B1673:E1673"/>
    <mergeCell ref="B1674:E1674"/>
    <mergeCell ref="B1675:E1675"/>
    <mergeCell ref="B1723:E1723"/>
    <mergeCell ref="B1724:E1724"/>
    <mergeCell ref="B1742:E1742"/>
    <mergeCell ref="B1743:E1743"/>
    <mergeCell ref="B1744:E1744"/>
    <mergeCell ref="B1791:E1791"/>
    <mergeCell ref="B1792:E1792"/>
    <mergeCell ref="B1808:E1808"/>
    <mergeCell ref="B1809:E1809"/>
    <mergeCell ref="B1810:E1810"/>
    <mergeCell ref="B1852:E1852"/>
    <mergeCell ref="B1853:E1853"/>
    <mergeCell ref="B1867:E1867"/>
    <mergeCell ref="B1868:E1868"/>
    <mergeCell ref="B1869:E1869"/>
    <mergeCell ref="B1907:E1907"/>
    <mergeCell ref="B1908:E1908"/>
    <mergeCell ref="B1923:E1923"/>
    <mergeCell ref="B1924:E1924"/>
    <mergeCell ref="B1925:E1925"/>
    <mergeCell ref="B1946:E1946"/>
    <mergeCell ref="B1947:E1947"/>
    <mergeCell ref="B1961:E1961"/>
    <mergeCell ref="B1962:E1962"/>
    <mergeCell ref="B1963:E1963"/>
    <mergeCell ref="B1974:E1974"/>
    <mergeCell ref="B1975:E1975"/>
    <mergeCell ref="B1977:E1977"/>
    <mergeCell ref="B1978:F1978"/>
    <mergeCell ref="B1979:F1979"/>
    <mergeCell ref="B1988:E1988"/>
    <mergeCell ref="B1989:F1989"/>
    <mergeCell ref="B1991:E1991"/>
    <mergeCell ref="B1992:F1992"/>
    <mergeCell ref="B1993:F1993"/>
    <mergeCell ref="B1999:E1999"/>
    <mergeCell ref="B2000:F2000"/>
    <mergeCell ref="B2002:E2002"/>
    <mergeCell ref="B2003:E2003"/>
    <mergeCell ref="B2004:E2004"/>
    <mergeCell ref="B2009:E2009"/>
    <mergeCell ref="B2010:E2010"/>
    <mergeCell ref="B2015:E2015"/>
    <mergeCell ref="B2016:E2016"/>
    <mergeCell ref="B2017:E2017"/>
    <mergeCell ref="B2018:E2018"/>
    <mergeCell ref="B2043:E2043"/>
    <mergeCell ref="B2055:E2055"/>
    <mergeCell ref="B2063:E2063"/>
    <mergeCell ref="B2064:E2064"/>
    <mergeCell ref="B2065:E2065"/>
    <mergeCell ref="B2080:E2080"/>
    <mergeCell ref="B2087:E2087"/>
    <mergeCell ref="B2091:E2091"/>
    <mergeCell ref="B2092:E2092"/>
    <mergeCell ref="B2093:E2093"/>
    <mergeCell ref="B2094:E2094"/>
    <mergeCell ref="B2119:E2119"/>
    <mergeCell ref="B2143:E2143"/>
    <mergeCell ref="B2154:E2154"/>
    <mergeCell ref="B2166:E2166"/>
    <mergeCell ref="B2173:E2173"/>
    <mergeCell ref="B2174:E2174"/>
    <mergeCell ref="B2175:E2175"/>
    <mergeCell ref="B2186:E2186"/>
    <mergeCell ref="B2200:E2200"/>
    <mergeCell ref="B2206:E2206"/>
    <mergeCell ref="B2213:E2213"/>
    <mergeCell ref="B2219:E2219"/>
    <mergeCell ref="B2220:E2220"/>
    <mergeCell ref="B2221:E2221"/>
    <mergeCell ref="B2239:E2239"/>
    <mergeCell ref="B2240:E2240"/>
    <mergeCell ref="B2249:E2249"/>
    <mergeCell ref="B2250:E2250"/>
    <mergeCell ref="B2251:E2251"/>
    <mergeCell ref="B2263:E2263"/>
    <mergeCell ref="B2264:E2264"/>
    <mergeCell ref="B2268:E2268"/>
    <mergeCell ref="B2269:E2269"/>
    <mergeCell ref="B2270:E2270"/>
    <mergeCell ref="B2280:E2280"/>
    <mergeCell ref="B2281:E2281"/>
    <mergeCell ref="B2288:E2288"/>
    <mergeCell ref="B2289:E2289"/>
    <mergeCell ref="B2290:E2290"/>
    <mergeCell ref="B2304:E2304"/>
    <mergeCell ref="B2305:E2305"/>
    <mergeCell ref="B2313:E2313"/>
    <mergeCell ref="B2314:E2314"/>
    <mergeCell ref="B2315:E2315"/>
    <mergeCell ref="B2330:E2330"/>
    <mergeCell ref="B2331:E2331"/>
    <mergeCell ref="B2340:E2340"/>
    <mergeCell ref="B2341:E2341"/>
    <mergeCell ref="B2342:E2342"/>
    <mergeCell ref="B2343:E2343"/>
    <mergeCell ref="B2344:E2344"/>
    <mergeCell ref="B2345:E2345"/>
    <mergeCell ref="B2346:E2346"/>
    <mergeCell ref="B2348:E2348"/>
    <mergeCell ref="B2349:E2349"/>
    <mergeCell ref="B2350:E2350"/>
    <mergeCell ref="B2351:E2351"/>
    <mergeCell ref="B2352:E2352"/>
    <mergeCell ref="B2353:E235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J2499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K2496" activeCellId="0" sqref="K2496"/>
    </sheetView>
  </sheetViews>
  <sheetFormatPr defaultColWidth="9.19140625" defaultRowHeight="14.5" zeroHeight="false" outlineLevelRow="0" outlineLevelCol="0"/>
  <cols>
    <col collapsed="false" customWidth="true" hidden="false" outlineLevel="0" max="1" min="1" style="2881" width="2.72"/>
    <col collapsed="false" customWidth="true" hidden="false" outlineLevel="0" max="2" min="2" style="2881" width="48.45"/>
    <col collapsed="false" customWidth="false" hidden="false" outlineLevel="0" max="3" min="3" style="2881" width="9.18"/>
    <col collapsed="false" customWidth="true" hidden="false" outlineLevel="0" max="4" min="4" style="2924" width="11.18"/>
    <col collapsed="false" customWidth="false" hidden="true" outlineLevel="0" max="6" min="5" style="0" width="9.18"/>
    <col collapsed="false" customWidth="true" hidden="false" outlineLevel="0" max="7" min="7" style="2881" width="14.72"/>
    <col collapsed="false" customWidth="true" hidden="true" outlineLevel="0" max="9" min="8" style="0" width="11.52"/>
    <col collapsed="false" customWidth="true" hidden="false" outlineLevel="0" max="10" min="10" style="2924" width="13.55"/>
    <col collapsed="false" customWidth="false" hidden="false" outlineLevel="0" max="1024" min="11" style="2881" width="9.18"/>
  </cols>
  <sheetData>
    <row r="1" customFormat="false" ht="14.5" hidden="false" customHeight="false" outlineLevel="0" collapsed="false">
      <c r="B1" s="2881" t="str">
        <f aca="false">'Смета Внутр'!B1</f>
        <v>Приложение №3</v>
      </c>
      <c r="E1" s="0" t="n">
        <f aca="false">'Смета Внутр'!E1</f>
        <v>0</v>
      </c>
      <c r="F1" s="0" t="n">
        <f aca="false">'Смета Внутр'!F1</f>
        <v>0</v>
      </c>
      <c r="H1" s="0" t="n">
        <f aca="false">'Смета Внутр'!G1</f>
        <v>0</v>
      </c>
      <c r="I1" s="0" t="n">
        <f aca="false">'Смета Внутр'!H1</f>
        <v>0</v>
      </c>
    </row>
    <row r="2" customFormat="false" ht="14.5" hidden="false" customHeight="false" outlineLevel="0" collapsed="false">
      <c r="B2" s="2881" t="str">
        <f aca="false">'Смета Внутр'!B2</f>
        <v>от "22"07. 2017г.</v>
      </c>
      <c r="D2" s="2924" t="str">
        <f aca="false">'Смета Внутр'!D2</f>
        <v>Длина дома, м.п.</v>
      </c>
      <c r="E2" s="0" t="n">
        <f aca="false">'Смета Внутр'!E2</f>
        <v>0</v>
      </c>
      <c r="F2" s="0" t="n">
        <f aca="false">'Смета Внутр'!F2</f>
        <v>0</v>
      </c>
      <c r="H2" s="0" t="n">
        <f aca="false">'Смета Внутр'!G2</f>
        <v>0</v>
      </c>
      <c r="J2" s="2924" t="n">
        <f aca="false">'Смета Внутр'!H2</f>
        <v>10</v>
      </c>
    </row>
    <row r="3" customFormat="false" ht="14.5" hidden="false" customHeight="false" outlineLevel="0" collapsed="false">
      <c r="D3" s="2924" t="str">
        <f aca="false">'Смета Внутр'!D3</f>
        <v>Ширина дома, м.п.</v>
      </c>
      <c r="E3" s="0" t="n">
        <f aca="false">'Смета Внутр'!E3</f>
        <v>0</v>
      </c>
      <c r="F3" s="0" t="n">
        <f aca="false">'Смета Внутр'!F3</f>
        <v>0</v>
      </c>
      <c r="H3" s="0" t="n">
        <f aca="false">'Смета Внутр'!G3</f>
        <v>0</v>
      </c>
      <c r="J3" s="2924" t="n">
        <f aca="false">'Смета Внутр'!H3</f>
        <v>10</v>
      </c>
    </row>
    <row r="4" customFormat="false" ht="14.5" hidden="false" customHeight="false" outlineLevel="0" collapsed="false">
      <c r="D4" s="2924" t="str">
        <f aca="false">'Смета Внутр'!D4</f>
        <v>Этажность дома</v>
      </c>
      <c r="E4" s="0" t="n">
        <f aca="false">'Смета Внутр'!E4</f>
        <v>0</v>
      </c>
      <c r="F4" s="0" t="n">
        <f aca="false">'Смета Внутр'!F4</f>
        <v>0</v>
      </c>
      <c r="H4" s="0" t="n">
        <f aca="false">'Смета Внутр'!G4</f>
        <v>0</v>
      </c>
      <c r="J4" s="2924" t="n">
        <f aca="false">'Смета Внутр'!H4</f>
        <v>1</v>
      </c>
    </row>
    <row r="5" customFormat="false" ht="14.5" hidden="false" customHeight="false" outlineLevel="0" collapsed="false">
      <c r="D5" s="2924" t="str">
        <f aca="false">'Смета Внутр'!D5</f>
        <v>S строения общая, м2</v>
      </c>
      <c r="E5" s="0" t="n">
        <f aca="false">'Смета Внутр'!E5</f>
        <v>0</v>
      </c>
      <c r="F5" s="0" t="n">
        <f aca="false">'Смета Внутр'!F5</f>
        <v>0</v>
      </c>
      <c r="H5" s="0" t="n">
        <f aca="false">'Смета Внутр'!G5</f>
        <v>0</v>
      </c>
      <c r="J5" s="2924" t="n">
        <f aca="false">'Смета Внутр'!H5</f>
        <v>100</v>
      </c>
    </row>
    <row r="6" customFormat="false" ht="14.5" hidden="false" customHeight="false" outlineLevel="0" collapsed="false">
      <c r="D6" s="2924" t="str">
        <f aca="false">'Смета Внутр'!D6</f>
        <v>S строения чистая, м2</v>
      </c>
      <c r="E6" s="0" t="n">
        <f aca="false">'Смета Внутр'!E6</f>
        <v>0</v>
      </c>
      <c r="F6" s="0" t="n">
        <f aca="false">'Смета Внутр'!F6</f>
        <v>0</v>
      </c>
      <c r="H6" s="0" t="n">
        <f aca="false">'Смета Внутр'!G6</f>
        <v>0</v>
      </c>
      <c r="J6" s="2924" t="n">
        <f aca="false">'Смета Внутр'!H6</f>
        <v>100</v>
      </c>
    </row>
    <row r="7" customFormat="false" ht="14.5" hidden="false" customHeight="false" outlineLevel="0" collapsed="false">
      <c r="E7" s="0" t="n">
        <f aca="false">'Смета Внутр'!E7</f>
        <v>0</v>
      </c>
      <c r="F7" s="0" t="n">
        <f aca="false">'Смета Внутр'!F7</f>
        <v>0</v>
      </c>
      <c r="H7" s="0" t="n">
        <f aca="false">'Смета Внутр'!G7</f>
        <v>0</v>
      </c>
      <c r="I7" s="0" t="n">
        <f aca="false">'Смета Внутр'!H7</f>
        <v>0</v>
      </c>
    </row>
    <row r="8" customFormat="false" ht="14.5" hidden="false" customHeight="false" outlineLevel="0" collapsed="false">
      <c r="B8" s="2887" t="str">
        <f aca="false">'Смета Внутр'!B8</f>
        <v>СМЕТНЫЙ РАСЧЕТ №4</v>
      </c>
      <c r="C8" s="2887"/>
      <c r="D8" s="2887"/>
      <c r="E8" s="2887"/>
      <c r="F8" s="2887"/>
      <c r="G8" s="2887"/>
      <c r="H8" s="2887"/>
      <c r="I8" s="2887"/>
      <c r="J8" s="2887"/>
    </row>
    <row r="9" customFormat="false" ht="14.5" hidden="false" customHeight="false" outlineLevel="0" collapsed="false">
      <c r="B9" s="2887" t="str">
        <f aca="false">'Смета Внутр'!B9</f>
        <v>К договору №12 от "22"07. 2017г.</v>
      </c>
      <c r="C9" s="2887"/>
      <c r="D9" s="2887"/>
      <c r="E9" s="2887"/>
      <c r="F9" s="2887"/>
      <c r="G9" s="2887"/>
      <c r="H9" s="2887"/>
      <c r="I9" s="2887"/>
      <c r="J9" s="2887"/>
    </row>
    <row r="11" customFormat="false" ht="14.5" hidden="false" customHeight="false" outlineLevel="0" collapsed="false">
      <c r="B11" s="2888" t="str">
        <f aca="false">'Смета Внутр'!B11</f>
        <v>Наименование работ и затрат</v>
      </c>
      <c r="C11" s="2888" t="str">
        <f aca="false">'Смета Внутр'!C11</f>
        <v>ед. изм.</v>
      </c>
      <c r="D11" s="2897" t="str">
        <f aca="false">'Смета Внутр'!D11</f>
        <v>кол-во</v>
      </c>
      <c r="E11" s="1004" t="str">
        <f aca="false">'Смета Внутр'!E11</f>
        <v>Цена ед.изм.</v>
      </c>
      <c r="F11" s="1004" t="str">
        <f aca="false">'Смета Внутр'!F11</f>
        <v>Цена с накруткой</v>
      </c>
      <c r="G11" s="2888" t="s">
        <v>4632</v>
      </c>
      <c r="H11" s="1004" t="str">
        <f aca="false">'Смета Внутр'!G11</f>
        <v>Общая цена</v>
      </c>
      <c r="I11" s="1004" t="str">
        <f aca="false">'Смета Внутр'!H11</f>
        <v>Цена по прайсу</v>
      </c>
      <c r="J11" s="2897" t="str">
        <f aca="false">'Смета Внутр'!G11</f>
        <v>Общая цена</v>
      </c>
    </row>
    <row r="12" customFormat="false" ht="18.5" hidden="false" customHeight="false" outlineLevel="0" collapsed="false">
      <c r="B12" s="2899" t="str">
        <f aca="false">'Смета Внутр'!B12</f>
        <v>Фундамент ленточный, под стены цоколя</v>
      </c>
      <c r="C12" s="2899"/>
      <c r="D12" s="2899"/>
      <c r="E12" s="0" t="n">
        <f aca="false">'Смета Внутр'!E12</f>
        <v>0</v>
      </c>
      <c r="F12" s="0" t="n">
        <f aca="false">'Смета Внутр'!F12</f>
        <v>0</v>
      </c>
      <c r="H12" s="0" t="n">
        <f aca="false">'Смета Внутр'!G12</f>
        <v>0</v>
      </c>
      <c r="I12" s="0" t="n">
        <f aca="false">'Смета Внутр'!H12</f>
        <v>0</v>
      </c>
      <c r="J12" s="2893" t="n">
        <f aca="false">'Смета Внутр'!I12</f>
        <v>0</v>
      </c>
    </row>
    <row r="13" customFormat="false" ht="14.5" hidden="false" customHeight="false" outlineLevel="0" collapsed="false">
      <c r="B13" s="2881" t="str">
        <f aca="false">'Смета Внутр'!B13</f>
        <v>Материалы</v>
      </c>
      <c r="E13" s="0" t="n">
        <f aca="false">'Смета Внутр'!E13</f>
        <v>0</v>
      </c>
      <c r="F13" s="0" t="n">
        <f aca="false">'Смета Внутр'!F13</f>
        <v>0</v>
      </c>
      <c r="H13" s="0" t="n">
        <f aca="false">'Смета Внутр'!G13</f>
        <v>0</v>
      </c>
      <c r="I13" s="0" t="n">
        <f aca="false">'Смета Внутр'!H13</f>
        <v>0</v>
      </c>
      <c r="J13" s="2893" t="n">
        <f aca="false">'Смета Внутр'!I13</f>
        <v>0</v>
      </c>
    </row>
    <row r="14" customFormat="false" ht="14.5" hidden="false" customHeight="false" outlineLevel="0" collapsed="false">
      <c r="B14" s="2888" t="str">
        <f aca="false">'Смета Внутр'!B14</f>
        <v>Сосна влаж,150*40мм</v>
      </c>
      <c r="C14" s="2888" t="str">
        <f aca="false">'Смета Внутр'!C14</f>
        <v>м3</v>
      </c>
      <c r="D14" s="2897" t="n">
        <f aca="false">'Смета Внутр'!D14</f>
        <v>0</v>
      </c>
      <c r="E14" s="1004" t="n">
        <f aca="false">'Смета Внутр'!E14</f>
        <v>6500</v>
      </c>
      <c r="F14" s="1004" t="n">
        <f aca="false">'Смета Внутр'!F14</f>
        <v>8000</v>
      </c>
      <c r="G14" s="2888" t="n">
        <f aca="false">IF(E14&gt;F14,E14,F14)</f>
        <v>8000</v>
      </c>
      <c r="H14" s="1004" t="n">
        <f aca="false">'Смета Внутр'!G14</f>
        <v>0</v>
      </c>
      <c r="I14" s="1004" t="n">
        <f aca="false">'Смета Внутр'!H14</f>
        <v>0</v>
      </c>
      <c r="J14" s="2897" t="n">
        <f aca="false">'Смета Внутр'!I14</f>
        <v>0</v>
      </c>
    </row>
    <row r="15" customFormat="false" ht="14.5" hidden="false" customHeight="false" outlineLevel="0" collapsed="false">
      <c r="B15" s="2888" t="str">
        <f aca="false">'Смета Внутр'!B15</f>
        <v>Пленка гидроизоляционная</v>
      </c>
      <c r="C15" s="2888" t="str">
        <f aca="false">'Смета Внутр'!C15</f>
        <v>м2</v>
      </c>
      <c r="D15" s="2897" t="n">
        <f aca="false">'Смета Внутр'!D15</f>
        <v>0</v>
      </c>
      <c r="E15" s="1004" t="n">
        <f aca="false">'Смета Внутр'!E15</f>
        <v>15</v>
      </c>
      <c r="F15" s="1004" t="n">
        <f aca="false">'Смета Внутр'!F15</f>
        <v>0</v>
      </c>
      <c r="G15" s="2888" t="n">
        <f aca="false">IF(E15&gt;F15,E15,F15)</f>
        <v>15</v>
      </c>
      <c r="H15" s="1004" t="n">
        <f aca="false">'Смета Внутр'!G15</f>
        <v>0</v>
      </c>
      <c r="I15" s="1004" t="n">
        <f aca="false">'Смета Внутр'!H15</f>
        <v>0</v>
      </c>
      <c r="J15" s="2897" t="n">
        <f aca="false">'Смета Внутр'!I15</f>
        <v>0</v>
      </c>
    </row>
    <row r="16" customFormat="false" ht="14.5" hidden="false" customHeight="false" outlineLevel="0" collapsed="false">
      <c r="B16" s="2888" t="str">
        <f aca="false">'Смета Внутр'!B16</f>
        <v>Гидроизол</v>
      </c>
      <c r="C16" s="2888" t="str">
        <f aca="false">'Смета Внутр'!C16</f>
        <v>м2</v>
      </c>
      <c r="D16" s="2897" t="n">
        <f aca="false">'Смета Внутр'!D16</f>
        <v>0</v>
      </c>
      <c r="E16" s="1004" t="n">
        <f aca="false">'Смета Внутр'!E16</f>
        <v>70</v>
      </c>
      <c r="F16" s="1004" t="n">
        <f aca="false">'Смета Внутр'!F16</f>
        <v>0</v>
      </c>
      <c r="G16" s="2888" t="n">
        <f aca="false">IF(E16&gt;F16,E16,F16)</f>
        <v>70</v>
      </c>
      <c r="H16" s="1004" t="n">
        <f aca="false">'Смета Внутр'!G16</f>
        <v>0</v>
      </c>
      <c r="I16" s="1004" t="n">
        <f aca="false">'Смета Внутр'!H16</f>
        <v>0</v>
      </c>
      <c r="J16" s="2897" t="n">
        <f aca="false">'Смета Внутр'!I16</f>
        <v>0</v>
      </c>
    </row>
    <row r="17" customFormat="false" ht="14.5" hidden="false" customHeight="false" outlineLevel="0" collapsed="false">
      <c r="B17" s="2888" t="str">
        <f aca="false">'Смета Внутр'!B17</f>
        <v>Арматура стальная Ø 12</v>
      </c>
      <c r="C17" s="2888" t="str">
        <f aca="false">'Смета Внутр'!C17</f>
        <v>м.п</v>
      </c>
      <c r="D17" s="2897" t="n">
        <f aca="false">'Смета Внутр'!D17</f>
        <v>0</v>
      </c>
      <c r="E17" s="1004" t="n">
        <f aca="false">'Смета Внутр'!E17</f>
        <v>29.2152</v>
      </c>
      <c r="F17" s="1004" t="n">
        <f aca="false">'Смета Внутр'!F17</f>
        <v>0</v>
      </c>
      <c r="G17" s="2888" t="n">
        <f aca="false">IF(E17&gt;F17,E17,F17)</f>
        <v>29.2152</v>
      </c>
      <c r="H17" s="1004" t="n">
        <f aca="false">'Смета Внутр'!G17</f>
        <v>0</v>
      </c>
      <c r="I17" s="1004" t="n">
        <f aca="false">'Смета Внутр'!H17</f>
        <v>0</v>
      </c>
      <c r="J17" s="2897" t="n">
        <f aca="false">'Смета Внутр'!I17</f>
        <v>0</v>
      </c>
    </row>
    <row r="18" customFormat="false" ht="14.5" hidden="false" customHeight="false" outlineLevel="0" collapsed="false">
      <c r="B18" s="1004" t="str">
        <f aca="false">'Смета Внутр'!B18</f>
        <v>Нет арматуры</v>
      </c>
      <c r="C18" s="1004" t="str">
        <f aca="false">'Смета Внутр'!C18</f>
        <v>м.п</v>
      </c>
      <c r="D18" s="1018" t="n">
        <f aca="false">'Смета Внутр'!D18</f>
        <v>0</v>
      </c>
      <c r="E18" s="1004" t="n">
        <f aca="false">'Смета Внутр'!E18</f>
        <v>0</v>
      </c>
      <c r="F18" s="1004" t="n">
        <f aca="false">'Смета Внутр'!F18</f>
        <v>0</v>
      </c>
      <c r="G18" s="1004" t="n">
        <f aca="false">IF(E18&gt;F18,E18,F18)</f>
        <v>0</v>
      </c>
      <c r="H18" s="1004" t="n">
        <f aca="false">'Смета Внутр'!G18</f>
        <v>0</v>
      </c>
      <c r="I18" s="1004" t="n">
        <f aca="false">'Смета Внутр'!H18</f>
        <v>0</v>
      </c>
      <c r="J18" s="1018" t="n">
        <f aca="false">'Смета Внутр'!I18</f>
        <v>0</v>
      </c>
    </row>
    <row r="19" customFormat="false" ht="14.5" hidden="false" customHeight="false" outlineLevel="0" collapsed="false">
      <c r="B19" s="2888" t="str">
        <f aca="false">'Смета Внутр'!B19</f>
        <v>Вязальная проволока</v>
      </c>
      <c r="C19" s="2888" t="str">
        <f aca="false">'Смета Внутр'!C19</f>
        <v>кг</v>
      </c>
      <c r="D19" s="2897" t="n">
        <f aca="false">'Смета Внутр'!D19</f>
        <v>0</v>
      </c>
      <c r="E19" s="1004" t="n">
        <f aca="false">'Смета Внутр'!E19</f>
        <v>80</v>
      </c>
      <c r="F19" s="1004" t="n">
        <f aca="false">'Смета Внутр'!F19</f>
        <v>0</v>
      </c>
      <c r="G19" s="2888" t="n">
        <f aca="false">IF(E19&gt;F19,E19,F19)</f>
        <v>80</v>
      </c>
      <c r="H19" s="1004" t="n">
        <f aca="false">'Смета Внутр'!G19</f>
        <v>0</v>
      </c>
      <c r="I19" s="1004" t="n">
        <f aca="false">'Смета Внутр'!H19</f>
        <v>0</v>
      </c>
      <c r="J19" s="2897" t="n">
        <f aca="false">'Смета Внутр'!I19</f>
        <v>0</v>
      </c>
    </row>
    <row r="20" customFormat="false" ht="14.5" hidden="false" customHeight="false" outlineLevel="0" collapsed="false">
      <c r="B20" s="2888" t="str">
        <f aca="false">'Смета Внутр'!B20</f>
        <v>Гвозди строительные 3,5 x 90</v>
      </c>
      <c r="C20" s="2888" t="str">
        <f aca="false">'Смета Внутр'!C20</f>
        <v>кг</v>
      </c>
      <c r="D20" s="2897" t="n">
        <f aca="false">'Смета Внутр'!D20</f>
        <v>0</v>
      </c>
      <c r="E20" s="1004" t="n">
        <f aca="false">'Смета Внутр'!E20</f>
        <v>70</v>
      </c>
      <c r="F20" s="1004" t="n">
        <f aca="false">'Смета Внутр'!F20</f>
        <v>0</v>
      </c>
      <c r="G20" s="2888" t="n">
        <f aca="false">IF(E20&gt;F20,E20,F20)</f>
        <v>70</v>
      </c>
      <c r="H20" s="1004" t="n">
        <f aca="false">'Смета Внутр'!G20</f>
        <v>0</v>
      </c>
      <c r="I20" s="1004" t="n">
        <f aca="false">'Смета Внутр'!H20</f>
        <v>0</v>
      </c>
      <c r="J20" s="2897" t="n">
        <f aca="false">'Смета Внутр'!I20</f>
        <v>0</v>
      </c>
    </row>
    <row r="21" customFormat="false" ht="14.5" hidden="false" customHeight="false" outlineLevel="0" collapsed="false">
      <c r="B21" s="2888" t="str">
        <f aca="false">'Смета Внутр'!B21</f>
        <v>ПГС, машина 13м3</v>
      </c>
      <c r="C21" s="2888" t="str">
        <f aca="false">'Смета Внутр'!C21</f>
        <v>маш</v>
      </c>
      <c r="D21" s="2897" t="n">
        <f aca="false">'Смета Внутр'!D21</f>
        <v>0</v>
      </c>
      <c r="E21" s="1004" t="n">
        <f aca="false">'Смета Внутр'!E21</f>
        <v>10000</v>
      </c>
      <c r="F21" s="1004" t="n">
        <f aca="false">'Смета Внутр'!F21</f>
        <v>0</v>
      </c>
      <c r="G21" s="2888" t="n">
        <f aca="false">IF(E21&gt;F21,E21,F21)</f>
        <v>10000</v>
      </c>
      <c r="H21" s="1004" t="n">
        <f aca="false">'Смета Внутр'!G21</f>
        <v>0</v>
      </c>
      <c r="I21" s="1004" t="n">
        <f aca="false">'Смета Внутр'!H21</f>
        <v>0</v>
      </c>
      <c r="J21" s="2897" t="n">
        <f aca="false">'Смета Внутр'!I21</f>
        <v>0</v>
      </c>
    </row>
    <row r="22" customFormat="false" ht="14.5" hidden="false" customHeight="false" outlineLevel="0" collapsed="false">
      <c r="B22" s="2888" t="str">
        <f aca="false">'Смета Внутр'!B22</f>
        <v>Бетон, м200</v>
      </c>
      <c r="C22" s="2888" t="str">
        <f aca="false">'Смета Внутр'!C22</f>
        <v>м3</v>
      </c>
      <c r="D22" s="2897" t="n">
        <f aca="false">'Смета Внутр'!D22</f>
        <v>0</v>
      </c>
      <c r="E22" s="1004" t="n">
        <f aca="false">'Смета Внутр'!E22</f>
        <v>2500</v>
      </c>
      <c r="F22" s="1004" t="n">
        <f aca="false">'Смета Внутр'!F22</f>
        <v>0</v>
      </c>
      <c r="G22" s="2888" t="n">
        <f aca="false">IF(E22&gt;F22,E22,F22)</f>
        <v>2500</v>
      </c>
      <c r="H22" s="1004" t="n">
        <f aca="false">'Смета Внутр'!G22</f>
        <v>0</v>
      </c>
      <c r="I22" s="1004" t="n">
        <f aca="false">'Смета Внутр'!H22</f>
        <v>0</v>
      </c>
      <c r="J22" s="2897" t="n">
        <f aca="false">'Смета Внутр'!I22</f>
        <v>0</v>
      </c>
    </row>
    <row r="23" customFormat="false" ht="14.5" hidden="false" customHeight="false" outlineLevel="0" collapsed="false">
      <c r="B23" s="2896" t="str">
        <f aca="false">'Смета Внутр'!B23</f>
        <v>Итого материалы</v>
      </c>
      <c r="C23" s="2896"/>
      <c r="D23" s="2896"/>
      <c r="E23" s="2896"/>
      <c r="F23" s="2896"/>
      <c r="G23" s="2896"/>
      <c r="H23" s="1004" t="n">
        <f aca="false">'Смета Внутр'!G23</f>
        <v>0</v>
      </c>
      <c r="I23" s="1004" t="n">
        <f aca="false">'Смета Внутр'!H23</f>
        <v>0</v>
      </c>
      <c r="J23" s="2897" t="n">
        <f aca="false">'Смета Внутр'!I23</f>
        <v>0</v>
      </c>
    </row>
    <row r="24" customFormat="false" ht="14.5" hidden="false" customHeight="false" outlineLevel="0" collapsed="false">
      <c r="B24" s="2881" t="str">
        <f aca="false">'Смета Внутр'!B24</f>
        <v>Работы</v>
      </c>
      <c r="H24" s="0" t="n">
        <f aca="false">'Смета Внутр'!G24</f>
        <v>0</v>
      </c>
      <c r="I24" s="0" t="n">
        <f aca="false">'Смета Внутр'!H24</f>
        <v>0</v>
      </c>
      <c r="J24" s="2893" t="n">
        <f aca="false">'Смета Внутр'!I24</f>
        <v>0</v>
      </c>
    </row>
    <row r="25" customFormat="false" ht="14.5" hidden="false" customHeight="false" outlineLevel="0" collapsed="false">
      <c r="B25" s="2888" t="str">
        <f aca="false">'Смета Внутр'!B25</f>
        <v>сборка опалубки</v>
      </c>
      <c r="C25" s="2888" t="str">
        <f aca="false">'Смета Внутр'!C25</f>
        <v>м2</v>
      </c>
      <c r="D25" s="2897" t="n">
        <f aca="false">'Смета Внутр'!D25</f>
        <v>0</v>
      </c>
      <c r="E25" s="1004" t="n">
        <f aca="false">'Смета Внутр'!E25</f>
        <v>300</v>
      </c>
      <c r="F25" s="1004" t="n">
        <f aca="false">'Смета Внутр'!F25</f>
        <v>0</v>
      </c>
      <c r="G25" s="2888" t="n">
        <f aca="false">IF(E25&gt;F25,E25,F25)</f>
        <v>300</v>
      </c>
      <c r="H25" s="1004" t="n">
        <f aca="false">'Смета Внутр'!G25</f>
        <v>0</v>
      </c>
      <c r="I25" s="1004" t="n">
        <f aca="false">'Смета Внутр'!H25</f>
        <v>0</v>
      </c>
      <c r="J25" s="2897" t="n">
        <f aca="false">'Смета Внутр'!I25</f>
        <v>0</v>
      </c>
    </row>
    <row r="26" customFormat="false" ht="14.5" hidden="false" customHeight="false" outlineLevel="0" collapsed="false">
      <c r="B26" s="2888" t="str">
        <f aca="false">'Смета Внутр'!B26</f>
        <v>разборка опалубки</v>
      </c>
      <c r="C26" s="2888" t="str">
        <f aca="false">'Смета Внутр'!C26</f>
        <v>м2</v>
      </c>
      <c r="D26" s="2897" t="n">
        <f aca="false">'Смета Внутр'!D26</f>
        <v>0</v>
      </c>
      <c r="E26" s="1004" t="n">
        <f aca="false">'Смета Внутр'!E26</f>
        <v>100</v>
      </c>
      <c r="F26" s="1004" t="n">
        <f aca="false">'Смета Внутр'!F26</f>
        <v>0</v>
      </c>
      <c r="G26" s="2888" t="n">
        <f aca="false">IF(E26&gt;F26,E26,F26)</f>
        <v>100</v>
      </c>
      <c r="H26" s="1004" t="n">
        <f aca="false">'Смета Внутр'!G26</f>
        <v>0</v>
      </c>
      <c r="I26" s="1004" t="n">
        <f aca="false">'Смета Внутр'!H26</f>
        <v>0</v>
      </c>
      <c r="J26" s="2897" t="n">
        <f aca="false">'Смета Внутр'!I26</f>
        <v>0</v>
      </c>
    </row>
    <row r="27" customFormat="false" ht="14.5" hidden="false" customHeight="false" outlineLevel="0" collapsed="false">
      <c r="B27" s="2888" t="str">
        <f aca="false">'Смета Внутр'!B27</f>
        <v>трамбовка</v>
      </c>
      <c r="C27" s="2888" t="str">
        <f aca="false">'Смета Внутр'!C27</f>
        <v>м2</v>
      </c>
      <c r="D27" s="2897" t="n">
        <f aca="false">'Смета Внутр'!D27</f>
        <v>0</v>
      </c>
      <c r="E27" s="1004" t="n">
        <f aca="false">'Смета Внутр'!E27</f>
        <v>600</v>
      </c>
      <c r="F27" s="1004" t="n">
        <f aca="false">'Смета Внутр'!F27</f>
        <v>0</v>
      </c>
      <c r="G27" s="2888" t="n">
        <f aca="false">IF(E27&gt;F27,E27,F27)</f>
        <v>600</v>
      </c>
      <c r="H27" s="1004" t="n">
        <f aca="false">'Смета Внутр'!G27</f>
        <v>0</v>
      </c>
      <c r="I27" s="1004" t="n">
        <f aca="false">'Смета Внутр'!H27</f>
        <v>0</v>
      </c>
      <c r="J27" s="2897" t="n">
        <f aca="false">'Смета Внутр'!I27</f>
        <v>0</v>
      </c>
    </row>
    <row r="28" customFormat="false" ht="14.5" hidden="false" customHeight="false" outlineLevel="0" collapsed="false">
      <c r="B28" s="2888" t="str">
        <f aca="false">'Смета Внутр'!B28</f>
        <v>настил пленки</v>
      </c>
      <c r="C28" s="2888" t="str">
        <f aca="false">'Смета Внутр'!C28</f>
        <v>м2</v>
      </c>
      <c r="D28" s="2897" t="n">
        <f aca="false">'Смета Внутр'!D28</f>
        <v>0</v>
      </c>
      <c r="E28" s="1004" t="n">
        <f aca="false">'Смета Внутр'!E28</f>
        <v>10</v>
      </c>
      <c r="F28" s="1004" t="n">
        <f aca="false">'Смета Внутр'!F28</f>
        <v>0</v>
      </c>
      <c r="G28" s="2888" t="n">
        <f aca="false">IF(E28&gt;F28,E28,F28)</f>
        <v>10</v>
      </c>
      <c r="H28" s="1004" t="n">
        <f aca="false">'Смета Внутр'!G28</f>
        <v>0</v>
      </c>
      <c r="I28" s="1004" t="n">
        <f aca="false">'Смета Внутр'!H28</f>
        <v>0</v>
      </c>
      <c r="J28" s="2897" t="n">
        <f aca="false">'Смета Внутр'!I28</f>
        <v>0</v>
      </c>
    </row>
    <row r="29" customFormat="false" ht="14.5" hidden="false" customHeight="false" outlineLevel="0" collapsed="false">
      <c r="B29" s="2888" t="str">
        <f aca="false">'Смета Внутр'!B29</f>
        <v>армирование</v>
      </c>
      <c r="C29" s="2888" t="str">
        <f aca="false">'Смета Внутр'!C29</f>
        <v>м.п</v>
      </c>
      <c r="D29" s="2897" t="n">
        <f aca="false">'Смета Внутр'!D29</f>
        <v>0</v>
      </c>
      <c r="E29" s="1004" t="n">
        <f aca="false">'Смета Внутр'!E29</f>
        <v>30</v>
      </c>
      <c r="F29" s="1004" t="n">
        <f aca="false">'Смета Внутр'!F29</f>
        <v>0</v>
      </c>
      <c r="G29" s="2888" t="n">
        <f aca="false">IF(E29&gt;F29,E29,F29)</f>
        <v>30</v>
      </c>
      <c r="H29" s="1004" t="n">
        <f aca="false">'Смета Внутр'!G29</f>
        <v>0</v>
      </c>
      <c r="I29" s="1004" t="n">
        <f aca="false">'Смета Внутр'!H29</f>
        <v>0</v>
      </c>
      <c r="J29" s="2897" t="n">
        <f aca="false">'Смета Внутр'!I29</f>
        <v>0</v>
      </c>
    </row>
    <row r="30" customFormat="false" ht="14.5" hidden="false" customHeight="false" outlineLevel="0" collapsed="false">
      <c r="B30" s="2888" t="str">
        <f aca="false">'Смета Внутр'!B30</f>
        <v>армирование</v>
      </c>
      <c r="C30" s="2888" t="str">
        <f aca="false">'Смета Внутр'!C30</f>
        <v>м.п.</v>
      </c>
      <c r="D30" s="2897" t="n">
        <f aca="false">'Смета Внутр'!D30</f>
        <v>0</v>
      </c>
      <c r="E30" s="1004" t="n">
        <f aca="false">'Смета Внутр'!E30</f>
        <v>30</v>
      </c>
      <c r="F30" s="1004" t="n">
        <f aca="false">'Смета Внутр'!F30</f>
        <v>0</v>
      </c>
      <c r="G30" s="2888" t="n">
        <f aca="false">IF(E30&gt;F30,E30,F30)</f>
        <v>30</v>
      </c>
      <c r="H30" s="1004" t="n">
        <f aca="false">'Смета Внутр'!G30</f>
        <v>0</v>
      </c>
      <c r="I30" s="1004" t="n">
        <f aca="false">'Смета Внутр'!H30</f>
        <v>0</v>
      </c>
      <c r="J30" s="2897" t="n">
        <f aca="false">'Смета Внутр'!I30</f>
        <v>0</v>
      </c>
    </row>
    <row r="31" customFormat="false" ht="14.5" hidden="false" customHeight="false" outlineLevel="0" collapsed="false">
      <c r="B31" s="2888" t="str">
        <f aca="false">'Смета Внутр'!B31</f>
        <v>настил гидроизола</v>
      </c>
      <c r="C31" s="2888" t="str">
        <f aca="false">'Смета Внутр'!C31</f>
        <v>м2</v>
      </c>
      <c r="D31" s="2897" t="n">
        <f aca="false">'Смета Внутр'!D31</f>
        <v>0</v>
      </c>
      <c r="E31" s="1004" t="n">
        <f aca="false">'Смета Внутр'!E31</f>
        <v>100</v>
      </c>
      <c r="F31" s="1004" t="n">
        <f aca="false">'Смета Внутр'!F31</f>
        <v>0</v>
      </c>
      <c r="G31" s="2888" t="n">
        <f aca="false">IF(E31&gt;F31,E31,F31)</f>
        <v>100</v>
      </c>
      <c r="H31" s="1004" t="n">
        <f aca="false">'Смета Внутр'!G31</f>
        <v>0</v>
      </c>
      <c r="I31" s="1004" t="n">
        <f aca="false">'Смета Внутр'!H31</f>
        <v>0</v>
      </c>
      <c r="J31" s="2897" t="n">
        <f aca="false">'Смета Внутр'!I31</f>
        <v>0</v>
      </c>
    </row>
    <row r="32" customFormat="false" ht="14.5" hidden="false" customHeight="false" outlineLevel="0" collapsed="false">
      <c r="B32" s="2888" t="str">
        <f aca="false">'Смета Внутр'!B32</f>
        <v>приемка бетона</v>
      </c>
      <c r="C32" s="2888" t="str">
        <f aca="false">'Смета Внутр'!C32</f>
        <v>м3</v>
      </c>
      <c r="D32" s="2897" t="n">
        <f aca="false">'Смета Внутр'!D32</f>
        <v>0</v>
      </c>
      <c r="E32" s="1004" t="n">
        <f aca="false">'Смета Внутр'!E32</f>
        <v>1200</v>
      </c>
      <c r="F32" s="1004" t="n">
        <f aca="false">'Смета Внутр'!F32</f>
        <v>0</v>
      </c>
      <c r="G32" s="2888" t="n">
        <f aca="false">IF(E32&gt;F32,E32,F32)</f>
        <v>1200</v>
      </c>
      <c r="H32" s="1004" t="n">
        <f aca="false">'Смета Внутр'!G32</f>
        <v>0</v>
      </c>
      <c r="I32" s="1004" t="n">
        <f aca="false">'Смета Внутр'!H32</f>
        <v>0</v>
      </c>
      <c r="J32" s="2897" t="n">
        <f aca="false">'Смета Внутр'!I32</f>
        <v>0</v>
      </c>
    </row>
    <row r="33" customFormat="false" ht="14.5" hidden="false" customHeight="false" outlineLevel="0" collapsed="false">
      <c r="B33" s="2896" t="str">
        <f aca="false">'Смета Внутр'!B33</f>
        <v>Итого работы</v>
      </c>
      <c r="C33" s="2896"/>
      <c r="D33" s="2896"/>
      <c r="E33" s="2896"/>
      <c r="F33" s="2896"/>
      <c r="G33" s="2896"/>
      <c r="H33" s="1004" t="n">
        <f aca="false">'Смета Внутр'!G33</f>
        <v>0</v>
      </c>
      <c r="I33" s="1004" t="n">
        <f aca="false">'Смета Внутр'!H33</f>
        <v>0</v>
      </c>
      <c r="J33" s="2897" t="n">
        <f aca="false">'Смета Внутр'!I33</f>
        <v>0</v>
      </c>
    </row>
    <row r="34" customFormat="false" ht="18.5" hidden="false" customHeight="false" outlineLevel="0" collapsed="false">
      <c r="B34" s="2899" t="str">
        <f aca="false">'Смета Внутр'!B34</f>
        <v>Стяжка в цокольном этаже</v>
      </c>
      <c r="C34" s="2899"/>
      <c r="D34" s="2899"/>
      <c r="H34" s="0" t="n">
        <f aca="false">'Смета Внутр'!G34</f>
        <v>0</v>
      </c>
      <c r="I34" s="0" t="n">
        <f aca="false">'Смета Внутр'!H34</f>
        <v>0</v>
      </c>
      <c r="J34" s="2893" t="n">
        <f aca="false">'Смета Внутр'!I34</f>
        <v>0</v>
      </c>
    </row>
    <row r="35" customFormat="false" ht="14.5" hidden="false" customHeight="false" outlineLevel="0" collapsed="false">
      <c r="B35" s="2881" t="str">
        <f aca="false">'Смета Внутр'!B35</f>
        <v>Материалы</v>
      </c>
      <c r="H35" s="0" t="n">
        <f aca="false">'Смета Внутр'!G35</f>
        <v>0</v>
      </c>
      <c r="I35" s="0" t="n">
        <f aca="false">'Смета Внутр'!H35</f>
        <v>0</v>
      </c>
      <c r="J35" s="2893" t="n">
        <f aca="false">'Смета Внутр'!I35</f>
        <v>0</v>
      </c>
    </row>
    <row r="36" customFormat="false" ht="14.5" hidden="false" customHeight="false" outlineLevel="0" collapsed="false">
      <c r="B36" s="1004" t="str">
        <f aca="false">'Смета Внутр'!B36</f>
        <v>Скальник, 1 маш 13м3</v>
      </c>
      <c r="C36" s="1004" t="str">
        <f aca="false">'Смета Внутр'!C36</f>
        <v>маш</v>
      </c>
      <c r="D36" s="1018" t="n">
        <f aca="false">'Смета Внутр'!D36</f>
        <v>0</v>
      </c>
      <c r="E36" s="1004" t="n">
        <f aca="false">'Смета Внутр'!E36</f>
        <v>15000</v>
      </c>
      <c r="F36" s="1004" t="n">
        <f aca="false">'Смета Внутр'!F36</f>
        <v>0</v>
      </c>
      <c r="G36" s="1004" t="n">
        <f aca="false">IF(E36&gt;F36,E36,F36)</f>
        <v>15000</v>
      </c>
      <c r="H36" s="1004" t="n">
        <f aca="false">'Смета Внутр'!G36</f>
        <v>0</v>
      </c>
      <c r="I36" s="1004" t="n">
        <f aca="false">'Смета Внутр'!H36</f>
        <v>0</v>
      </c>
      <c r="J36" s="1018" t="n">
        <f aca="false">'Смета Внутр'!I36</f>
        <v>0</v>
      </c>
    </row>
    <row r="37" customFormat="false" ht="14.5" hidden="false" customHeight="false" outlineLevel="0" collapsed="false">
      <c r="B37" s="1004" t="str">
        <f aca="false">'Смета Внутр'!B37</f>
        <v>ПГС, машина 13м3</v>
      </c>
      <c r="C37" s="1004" t="str">
        <f aca="false">'Смета Внутр'!C37</f>
        <v>маш</v>
      </c>
      <c r="D37" s="1018" t="n">
        <f aca="false">'Смета Внутр'!D37</f>
        <v>0</v>
      </c>
      <c r="E37" s="1004" t="n">
        <f aca="false">'Смета Внутр'!E37</f>
        <v>10000</v>
      </c>
      <c r="F37" s="1004" t="n">
        <f aca="false">'Смета Внутр'!F37</f>
        <v>0</v>
      </c>
      <c r="G37" s="1004" t="n">
        <f aca="false">IF(E37&gt;F37,E37,F37)</f>
        <v>10000</v>
      </c>
      <c r="H37" s="1004" t="n">
        <f aca="false">'Смета Внутр'!G37</f>
        <v>0</v>
      </c>
      <c r="I37" s="1004" t="n">
        <f aca="false">'Смета Внутр'!H37</f>
        <v>0</v>
      </c>
      <c r="J37" s="1018" t="n">
        <f aca="false">'Смета Внутр'!I37</f>
        <v>0</v>
      </c>
    </row>
    <row r="38" customFormat="false" ht="14.5" hidden="false" customHeight="false" outlineLevel="0" collapsed="false">
      <c r="B38" s="2888" t="str">
        <f aca="false">'Смета Внутр'!B38</f>
        <v>Песок, машина 13м3</v>
      </c>
      <c r="C38" s="2888" t="str">
        <f aca="false">'Смета Внутр'!C38</f>
        <v>маш</v>
      </c>
      <c r="D38" s="2897" t="n">
        <f aca="false">'Смета Внутр'!D38</f>
        <v>0</v>
      </c>
      <c r="E38" s="1004" t="n">
        <f aca="false">'Смета Внутр'!E38</f>
        <v>12000</v>
      </c>
      <c r="F38" s="1004" t="n">
        <f aca="false">'Смета Внутр'!F38</f>
        <v>0</v>
      </c>
      <c r="G38" s="2888" t="n">
        <f aca="false">IF(E38&gt;F38,E38,F38)</f>
        <v>12000</v>
      </c>
      <c r="H38" s="1004" t="n">
        <f aca="false">'Смета Внутр'!G38</f>
        <v>0</v>
      </c>
      <c r="I38" s="1004" t="n">
        <f aca="false">'Смета Внутр'!H38</f>
        <v>0</v>
      </c>
      <c r="J38" s="2897" t="n">
        <f aca="false">'Смета Внутр'!I38</f>
        <v>0</v>
      </c>
    </row>
    <row r="39" customFormat="false" ht="14.5" hidden="false" customHeight="false" outlineLevel="0" collapsed="false">
      <c r="B39" s="2888" t="str">
        <f aca="false">'Смета Внутр'!B39</f>
        <v>Геотекстиль</v>
      </c>
      <c r="C39" s="2888" t="str">
        <f aca="false">'Смета Внутр'!C39</f>
        <v>м2</v>
      </c>
      <c r="D39" s="2897" t="n">
        <f aca="false">'Смета Внутр'!D39</f>
        <v>0</v>
      </c>
      <c r="E39" s="1004" t="n">
        <f aca="false">'Смета Внутр'!E39</f>
        <v>100</v>
      </c>
      <c r="F39" s="1004" t="n">
        <f aca="false">'Смета Внутр'!F39</f>
        <v>0</v>
      </c>
      <c r="G39" s="2888" t="n">
        <f aca="false">IF(E39&gt;F39,E39,F39)</f>
        <v>100</v>
      </c>
      <c r="H39" s="1004" t="n">
        <f aca="false">'Смета Внутр'!G39</f>
        <v>0</v>
      </c>
      <c r="I39" s="1004" t="n">
        <f aca="false">'Смета Внутр'!H39</f>
        <v>0</v>
      </c>
      <c r="J39" s="2897" t="n">
        <f aca="false">'Смета Внутр'!I39</f>
        <v>0</v>
      </c>
    </row>
    <row r="40" customFormat="false" ht="14.5" hidden="false" customHeight="false" outlineLevel="0" collapsed="false">
      <c r="B40" s="2888" t="str">
        <f aca="false">'Смета Внутр'!B40</f>
        <v>Плитный,28кг/м3, технониколь, 100мм</v>
      </c>
      <c r="C40" s="2888" t="str">
        <f aca="false">'Смета Внутр'!C40</f>
        <v>м3</v>
      </c>
      <c r="D40" s="2897" t="n">
        <f aca="false">'Смета Внутр'!D40</f>
        <v>0</v>
      </c>
      <c r="E40" s="1004" t="n">
        <f aca="false">'Смета Внутр'!E40</f>
        <v>1700</v>
      </c>
      <c r="F40" s="1004" t="n">
        <f aca="false">'Смета Внутр'!F40</f>
        <v>0</v>
      </c>
      <c r="G40" s="2888" t="n">
        <f aca="false">IF(E40&gt;F40,E40,F40)</f>
        <v>1700</v>
      </c>
      <c r="H40" s="1004" t="n">
        <f aca="false">'Смета Внутр'!G40</f>
        <v>0</v>
      </c>
      <c r="I40" s="1004" t="n">
        <f aca="false">'Смета Внутр'!H40</f>
        <v>0</v>
      </c>
      <c r="J40" s="2897" t="n">
        <f aca="false">'Смета Внутр'!I40</f>
        <v>0</v>
      </c>
    </row>
    <row r="41" customFormat="false" ht="14.5" hidden="false" customHeight="false" outlineLevel="0" collapsed="false">
      <c r="B41" s="2888" t="str">
        <f aca="false">'Смета Внутр'!B41</f>
        <v>Пленка гидроизоляционная</v>
      </c>
      <c r="C41" s="2888" t="str">
        <f aca="false">'Смета Внутр'!C41</f>
        <v>м2</v>
      </c>
      <c r="D41" s="2897" t="n">
        <f aca="false">'Смета Внутр'!D41</f>
        <v>0</v>
      </c>
      <c r="E41" s="1004" t="n">
        <f aca="false">'Смета Внутр'!E41</f>
        <v>15</v>
      </c>
      <c r="F41" s="1004" t="n">
        <f aca="false">'Смета Внутр'!F41</f>
        <v>0</v>
      </c>
      <c r="G41" s="2888" t="n">
        <f aca="false">IF(E41&gt;F41,E41,F41)</f>
        <v>15</v>
      </c>
      <c r="H41" s="1004" t="n">
        <f aca="false">'Смета Внутр'!G41</f>
        <v>0</v>
      </c>
      <c r="I41" s="1004" t="n">
        <f aca="false">'Смета Внутр'!H41</f>
        <v>0</v>
      </c>
      <c r="J41" s="2897" t="n">
        <f aca="false">'Смета Внутр'!I41</f>
        <v>0</v>
      </c>
    </row>
    <row r="42" customFormat="false" ht="14.5" hidden="false" customHeight="false" outlineLevel="0" collapsed="false">
      <c r="B42" s="2888" t="str">
        <f aca="false">'Смета Внутр'!B42</f>
        <v>Кладочная сетка, 100*100/150*150/200*200мм</v>
      </c>
      <c r="C42" s="2888" t="str">
        <f aca="false">'Смета Внутр'!C42</f>
        <v>м2</v>
      </c>
      <c r="D42" s="2897" t="n">
        <f aca="false">'Смета Внутр'!D42</f>
        <v>0</v>
      </c>
      <c r="E42" s="1004" t="n">
        <f aca="false">'Смета Внутр'!E42</f>
        <v>70</v>
      </c>
      <c r="F42" s="1004" t="n">
        <f aca="false">'Смета Внутр'!F42</f>
        <v>0</v>
      </c>
      <c r="G42" s="2888" t="n">
        <f aca="false">IF(E42&gt;F42,E42,F42)</f>
        <v>70</v>
      </c>
      <c r="H42" s="1004" t="n">
        <f aca="false">'Смета Внутр'!G42</f>
        <v>0</v>
      </c>
      <c r="I42" s="1004" t="n">
        <f aca="false">'Смета Внутр'!H42</f>
        <v>0</v>
      </c>
      <c r="J42" s="2897" t="n">
        <f aca="false">'Смета Внутр'!I42</f>
        <v>0</v>
      </c>
    </row>
    <row r="43" customFormat="false" ht="14.5" hidden="false" customHeight="false" outlineLevel="0" collapsed="false">
      <c r="B43" s="2888" t="str">
        <f aca="false">'Смета Внутр'!B43</f>
        <v>Стяжки пластиковые</v>
      </c>
      <c r="C43" s="2888" t="str">
        <f aca="false">'Смета Внутр'!C43</f>
        <v>шт</v>
      </c>
      <c r="D43" s="2897" t="n">
        <f aca="false">'Смета Внутр'!D43</f>
        <v>0</v>
      </c>
      <c r="E43" s="1004" t="n">
        <f aca="false">'Смета Внутр'!E43</f>
        <v>2</v>
      </c>
      <c r="F43" s="1004" t="n">
        <f aca="false">'Смета Внутр'!F43</f>
        <v>0</v>
      </c>
      <c r="G43" s="2888" t="n">
        <f aca="false">IF(E43&gt;F43,E43,F43)</f>
        <v>2</v>
      </c>
      <c r="H43" s="1004" t="n">
        <f aca="false">'Смета Внутр'!G43</f>
        <v>0</v>
      </c>
      <c r="I43" s="1004" t="n">
        <f aca="false">'Смета Внутр'!H43</f>
        <v>0</v>
      </c>
      <c r="J43" s="2897" t="n">
        <f aca="false">'Смета Внутр'!I43</f>
        <v>0</v>
      </c>
    </row>
    <row r="44" customFormat="false" ht="14.5" hidden="false" customHeight="false" outlineLevel="0" collapsed="false">
      <c r="B44" s="2888" t="str">
        <f aca="false">'Смета Внутр'!B44</f>
        <v>Стяжки пластиковые</v>
      </c>
      <c r="C44" s="2888" t="str">
        <f aca="false">'Смета Внутр'!C44</f>
        <v>шт</v>
      </c>
      <c r="D44" s="2897" t="n">
        <f aca="false">'Смета Внутр'!D44</f>
        <v>0</v>
      </c>
      <c r="E44" s="1004" t="n">
        <f aca="false">'Смета Внутр'!E44</f>
        <v>2</v>
      </c>
      <c r="F44" s="1004" t="n">
        <f aca="false">'Смета Внутр'!F44</f>
        <v>0</v>
      </c>
      <c r="G44" s="2888" t="n">
        <f aca="false">IF(E44&gt;F44,E44,F44)</f>
        <v>2</v>
      </c>
      <c r="H44" s="1004" t="n">
        <f aca="false">'Смета Внутр'!G44</f>
        <v>0</v>
      </c>
      <c r="I44" s="1004" t="n">
        <f aca="false">'Смета Внутр'!H44</f>
        <v>0</v>
      </c>
      <c r="J44" s="2897" t="n">
        <f aca="false">'Смета Внутр'!I44</f>
        <v>0</v>
      </c>
    </row>
    <row r="45" customFormat="false" ht="14.5" hidden="false" customHeight="false" outlineLevel="0" collapsed="false">
      <c r="B45" s="2888" t="str">
        <f aca="false">'Смета Внутр'!B45</f>
        <v>Труба теплого пола 3</v>
      </c>
      <c r="C45" s="2888" t="str">
        <f aca="false">'Смета Внутр'!C45</f>
        <v>м.п</v>
      </c>
      <c r="D45" s="2897" t="n">
        <f aca="false">'Смета Внутр'!D45</f>
        <v>0</v>
      </c>
      <c r="E45" s="1004" t="n">
        <f aca="false">'Смета Внутр'!E45</f>
        <v>60</v>
      </c>
      <c r="F45" s="1004" t="n">
        <f aca="false">'Смета Внутр'!F45</f>
        <v>0</v>
      </c>
      <c r="G45" s="2888" t="n">
        <f aca="false">IF(E45&gt;F45,E45,F45)</f>
        <v>60</v>
      </c>
      <c r="H45" s="1004" t="n">
        <f aca="false">'Смета Внутр'!G45</f>
        <v>0</v>
      </c>
      <c r="I45" s="1004" t="n">
        <f aca="false">'Смета Внутр'!H45</f>
        <v>0</v>
      </c>
      <c r="J45" s="2897" t="n">
        <f aca="false">'Смета Внутр'!I45</f>
        <v>0</v>
      </c>
    </row>
    <row r="46" customFormat="false" ht="14.5" hidden="false" customHeight="false" outlineLevel="0" collapsed="false">
      <c r="B46" s="1004" t="str">
        <f aca="false">'Смета Внутр'!B46</f>
        <v>Коллектор 6</v>
      </c>
      <c r="C46" s="1004" t="str">
        <f aca="false">'Смета Внутр'!C46</f>
        <v>шт</v>
      </c>
      <c r="D46" s="1018" t="n">
        <f aca="false">'Смета Внутр'!D46</f>
        <v>0</v>
      </c>
      <c r="E46" s="1004" t="n">
        <f aca="false">'Смета Внутр'!E46</f>
        <v>15000</v>
      </c>
      <c r="F46" s="1004" t="n">
        <f aca="false">'Смета Внутр'!F46</f>
        <v>0</v>
      </c>
      <c r="G46" s="1004" t="n">
        <f aca="false">IF(E46&gt;F46,E46,F46)</f>
        <v>15000</v>
      </c>
      <c r="H46" s="1004" t="n">
        <f aca="false">'Смета Внутр'!G46</f>
        <v>0</v>
      </c>
      <c r="I46" s="1004" t="n">
        <f aca="false">'Смета Внутр'!H46</f>
        <v>0</v>
      </c>
      <c r="J46" s="1018" t="n">
        <f aca="false">'Смета Внутр'!I46</f>
        <v>0</v>
      </c>
    </row>
    <row r="47" customFormat="false" ht="14.5" hidden="false" customHeight="false" outlineLevel="0" collapsed="false">
      <c r="B47" s="2888" t="str">
        <f aca="false">'Смета Внутр'!B47</f>
        <v>Арматура стальная Ø 10 </v>
      </c>
      <c r="C47" s="2888" t="str">
        <f aca="false">'Смета Внутр'!C47</f>
        <v>м.п.</v>
      </c>
      <c r="D47" s="2897" t="n">
        <f aca="false">'Смета Внутр'!D47</f>
        <v>0</v>
      </c>
      <c r="E47" s="1004" t="n">
        <f aca="false">'Смета Внутр'!E47</f>
        <v>21.0397</v>
      </c>
      <c r="F47" s="1004" t="n">
        <f aca="false">'Смета Внутр'!F47</f>
        <v>0</v>
      </c>
      <c r="G47" s="2888" t="n">
        <f aca="false">IF(E47&gt;F47,E47,F47)</f>
        <v>21.0397</v>
      </c>
      <c r="H47" s="1004" t="n">
        <f aca="false">'Смета Внутр'!G47</f>
        <v>0</v>
      </c>
      <c r="I47" s="1004" t="n">
        <f aca="false">'Смета Внутр'!H47</f>
        <v>0</v>
      </c>
      <c r="J47" s="2897" t="n">
        <f aca="false">'Смета Внутр'!I47</f>
        <v>0</v>
      </c>
    </row>
    <row r="48" customFormat="false" ht="14.5" hidden="false" customHeight="false" outlineLevel="0" collapsed="false">
      <c r="B48" s="2888" t="str">
        <f aca="false">'Смета Внутр'!B48</f>
        <v>Вязальная проволока</v>
      </c>
      <c r="C48" s="2888" t="str">
        <f aca="false">'Смета Внутр'!C48</f>
        <v>кг</v>
      </c>
      <c r="D48" s="2897" t="n">
        <f aca="false">'Смета Внутр'!D48</f>
        <v>0</v>
      </c>
      <c r="E48" s="1004" t="n">
        <f aca="false">'Смета Внутр'!E48</f>
        <v>80</v>
      </c>
      <c r="F48" s="1004" t="n">
        <f aca="false">'Смета Внутр'!F48</f>
        <v>0</v>
      </c>
      <c r="G48" s="2888" t="n">
        <f aca="false">IF(E48&gt;F48,E48,F48)</f>
        <v>80</v>
      </c>
      <c r="H48" s="1004" t="n">
        <f aca="false">'Смета Внутр'!G48</f>
        <v>0</v>
      </c>
      <c r="I48" s="1004" t="n">
        <f aca="false">'Смета Внутр'!H48</f>
        <v>0</v>
      </c>
      <c r="J48" s="2897" t="n">
        <f aca="false">'Смета Внутр'!I48</f>
        <v>0</v>
      </c>
    </row>
    <row r="49" customFormat="false" ht="14.5" hidden="false" customHeight="false" outlineLevel="0" collapsed="false">
      <c r="B49" s="2888" t="str">
        <f aca="false">'Смета Внутр'!B49</f>
        <v>Подставка под арматурный каркас</v>
      </c>
      <c r="C49" s="2888" t="str">
        <f aca="false">'Смета Внутр'!C49</f>
        <v>шт</v>
      </c>
      <c r="D49" s="2897" t="n">
        <f aca="false">'Смета Внутр'!D49</f>
        <v>0</v>
      </c>
      <c r="E49" s="1004" t="n">
        <f aca="false">'Смета Внутр'!E49</f>
        <v>5</v>
      </c>
      <c r="F49" s="1004" t="n">
        <f aca="false">'Смета Внутр'!F49</f>
        <v>0</v>
      </c>
      <c r="G49" s="2888" t="n">
        <f aca="false">IF(E49&gt;F49,E49,F49)</f>
        <v>5</v>
      </c>
      <c r="H49" s="1004" t="n">
        <f aca="false">'Смета Внутр'!G49</f>
        <v>0</v>
      </c>
      <c r="I49" s="1004" t="n">
        <f aca="false">'Смета Внутр'!H49</f>
        <v>0</v>
      </c>
      <c r="J49" s="2897" t="n">
        <f aca="false">'Смета Внутр'!I49</f>
        <v>0</v>
      </c>
    </row>
    <row r="50" customFormat="false" ht="14.5" hidden="false" customHeight="false" outlineLevel="0" collapsed="false">
      <c r="B50" s="2888" t="str">
        <f aca="false">'Смета Внутр'!B50</f>
        <v>труба дренажная d90 с перфорацией, в фильтре</v>
      </c>
      <c r="C50" s="2888" t="str">
        <f aca="false">'Смета Внутр'!C50</f>
        <v>шт</v>
      </c>
      <c r="D50" s="2897" t="n">
        <f aca="false">'Смета Внутр'!D50</f>
        <v>0</v>
      </c>
      <c r="E50" s="1004" t="n">
        <f aca="false">'Смета Внутр'!E50</f>
        <v>95</v>
      </c>
      <c r="F50" s="1004" t="n">
        <f aca="false">'Смета Внутр'!F50</f>
        <v>0</v>
      </c>
      <c r="G50" s="2888" t="n">
        <f aca="false">IF(E50&gt;F50,E50,F50)</f>
        <v>95</v>
      </c>
      <c r="H50" s="1004" t="n">
        <f aca="false">'Смета Внутр'!G50</f>
        <v>0</v>
      </c>
      <c r="I50" s="1004" t="n">
        <f aca="false">'Смета Внутр'!H50</f>
        <v>0</v>
      </c>
      <c r="J50" s="2897" t="n">
        <f aca="false">'Смета Внутр'!I50</f>
        <v>0</v>
      </c>
    </row>
    <row r="51" customFormat="false" ht="14.5" hidden="false" customHeight="false" outlineLevel="0" collapsed="false">
      <c r="B51" s="2888" t="str">
        <f aca="false">'Смета Внутр'!B51</f>
        <v>Дренажный колодец D400</v>
      </c>
      <c r="C51" s="2888" t="str">
        <f aca="false">'Смета Внутр'!C51</f>
        <v>шт</v>
      </c>
      <c r="D51" s="2897" t="n">
        <f aca="false">'Смета Внутр'!D51</f>
        <v>0</v>
      </c>
      <c r="E51" s="1004" t="n">
        <f aca="false">'Смета Внутр'!E51</f>
        <v>2500</v>
      </c>
      <c r="F51" s="1004" t="n">
        <f aca="false">'Смета Внутр'!F51</f>
        <v>0</v>
      </c>
      <c r="G51" s="2888" t="n">
        <f aca="false">IF(E51&gt;F51,E51,F51)</f>
        <v>2500</v>
      </c>
      <c r="H51" s="1004" t="n">
        <f aca="false">'Смета Внутр'!G51</f>
        <v>0</v>
      </c>
      <c r="I51" s="1004" t="n">
        <f aca="false">'Смета Внутр'!H51</f>
        <v>0</v>
      </c>
      <c r="J51" s="2897" t="n">
        <f aca="false">'Смета Внутр'!I51</f>
        <v>0</v>
      </c>
    </row>
    <row r="52" customFormat="false" ht="14.5" hidden="false" customHeight="false" outlineLevel="0" collapsed="false">
      <c r="B52" s="2888" t="str">
        <f aca="false">'Смета Внутр'!B52</f>
        <v>Демпферная лента</v>
      </c>
      <c r="C52" s="2888" t="str">
        <f aca="false">'Смета Внутр'!C52</f>
        <v>м.п.</v>
      </c>
      <c r="D52" s="2897" t="n">
        <f aca="false">'Смета Внутр'!D52</f>
        <v>0</v>
      </c>
      <c r="E52" s="1004" t="n">
        <f aca="false">'Смета Внутр'!E52</f>
        <v>50</v>
      </c>
      <c r="F52" s="1004" t="n">
        <f aca="false">'Смета Внутр'!F52</f>
        <v>0</v>
      </c>
      <c r="G52" s="2888" t="n">
        <f aca="false">IF(E52&gt;F52,E52,F52)</f>
        <v>50</v>
      </c>
      <c r="H52" s="1004" t="n">
        <f aca="false">'Смета Внутр'!G52</f>
        <v>0</v>
      </c>
      <c r="I52" s="1004" t="n">
        <f aca="false">'Смета Внутр'!H52</f>
        <v>0</v>
      </c>
      <c r="J52" s="2897" t="n">
        <f aca="false">'Смета Внутр'!I52</f>
        <v>0</v>
      </c>
    </row>
    <row r="53" customFormat="false" ht="14.5" hidden="false" customHeight="false" outlineLevel="0" collapsed="false">
      <c r="B53" s="2888" t="str">
        <f aca="false">'Смета Внутр'!B53</f>
        <v>Бетон, м350</v>
      </c>
      <c r="C53" s="2888" t="str">
        <f aca="false">'Смета Внутр'!C53</f>
        <v>м3</v>
      </c>
      <c r="D53" s="2897" t="n">
        <f aca="false">'Смета Внутр'!D53</f>
        <v>0</v>
      </c>
      <c r="E53" s="1004" t="n">
        <f aca="false">'Смета Внутр'!E53</f>
        <v>3500</v>
      </c>
      <c r="F53" s="1004" t="n">
        <f aca="false">'Смета Внутр'!F53</f>
        <v>0</v>
      </c>
      <c r="G53" s="2888" t="n">
        <f aca="false">IF(E53&gt;F53,E53,F53)</f>
        <v>3500</v>
      </c>
      <c r="H53" s="1004" t="n">
        <f aca="false">'Смета Внутр'!G53</f>
        <v>0</v>
      </c>
      <c r="I53" s="1004" t="n">
        <f aca="false">'Смета Внутр'!H53</f>
        <v>0</v>
      </c>
      <c r="J53" s="2897" t="n">
        <f aca="false">'Смета Внутр'!I53</f>
        <v>0</v>
      </c>
    </row>
    <row r="54" customFormat="false" ht="14.5" hidden="false" customHeight="false" outlineLevel="0" collapsed="false">
      <c r="B54" s="2896" t="str">
        <f aca="false">'Смета Внутр'!B54</f>
        <v>Итого материалы</v>
      </c>
      <c r="C54" s="2896"/>
      <c r="D54" s="2896"/>
      <c r="E54" s="2896"/>
      <c r="F54" s="2896"/>
      <c r="G54" s="2896"/>
      <c r="H54" s="1004" t="n">
        <f aca="false">'Смета Внутр'!G54</f>
        <v>0</v>
      </c>
      <c r="I54" s="1004" t="n">
        <f aca="false">'Смета Внутр'!H54</f>
        <v>0</v>
      </c>
      <c r="J54" s="2897" t="n">
        <f aca="false">'Смета Внутр'!I54</f>
        <v>0</v>
      </c>
    </row>
    <row r="55" customFormat="false" ht="15" hidden="false" customHeight="true" outlineLevel="0" collapsed="false">
      <c r="B55" s="2881" t="str">
        <f aca="false">'Смета Внутр'!B55</f>
        <v>Работы</v>
      </c>
      <c r="H55" s="0" t="n">
        <f aca="false">'Смета Внутр'!G55</f>
        <v>0</v>
      </c>
      <c r="I55" s="0" t="n">
        <f aca="false">'Смета Внутр'!H55</f>
        <v>0</v>
      </c>
      <c r="J55" s="2893" t="n">
        <f aca="false">'Смета Внутр'!I55</f>
        <v>0</v>
      </c>
    </row>
    <row r="56" customFormat="false" ht="15" hidden="false" customHeight="true" outlineLevel="0" collapsed="false">
      <c r="B56" s="2888" t="str">
        <f aca="false">'Смета Внутр'!B56</f>
        <v>трамбовка скальник</v>
      </c>
      <c r="C56" s="2888" t="str">
        <f aca="false">'Смета Внутр'!C56</f>
        <v>м2</v>
      </c>
      <c r="D56" s="2897" t="n">
        <f aca="false">'Смета Внутр'!D56</f>
        <v>0</v>
      </c>
      <c r="E56" s="1004" t="n">
        <f aca="false">'Смета Внутр'!E56</f>
        <v>400</v>
      </c>
      <c r="F56" s="1004" t="n">
        <f aca="false">'Смета Внутр'!F56</f>
        <v>0</v>
      </c>
      <c r="G56" s="2888" t="n">
        <f aca="false">IF(E56&gt;F56,E56,F56)</f>
        <v>400</v>
      </c>
      <c r="H56" s="1004" t="n">
        <f aca="false">'Смета Внутр'!G56</f>
        <v>0</v>
      </c>
      <c r="I56" s="1004" t="n">
        <f aca="false">'Смета Внутр'!H56</f>
        <v>0</v>
      </c>
      <c r="J56" s="2897" t="n">
        <f aca="false">'Смета Внутр'!I56</f>
        <v>0</v>
      </c>
    </row>
    <row r="57" customFormat="false" ht="15" hidden="false" customHeight="true" outlineLevel="0" collapsed="false">
      <c r="B57" s="2888" t="str">
        <f aca="false">'Смета Внутр'!B57</f>
        <v>трамбовка пгс</v>
      </c>
      <c r="C57" s="2888" t="str">
        <f aca="false">'Смета Внутр'!C57</f>
        <v>м2</v>
      </c>
      <c r="D57" s="2897" t="n">
        <f aca="false">'Смета Внутр'!D57</f>
        <v>0</v>
      </c>
      <c r="E57" s="1004" t="n">
        <f aca="false">'Смета Внутр'!E57</f>
        <v>600</v>
      </c>
      <c r="F57" s="1004" t="n">
        <f aca="false">'Смета Внутр'!F57</f>
        <v>0</v>
      </c>
      <c r="G57" s="2888" t="n">
        <f aca="false">IF(E57&gt;F57,E57,F57)</f>
        <v>600</v>
      </c>
      <c r="H57" s="1004" t="n">
        <f aca="false">'Смета Внутр'!G57</f>
        <v>0</v>
      </c>
      <c r="I57" s="1004" t="n">
        <f aca="false">'Смета Внутр'!H57</f>
        <v>0</v>
      </c>
      <c r="J57" s="2897" t="n">
        <f aca="false">'Смета Внутр'!I57</f>
        <v>0</v>
      </c>
    </row>
    <row r="58" customFormat="false" ht="15" hidden="false" customHeight="true" outlineLevel="0" collapsed="false">
      <c r="B58" s="2888" t="str">
        <f aca="false">'Смета Внутр'!B58</f>
        <v>трамбовка песок</v>
      </c>
      <c r="C58" s="2888" t="str">
        <f aca="false">'Смета Внутр'!C58</f>
        <v>м2</v>
      </c>
      <c r="D58" s="2897" t="n">
        <f aca="false">'Смета Внутр'!D58</f>
        <v>0</v>
      </c>
      <c r="E58" s="1004" t="n">
        <f aca="false">'Смета Внутр'!E58</f>
        <v>350</v>
      </c>
      <c r="F58" s="1004" t="n">
        <f aca="false">'Смета Внутр'!F58</f>
        <v>0</v>
      </c>
      <c r="G58" s="2888" t="n">
        <f aca="false">IF(E58&gt;F58,E58,F58)</f>
        <v>350</v>
      </c>
      <c r="H58" s="1004" t="n">
        <f aca="false">'Смета Внутр'!G58</f>
        <v>0</v>
      </c>
      <c r="I58" s="1004" t="n">
        <f aca="false">'Смета Внутр'!H58</f>
        <v>0</v>
      </c>
      <c r="J58" s="2897" t="n">
        <f aca="false">'Смета Внутр'!I58</f>
        <v>0</v>
      </c>
    </row>
    <row r="59" customFormat="false" ht="15" hidden="false" customHeight="true" outlineLevel="0" collapsed="false">
      <c r="B59" s="2888" t="str">
        <f aca="false">'Смета Внутр'!B59</f>
        <v>укладка геотекстиля</v>
      </c>
      <c r="C59" s="2888" t="str">
        <f aca="false">'Смета Внутр'!C59</f>
        <v>м2</v>
      </c>
      <c r="D59" s="2897" t="n">
        <f aca="false">'Смета Внутр'!D59</f>
        <v>0</v>
      </c>
      <c r="E59" s="1004" t="n">
        <f aca="false">'Смета Внутр'!E59</f>
        <v>200</v>
      </c>
      <c r="F59" s="1004" t="n">
        <f aca="false">'Смета Внутр'!F59</f>
        <v>0</v>
      </c>
      <c r="G59" s="2888" t="n">
        <f aca="false">IF(E59&gt;F59,E59,F59)</f>
        <v>200</v>
      </c>
      <c r="H59" s="1004" t="n">
        <f aca="false">'Смета Внутр'!G59</f>
        <v>0</v>
      </c>
      <c r="I59" s="1004" t="n">
        <f aca="false">'Смета Внутр'!H59</f>
        <v>0</v>
      </c>
      <c r="J59" s="2897" t="n">
        <f aca="false">'Смета Внутр'!I59</f>
        <v>0</v>
      </c>
    </row>
    <row r="60" customFormat="false" ht="15" hidden="false" customHeight="true" outlineLevel="0" collapsed="false">
      <c r="B60" s="2888" t="str">
        <f aca="false">'Смета Внутр'!B60</f>
        <v>укладка карбона</v>
      </c>
      <c r="C60" s="2888" t="str">
        <f aca="false">'Смета Внутр'!C60</f>
        <v>м2</v>
      </c>
      <c r="D60" s="2897" t="n">
        <f aca="false">'Смета Внутр'!D60</f>
        <v>0</v>
      </c>
      <c r="E60" s="1004" t="n">
        <f aca="false">'Смета Внутр'!E60</f>
        <v>200</v>
      </c>
      <c r="F60" s="1004" t="n">
        <f aca="false">'Смета Внутр'!F60</f>
        <v>0</v>
      </c>
      <c r="G60" s="2888" t="n">
        <f aca="false">IF(E60&gt;F60,E60,F60)</f>
        <v>200</v>
      </c>
      <c r="H60" s="1004" t="n">
        <f aca="false">'Смета Внутр'!G60</f>
        <v>0</v>
      </c>
      <c r="I60" s="1004" t="n">
        <f aca="false">'Смета Внутр'!H60</f>
        <v>0</v>
      </c>
      <c r="J60" s="2897" t="n">
        <f aca="false">'Смета Внутр'!I60</f>
        <v>0</v>
      </c>
    </row>
    <row r="61" customFormat="false" ht="15" hidden="false" customHeight="true" outlineLevel="0" collapsed="false">
      <c r="B61" s="2888" t="str">
        <f aca="false">'Смета Внутр'!B61</f>
        <v>укладка пленки</v>
      </c>
      <c r="C61" s="2888" t="str">
        <f aca="false">'Смета Внутр'!C61</f>
        <v>м2</v>
      </c>
      <c r="D61" s="2897" t="n">
        <f aca="false">'Смета Внутр'!D61</f>
        <v>0</v>
      </c>
      <c r="E61" s="1004" t="n">
        <f aca="false">'Смета Внутр'!E61</f>
        <v>10</v>
      </c>
      <c r="F61" s="1004" t="n">
        <f aca="false">'Смета Внутр'!F61</f>
        <v>0</v>
      </c>
      <c r="G61" s="2888" t="n">
        <f aca="false">IF(E61&gt;F61,E61,F61)</f>
        <v>10</v>
      </c>
      <c r="H61" s="1004" t="n">
        <f aca="false">'Смета Внутр'!G61</f>
        <v>0</v>
      </c>
      <c r="I61" s="1004" t="n">
        <f aca="false">'Смета Внутр'!H61</f>
        <v>0</v>
      </c>
      <c r="J61" s="2897" t="n">
        <f aca="false">'Смета Внутр'!I61</f>
        <v>0</v>
      </c>
    </row>
    <row r="62" customFormat="false" ht="15" hidden="false" customHeight="true" outlineLevel="0" collapsed="false">
      <c r="B62" s="2888" t="str">
        <f aca="false">'Смета Внутр'!B62</f>
        <v>укладка сетки</v>
      </c>
      <c r="C62" s="2888" t="str">
        <f aca="false">'Смета Внутр'!C62</f>
        <v>м2</v>
      </c>
      <c r="D62" s="2897" t="n">
        <f aca="false">'Смета Внутр'!D62</f>
        <v>0</v>
      </c>
      <c r="E62" s="1004" t="n">
        <f aca="false">'Смета Внутр'!E62</f>
        <v>100</v>
      </c>
      <c r="F62" s="1004" t="n">
        <f aca="false">'Смета Внутр'!F62</f>
        <v>0</v>
      </c>
      <c r="G62" s="2888" t="n">
        <f aca="false">IF(E62&gt;F62,E62,F62)</f>
        <v>100</v>
      </c>
      <c r="H62" s="1004" t="n">
        <f aca="false">'Смета Внутр'!G62</f>
        <v>0</v>
      </c>
      <c r="I62" s="1004" t="n">
        <f aca="false">'Смета Внутр'!H62</f>
        <v>0</v>
      </c>
      <c r="J62" s="2897" t="n">
        <f aca="false">'Смета Внутр'!I62</f>
        <v>0</v>
      </c>
    </row>
    <row r="63" customFormat="false" ht="15" hidden="false" customHeight="true" outlineLevel="0" collapsed="false">
      <c r="B63" s="2888" t="str">
        <f aca="false">'Смета Внутр'!B63</f>
        <v>укладка теп. Пола</v>
      </c>
      <c r="C63" s="2888" t="str">
        <f aca="false">'Смета Внутр'!C63</f>
        <v>м2</v>
      </c>
      <c r="D63" s="2897" t="n">
        <f aca="false">'Смета Внутр'!D63</f>
        <v>0</v>
      </c>
      <c r="E63" s="1004" t="n">
        <f aca="false">'Смета Внутр'!E63</f>
        <v>600</v>
      </c>
      <c r="F63" s="1004" t="n">
        <f aca="false">'Смета Внутр'!F63</f>
        <v>0</v>
      </c>
      <c r="G63" s="2888" t="n">
        <f aca="false">IF(E63&gt;F63,E63,F63)</f>
        <v>600</v>
      </c>
      <c r="H63" s="1004" t="n">
        <f aca="false">'Смета Внутр'!G63</f>
        <v>0</v>
      </c>
      <c r="I63" s="1004" t="n">
        <f aca="false">'Смета Внутр'!H63</f>
        <v>0</v>
      </c>
      <c r="J63" s="2897" t="n">
        <f aca="false">'Смета Внутр'!I63</f>
        <v>0</v>
      </c>
    </row>
    <row r="64" customFormat="false" ht="15" hidden="false" customHeight="true" outlineLevel="0" collapsed="false">
      <c r="B64" s="1004" t="str">
        <f aca="false">'Смета Внутр'!B64</f>
        <v>монтаж коллектора</v>
      </c>
      <c r="C64" s="1004" t="str">
        <f aca="false">'Смета Внутр'!C64</f>
        <v>шт</v>
      </c>
      <c r="D64" s="1018" t="n">
        <f aca="false">'Смета Внутр'!D64</f>
        <v>0</v>
      </c>
      <c r="E64" s="1004" t="n">
        <f aca="false">'Смета Внутр'!E64</f>
        <v>1000</v>
      </c>
      <c r="F64" s="1004" t="n">
        <f aca="false">'Смета Внутр'!F64</f>
        <v>0</v>
      </c>
      <c r="G64" s="1004" t="n">
        <f aca="false">IF(E64&gt;F64,E64,F64)</f>
        <v>1000</v>
      </c>
      <c r="H64" s="1004" t="n">
        <f aca="false">'Смета Внутр'!G64</f>
        <v>0</v>
      </c>
      <c r="I64" s="1004" t="n">
        <f aca="false">'Смета Внутр'!H64</f>
        <v>0</v>
      </c>
      <c r="J64" s="1018" t="n">
        <f aca="false">'Смета Внутр'!I64</f>
        <v>0</v>
      </c>
    </row>
    <row r="65" customFormat="false" ht="15" hidden="false" customHeight="true" outlineLevel="0" collapsed="false">
      <c r="B65" s="2888" t="str">
        <f aca="false">'Смета Внутр'!B65</f>
        <v>армирование</v>
      </c>
      <c r="C65" s="2888" t="str">
        <f aca="false">'Смета Внутр'!C65</f>
        <v>м2</v>
      </c>
      <c r="D65" s="2897" t="n">
        <f aca="false">'Смета Внутр'!D65</f>
        <v>0</v>
      </c>
      <c r="E65" s="1004" t="n">
        <f aca="false">'Смета Внутр'!E65</f>
        <v>300</v>
      </c>
      <c r="F65" s="1004" t="n">
        <f aca="false">'Смета Внутр'!F65</f>
        <v>0</v>
      </c>
      <c r="G65" s="2888" t="n">
        <f aca="false">IF(E65&gt;F65,E65,F65)</f>
        <v>300</v>
      </c>
      <c r="H65" s="1004" t="n">
        <f aca="false">'Смета Внутр'!G65</f>
        <v>0</v>
      </c>
      <c r="I65" s="1004" t="n">
        <f aca="false">'Смета Внутр'!H65</f>
        <v>0</v>
      </c>
      <c r="J65" s="2897" t="n">
        <f aca="false">'Смета Внутр'!I65</f>
        <v>0</v>
      </c>
    </row>
    <row r="66" customFormat="false" ht="15" hidden="false" customHeight="true" outlineLevel="0" collapsed="false">
      <c r="B66" s="2888" t="str">
        <f aca="false">'Смета Внутр'!B66</f>
        <v>монтаж дренажн труб</v>
      </c>
      <c r="C66" s="2888" t="str">
        <f aca="false">'Смета Внутр'!C66</f>
        <v>м.п.</v>
      </c>
      <c r="D66" s="2897" t="n">
        <f aca="false">'Смета Внутр'!D66</f>
        <v>0</v>
      </c>
      <c r="E66" s="1004" t="n">
        <f aca="false">'Смета Внутр'!E66</f>
        <v>200</v>
      </c>
      <c r="F66" s="1004" t="n">
        <f aca="false">'Смета Внутр'!F66</f>
        <v>0</v>
      </c>
      <c r="G66" s="2888" t="n">
        <f aca="false">IF(E66&gt;F66,E66,F66)</f>
        <v>200</v>
      </c>
      <c r="H66" s="1004" t="n">
        <f aca="false">'Смета Внутр'!G66</f>
        <v>0</v>
      </c>
      <c r="I66" s="1004" t="n">
        <f aca="false">'Смета Внутр'!H66</f>
        <v>0</v>
      </c>
      <c r="J66" s="2897" t="n">
        <f aca="false">'Смета Внутр'!I66</f>
        <v>0</v>
      </c>
    </row>
    <row r="67" customFormat="false" ht="15" hidden="false" customHeight="true" outlineLevel="0" collapsed="false">
      <c r="B67" s="2888" t="str">
        <f aca="false">'Смета Внутр'!B67</f>
        <v>монтаж дренаж колодец</v>
      </c>
      <c r="C67" s="2888" t="str">
        <f aca="false">'Смета Внутр'!C67</f>
        <v>шт</v>
      </c>
      <c r="D67" s="2897" t="n">
        <f aca="false">'Смета Внутр'!D67</f>
        <v>0</v>
      </c>
      <c r="E67" s="1004" t="n">
        <f aca="false">'Смета Внутр'!E67</f>
        <v>300</v>
      </c>
      <c r="F67" s="1004" t="n">
        <f aca="false">'Смета Внутр'!F67</f>
        <v>0</v>
      </c>
      <c r="G67" s="2888" t="n">
        <f aca="false">IF(E67&gt;F67,E67,F67)</f>
        <v>300</v>
      </c>
      <c r="H67" s="1004" t="n">
        <f aca="false">'Смета Внутр'!G67</f>
        <v>0</v>
      </c>
      <c r="I67" s="1004" t="n">
        <f aca="false">'Смета Внутр'!H67</f>
        <v>0</v>
      </c>
      <c r="J67" s="2897" t="n">
        <f aca="false">'Смета Внутр'!I67</f>
        <v>0</v>
      </c>
    </row>
    <row r="68" customFormat="false" ht="15" hidden="false" customHeight="true" outlineLevel="0" collapsed="false">
      <c r="B68" s="2888" t="str">
        <f aca="false">'Смета Внутр'!B68</f>
        <v>приемка бетона на пол</v>
      </c>
      <c r="C68" s="2888" t="str">
        <f aca="false">'Смета Внутр'!C68</f>
        <v>м2</v>
      </c>
      <c r="D68" s="2897" t="n">
        <f aca="false">'Смета Внутр'!D68</f>
        <v>0</v>
      </c>
      <c r="E68" s="1004" t="n">
        <f aca="false">'Смета Внутр'!E68</f>
        <v>350</v>
      </c>
      <c r="F68" s="1004" t="n">
        <f aca="false">'Смета Внутр'!F68</f>
        <v>0</v>
      </c>
      <c r="G68" s="2888" t="n">
        <f aca="false">IF(E68&gt;F68,E68,F68)</f>
        <v>350</v>
      </c>
      <c r="H68" s="1004" t="n">
        <f aca="false">'Смета Внутр'!G68</f>
        <v>0</v>
      </c>
      <c r="I68" s="1004" t="n">
        <f aca="false">'Смета Внутр'!H68</f>
        <v>0</v>
      </c>
      <c r="J68" s="2897" t="n">
        <f aca="false">'Смета Внутр'!I68</f>
        <v>0</v>
      </c>
    </row>
    <row r="69" customFormat="false" ht="15" hidden="false" customHeight="true" outlineLevel="0" collapsed="false">
      <c r="B69" s="2888" t="str">
        <f aca="false">'Смета Внутр'!B69</f>
        <v>демпферная лента</v>
      </c>
      <c r="C69" s="2888" t="str">
        <f aca="false">'Смета Внутр'!C69</f>
        <v>м.п.</v>
      </c>
      <c r="D69" s="2897" t="n">
        <f aca="false">'Смета Внутр'!D69</f>
        <v>0</v>
      </c>
      <c r="E69" s="1004" t="n">
        <f aca="false">'Смета Внутр'!E69</f>
        <v>100</v>
      </c>
      <c r="F69" s="1004" t="n">
        <f aca="false">'Смета Внутр'!F69</f>
        <v>0</v>
      </c>
      <c r="G69" s="2888" t="n">
        <f aca="false">IF(E69&gt;F69,E69,F69)</f>
        <v>100</v>
      </c>
      <c r="H69" s="1004" t="n">
        <f aca="false">'Смета Внутр'!G69</f>
        <v>0</v>
      </c>
      <c r="I69" s="1004" t="n">
        <f aca="false">'Смета Внутр'!H69</f>
        <v>0</v>
      </c>
      <c r="J69" s="2897" t="n">
        <f aca="false">'Смета Внутр'!I69</f>
        <v>0</v>
      </c>
    </row>
    <row r="70" customFormat="false" ht="15" hidden="false" customHeight="true" outlineLevel="0" collapsed="false">
      <c r="B70" s="2896" t="str">
        <f aca="false">'Смета Внутр'!B70</f>
        <v>Итого работы</v>
      </c>
      <c r="C70" s="2896"/>
      <c r="D70" s="2896"/>
      <c r="E70" s="2896"/>
      <c r="F70" s="2896"/>
      <c r="G70" s="2896"/>
      <c r="H70" s="1004" t="n">
        <f aca="false">'Смета Внутр'!G70</f>
        <v>0</v>
      </c>
      <c r="I70" s="1004" t="n">
        <f aca="false">'Смета Внутр'!H70</f>
        <v>0</v>
      </c>
      <c r="J70" s="2897" t="n">
        <f aca="false">'Смета Внутр'!I70</f>
        <v>0</v>
      </c>
    </row>
    <row r="71" customFormat="false" ht="15" hidden="false" customHeight="true" outlineLevel="0" collapsed="false">
      <c r="B71" s="2899" t="str">
        <f aca="false">'Смета Внутр'!B71</f>
        <v>Цокольный этаж из блоков ФБС</v>
      </c>
      <c r="C71" s="2899"/>
      <c r="D71" s="2899"/>
      <c r="H71" s="0" t="n">
        <f aca="false">'Смета Внутр'!G71</f>
        <v>0</v>
      </c>
      <c r="I71" s="0" t="n">
        <f aca="false">'Смета Внутр'!H71</f>
        <v>0</v>
      </c>
      <c r="J71" s="2893" t="n">
        <f aca="false">'Смета Внутр'!I71</f>
        <v>0</v>
      </c>
    </row>
    <row r="72" customFormat="false" ht="15" hidden="false" customHeight="true" outlineLevel="0" collapsed="false">
      <c r="B72" s="2881" t="str">
        <f aca="false">'Смета Внутр'!B72</f>
        <v>Материалы</v>
      </c>
      <c r="H72" s="0" t="n">
        <f aca="false">'Смета Внутр'!G72</f>
        <v>0</v>
      </c>
      <c r="I72" s="0" t="n">
        <f aca="false">'Смета Внутр'!H72</f>
        <v>0</v>
      </c>
      <c r="J72" s="2893" t="n">
        <f aca="false">'Смета Внутр'!I72</f>
        <v>0</v>
      </c>
    </row>
    <row r="73" customFormat="false" ht="15" hidden="false" customHeight="true" outlineLevel="0" collapsed="false">
      <c r="B73" s="2888" t="str">
        <f aca="false">'Смета Внутр'!B73</f>
        <v>Праймер для обработки</v>
      </c>
      <c r="C73" s="2888" t="str">
        <f aca="false">'Смета Внутр'!C73</f>
        <v>л</v>
      </c>
      <c r="D73" s="2897" t="n">
        <f aca="false">'Смета Внутр'!D73</f>
        <v>0</v>
      </c>
      <c r="E73" s="1004" t="n">
        <f aca="false">'Смета Внутр'!E73</f>
        <v>100</v>
      </c>
      <c r="F73" s="1004" t="n">
        <f aca="false">'Смета Внутр'!F73</f>
        <v>0</v>
      </c>
      <c r="G73" s="2888" t="n">
        <f aca="false">IF(E73&gt;F73,E73,F73)</f>
        <v>100</v>
      </c>
      <c r="H73" s="1004" t="n">
        <f aca="false">'Смета Внутр'!G73</f>
        <v>0</v>
      </c>
      <c r="I73" s="1004" t="n">
        <f aca="false">'Смета Внутр'!H73</f>
        <v>0</v>
      </c>
      <c r="J73" s="2897" t="n">
        <f aca="false">'Смета Внутр'!I73</f>
        <v>0</v>
      </c>
    </row>
    <row r="74" customFormat="false" ht="15" hidden="false" customHeight="true" outlineLevel="0" collapsed="false">
      <c r="B74" s="2888" t="str">
        <f aca="false">'Смета Внутр'!B74</f>
        <v>Гидроизол</v>
      </c>
      <c r="C74" s="2888" t="str">
        <f aca="false">'Смета Внутр'!C74</f>
        <v>м2</v>
      </c>
      <c r="D74" s="2897" t="n">
        <f aca="false">'Смета Внутр'!D74</f>
        <v>0</v>
      </c>
      <c r="E74" s="1004" t="n">
        <f aca="false">'Смета Внутр'!E74</f>
        <v>70</v>
      </c>
      <c r="F74" s="1004" t="n">
        <f aca="false">'Смета Внутр'!F74</f>
        <v>0</v>
      </c>
      <c r="G74" s="2888" t="n">
        <f aca="false">IF(E74&gt;F74,E74,F74)</f>
        <v>70</v>
      </c>
      <c r="H74" s="1004" t="n">
        <f aca="false">'Смета Внутр'!G74</f>
        <v>0</v>
      </c>
      <c r="I74" s="1004" t="n">
        <f aca="false">'Смета Внутр'!H74</f>
        <v>0</v>
      </c>
      <c r="J74" s="2897" t="n">
        <f aca="false">'Смета Внутр'!I74</f>
        <v>0</v>
      </c>
    </row>
    <row r="75" customFormat="false" ht="15" hidden="false" customHeight="true" outlineLevel="0" collapsed="false">
      <c r="B75" s="2888" t="str">
        <f aca="false">'Смета Внутр'!B75</f>
        <v>Мастика битумная</v>
      </c>
      <c r="C75" s="2888" t="str">
        <f aca="false">'Смета Внутр'!C75</f>
        <v>кг</v>
      </c>
      <c r="D75" s="2897" t="n">
        <f aca="false">'Смета Внутр'!D75</f>
        <v>0</v>
      </c>
      <c r="E75" s="1004" t="n">
        <f aca="false">'Смета Внутр'!E75</f>
        <v>100</v>
      </c>
      <c r="F75" s="1004" t="n">
        <f aca="false">'Смета Внутр'!F75</f>
        <v>0</v>
      </c>
      <c r="G75" s="2888" t="n">
        <f aca="false">IF(E75&gt;F75,E75,F75)</f>
        <v>100</v>
      </c>
      <c r="H75" s="1004" t="n">
        <f aca="false">'Смета Внутр'!G75</f>
        <v>0</v>
      </c>
      <c r="I75" s="1004" t="n">
        <f aca="false">'Смета Внутр'!H75</f>
        <v>0</v>
      </c>
      <c r="J75" s="2897" t="n">
        <f aca="false">'Смета Внутр'!I75</f>
        <v>0</v>
      </c>
    </row>
    <row r="76" customFormat="false" ht="15" hidden="false" customHeight="true" outlineLevel="0" collapsed="false">
      <c r="B76" s="2888" t="str">
        <f aca="false">'Смета Внутр'!B76</f>
        <v>Блоки ФБС</v>
      </c>
      <c r="C76" s="2888" t="str">
        <f aca="false">'Смета Внутр'!C76</f>
        <v>м3</v>
      </c>
      <c r="D76" s="2897" t="n">
        <f aca="false">'Смета Внутр'!D76</f>
        <v>0</v>
      </c>
      <c r="E76" s="1004" t="n">
        <f aca="false">'Смета Внутр'!E76</f>
        <v>1200</v>
      </c>
      <c r="F76" s="1004" t="n">
        <f aca="false">'Смета Внутр'!F76</f>
        <v>0</v>
      </c>
      <c r="G76" s="2888" t="n">
        <f aca="false">IF(E76&gt;F76,E76,F76)</f>
        <v>1200</v>
      </c>
      <c r="H76" s="1004" t="n">
        <f aca="false">'Смета Внутр'!G76</f>
        <v>0</v>
      </c>
      <c r="I76" s="1004" t="n">
        <f aca="false">'Смета Внутр'!H76</f>
        <v>0</v>
      </c>
      <c r="J76" s="2897" t="n">
        <f aca="false">'Смета Внутр'!I76</f>
        <v>0</v>
      </c>
    </row>
    <row r="77" customFormat="false" ht="15" hidden="false" customHeight="true" outlineLevel="0" collapsed="false">
      <c r="B77" s="2888" t="str">
        <f aca="false">'Смета Внутр'!B77</f>
        <v>Кладочная сетка, 100*100/150*150/200*200мм</v>
      </c>
      <c r="C77" s="2888" t="str">
        <f aca="false">'Смета Внутр'!C77</f>
        <v>м2</v>
      </c>
      <c r="D77" s="2897" t="n">
        <f aca="false">'Смета Внутр'!D77</f>
        <v>0</v>
      </c>
      <c r="E77" s="1004" t="n">
        <f aca="false">'Смета Внутр'!E77</f>
        <v>70</v>
      </c>
      <c r="F77" s="1004" t="n">
        <f aca="false">'Смета Внутр'!F77</f>
        <v>0</v>
      </c>
      <c r="G77" s="2888" t="n">
        <f aca="false">IF(E77&gt;F77,E77,F77)</f>
        <v>70</v>
      </c>
      <c r="H77" s="1004" t="n">
        <f aca="false">'Смета Внутр'!G77</f>
        <v>0</v>
      </c>
      <c r="I77" s="1004" t="n">
        <f aca="false">'Смета Внутр'!H77</f>
        <v>0</v>
      </c>
      <c r="J77" s="2897" t="n">
        <f aca="false">'Смета Внутр'!I77</f>
        <v>0</v>
      </c>
    </row>
    <row r="78" customFormat="false" ht="15" hidden="false" customHeight="true" outlineLevel="0" collapsed="false">
      <c r="B78" s="2888" t="str">
        <f aca="false">'Смета Внутр'!B78</f>
        <v>Вязальная проволока</v>
      </c>
      <c r="C78" s="2888" t="str">
        <f aca="false">'Смета Внутр'!C78</f>
        <v>кг</v>
      </c>
      <c r="D78" s="2897" t="n">
        <f aca="false">'Смета Внутр'!D78</f>
        <v>0</v>
      </c>
      <c r="E78" s="1004" t="n">
        <f aca="false">'Смета Внутр'!E78</f>
        <v>80</v>
      </c>
      <c r="F78" s="1004" t="n">
        <f aca="false">'Смета Внутр'!F78</f>
        <v>0</v>
      </c>
      <c r="G78" s="2888" t="n">
        <f aca="false">IF(E78&gt;F78,E78,F78)</f>
        <v>80</v>
      </c>
      <c r="H78" s="1004" t="n">
        <f aca="false">'Смета Внутр'!G78</f>
        <v>0</v>
      </c>
      <c r="I78" s="1004" t="n">
        <f aca="false">'Смета Внутр'!H78</f>
        <v>0</v>
      </c>
      <c r="J78" s="2897" t="n">
        <f aca="false">'Смета Внутр'!I78</f>
        <v>0</v>
      </c>
    </row>
    <row r="79" customFormat="false" ht="15" hidden="false" customHeight="true" outlineLevel="0" collapsed="false">
      <c r="B79" s="2888" t="str">
        <f aca="false">'Смета Внутр'!B79</f>
        <v>Раствор, м250</v>
      </c>
      <c r="C79" s="2888" t="str">
        <f aca="false">'Смета Внутр'!C79</f>
        <v>м3</v>
      </c>
      <c r="D79" s="2897" t="n">
        <f aca="false">'Смета Внутр'!D79</f>
        <v>0</v>
      </c>
      <c r="E79" s="1004" t="n">
        <f aca="false">'Смета Внутр'!E79</f>
        <v>2500</v>
      </c>
      <c r="F79" s="1004" t="n">
        <f aca="false">'Смета Внутр'!F79</f>
        <v>0</v>
      </c>
      <c r="G79" s="2888" t="n">
        <f aca="false">IF(E79&gt;F79,E79,F79)</f>
        <v>2500</v>
      </c>
      <c r="H79" s="1004" t="n">
        <f aca="false">'Смета Внутр'!G79</f>
        <v>0</v>
      </c>
      <c r="I79" s="1004" t="n">
        <f aca="false">'Смета Внутр'!H79</f>
        <v>0</v>
      </c>
      <c r="J79" s="2897" t="n">
        <f aca="false">'Смета Внутр'!I79</f>
        <v>0</v>
      </c>
    </row>
    <row r="80" customFormat="false" ht="15" hidden="false" customHeight="true" outlineLevel="0" collapsed="false">
      <c r="B80" s="2888" t="str">
        <f aca="false">'Смета Внутр'!B80</f>
        <v>Сосна влаж,150*40мм</v>
      </c>
      <c r="C80" s="2888" t="str">
        <f aca="false">'Смета Внутр'!C80</f>
        <v>м3</v>
      </c>
      <c r="D80" s="2897" t="n">
        <f aca="false">'Смета Внутр'!D80</f>
        <v>0</v>
      </c>
      <c r="E80" s="1004" t="n">
        <f aca="false">'Смета Внутр'!E80</f>
        <v>6500</v>
      </c>
      <c r="F80" s="1004" t="n">
        <f aca="false">'Смета Внутр'!F80</f>
        <v>0</v>
      </c>
      <c r="G80" s="2888" t="n">
        <f aca="false">IF(E80&gt;F80,E80,F80)</f>
        <v>6500</v>
      </c>
      <c r="H80" s="1004" t="n">
        <f aca="false">'Смета Внутр'!G80</f>
        <v>0</v>
      </c>
      <c r="I80" s="1004" t="n">
        <f aca="false">'Смета Внутр'!H80</f>
        <v>0</v>
      </c>
      <c r="J80" s="2897" t="n">
        <f aca="false">'Смета Внутр'!I80</f>
        <v>0</v>
      </c>
    </row>
    <row r="81" customFormat="false" ht="15" hidden="false" customHeight="true" outlineLevel="0" collapsed="false">
      <c r="B81" s="2888" t="str">
        <f aca="false">'Смета Внутр'!B81</f>
        <v>Арматура стальная Ø 10 </v>
      </c>
      <c r="C81" s="2888" t="str">
        <f aca="false">'Смета Внутр'!C81</f>
        <v>м.п.</v>
      </c>
      <c r="D81" s="2897" t="n">
        <f aca="false">'Смета Внутр'!D81</f>
        <v>0</v>
      </c>
      <c r="E81" s="1004" t="n">
        <f aca="false">'Смета Внутр'!E81</f>
        <v>21.0397</v>
      </c>
      <c r="F81" s="1004" t="n">
        <f aca="false">'Смета Внутр'!F81</f>
        <v>0</v>
      </c>
      <c r="G81" s="2888" t="n">
        <f aca="false">IF(E81&gt;F81,E81,F81)</f>
        <v>21.0397</v>
      </c>
      <c r="H81" s="1004" t="n">
        <f aca="false">'Смета Внутр'!G81</f>
        <v>0</v>
      </c>
      <c r="I81" s="1004" t="n">
        <f aca="false">'Смета Внутр'!H81</f>
        <v>0</v>
      </c>
      <c r="J81" s="2897" t="n">
        <f aca="false">'Смета Внутр'!I81</f>
        <v>0</v>
      </c>
    </row>
    <row r="82" customFormat="false" ht="15" hidden="false" customHeight="true" outlineLevel="0" collapsed="false">
      <c r="B82" s="1004" t="str">
        <f aca="false">'Смета Внутр'!B82</f>
        <v>Нет арматуры</v>
      </c>
      <c r="C82" s="1004" t="str">
        <f aca="false">'Смета Внутр'!C82</f>
        <v>м.п.</v>
      </c>
      <c r="D82" s="1018" t="n">
        <f aca="false">'Смета Внутр'!D82</f>
        <v>0</v>
      </c>
      <c r="E82" s="1004" t="n">
        <f aca="false">'Смета Внутр'!E82</f>
        <v>0</v>
      </c>
      <c r="F82" s="1004" t="n">
        <f aca="false">'Смета Внутр'!F82</f>
        <v>0</v>
      </c>
      <c r="G82" s="1004" t="n">
        <f aca="false">IF(E82&gt;F82,E82,F82)</f>
        <v>0</v>
      </c>
      <c r="H82" s="1004" t="n">
        <f aca="false">'Смета Внутр'!G82</f>
        <v>0</v>
      </c>
      <c r="I82" s="1004" t="n">
        <f aca="false">'Смета Внутр'!H82</f>
        <v>0</v>
      </c>
      <c r="J82" s="1018" t="n">
        <f aca="false">'Смета Внутр'!I82</f>
        <v>0</v>
      </c>
    </row>
    <row r="83" customFormat="false" ht="15" hidden="false" customHeight="true" outlineLevel="0" collapsed="false">
      <c r="B83" s="2888" t="str">
        <f aca="false">'Смета Внутр'!B83</f>
        <v>Бетон, м300</v>
      </c>
      <c r="C83" s="2888" t="str">
        <f aca="false">'Смета Внутр'!C83</f>
        <v>м3</v>
      </c>
      <c r="D83" s="2897" t="n">
        <f aca="false">'Смета Внутр'!D83</f>
        <v>0</v>
      </c>
      <c r="E83" s="1004" t="n">
        <f aca="false">'Смета Внутр'!E83</f>
        <v>3000</v>
      </c>
      <c r="F83" s="1004" t="n">
        <f aca="false">'Смета Внутр'!F83</f>
        <v>0</v>
      </c>
      <c r="G83" s="2888" t="n">
        <f aca="false">IF(E83&gt;F83,E83,F83)</f>
        <v>3000</v>
      </c>
      <c r="H83" s="1004" t="n">
        <f aca="false">'Смета Внутр'!G83</f>
        <v>0</v>
      </c>
      <c r="I83" s="1004" t="n">
        <f aca="false">'Смета Внутр'!H83</f>
        <v>0</v>
      </c>
      <c r="J83" s="2897" t="n">
        <f aca="false">'Смета Внутр'!I83</f>
        <v>0</v>
      </c>
    </row>
    <row r="84" customFormat="false" ht="15" hidden="false" customHeight="true" outlineLevel="0" collapsed="false">
      <c r="B84" s="2888" t="str">
        <f aca="false">'Смета Внутр'!B84</f>
        <v>Праймер для обработки</v>
      </c>
      <c r="C84" s="2888" t="str">
        <f aca="false">'Смета Внутр'!C84</f>
        <v>л</v>
      </c>
      <c r="D84" s="2897" t="n">
        <f aca="false">'Смета Внутр'!D84</f>
        <v>0</v>
      </c>
      <c r="E84" s="1004" t="n">
        <f aca="false">'Смета Внутр'!E84</f>
        <v>100</v>
      </c>
      <c r="F84" s="1004" t="n">
        <f aca="false">'Смета Внутр'!F84</f>
        <v>0</v>
      </c>
      <c r="G84" s="2888" t="n">
        <f aca="false">IF(E84&gt;F84,E84,F84)</f>
        <v>100</v>
      </c>
      <c r="H84" s="1004" t="n">
        <f aca="false">'Смета Внутр'!G84</f>
        <v>0</v>
      </c>
      <c r="I84" s="1004" t="n">
        <f aca="false">'Смета Внутр'!H84</f>
        <v>0</v>
      </c>
      <c r="J84" s="2897" t="n">
        <f aca="false">'Смета Внутр'!I84</f>
        <v>0</v>
      </c>
    </row>
    <row r="85" customFormat="false" ht="15" hidden="false" customHeight="true" outlineLevel="0" collapsed="false">
      <c r="B85" s="2888" t="str">
        <f aca="false">'Смета Внутр'!B85</f>
        <v>Плитный,28кг/м3, технониколь, 100мм</v>
      </c>
      <c r="C85" s="2888" t="str">
        <f aca="false">'Смета Внутр'!C85</f>
        <v>м3</v>
      </c>
      <c r="D85" s="2897" t="n">
        <f aca="false">'Смета Внутр'!D85</f>
        <v>0</v>
      </c>
      <c r="E85" s="1004" t="n">
        <f aca="false">'Смета Внутр'!E85</f>
        <v>1700</v>
      </c>
      <c r="F85" s="1004" t="n">
        <f aca="false">'Смета Внутр'!F85</f>
        <v>0</v>
      </c>
      <c r="G85" s="2888" t="n">
        <f aca="false">IF(E85&gt;F85,E85,F85)</f>
        <v>1700</v>
      </c>
      <c r="H85" s="1004" t="n">
        <f aca="false">'Смета Внутр'!G85</f>
        <v>0</v>
      </c>
      <c r="I85" s="1004" t="n">
        <f aca="false">'Смета Внутр'!H85</f>
        <v>0</v>
      </c>
      <c r="J85" s="2897" t="n">
        <f aca="false">'Смета Внутр'!I85</f>
        <v>0</v>
      </c>
    </row>
    <row r="86" customFormat="false" ht="15" hidden="false" customHeight="true" outlineLevel="0" collapsed="false">
      <c r="B86" s="2888" t="str">
        <f aca="false">'Смета Внутр'!B86</f>
        <v>Грибок для крепления утеплителя</v>
      </c>
      <c r="C86" s="2888" t="str">
        <f aca="false">'Смета Внутр'!C86</f>
        <v>шт</v>
      </c>
      <c r="D86" s="2897" t="n">
        <f aca="false">'Смета Внутр'!D86</f>
        <v>0</v>
      </c>
      <c r="E86" s="1004" t="n">
        <f aca="false">'Смета Внутр'!E86</f>
        <v>15</v>
      </c>
      <c r="F86" s="1004" t="n">
        <f aca="false">'Смета Внутр'!F86</f>
        <v>0</v>
      </c>
      <c r="G86" s="2888" t="n">
        <f aca="false">IF(E86&gt;F86,E86,F86)</f>
        <v>15</v>
      </c>
      <c r="H86" s="1004" t="n">
        <f aca="false">'Смета Внутр'!G86</f>
        <v>0</v>
      </c>
      <c r="I86" s="1004" t="n">
        <f aca="false">'Смета Внутр'!H86</f>
        <v>0</v>
      </c>
      <c r="J86" s="2897" t="n">
        <f aca="false">'Смета Внутр'!I86</f>
        <v>0</v>
      </c>
    </row>
    <row r="87" customFormat="false" ht="14.5" hidden="false" customHeight="false" outlineLevel="0" collapsed="false">
      <c r="B87" s="2896" t="str">
        <f aca="false">'Смета Внутр'!B87</f>
        <v>Итого материалы</v>
      </c>
      <c r="C87" s="2896"/>
      <c r="D87" s="2896"/>
      <c r="E87" s="2896"/>
      <c r="F87" s="2896"/>
      <c r="G87" s="2896"/>
      <c r="H87" s="1004" t="n">
        <f aca="false">'Смета Внутр'!G87</f>
        <v>0</v>
      </c>
      <c r="I87" s="1004" t="n">
        <f aca="false">'Смета Внутр'!H87</f>
        <v>0</v>
      </c>
      <c r="J87" s="2897" t="n">
        <f aca="false">'Смета Внутр'!I87</f>
        <v>0</v>
      </c>
    </row>
    <row r="88" customFormat="false" ht="15" hidden="false" customHeight="true" outlineLevel="0" collapsed="false">
      <c r="B88" s="2881" t="str">
        <f aca="false">'Смета Внутр'!B88</f>
        <v>Работы</v>
      </c>
      <c r="H88" s="0" t="n">
        <f aca="false">'Смета Внутр'!G88</f>
        <v>0</v>
      </c>
      <c r="I88" s="0" t="n">
        <f aca="false">'Смета Внутр'!H88</f>
        <v>0</v>
      </c>
      <c r="J88" s="2893" t="n">
        <f aca="false">'Смета Внутр'!I88</f>
        <v>0</v>
      </c>
    </row>
    <row r="89" customFormat="false" ht="15" hidden="false" customHeight="true" outlineLevel="0" collapsed="false">
      <c r="B89" s="2888" t="str">
        <f aca="false">'Смета Внутр'!B89</f>
        <v>обработка праймер</v>
      </c>
      <c r="C89" s="2888" t="str">
        <f aca="false">'Смета Внутр'!C89</f>
        <v>м2</v>
      </c>
      <c r="D89" s="2897" t="n">
        <f aca="false">'Смета Внутр'!D89</f>
        <v>0</v>
      </c>
      <c r="E89" s="1004" t="n">
        <f aca="false">'Смета Внутр'!E89</f>
        <v>200</v>
      </c>
      <c r="F89" s="1004" t="n">
        <f aca="false">'Смета Внутр'!F89</f>
        <v>0</v>
      </c>
      <c r="G89" s="2888" t="n">
        <f aca="false">IF(E89&gt;F89,E89,F89)</f>
        <v>200</v>
      </c>
      <c r="H89" s="1004" t="n">
        <f aca="false">'Смета Внутр'!G89</f>
        <v>0</v>
      </c>
      <c r="I89" s="1004" t="n">
        <f aca="false">'Смета Внутр'!H89</f>
        <v>0</v>
      </c>
      <c r="J89" s="2897" t="n">
        <f aca="false">'Смета Внутр'!I89</f>
        <v>0</v>
      </c>
    </row>
    <row r="90" customFormat="false" ht="15" hidden="false" customHeight="true" outlineLevel="0" collapsed="false">
      <c r="B90" s="2888" t="str">
        <f aca="false">'Смета Внутр'!B90</f>
        <v>настил гидроизола</v>
      </c>
      <c r="C90" s="2888" t="str">
        <f aca="false">'Смета Внутр'!C90</f>
        <v>м2</v>
      </c>
      <c r="D90" s="2897" t="n">
        <f aca="false">'Смета Внутр'!D90</f>
        <v>0</v>
      </c>
      <c r="E90" s="1004" t="n">
        <f aca="false">'Смета Внутр'!E90</f>
        <v>100</v>
      </c>
      <c r="F90" s="1004" t="n">
        <f aca="false">'Смета Внутр'!F90</f>
        <v>0</v>
      </c>
      <c r="G90" s="2888" t="n">
        <f aca="false">IF(E90&gt;F90,E90,F90)</f>
        <v>100</v>
      </c>
      <c r="H90" s="1004" t="n">
        <f aca="false">'Смета Внутр'!G90</f>
        <v>0</v>
      </c>
      <c r="I90" s="1004" t="n">
        <f aca="false">'Смета Внутр'!H90</f>
        <v>0</v>
      </c>
      <c r="J90" s="2897" t="n">
        <f aca="false">'Смета Внутр'!I90</f>
        <v>0</v>
      </c>
    </row>
    <row r="91" customFormat="false" ht="15" hidden="false" customHeight="true" outlineLevel="0" collapsed="false">
      <c r="B91" s="2888" t="str">
        <f aca="false">'Смета Внутр'!B91</f>
        <v>Кладка блоков ФБС</v>
      </c>
      <c r="C91" s="2888" t="str">
        <f aca="false">'Смета Внутр'!C91</f>
        <v>м3</v>
      </c>
      <c r="D91" s="2897" t="n">
        <f aca="false">'Смета Внутр'!D91</f>
        <v>0</v>
      </c>
      <c r="E91" s="1004" t="n">
        <f aca="false">'Смета Внутр'!E91</f>
        <v>1000</v>
      </c>
      <c r="F91" s="1004" t="n">
        <f aca="false">'Смета Внутр'!F91</f>
        <v>0</v>
      </c>
      <c r="G91" s="2888" t="n">
        <f aca="false">IF(E91&gt;F91,E91,F91)</f>
        <v>1000</v>
      </c>
      <c r="H91" s="1004" t="n">
        <f aca="false">'Смета Внутр'!G91</f>
        <v>0</v>
      </c>
      <c r="I91" s="1004" t="n">
        <f aca="false">'Смета Внутр'!H91</f>
        <v>0</v>
      </c>
      <c r="J91" s="2897" t="n">
        <f aca="false">'Смета Внутр'!I91</f>
        <v>0</v>
      </c>
    </row>
    <row r="92" customFormat="false" ht="15" hidden="false" customHeight="true" outlineLevel="0" collapsed="false">
      <c r="B92" s="2888" t="str">
        <f aca="false">'Смета Внутр'!B92</f>
        <v>укладка сетки</v>
      </c>
      <c r="C92" s="2888" t="str">
        <f aca="false">'Смета Внутр'!C92</f>
        <v>м2</v>
      </c>
      <c r="D92" s="2897" t="n">
        <f aca="false">'Смета Внутр'!D92</f>
        <v>0</v>
      </c>
      <c r="E92" s="1004" t="n">
        <f aca="false">'Смета Внутр'!E92</f>
        <v>100</v>
      </c>
      <c r="F92" s="1004" t="n">
        <f aca="false">'Смета Внутр'!F92</f>
        <v>0</v>
      </c>
      <c r="G92" s="2888" t="n">
        <f aca="false">IF(E92&gt;F92,E92,F92)</f>
        <v>100</v>
      </c>
      <c r="H92" s="1004" t="n">
        <f aca="false">'Смета Внутр'!G92</f>
        <v>0</v>
      </c>
      <c r="I92" s="1004" t="n">
        <f aca="false">'Смета Внутр'!H92</f>
        <v>0</v>
      </c>
      <c r="J92" s="2897" t="n">
        <f aca="false">'Смета Внутр'!I92</f>
        <v>0</v>
      </c>
    </row>
    <row r="93" customFormat="false" ht="15" hidden="false" customHeight="true" outlineLevel="0" collapsed="false">
      <c r="B93" s="2888" t="str">
        <f aca="false">'Смета Внутр'!B93</f>
        <v>гидроизоляция стен</v>
      </c>
      <c r="C93" s="2888" t="str">
        <f aca="false">'Смета Внутр'!C93</f>
        <v>м2</v>
      </c>
      <c r="D93" s="2897" t="n">
        <f aca="false">'Смета Внутр'!D93</f>
        <v>0</v>
      </c>
      <c r="E93" s="1004" t="n">
        <f aca="false">'Смета Внутр'!E93</f>
        <v>200</v>
      </c>
      <c r="F93" s="1004" t="n">
        <f aca="false">'Смета Внутр'!F93</f>
        <v>0</v>
      </c>
      <c r="G93" s="2888" t="n">
        <f aca="false">IF(E93&gt;F93,E93,F93)</f>
        <v>200</v>
      </c>
      <c r="H93" s="1004" t="n">
        <f aca="false">'Смета Внутр'!G93</f>
        <v>0</v>
      </c>
      <c r="I93" s="1004" t="n">
        <f aca="false">'Смета Внутр'!H93</f>
        <v>0</v>
      </c>
      <c r="J93" s="2897" t="n">
        <f aca="false">'Смета Внутр'!I93</f>
        <v>0</v>
      </c>
    </row>
    <row r="94" customFormat="false" ht="15" hidden="false" customHeight="true" outlineLevel="0" collapsed="false">
      <c r="B94" s="2888" t="str">
        <f aca="false">'Смета Внутр'!B94</f>
        <v>Монтаж утеплителя стен наружних</v>
      </c>
      <c r="C94" s="2888" t="str">
        <f aca="false">'Смета Внутр'!C94</f>
        <v>м2</v>
      </c>
      <c r="D94" s="2897" t="n">
        <f aca="false">'Смета Внутр'!D94</f>
        <v>0</v>
      </c>
      <c r="E94" s="1004" t="n">
        <f aca="false">'Смета Внутр'!E94</f>
        <v>200</v>
      </c>
      <c r="F94" s="1004" t="n">
        <f aca="false">'Смета Внутр'!F94</f>
        <v>0</v>
      </c>
      <c r="G94" s="2888" t="n">
        <f aca="false">IF(E94&gt;F94,E94,F94)</f>
        <v>200</v>
      </c>
      <c r="H94" s="1004" t="n">
        <f aca="false">'Смета Внутр'!G94</f>
        <v>0</v>
      </c>
      <c r="I94" s="1004" t="n">
        <f aca="false">'Смета Внутр'!H94</f>
        <v>0</v>
      </c>
      <c r="J94" s="2897" t="n">
        <f aca="false">'Смета Внутр'!I94</f>
        <v>0</v>
      </c>
    </row>
    <row r="95" customFormat="false" ht="15" hidden="false" customHeight="true" outlineLevel="0" collapsed="false">
      <c r="B95" s="2888" t="str">
        <f aca="false">'Смета Внутр'!B95</f>
        <v>сборка опалубки</v>
      </c>
      <c r="C95" s="2888" t="str">
        <f aca="false">'Смета Внутр'!C95</f>
        <v>м2</v>
      </c>
      <c r="D95" s="2897" t="n">
        <f aca="false">'Смета Внутр'!D95</f>
        <v>0</v>
      </c>
      <c r="E95" s="1004" t="n">
        <f aca="false">'Смета Внутр'!E95</f>
        <v>300</v>
      </c>
      <c r="F95" s="1004" t="n">
        <f aca="false">'Смета Внутр'!F95</f>
        <v>0</v>
      </c>
      <c r="G95" s="2888" t="n">
        <f aca="false">IF(E95&gt;F95,E95,F95)</f>
        <v>300</v>
      </c>
      <c r="H95" s="1004" t="n">
        <f aca="false">'Смета Внутр'!G95</f>
        <v>0</v>
      </c>
      <c r="I95" s="1004" t="n">
        <f aca="false">'Смета Внутр'!H95</f>
        <v>0</v>
      </c>
      <c r="J95" s="2897" t="n">
        <f aca="false">'Смета Внутр'!I95</f>
        <v>0</v>
      </c>
    </row>
    <row r="96" customFormat="false" ht="15" hidden="false" customHeight="true" outlineLevel="0" collapsed="false">
      <c r="B96" s="2888" t="str">
        <f aca="false">'Смета Внутр'!B96</f>
        <v>разборка опалубки</v>
      </c>
      <c r="C96" s="2888" t="str">
        <f aca="false">'Смета Внутр'!C96</f>
        <v>м2</v>
      </c>
      <c r="D96" s="2897" t="n">
        <f aca="false">'Смета Внутр'!D96</f>
        <v>0</v>
      </c>
      <c r="E96" s="1004" t="n">
        <f aca="false">'Смета Внутр'!E96</f>
        <v>100</v>
      </c>
      <c r="F96" s="1004" t="n">
        <f aca="false">'Смета Внутр'!F96</f>
        <v>0</v>
      </c>
      <c r="G96" s="2888" t="n">
        <f aca="false">IF(E96&gt;F96,E96,F96)</f>
        <v>100</v>
      </c>
      <c r="H96" s="1004" t="n">
        <f aca="false">'Смета Внутр'!G96</f>
        <v>0</v>
      </c>
      <c r="I96" s="1004" t="n">
        <f aca="false">'Смета Внутр'!H96</f>
        <v>0</v>
      </c>
      <c r="J96" s="2897" t="n">
        <f aca="false">'Смета Внутр'!I96</f>
        <v>0</v>
      </c>
    </row>
    <row r="97" customFormat="false" ht="15" hidden="false" customHeight="true" outlineLevel="0" collapsed="false">
      <c r="B97" s="2888" t="str">
        <f aca="false">'Смета Внутр'!B97</f>
        <v>приемка бетона</v>
      </c>
      <c r="C97" s="2888" t="str">
        <f aca="false">'Смета Внутр'!C97</f>
        <v>м3</v>
      </c>
      <c r="D97" s="2897" t="n">
        <f aca="false">'Смета Внутр'!D97</f>
        <v>0</v>
      </c>
      <c r="E97" s="1004" t="n">
        <f aca="false">'Смета Внутр'!E97</f>
        <v>350</v>
      </c>
      <c r="F97" s="1004" t="n">
        <f aca="false">'Смета Внутр'!F97</f>
        <v>0</v>
      </c>
      <c r="G97" s="2888" t="n">
        <f aca="false">IF(E97&gt;F97,E97,F97)</f>
        <v>350</v>
      </c>
      <c r="H97" s="1004" t="n">
        <f aca="false">'Смета Внутр'!G97</f>
        <v>0</v>
      </c>
      <c r="I97" s="1004" t="n">
        <f aca="false">'Смета Внутр'!H97</f>
        <v>0</v>
      </c>
      <c r="J97" s="2897" t="n">
        <f aca="false">'Смета Внутр'!I97</f>
        <v>0</v>
      </c>
    </row>
    <row r="98" customFormat="false" ht="15" hidden="false" customHeight="true" outlineLevel="0" collapsed="false">
      <c r="B98" s="2896" t="str">
        <f aca="false">'Смета Внутр'!B98</f>
        <v>Итого работы</v>
      </c>
      <c r="C98" s="2896"/>
      <c r="D98" s="2896"/>
      <c r="E98" s="2896"/>
      <c r="F98" s="2896"/>
      <c r="G98" s="2896"/>
      <c r="H98" s="1004" t="n">
        <f aca="false">'Смета Внутр'!G98</f>
        <v>0</v>
      </c>
      <c r="I98" s="1004" t="n">
        <f aca="false">'Смета Внутр'!H98</f>
        <v>0</v>
      </c>
      <c r="J98" s="2897" t="n">
        <f aca="false">'Смета Внутр'!I98</f>
        <v>0</v>
      </c>
    </row>
    <row r="99" customFormat="false" ht="15" hidden="false" customHeight="true" outlineLevel="0" collapsed="false">
      <c r="B99" s="2925" t="str">
        <f aca="false">'Смета Внутр'!B99</f>
        <v>Цокольный этаж из Монолит (бетон)</v>
      </c>
      <c r="C99" s="2925"/>
      <c r="D99" s="2925"/>
      <c r="H99" s="0" t="n">
        <f aca="false">'Смета Внутр'!G99</f>
        <v>0</v>
      </c>
      <c r="I99" s="0" t="n">
        <f aca="false">'Смета Внутр'!H99</f>
        <v>0</v>
      </c>
      <c r="J99" s="2926" t="n">
        <f aca="false">'Смета Внутр'!I99</f>
        <v>0</v>
      </c>
    </row>
    <row r="100" customFormat="false" ht="15" hidden="false" customHeight="true" outlineLevel="0" collapsed="false">
      <c r="B100" s="2881" t="str">
        <f aca="false">'Смета Внутр'!B100</f>
        <v>Материалы</v>
      </c>
      <c r="D100" s="919"/>
      <c r="H100" s="0" t="n">
        <f aca="false">'Смета Внутр'!G100</f>
        <v>0</v>
      </c>
      <c r="I100" s="0" t="n">
        <f aca="false">'Смета Внутр'!H100</f>
        <v>0</v>
      </c>
      <c r="J100" s="2926" t="n">
        <f aca="false">'Смета Внутр'!I100</f>
        <v>0</v>
      </c>
    </row>
    <row r="101" customFormat="false" ht="15" hidden="false" customHeight="true" outlineLevel="0" collapsed="false">
      <c r="B101" s="1004" t="str">
        <f aca="false">'Смета Внутр'!B101</f>
        <v>Праймер для обработки</v>
      </c>
      <c r="C101" s="1004" t="str">
        <f aca="false">'Смета Внутр'!C101</f>
        <v>л</v>
      </c>
      <c r="D101" s="1018" t="n">
        <f aca="false">'Смета Внутр'!D101</f>
        <v>0</v>
      </c>
      <c r="E101" s="1004" t="n">
        <f aca="false">'Смета Внутр'!E101</f>
        <v>100</v>
      </c>
      <c r="F101" s="1004" t="n">
        <f aca="false">'Смета Внутр'!F101</f>
        <v>0</v>
      </c>
      <c r="G101" s="1004" t="n">
        <f aca="false">IF(E101&gt;F101,E101,F101)</f>
        <v>100</v>
      </c>
      <c r="H101" s="1004" t="n">
        <f aca="false">'Смета Внутр'!G101</f>
        <v>0</v>
      </c>
      <c r="I101" s="1004" t="n">
        <f aca="false">'Смета Внутр'!H101</f>
        <v>0</v>
      </c>
      <c r="J101" s="1018" t="n">
        <f aca="false">'Смета Внутр'!I101</f>
        <v>0</v>
      </c>
    </row>
    <row r="102" customFormat="false" ht="15" hidden="false" customHeight="true" outlineLevel="0" collapsed="false">
      <c r="B102" s="1004" t="str">
        <f aca="false">'Смета Внутр'!B102</f>
        <v>Гидроизол</v>
      </c>
      <c r="C102" s="1004" t="str">
        <f aca="false">'Смета Внутр'!C102</f>
        <v>м2</v>
      </c>
      <c r="D102" s="1018" t="n">
        <f aca="false">'Смета Внутр'!D102</f>
        <v>0</v>
      </c>
      <c r="E102" s="1004" t="n">
        <f aca="false">'Смета Внутр'!E102</f>
        <v>70</v>
      </c>
      <c r="F102" s="1004" t="n">
        <f aca="false">'Смета Внутр'!F102</f>
        <v>0</v>
      </c>
      <c r="G102" s="1004" t="n">
        <f aca="false">IF(E102&gt;F102,E102,F102)</f>
        <v>70</v>
      </c>
      <c r="H102" s="1004" t="n">
        <f aca="false">'Смета Внутр'!G102</f>
        <v>0</v>
      </c>
      <c r="I102" s="1004" t="n">
        <f aca="false">'Смета Внутр'!H102</f>
        <v>0</v>
      </c>
      <c r="J102" s="1018" t="n">
        <f aca="false">'Смета Внутр'!I102</f>
        <v>0</v>
      </c>
    </row>
    <row r="103" customFormat="false" ht="15" hidden="false" customHeight="true" outlineLevel="0" collapsed="false">
      <c r="B103" s="1004" t="str">
        <f aca="false">'Смета Внутр'!B103</f>
        <v>Мастика битумная</v>
      </c>
      <c r="C103" s="1004" t="str">
        <f aca="false">'Смета Внутр'!C103</f>
        <v>кг</v>
      </c>
      <c r="D103" s="1018" t="n">
        <f aca="false">'Смета Внутр'!D103</f>
        <v>0</v>
      </c>
      <c r="E103" s="1004" t="n">
        <f aca="false">'Смета Внутр'!E103</f>
        <v>100</v>
      </c>
      <c r="F103" s="1004" t="n">
        <f aca="false">'Смета Внутр'!F103</f>
        <v>0</v>
      </c>
      <c r="G103" s="1004" t="n">
        <f aca="false">IF(E103&gt;F103,E103,F103)</f>
        <v>100</v>
      </c>
      <c r="H103" s="1004" t="n">
        <f aca="false">'Смета Внутр'!G103</f>
        <v>0</v>
      </c>
      <c r="I103" s="1004" t="n">
        <f aca="false">'Смета Внутр'!H103</f>
        <v>0</v>
      </c>
      <c r="J103" s="1018" t="n">
        <f aca="false">'Смета Внутр'!I103</f>
        <v>0</v>
      </c>
    </row>
    <row r="104" customFormat="false" ht="15" hidden="false" customHeight="true" outlineLevel="0" collapsed="false">
      <c r="B104" s="1004" t="str">
        <f aca="false">'Смета Внутр'!B104</f>
        <v>Сосна влаж,150*40мм</v>
      </c>
      <c r="C104" s="1004" t="str">
        <f aca="false">'Смета Внутр'!C104</f>
        <v>м3</v>
      </c>
      <c r="D104" s="1018" t="n">
        <f aca="false">'Смета Внутр'!D104</f>
        <v>0</v>
      </c>
      <c r="E104" s="1004" t="n">
        <f aca="false">'Смета Внутр'!E104</f>
        <v>6500</v>
      </c>
      <c r="F104" s="1004" t="n">
        <f aca="false">'Смета Внутр'!F104</f>
        <v>0</v>
      </c>
      <c r="G104" s="1004" t="n">
        <f aca="false">IF(E104&gt;F104,E104,F104)</f>
        <v>6500</v>
      </c>
      <c r="H104" s="1004" t="n">
        <f aca="false">'Смета Внутр'!G104</f>
        <v>0</v>
      </c>
      <c r="I104" s="1004" t="n">
        <f aca="false">'Смета Внутр'!H104</f>
        <v>0</v>
      </c>
      <c r="J104" s="1018" t="n">
        <f aca="false">'Смета Внутр'!I104</f>
        <v>0</v>
      </c>
    </row>
    <row r="105" customFormat="false" ht="15" hidden="false" customHeight="true" outlineLevel="0" collapsed="false">
      <c r="B105" s="1004" t="str">
        <f aca="false">'Смета Внутр'!B105</f>
        <v>Крепления для опалубки</v>
      </c>
      <c r="C105" s="1004" t="str">
        <f aca="false">'Смета Внутр'!C105</f>
        <v>шт</v>
      </c>
      <c r="D105" s="1018" t="n">
        <f aca="false">'Смета Внутр'!D105</f>
        <v>0</v>
      </c>
      <c r="E105" s="1004" t="n">
        <f aca="false">'Смета Внутр'!E105</f>
        <v>20</v>
      </c>
      <c r="F105" s="1004" t="n">
        <f aca="false">'Смета Внутр'!F105</f>
        <v>0</v>
      </c>
      <c r="G105" s="1004" t="n">
        <f aca="false">IF(E105&gt;F105,E105,F105)</f>
        <v>20</v>
      </c>
      <c r="H105" s="1004" t="n">
        <f aca="false">'Смета Внутр'!G105</f>
        <v>0</v>
      </c>
      <c r="I105" s="1004" t="n">
        <f aca="false">'Смета Внутр'!H105</f>
        <v>0</v>
      </c>
      <c r="J105" s="1018" t="n">
        <f aca="false">'Смета Внутр'!I105</f>
        <v>0</v>
      </c>
    </row>
    <row r="106" customFormat="false" ht="15" hidden="false" customHeight="true" outlineLevel="0" collapsed="false">
      <c r="B106" s="1004" t="str">
        <f aca="false">'Смета Внутр'!B106</f>
        <v>Арматура стальная Ø 12</v>
      </c>
      <c r="C106" s="1004" t="str">
        <f aca="false">'Смета Внутр'!C106</f>
        <v>м.п.</v>
      </c>
      <c r="D106" s="1018" t="n">
        <f aca="false">'Смета Внутр'!D106</f>
        <v>0</v>
      </c>
      <c r="E106" s="1004" t="n">
        <f aca="false">'Смета Внутр'!E106</f>
        <v>29.2152</v>
      </c>
      <c r="F106" s="1004" t="n">
        <f aca="false">'Смета Внутр'!F106</f>
        <v>0</v>
      </c>
      <c r="G106" s="1004" t="n">
        <f aca="false">IF(E106&gt;F106,E106,F106)</f>
        <v>29.2152</v>
      </c>
      <c r="H106" s="1004" t="n">
        <f aca="false">'Смета Внутр'!G106</f>
        <v>0</v>
      </c>
      <c r="I106" s="1004" t="n">
        <f aca="false">'Смета Внутр'!H106</f>
        <v>0</v>
      </c>
      <c r="J106" s="1018" t="n">
        <f aca="false">'Смета Внутр'!I106</f>
        <v>0</v>
      </c>
    </row>
    <row r="107" customFormat="false" ht="15" hidden="false" customHeight="true" outlineLevel="0" collapsed="false">
      <c r="B107" s="1004" t="str">
        <f aca="false">'Смета Внутр'!B107</f>
        <v>Вязальная проволока</v>
      </c>
      <c r="C107" s="1004" t="str">
        <f aca="false">'Смета Внутр'!C107</f>
        <v>кг</v>
      </c>
      <c r="D107" s="1018" t="n">
        <f aca="false">'Смета Внутр'!D107</f>
        <v>0</v>
      </c>
      <c r="E107" s="1004" t="n">
        <f aca="false">'Смета Внутр'!E107</f>
        <v>80</v>
      </c>
      <c r="F107" s="1004" t="n">
        <f aca="false">'Смета Внутр'!F107</f>
        <v>0</v>
      </c>
      <c r="G107" s="1004" t="n">
        <f aca="false">IF(E107&gt;F107,E107,F107)</f>
        <v>80</v>
      </c>
      <c r="H107" s="1004" t="n">
        <f aca="false">'Смета Внутр'!G107</f>
        <v>0</v>
      </c>
      <c r="I107" s="1004" t="n">
        <f aca="false">'Смета Внутр'!H107</f>
        <v>0</v>
      </c>
      <c r="J107" s="1018" t="n">
        <f aca="false">'Смета Внутр'!I107</f>
        <v>0</v>
      </c>
    </row>
    <row r="108" customFormat="false" ht="15" hidden="false" customHeight="true" outlineLevel="0" collapsed="false">
      <c r="B108" s="1004" t="str">
        <f aca="false">'Смета Внутр'!B108</f>
        <v>Бетон, м300</v>
      </c>
      <c r="C108" s="1004" t="str">
        <f aca="false">'Смета Внутр'!C108</f>
        <v>м3</v>
      </c>
      <c r="D108" s="1018" t="n">
        <f aca="false">'Смета Внутр'!D108</f>
        <v>0</v>
      </c>
      <c r="E108" s="1004" t="n">
        <f aca="false">'Смета Внутр'!E108</f>
        <v>3000</v>
      </c>
      <c r="F108" s="1004" t="n">
        <f aca="false">'Смета Внутр'!F108</f>
        <v>0</v>
      </c>
      <c r="G108" s="1004" t="n">
        <f aca="false">IF(E108&gt;F108,E108,F108)</f>
        <v>3000</v>
      </c>
      <c r="H108" s="1004" t="n">
        <f aca="false">'Смета Внутр'!G108</f>
        <v>0</v>
      </c>
      <c r="I108" s="1004" t="n">
        <f aca="false">'Смета Внутр'!H108</f>
        <v>0</v>
      </c>
      <c r="J108" s="1018" t="n">
        <f aca="false">'Смета Внутр'!I108</f>
        <v>0</v>
      </c>
    </row>
    <row r="109" customFormat="false" ht="15" hidden="false" customHeight="true" outlineLevel="0" collapsed="false">
      <c r="B109" s="1004" t="str">
        <f aca="false">'Смета Внутр'!B109</f>
        <v>Праймер для обработки</v>
      </c>
      <c r="C109" s="1004" t="str">
        <f aca="false">'Смета Внутр'!C109</f>
        <v>кг</v>
      </c>
      <c r="D109" s="1018" t="n">
        <f aca="false">'Смета Внутр'!D109</f>
        <v>0</v>
      </c>
      <c r="E109" s="1004" t="n">
        <f aca="false">'Смета Внутр'!E109</f>
        <v>100</v>
      </c>
      <c r="F109" s="1004" t="n">
        <f aca="false">'Смета Внутр'!F109</f>
        <v>0</v>
      </c>
      <c r="G109" s="1004" t="n">
        <f aca="false">IF(E109&gt;F109,E109,F109)</f>
        <v>100</v>
      </c>
      <c r="H109" s="1004" t="n">
        <f aca="false">'Смета Внутр'!G109</f>
        <v>0</v>
      </c>
      <c r="I109" s="1004" t="n">
        <f aca="false">'Смета Внутр'!H109</f>
        <v>0</v>
      </c>
      <c r="J109" s="1018" t="n">
        <f aca="false">'Смета Внутр'!I109</f>
        <v>0</v>
      </c>
    </row>
    <row r="110" customFormat="false" ht="15" hidden="false" customHeight="true" outlineLevel="0" collapsed="false">
      <c r="B110" s="1004" t="str">
        <f aca="false">'Смета Внутр'!B110</f>
        <v>Плитный,28кг/м3, технониколь, 100мм</v>
      </c>
      <c r="C110" s="1004" t="str">
        <f aca="false">'Смета Внутр'!C110</f>
        <v>м3</v>
      </c>
      <c r="D110" s="1018" t="n">
        <f aca="false">'Смета Внутр'!D110</f>
        <v>0</v>
      </c>
      <c r="E110" s="1004" t="n">
        <f aca="false">'Смета Внутр'!E110</f>
        <v>1700</v>
      </c>
      <c r="F110" s="1004" t="n">
        <f aca="false">'Смета Внутр'!F110</f>
        <v>0</v>
      </c>
      <c r="G110" s="1004" t="n">
        <f aca="false">IF(E110&gt;F110,E110,F110)</f>
        <v>1700</v>
      </c>
      <c r="H110" s="1004" t="n">
        <f aca="false">'Смета Внутр'!G110</f>
        <v>0</v>
      </c>
      <c r="I110" s="1004" t="n">
        <f aca="false">'Смета Внутр'!H110</f>
        <v>0</v>
      </c>
      <c r="J110" s="1018" t="n">
        <f aca="false">'Смета Внутр'!I110</f>
        <v>0</v>
      </c>
    </row>
    <row r="111" customFormat="false" ht="15" hidden="false" customHeight="true" outlineLevel="0" collapsed="false">
      <c r="B111" s="1004" t="str">
        <f aca="false">'Смета Внутр'!B111</f>
        <v>Грибок для крепления утеплителя</v>
      </c>
      <c r="C111" s="1004" t="str">
        <f aca="false">'Смета Внутр'!C111</f>
        <v>шт</v>
      </c>
      <c r="D111" s="1018" t="n">
        <f aca="false">'Смета Внутр'!D111</f>
        <v>0</v>
      </c>
      <c r="E111" s="1004" t="n">
        <f aca="false">'Смета Внутр'!E111</f>
        <v>15</v>
      </c>
      <c r="F111" s="1004" t="n">
        <f aca="false">'Смета Внутр'!F111</f>
        <v>0</v>
      </c>
      <c r="G111" s="1004" t="n">
        <f aca="false">IF(E111&gt;F111,E111,F111)</f>
        <v>15</v>
      </c>
      <c r="H111" s="1004" t="n">
        <f aca="false">'Смета Внутр'!G111</f>
        <v>0</v>
      </c>
      <c r="I111" s="1004" t="n">
        <f aca="false">'Смета Внутр'!H111</f>
        <v>0</v>
      </c>
      <c r="J111" s="1018" t="n">
        <f aca="false">'Смета Внутр'!I111</f>
        <v>0</v>
      </c>
    </row>
    <row r="112" customFormat="false" ht="14.5" hidden="false" customHeight="false" outlineLevel="0" collapsed="false">
      <c r="B112" s="2927" t="str">
        <f aca="false">'Смета Внутр'!B112</f>
        <v>Итого материалы</v>
      </c>
      <c r="C112" s="2927"/>
      <c r="D112" s="2927"/>
      <c r="E112" s="2927"/>
      <c r="F112" s="2927"/>
      <c r="G112" s="2927"/>
      <c r="H112" s="1004" t="n">
        <f aca="false">'Смета Внутр'!G112</f>
        <v>0</v>
      </c>
      <c r="I112" s="1004" t="n">
        <f aca="false">'Смета Внутр'!H112</f>
        <v>0</v>
      </c>
      <c r="J112" s="1018" t="n">
        <f aca="false">'Смета Внутр'!I112</f>
        <v>0</v>
      </c>
    </row>
    <row r="113" customFormat="false" ht="15" hidden="false" customHeight="true" outlineLevel="0" collapsed="false">
      <c r="B113" s="2881" t="str">
        <f aca="false">'Смета Внутр'!B113</f>
        <v>Работы</v>
      </c>
      <c r="D113" s="919"/>
      <c r="H113" s="0" t="n">
        <f aca="false">'Смета Внутр'!G113</f>
        <v>0</v>
      </c>
      <c r="I113" s="0" t="n">
        <f aca="false">'Смета Внутр'!H113</f>
        <v>0</v>
      </c>
      <c r="J113" s="2926" t="n">
        <f aca="false">'Смета Внутр'!I113</f>
        <v>0</v>
      </c>
    </row>
    <row r="114" customFormat="false" ht="15" hidden="false" customHeight="true" outlineLevel="0" collapsed="false">
      <c r="B114" s="1004" t="str">
        <f aca="false">'Смета Внутр'!B114</f>
        <v>обработка праймер</v>
      </c>
      <c r="C114" s="1004" t="str">
        <f aca="false">'Смета Внутр'!C114</f>
        <v>м2</v>
      </c>
      <c r="D114" s="1018" t="n">
        <f aca="false">'Смета Внутр'!D114</f>
        <v>0</v>
      </c>
      <c r="E114" s="1004" t="n">
        <f aca="false">'Смета Внутр'!E114</f>
        <v>200</v>
      </c>
      <c r="F114" s="1004" t="n">
        <f aca="false">'Смета Внутр'!F114</f>
        <v>0</v>
      </c>
      <c r="G114" s="1004" t="n">
        <f aca="false">IF(E114&gt;F114,E114,F114)</f>
        <v>200</v>
      </c>
      <c r="H114" s="1004" t="n">
        <f aca="false">'Смета Внутр'!G114</f>
        <v>0</v>
      </c>
      <c r="I114" s="1004" t="n">
        <f aca="false">'Смета Внутр'!H114</f>
        <v>0</v>
      </c>
      <c r="J114" s="1018" t="n">
        <f aca="false">'Смета Внутр'!I114</f>
        <v>0</v>
      </c>
    </row>
    <row r="115" customFormat="false" ht="15" hidden="false" customHeight="true" outlineLevel="0" collapsed="false">
      <c r="B115" s="1004" t="str">
        <f aca="false">'Смета Внутр'!B115</f>
        <v>настил гидроизола</v>
      </c>
      <c r="C115" s="1004" t="str">
        <f aca="false">'Смета Внутр'!C115</f>
        <v>м2</v>
      </c>
      <c r="D115" s="1018" t="n">
        <f aca="false">'Смета Внутр'!D115</f>
        <v>0</v>
      </c>
      <c r="E115" s="1004" t="n">
        <f aca="false">'Смета Внутр'!E115</f>
        <v>100</v>
      </c>
      <c r="F115" s="1004" t="n">
        <f aca="false">'Смета Внутр'!F115</f>
        <v>0</v>
      </c>
      <c r="G115" s="1004" t="n">
        <f aca="false">IF(E115&gt;F115,E115,F115)</f>
        <v>100</v>
      </c>
      <c r="H115" s="1004" t="n">
        <f aca="false">'Смета Внутр'!G115</f>
        <v>0</v>
      </c>
      <c r="I115" s="1004" t="n">
        <f aca="false">'Смета Внутр'!H115</f>
        <v>0</v>
      </c>
      <c r="J115" s="1018" t="n">
        <f aca="false">'Смета Внутр'!I115</f>
        <v>0</v>
      </c>
    </row>
    <row r="116" customFormat="false" ht="15" hidden="false" customHeight="true" outlineLevel="0" collapsed="false">
      <c r="B116" s="1004" t="str">
        <f aca="false">'Смета Внутр'!B116</f>
        <v>вязка арматуры</v>
      </c>
      <c r="C116" s="1004" t="str">
        <f aca="false">'Смета Внутр'!C116</f>
        <v>м.п.</v>
      </c>
      <c r="D116" s="1018" t="n">
        <f aca="false">'Смета Внутр'!D116</f>
        <v>0</v>
      </c>
      <c r="E116" s="1004" t="n">
        <f aca="false">'Смета Внутр'!E116</f>
        <v>300</v>
      </c>
      <c r="F116" s="1004" t="n">
        <f aca="false">'Смета Внутр'!F116</f>
        <v>0</v>
      </c>
      <c r="G116" s="1004" t="n">
        <f aca="false">IF(E116&gt;F116,E116,F116)</f>
        <v>300</v>
      </c>
      <c r="H116" s="1004" t="n">
        <f aca="false">'Смета Внутр'!G116</f>
        <v>0</v>
      </c>
      <c r="I116" s="1004" t="n">
        <f aca="false">'Смета Внутр'!H116</f>
        <v>0</v>
      </c>
      <c r="J116" s="1018" t="n">
        <f aca="false">'Смета Внутр'!I116</f>
        <v>0</v>
      </c>
    </row>
    <row r="117" customFormat="false" ht="15" hidden="false" customHeight="true" outlineLevel="0" collapsed="false">
      <c r="B117" s="1004" t="str">
        <f aca="false">'Смета Внутр'!B117</f>
        <v>сборка опалубки</v>
      </c>
      <c r="C117" s="1004" t="str">
        <f aca="false">'Смета Внутр'!C117</f>
        <v>м2</v>
      </c>
      <c r="D117" s="1018" t="n">
        <f aca="false">'Смета Внутр'!D117</f>
        <v>0</v>
      </c>
      <c r="E117" s="1004" t="n">
        <f aca="false">'Смета Внутр'!E117</f>
        <v>300</v>
      </c>
      <c r="F117" s="1004" t="n">
        <f aca="false">'Смета Внутр'!F117</f>
        <v>0</v>
      </c>
      <c r="G117" s="1004" t="n">
        <f aca="false">IF(E117&gt;F117,E117,F117)</f>
        <v>300</v>
      </c>
      <c r="H117" s="1004" t="n">
        <f aca="false">'Смета Внутр'!G117</f>
        <v>0</v>
      </c>
      <c r="I117" s="1004" t="n">
        <f aca="false">'Смета Внутр'!H117</f>
        <v>0</v>
      </c>
      <c r="J117" s="1018" t="n">
        <f aca="false">'Смета Внутр'!I117</f>
        <v>0</v>
      </c>
    </row>
    <row r="118" customFormat="false" ht="15" hidden="false" customHeight="true" outlineLevel="0" collapsed="false">
      <c r="B118" s="1004" t="str">
        <f aca="false">'Смета Внутр'!B118</f>
        <v>разборка опалубки</v>
      </c>
      <c r="C118" s="1004" t="str">
        <f aca="false">'Смета Внутр'!C118</f>
        <v>м2</v>
      </c>
      <c r="D118" s="1018" t="n">
        <f aca="false">'Смета Внутр'!D118</f>
        <v>0</v>
      </c>
      <c r="E118" s="1004" t="n">
        <f aca="false">'Смета Внутр'!E118</f>
        <v>100</v>
      </c>
      <c r="F118" s="1004" t="n">
        <f aca="false">'Смета Внутр'!F118</f>
        <v>0</v>
      </c>
      <c r="G118" s="1004" t="n">
        <f aca="false">IF(E118&gt;F118,E118,F118)</f>
        <v>100</v>
      </c>
      <c r="H118" s="1004" t="n">
        <f aca="false">'Смета Внутр'!G118</f>
        <v>0</v>
      </c>
      <c r="I118" s="1004" t="n">
        <f aca="false">'Смета Внутр'!H118</f>
        <v>0</v>
      </c>
      <c r="J118" s="1018" t="n">
        <f aca="false">'Смета Внутр'!I118</f>
        <v>0</v>
      </c>
    </row>
    <row r="119" customFormat="false" ht="15" hidden="false" customHeight="true" outlineLevel="0" collapsed="false">
      <c r="B119" s="1004" t="str">
        <f aca="false">'Смета Внутр'!B119</f>
        <v>приемка бетона</v>
      </c>
      <c r="C119" s="1004" t="str">
        <f aca="false">'Смета Внутр'!C119</f>
        <v>м3</v>
      </c>
      <c r="D119" s="1018" t="n">
        <f aca="false">'Смета Внутр'!D119</f>
        <v>0</v>
      </c>
      <c r="E119" s="1004" t="n">
        <f aca="false">'Смета Внутр'!E119</f>
        <v>1200</v>
      </c>
      <c r="F119" s="1004" t="n">
        <f aca="false">'Смета Внутр'!F119</f>
        <v>0</v>
      </c>
      <c r="G119" s="1004" t="n">
        <f aca="false">IF(E119&gt;F119,E119,F119)</f>
        <v>1200</v>
      </c>
      <c r="H119" s="1004" t="n">
        <f aca="false">'Смета Внутр'!G119</f>
        <v>0</v>
      </c>
      <c r="I119" s="1004" t="n">
        <f aca="false">'Смета Внутр'!H119</f>
        <v>0</v>
      </c>
      <c r="J119" s="1018" t="n">
        <f aca="false">'Смета Внутр'!I119</f>
        <v>0</v>
      </c>
    </row>
    <row r="120" customFormat="false" ht="15" hidden="false" customHeight="true" outlineLevel="0" collapsed="false">
      <c r="B120" s="1004" t="str">
        <f aca="false">'Смета Внутр'!B120</f>
        <v>гидроизоляция стен</v>
      </c>
      <c r="C120" s="1004" t="str">
        <f aca="false">'Смета Внутр'!C120</f>
        <v>м2</v>
      </c>
      <c r="D120" s="1018" t="n">
        <f aca="false">'Смета Внутр'!D120</f>
        <v>0</v>
      </c>
      <c r="E120" s="1004" t="n">
        <f aca="false">'Смета Внутр'!E120</f>
        <v>200</v>
      </c>
      <c r="F120" s="1004" t="n">
        <f aca="false">'Смета Внутр'!F120</f>
        <v>0</v>
      </c>
      <c r="G120" s="1004" t="n">
        <f aca="false">IF(E120&gt;F120,E120,F120)</f>
        <v>200</v>
      </c>
      <c r="H120" s="1004" t="n">
        <f aca="false">'Смета Внутр'!G120</f>
        <v>0</v>
      </c>
      <c r="I120" s="1004" t="n">
        <f aca="false">'Смета Внутр'!H120</f>
        <v>0</v>
      </c>
      <c r="J120" s="1018" t="n">
        <f aca="false">'Смета Внутр'!I120</f>
        <v>0</v>
      </c>
    </row>
    <row r="121" customFormat="false" ht="15" hidden="false" customHeight="true" outlineLevel="0" collapsed="false">
      <c r="B121" s="1004" t="str">
        <f aca="false">'Смета Внутр'!B121</f>
        <v>утепление фундамента</v>
      </c>
      <c r="C121" s="1004" t="str">
        <f aca="false">'Смета Внутр'!C121</f>
        <v>м2</v>
      </c>
      <c r="D121" s="1018" t="n">
        <f aca="false">'Смета Внутр'!D121</f>
        <v>0</v>
      </c>
      <c r="E121" s="1004" t="n">
        <f aca="false">'Смета Внутр'!E121</f>
        <v>200</v>
      </c>
      <c r="F121" s="1004" t="n">
        <f aca="false">'Смета Внутр'!F121</f>
        <v>0</v>
      </c>
      <c r="G121" s="1004" t="n">
        <f aca="false">IF(E121&gt;F121,E121,F121)</f>
        <v>200</v>
      </c>
      <c r="H121" s="1004" t="n">
        <f aca="false">'Смета Внутр'!G121</f>
        <v>0</v>
      </c>
      <c r="I121" s="1004" t="n">
        <f aca="false">'Смета Внутр'!H121</f>
        <v>0</v>
      </c>
      <c r="J121" s="1018" t="n">
        <f aca="false">'Смета Внутр'!I121</f>
        <v>0</v>
      </c>
    </row>
    <row r="122" customFormat="false" ht="15" hidden="false" customHeight="true" outlineLevel="0" collapsed="false">
      <c r="B122" s="2927" t="str">
        <f aca="false">'Смета Внутр'!B122</f>
        <v>Итого работы</v>
      </c>
      <c r="C122" s="2927"/>
      <c r="D122" s="2927"/>
      <c r="E122" s="2927"/>
      <c r="F122" s="2927"/>
      <c r="G122" s="2927"/>
      <c r="H122" s="1004" t="n">
        <f aca="false">'Смета Внутр'!G122</f>
        <v>0</v>
      </c>
      <c r="I122" s="1004" t="n">
        <f aca="false">'Смета Внутр'!H122</f>
        <v>0</v>
      </c>
      <c r="J122" s="1018" t="n">
        <f aca="false">'Смета Внутр'!I122</f>
        <v>0</v>
      </c>
    </row>
    <row r="123" customFormat="false" ht="15" hidden="false" customHeight="true" outlineLevel="0" collapsed="false">
      <c r="B123" s="2925" t="str">
        <f aca="false">'Смета Внутр'!B123</f>
        <v>Винтовые сваи для дома</v>
      </c>
      <c r="C123" s="2925"/>
      <c r="D123" s="2925"/>
      <c r="H123" s="0" t="n">
        <f aca="false">'Смета Внутр'!G123</f>
        <v>0</v>
      </c>
      <c r="I123" s="0" t="n">
        <f aca="false">'Смета Внутр'!H123</f>
        <v>0</v>
      </c>
      <c r="J123" s="2926" t="n">
        <f aca="false">'Смета Внутр'!I123</f>
        <v>0</v>
      </c>
    </row>
    <row r="124" customFormat="false" ht="15" hidden="false" customHeight="true" outlineLevel="0" collapsed="false">
      <c r="B124" s="2881" t="str">
        <f aca="false">'Смета Внутр'!B124</f>
        <v>Материалы</v>
      </c>
      <c r="D124" s="919"/>
      <c r="H124" s="0" t="n">
        <f aca="false">'Смета Внутр'!G124</f>
        <v>0</v>
      </c>
      <c r="I124" s="0" t="n">
        <f aca="false">'Смета Внутр'!H124</f>
        <v>0</v>
      </c>
      <c r="J124" s="2926" t="n">
        <f aca="false">'Смета Внутр'!I124</f>
        <v>0</v>
      </c>
    </row>
    <row r="125" customFormat="false" ht="15" hidden="false" customHeight="true" outlineLevel="0" collapsed="false">
      <c r="B125" s="1004" t="str">
        <f aca="false">'Смета Внутр'!B125</f>
        <v>пробное забуривание</v>
      </c>
      <c r="C125" s="1004" t="str">
        <f aca="false">'Смета Внутр'!C125</f>
        <v>шт</v>
      </c>
      <c r="D125" s="1018" t="n">
        <f aca="false">'Смета Внутр'!D125</f>
        <v>1</v>
      </c>
      <c r="E125" s="1004" t="n">
        <f aca="false">'Смета Внутр'!E125</f>
        <v>5000</v>
      </c>
      <c r="F125" s="1004" t="n">
        <f aca="false">'Смета Внутр'!F125</f>
        <v>0</v>
      </c>
      <c r="G125" s="1004" t="n">
        <f aca="false">IF(E125&gt;F125,E125,F125)</f>
        <v>5000</v>
      </c>
      <c r="H125" s="1004" t="n">
        <f aca="false">'Смета Внутр'!G125</f>
        <v>5000</v>
      </c>
      <c r="I125" s="1004" t="n">
        <f aca="false">'Смета Внутр'!H125</f>
        <v>0</v>
      </c>
      <c r="J125" s="1018" t="n">
        <f aca="false">'Смета Внутр'!I125</f>
        <v>0</v>
      </c>
    </row>
    <row r="126" customFormat="false" ht="15" hidden="false" customHeight="true" outlineLevel="0" collapsed="false">
      <c r="B126" s="1004" t="str">
        <f aca="false">'Смета Внутр'!B126</f>
        <v>108мм, 2,5м длина, 1 лопасть</v>
      </c>
      <c r="C126" s="1004" t="str">
        <f aca="false">'Смета Внутр'!C126</f>
        <v>шт</v>
      </c>
      <c r="D126" s="1018" t="n">
        <f aca="false">'Смета Внутр'!D126</f>
        <v>25</v>
      </c>
      <c r="E126" s="1004" t="n">
        <f aca="false">'Смета Внутр'!E126</f>
        <v>1950</v>
      </c>
      <c r="F126" s="1004" t="n">
        <f aca="false">'Смета Внутр'!F126</f>
        <v>0</v>
      </c>
      <c r="G126" s="1004" t="n">
        <f aca="false">IF(E126&gt;F126,E126,F126)</f>
        <v>1950</v>
      </c>
      <c r="H126" s="1004" t="n">
        <f aca="false">'Смета Внутр'!G126</f>
        <v>48750</v>
      </c>
      <c r="I126" s="1004" t="n">
        <f aca="false">'Смета Внутр'!H126</f>
        <v>0</v>
      </c>
      <c r="J126" s="1018" t="n">
        <f aca="false">'Смета Внутр'!I126</f>
        <v>0</v>
      </c>
    </row>
    <row r="127" customFormat="false" ht="15" hidden="false" customHeight="true" outlineLevel="0" collapsed="false">
      <c r="B127" s="1004" t="str">
        <f aca="false">'Смета Внутр'!B127</f>
        <v>Оголовкок для свай 200*200</v>
      </c>
      <c r="C127" s="1004" t="str">
        <f aca="false">'Смета Внутр'!C127</f>
        <v>шт</v>
      </c>
      <c r="D127" s="1018" t="n">
        <f aca="false">'Смета Внутр'!D127</f>
        <v>25</v>
      </c>
      <c r="E127" s="1004" t="n">
        <f aca="false">'Смета Внутр'!E127</f>
        <v>250</v>
      </c>
      <c r="F127" s="1004" t="n">
        <f aca="false">'Смета Внутр'!F127</f>
        <v>0</v>
      </c>
      <c r="G127" s="1004" t="n">
        <f aca="false">IF(E127&gt;F127,E127,F127)</f>
        <v>250</v>
      </c>
      <c r="H127" s="1004" t="n">
        <f aca="false">'Смета Внутр'!G127</f>
        <v>6250</v>
      </c>
      <c r="I127" s="1004" t="n">
        <f aca="false">'Смета Внутр'!H127</f>
        <v>0</v>
      </c>
      <c r="J127" s="1018" t="n">
        <f aca="false">'Смета Внутр'!I127</f>
        <v>0</v>
      </c>
    </row>
    <row r="128" customFormat="false" ht="15" hidden="false" customHeight="true" outlineLevel="0" collapsed="false">
      <c r="B128" s="1004" t="str">
        <f aca="false">'Смета Внутр'!B128</f>
        <v>обвязка металлом</v>
      </c>
      <c r="C128" s="1004" t="str">
        <f aca="false">'Смета Внутр'!C128</f>
        <v>м.п.</v>
      </c>
      <c r="D128" s="1018" t="n">
        <f aca="false">'Смета Внутр'!D128</f>
        <v>56</v>
      </c>
      <c r="E128" s="1004" t="n">
        <f aca="false">'Смета Внутр'!E128</f>
        <v>100</v>
      </c>
      <c r="F128" s="1004" t="n">
        <f aca="false">'Смета Внутр'!F128</f>
        <v>0</v>
      </c>
      <c r="G128" s="1004" t="n">
        <f aca="false">IF(E128&gt;F128,E128,F128)</f>
        <v>100</v>
      </c>
      <c r="H128" s="1004" t="n">
        <f aca="false">'Смета Внутр'!G128</f>
        <v>5600</v>
      </c>
      <c r="I128" s="1004" t="n">
        <f aca="false">'Смета Внутр'!H128</f>
        <v>0</v>
      </c>
      <c r="J128" s="1018" t="n">
        <f aca="false">'Смета Внутр'!I128</f>
        <v>0</v>
      </c>
    </row>
    <row r="129" customFormat="false" ht="15" hidden="false" customHeight="true" outlineLevel="0" collapsed="false">
      <c r="B129" s="1004" t="str">
        <f aca="false">'Смета Внутр'!B129</f>
        <v>Раствор, м200</v>
      </c>
      <c r="C129" s="1004" t="str">
        <f aca="false">'Смета Внутр'!C129</f>
        <v>м3</v>
      </c>
      <c r="D129" s="1018" t="n">
        <f aca="false">'Смета Внутр'!D129</f>
        <v>1.1304</v>
      </c>
      <c r="E129" s="1004" t="n">
        <f aca="false">'Смета Внутр'!E129</f>
        <v>2100</v>
      </c>
      <c r="F129" s="1004" t="n">
        <f aca="false">'Смета Внутр'!F129</f>
        <v>0</v>
      </c>
      <c r="G129" s="1004" t="n">
        <f aca="false">IF(E129&gt;F129,E129,F129)</f>
        <v>2100</v>
      </c>
      <c r="H129" s="1004" t="n">
        <f aca="false">'Смета Внутр'!G129</f>
        <v>2373.84</v>
      </c>
      <c r="I129" s="1004" t="n">
        <f aca="false">'Смета Внутр'!H129</f>
        <v>0</v>
      </c>
      <c r="J129" s="1018" t="n">
        <f aca="false">'Смета Внутр'!I129</f>
        <v>0</v>
      </c>
    </row>
    <row r="130" customFormat="false" ht="15" hidden="false" customHeight="true" outlineLevel="0" collapsed="false">
      <c r="B130" s="1004" t="str">
        <f aca="false">'Смета Внутр'!B130</f>
        <v>Электроды ок 47</v>
      </c>
      <c r="C130" s="1004" t="str">
        <f aca="false">'Смета Внутр'!C130</f>
        <v>шт</v>
      </c>
      <c r="D130" s="1018" t="n">
        <f aca="false">'Смета Внутр'!D130</f>
        <v>25</v>
      </c>
      <c r="E130" s="1004" t="n">
        <f aca="false">'Смета Внутр'!E130</f>
        <v>10</v>
      </c>
      <c r="F130" s="1004" t="n">
        <f aca="false">'Смета Внутр'!F130</f>
        <v>0</v>
      </c>
      <c r="G130" s="1004" t="n">
        <f aca="false">IF(E130&gt;F130,E130,F130)</f>
        <v>10</v>
      </c>
      <c r="H130" s="1004" t="n">
        <f aca="false">'Смета Внутр'!G130</f>
        <v>250</v>
      </c>
      <c r="I130" s="1004" t="n">
        <f aca="false">'Смета Внутр'!H130</f>
        <v>0</v>
      </c>
      <c r="J130" s="1018" t="n">
        <f aca="false">'Смета Внутр'!I130</f>
        <v>0</v>
      </c>
    </row>
    <row r="131" customFormat="false" ht="14.5" hidden="false" customHeight="false" outlineLevel="0" collapsed="false">
      <c r="B131" s="2927" t="str">
        <f aca="false">'Смета Внутр'!B131</f>
        <v>Итого материалы</v>
      </c>
      <c r="C131" s="2927"/>
      <c r="D131" s="2927"/>
      <c r="E131" s="2927"/>
      <c r="F131" s="2927"/>
      <c r="G131" s="2927"/>
      <c r="H131" s="1004" t="n">
        <f aca="false">'Смета Внутр'!G131</f>
        <v>0</v>
      </c>
      <c r="I131" s="1004" t="n">
        <f aca="false">'Смета Внутр'!H131</f>
        <v>0</v>
      </c>
      <c r="J131" s="1018" t="n">
        <f aca="false">'Смета Внутр'!I131</f>
        <v>0</v>
      </c>
    </row>
    <row r="132" customFormat="false" ht="15" hidden="false" customHeight="true" outlineLevel="0" collapsed="false">
      <c r="B132" s="2881" t="str">
        <f aca="false">'Смета Внутр'!B132</f>
        <v>Работы</v>
      </c>
      <c r="D132" s="919"/>
      <c r="H132" s="0" t="n">
        <f aca="false">'Смета Внутр'!G132</f>
        <v>0</v>
      </c>
      <c r="I132" s="0" t="n">
        <f aca="false">'Смета Внутр'!H132</f>
        <v>0</v>
      </c>
      <c r="J132" s="2926" t="n">
        <f aca="false">'Смета Внутр'!I132</f>
        <v>0</v>
      </c>
    </row>
    <row r="133" customFormat="false" ht="15" hidden="false" customHeight="true" outlineLevel="0" collapsed="false">
      <c r="B133" s="1004" t="str">
        <f aca="false">'Смета Внутр'!B133</f>
        <v>разбивка осей</v>
      </c>
      <c r="C133" s="1004" t="str">
        <f aca="false">'Смета Внутр'!C133</f>
        <v>шт</v>
      </c>
      <c r="D133" s="1018" t="n">
        <f aca="false">'Смета Внутр'!D133</f>
        <v>1</v>
      </c>
      <c r="E133" s="1004" t="n">
        <f aca="false">'Смета Внутр'!E133</f>
        <v>7000</v>
      </c>
      <c r="F133" s="1004" t="n">
        <f aca="false">'Смета Внутр'!F133</f>
        <v>0</v>
      </c>
      <c r="G133" s="1004" t="n">
        <f aca="false">IF(E133&gt;F133,E133,F133)</f>
        <v>7000</v>
      </c>
      <c r="H133" s="1004" t="n">
        <f aca="false">'Смета Внутр'!G133</f>
        <v>7000</v>
      </c>
      <c r="I133" s="1004" t="n">
        <f aca="false">'Смета Внутр'!H133</f>
        <v>0</v>
      </c>
      <c r="J133" s="1018" t="n">
        <f aca="false">'Смета Внутр'!I133</f>
        <v>0</v>
      </c>
    </row>
    <row r="134" customFormat="false" ht="15" hidden="false" customHeight="true" outlineLevel="0" collapsed="false">
      <c r="B134" s="1004" t="str">
        <f aca="false">'Смета Внутр'!B134</f>
        <v>монтаж свай</v>
      </c>
      <c r="C134" s="1004" t="str">
        <f aca="false">'Смета Внутр'!C134</f>
        <v>шт</v>
      </c>
      <c r="D134" s="1018" t="n">
        <f aca="false">'Смета Внутр'!D134</f>
        <v>25</v>
      </c>
      <c r="E134" s="1004" t="n">
        <f aca="false">'Смета Внутр'!E134</f>
        <v>1000</v>
      </c>
      <c r="F134" s="1004" t="n">
        <f aca="false">'Смета Внутр'!F134</f>
        <v>0</v>
      </c>
      <c r="G134" s="1004" t="n">
        <f aca="false">IF(E134&gt;F134,E134,F134)</f>
        <v>1000</v>
      </c>
      <c r="H134" s="1004" t="n">
        <f aca="false">'Смета Внутр'!G134</f>
        <v>25000</v>
      </c>
      <c r="I134" s="1004" t="n">
        <f aca="false">'Смета Внутр'!H134</f>
        <v>0</v>
      </c>
      <c r="J134" s="1018" t="n">
        <f aca="false">'Смета Внутр'!I134</f>
        <v>0</v>
      </c>
    </row>
    <row r="135" customFormat="false" ht="15" hidden="false" customHeight="true" outlineLevel="0" collapsed="false">
      <c r="B135" s="1004" t="str">
        <f aca="false">'Смета Внутр'!B135</f>
        <v>монтаж оголовков</v>
      </c>
      <c r="C135" s="1004" t="str">
        <f aca="false">'Смета Внутр'!C135</f>
        <v>шт</v>
      </c>
      <c r="D135" s="1018" t="n">
        <f aca="false">'Смета Внутр'!D135</f>
        <v>25</v>
      </c>
      <c r="E135" s="1004" t="n">
        <f aca="false">'Смета Внутр'!E135</f>
        <v>100</v>
      </c>
      <c r="F135" s="1004" t="n">
        <f aca="false">'Смета Внутр'!F135</f>
        <v>0</v>
      </c>
      <c r="G135" s="1004" t="n">
        <f aca="false">IF(E135&gt;F135,E135,F135)</f>
        <v>100</v>
      </c>
      <c r="H135" s="1004" t="n">
        <f aca="false">'Смета Внутр'!G135</f>
        <v>2500</v>
      </c>
      <c r="I135" s="1004" t="n">
        <f aca="false">'Смета Внутр'!H135</f>
        <v>0</v>
      </c>
      <c r="J135" s="1018" t="n">
        <f aca="false">'Смета Внутр'!I135</f>
        <v>0</v>
      </c>
    </row>
    <row r="136" customFormat="false" ht="15" hidden="false" customHeight="true" outlineLevel="0" collapsed="false">
      <c r="B136" s="1004" t="str">
        <f aca="false">'Смета Внутр'!B136</f>
        <v>обвязка металлом</v>
      </c>
      <c r="C136" s="1004" t="str">
        <f aca="false">'Смета Внутр'!C136</f>
        <v>м.п.</v>
      </c>
      <c r="D136" s="1018" t="n">
        <f aca="false">'Смета Внутр'!D136</f>
        <v>56</v>
      </c>
      <c r="E136" s="1004" t="n">
        <f aca="false">'Смета Внутр'!E136</f>
        <v>100</v>
      </c>
      <c r="F136" s="1004" t="n">
        <f aca="false">'Смета Внутр'!F136</f>
        <v>0</v>
      </c>
      <c r="G136" s="1004" t="n">
        <f aca="false">IF(E136&gt;F136,E136,F136)</f>
        <v>100</v>
      </c>
      <c r="H136" s="1004" t="n">
        <f aca="false">'Смета Внутр'!G136</f>
        <v>5600</v>
      </c>
      <c r="I136" s="1004" t="n">
        <f aca="false">'Смета Внутр'!H136</f>
        <v>0</v>
      </c>
      <c r="J136" s="1018" t="n">
        <f aca="false">'Смета Внутр'!I136</f>
        <v>0</v>
      </c>
    </row>
    <row r="137" customFormat="false" ht="15" hidden="false" customHeight="true" outlineLevel="0" collapsed="false">
      <c r="B137" s="1004" t="str">
        <f aca="false">'Смета Внутр'!B137</f>
        <v>заливка бетоном</v>
      </c>
      <c r="C137" s="1004" t="str">
        <f aca="false">'Смета Внутр'!C137</f>
        <v>шт</v>
      </c>
      <c r="D137" s="1018" t="n">
        <f aca="false">'Смета Внутр'!D137</f>
        <v>25</v>
      </c>
      <c r="E137" s="1004" t="n">
        <f aca="false">'Смета Внутр'!E137</f>
        <v>200</v>
      </c>
      <c r="F137" s="1004" t="n">
        <f aca="false">'Смета Внутр'!F137</f>
        <v>0</v>
      </c>
      <c r="G137" s="1004" t="n">
        <f aca="false">IF(E137&gt;F137,E137,F137)</f>
        <v>200</v>
      </c>
      <c r="H137" s="1004" t="n">
        <f aca="false">'Смета Внутр'!G137</f>
        <v>5000</v>
      </c>
      <c r="I137" s="1004" t="n">
        <f aca="false">'Смета Внутр'!H137</f>
        <v>0</v>
      </c>
      <c r="J137" s="1018" t="n">
        <f aca="false">'Смета Внутр'!I137</f>
        <v>0</v>
      </c>
    </row>
    <row r="138" customFormat="false" ht="15" hidden="false" customHeight="true" outlineLevel="0" collapsed="false">
      <c r="B138" s="1004" t="str">
        <f aca="false">'Смета Внутр'!B138</f>
        <v>Обрезка винтовых свай по невелиру</v>
      </c>
      <c r="C138" s="1004" t="str">
        <f aca="false">'Смета Внутр'!C138</f>
        <v>шт</v>
      </c>
      <c r="D138" s="1018" t="n">
        <f aca="false">'Смета Внутр'!D138</f>
        <v>25</v>
      </c>
      <c r="E138" s="1004" t="n">
        <f aca="false">'Смета Внутр'!E138</f>
        <v>200</v>
      </c>
      <c r="F138" s="1004" t="n">
        <f aca="false">'Смета Внутр'!F138</f>
        <v>0</v>
      </c>
      <c r="G138" s="1004" t="n">
        <f aca="false">IF(E138&gt;F138,E138,F138)</f>
        <v>200</v>
      </c>
      <c r="H138" s="1004" t="n">
        <f aca="false">'Смета Внутр'!G138</f>
        <v>5000</v>
      </c>
      <c r="I138" s="1004" t="n">
        <f aca="false">'Смета Внутр'!H138</f>
        <v>0</v>
      </c>
      <c r="J138" s="1018" t="n">
        <f aca="false">'Смета Внутр'!I138</f>
        <v>0</v>
      </c>
    </row>
    <row r="139" customFormat="false" ht="15" hidden="false" customHeight="true" outlineLevel="0" collapsed="false">
      <c r="B139" s="1004" t="str">
        <f aca="false">'Смета Внутр'!B139</f>
        <v>Наварка оголовка</v>
      </c>
      <c r="C139" s="1004" t="str">
        <f aca="false">'Смета Внутр'!C139</f>
        <v>шт</v>
      </c>
      <c r="D139" s="1018" t="n">
        <f aca="false">'Смета Внутр'!D139</f>
        <v>25</v>
      </c>
      <c r="E139" s="1004" t="n">
        <f aca="false">'Смета Внутр'!E139</f>
        <v>250</v>
      </c>
      <c r="F139" s="1004" t="n">
        <f aca="false">'Смета Внутр'!F139</f>
        <v>0</v>
      </c>
      <c r="G139" s="1004" t="n">
        <f aca="false">IF(E139&gt;F139,E139,F139)</f>
        <v>250</v>
      </c>
      <c r="H139" s="1004" t="n">
        <f aca="false">'Смета Внутр'!G139</f>
        <v>6250</v>
      </c>
      <c r="I139" s="1004" t="n">
        <f aca="false">'Смета Внутр'!H139</f>
        <v>0</v>
      </c>
      <c r="J139" s="1018" t="n">
        <f aca="false">'Смета Внутр'!I139</f>
        <v>0</v>
      </c>
    </row>
    <row r="140" customFormat="false" ht="15" hidden="false" customHeight="true" outlineLevel="0" collapsed="false">
      <c r="B140" s="2927" t="str">
        <f aca="false">'Смета Внутр'!B140</f>
        <v>Итого работы</v>
      </c>
      <c r="C140" s="2927"/>
      <c r="D140" s="2927"/>
      <c r="E140" s="2927"/>
      <c r="F140" s="2927"/>
      <c r="G140" s="2927"/>
      <c r="H140" s="1004" t="n">
        <f aca="false">'Смета Внутр'!G140</f>
        <v>0</v>
      </c>
      <c r="I140" s="1004" t="n">
        <f aca="false">'Смета Внутр'!H140</f>
        <v>0</v>
      </c>
      <c r="J140" s="1018" t="n">
        <f aca="false">'Смета Внутр'!I140</f>
        <v>0</v>
      </c>
    </row>
    <row r="141" customFormat="false" ht="15" hidden="false" customHeight="true" outlineLevel="0" collapsed="false">
      <c r="B141" s="2925" t="str">
        <f aca="false">'Смета Внутр'!B141</f>
        <v>Винтовые сваи для террасы</v>
      </c>
      <c r="C141" s="2925"/>
      <c r="D141" s="2925"/>
      <c r="H141" s="0" t="n">
        <f aca="false">'Смета Внутр'!G141</f>
        <v>0</v>
      </c>
      <c r="I141" s="0" t="n">
        <f aca="false">'Смета Внутр'!H141</f>
        <v>0</v>
      </c>
      <c r="J141" s="2926" t="n">
        <f aca="false">'Смета Внутр'!I141</f>
        <v>0</v>
      </c>
    </row>
    <row r="142" customFormat="false" ht="15" hidden="false" customHeight="true" outlineLevel="0" collapsed="false">
      <c r="B142" s="2881" t="str">
        <f aca="false">'Смета Внутр'!B142</f>
        <v>Материалы</v>
      </c>
      <c r="D142" s="919"/>
      <c r="H142" s="0" t="n">
        <f aca="false">'Смета Внутр'!G142</f>
        <v>0</v>
      </c>
      <c r="I142" s="0" t="n">
        <f aca="false">'Смета Внутр'!H142</f>
        <v>0</v>
      </c>
      <c r="J142" s="2926" t="n">
        <f aca="false">'Смета Внутр'!I142</f>
        <v>0</v>
      </c>
    </row>
    <row r="143" customFormat="false" ht="15" hidden="false" customHeight="true" outlineLevel="0" collapsed="false">
      <c r="B143" s="1004" t="str">
        <f aca="false">'Смета Внутр'!B143</f>
        <v>пробное забуривание</v>
      </c>
      <c r="C143" s="1004" t="str">
        <f aca="false">'Смета Внутр'!C143</f>
        <v>шт</v>
      </c>
      <c r="D143" s="1018" t="n">
        <f aca="false">'Смета Внутр'!D143</f>
        <v>1</v>
      </c>
      <c r="E143" s="1004" t="n">
        <f aca="false">'Смета Внутр'!E143</f>
        <v>5000</v>
      </c>
      <c r="F143" s="1004" t="n">
        <f aca="false">'Смета Внутр'!F143</f>
        <v>0</v>
      </c>
      <c r="G143" s="1004" t="n">
        <f aca="false">IF(E143&gt;F143,E143,F143)</f>
        <v>5000</v>
      </c>
      <c r="H143" s="1004" t="n">
        <f aca="false">'Смета Внутр'!G143</f>
        <v>5000</v>
      </c>
      <c r="I143" s="1004" t="n">
        <f aca="false">'Смета Внутр'!H143</f>
        <v>0</v>
      </c>
      <c r="J143" s="1018" t="n">
        <f aca="false">'Смета Внутр'!I143</f>
        <v>0</v>
      </c>
    </row>
    <row r="144" customFormat="false" ht="15" hidden="false" customHeight="true" outlineLevel="0" collapsed="false">
      <c r="B144" s="1004" t="str">
        <f aca="false">'Смета Внутр'!B144</f>
        <v>76мм, 3,5м длина, 2 лопасть</v>
      </c>
      <c r="C144" s="1004" t="str">
        <f aca="false">'Смета Внутр'!C144</f>
        <v>шт</v>
      </c>
      <c r="D144" s="1018" t="n">
        <f aca="false">'Смета Внутр'!D144</f>
        <v>8</v>
      </c>
      <c r="E144" s="1004" t="n">
        <f aca="false">'Смета Внутр'!E144</f>
        <v>2130</v>
      </c>
      <c r="F144" s="1004" t="n">
        <f aca="false">'Смета Внутр'!F144</f>
        <v>0</v>
      </c>
      <c r="G144" s="1004" t="n">
        <f aca="false">IF(E144&gt;F144,E144,F144)</f>
        <v>2130</v>
      </c>
      <c r="H144" s="1004" t="n">
        <f aca="false">'Смета Внутр'!G144</f>
        <v>17040</v>
      </c>
      <c r="I144" s="1004" t="n">
        <f aca="false">'Смета Внутр'!H144</f>
        <v>0</v>
      </c>
      <c r="J144" s="1018" t="n">
        <f aca="false">'Смета Внутр'!I144</f>
        <v>0</v>
      </c>
    </row>
    <row r="145" customFormat="false" ht="15" hidden="false" customHeight="true" outlineLevel="0" collapsed="false">
      <c r="B145" s="1004" t="str">
        <f aca="false">'Смета Внутр'!B145</f>
        <v>Оголовкок для свай 200*200</v>
      </c>
      <c r="C145" s="1004" t="str">
        <f aca="false">'Смета Внутр'!C145</f>
        <v>шт</v>
      </c>
      <c r="D145" s="1018" t="n">
        <f aca="false">'Смета Внутр'!D145</f>
        <v>8</v>
      </c>
      <c r="E145" s="1004" t="n">
        <f aca="false">'Смета Внутр'!E145</f>
        <v>250</v>
      </c>
      <c r="F145" s="1004" t="n">
        <f aca="false">'Смета Внутр'!F145</f>
        <v>0</v>
      </c>
      <c r="G145" s="1004" t="n">
        <f aca="false">IF(E145&gt;F145,E145,F145)</f>
        <v>250</v>
      </c>
      <c r="H145" s="1004" t="n">
        <f aca="false">'Смета Внутр'!G145</f>
        <v>2000</v>
      </c>
      <c r="I145" s="1004" t="n">
        <f aca="false">'Смета Внутр'!H145</f>
        <v>0</v>
      </c>
      <c r="J145" s="1018" t="n">
        <f aca="false">'Смета Внутр'!I145</f>
        <v>0</v>
      </c>
    </row>
    <row r="146" customFormat="false" ht="15" hidden="false" customHeight="true" outlineLevel="0" collapsed="false">
      <c r="B146" s="1004" t="str">
        <f aca="false">'Смета Внутр'!B146</f>
        <v>обвязка металлом, 20/40/3000</v>
      </c>
      <c r="C146" s="1004" t="str">
        <f aca="false">'Смета Внутр'!C146</f>
        <v>м.п.</v>
      </c>
      <c r="D146" s="1018" t="n">
        <f aca="false">'Смета Внутр'!D146</f>
        <v>8</v>
      </c>
      <c r="E146" s="1004" t="n">
        <f aca="false">'Смета Внутр'!E146</f>
        <v>100</v>
      </c>
      <c r="F146" s="1004" t="n">
        <f aca="false">'Смета Внутр'!F146</f>
        <v>0</v>
      </c>
      <c r="G146" s="1004" t="n">
        <f aca="false">IF(E146&gt;F146,E146,F146)</f>
        <v>100</v>
      </c>
      <c r="H146" s="1004" t="n">
        <f aca="false">'Смета Внутр'!G146</f>
        <v>800</v>
      </c>
      <c r="I146" s="1004" t="n">
        <f aca="false">'Смета Внутр'!H146</f>
        <v>0</v>
      </c>
      <c r="J146" s="1018" t="n">
        <f aca="false">'Смета Внутр'!I146</f>
        <v>0</v>
      </c>
    </row>
    <row r="147" customFormat="false" ht="15" hidden="false" customHeight="true" outlineLevel="0" collapsed="false">
      <c r="B147" s="1004" t="str">
        <f aca="false">'Смета Внутр'!B147</f>
        <v>Раствор, м200</v>
      </c>
      <c r="C147" s="1004" t="str">
        <f aca="false">'Смета Внутр'!C147</f>
        <v>м3</v>
      </c>
      <c r="D147" s="1018" t="n">
        <f aca="false">'Смета Внутр'!D147</f>
        <v>0.361728</v>
      </c>
      <c r="E147" s="1004" t="n">
        <f aca="false">'Смета Внутр'!E147</f>
        <v>2100</v>
      </c>
      <c r="F147" s="1004" t="n">
        <f aca="false">'Смета Внутр'!F147</f>
        <v>0</v>
      </c>
      <c r="G147" s="1004" t="n">
        <f aca="false">IF(E147&gt;F147,E147,F147)</f>
        <v>2100</v>
      </c>
      <c r="H147" s="1004" t="n">
        <f aca="false">'Смета Внутр'!G147</f>
        <v>759.6288</v>
      </c>
      <c r="I147" s="1004" t="n">
        <f aca="false">'Смета Внутр'!H147</f>
        <v>0</v>
      </c>
      <c r="J147" s="1018" t="n">
        <f aca="false">'Смета Внутр'!I147</f>
        <v>0</v>
      </c>
    </row>
    <row r="148" customFormat="false" ht="15" hidden="false" customHeight="true" outlineLevel="0" collapsed="false">
      <c r="B148" s="1004" t="str">
        <f aca="false">'Смета Внутр'!B148</f>
        <v>Электроды ок 47</v>
      </c>
      <c r="C148" s="1004" t="str">
        <f aca="false">'Смета Внутр'!C148</f>
        <v>шт</v>
      </c>
      <c r="D148" s="1018" t="n">
        <f aca="false">'Смета Внутр'!D148</f>
        <v>8</v>
      </c>
      <c r="E148" s="1004" t="n">
        <f aca="false">'Смета Внутр'!E148</f>
        <v>10</v>
      </c>
      <c r="F148" s="1004" t="n">
        <f aca="false">'Смета Внутр'!F148</f>
        <v>0</v>
      </c>
      <c r="G148" s="1004" t="n">
        <f aca="false">IF(E148&gt;F148,E148,F148)</f>
        <v>10</v>
      </c>
      <c r="H148" s="1004" t="n">
        <f aca="false">'Смета Внутр'!G148</f>
        <v>80</v>
      </c>
      <c r="I148" s="1004" t="n">
        <f aca="false">'Смета Внутр'!H148</f>
        <v>0</v>
      </c>
      <c r="J148" s="1018" t="n">
        <f aca="false">'Смета Внутр'!I148</f>
        <v>0</v>
      </c>
    </row>
    <row r="149" customFormat="false" ht="14.5" hidden="false" customHeight="false" outlineLevel="0" collapsed="false">
      <c r="B149" s="2927" t="str">
        <f aca="false">'Смета Внутр'!B149</f>
        <v>Итого материалы</v>
      </c>
      <c r="C149" s="2927"/>
      <c r="D149" s="2927"/>
      <c r="E149" s="2927"/>
      <c r="F149" s="2927"/>
      <c r="G149" s="2927"/>
      <c r="H149" s="1004" t="n">
        <f aca="false">'Смета Внутр'!G149</f>
        <v>0</v>
      </c>
      <c r="I149" s="1004" t="n">
        <f aca="false">'Смета Внутр'!H149</f>
        <v>0</v>
      </c>
      <c r="J149" s="1018" t="n">
        <f aca="false">'Смета Внутр'!I149</f>
        <v>0</v>
      </c>
    </row>
    <row r="150" customFormat="false" ht="15" hidden="false" customHeight="true" outlineLevel="0" collapsed="false">
      <c r="B150" s="2881" t="str">
        <f aca="false">'Смета Внутр'!B150</f>
        <v>Работы</v>
      </c>
      <c r="D150" s="919"/>
      <c r="H150" s="0" t="n">
        <f aca="false">'Смета Внутр'!G150</f>
        <v>0</v>
      </c>
      <c r="I150" s="0" t="n">
        <f aca="false">'Смета Внутр'!H150</f>
        <v>0</v>
      </c>
      <c r="J150" s="2926" t="n">
        <f aca="false">'Смета Внутр'!I150</f>
        <v>0</v>
      </c>
    </row>
    <row r="151" customFormat="false" ht="15" hidden="false" customHeight="true" outlineLevel="0" collapsed="false">
      <c r="B151" s="1004" t="str">
        <f aca="false">'Смета Внутр'!B151</f>
        <v>разбивка осей</v>
      </c>
      <c r="C151" s="1004" t="str">
        <f aca="false">'Смета Внутр'!C151</f>
        <v>шт</v>
      </c>
      <c r="D151" s="1018" t="n">
        <f aca="false">'Смета Внутр'!D151</f>
        <v>1</v>
      </c>
      <c r="E151" s="1004" t="n">
        <f aca="false">'Смета Внутр'!E151</f>
        <v>7000</v>
      </c>
      <c r="F151" s="1004" t="n">
        <f aca="false">'Смета Внутр'!F151</f>
        <v>0</v>
      </c>
      <c r="G151" s="1004" t="n">
        <f aca="false">IF(E151&gt;F151,E151,F151)</f>
        <v>7000</v>
      </c>
      <c r="H151" s="1004" t="n">
        <f aca="false">'Смета Внутр'!G151</f>
        <v>7000</v>
      </c>
      <c r="I151" s="1004" t="n">
        <f aca="false">'Смета Внутр'!H151</f>
        <v>0</v>
      </c>
      <c r="J151" s="1018" t="n">
        <f aca="false">'Смета Внутр'!I151</f>
        <v>0</v>
      </c>
    </row>
    <row r="152" customFormat="false" ht="15" hidden="false" customHeight="true" outlineLevel="0" collapsed="false">
      <c r="B152" s="1004" t="str">
        <f aca="false">'Смета Внутр'!B152</f>
        <v>монтаж свай гидравликой</v>
      </c>
      <c r="C152" s="1004" t="str">
        <f aca="false">'Смета Внутр'!C152</f>
        <v>шт</v>
      </c>
      <c r="D152" s="1018" t="n">
        <f aca="false">'Смета Внутр'!D152</f>
        <v>1</v>
      </c>
      <c r="E152" s="1004" t="n">
        <f aca="false">'Смета Внутр'!E152</f>
        <v>1000</v>
      </c>
      <c r="F152" s="1004" t="n">
        <f aca="false">'Смета Внутр'!F152</f>
        <v>0</v>
      </c>
      <c r="G152" s="1004" t="n">
        <f aca="false">IF(E152&gt;F152,E152,F152)</f>
        <v>1000</v>
      </c>
      <c r="H152" s="1004" t="n">
        <f aca="false">'Смета Внутр'!G152</f>
        <v>1000</v>
      </c>
      <c r="I152" s="1004" t="n">
        <f aca="false">'Смета Внутр'!H152</f>
        <v>0</v>
      </c>
      <c r="J152" s="1018" t="n">
        <f aca="false">'Смета Внутр'!I152</f>
        <v>0</v>
      </c>
    </row>
    <row r="153" customFormat="false" ht="15" hidden="false" customHeight="true" outlineLevel="0" collapsed="false">
      <c r="B153" s="1004" t="str">
        <f aca="false">'Смета Внутр'!B153</f>
        <v>монтаж оголовков</v>
      </c>
      <c r="C153" s="1004" t="str">
        <f aca="false">'Смета Внутр'!C153</f>
        <v>шт</v>
      </c>
      <c r="D153" s="1018" t="n">
        <f aca="false">'Смета Внутр'!D153</f>
        <v>8</v>
      </c>
      <c r="E153" s="1004" t="n">
        <f aca="false">'Смета Внутр'!E153</f>
        <v>100</v>
      </c>
      <c r="F153" s="1004" t="n">
        <f aca="false">'Смета Внутр'!F153</f>
        <v>0</v>
      </c>
      <c r="G153" s="1004" t="n">
        <f aca="false">IF(E153&gt;F153,E153,F153)</f>
        <v>100</v>
      </c>
      <c r="H153" s="1004" t="n">
        <f aca="false">'Смета Внутр'!G153</f>
        <v>800</v>
      </c>
      <c r="I153" s="1004" t="n">
        <f aca="false">'Смета Внутр'!H153</f>
        <v>0</v>
      </c>
      <c r="J153" s="1018" t="n">
        <f aca="false">'Смета Внутр'!I153</f>
        <v>0</v>
      </c>
    </row>
    <row r="154" customFormat="false" ht="15" hidden="false" customHeight="true" outlineLevel="0" collapsed="false">
      <c r="B154" s="1004" t="str">
        <f aca="false">'Смета Внутр'!B154</f>
        <v>обвязка металлом</v>
      </c>
      <c r="C154" s="1004" t="str">
        <f aca="false">'Смета Внутр'!C154</f>
        <v>м.п.</v>
      </c>
      <c r="D154" s="1018" t="n">
        <f aca="false">'Смета Внутр'!D154</f>
        <v>8</v>
      </c>
      <c r="E154" s="1004" t="n">
        <f aca="false">'Смета Внутр'!E154</f>
        <v>100</v>
      </c>
      <c r="F154" s="1004" t="n">
        <f aca="false">'Смета Внутр'!F154</f>
        <v>0</v>
      </c>
      <c r="G154" s="1004" t="n">
        <f aca="false">IF(E154&gt;F154,E154,F154)</f>
        <v>100</v>
      </c>
      <c r="H154" s="1004" t="n">
        <f aca="false">'Смета Внутр'!G154</f>
        <v>800</v>
      </c>
      <c r="I154" s="1004" t="n">
        <f aca="false">'Смета Внутр'!H154</f>
        <v>0</v>
      </c>
      <c r="J154" s="1018" t="n">
        <f aca="false">'Смета Внутр'!I154</f>
        <v>0</v>
      </c>
    </row>
    <row r="155" customFormat="false" ht="15" hidden="false" customHeight="true" outlineLevel="0" collapsed="false">
      <c r="B155" s="1004" t="str">
        <f aca="false">'Смета Внутр'!B155</f>
        <v>заливка бетоном</v>
      </c>
      <c r="C155" s="1004" t="str">
        <f aca="false">'Смета Внутр'!C155</f>
        <v>шт</v>
      </c>
      <c r="D155" s="1018" t="n">
        <f aca="false">'Смета Внутр'!D155</f>
        <v>8</v>
      </c>
      <c r="E155" s="1004" t="n">
        <f aca="false">'Смета Внутр'!E155</f>
        <v>200</v>
      </c>
      <c r="F155" s="1004" t="n">
        <f aca="false">'Смета Внутр'!F155</f>
        <v>0</v>
      </c>
      <c r="G155" s="1004" t="n">
        <f aca="false">IF(E155&gt;F155,E155,F155)</f>
        <v>200</v>
      </c>
      <c r="H155" s="1004" t="n">
        <f aca="false">'Смета Внутр'!G155</f>
        <v>1600</v>
      </c>
      <c r="I155" s="1004" t="n">
        <f aca="false">'Смета Внутр'!H155</f>
        <v>0</v>
      </c>
      <c r="J155" s="1018" t="n">
        <f aca="false">'Смета Внутр'!I155</f>
        <v>0</v>
      </c>
    </row>
    <row r="156" customFormat="false" ht="15" hidden="false" customHeight="true" outlineLevel="0" collapsed="false">
      <c r="B156" s="1004" t="str">
        <f aca="false">'Смета Внутр'!B156</f>
        <v>Обрезка винтовых свай по невелиру</v>
      </c>
      <c r="C156" s="1004" t="str">
        <f aca="false">'Смета Внутр'!C156</f>
        <v>шт</v>
      </c>
      <c r="D156" s="1018" t="n">
        <f aca="false">'Смета Внутр'!D156</f>
        <v>8</v>
      </c>
      <c r="E156" s="1004" t="n">
        <f aca="false">'Смета Внутр'!E156</f>
        <v>200</v>
      </c>
      <c r="F156" s="1004" t="n">
        <f aca="false">'Смета Внутр'!F156</f>
        <v>0</v>
      </c>
      <c r="G156" s="1004" t="n">
        <f aca="false">IF(E156&gt;F156,E156,F156)</f>
        <v>200</v>
      </c>
      <c r="H156" s="1004" t="n">
        <f aca="false">'Смета Внутр'!G156</f>
        <v>1600</v>
      </c>
      <c r="I156" s="1004" t="n">
        <f aca="false">'Смета Внутр'!H156</f>
        <v>0</v>
      </c>
      <c r="J156" s="1018" t="n">
        <f aca="false">'Смета Внутр'!I156</f>
        <v>0</v>
      </c>
    </row>
    <row r="157" customFormat="false" ht="15" hidden="false" customHeight="true" outlineLevel="0" collapsed="false">
      <c r="B157" s="1004" t="str">
        <f aca="false">'Смета Внутр'!B157</f>
        <v>Наварка оголовка</v>
      </c>
      <c r="C157" s="1004" t="str">
        <f aca="false">'Смета Внутр'!C157</f>
        <v>шт</v>
      </c>
      <c r="D157" s="1018" t="n">
        <f aca="false">'Смета Внутр'!D157</f>
        <v>8</v>
      </c>
      <c r="E157" s="1004" t="n">
        <f aca="false">'Смета Внутр'!E157</f>
        <v>250</v>
      </c>
      <c r="F157" s="1004" t="n">
        <f aca="false">'Смета Внутр'!F157</f>
        <v>0</v>
      </c>
      <c r="G157" s="1004" t="n">
        <f aca="false">IF(E157&gt;F157,E157,F157)</f>
        <v>250</v>
      </c>
      <c r="H157" s="1004" t="n">
        <f aca="false">'Смета Внутр'!G157</f>
        <v>2000</v>
      </c>
      <c r="I157" s="1004" t="n">
        <f aca="false">'Смета Внутр'!H157</f>
        <v>0</v>
      </c>
      <c r="J157" s="1018" t="n">
        <f aca="false">'Смета Внутр'!I157</f>
        <v>0</v>
      </c>
    </row>
    <row r="158" customFormat="false" ht="15" hidden="false" customHeight="true" outlineLevel="0" collapsed="false">
      <c r="B158" s="2927" t="str">
        <f aca="false">'Смета Внутр'!B158</f>
        <v>Итого работы</v>
      </c>
      <c r="C158" s="2927"/>
      <c r="D158" s="2927"/>
      <c r="E158" s="2927"/>
      <c r="F158" s="2927"/>
      <c r="G158" s="2927"/>
      <c r="H158" s="1004" t="n">
        <f aca="false">'Смета Внутр'!G158</f>
        <v>0</v>
      </c>
      <c r="I158" s="1004" t="n">
        <f aca="false">'Смета Внутр'!H158</f>
        <v>0</v>
      </c>
      <c r="J158" s="1018" t="n">
        <f aca="false">'Смета Внутр'!I158</f>
        <v>0</v>
      </c>
    </row>
    <row r="159" customFormat="false" ht="15" hidden="false" customHeight="true" outlineLevel="0" collapsed="false">
      <c r="B159" s="2899" t="str">
        <f aca="false">'Смета Внутр'!B159</f>
        <v>Винтовые сваи для крыльца</v>
      </c>
      <c r="C159" s="2899"/>
      <c r="D159" s="2899"/>
      <c r="H159" s="0" t="n">
        <f aca="false">'Смета Внутр'!G159</f>
        <v>0</v>
      </c>
      <c r="I159" s="0" t="n">
        <f aca="false">'Смета Внутр'!H159</f>
        <v>0</v>
      </c>
      <c r="J159" s="2893" t="n">
        <f aca="false">'Смета Внутр'!I159</f>
        <v>0</v>
      </c>
    </row>
    <row r="160" customFormat="false" ht="15" hidden="false" customHeight="true" outlineLevel="0" collapsed="false">
      <c r="B160" s="2881" t="str">
        <f aca="false">'Смета Внутр'!B160</f>
        <v>Материалы</v>
      </c>
      <c r="H160" s="0" t="n">
        <f aca="false">'Смета Внутр'!G160</f>
        <v>0</v>
      </c>
      <c r="I160" s="0" t="n">
        <f aca="false">'Смета Внутр'!H160</f>
        <v>0</v>
      </c>
      <c r="J160" s="2893" t="n">
        <f aca="false">'Смета Внутр'!I160</f>
        <v>0</v>
      </c>
    </row>
    <row r="161" customFormat="false" ht="15" hidden="false" customHeight="true" outlineLevel="0" collapsed="false">
      <c r="B161" s="2888" t="str">
        <f aca="false">'Смета Внутр'!B161</f>
        <v>пробное забуривание</v>
      </c>
      <c r="C161" s="2888" t="str">
        <f aca="false">'Смета Внутр'!C161</f>
        <v>шт</v>
      </c>
      <c r="D161" s="2897" t="n">
        <f aca="false">'Смета Внутр'!D161</f>
        <v>1</v>
      </c>
      <c r="E161" s="1004" t="n">
        <f aca="false">'Смета Внутр'!E161</f>
        <v>5000</v>
      </c>
      <c r="F161" s="1004" t="n">
        <f aca="false">'Смета Внутр'!F161</f>
        <v>0</v>
      </c>
      <c r="G161" s="2888" t="n">
        <f aca="false">IF(E161&gt;F161,E161,F161)</f>
        <v>5000</v>
      </c>
      <c r="H161" s="1004" t="n">
        <f aca="false">'Смета Внутр'!G161</f>
        <v>5000</v>
      </c>
      <c r="I161" s="1004" t="n">
        <f aca="false">'Смета Внутр'!H161</f>
        <v>0</v>
      </c>
      <c r="J161" s="2897" t="n">
        <f aca="false">'Смета Внутр'!I161</f>
        <v>0</v>
      </c>
    </row>
    <row r="162" customFormat="false" ht="15" hidden="false" customHeight="true" outlineLevel="0" collapsed="false">
      <c r="B162" s="2888" t="str">
        <f aca="false">'Смета Внутр'!B162</f>
        <v>89мм, 4,5м длина, 2 лопасть</v>
      </c>
      <c r="C162" s="2888" t="str">
        <f aca="false">'Смета Внутр'!C162</f>
        <v>шт</v>
      </c>
      <c r="D162" s="2897" t="n">
        <f aca="false">'Смета Внутр'!D162</f>
        <v>5</v>
      </c>
      <c r="E162" s="1004" t="n">
        <f aca="false">'Смета Внутр'!E162</f>
        <v>2760</v>
      </c>
      <c r="F162" s="1004" t="n">
        <f aca="false">'Смета Внутр'!F162</f>
        <v>0</v>
      </c>
      <c r="G162" s="2888" t="n">
        <f aca="false">IF(E162&gt;F162,E162,F162)</f>
        <v>2760</v>
      </c>
      <c r="H162" s="1004" t="n">
        <f aca="false">'Смета Внутр'!G162</f>
        <v>13800</v>
      </c>
      <c r="I162" s="1004" t="n">
        <f aca="false">'Смета Внутр'!H162</f>
        <v>0</v>
      </c>
      <c r="J162" s="2897" t="n">
        <f aca="false">'Смета Внутр'!I162</f>
        <v>0</v>
      </c>
    </row>
    <row r="163" customFormat="false" ht="15" hidden="false" customHeight="true" outlineLevel="0" collapsed="false">
      <c r="B163" s="2888" t="str">
        <f aca="false">'Смета Внутр'!B163</f>
        <v>Оголовкок для свай 200*200</v>
      </c>
      <c r="C163" s="2888" t="str">
        <f aca="false">'Смета Внутр'!C163</f>
        <v>шт</v>
      </c>
      <c r="D163" s="2897" t="n">
        <f aca="false">'Смета Внутр'!D163</f>
        <v>5</v>
      </c>
      <c r="E163" s="1004" t="n">
        <f aca="false">'Смета Внутр'!E163</f>
        <v>250</v>
      </c>
      <c r="F163" s="1004" t="n">
        <f aca="false">'Смета Внутр'!F163</f>
        <v>0</v>
      </c>
      <c r="G163" s="2888" t="n">
        <f aca="false">IF(E163&gt;F163,E163,F163)</f>
        <v>250</v>
      </c>
      <c r="H163" s="1004" t="n">
        <f aca="false">'Смета Внутр'!G163</f>
        <v>1250</v>
      </c>
      <c r="I163" s="1004" t="n">
        <f aca="false">'Смета Внутр'!H163</f>
        <v>0</v>
      </c>
      <c r="J163" s="2897" t="n">
        <f aca="false">'Смета Внутр'!I163</f>
        <v>0</v>
      </c>
    </row>
    <row r="164" customFormat="false" ht="15" hidden="false" customHeight="true" outlineLevel="0" collapsed="false">
      <c r="B164" s="2888" t="str">
        <f aca="false">'Смета Внутр'!B164</f>
        <v>обвязка металлом, 20/40/3000</v>
      </c>
      <c r="C164" s="2888" t="str">
        <f aca="false">'Смета Внутр'!C164</f>
        <v>м.п.</v>
      </c>
      <c r="D164" s="2897" t="n">
        <f aca="false">'Смета Внутр'!D164</f>
        <v>5</v>
      </c>
      <c r="E164" s="1004" t="n">
        <f aca="false">'Смета Внутр'!E164</f>
        <v>100</v>
      </c>
      <c r="F164" s="1004" t="n">
        <f aca="false">'Смета Внутр'!F164</f>
        <v>0</v>
      </c>
      <c r="G164" s="2888" t="n">
        <f aca="false">IF(E164&gt;F164,E164,F164)</f>
        <v>100</v>
      </c>
      <c r="H164" s="1004" t="n">
        <f aca="false">'Смета Внутр'!G164</f>
        <v>500</v>
      </c>
      <c r="I164" s="1004" t="n">
        <f aca="false">'Смета Внутр'!H164</f>
        <v>0</v>
      </c>
      <c r="J164" s="2897" t="n">
        <f aca="false">'Смета Внутр'!I164</f>
        <v>0</v>
      </c>
    </row>
    <row r="165" customFormat="false" ht="15" hidden="false" customHeight="true" outlineLevel="0" collapsed="false">
      <c r="B165" s="2888" t="str">
        <f aca="false">'Смета Внутр'!B165</f>
        <v>Раствор, м200</v>
      </c>
      <c r="C165" s="2888" t="str">
        <f aca="false">'Смета Внутр'!C165</f>
        <v>м3</v>
      </c>
      <c r="D165" s="2897" t="n">
        <f aca="false">'Смета Внутр'!D165</f>
        <v>0.22608</v>
      </c>
      <c r="E165" s="1004" t="n">
        <f aca="false">'Смета Внутр'!E165</f>
        <v>2100</v>
      </c>
      <c r="F165" s="1004" t="n">
        <f aca="false">'Смета Внутр'!F165</f>
        <v>0</v>
      </c>
      <c r="G165" s="2888" t="n">
        <f aca="false">IF(E165&gt;F165,E165,F165)</f>
        <v>2100</v>
      </c>
      <c r="H165" s="1004" t="n">
        <f aca="false">'Смета Внутр'!G165</f>
        <v>474.768</v>
      </c>
      <c r="I165" s="1004" t="n">
        <f aca="false">'Смета Внутр'!H165</f>
        <v>0</v>
      </c>
      <c r="J165" s="2897" t="n">
        <f aca="false">'Смета Внутр'!I165</f>
        <v>0</v>
      </c>
    </row>
    <row r="166" customFormat="false" ht="15" hidden="false" customHeight="true" outlineLevel="0" collapsed="false">
      <c r="B166" s="2888" t="str">
        <f aca="false">'Смета Внутр'!B166</f>
        <v>Электроды ок 47</v>
      </c>
      <c r="C166" s="2888" t="str">
        <f aca="false">'Смета Внутр'!C166</f>
        <v>шт</v>
      </c>
      <c r="D166" s="2897" t="n">
        <f aca="false">'Смета Внутр'!D166</f>
        <v>5</v>
      </c>
      <c r="E166" s="1004" t="n">
        <f aca="false">'Смета Внутр'!E166</f>
        <v>10</v>
      </c>
      <c r="F166" s="1004" t="n">
        <f aca="false">'Смета Внутр'!F166</f>
        <v>0</v>
      </c>
      <c r="G166" s="2888" t="n">
        <f aca="false">IF(E166&gt;F166,E166,F166)</f>
        <v>10</v>
      </c>
      <c r="H166" s="1004" t="n">
        <f aca="false">'Смета Внутр'!G166</f>
        <v>50</v>
      </c>
      <c r="I166" s="1004" t="n">
        <f aca="false">'Смета Внутр'!H166</f>
        <v>0</v>
      </c>
      <c r="J166" s="2897" t="n">
        <f aca="false">'Смета Внутр'!I166</f>
        <v>0</v>
      </c>
    </row>
    <row r="167" customFormat="false" ht="14.5" hidden="false" customHeight="false" outlineLevel="0" collapsed="false">
      <c r="B167" s="2896" t="str">
        <f aca="false">'Смета Внутр'!B167</f>
        <v>Итого материалы</v>
      </c>
      <c r="C167" s="2896"/>
      <c r="D167" s="2896"/>
      <c r="E167" s="2896"/>
      <c r="F167" s="2896"/>
      <c r="G167" s="2896"/>
      <c r="H167" s="1004" t="n">
        <f aca="false">'Смета Внутр'!G167</f>
        <v>0</v>
      </c>
      <c r="I167" s="1004" t="n">
        <f aca="false">'Смета Внутр'!H167</f>
        <v>0</v>
      </c>
      <c r="J167" s="2897" t="n">
        <f aca="false">'Смета Внутр'!I167</f>
        <v>0</v>
      </c>
    </row>
    <row r="168" customFormat="false" ht="15" hidden="false" customHeight="true" outlineLevel="0" collapsed="false">
      <c r="B168" s="2881" t="str">
        <f aca="false">'Смета Внутр'!B168</f>
        <v>Работы</v>
      </c>
      <c r="H168" s="0" t="n">
        <f aca="false">'Смета Внутр'!G168</f>
        <v>0</v>
      </c>
      <c r="I168" s="0" t="n">
        <f aca="false">'Смета Внутр'!H168</f>
        <v>0</v>
      </c>
      <c r="J168" s="2893" t="n">
        <f aca="false">'Смета Внутр'!I168</f>
        <v>0</v>
      </c>
    </row>
    <row r="169" customFormat="false" ht="15" hidden="false" customHeight="true" outlineLevel="0" collapsed="false">
      <c r="B169" s="2888" t="str">
        <f aca="false">'Смета Внутр'!B169</f>
        <v>разбивка осей</v>
      </c>
      <c r="C169" s="2888" t="str">
        <f aca="false">'Смета Внутр'!C169</f>
        <v>шт</v>
      </c>
      <c r="D169" s="2897" t="n">
        <f aca="false">'Смета Внутр'!D169</f>
        <v>1</v>
      </c>
      <c r="E169" s="1004" t="n">
        <f aca="false">'Смета Внутр'!E169</f>
        <v>7000</v>
      </c>
      <c r="F169" s="1004" t="n">
        <f aca="false">'Смета Внутр'!F169</f>
        <v>0</v>
      </c>
      <c r="G169" s="2888" t="n">
        <f aca="false">IF(E169&gt;F169,E169,F169)</f>
        <v>7000</v>
      </c>
      <c r="H169" s="1004" t="n">
        <f aca="false">'Смета Внутр'!G169</f>
        <v>7000</v>
      </c>
      <c r="I169" s="1004" t="n">
        <f aca="false">'Смета Внутр'!H169</f>
        <v>0</v>
      </c>
      <c r="J169" s="2897" t="n">
        <f aca="false">'Смета Внутр'!I169</f>
        <v>0</v>
      </c>
    </row>
    <row r="170" customFormat="false" ht="15" hidden="false" customHeight="true" outlineLevel="0" collapsed="false">
      <c r="B170" s="2888" t="str">
        <f aca="false">'Смета Внутр'!B170</f>
        <v>монтаж свай гидравликой</v>
      </c>
      <c r="C170" s="2888" t="str">
        <f aca="false">'Смета Внутр'!C170</f>
        <v>шт</v>
      </c>
      <c r="D170" s="2897" t="n">
        <f aca="false">'Смета Внутр'!D170</f>
        <v>5</v>
      </c>
      <c r="E170" s="1004" t="n">
        <f aca="false">'Смета Внутр'!E170</f>
        <v>1000</v>
      </c>
      <c r="F170" s="1004" t="n">
        <f aca="false">'Смета Внутр'!F170</f>
        <v>0</v>
      </c>
      <c r="G170" s="2888" t="n">
        <f aca="false">IF(E170&gt;F170,E170,F170)</f>
        <v>1000</v>
      </c>
      <c r="H170" s="1004" t="n">
        <f aca="false">'Смета Внутр'!G170</f>
        <v>5000</v>
      </c>
      <c r="I170" s="1004" t="n">
        <f aca="false">'Смета Внутр'!H170</f>
        <v>0</v>
      </c>
      <c r="J170" s="2897" t="n">
        <f aca="false">'Смета Внутр'!I170</f>
        <v>0</v>
      </c>
    </row>
    <row r="171" customFormat="false" ht="15" hidden="false" customHeight="true" outlineLevel="0" collapsed="false">
      <c r="B171" s="2888" t="str">
        <f aca="false">'Смета Внутр'!B171</f>
        <v>монтаж оголовков</v>
      </c>
      <c r="C171" s="2888" t="str">
        <f aca="false">'Смета Внутр'!C171</f>
        <v>шт</v>
      </c>
      <c r="D171" s="2897" t="n">
        <f aca="false">'Смета Внутр'!D171</f>
        <v>5</v>
      </c>
      <c r="E171" s="1004" t="n">
        <f aca="false">'Смета Внутр'!E171</f>
        <v>100</v>
      </c>
      <c r="F171" s="1004" t="n">
        <f aca="false">'Смета Внутр'!F171</f>
        <v>0</v>
      </c>
      <c r="G171" s="2888" t="n">
        <f aca="false">IF(E171&gt;F171,E171,F171)</f>
        <v>100</v>
      </c>
      <c r="H171" s="1004" t="n">
        <f aca="false">'Смета Внутр'!G171</f>
        <v>500</v>
      </c>
      <c r="I171" s="1004" t="n">
        <f aca="false">'Смета Внутр'!H171</f>
        <v>0</v>
      </c>
      <c r="J171" s="2897" t="n">
        <f aca="false">'Смета Внутр'!I171</f>
        <v>0</v>
      </c>
    </row>
    <row r="172" customFormat="false" ht="15" hidden="false" customHeight="true" outlineLevel="0" collapsed="false">
      <c r="B172" s="2888" t="str">
        <f aca="false">'Смета Внутр'!B172</f>
        <v>обвязка металлом</v>
      </c>
      <c r="C172" s="2888" t="str">
        <f aca="false">'Смета Внутр'!C172</f>
        <v>м.п.</v>
      </c>
      <c r="D172" s="2897" t="n">
        <f aca="false">'Смета Внутр'!D172</f>
        <v>5</v>
      </c>
      <c r="E172" s="1004" t="n">
        <f aca="false">'Смета Внутр'!E172</f>
        <v>100</v>
      </c>
      <c r="F172" s="1004" t="n">
        <f aca="false">'Смета Внутр'!F172</f>
        <v>0</v>
      </c>
      <c r="G172" s="2888" t="n">
        <f aca="false">IF(E172&gt;F172,E172,F172)</f>
        <v>100</v>
      </c>
      <c r="H172" s="1004" t="n">
        <f aca="false">'Смета Внутр'!G172</f>
        <v>500</v>
      </c>
      <c r="I172" s="1004" t="n">
        <f aca="false">'Смета Внутр'!H172</f>
        <v>0</v>
      </c>
      <c r="J172" s="2897" t="n">
        <f aca="false">'Смета Внутр'!I172</f>
        <v>0</v>
      </c>
    </row>
    <row r="173" customFormat="false" ht="15" hidden="false" customHeight="true" outlineLevel="0" collapsed="false">
      <c r="B173" s="2888" t="str">
        <f aca="false">'Смета Внутр'!B173</f>
        <v>заливка бетоном</v>
      </c>
      <c r="C173" s="2888" t="str">
        <f aca="false">'Смета Внутр'!C173</f>
        <v>шт</v>
      </c>
      <c r="D173" s="2897" t="n">
        <f aca="false">'Смета Внутр'!D173</f>
        <v>5</v>
      </c>
      <c r="E173" s="1004" t="n">
        <f aca="false">'Смета Внутр'!E173</f>
        <v>200</v>
      </c>
      <c r="F173" s="1004" t="n">
        <f aca="false">'Смета Внутр'!F173</f>
        <v>0</v>
      </c>
      <c r="G173" s="2888" t="n">
        <f aca="false">IF(E173&gt;F173,E173,F173)</f>
        <v>200</v>
      </c>
      <c r="H173" s="1004" t="n">
        <f aca="false">'Смета Внутр'!G173</f>
        <v>1000</v>
      </c>
      <c r="I173" s="1004" t="n">
        <f aca="false">'Смета Внутр'!H173</f>
        <v>0</v>
      </c>
      <c r="J173" s="2897" t="n">
        <f aca="false">'Смета Внутр'!I173</f>
        <v>0</v>
      </c>
    </row>
    <row r="174" customFormat="false" ht="15" hidden="false" customHeight="true" outlineLevel="0" collapsed="false">
      <c r="B174" s="2888" t="str">
        <f aca="false">'Смета Внутр'!B174</f>
        <v>Обрезка винтовых свай по невелиру</v>
      </c>
      <c r="C174" s="2888" t="str">
        <f aca="false">'Смета Внутр'!C174</f>
        <v>шт</v>
      </c>
      <c r="D174" s="2897" t="n">
        <f aca="false">'Смета Внутр'!D174</f>
        <v>5</v>
      </c>
      <c r="E174" s="1004" t="n">
        <f aca="false">'Смета Внутр'!E174</f>
        <v>200</v>
      </c>
      <c r="F174" s="1004" t="n">
        <f aca="false">'Смета Внутр'!F174</f>
        <v>0</v>
      </c>
      <c r="G174" s="2888" t="n">
        <f aca="false">IF(E174&gt;F174,E174,F174)</f>
        <v>200</v>
      </c>
      <c r="H174" s="1004" t="n">
        <f aca="false">'Смета Внутр'!G174</f>
        <v>1000</v>
      </c>
      <c r="I174" s="1004" t="n">
        <f aca="false">'Смета Внутр'!H174</f>
        <v>0</v>
      </c>
      <c r="J174" s="2897" t="n">
        <f aca="false">'Смета Внутр'!I174</f>
        <v>0</v>
      </c>
    </row>
    <row r="175" customFormat="false" ht="15" hidden="false" customHeight="true" outlineLevel="0" collapsed="false">
      <c r="B175" s="2888" t="str">
        <f aca="false">'Смета Внутр'!B175</f>
        <v>Наварка оголовка</v>
      </c>
      <c r="C175" s="2888" t="str">
        <f aca="false">'Смета Внутр'!C175</f>
        <v>шт</v>
      </c>
      <c r="D175" s="2897" t="n">
        <f aca="false">'Смета Внутр'!D175</f>
        <v>5</v>
      </c>
      <c r="E175" s="1004" t="n">
        <f aca="false">'Смета Внутр'!E175</f>
        <v>250</v>
      </c>
      <c r="F175" s="1004" t="n">
        <f aca="false">'Смета Внутр'!F175</f>
        <v>0</v>
      </c>
      <c r="G175" s="2888" t="n">
        <f aca="false">IF(E175&gt;F175,E175,F175)</f>
        <v>250</v>
      </c>
      <c r="H175" s="1004" t="n">
        <f aca="false">'Смета Внутр'!G175</f>
        <v>1250</v>
      </c>
      <c r="I175" s="1004" t="n">
        <f aca="false">'Смета Внутр'!H175</f>
        <v>0</v>
      </c>
      <c r="J175" s="2897" t="n">
        <f aca="false">'Смета Внутр'!I175</f>
        <v>0</v>
      </c>
    </row>
    <row r="176" customFormat="false" ht="15" hidden="false" customHeight="true" outlineLevel="0" collapsed="false">
      <c r="B176" s="2896" t="str">
        <f aca="false">'Смета Внутр'!B176</f>
        <v>Итого работы</v>
      </c>
      <c r="C176" s="2896"/>
      <c r="D176" s="2896"/>
      <c r="E176" s="2896"/>
      <c r="F176" s="2896"/>
      <c r="G176" s="2896"/>
      <c r="H176" s="1004" t="n">
        <f aca="false">'Смета Внутр'!G176</f>
        <v>0</v>
      </c>
      <c r="I176" s="1004" t="n">
        <f aca="false">'Смета Внутр'!H176</f>
        <v>0</v>
      </c>
      <c r="J176" s="2897" t="n">
        <f aca="false">'Смета Внутр'!I176</f>
        <v>0</v>
      </c>
    </row>
    <row r="177" customFormat="false" ht="15" hidden="false" customHeight="true" outlineLevel="0" collapsed="false">
      <c r="B177" s="2899" t="str">
        <f aca="false">'Смета Внутр'!B177</f>
        <v>Ленточный фундамент</v>
      </c>
      <c r="C177" s="2899"/>
      <c r="D177" s="2899"/>
      <c r="H177" s="0" t="n">
        <f aca="false">'Смета Внутр'!G177</f>
        <v>0</v>
      </c>
      <c r="I177" s="0" t="n">
        <f aca="false">'Смета Внутр'!H177</f>
        <v>0</v>
      </c>
      <c r="J177" s="2893" t="n">
        <f aca="false">'Смета Внутр'!I177</f>
        <v>0</v>
      </c>
    </row>
    <row r="178" customFormat="false" ht="15" hidden="false" customHeight="true" outlineLevel="0" collapsed="false">
      <c r="B178" s="2881" t="str">
        <f aca="false">'Смета Внутр'!B178</f>
        <v>Материалы</v>
      </c>
      <c r="H178" s="0" t="n">
        <f aca="false">'Смета Внутр'!G178</f>
        <v>0</v>
      </c>
      <c r="I178" s="0" t="n">
        <f aca="false">'Смета Внутр'!H178</f>
        <v>0</v>
      </c>
      <c r="J178" s="2893" t="n">
        <f aca="false">'Смета Внутр'!I178</f>
        <v>0</v>
      </c>
    </row>
    <row r="179" customFormat="false" ht="15" hidden="false" customHeight="true" outlineLevel="0" collapsed="false">
      <c r="B179" s="2888" t="str">
        <f aca="false">'Смета Внутр'!B179</f>
        <v>Сосна влаж,150*40мм</v>
      </c>
      <c r="C179" s="2888" t="str">
        <f aca="false">'Смета Внутр'!C179</f>
        <v>м3</v>
      </c>
      <c r="D179" s="2897" t="n">
        <f aca="false">'Смета Внутр'!D179</f>
        <v>3.84384</v>
      </c>
      <c r="E179" s="1004" t="n">
        <f aca="false">'Смета Внутр'!E179</f>
        <v>6500</v>
      </c>
      <c r="F179" s="1004" t="n">
        <f aca="false">'Смета Внутр'!F179</f>
        <v>0</v>
      </c>
      <c r="G179" s="2888" t="n">
        <f aca="false">IF(E179&gt;F179,E179,F179)</f>
        <v>6500</v>
      </c>
      <c r="H179" s="1004" t="n">
        <f aca="false">'Смета Внутр'!G179</f>
        <v>24984.96</v>
      </c>
      <c r="I179" s="1004" t="n">
        <f aca="false">'Смета Внутр'!H179</f>
        <v>0</v>
      </c>
      <c r="J179" s="2897" t="n">
        <f aca="false">'Смета Внутр'!I179</f>
        <v>0</v>
      </c>
    </row>
    <row r="180" customFormat="false" ht="15" hidden="false" customHeight="true" outlineLevel="0" collapsed="false">
      <c r="B180" s="2888" t="str">
        <f aca="false">'Смета Внутр'!B180</f>
        <v>Пленка гидроизоляционная</v>
      </c>
      <c r="C180" s="2888" t="str">
        <f aca="false">'Смета Внутр'!C180</f>
        <v>м2</v>
      </c>
      <c r="D180" s="2897" t="n">
        <f aca="false">'Смета Внутр'!D180</f>
        <v>96.096</v>
      </c>
      <c r="E180" s="1004" t="n">
        <f aca="false">'Смета Внутр'!E180</f>
        <v>15</v>
      </c>
      <c r="F180" s="1004" t="n">
        <f aca="false">'Смета Внутр'!F180</f>
        <v>0</v>
      </c>
      <c r="G180" s="2888" t="n">
        <f aca="false">IF(E180&gt;F180,E180,F180)</f>
        <v>15</v>
      </c>
      <c r="H180" s="1004" t="n">
        <f aca="false">'Смета Внутр'!G180</f>
        <v>1441.44</v>
      </c>
      <c r="I180" s="1004" t="n">
        <f aca="false">'Смета Внутр'!H180</f>
        <v>0</v>
      </c>
      <c r="J180" s="2897" t="n">
        <f aca="false">'Смета Внутр'!I180</f>
        <v>0</v>
      </c>
    </row>
    <row r="181" customFormat="false" ht="15" hidden="false" customHeight="true" outlineLevel="0" collapsed="false">
      <c r="B181" s="2888" t="str">
        <f aca="false">'Смета Внутр'!B181</f>
        <v>Арматура стальная Ø 8</v>
      </c>
      <c r="C181" s="2888" t="str">
        <f aca="false">'Смета Внутр'!C181</f>
        <v>м.п</v>
      </c>
      <c r="D181" s="2897" t="n">
        <f aca="false">'Смета Внутр'!D181</f>
        <v>443.52</v>
      </c>
      <c r="E181" s="1004" t="n">
        <f aca="false">'Смета Внутр'!E181</f>
        <v>16.037</v>
      </c>
      <c r="F181" s="1004" t="n">
        <f aca="false">'Смета Внутр'!F181</f>
        <v>0</v>
      </c>
      <c r="G181" s="2888" t="n">
        <f aca="false">IF(E181&gt;F181,E181,F181)</f>
        <v>16.037</v>
      </c>
      <c r="H181" s="1004" t="n">
        <f aca="false">'Смета Внутр'!G181</f>
        <v>7112.73024</v>
      </c>
      <c r="I181" s="1004" t="n">
        <f aca="false">'Смета Внутр'!H181</f>
        <v>0</v>
      </c>
      <c r="J181" s="2897" t="n">
        <f aca="false">'Смета Внутр'!I181</f>
        <v>0</v>
      </c>
    </row>
    <row r="182" customFormat="false" ht="15" hidden="false" customHeight="true" outlineLevel="0" collapsed="false">
      <c r="B182" s="2888" t="str">
        <f aca="false">'Смета Внутр'!B182</f>
        <v>Арматура стальная Ø 6</v>
      </c>
      <c r="C182" s="2888" t="str">
        <f aca="false">'Смета Внутр'!C182</f>
        <v>м.п</v>
      </c>
      <c r="D182" s="2897" t="n">
        <f aca="false">'Смета Внутр'!D182</f>
        <v>304.92</v>
      </c>
      <c r="E182" s="1004" t="n">
        <f aca="false">'Смета Внутр'!E182</f>
        <v>9.0132</v>
      </c>
      <c r="F182" s="1004" t="n">
        <f aca="false">'Смета Внутр'!F182</f>
        <v>0</v>
      </c>
      <c r="G182" s="2888" t="n">
        <f aca="false">IF(E182&gt;F182,E182,F182)</f>
        <v>9.0132</v>
      </c>
      <c r="H182" s="1004" t="n">
        <f aca="false">'Смета Внутр'!G182</f>
        <v>2748.304944</v>
      </c>
      <c r="I182" s="1004" t="n">
        <f aca="false">'Смета Внутр'!H182</f>
        <v>0</v>
      </c>
      <c r="J182" s="2897" t="n">
        <f aca="false">'Смета Внутр'!I182</f>
        <v>0</v>
      </c>
    </row>
    <row r="183" customFormat="false" ht="15" hidden="false" customHeight="true" outlineLevel="0" collapsed="false">
      <c r="B183" s="2888" t="str">
        <f aca="false">'Смета Внутр'!B183</f>
        <v>Вязальная проволока</v>
      </c>
      <c r="C183" s="2888" t="str">
        <f aca="false">'Смета Внутр'!C183</f>
        <v>кг</v>
      </c>
      <c r="D183" s="2897" t="n">
        <f aca="false">'Смета Внутр'!D183</f>
        <v>16.46568</v>
      </c>
      <c r="E183" s="1004" t="n">
        <f aca="false">'Смета Внутр'!E183</f>
        <v>80</v>
      </c>
      <c r="F183" s="1004" t="n">
        <f aca="false">'Смета Внутр'!F183</f>
        <v>0</v>
      </c>
      <c r="G183" s="2888" t="n">
        <f aca="false">IF(E183&gt;F183,E183,F183)</f>
        <v>80</v>
      </c>
      <c r="H183" s="1004" t="n">
        <f aca="false">'Смета Внутр'!G183</f>
        <v>1317.2544</v>
      </c>
      <c r="I183" s="1004" t="n">
        <f aca="false">'Смета Внутр'!H183</f>
        <v>0</v>
      </c>
      <c r="J183" s="2897" t="n">
        <f aca="false">'Смета Внутр'!I183</f>
        <v>0</v>
      </c>
    </row>
    <row r="184" customFormat="false" ht="15" hidden="false" customHeight="true" outlineLevel="0" collapsed="false">
      <c r="B184" s="2888" t="str">
        <f aca="false">'Смета Внутр'!B184</f>
        <v>Гвозди строительные 3,5 x 90</v>
      </c>
      <c r="C184" s="2888" t="str">
        <f aca="false">'Смета Внутр'!C184</f>
        <v>кг</v>
      </c>
      <c r="D184" s="2897" t="n">
        <f aca="false">'Смета Внутр'!D184</f>
        <v>21.14112</v>
      </c>
      <c r="E184" s="1004" t="n">
        <f aca="false">'Смета Внутр'!E184</f>
        <v>70</v>
      </c>
      <c r="F184" s="1004" t="n">
        <f aca="false">'Смета Внутр'!F184</f>
        <v>0</v>
      </c>
      <c r="G184" s="2888" t="n">
        <f aca="false">IF(E184&gt;F184,E184,F184)</f>
        <v>70</v>
      </c>
      <c r="H184" s="1004" t="n">
        <f aca="false">'Смета Внутр'!G184</f>
        <v>1479.8784</v>
      </c>
      <c r="I184" s="1004" t="n">
        <f aca="false">'Смета Внутр'!H184</f>
        <v>0</v>
      </c>
      <c r="J184" s="2897" t="n">
        <f aca="false">'Смета Внутр'!I184</f>
        <v>0</v>
      </c>
    </row>
    <row r="185" customFormat="false" ht="15" hidden="false" customHeight="true" outlineLevel="0" collapsed="false">
      <c r="B185" s="2888" t="str">
        <f aca="false">'Смета Внутр'!B185</f>
        <v>Гидроизол</v>
      </c>
      <c r="C185" s="2888" t="str">
        <f aca="false">'Смета Внутр'!C185</f>
        <v>м2</v>
      </c>
      <c r="D185" s="2897" t="n">
        <f aca="false">'Смета Внутр'!D185</f>
        <v>18.48</v>
      </c>
      <c r="E185" s="1004" t="n">
        <f aca="false">'Смета Внутр'!E185</f>
        <v>70</v>
      </c>
      <c r="F185" s="1004" t="n">
        <f aca="false">'Смета Внутр'!F185</f>
        <v>0</v>
      </c>
      <c r="G185" s="2888" t="n">
        <f aca="false">IF(E185&gt;F185,E185,F185)</f>
        <v>70</v>
      </c>
      <c r="H185" s="1004" t="n">
        <f aca="false">'Смета Внутр'!G185</f>
        <v>1293.6</v>
      </c>
      <c r="I185" s="1004" t="n">
        <f aca="false">'Смета Внутр'!H185</f>
        <v>0</v>
      </c>
      <c r="J185" s="2897" t="n">
        <f aca="false">'Смета Внутр'!I185</f>
        <v>0</v>
      </c>
    </row>
    <row r="186" customFormat="false" ht="15" hidden="false" customHeight="true" outlineLevel="0" collapsed="false">
      <c r="B186" s="2888" t="str">
        <f aca="false">'Смета Внутр'!B186</f>
        <v>ПГС, машина 13м3</v>
      </c>
      <c r="C186" s="2888" t="str">
        <f aca="false">'Смета Внутр'!C186</f>
        <v>маш</v>
      </c>
      <c r="D186" s="2897" t="n">
        <f aca="false">'Смета Внутр'!D186</f>
        <v>0.616</v>
      </c>
      <c r="E186" s="1004" t="n">
        <f aca="false">'Смета Внутр'!E186</f>
        <v>10000</v>
      </c>
      <c r="F186" s="1004" t="n">
        <f aca="false">'Смета Внутр'!F186</f>
        <v>0</v>
      </c>
      <c r="G186" s="2888" t="n">
        <f aca="false">IF(E186&gt;F186,E186,F186)</f>
        <v>10000</v>
      </c>
      <c r="H186" s="1004" t="n">
        <f aca="false">'Смета Внутр'!G186</f>
        <v>6160</v>
      </c>
      <c r="I186" s="1004" t="n">
        <f aca="false">'Смета Внутр'!H186</f>
        <v>0</v>
      </c>
      <c r="J186" s="2897" t="n">
        <f aca="false">'Смета Внутр'!I186</f>
        <v>0</v>
      </c>
    </row>
    <row r="187" customFormat="false" ht="15" hidden="false" customHeight="true" outlineLevel="0" collapsed="false">
      <c r="B187" s="2888" t="str">
        <f aca="false">'Смета Внутр'!B187</f>
        <v>Бетон, м250</v>
      </c>
      <c r="C187" s="2888" t="str">
        <f aca="false">'Смета Внутр'!C187</f>
        <v>м3</v>
      </c>
      <c r="D187" s="2897" t="n">
        <f aca="false">'Смета Внутр'!D187</f>
        <v>11.088</v>
      </c>
      <c r="E187" s="1004" t="n">
        <f aca="false">'Смета Внутр'!E187</f>
        <v>2750</v>
      </c>
      <c r="F187" s="1004" t="n">
        <f aca="false">'Смета Внутр'!F187</f>
        <v>0</v>
      </c>
      <c r="G187" s="2888" t="n">
        <f aca="false">IF(E187&gt;F187,E187,F187)</f>
        <v>2750</v>
      </c>
      <c r="H187" s="1004" t="n">
        <f aca="false">'Смета Внутр'!G187</f>
        <v>30492</v>
      </c>
      <c r="I187" s="1004" t="n">
        <f aca="false">'Смета Внутр'!H187</f>
        <v>0</v>
      </c>
      <c r="J187" s="2897" t="n">
        <f aca="false">'Смета Внутр'!I187</f>
        <v>0</v>
      </c>
    </row>
    <row r="188" customFormat="false" ht="15" hidden="false" customHeight="true" outlineLevel="0" collapsed="false">
      <c r="B188" s="1004" t="str">
        <f aca="false">'Смета Внутр'!B188</f>
        <v>Нет</v>
      </c>
      <c r="C188" s="1004" t="str">
        <f aca="false">'Смета Внутр'!C188</f>
        <v>м3</v>
      </c>
      <c r="D188" s="1018" t="n">
        <f aca="false">'Смета Внутр'!D188</f>
        <v>0</v>
      </c>
      <c r="E188" s="1004" t="n">
        <f aca="false">'Смета Внутр'!E188</f>
        <v>0</v>
      </c>
      <c r="F188" s="1004" t="n">
        <f aca="false">'Смета Внутр'!F188</f>
        <v>0</v>
      </c>
      <c r="G188" s="1004" t="n">
        <f aca="false">IF(E188&gt;F188,E188,F188)</f>
        <v>0</v>
      </c>
      <c r="H188" s="1004" t="n">
        <f aca="false">'Смета Внутр'!G188</f>
        <v>0</v>
      </c>
      <c r="I188" s="1004" t="n">
        <f aca="false">'Смета Внутр'!H188</f>
        <v>0</v>
      </c>
      <c r="J188" s="1018" t="n">
        <f aca="false">'Смета Внутр'!I188</f>
        <v>0</v>
      </c>
    </row>
    <row r="189" customFormat="false" ht="15" hidden="false" customHeight="true" outlineLevel="0" collapsed="false">
      <c r="B189" s="1004" t="str">
        <f aca="false">'Смета Внутр'!B189</f>
        <v>Грибок для крепления утеплителя</v>
      </c>
      <c r="C189" s="1004" t="str">
        <f aca="false">'Смета Внутр'!C189</f>
        <v>шт</v>
      </c>
      <c r="D189" s="1018" t="n">
        <f aca="false">'Смета Внутр'!D189</f>
        <v>0</v>
      </c>
      <c r="E189" s="1004" t="n">
        <f aca="false">'Смета Внутр'!E189</f>
        <v>15</v>
      </c>
      <c r="F189" s="1004" t="n">
        <f aca="false">'Смета Внутр'!F189</f>
        <v>0</v>
      </c>
      <c r="G189" s="1004" t="n">
        <f aca="false">IF(E189&gt;F189,E189,F189)</f>
        <v>15</v>
      </c>
      <c r="H189" s="1004" t="n">
        <f aca="false">'Смета Внутр'!G189</f>
        <v>0</v>
      </c>
      <c r="I189" s="1004" t="n">
        <f aca="false">'Смета Внутр'!H189</f>
        <v>0</v>
      </c>
      <c r="J189" s="1018" t="n">
        <f aca="false">'Смета Внутр'!I189</f>
        <v>0</v>
      </c>
    </row>
    <row r="190" customFormat="false" ht="15" hidden="false" customHeight="true" outlineLevel="0" collapsed="false">
      <c r="B190" s="1004" t="str">
        <f aca="false">'Смета Внутр'!B190</f>
        <v>Нет</v>
      </c>
      <c r="C190" s="1004" t="str">
        <f aca="false">'Смета Внутр'!C190</f>
        <v>м3</v>
      </c>
      <c r="D190" s="1018" t="n">
        <f aca="false">'Смета Внутр'!D190</f>
        <v>0</v>
      </c>
      <c r="E190" s="1004" t="n">
        <f aca="false">'Смета Внутр'!E190</f>
        <v>0</v>
      </c>
      <c r="F190" s="1004" t="n">
        <f aca="false">'Смета Внутр'!F190</f>
        <v>0</v>
      </c>
      <c r="G190" s="1004" t="n">
        <f aca="false">IF(E190&gt;F190,E190,F190)</f>
        <v>0</v>
      </c>
      <c r="H190" s="1004" t="n">
        <f aca="false">'Смета Внутр'!G190</f>
        <v>0</v>
      </c>
      <c r="I190" s="1004" t="n">
        <f aca="false">'Смета Внутр'!H190</f>
        <v>0</v>
      </c>
      <c r="J190" s="1018" t="n">
        <f aca="false">'Смета Внутр'!I190</f>
        <v>0</v>
      </c>
    </row>
    <row r="191" customFormat="false" ht="15" hidden="false" customHeight="true" outlineLevel="0" collapsed="false">
      <c r="B191" s="1004" t="str">
        <f aca="false">'Смета Внутр'!B191</f>
        <v>ПГС, машина 5м3</v>
      </c>
      <c r="C191" s="1004" t="str">
        <f aca="false">'Смета Внутр'!C191</f>
        <v>маш</v>
      </c>
      <c r="D191" s="1018" t="n">
        <f aca="false">'Смета Внутр'!D191</f>
        <v>0</v>
      </c>
      <c r="E191" s="1004" t="n">
        <f aca="false">'Смета Внутр'!E191</f>
        <v>6000</v>
      </c>
      <c r="F191" s="1004" t="n">
        <f aca="false">'Смета Внутр'!F191</f>
        <v>0</v>
      </c>
      <c r="G191" s="1004" t="n">
        <f aca="false">IF(E191&gt;F191,E191,F191)</f>
        <v>6000</v>
      </c>
      <c r="H191" s="1004" t="n">
        <f aca="false">'Смета Внутр'!G191</f>
        <v>0</v>
      </c>
      <c r="I191" s="1004" t="n">
        <f aca="false">'Смета Внутр'!H191</f>
        <v>0</v>
      </c>
      <c r="J191" s="1018" t="n">
        <f aca="false">'Смета Внутр'!I191</f>
        <v>0</v>
      </c>
    </row>
    <row r="192" customFormat="false" ht="15" hidden="false" customHeight="true" outlineLevel="0" collapsed="false">
      <c r="B192" s="1004" t="str">
        <f aca="false">'Смета Внутр'!B192</f>
        <v>Кладочная сетка, 100*100/150*150/200*200мм</v>
      </c>
      <c r="C192" s="1004" t="str">
        <f aca="false">'Смета Внутр'!C192</f>
        <v>м2</v>
      </c>
      <c r="D192" s="1018" t="n">
        <f aca="false">'Смета Внутр'!D192</f>
        <v>0</v>
      </c>
      <c r="E192" s="1004" t="n">
        <f aca="false">'Смета Внутр'!E192</f>
        <v>70</v>
      </c>
      <c r="F192" s="1004" t="n">
        <f aca="false">'Смета Внутр'!F192</f>
        <v>0</v>
      </c>
      <c r="G192" s="1004" t="n">
        <f aca="false">IF(E192&gt;F192,E192,F192)</f>
        <v>70</v>
      </c>
      <c r="H192" s="1004" t="n">
        <f aca="false">'Смета Внутр'!G192</f>
        <v>0</v>
      </c>
      <c r="I192" s="1004" t="n">
        <f aca="false">'Смета Внутр'!H192</f>
        <v>0</v>
      </c>
      <c r="J192" s="1018" t="n">
        <f aca="false">'Смета Внутр'!I192</f>
        <v>0</v>
      </c>
    </row>
    <row r="193" customFormat="false" ht="15" hidden="false" customHeight="true" outlineLevel="0" collapsed="false">
      <c r="B193" s="1004" t="str">
        <f aca="false">'Смета Внутр'!B193</f>
        <v>Бетон, м200</v>
      </c>
      <c r="C193" s="1004" t="str">
        <f aca="false">'Смета Внутр'!C193</f>
        <v>м3</v>
      </c>
      <c r="D193" s="1018" t="n">
        <f aca="false">'Смета Внутр'!D193</f>
        <v>0</v>
      </c>
      <c r="E193" s="1004" t="n">
        <f aca="false">'Смета Внутр'!E193</f>
        <v>2500</v>
      </c>
      <c r="F193" s="1004" t="n">
        <f aca="false">'Смета Внутр'!F193</f>
        <v>0</v>
      </c>
      <c r="G193" s="1004" t="n">
        <f aca="false">IF(E193&gt;F193,E193,F193)</f>
        <v>2500</v>
      </c>
      <c r="H193" s="1004" t="n">
        <f aca="false">'Смета Внутр'!G193</f>
        <v>0</v>
      </c>
      <c r="I193" s="1004" t="n">
        <f aca="false">'Смета Внутр'!H193</f>
        <v>0</v>
      </c>
      <c r="J193" s="1018" t="n">
        <f aca="false">'Смета Внутр'!I193</f>
        <v>0</v>
      </c>
    </row>
    <row r="194" customFormat="false" ht="15" hidden="false" customHeight="true" outlineLevel="0" collapsed="false">
      <c r="B194" s="1004" t="str">
        <f aca="false">'Смета Внутр'!B194</f>
        <v>Труба теплого пола 3</v>
      </c>
      <c r="C194" s="1004" t="str">
        <f aca="false">'Смета Внутр'!C194</f>
        <v>м.п</v>
      </c>
      <c r="D194" s="1018" t="n">
        <f aca="false">'Смета Внутр'!D194</f>
        <v>308</v>
      </c>
      <c r="E194" s="1004"/>
      <c r="F194" s="1004"/>
      <c r="G194" s="1004" t="n">
        <f aca="false">IF(E194&gt;F194,E194,F194)</f>
        <v>0</v>
      </c>
      <c r="H194" s="1004"/>
      <c r="I194" s="1004"/>
      <c r="J194" s="1018" t="n">
        <f aca="false">'Смета Внутр'!I194</f>
        <v>0</v>
      </c>
    </row>
    <row r="195" customFormat="false" ht="15" hidden="false" customHeight="true" outlineLevel="0" collapsed="false">
      <c r="B195" s="1004" t="str">
        <f aca="false">'Смета Внутр'!B195</f>
        <v>Коллектор 1</v>
      </c>
      <c r="C195" s="1004" t="str">
        <f aca="false">'Смета Внутр'!C195</f>
        <v>шт</v>
      </c>
      <c r="D195" s="1018" t="n">
        <f aca="false">'Смета Внутр'!D195</f>
        <v>1.1</v>
      </c>
      <c r="E195" s="1004"/>
      <c r="F195" s="1004"/>
      <c r="G195" s="1004" t="n">
        <f aca="false">IF(E195&gt;F195,E195,F195)</f>
        <v>0</v>
      </c>
      <c r="H195" s="1004"/>
      <c r="I195" s="1004"/>
      <c r="J195" s="1018" t="n">
        <f aca="false">'Смета Внутр'!I195</f>
        <v>0</v>
      </c>
    </row>
    <row r="196" customFormat="false" ht="14.5" hidden="false" customHeight="false" outlineLevel="0" collapsed="false">
      <c r="B196" s="2896" t="str">
        <f aca="false">'Смета Внутр'!B196</f>
        <v>Итого материалы</v>
      </c>
      <c r="C196" s="2896"/>
      <c r="D196" s="2896"/>
      <c r="E196" s="2896"/>
      <c r="F196" s="2896"/>
      <c r="G196" s="2896"/>
      <c r="H196" s="1004" t="n">
        <f aca="false">'Смета Внутр'!G196</f>
        <v>0</v>
      </c>
      <c r="I196" s="1004" t="n">
        <f aca="false">'Смета Внутр'!H196</f>
        <v>0</v>
      </c>
      <c r="J196" s="2897" t="n">
        <f aca="false">'Смета Внутр'!I196</f>
        <v>0</v>
      </c>
    </row>
    <row r="197" customFormat="false" ht="15" hidden="false" customHeight="true" outlineLevel="0" collapsed="false">
      <c r="B197" s="2881" t="str">
        <f aca="false">'Смета Внутр'!B197</f>
        <v>Работы</v>
      </c>
      <c r="H197" s="0" t="n">
        <f aca="false">'Смета Внутр'!G197</f>
        <v>0</v>
      </c>
      <c r="I197" s="0" t="n">
        <f aca="false">'Смета Внутр'!H197</f>
        <v>0</v>
      </c>
      <c r="J197" s="2893" t="n">
        <f aca="false">'Смета Внутр'!I197</f>
        <v>0</v>
      </c>
    </row>
    <row r="198" customFormat="false" ht="15" hidden="false" customHeight="true" outlineLevel="0" collapsed="false">
      <c r="B198" s="2888" t="str">
        <f aca="false">'Смета Внутр'!B198</f>
        <v>разбивка осей</v>
      </c>
      <c r="C198" s="2888" t="str">
        <f aca="false">'Смета Внутр'!C198</f>
        <v>шт</v>
      </c>
      <c r="D198" s="2897" t="n">
        <f aca="false">'Смета Внутр'!D198</f>
        <v>1.05</v>
      </c>
      <c r="E198" s="1004" t="n">
        <f aca="false">'Смета Внутр'!E198</f>
        <v>7000</v>
      </c>
      <c r="F198" s="1004" t="n">
        <f aca="false">'Смета Внутр'!F198</f>
        <v>0</v>
      </c>
      <c r="G198" s="2888" t="n">
        <f aca="false">IF(E198&gt;F198,E198,F198)</f>
        <v>7000</v>
      </c>
      <c r="H198" s="1004" t="n">
        <f aca="false">'Смета Внутр'!G198</f>
        <v>7350</v>
      </c>
      <c r="I198" s="1004" t="n">
        <f aca="false">'Смета Внутр'!H198</f>
        <v>0</v>
      </c>
      <c r="J198" s="2897" t="n">
        <f aca="false">'Смета Внутр'!I198</f>
        <v>0</v>
      </c>
    </row>
    <row r="199" customFormat="false" ht="15" hidden="false" customHeight="true" outlineLevel="0" collapsed="false">
      <c r="B199" s="2888" t="str">
        <f aca="false">'Смета Внутр'!B199</f>
        <v>сборка опалубки</v>
      </c>
      <c r="C199" s="2888" t="str">
        <f aca="false">'Смета Внутр'!C199</f>
        <v>м2</v>
      </c>
      <c r="D199" s="2897" t="n">
        <f aca="false">'Смета Внутр'!D199</f>
        <v>70.56</v>
      </c>
      <c r="E199" s="1004" t="n">
        <f aca="false">'Смета Внутр'!E199</f>
        <v>300</v>
      </c>
      <c r="F199" s="1004" t="n">
        <f aca="false">'Смета Внутр'!F199</f>
        <v>0</v>
      </c>
      <c r="G199" s="2888" t="n">
        <f aca="false">IF(E199&gt;F199,E199,F199)</f>
        <v>300</v>
      </c>
      <c r="H199" s="1004" t="n">
        <f aca="false">'Смета Внутр'!G199</f>
        <v>21168</v>
      </c>
      <c r="I199" s="1004" t="n">
        <f aca="false">'Смета Внутр'!H199</f>
        <v>0</v>
      </c>
      <c r="J199" s="2897" t="n">
        <f aca="false">'Смета Внутр'!I199</f>
        <v>0</v>
      </c>
    </row>
    <row r="200" customFormat="false" ht="15" hidden="false" customHeight="true" outlineLevel="0" collapsed="false">
      <c r="B200" s="2888" t="str">
        <f aca="false">'Смета Внутр'!B200</f>
        <v>разборка опалубки</v>
      </c>
      <c r="C200" s="2888" t="str">
        <f aca="false">'Смета Внутр'!C200</f>
        <v>м2</v>
      </c>
      <c r="D200" s="2897" t="n">
        <f aca="false">'Смета Внутр'!D200</f>
        <v>74.088</v>
      </c>
      <c r="E200" s="1004" t="n">
        <f aca="false">'Смета Внутр'!E200</f>
        <v>100</v>
      </c>
      <c r="F200" s="1004" t="n">
        <f aca="false">'Смета Внутр'!F200</f>
        <v>0</v>
      </c>
      <c r="G200" s="2888" t="n">
        <f aca="false">IF(E200&gt;F200,E200,F200)</f>
        <v>100</v>
      </c>
      <c r="H200" s="1004" t="n">
        <f aca="false">'Смета Внутр'!G200</f>
        <v>7408.8</v>
      </c>
      <c r="I200" s="1004" t="n">
        <f aca="false">'Смета Внутр'!H200</f>
        <v>0</v>
      </c>
      <c r="J200" s="2897" t="n">
        <f aca="false">'Смета Внутр'!I200</f>
        <v>0</v>
      </c>
    </row>
    <row r="201" customFormat="false" ht="15" hidden="false" customHeight="true" outlineLevel="0" collapsed="false">
      <c r="B201" s="2888" t="str">
        <f aca="false">'Смета Внутр'!B201</f>
        <v>настил пленки</v>
      </c>
      <c r="C201" s="2888" t="str">
        <f aca="false">'Смета Внутр'!C201</f>
        <v>м2</v>
      </c>
      <c r="D201" s="2897" t="n">
        <f aca="false">'Смета Внутр'!D201</f>
        <v>77.7924</v>
      </c>
      <c r="E201" s="1004" t="n">
        <f aca="false">'Смета Внутр'!E201</f>
        <v>10</v>
      </c>
      <c r="F201" s="1004" t="n">
        <f aca="false">'Смета Внутр'!F201</f>
        <v>0</v>
      </c>
      <c r="G201" s="2888" t="n">
        <f aca="false">IF(E201&gt;F201,E201,F201)</f>
        <v>10</v>
      </c>
      <c r="H201" s="1004" t="n">
        <f aca="false">'Смета Внутр'!G201</f>
        <v>777.924</v>
      </c>
      <c r="I201" s="1004" t="n">
        <f aca="false">'Смета Внутр'!H201</f>
        <v>0</v>
      </c>
      <c r="J201" s="2897" t="n">
        <f aca="false">'Смета Внутр'!I201</f>
        <v>0</v>
      </c>
    </row>
    <row r="202" customFormat="false" ht="15" hidden="false" customHeight="true" outlineLevel="0" collapsed="false">
      <c r="B202" s="2888" t="str">
        <f aca="false">'Смета Внутр'!B202</f>
        <v>армирование</v>
      </c>
      <c r="C202" s="2888" t="str">
        <f aca="false">'Смета Внутр'!C202</f>
        <v>м.п</v>
      </c>
      <c r="D202" s="2897" t="n">
        <f aca="false">'Смета Внутр'!D202</f>
        <v>423.36</v>
      </c>
      <c r="E202" s="1004" t="n">
        <f aca="false">'Смета Внутр'!E202</f>
        <v>30</v>
      </c>
      <c r="F202" s="1004" t="n">
        <f aca="false">'Смета Внутр'!F202</f>
        <v>0</v>
      </c>
      <c r="G202" s="2888" t="n">
        <f aca="false">IF(E202&gt;F202,E202,F202)</f>
        <v>30</v>
      </c>
      <c r="H202" s="1004" t="n">
        <f aca="false">'Смета Внутр'!G202</f>
        <v>12700.8</v>
      </c>
      <c r="I202" s="1004" t="n">
        <f aca="false">'Смета Внутр'!H202</f>
        <v>0</v>
      </c>
      <c r="J202" s="2897" t="n">
        <f aca="false">'Смета Внутр'!I202</f>
        <v>0</v>
      </c>
    </row>
    <row r="203" customFormat="false" ht="15" hidden="false" customHeight="true" outlineLevel="0" collapsed="false">
      <c r="B203" s="2888" t="str">
        <f aca="false">'Смета Внутр'!B203</f>
        <v>армирование</v>
      </c>
      <c r="C203" s="2888" t="str">
        <f aca="false">'Смета Внутр'!C203</f>
        <v>м.п.</v>
      </c>
      <c r="D203" s="2897" t="n">
        <f aca="false">'Смета Внутр'!D203</f>
        <v>194.04</v>
      </c>
      <c r="E203" s="1004" t="n">
        <f aca="false">'Смета Внутр'!E203</f>
        <v>500</v>
      </c>
      <c r="F203" s="1004" t="n">
        <f aca="false">'Смета Внутр'!F203</f>
        <v>0</v>
      </c>
      <c r="G203" s="2888" t="n">
        <f aca="false">IF(E203&gt;F203,E203,F203)</f>
        <v>500</v>
      </c>
      <c r="H203" s="1004" t="n">
        <f aca="false">'Смета Внутр'!G203</f>
        <v>97020</v>
      </c>
      <c r="I203" s="1004" t="n">
        <f aca="false">'Смета Внутр'!H203</f>
        <v>0</v>
      </c>
      <c r="J203" s="2897" t="n">
        <f aca="false">'Смета Внутр'!I203</f>
        <v>0</v>
      </c>
    </row>
    <row r="204" customFormat="false" ht="15" hidden="false" customHeight="true" outlineLevel="0" collapsed="false">
      <c r="B204" s="2888" t="str">
        <f aca="false">'Смета Внутр'!B204</f>
        <v>настил гидроизола</v>
      </c>
      <c r="C204" s="2888" t="str">
        <f aca="false">'Смета Внутр'!C204</f>
        <v>м2</v>
      </c>
      <c r="D204" s="2897" t="n">
        <f aca="false">'Смета Внутр'!D204</f>
        <v>17.64</v>
      </c>
      <c r="E204" s="1004" t="n">
        <f aca="false">'Смета Внутр'!E204</f>
        <v>100</v>
      </c>
      <c r="F204" s="1004" t="n">
        <f aca="false">'Смета Внутр'!F204</f>
        <v>0</v>
      </c>
      <c r="G204" s="2888" t="n">
        <f aca="false">IF(E204&gt;F204,E204,F204)</f>
        <v>100</v>
      </c>
      <c r="H204" s="1004" t="n">
        <f aca="false">'Смета Внутр'!G204</f>
        <v>1764</v>
      </c>
      <c r="I204" s="1004" t="n">
        <f aca="false">'Смета Внутр'!H204</f>
        <v>0</v>
      </c>
      <c r="J204" s="2897" t="n">
        <f aca="false">'Смета Внутр'!I204</f>
        <v>0</v>
      </c>
    </row>
    <row r="205" customFormat="false" ht="15" hidden="false" customHeight="true" outlineLevel="0" collapsed="false">
      <c r="B205" s="2888" t="str">
        <f aca="false">'Смета Внутр'!B205</f>
        <v>трамбовка</v>
      </c>
      <c r="C205" s="2888" t="str">
        <f aca="false">'Смета Внутр'!C205</f>
        <v>м2</v>
      </c>
      <c r="D205" s="2897" t="n">
        <f aca="false">'Смета Внутр'!D205</f>
        <v>18.522</v>
      </c>
      <c r="E205" s="1004" t="n">
        <f aca="false">'Смета Внутр'!E205</f>
        <v>350</v>
      </c>
      <c r="F205" s="1004" t="n">
        <f aca="false">'Смета Внутр'!F205</f>
        <v>0</v>
      </c>
      <c r="G205" s="2888" t="n">
        <f aca="false">IF(E205&gt;F205,E205,F205)</f>
        <v>350</v>
      </c>
      <c r="H205" s="1004" t="n">
        <f aca="false">'Смета Внутр'!G205</f>
        <v>6482.7</v>
      </c>
      <c r="I205" s="1004" t="n">
        <f aca="false">'Смета Внутр'!H205</f>
        <v>0</v>
      </c>
      <c r="J205" s="2897" t="n">
        <f aca="false">'Смета Внутр'!I205</f>
        <v>0</v>
      </c>
    </row>
    <row r="206" customFormat="false" ht="15" hidden="false" customHeight="true" outlineLevel="0" collapsed="false">
      <c r="B206" s="2888" t="str">
        <f aca="false">'Смета Внутр'!B206</f>
        <v>приемка бетона</v>
      </c>
      <c r="C206" s="2888" t="str">
        <f aca="false">'Смета Внутр'!C206</f>
        <v>м3</v>
      </c>
      <c r="D206" s="2897" t="n">
        <f aca="false">'Смета Внутр'!D206</f>
        <v>10.584</v>
      </c>
      <c r="E206" s="1004" t="n">
        <f aca="false">'Смета Внутр'!E206</f>
        <v>1200</v>
      </c>
      <c r="F206" s="1004" t="n">
        <f aca="false">'Смета Внутр'!F206</f>
        <v>0</v>
      </c>
      <c r="G206" s="2888" t="n">
        <f aca="false">IF(E206&gt;F206,E206,F206)</f>
        <v>1200</v>
      </c>
      <c r="H206" s="1004" t="n">
        <f aca="false">'Смета Внутр'!G206</f>
        <v>12700.8</v>
      </c>
      <c r="I206" s="1004" t="n">
        <f aca="false">'Смета Внутр'!H206</f>
        <v>0</v>
      </c>
      <c r="J206" s="2897" t="n">
        <f aca="false">'Смета Внутр'!I206</f>
        <v>0</v>
      </c>
    </row>
    <row r="207" customFormat="false" ht="15" hidden="false" customHeight="true" outlineLevel="0" collapsed="false">
      <c r="B207" s="1004" t="str">
        <f aca="false">'Смета Внутр'!B207</f>
        <v>утепление фундамента</v>
      </c>
      <c r="C207" s="1004" t="str">
        <f aca="false">'Смета Внутр'!C207</f>
        <v>м2</v>
      </c>
      <c r="D207" s="1018" t="n">
        <f aca="false">'Смета Внутр'!D207</f>
        <v>0</v>
      </c>
      <c r="E207" s="1004" t="n">
        <f aca="false">'Смета Внутр'!E207</f>
        <v>200</v>
      </c>
      <c r="F207" s="1004" t="n">
        <f aca="false">'Смета Внутр'!F207</f>
        <v>0</v>
      </c>
      <c r="G207" s="1004" t="n">
        <f aca="false">IF(E207&gt;F207,E207,F207)</f>
        <v>200</v>
      </c>
      <c r="H207" s="1004" t="n">
        <f aca="false">'Смета Внутр'!G207</f>
        <v>0</v>
      </c>
      <c r="I207" s="1004" t="n">
        <f aca="false">'Смета Внутр'!H207</f>
        <v>0</v>
      </c>
      <c r="J207" s="1018" t="n">
        <f aca="false">'Смета Внутр'!I207</f>
        <v>0</v>
      </c>
    </row>
    <row r="208" customFormat="false" ht="15" hidden="false" customHeight="true" outlineLevel="0" collapsed="false">
      <c r="B208" s="1004" t="str">
        <f aca="false">'Смета Внутр'!B208</f>
        <v>утепление отмостки</v>
      </c>
      <c r="C208" s="1004" t="str">
        <f aca="false">'Смета Внутр'!C208</f>
        <v>м2</v>
      </c>
      <c r="D208" s="1018" t="n">
        <f aca="false">'Смета Внутр'!D208</f>
        <v>0</v>
      </c>
      <c r="E208" s="1004" t="n">
        <f aca="false">'Смета Внутр'!E208</f>
        <v>200</v>
      </c>
      <c r="F208" s="1004" t="n">
        <f aca="false">'Смета Внутр'!F208</f>
        <v>0</v>
      </c>
      <c r="G208" s="1004" t="n">
        <f aca="false">IF(E208&gt;F208,E208,F208)</f>
        <v>200</v>
      </c>
      <c r="H208" s="1004" t="n">
        <f aca="false">'Смета Внутр'!G208</f>
        <v>0</v>
      </c>
      <c r="I208" s="1004" t="n">
        <f aca="false">'Смета Внутр'!H208</f>
        <v>0</v>
      </c>
      <c r="J208" s="1018" t="n">
        <f aca="false">'Смета Внутр'!I208</f>
        <v>0</v>
      </c>
    </row>
    <row r="209" customFormat="false" ht="15" hidden="false" customHeight="true" outlineLevel="0" collapsed="false">
      <c r="B209" s="1004" t="str">
        <f aca="false">'Смета Внутр'!B209</f>
        <v>трамбовка пгс</v>
      </c>
      <c r="C209" s="1004" t="str">
        <f aca="false">'Смета Внутр'!C209</f>
        <v>м2</v>
      </c>
      <c r="D209" s="1018" t="n">
        <f aca="false">'Смета Внутр'!D209</f>
        <v>0</v>
      </c>
      <c r="E209" s="1004" t="n">
        <f aca="false">'Смета Внутр'!E209</f>
        <v>600</v>
      </c>
      <c r="F209" s="1004" t="n">
        <f aca="false">'Смета Внутр'!F209</f>
        <v>0</v>
      </c>
      <c r="G209" s="1004" t="n">
        <f aca="false">IF(E209&gt;F209,E209,F209)</f>
        <v>600</v>
      </c>
      <c r="H209" s="1004" t="n">
        <f aca="false">'Смета Внутр'!G209</f>
        <v>0</v>
      </c>
      <c r="I209" s="1004" t="n">
        <f aca="false">'Смета Внутр'!H209</f>
        <v>0</v>
      </c>
      <c r="J209" s="1018" t="n">
        <f aca="false">'Смета Внутр'!I209</f>
        <v>0</v>
      </c>
    </row>
    <row r="210" customFormat="false" ht="15" hidden="false" customHeight="true" outlineLevel="0" collapsed="false">
      <c r="B210" s="1004" t="str">
        <f aca="false">'Смета Внутр'!B210</f>
        <v>кладка сетки</v>
      </c>
      <c r="C210" s="1004" t="str">
        <f aca="false">'Смета Внутр'!C210</f>
        <v>м2</v>
      </c>
      <c r="D210" s="1018" t="n">
        <f aca="false">'Смета Внутр'!D210</f>
        <v>0</v>
      </c>
      <c r="E210" s="1004" t="n">
        <f aca="false">'Смета Внутр'!E210</f>
        <v>100</v>
      </c>
      <c r="F210" s="1004" t="n">
        <f aca="false">'Смета Внутр'!F210</f>
        <v>0</v>
      </c>
      <c r="G210" s="1004" t="n">
        <f aca="false">IF(E210&gt;F210,E210,F210)</f>
        <v>100</v>
      </c>
      <c r="H210" s="1004" t="n">
        <f aca="false">'Смета Внутр'!G210</f>
        <v>0</v>
      </c>
      <c r="I210" s="1004" t="n">
        <f aca="false">'Смета Внутр'!H210</f>
        <v>0</v>
      </c>
      <c r="J210" s="1018" t="n">
        <f aca="false">'Смета Внутр'!I210</f>
        <v>0</v>
      </c>
    </row>
    <row r="211" customFormat="false" ht="15" hidden="false" customHeight="true" outlineLevel="0" collapsed="false">
      <c r="B211" s="1004" t="str">
        <f aca="false">'Смета Внутр'!B211</f>
        <v>приемка бетона</v>
      </c>
      <c r="C211" s="1004" t="str">
        <f aca="false">'Смета Внутр'!C211</f>
        <v>м3</v>
      </c>
      <c r="D211" s="1018" t="n">
        <f aca="false">'Смета Внутр'!D211</f>
        <v>0</v>
      </c>
      <c r="E211" s="1004" t="n">
        <f aca="false">'Смета Внутр'!E211</f>
        <v>1200</v>
      </c>
      <c r="F211" s="1004" t="n">
        <f aca="false">'Смета Внутр'!F211</f>
        <v>0</v>
      </c>
      <c r="G211" s="1004" t="n">
        <f aca="false">IF(E211&gt;F211,E211,F211)</f>
        <v>1200</v>
      </c>
      <c r="H211" s="1004" t="n">
        <f aca="false">'Смета Внутр'!G211</f>
        <v>0</v>
      </c>
      <c r="I211" s="1004" t="n">
        <f aca="false">'Смета Внутр'!H211</f>
        <v>0</v>
      </c>
      <c r="J211" s="1018" t="n">
        <f aca="false">'Смета Внутр'!I211</f>
        <v>0</v>
      </c>
    </row>
    <row r="212" customFormat="false" ht="15" hidden="false" customHeight="true" outlineLevel="0" collapsed="false">
      <c r="B212" s="1004" t="str">
        <f aca="false">'Смета Внутр'!B212</f>
        <v>укладка теп. Пола</v>
      </c>
      <c r="C212" s="1004" t="str">
        <f aca="false">'Смета Внутр'!C212</f>
        <v>м2</v>
      </c>
      <c r="D212" s="1018" t="n">
        <f aca="false">'Смета Внутр'!D212</f>
        <v>105</v>
      </c>
      <c r="E212" s="1004"/>
      <c r="F212" s="1004"/>
      <c r="G212" s="1004" t="n">
        <f aca="false">IF(E212&gt;F212,E212,F212)</f>
        <v>0</v>
      </c>
      <c r="H212" s="1004"/>
      <c r="I212" s="1004"/>
      <c r="J212" s="1018" t="n">
        <f aca="false">'Смета Внутр'!I212</f>
        <v>0</v>
      </c>
    </row>
    <row r="213" customFormat="false" ht="15" hidden="false" customHeight="true" outlineLevel="0" collapsed="false">
      <c r="B213" s="2896" t="str">
        <f aca="false">'Смета Внутр'!B213</f>
        <v>Итого работы</v>
      </c>
      <c r="C213" s="2896"/>
      <c r="D213" s="2896"/>
      <c r="E213" s="2896"/>
      <c r="F213" s="2896"/>
      <c r="G213" s="2896"/>
      <c r="H213" s="1004" t="n">
        <f aca="false">'Смета Внутр'!G213</f>
        <v>0</v>
      </c>
      <c r="I213" s="1004" t="n">
        <f aca="false">'Смета Внутр'!H213</f>
        <v>0</v>
      </c>
      <c r="J213" s="2897" t="n">
        <f aca="false">'Смета Внутр'!I213</f>
        <v>0</v>
      </c>
    </row>
    <row r="214" customFormat="false" ht="15" hidden="false" customHeight="true" outlineLevel="0" collapsed="false">
      <c r="B214" s="2925" t="str">
        <f aca="false">'Смета Внутр'!B214</f>
        <v>Свайноростверковый фундамент</v>
      </c>
      <c r="C214" s="2925"/>
      <c r="D214" s="2925"/>
      <c r="H214" s="0" t="n">
        <f aca="false">'Смета Внутр'!G214</f>
        <v>0</v>
      </c>
      <c r="I214" s="0" t="n">
        <f aca="false">'Смета Внутр'!H214</f>
        <v>0</v>
      </c>
      <c r="J214" s="2926" t="n">
        <f aca="false">'Смета Внутр'!I214</f>
        <v>0</v>
      </c>
    </row>
    <row r="215" customFormat="false" ht="15" hidden="false" customHeight="true" outlineLevel="0" collapsed="false">
      <c r="B215" s="2881" t="str">
        <f aca="false">'Смета Внутр'!B215</f>
        <v>Материалы</v>
      </c>
      <c r="D215" s="919"/>
      <c r="H215" s="0" t="n">
        <f aca="false">'Смета Внутр'!G215</f>
        <v>0</v>
      </c>
      <c r="I215" s="0" t="n">
        <f aca="false">'Смета Внутр'!H215</f>
        <v>0</v>
      </c>
      <c r="J215" s="2926" t="n">
        <f aca="false">'Смета Внутр'!I215</f>
        <v>0</v>
      </c>
    </row>
    <row r="216" customFormat="false" ht="15" hidden="false" customHeight="true" outlineLevel="0" collapsed="false">
      <c r="B216" s="1004" t="str">
        <f aca="false">'Смета Внутр'!B216</f>
        <v>Экскаватор погрузчик, бурение</v>
      </c>
      <c r="C216" s="1004" t="str">
        <f aca="false">'Смета Внутр'!C216</f>
        <v>шт</v>
      </c>
      <c r="D216" s="1018" t="n">
        <f aca="false">'Смета Внутр'!D216</f>
        <v>82.5</v>
      </c>
      <c r="E216" s="1004" t="n">
        <f aca="false">'Смета Внутр'!E216</f>
        <v>300</v>
      </c>
      <c r="F216" s="1004" t="n">
        <f aca="false">'Смета Внутр'!F216</f>
        <v>0</v>
      </c>
      <c r="G216" s="1004" t="n">
        <f aca="false">IF(E216&gt;F216,E216,F216)</f>
        <v>300</v>
      </c>
      <c r="H216" s="1004" t="n">
        <f aca="false">'Смета Внутр'!G216</f>
        <v>24750</v>
      </c>
      <c r="I216" s="1004" t="n">
        <f aca="false">'Смета Внутр'!H216</f>
        <v>0</v>
      </c>
      <c r="J216" s="1018" t="n">
        <f aca="false">'Смета Внутр'!I216</f>
        <v>0</v>
      </c>
    </row>
    <row r="217" customFormat="false" ht="15" hidden="false" customHeight="true" outlineLevel="0" collapsed="false">
      <c r="B217" s="1004" t="str">
        <f aca="false">'Смета Внутр'!B217</f>
        <v>Бетон, м300</v>
      </c>
      <c r="C217" s="1004" t="str">
        <f aca="false">'Смета Внутр'!C217</f>
        <v>м3</v>
      </c>
      <c r="D217" s="1018" t="n">
        <f aca="false">'Смета Внутр'!D217</f>
        <v>5.828625</v>
      </c>
      <c r="E217" s="1004" t="n">
        <f aca="false">'Смета Внутр'!E217</f>
        <v>3000</v>
      </c>
      <c r="F217" s="1004" t="n">
        <f aca="false">'Смета Внутр'!F217</f>
        <v>0</v>
      </c>
      <c r="G217" s="1004" t="n">
        <f aca="false">IF(E217&gt;F217,E217,F217)</f>
        <v>3000</v>
      </c>
      <c r="H217" s="1004" t="n">
        <f aca="false">'Смета Внутр'!G217</f>
        <v>17485.875</v>
      </c>
      <c r="I217" s="1004" t="n">
        <f aca="false">'Смета Внутр'!H217</f>
        <v>0</v>
      </c>
      <c r="J217" s="1018" t="n">
        <f aca="false">'Смета Внутр'!I217</f>
        <v>0</v>
      </c>
    </row>
    <row r="218" customFormat="false" ht="15" hidden="false" customHeight="true" outlineLevel="0" collapsed="false">
      <c r="B218" s="1004" t="str">
        <f aca="false">'Смета Внутр'!B218</f>
        <v>Арматурный скелет для свай</v>
      </c>
      <c r="C218" s="1004" t="str">
        <f aca="false">'Смета Внутр'!C218</f>
        <v>м.п.</v>
      </c>
      <c r="D218" s="1018" t="n">
        <f aca="false">'Смета Внутр'!D218</f>
        <v>272.25</v>
      </c>
      <c r="E218" s="1004" t="n">
        <f aca="false">'Смета Внутр'!E218</f>
        <v>500</v>
      </c>
      <c r="F218" s="1004" t="n">
        <f aca="false">'Смета Внутр'!F218</f>
        <v>0</v>
      </c>
      <c r="G218" s="1004" t="n">
        <f aca="false">IF(E218&gt;F218,E218,F218)</f>
        <v>500</v>
      </c>
      <c r="H218" s="1004" t="n">
        <f aca="false">'Смета Внутр'!G218</f>
        <v>136125</v>
      </c>
      <c r="I218" s="1004" t="n">
        <f aca="false">'Смета Внутр'!H218</f>
        <v>0</v>
      </c>
      <c r="J218" s="1018" t="n">
        <f aca="false">'Смета Внутр'!I218</f>
        <v>0</v>
      </c>
    </row>
    <row r="219" customFormat="false" ht="15" hidden="false" customHeight="true" outlineLevel="0" collapsed="false">
      <c r="B219" s="1004" t="str">
        <f aca="false">'Смета Внутр'!B219</f>
        <v>Сосна влаж,150*40мм</v>
      </c>
      <c r="C219" s="1004" t="str">
        <f aca="false">'Смета Внутр'!C219</f>
        <v>м3</v>
      </c>
      <c r="D219" s="1018" t="n">
        <f aca="false">'Смета Внутр'!D219</f>
        <v>3.84384</v>
      </c>
      <c r="E219" s="1004" t="n">
        <f aca="false">'Смета Внутр'!E219</f>
        <v>6500</v>
      </c>
      <c r="F219" s="1004" t="n">
        <f aca="false">'Смета Внутр'!F219</f>
        <v>0</v>
      </c>
      <c r="G219" s="1004" t="n">
        <f aca="false">IF(E219&gt;F219,E219,F219)</f>
        <v>6500</v>
      </c>
      <c r="H219" s="1004" t="n">
        <f aca="false">'Смета Внутр'!G219</f>
        <v>24984.96</v>
      </c>
      <c r="I219" s="1004" t="n">
        <f aca="false">'Смета Внутр'!H219</f>
        <v>0</v>
      </c>
      <c r="J219" s="1018" t="n">
        <f aca="false">'Смета Внутр'!I219</f>
        <v>0</v>
      </c>
    </row>
    <row r="220" customFormat="false" ht="15" hidden="false" customHeight="true" outlineLevel="0" collapsed="false">
      <c r="B220" s="1004" t="str">
        <f aca="false">'Смета Внутр'!B220</f>
        <v>Пленка гидроизоляционная</v>
      </c>
      <c r="C220" s="1004" t="str">
        <f aca="false">'Смета Внутр'!C220</f>
        <v>м2</v>
      </c>
      <c r="D220" s="1018" t="n">
        <f aca="false">'Смета Внутр'!D220</f>
        <v>96.096</v>
      </c>
      <c r="E220" s="1004" t="n">
        <f aca="false">'Смета Внутр'!E220</f>
        <v>15</v>
      </c>
      <c r="F220" s="1004" t="n">
        <f aca="false">'Смета Внутр'!F220</f>
        <v>0</v>
      </c>
      <c r="G220" s="1004" t="n">
        <f aca="false">IF(E220&gt;F220,E220,F220)</f>
        <v>15</v>
      </c>
      <c r="H220" s="1004" t="n">
        <f aca="false">'Смета Внутр'!G220</f>
        <v>1441.44</v>
      </c>
      <c r="I220" s="1004" t="n">
        <f aca="false">'Смета Внутр'!H220</f>
        <v>0</v>
      </c>
      <c r="J220" s="1018" t="n">
        <f aca="false">'Смета Внутр'!I220</f>
        <v>0</v>
      </c>
    </row>
    <row r="221" customFormat="false" ht="15" hidden="false" customHeight="true" outlineLevel="0" collapsed="false">
      <c r="B221" s="1004" t="str">
        <f aca="false">'Смета Внутр'!B221</f>
        <v>Арматура стальная Ø 8</v>
      </c>
      <c r="C221" s="1004" t="str">
        <f aca="false">'Смета Внутр'!C221</f>
        <v>м.п</v>
      </c>
      <c r="D221" s="1018" t="n">
        <f aca="false">'Смета Внутр'!D221</f>
        <v>443.52</v>
      </c>
      <c r="E221" s="1004" t="n">
        <f aca="false">'Смета Внутр'!E221</f>
        <v>16.037</v>
      </c>
      <c r="F221" s="1004" t="n">
        <f aca="false">'Смета Внутр'!F221</f>
        <v>0</v>
      </c>
      <c r="G221" s="1004" t="n">
        <f aca="false">IF(E221&gt;F221,E221,F221)</f>
        <v>16.037</v>
      </c>
      <c r="H221" s="1004" t="n">
        <f aca="false">'Смета Внутр'!G221</f>
        <v>7112.73024</v>
      </c>
      <c r="I221" s="1004" t="n">
        <f aca="false">'Смета Внутр'!H221</f>
        <v>0</v>
      </c>
      <c r="J221" s="1018" t="n">
        <f aca="false">'Смета Внутр'!I221</f>
        <v>0</v>
      </c>
    </row>
    <row r="222" customFormat="false" ht="15" hidden="false" customHeight="true" outlineLevel="0" collapsed="false">
      <c r="B222" s="1004" t="str">
        <f aca="false">'Смета Внутр'!B222</f>
        <v>Арматура стальная Ø 6</v>
      </c>
      <c r="C222" s="1004" t="str">
        <f aca="false">'Смета Внутр'!C222</f>
        <v>м.п</v>
      </c>
      <c r="D222" s="1018" t="n">
        <f aca="false">'Смета Внутр'!D222</f>
        <v>304.92</v>
      </c>
      <c r="E222" s="1004" t="n">
        <f aca="false">'Смета Внутр'!E222</f>
        <v>9.0132</v>
      </c>
      <c r="F222" s="1004" t="n">
        <f aca="false">'Смета Внутр'!F222</f>
        <v>0</v>
      </c>
      <c r="G222" s="1004" t="n">
        <f aca="false">IF(E222&gt;F222,E222,F222)</f>
        <v>9.0132</v>
      </c>
      <c r="H222" s="1004" t="n">
        <f aca="false">'Смета Внутр'!G222</f>
        <v>2748.304944</v>
      </c>
      <c r="I222" s="1004" t="n">
        <f aca="false">'Смета Внутр'!H222</f>
        <v>0</v>
      </c>
      <c r="J222" s="1018" t="n">
        <f aca="false">'Смета Внутр'!I222</f>
        <v>0</v>
      </c>
    </row>
    <row r="223" customFormat="false" ht="15" hidden="false" customHeight="true" outlineLevel="0" collapsed="false">
      <c r="B223" s="1004" t="str">
        <f aca="false">'Смета Внутр'!B223</f>
        <v>Вязальная проволока</v>
      </c>
      <c r="C223" s="1004" t="str">
        <f aca="false">'Смета Внутр'!C223</f>
        <v>кг</v>
      </c>
      <c r="D223" s="1018" t="n">
        <f aca="false">'Смета Внутр'!D223</f>
        <v>16.46568</v>
      </c>
      <c r="E223" s="1004" t="n">
        <f aca="false">'Смета Внутр'!E223</f>
        <v>80</v>
      </c>
      <c r="F223" s="1004" t="n">
        <f aca="false">'Смета Внутр'!F223</f>
        <v>0</v>
      </c>
      <c r="G223" s="1004" t="n">
        <f aca="false">IF(E223&gt;F223,E223,F223)</f>
        <v>80</v>
      </c>
      <c r="H223" s="1004" t="n">
        <f aca="false">'Смета Внутр'!G223</f>
        <v>1317.2544</v>
      </c>
      <c r="I223" s="1004" t="n">
        <f aca="false">'Смета Внутр'!H223</f>
        <v>0</v>
      </c>
      <c r="J223" s="1018" t="n">
        <f aca="false">'Смета Внутр'!I223</f>
        <v>0</v>
      </c>
    </row>
    <row r="224" customFormat="false" ht="15" hidden="false" customHeight="true" outlineLevel="0" collapsed="false">
      <c r="B224" s="1004" t="str">
        <f aca="false">'Смета Внутр'!B224</f>
        <v>Гвозди строительные 3,5 x 90</v>
      </c>
      <c r="C224" s="1004" t="str">
        <f aca="false">'Смета Внутр'!C224</f>
        <v>кг</v>
      </c>
      <c r="D224" s="1018" t="n">
        <f aca="false">'Смета Внутр'!D224</f>
        <v>21.14112</v>
      </c>
      <c r="E224" s="1004" t="n">
        <f aca="false">'Смета Внутр'!E224</f>
        <v>70</v>
      </c>
      <c r="F224" s="1004" t="n">
        <f aca="false">'Смета Внутр'!F224</f>
        <v>0</v>
      </c>
      <c r="G224" s="1004" t="n">
        <f aca="false">IF(E224&gt;F224,E224,F224)</f>
        <v>70</v>
      </c>
      <c r="H224" s="1004" t="n">
        <f aca="false">'Смета Внутр'!G224</f>
        <v>1479.8784</v>
      </c>
      <c r="I224" s="1004" t="n">
        <f aca="false">'Смета Внутр'!H224</f>
        <v>0</v>
      </c>
      <c r="J224" s="1018" t="n">
        <f aca="false">'Смета Внутр'!I224</f>
        <v>0</v>
      </c>
    </row>
    <row r="225" customFormat="false" ht="15" hidden="false" customHeight="true" outlineLevel="0" collapsed="false">
      <c r="B225" s="1004" t="str">
        <f aca="false">'Смета Внутр'!B225</f>
        <v>Гидроизол</v>
      </c>
      <c r="C225" s="1004" t="str">
        <f aca="false">'Смета Внутр'!C225</f>
        <v>м2</v>
      </c>
      <c r="D225" s="1018" t="n">
        <f aca="false">'Смета Внутр'!D225</f>
        <v>18.48</v>
      </c>
      <c r="E225" s="1004" t="n">
        <f aca="false">'Смета Внутр'!E225</f>
        <v>70</v>
      </c>
      <c r="F225" s="1004" t="n">
        <f aca="false">'Смета Внутр'!F225</f>
        <v>0</v>
      </c>
      <c r="G225" s="1004" t="n">
        <f aca="false">IF(E225&gt;F225,E225,F225)</f>
        <v>70</v>
      </c>
      <c r="H225" s="1004" t="n">
        <f aca="false">'Смета Внутр'!G225</f>
        <v>1293.6</v>
      </c>
      <c r="I225" s="1004" t="n">
        <f aca="false">'Смета Внутр'!H225</f>
        <v>0</v>
      </c>
      <c r="J225" s="1018" t="n">
        <f aca="false">'Смета Внутр'!I225</f>
        <v>0</v>
      </c>
    </row>
    <row r="226" customFormat="false" ht="15" hidden="false" customHeight="true" outlineLevel="0" collapsed="false">
      <c r="B226" s="1004" t="str">
        <f aca="false">'Смета Внутр'!B226</f>
        <v>ПГС, машина 13м3</v>
      </c>
      <c r="C226" s="1004" t="str">
        <f aca="false">'Смета Внутр'!C226</f>
        <v>маш</v>
      </c>
      <c r="D226" s="1018" t="n">
        <f aca="false">'Смета Внутр'!D226</f>
        <v>0.616</v>
      </c>
      <c r="E226" s="1004" t="n">
        <f aca="false">'Смета Внутр'!E226</f>
        <v>10000</v>
      </c>
      <c r="F226" s="1004" t="n">
        <f aca="false">'Смета Внутр'!F226</f>
        <v>0</v>
      </c>
      <c r="G226" s="1004" t="n">
        <f aca="false">IF(E226&gt;F226,E226,F226)</f>
        <v>10000</v>
      </c>
      <c r="H226" s="1004" t="n">
        <f aca="false">'Смета Внутр'!G226</f>
        <v>6160</v>
      </c>
      <c r="I226" s="1004" t="n">
        <f aca="false">'Смета Внутр'!H226</f>
        <v>0</v>
      </c>
      <c r="J226" s="1018" t="n">
        <f aca="false">'Смета Внутр'!I226</f>
        <v>0</v>
      </c>
    </row>
    <row r="227" customFormat="false" ht="15" hidden="false" customHeight="true" outlineLevel="0" collapsed="false">
      <c r="B227" s="1004" t="str">
        <f aca="false">'Смета Внутр'!B227</f>
        <v>Бетон, м250</v>
      </c>
      <c r="C227" s="1004" t="str">
        <f aca="false">'Смета Внутр'!C227</f>
        <v>м3</v>
      </c>
      <c r="D227" s="1018" t="n">
        <f aca="false">'Смета Внутр'!D227</f>
        <v>11.088</v>
      </c>
      <c r="E227" s="1004" t="n">
        <f aca="false">'Смета Внутр'!E227</f>
        <v>2750</v>
      </c>
      <c r="F227" s="1004" t="n">
        <f aca="false">'Смета Внутр'!F227</f>
        <v>0</v>
      </c>
      <c r="G227" s="1004" t="n">
        <f aca="false">IF(E227&gt;F227,E227,F227)</f>
        <v>2750</v>
      </c>
      <c r="H227" s="1004" t="n">
        <f aca="false">'Смета Внутр'!G227</f>
        <v>30492</v>
      </c>
      <c r="I227" s="1004" t="n">
        <f aca="false">'Смета Внутр'!H227</f>
        <v>0</v>
      </c>
      <c r="J227" s="1018" t="n">
        <f aca="false">'Смета Внутр'!I227</f>
        <v>0</v>
      </c>
    </row>
    <row r="228" customFormat="false" ht="15" hidden="false" customHeight="true" outlineLevel="0" collapsed="false">
      <c r="B228" s="1004" t="str">
        <f aca="false">'Смета Внутр'!B228</f>
        <v>Нет</v>
      </c>
      <c r="C228" s="1004" t="str">
        <f aca="false">'Смета Внутр'!C228</f>
        <v>м3</v>
      </c>
      <c r="D228" s="1018" t="n">
        <f aca="false">'Смета Внутр'!D228</f>
        <v>0</v>
      </c>
      <c r="E228" s="1004" t="n">
        <f aca="false">'Смета Внутр'!E228</f>
        <v>0</v>
      </c>
      <c r="F228" s="1004" t="n">
        <f aca="false">'Смета Внутр'!F228</f>
        <v>0</v>
      </c>
      <c r="G228" s="1004" t="n">
        <f aca="false">IF(E228&gt;F228,E228,F228)</f>
        <v>0</v>
      </c>
      <c r="H228" s="1004" t="n">
        <f aca="false">'Смета Внутр'!G228</f>
        <v>0</v>
      </c>
      <c r="I228" s="1004" t="n">
        <f aca="false">'Смета Внутр'!H228</f>
        <v>0</v>
      </c>
      <c r="J228" s="1018" t="n">
        <f aca="false">'Смета Внутр'!I228</f>
        <v>0</v>
      </c>
    </row>
    <row r="229" customFormat="false" ht="15" hidden="false" customHeight="true" outlineLevel="0" collapsed="false">
      <c r="B229" s="1004" t="str">
        <f aca="false">'Смета Внутр'!B229</f>
        <v>Грибок для крепления утеплителя</v>
      </c>
      <c r="C229" s="1004" t="str">
        <f aca="false">'Смета Внутр'!C229</f>
        <v>шт</v>
      </c>
      <c r="D229" s="1018" t="n">
        <f aca="false">'Смета Внутр'!D229</f>
        <v>0</v>
      </c>
      <c r="E229" s="1004" t="n">
        <f aca="false">'Смета Внутр'!E229</f>
        <v>15</v>
      </c>
      <c r="F229" s="1004" t="n">
        <f aca="false">'Смета Внутр'!F229</f>
        <v>0</v>
      </c>
      <c r="G229" s="1004" t="n">
        <f aca="false">IF(E229&gt;F229,E229,F229)</f>
        <v>15</v>
      </c>
      <c r="H229" s="1004" t="n">
        <f aca="false">'Смета Внутр'!G229</f>
        <v>0</v>
      </c>
      <c r="I229" s="1004" t="n">
        <f aca="false">'Смета Внутр'!H229</f>
        <v>0</v>
      </c>
      <c r="J229" s="1018" t="n">
        <f aca="false">'Смета Внутр'!I229</f>
        <v>0</v>
      </c>
    </row>
    <row r="230" customFormat="false" ht="15" hidden="false" customHeight="true" outlineLevel="0" collapsed="false">
      <c r="B230" s="1004" t="str">
        <f aca="false">'Смета Внутр'!B230</f>
        <v>Нет</v>
      </c>
      <c r="C230" s="1004" t="str">
        <f aca="false">'Смета Внутр'!C230</f>
        <v>м3</v>
      </c>
      <c r="D230" s="1018" t="n">
        <f aca="false">'Смета Внутр'!D230</f>
        <v>0</v>
      </c>
      <c r="E230" s="1004" t="n">
        <f aca="false">'Смета Внутр'!E230</f>
        <v>0</v>
      </c>
      <c r="F230" s="1004" t="n">
        <f aca="false">'Смета Внутр'!F230</f>
        <v>0</v>
      </c>
      <c r="G230" s="1004" t="n">
        <f aca="false">IF(E230&gt;F230,E230,F230)</f>
        <v>0</v>
      </c>
      <c r="H230" s="1004" t="n">
        <f aca="false">'Смета Внутр'!G230</f>
        <v>0</v>
      </c>
      <c r="I230" s="1004" t="n">
        <f aca="false">'Смета Внутр'!H230</f>
        <v>0</v>
      </c>
      <c r="J230" s="1018" t="n">
        <f aca="false">'Смета Внутр'!I230</f>
        <v>0</v>
      </c>
    </row>
    <row r="231" customFormat="false" ht="15" hidden="false" customHeight="true" outlineLevel="0" collapsed="false">
      <c r="B231" s="1004" t="str">
        <f aca="false">'Смета Внутр'!B231</f>
        <v>ПГС, машина 5м3</v>
      </c>
      <c r="C231" s="1004" t="str">
        <f aca="false">'Смета Внутр'!C231</f>
        <v>маш</v>
      </c>
      <c r="D231" s="1018" t="n">
        <f aca="false">'Смета Внутр'!D231</f>
        <v>0</v>
      </c>
      <c r="E231" s="1004" t="n">
        <f aca="false">'Смета Внутр'!E231</f>
        <v>6000</v>
      </c>
      <c r="F231" s="1004" t="n">
        <f aca="false">'Смета Внутр'!F231</f>
        <v>0</v>
      </c>
      <c r="G231" s="1004" t="n">
        <f aca="false">IF(E231&gt;F231,E231,F231)</f>
        <v>6000</v>
      </c>
      <c r="H231" s="1004" t="n">
        <f aca="false">'Смета Внутр'!G231</f>
        <v>0</v>
      </c>
      <c r="I231" s="1004" t="n">
        <f aca="false">'Смета Внутр'!H231</f>
        <v>0</v>
      </c>
      <c r="J231" s="1018" t="n">
        <f aca="false">'Смета Внутр'!I231</f>
        <v>0</v>
      </c>
    </row>
    <row r="232" customFormat="false" ht="15" hidden="false" customHeight="true" outlineLevel="0" collapsed="false">
      <c r="B232" s="1004" t="str">
        <f aca="false">'Смета Внутр'!B232</f>
        <v>Кладочная сетка, 100*100/150*150/200*200мм</v>
      </c>
      <c r="C232" s="1004" t="str">
        <f aca="false">'Смета Внутр'!C232</f>
        <v>м2</v>
      </c>
      <c r="D232" s="1018" t="n">
        <f aca="false">'Смета Внутр'!D232</f>
        <v>0</v>
      </c>
      <c r="E232" s="1004" t="n">
        <f aca="false">'Смета Внутр'!E232</f>
        <v>70</v>
      </c>
      <c r="F232" s="1004" t="n">
        <f aca="false">'Смета Внутр'!F232</f>
        <v>0</v>
      </c>
      <c r="G232" s="1004" t="n">
        <f aca="false">IF(E232&gt;F232,E232,F232)</f>
        <v>70</v>
      </c>
      <c r="H232" s="1004" t="n">
        <f aca="false">'Смета Внутр'!G232</f>
        <v>0</v>
      </c>
      <c r="I232" s="1004" t="n">
        <f aca="false">'Смета Внутр'!H232</f>
        <v>0</v>
      </c>
      <c r="J232" s="1018" t="n">
        <f aca="false">'Смета Внутр'!I232</f>
        <v>0</v>
      </c>
    </row>
    <row r="233" customFormat="false" ht="15" hidden="false" customHeight="true" outlineLevel="0" collapsed="false">
      <c r="B233" s="1004" t="str">
        <f aca="false">'Смета Внутр'!B233</f>
        <v>Бетон, м200</v>
      </c>
      <c r="C233" s="1004" t="str">
        <f aca="false">'Смета Внутр'!C233</f>
        <v>м3</v>
      </c>
      <c r="D233" s="1018" t="n">
        <f aca="false">'Смета Внутр'!D233</f>
        <v>0</v>
      </c>
      <c r="E233" s="1004" t="n">
        <f aca="false">'Смета Внутр'!E233</f>
        <v>2500</v>
      </c>
      <c r="F233" s="1004" t="n">
        <f aca="false">'Смета Внутр'!F233</f>
        <v>0</v>
      </c>
      <c r="G233" s="1004" t="n">
        <f aca="false">IF(E233&gt;F233,E233,F233)</f>
        <v>2500</v>
      </c>
      <c r="H233" s="1004" t="n">
        <f aca="false">'Смета Внутр'!G233</f>
        <v>0</v>
      </c>
      <c r="I233" s="1004" t="n">
        <f aca="false">'Смета Внутр'!H233</f>
        <v>0</v>
      </c>
      <c r="J233" s="1018" t="n">
        <f aca="false">'Смета Внутр'!I233</f>
        <v>0</v>
      </c>
    </row>
    <row r="234" customFormat="false" ht="15" hidden="false" customHeight="true" outlineLevel="0" collapsed="false">
      <c r="B234" s="1004" t="str">
        <f aca="false">'Смета Внутр'!B234</f>
        <v>Труба теплого пола 3</v>
      </c>
      <c r="C234" s="1004" t="str">
        <f aca="false">'Смета Внутр'!C234</f>
        <v>м.п</v>
      </c>
      <c r="D234" s="1018" t="n">
        <f aca="false">'Смета Внутр'!D234</f>
        <v>308</v>
      </c>
      <c r="E234" s="1004"/>
      <c r="F234" s="1004"/>
      <c r="G234" s="1004" t="n">
        <f aca="false">IF(E234&gt;F234,E234,F234)</f>
        <v>0</v>
      </c>
      <c r="H234" s="1004"/>
      <c r="I234" s="1004"/>
      <c r="J234" s="1018" t="n">
        <f aca="false">'Смета Внутр'!I234</f>
        <v>0</v>
      </c>
    </row>
    <row r="235" customFormat="false" ht="15" hidden="false" customHeight="true" outlineLevel="0" collapsed="false">
      <c r="B235" s="1004" t="str">
        <f aca="false">'Смета Внутр'!B235</f>
        <v>Коллектор 1</v>
      </c>
      <c r="C235" s="1004" t="str">
        <f aca="false">'Смета Внутр'!C235</f>
        <v>шт</v>
      </c>
      <c r="D235" s="1018" t="n">
        <f aca="false">'Смета Внутр'!D235</f>
        <v>1.1</v>
      </c>
      <c r="E235" s="1004"/>
      <c r="F235" s="1004"/>
      <c r="G235" s="1004" t="n">
        <f aca="false">IF(E235&gt;F235,E235,F235)</f>
        <v>0</v>
      </c>
      <c r="H235" s="1004"/>
      <c r="I235" s="1004"/>
      <c r="J235" s="1018" t="n">
        <f aca="false">'Смета Внутр'!I235</f>
        <v>0</v>
      </c>
    </row>
    <row r="236" customFormat="false" ht="14.5" hidden="false" customHeight="false" outlineLevel="0" collapsed="false">
      <c r="B236" s="2927" t="str">
        <f aca="false">'Смета Внутр'!B236</f>
        <v>Итого материалы</v>
      </c>
      <c r="C236" s="2927"/>
      <c r="D236" s="2927"/>
      <c r="E236" s="2927"/>
      <c r="F236" s="2927"/>
      <c r="G236" s="2927"/>
      <c r="H236" s="1004" t="n">
        <f aca="false">'Смета Внутр'!G236</f>
        <v>0</v>
      </c>
      <c r="I236" s="1004" t="n">
        <f aca="false">'Смета Внутр'!H236</f>
        <v>0</v>
      </c>
      <c r="J236" s="1018" t="n">
        <f aca="false">'Смета Внутр'!I236</f>
        <v>0</v>
      </c>
    </row>
    <row r="237" customFormat="false" ht="15" hidden="false" customHeight="true" outlineLevel="0" collapsed="false">
      <c r="B237" s="2881" t="str">
        <f aca="false">'Смета Внутр'!B237</f>
        <v>Работы</v>
      </c>
      <c r="D237" s="919"/>
      <c r="H237" s="0" t="n">
        <f aca="false">'Смета Внутр'!G237</f>
        <v>0</v>
      </c>
      <c r="I237" s="0" t="n">
        <f aca="false">'Смета Внутр'!H237</f>
        <v>0</v>
      </c>
      <c r="J237" s="2926" t="n">
        <f aca="false">'Смета Внутр'!I237</f>
        <v>0</v>
      </c>
    </row>
    <row r="238" customFormat="false" ht="15" hidden="false" customHeight="true" outlineLevel="0" collapsed="false">
      <c r="B238" s="1004" t="str">
        <f aca="false">'Смета Внутр'!B238</f>
        <v>приемка бетона</v>
      </c>
      <c r="C238" s="1004" t="str">
        <f aca="false">'Смета Внутр'!C238</f>
        <v>м3</v>
      </c>
      <c r="D238" s="1018" t="n">
        <f aca="false">'Смета Внутр'!D238</f>
        <v>5.5636875</v>
      </c>
      <c r="E238" s="1004" t="n">
        <f aca="false">'Смета Внутр'!E238</f>
        <v>1200</v>
      </c>
      <c r="F238" s="1004" t="n">
        <f aca="false">'Смета Внутр'!F238</f>
        <v>0</v>
      </c>
      <c r="G238" s="1004" t="n">
        <f aca="false">IF(E238&gt;F238,E238,F238)</f>
        <v>1200</v>
      </c>
      <c r="H238" s="1004" t="n">
        <f aca="false">'Смета Внутр'!G238</f>
        <v>6676.425</v>
      </c>
      <c r="I238" s="1004" t="n">
        <f aca="false">'Смета Внутр'!H238</f>
        <v>0</v>
      </c>
      <c r="J238" s="1018" t="n">
        <f aca="false">'Смета Внутр'!I238</f>
        <v>0</v>
      </c>
    </row>
    <row r="239" customFormat="false" ht="15" hidden="false" customHeight="true" outlineLevel="0" collapsed="false">
      <c r="B239" s="1004" t="str">
        <f aca="false">'Смета Внутр'!B239</f>
        <v>армирование свай скелет из арматуры</v>
      </c>
      <c r="C239" s="1004" t="str">
        <f aca="false">'Смета Внутр'!C239</f>
        <v>м.п.</v>
      </c>
      <c r="D239" s="1018" t="n">
        <f aca="false">'Смета Внутр'!D239</f>
        <v>78.75</v>
      </c>
      <c r="E239" s="1004" t="n">
        <f aca="false">'Смета Внутр'!E239</f>
        <v>500</v>
      </c>
      <c r="F239" s="1004" t="n">
        <f aca="false">'Смета Внутр'!F239</f>
        <v>0</v>
      </c>
      <c r="G239" s="1004" t="n">
        <f aca="false">IF(E239&gt;F239,E239,F239)</f>
        <v>500</v>
      </c>
      <c r="H239" s="1004" t="n">
        <f aca="false">'Смета Внутр'!G239</f>
        <v>39375</v>
      </c>
      <c r="I239" s="1004" t="n">
        <f aca="false">'Смета Внутр'!H239</f>
        <v>0</v>
      </c>
      <c r="J239" s="1018" t="n">
        <f aca="false">'Смета Внутр'!I239</f>
        <v>0</v>
      </c>
    </row>
    <row r="240" customFormat="false" ht="15" hidden="false" customHeight="true" outlineLevel="0" collapsed="false">
      <c r="B240" s="1004" t="str">
        <f aca="false">'Смета Внутр'!B240</f>
        <v>разбивка осей</v>
      </c>
      <c r="C240" s="1004" t="str">
        <f aca="false">'Смета Внутр'!C240</f>
        <v>шт</v>
      </c>
      <c r="D240" s="1018" t="n">
        <f aca="false">'Смета Внутр'!D240</f>
        <v>1.05</v>
      </c>
      <c r="E240" s="1004" t="n">
        <f aca="false">'Смета Внутр'!E240</f>
        <v>7000</v>
      </c>
      <c r="F240" s="1004" t="n">
        <f aca="false">'Смета Внутр'!F240</f>
        <v>0</v>
      </c>
      <c r="G240" s="1004" t="n">
        <f aca="false">IF(E240&gt;F240,E240,F240)</f>
        <v>7000</v>
      </c>
      <c r="H240" s="1004" t="n">
        <f aca="false">'Смета Внутр'!G240</f>
        <v>7350</v>
      </c>
      <c r="I240" s="1004" t="n">
        <f aca="false">'Смета Внутр'!H240</f>
        <v>0</v>
      </c>
      <c r="J240" s="1018" t="n">
        <f aca="false">'Смета Внутр'!I240</f>
        <v>0</v>
      </c>
    </row>
    <row r="241" customFormat="false" ht="15" hidden="false" customHeight="true" outlineLevel="0" collapsed="false">
      <c r="B241" s="1004" t="str">
        <f aca="false">'Смета Внутр'!B241</f>
        <v>сборка опалубки</v>
      </c>
      <c r="C241" s="1004" t="str">
        <f aca="false">'Смета Внутр'!C241</f>
        <v>м2</v>
      </c>
      <c r="D241" s="1018" t="n">
        <f aca="false">'Смета Внутр'!D241</f>
        <v>70.56</v>
      </c>
      <c r="E241" s="1004" t="n">
        <f aca="false">'Смета Внутр'!E241</f>
        <v>300</v>
      </c>
      <c r="F241" s="1004" t="n">
        <f aca="false">'Смета Внутр'!F241</f>
        <v>0</v>
      </c>
      <c r="G241" s="1004" t="n">
        <f aca="false">IF(E241&gt;F241,E241,F241)</f>
        <v>300</v>
      </c>
      <c r="H241" s="1004" t="n">
        <f aca="false">'Смета Внутр'!G241</f>
        <v>21168</v>
      </c>
      <c r="I241" s="1004" t="n">
        <f aca="false">'Смета Внутр'!H241</f>
        <v>0</v>
      </c>
      <c r="J241" s="1018" t="n">
        <f aca="false">'Смета Внутр'!I241</f>
        <v>0</v>
      </c>
    </row>
    <row r="242" customFormat="false" ht="15" hidden="false" customHeight="true" outlineLevel="0" collapsed="false">
      <c r="B242" s="1004" t="str">
        <f aca="false">'Смета Внутр'!B242</f>
        <v>разборка опалубки</v>
      </c>
      <c r="C242" s="1004" t="str">
        <f aca="false">'Смета Внутр'!C242</f>
        <v>м2</v>
      </c>
      <c r="D242" s="1018" t="n">
        <f aca="false">'Смета Внутр'!D242</f>
        <v>74.088</v>
      </c>
      <c r="E242" s="1004" t="n">
        <f aca="false">'Смета Внутр'!E242</f>
        <v>100</v>
      </c>
      <c r="F242" s="1004" t="n">
        <f aca="false">'Смета Внутр'!F242</f>
        <v>0</v>
      </c>
      <c r="G242" s="1004" t="n">
        <f aca="false">IF(E242&gt;F242,E242,F242)</f>
        <v>100</v>
      </c>
      <c r="H242" s="1004" t="n">
        <f aca="false">'Смета Внутр'!G242</f>
        <v>7408.8</v>
      </c>
      <c r="I242" s="1004" t="n">
        <f aca="false">'Смета Внутр'!H242</f>
        <v>0</v>
      </c>
      <c r="J242" s="1018" t="n">
        <f aca="false">'Смета Внутр'!I242</f>
        <v>0</v>
      </c>
    </row>
    <row r="243" customFormat="false" ht="15" hidden="false" customHeight="true" outlineLevel="0" collapsed="false">
      <c r="B243" s="1004" t="str">
        <f aca="false">'Смета Внутр'!B243</f>
        <v>настил пленки</v>
      </c>
      <c r="C243" s="1004" t="str">
        <f aca="false">'Смета Внутр'!C243</f>
        <v>м2</v>
      </c>
      <c r="D243" s="1018" t="n">
        <f aca="false">'Смета Внутр'!D243</f>
        <v>77.7924</v>
      </c>
      <c r="E243" s="1004" t="n">
        <f aca="false">'Смета Внутр'!E243</f>
        <v>10</v>
      </c>
      <c r="F243" s="1004" t="n">
        <f aca="false">'Смета Внутр'!F243</f>
        <v>0</v>
      </c>
      <c r="G243" s="1004" t="n">
        <f aca="false">IF(E243&gt;F243,E243,F243)</f>
        <v>10</v>
      </c>
      <c r="H243" s="1004" t="n">
        <f aca="false">'Смета Внутр'!G243</f>
        <v>777.924</v>
      </c>
      <c r="I243" s="1004" t="n">
        <f aca="false">'Смета Внутр'!H243</f>
        <v>0</v>
      </c>
      <c r="J243" s="1018" t="n">
        <f aca="false">'Смета Внутр'!I243</f>
        <v>0</v>
      </c>
    </row>
    <row r="244" customFormat="false" ht="15" hidden="false" customHeight="true" outlineLevel="0" collapsed="false">
      <c r="B244" s="1004" t="str">
        <f aca="false">'Смета Внутр'!B244</f>
        <v>армирование</v>
      </c>
      <c r="C244" s="1004" t="str">
        <f aca="false">'Смета Внутр'!C244</f>
        <v>м.п</v>
      </c>
      <c r="D244" s="1018" t="n">
        <f aca="false">'Смета Внутр'!D244</f>
        <v>423.36</v>
      </c>
      <c r="E244" s="1004" t="n">
        <f aca="false">'Смета Внутр'!E244</f>
        <v>30</v>
      </c>
      <c r="F244" s="1004" t="n">
        <f aca="false">'Смета Внутр'!F244</f>
        <v>0</v>
      </c>
      <c r="G244" s="1004" t="n">
        <f aca="false">IF(E244&gt;F244,E244,F244)</f>
        <v>30</v>
      </c>
      <c r="H244" s="1004" t="n">
        <f aca="false">'Смета Внутр'!G244</f>
        <v>12700.8</v>
      </c>
      <c r="I244" s="1004" t="n">
        <f aca="false">'Смета Внутр'!H244</f>
        <v>0</v>
      </c>
      <c r="J244" s="1018" t="n">
        <f aca="false">'Смета Внутр'!I244</f>
        <v>0</v>
      </c>
    </row>
    <row r="245" customFormat="false" ht="15" hidden="false" customHeight="true" outlineLevel="0" collapsed="false">
      <c r="B245" s="1004" t="str">
        <f aca="false">'Смета Внутр'!B245</f>
        <v>армирование</v>
      </c>
      <c r="C245" s="1004" t="str">
        <f aca="false">'Смета Внутр'!C245</f>
        <v>м.п.</v>
      </c>
      <c r="D245" s="1018" t="n">
        <f aca="false">'Смета Внутр'!D245</f>
        <v>194.04</v>
      </c>
      <c r="E245" s="1004" t="n">
        <f aca="false">'Смета Внутр'!E245</f>
        <v>30</v>
      </c>
      <c r="F245" s="1004" t="n">
        <f aca="false">'Смета Внутр'!F245</f>
        <v>0</v>
      </c>
      <c r="G245" s="1004" t="n">
        <f aca="false">IF(E245&gt;F245,E245,F245)</f>
        <v>30</v>
      </c>
      <c r="H245" s="1004" t="n">
        <f aca="false">'Смета Внутр'!G245</f>
        <v>5821.2</v>
      </c>
      <c r="I245" s="1004" t="n">
        <f aca="false">'Смета Внутр'!H245</f>
        <v>0</v>
      </c>
      <c r="J245" s="1018" t="n">
        <f aca="false">'Смета Внутр'!I245</f>
        <v>0</v>
      </c>
    </row>
    <row r="246" customFormat="false" ht="15" hidden="false" customHeight="true" outlineLevel="0" collapsed="false">
      <c r="B246" s="1004" t="str">
        <f aca="false">'Смета Внутр'!B246</f>
        <v>настил гидроизола</v>
      </c>
      <c r="C246" s="1004" t="str">
        <f aca="false">'Смета Внутр'!C246</f>
        <v>м2</v>
      </c>
      <c r="D246" s="1018" t="n">
        <f aca="false">'Смета Внутр'!D246</f>
        <v>17.64</v>
      </c>
      <c r="E246" s="1004" t="n">
        <f aca="false">'Смета Внутр'!E246</f>
        <v>100</v>
      </c>
      <c r="F246" s="1004" t="n">
        <f aca="false">'Смета Внутр'!F246</f>
        <v>0</v>
      </c>
      <c r="G246" s="1004" t="n">
        <f aca="false">IF(E246&gt;F246,E246,F246)</f>
        <v>100</v>
      </c>
      <c r="H246" s="1004" t="n">
        <f aca="false">'Смета Внутр'!G246</f>
        <v>1764</v>
      </c>
      <c r="I246" s="1004" t="n">
        <f aca="false">'Смета Внутр'!H246</f>
        <v>0</v>
      </c>
      <c r="J246" s="1018" t="n">
        <f aca="false">'Смета Внутр'!I246</f>
        <v>0</v>
      </c>
    </row>
    <row r="247" customFormat="false" ht="15" hidden="false" customHeight="true" outlineLevel="0" collapsed="false">
      <c r="B247" s="1004" t="str">
        <f aca="false">'Смета Внутр'!B247</f>
        <v>трамбовка</v>
      </c>
      <c r="C247" s="1004" t="str">
        <f aca="false">'Смета Внутр'!C247</f>
        <v>м2</v>
      </c>
      <c r="D247" s="1018" t="n">
        <f aca="false">'Смета Внутр'!D247</f>
        <v>18.522</v>
      </c>
      <c r="E247" s="1004" t="n">
        <f aca="false">'Смета Внутр'!E247</f>
        <v>600</v>
      </c>
      <c r="F247" s="1004" t="n">
        <f aca="false">'Смета Внутр'!F247</f>
        <v>0</v>
      </c>
      <c r="G247" s="1004" t="n">
        <f aca="false">IF(E247&gt;F247,E247,F247)</f>
        <v>600</v>
      </c>
      <c r="H247" s="1004" t="n">
        <f aca="false">'Смета Внутр'!G247</f>
        <v>11113.2</v>
      </c>
      <c r="I247" s="1004" t="n">
        <f aca="false">'Смета Внутр'!H247</f>
        <v>0</v>
      </c>
      <c r="J247" s="1018" t="n">
        <f aca="false">'Смета Внутр'!I247</f>
        <v>0</v>
      </c>
    </row>
    <row r="248" customFormat="false" ht="15" hidden="false" customHeight="true" outlineLevel="0" collapsed="false">
      <c r="B248" s="1004" t="str">
        <f aca="false">'Смета Внутр'!B248</f>
        <v>приемка бетона</v>
      </c>
      <c r="C248" s="1004" t="str">
        <f aca="false">'Смета Внутр'!C248</f>
        <v>м3</v>
      </c>
      <c r="D248" s="1018" t="n">
        <f aca="false">'Смета Внутр'!D248</f>
        <v>10.584</v>
      </c>
      <c r="E248" s="1004" t="n">
        <f aca="false">'Смета Внутр'!E248</f>
        <v>1200</v>
      </c>
      <c r="F248" s="1004" t="n">
        <f aca="false">'Смета Внутр'!F248</f>
        <v>0</v>
      </c>
      <c r="G248" s="1004" t="n">
        <f aca="false">IF(E248&gt;F248,E248,F248)</f>
        <v>1200</v>
      </c>
      <c r="H248" s="1004" t="n">
        <f aca="false">'Смета Внутр'!G248</f>
        <v>12700.8</v>
      </c>
      <c r="I248" s="1004" t="n">
        <f aca="false">'Смета Внутр'!H248</f>
        <v>0</v>
      </c>
      <c r="J248" s="1018" t="n">
        <f aca="false">'Смета Внутр'!I248</f>
        <v>0</v>
      </c>
    </row>
    <row r="249" customFormat="false" ht="15" hidden="false" customHeight="true" outlineLevel="0" collapsed="false">
      <c r="B249" s="1004" t="str">
        <f aca="false">'Смета Внутр'!B249</f>
        <v>утепление фундамента</v>
      </c>
      <c r="C249" s="1004" t="str">
        <f aca="false">'Смета Внутр'!C249</f>
        <v>м2</v>
      </c>
      <c r="D249" s="1018" t="n">
        <f aca="false">'Смета Внутр'!D249</f>
        <v>0</v>
      </c>
      <c r="E249" s="1004" t="n">
        <f aca="false">'Смета Внутр'!E249</f>
        <v>200</v>
      </c>
      <c r="F249" s="1004" t="n">
        <f aca="false">'Смета Внутр'!F249</f>
        <v>0</v>
      </c>
      <c r="G249" s="1004" t="n">
        <f aca="false">IF(E249&gt;F249,E249,F249)</f>
        <v>200</v>
      </c>
      <c r="H249" s="1004" t="n">
        <f aca="false">'Смета Внутр'!G249</f>
        <v>0</v>
      </c>
      <c r="I249" s="1004" t="n">
        <f aca="false">'Смета Внутр'!H249</f>
        <v>0</v>
      </c>
      <c r="J249" s="1018" t="n">
        <f aca="false">'Смета Внутр'!I249</f>
        <v>0</v>
      </c>
    </row>
    <row r="250" customFormat="false" ht="15" hidden="false" customHeight="true" outlineLevel="0" collapsed="false">
      <c r="B250" s="1004" t="str">
        <f aca="false">'Смета Внутр'!B250</f>
        <v>утепление отмостки</v>
      </c>
      <c r="C250" s="1004" t="str">
        <f aca="false">'Смета Внутр'!C250</f>
        <v>м2</v>
      </c>
      <c r="D250" s="1018" t="n">
        <f aca="false">'Смета Внутр'!D250</f>
        <v>0</v>
      </c>
      <c r="E250" s="1004" t="n">
        <f aca="false">'Смета Внутр'!E250</f>
        <v>200</v>
      </c>
      <c r="F250" s="1004" t="n">
        <f aca="false">'Смета Внутр'!F250</f>
        <v>0</v>
      </c>
      <c r="G250" s="1004" t="n">
        <f aca="false">IF(E250&gt;F250,E250,F250)</f>
        <v>200</v>
      </c>
      <c r="H250" s="1004" t="n">
        <f aca="false">'Смета Внутр'!G250</f>
        <v>0</v>
      </c>
      <c r="I250" s="1004" t="n">
        <f aca="false">'Смета Внутр'!H250</f>
        <v>0</v>
      </c>
      <c r="J250" s="1018" t="n">
        <f aca="false">'Смета Внутр'!I250</f>
        <v>0</v>
      </c>
    </row>
    <row r="251" customFormat="false" ht="15" hidden="false" customHeight="true" outlineLevel="0" collapsed="false">
      <c r="B251" s="1004" t="str">
        <f aca="false">'Смета Внутр'!B251</f>
        <v>трамбовка пгс</v>
      </c>
      <c r="C251" s="1004" t="str">
        <f aca="false">'Смета Внутр'!C251</f>
        <v>м2</v>
      </c>
      <c r="D251" s="1018" t="n">
        <f aca="false">'Смета Внутр'!D251</f>
        <v>0</v>
      </c>
      <c r="E251" s="1004" t="n">
        <f aca="false">'Смета Внутр'!E251</f>
        <v>600</v>
      </c>
      <c r="F251" s="1004" t="n">
        <f aca="false">'Смета Внутр'!F251</f>
        <v>0</v>
      </c>
      <c r="G251" s="1004" t="n">
        <f aca="false">IF(E251&gt;F251,E251,F251)</f>
        <v>600</v>
      </c>
      <c r="H251" s="1004" t="n">
        <f aca="false">'Смета Внутр'!G251</f>
        <v>0</v>
      </c>
      <c r="I251" s="1004" t="n">
        <f aca="false">'Смета Внутр'!H251</f>
        <v>0</v>
      </c>
      <c r="J251" s="1018" t="n">
        <f aca="false">'Смета Внутр'!I251</f>
        <v>0</v>
      </c>
    </row>
    <row r="252" customFormat="false" ht="15" hidden="false" customHeight="true" outlineLevel="0" collapsed="false">
      <c r="B252" s="1004" t="str">
        <f aca="false">'Смета Внутр'!B252</f>
        <v>кладка сетки</v>
      </c>
      <c r="C252" s="1004" t="str">
        <f aca="false">'Смета Внутр'!C252</f>
        <v>м2</v>
      </c>
      <c r="D252" s="1018" t="n">
        <f aca="false">'Смета Внутр'!D252</f>
        <v>0</v>
      </c>
      <c r="E252" s="1004" t="n">
        <f aca="false">'Смета Внутр'!E252</f>
        <v>100</v>
      </c>
      <c r="F252" s="1004" t="n">
        <f aca="false">'Смета Внутр'!F252</f>
        <v>0</v>
      </c>
      <c r="G252" s="1004" t="n">
        <f aca="false">IF(E252&gt;F252,E252,F252)</f>
        <v>100</v>
      </c>
      <c r="H252" s="1004" t="n">
        <f aca="false">'Смета Внутр'!G252</f>
        <v>0</v>
      </c>
      <c r="I252" s="1004" t="n">
        <f aca="false">'Смета Внутр'!H252</f>
        <v>0</v>
      </c>
      <c r="J252" s="1018" t="n">
        <f aca="false">'Смета Внутр'!I252</f>
        <v>0</v>
      </c>
    </row>
    <row r="253" customFormat="false" ht="15" hidden="false" customHeight="true" outlineLevel="0" collapsed="false">
      <c r="B253" s="1004" t="str">
        <f aca="false">'Смета Внутр'!B253</f>
        <v>приемка бетона</v>
      </c>
      <c r="C253" s="1004" t="str">
        <f aca="false">'Смета Внутр'!C253</f>
        <v>м2</v>
      </c>
      <c r="D253" s="1018" t="n">
        <f aca="false">'Смета Внутр'!D253</f>
        <v>0</v>
      </c>
      <c r="E253" s="1004" t="n">
        <f aca="false">'Смета Внутр'!E253</f>
        <v>1200</v>
      </c>
      <c r="F253" s="1004" t="n">
        <f aca="false">'Смета Внутр'!F253</f>
        <v>0</v>
      </c>
      <c r="G253" s="1004" t="n">
        <f aca="false">IF(E253&gt;F253,E253,F253)</f>
        <v>1200</v>
      </c>
      <c r="H253" s="1004" t="n">
        <f aca="false">'Смета Внутр'!G253</f>
        <v>0</v>
      </c>
      <c r="I253" s="1004" t="n">
        <f aca="false">'Смета Внутр'!H253</f>
        <v>0</v>
      </c>
      <c r="J253" s="1018" t="n">
        <f aca="false">'Смета Внутр'!I253</f>
        <v>0</v>
      </c>
    </row>
    <row r="254" customFormat="false" ht="15" hidden="false" customHeight="true" outlineLevel="0" collapsed="false">
      <c r="B254" s="1004" t="str">
        <f aca="false">'Смета Внутр'!B254</f>
        <v>укладка теп. Пола</v>
      </c>
      <c r="C254" s="1004" t="str">
        <f aca="false">'Смета Внутр'!C254</f>
        <v>м2</v>
      </c>
      <c r="D254" s="1018" t="n">
        <f aca="false">'Смета Внутр'!D254</f>
        <v>105</v>
      </c>
      <c r="E254" s="1004"/>
      <c r="F254" s="1004"/>
      <c r="G254" s="1004" t="n">
        <f aca="false">IF(E254&gt;F254,E254,F254)</f>
        <v>0</v>
      </c>
      <c r="H254" s="1004"/>
      <c r="I254" s="1004"/>
      <c r="J254" s="1018" t="n">
        <f aca="false">'Смета Внутр'!I254</f>
        <v>0</v>
      </c>
    </row>
    <row r="255" customFormat="false" ht="15" hidden="false" customHeight="true" outlineLevel="0" collapsed="false">
      <c r="B255" s="2927" t="str">
        <f aca="false">'Смета Внутр'!B255</f>
        <v>Итого работы</v>
      </c>
      <c r="C255" s="2927"/>
      <c r="D255" s="2927"/>
      <c r="E255" s="2927"/>
      <c r="F255" s="2927"/>
      <c r="G255" s="2927"/>
      <c r="H255" s="1004" t="n">
        <f aca="false">'Смета Внутр'!G255</f>
        <v>0</v>
      </c>
      <c r="I255" s="1004" t="n">
        <f aca="false">'Смета Внутр'!H255</f>
        <v>0</v>
      </c>
      <c r="J255" s="1018" t="n">
        <f aca="false">'Смета Внутр'!I255</f>
        <v>0</v>
      </c>
    </row>
    <row r="256" customFormat="false" ht="15" hidden="false" customHeight="true" outlineLevel="0" collapsed="false">
      <c r="B256" s="2925" t="str">
        <f aca="false">'Смета Внутр'!B256</f>
        <v>Плита УШП, технология Дороселл / Монолитная плита</v>
      </c>
      <c r="C256" s="2925"/>
      <c r="D256" s="2925"/>
      <c r="H256" s="0" t="n">
        <f aca="false">'Смета Внутр'!G256</f>
        <v>0</v>
      </c>
      <c r="I256" s="0" t="n">
        <f aca="false">'Смета Внутр'!H256</f>
        <v>0</v>
      </c>
      <c r="J256" s="2926" t="n">
        <f aca="false">'Смета Внутр'!I256</f>
        <v>0</v>
      </c>
    </row>
    <row r="257" customFormat="false" ht="15" hidden="false" customHeight="true" outlineLevel="0" collapsed="false">
      <c r="B257" s="2881" t="str">
        <f aca="false">'Смета Внутр'!B257</f>
        <v>Материалы</v>
      </c>
      <c r="D257" s="919"/>
      <c r="H257" s="0" t="n">
        <f aca="false">'Смета Внутр'!G257</f>
        <v>0</v>
      </c>
      <c r="I257" s="0" t="n">
        <f aca="false">'Смета Внутр'!H257</f>
        <v>0</v>
      </c>
      <c r="J257" s="2926" t="n">
        <f aca="false">'Смета Внутр'!I257</f>
        <v>0</v>
      </c>
    </row>
    <row r="258" customFormat="false" ht="15" hidden="false" customHeight="true" outlineLevel="0" collapsed="false">
      <c r="B258" s="1004" t="str">
        <f aca="false">'Смета Внутр'!B258</f>
        <v>Скальник, 1 маш 13м3</v>
      </c>
      <c r="C258" s="1004" t="str">
        <f aca="false">'Смета Внутр'!C258</f>
        <v>маш</v>
      </c>
      <c r="D258" s="1018" t="n">
        <f aca="false">'Смета Внутр'!D258</f>
        <v>1.53846153846154</v>
      </c>
      <c r="E258" s="1004" t="n">
        <f aca="false">'Смета Внутр'!E258</f>
        <v>15000</v>
      </c>
      <c r="F258" s="1004" t="n">
        <f aca="false">'Смета Внутр'!F258</f>
        <v>0</v>
      </c>
      <c r="G258" s="1004" t="n">
        <f aca="false">IF(E258&gt;F258,E258,F258)</f>
        <v>15000</v>
      </c>
      <c r="H258" s="1004" t="n">
        <f aca="false">'Смета Внутр'!G258</f>
        <v>23076.9230769231</v>
      </c>
      <c r="I258" s="1004" t="n">
        <f aca="false">'Смета Внутр'!H258</f>
        <v>0</v>
      </c>
      <c r="J258" s="1018" t="n">
        <f aca="false">'Смета Внутр'!I258</f>
        <v>0</v>
      </c>
    </row>
    <row r="259" customFormat="false" ht="15" hidden="false" customHeight="true" outlineLevel="0" collapsed="false">
      <c r="B259" s="1004" t="str">
        <f aca="false">'Смета Внутр'!B259</f>
        <v>ПГС, машина 13м3</v>
      </c>
      <c r="C259" s="1004" t="str">
        <f aca="false">'Смета Внутр'!C259</f>
        <v>маш</v>
      </c>
      <c r="D259" s="1018" t="n">
        <f aca="false">'Смета Внутр'!D259</f>
        <v>1.53846153846154</v>
      </c>
      <c r="E259" s="1004" t="n">
        <f aca="false">'Смета Внутр'!E259</f>
        <v>10000</v>
      </c>
      <c r="F259" s="1004" t="n">
        <f aca="false">'Смета Внутр'!F259</f>
        <v>0</v>
      </c>
      <c r="G259" s="1004" t="n">
        <f aca="false">IF(E259&gt;F259,E259,F259)</f>
        <v>10000</v>
      </c>
      <c r="H259" s="1004" t="n">
        <f aca="false">'Смета Внутр'!G259</f>
        <v>15384.6153846154</v>
      </c>
      <c r="I259" s="1004" t="n">
        <f aca="false">'Смета Внутр'!H259</f>
        <v>0</v>
      </c>
      <c r="J259" s="1018" t="n">
        <f aca="false">'Смета Внутр'!I259</f>
        <v>0</v>
      </c>
    </row>
    <row r="260" customFormat="false" ht="15" hidden="false" customHeight="true" outlineLevel="0" collapsed="false">
      <c r="B260" s="1004" t="str">
        <f aca="false">'Смета Внутр'!B260</f>
        <v>Песок, машина 13м3</v>
      </c>
      <c r="C260" s="1004" t="str">
        <f aca="false">'Смета Внутр'!C260</f>
        <v>маш</v>
      </c>
      <c r="D260" s="1018" t="n">
        <f aca="false">'Смета Внутр'!D260</f>
        <v>0.769230769230769</v>
      </c>
      <c r="E260" s="1004" t="n">
        <f aca="false">'Смета Внутр'!E260</f>
        <v>12000</v>
      </c>
      <c r="F260" s="1004" t="n">
        <f aca="false">'Смета Внутр'!F260</f>
        <v>0</v>
      </c>
      <c r="G260" s="1004" t="n">
        <f aca="false">IF(E260&gt;F260,E260,F260)</f>
        <v>12000</v>
      </c>
      <c r="H260" s="1004" t="n">
        <f aca="false">'Смета Внутр'!G260</f>
        <v>9230.76923076923</v>
      </c>
      <c r="I260" s="1004" t="n">
        <f aca="false">'Смета Внутр'!H260</f>
        <v>0</v>
      </c>
      <c r="J260" s="1018" t="n">
        <f aca="false">'Смета Внутр'!I260</f>
        <v>0</v>
      </c>
    </row>
    <row r="261" customFormat="false" ht="15" hidden="false" customHeight="true" outlineLevel="0" collapsed="false">
      <c r="B261" s="1004" t="str">
        <f aca="false">'Смета Внутр'!B261</f>
        <v>Сосна влаж,180*40мм</v>
      </c>
      <c r="C261" s="1004" t="str">
        <f aca="false">'Смета Внутр'!C261</f>
        <v>м3</v>
      </c>
      <c r="D261" s="1018" t="n">
        <f aca="false">'Смета Внутр'!D261</f>
        <v>0</v>
      </c>
      <c r="E261" s="1004" t="n">
        <f aca="false">'Смета Внутр'!E261</f>
        <v>6500</v>
      </c>
      <c r="F261" s="1004" t="n">
        <f aca="false">'Смета Внутр'!F261</f>
        <v>0</v>
      </c>
      <c r="G261" s="1004" t="n">
        <f aca="false">IF(E261&gt;F261,E261,F261)</f>
        <v>6500</v>
      </c>
      <c r="H261" s="1004" t="n">
        <f aca="false">'Смета Внутр'!G261</f>
        <v>0</v>
      </c>
      <c r="I261" s="1004" t="n">
        <f aca="false">'Смета Внутр'!H261</f>
        <v>0</v>
      </c>
      <c r="J261" s="1018" t="n">
        <f aca="false">'Смета Внутр'!I261</f>
        <v>0</v>
      </c>
    </row>
    <row r="262" customFormat="false" ht="15" hidden="false" customHeight="true" outlineLevel="0" collapsed="false">
      <c r="B262" s="1004" t="str">
        <f aca="false">'Смета Внутр'!B262</f>
        <v>Нет утеплителя</v>
      </c>
      <c r="C262" s="1004" t="str">
        <f aca="false">'Смета Внутр'!C262</f>
        <v>м3</v>
      </c>
      <c r="D262" s="1018" t="n">
        <f aca="false">'Смета Внутр'!D262</f>
        <v>0</v>
      </c>
      <c r="E262" s="1004" t="n">
        <f aca="false">'Смета Внутр'!E262</f>
        <v>0</v>
      </c>
      <c r="F262" s="1004" t="n">
        <f aca="false">'Смета Внутр'!F262</f>
        <v>0</v>
      </c>
      <c r="G262" s="1004" t="n">
        <f aca="false">IF(E262&gt;F262,E262,F262)</f>
        <v>0</v>
      </c>
      <c r="H262" s="1004" t="n">
        <f aca="false">'Смета Внутр'!G262</f>
        <v>0</v>
      </c>
      <c r="I262" s="1004" t="n">
        <f aca="false">'Смета Внутр'!H262</f>
        <v>0</v>
      </c>
      <c r="J262" s="1018" t="n">
        <f aca="false">'Смета Внутр'!I262</f>
        <v>0</v>
      </c>
    </row>
    <row r="263" customFormat="false" ht="15" hidden="false" customHeight="true" outlineLevel="0" collapsed="false">
      <c r="B263" s="1004" t="str">
        <f aca="false">'Смета Внутр'!B263</f>
        <v>Нет утеплителя</v>
      </c>
      <c r="C263" s="1004" t="str">
        <f aca="false">'Смета Внутр'!C263</f>
        <v>м3</v>
      </c>
      <c r="D263" s="1018" t="n">
        <f aca="false">'Смета Внутр'!D263</f>
        <v>0</v>
      </c>
      <c r="E263" s="1004" t="n">
        <f aca="false">'Смета Внутр'!E263</f>
        <v>0</v>
      </c>
      <c r="F263" s="1004" t="n">
        <f aca="false">'Смета Внутр'!F263</f>
        <v>0</v>
      </c>
      <c r="G263" s="1004" t="n">
        <f aca="false">IF(E263&gt;F263,E263,F263)</f>
        <v>0</v>
      </c>
      <c r="H263" s="1004" t="n">
        <f aca="false">'Смета Внутр'!G263</f>
        <v>0</v>
      </c>
      <c r="I263" s="1004" t="n">
        <f aca="false">'Смета Внутр'!H263</f>
        <v>0</v>
      </c>
      <c r="J263" s="1018" t="n">
        <f aca="false">'Смета Внутр'!I263</f>
        <v>0</v>
      </c>
    </row>
    <row r="264" customFormat="false" ht="15" hidden="false" customHeight="true" outlineLevel="0" collapsed="false">
      <c r="B264" s="1004" t="str">
        <f aca="false">'Смета Внутр'!B264</f>
        <v>Пленка гидроизоляционная</v>
      </c>
      <c r="C264" s="1004" t="str">
        <f aca="false">'Смета Внутр'!C264</f>
        <v>м2</v>
      </c>
      <c r="D264" s="1018" t="n">
        <f aca="false">'Смета Внутр'!D264</f>
        <v>130</v>
      </c>
      <c r="E264" s="1004" t="n">
        <f aca="false">'Смета Внутр'!E264</f>
        <v>15</v>
      </c>
      <c r="F264" s="1004" t="n">
        <f aca="false">'Смета Внутр'!F264</f>
        <v>0</v>
      </c>
      <c r="G264" s="1004" t="n">
        <f aca="false">IF(E264&gt;F264,E264,F264)</f>
        <v>15</v>
      </c>
      <c r="H264" s="1004" t="n">
        <f aca="false">'Смета Внутр'!G264</f>
        <v>1950</v>
      </c>
      <c r="I264" s="1004" t="n">
        <f aca="false">'Смета Внутр'!H264</f>
        <v>0</v>
      </c>
      <c r="J264" s="1018" t="n">
        <f aca="false">'Смета Внутр'!I264</f>
        <v>0</v>
      </c>
    </row>
    <row r="265" customFormat="false" ht="15" hidden="false" customHeight="true" outlineLevel="0" collapsed="false">
      <c r="B265" s="1004" t="str">
        <f aca="false">'Смета Внутр'!B265</f>
        <v>Кладочная сетка, 100*100/150*150/200*200мм</v>
      </c>
      <c r="C265" s="1004" t="str">
        <f aca="false">'Смета Внутр'!C265</f>
        <v>м2</v>
      </c>
      <c r="D265" s="1018" t="n">
        <f aca="false">'Смета Внутр'!D265</f>
        <v>100</v>
      </c>
      <c r="E265" s="1004" t="n">
        <f aca="false">'Смета Внутр'!E265</f>
        <v>70</v>
      </c>
      <c r="F265" s="1004" t="n">
        <f aca="false">'Смета Внутр'!F265</f>
        <v>0</v>
      </c>
      <c r="G265" s="1004" t="n">
        <f aca="false">IF(E265&gt;F265,E265,F265)</f>
        <v>70</v>
      </c>
      <c r="H265" s="1004" t="n">
        <f aca="false">'Смета Внутр'!G265</f>
        <v>7000</v>
      </c>
      <c r="I265" s="1004" t="n">
        <f aca="false">'Смета Внутр'!H265</f>
        <v>0</v>
      </c>
      <c r="J265" s="1018" t="n">
        <f aca="false">'Смета Внутр'!I265</f>
        <v>0</v>
      </c>
    </row>
    <row r="266" customFormat="false" ht="15" hidden="false" customHeight="true" outlineLevel="0" collapsed="false">
      <c r="B266" s="1004" t="str">
        <f aca="false">'Смета Внутр'!B266</f>
        <v>Стяжки пластиковые</v>
      </c>
      <c r="C266" s="1004" t="str">
        <f aca="false">'Смета Внутр'!C266</f>
        <v>шт</v>
      </c>
      <c r="D266" s="1018" t="n">
        <f aca="false">'Смета Внутр'!D266</f>
        <v>1140</v>
      </c>
      <c r="E266" s="1004" t="n">
        <f aca="false">'Смета Внутр'!E266</f>
        <v>2</v>
      </c>
      <c r="F266" s="1004" t="n">
        <f aca="false">'Смета Внутр'!F266</f>
        <v>0</v>
      </c>
      <c r="G266" s="1004" t="n">
        <f aca="false">IF(E266&gt;F266,E266,F266)</f>
        <v>2</v>
      </c>
      <c r="H266" s="1004" t="n">
        <f aca="false">'Смета Внутр'!G266</f>
        <v>2280</v>
      </c>
      <c r="I266" s="1004" t="n">
        <f aca="false">'Смета Внутр'!H266</f>
        <v>0</v>
      </c>
      <c r="J266" s="1018" t="n">
        <f aca="false">'Смета Внутр'!I266</f>
        <v>0</v>
      </c>
    </row>
    <row r="267" customFormat="false" ht="15" hidden="false" customHeight="true" outlineLevel="0" collapsed="false">
      <c r="B267" s="1004" t="str">
        <f aca="false">'Смета Внутр'!B267</f>
        <v>Бетон, м350</v>
      </c>
      <c r="C267" s="1004" t="str">
        <f aca="false">'Смета Внутр'!C267</f>
        <v>м3</v>
      </c>
      <c r="D267" s="1018" t="n">
        <f aca="false">'Смета Внутр'!D267</f>
        <v>0</v>
      </c>
      <c r="E267" s="1004" t="n">
        <f aca="false">'Смета Внутр'!E267</f>
        <v>3500</v>
      </c>
      <c r="F267" s="1004" t="n">
        <f aca="false">'Смета Внутр'!F267</f>
        <v>0</v>
      </c>
      <c r="G267" s="1004" t="n">
        <f aca="false">IF(E267&gt;F267,E267,F267)</f>
        <v>3500</v>
      </c>
      <c r="H267" s="1004" t="n">
        <f aca="false">'Смета Внутр'!G267</f>
        <v>0</v>
      </c>
      <c r="I267" s="1004" t="n">
        <f aca="false">'Смета Внутр'!H267</f>
        <v>0</v>
      </c>
      <c r="J267" s="1018" t="n">
        <f aca="false">'Смета Внутр'!I267</f>
        <v>0</v>
      </c>
    </row>
    <row r="268" customFormat="false" ht="15" hidden="false" customHeight="true" outlineLevel="0" collapsed="false">
      <c r="B268" s="1004" t="str">
        <f aca="false">'Смета Внутр'!B268</f>
        <v>Бетон, м250</v>
      </c>
      <c r="C268" s="1004" t="str">
        <f aca="false">'Смета Внутр'!C268</f>
        <v>м3</v>
      </c>
      <c r="D268" s="1018" t="n">
        <f aca="false">'Смета Внутр'!D268</f>
        <v>0</v>
      </c>
      <c r="E268" s="1004" t="n">
        <f aca="false">'Смета Внутр'!E268</f>
        <v>2750</v>
      </c>
      <c r="F268" s="1004" t="n">
        <f aca="false">'Смета Внутр'!F268</f>
        <v>0</v>
      </c>
      <c r="G268" s="1004" t="n">
        <f aca="false">IF(E268&gt;F268,E268,F268)</f>
        <v>2750</v>
      </c>
      <c r="H268" s="1004" t="n">
        <f aca="false">'Смета Внутр'!G268</f>
        <v>0</v>
      </c>
      <c r="I268" s="1004" t="n">
        <f aca="false">'Смета Внутр'!H268</f>
        <v>0</v>
      </c>
      <c r="J268" s="1018" t="n">
        <f aca="false">'Смета Внутр'!I268</f>
        <v>0</v>
      </c>
    </row>
    <row r="269" customFormat="false" ht="15" hidden="false" customHeight="true" outlineLevel="0" collapsed="false">
      <c r="B269" s="1004" t="str">
        <f aca="false">'Смета Внутр'!B269</f>
        <v>Труба теплого пола 3</v>
      </c>
      <c r="C269" s="1004" t="str">
        <f aca="false">'Смета Внутр'!C269</f>
        <v>м.п</v>
      </c>
      <c r="D269" s="1018" t="n">
        <f aca="false">'Смета Внутр'!D269</f>
        <v>280</v>
      </c>
      <c r="E269" s="1004" t="n">
        <f aca="false">'Смета Внутр'!E269</f>
        <v>60</v>
      </c>
      <c r="F269" s="1004" t="n">
        <f aca="false">'Смета Внутр'!F269</f>
        <v>0</v>
      </c>
      <c r="G269" s="1004" t="n">
        <f aca="false">IF(E269&gt;F269,E269,F269)</f>
        <v>60</v>
      </c>
      <c r="H269" s="1004" t="n">
        <f aca="false">'Смета Внутр'!G269</f>
        <v>16800</v>
      </c>
      <c r="I269" s="1004" t="n">
        <f aca="false">'Смета Внутр'!H269</f>
        <v>0</v>
      </c>
      <c r="J269" s="1018" t="n">
        <f aca="false">'Смета Внутр'!I269</f>
        <v>0</v>
      </c>
    </row>
    <row r="270" customFormat="false" ht="15" hidden="false" customHeight="true" outlineLevel="0" collapsed="false">
      <c r="B270" s="1004" t="str">
        <f aca="false">'Смета Внутр'!B270</f>
        <v>Коллектор 1</v>
      </c>
      <c r="C270" s="1004" t="str">
        <f aca="false">'Смета Внутр'!C270</f>
        <v>шт</v>
      </c>
      <c r="D270" s="1018" t="n">
        <f aca="false">'Смета Внутр'!D270</f>
        <v>1</v>
      </c>
      <c r="E270" s="1004" t="n">
        <f aca="false">'Смета Внутр'!E270</f>
        <v>5000</v>
      </c>
      <c r="F270" s="1004" t="n">
        <f aca="false">'Смета Внутр'!F270</f>
        <v>0</v>
      </c>
      <c r="G270" s="1004" t="n">
        <f aca="false">IF(E270&gt;F270,E270,F270)</f>
        <v>5000</v>
      </c>
      <c r="H270" s="1004" t="n">
        <f aca="false">'Смета Внутр'!G270</f>
        <v>5000</v>
      </c>
      <c r="I270" s="1004" t="n">
        <f aca="false">'Смета Внутр'!H270</f>
        <v>0</v>
      </c>
      <c r="J270" s="1018" t="n">
        <f aca="false">'Смета Внутр'!I270</f>
        <v>0</v>
      </c>
    </row>
    <row r="271" customFormat="false" ht="15" hidden="false" customHeight="true" outlineLevel="0" collapsed="false">
      <c r="B271" s="1004" t="str">
        <f aca="false">'Смета Внутр'!B271</f>
        <v>Нет арматуры</v>
      </c>
      <c r="C271" s="1004" t="str">
        <f aca="false">'Смета Внутр'!C271</f>
        <v>м.п.</v>
      </c>
      <c r="D271" s="1018" t="n">
        <f aca="false">'Смета Внутр'!D271</f>
        <v>246.4</v>
      </c>
      <c r="E271" s="1004" t="n">
        <f aca="false">'Смета Внутр'!E271</f>
        <v>0</v>
      </c>
      <c r="F271" s="1004" t="n">
        <f aca="false">'Смета Внутр'!F271</f>
        <v>0</v>
      </c>
      <c r="G271" s="1004" t="n">
        <f aca="false">IF(E271&gt;F271,E271,F271)</f>
        <v>0</v>
      </c>
      <c r="H271" s="1004" t="n">
        <f aca="false">'Смета Внутр'!G271</f>
        <v>0</v>
      </c>
      <c r="I271" s="1004" t="n">
        <f aca="false">'Смета Внутр'!H271</f>
        <v>0</v>
      </c>
      <c r="J271" s="1018" t="n">
        <f aca="false">'Смета Внутр'!I271</f>
        <v>0</v>
      </c>
    </row>
    <row r="272" customFormat="false" ht="15" hidden="false" customHeight="true" outlineLevel="0" collapsed="false">
      <c r="B272" s="1004" t="str">
        <f aca="false">'Смета Внутр'!B272</f>
        <v>Нет арматуры</v>
      </c>
      <c r="C272" s="1004" t="str">
        <f aca="false">'Смета Внутр'!C272</f>
        <v>м.п.</v>
      </c>
      <c r="D272" s="1018" t="n">
        <f aca="false">'Смета Внутр'!D272</f>
        <v>1000</v>
      </c>
      <c r="E272" s="1004" t="n">
        <f aca="false">'Смета Внутр'!E272</f>
        <v>0</v>
      </c>
      <c r="F272" s="1004" t="n">
        <f aca="false">'Смета Внутр'!F272</f>
        <v>0</v>
      </c>
      <c r="G272" s="1004" t="n">
        <f aca="false">IF(E272&gt;F272,E272,F272)</f>
        <v>0</v>
      </c>
      <c r="H272" s="1004" t="n">
        <f aca="false">'Смета Внутр'!G272</f>
        <v>0</v>
      </c>
      <c r="I272" s="1004" t="n">
        <f aca="false">'Смета Внутр'!H272</f>
        <v>0</v>
      </c>
      <c r="J272" s="1018" t="n">
        <f aca="false">'Смета Внутр'!I272</f>
        <v>0</v>
      </c>
    </row>
    <row r="273" customFormat="false" ht="15" hidden="false" customHeight="true" outlineLevel="0" collapsed="false">
      <c r="B273" s="1004" t="str">
        <f aca="false">'Смета Внутр'!B273</f>
        <v>Нет арматуры</v>
      </c>
      <c r="C273" s="1004" t="str">
        <f aca="false">'Смета Внутр'!C273</f>
        <v>м.п.</v>
      </c>
      <c r="D273" s="1018" t="n">
        <f aca="false">'Смета Внутр'!D273</f>
        <v>0</v>
      </c>
      <c r="E273" s="1004" t="n">
        <f aca="false">'Смета Внутр'!E273</f>
        <v>0</v>
      </c>
      <c r="F273" s="1004" t="n">
        <f aca="false">'Смета Внутр'!F273</f>
        <v>0</v>
      </c>
      <c r="G273" s="1004" t="n">
        <f aca="false">IF(E273&gt;F273,E273,F273)</f>
        <v>0</v>
      </c>
      <c r="H273" s="1004" t="n">
        <f aca="false">'Смета Внутр'!G273</f>
        <v>0</v>
      </c>
      <c r="I273" s="1004" t="n">
        <f aca="false">'Смета Внутр'!H273</f>
        <v>0</v>
      </c>
      <c r="J273" s="1018" t="n">
        <f aca="false">'Смета Внутр'!I273</f>
        <v>0</v>
      </c>
    </row>
    <row r="274" customFormat="false" ht="15" hidden="false" customHeight="true" outlineLevel="0" collapsed="false">
      <c r="B274" s="1004" t="str">
        <f aca="false">'Смета Внутр'!B274</f>
        <v>Вязальная проволока</v>
      </c>
      <c r="C274" s="1004" t="str">
        <f aca="false">'Смета Внутр'!C274</f>
        <v>кг</v>
      </c>
      <c r="D274" s="1018" t="n">
        <f aca="false">'Смета Внутр'!D274</f>
        <v>24.928</v>
      </c>
      <c r="E274" s="1004" t="n">
        <f aca="false">'Смета Внутр'!E274</f>
        <v>80</v>
      </c>
      <c r="F274" s="1004" t="n">
        <f aca="false">'Смета Внутр'!F274</f>
        <v>0</v>
      </c>
      <c r="G274" s="1004" t="n">
        <f aca="false">IF(E274&gt;F274,E274,F274)</f>
        <v>80</v>
      </c>
      <c r="H274" s="1004" t="n">
        <f aca="false">'Смета Внутр'!G274</f>
        <v>1994.24</v>
      </c>
      <c r="I274" s="1004" t="n">
        <f aca="false">'Смета Внутр'!H274</f>
        <v>0</v>
      </c>
      <c r="J274" s="1018" t="n">
        <f aca="false">'Смета Внутр'!I274</f>
        <v>0</v>
      </c>
    </row>
    <row r="275" customFormat="false" ht="15" hidden="false" customHeight="true" outlineLevel="0" collapsed="false">
      <c r="B275" s="1004" t="str">
        <f aca="false">'Смета Внутр'!B275</f>
        <v>Подставка под арматурный каркас</v>
      </c>
      <c r="C275" s="1004" t="str">
        <f aca="false">'Смета Внутр'!C275</f>
        <v>шт</v>
      </c>
      <c r="D275" s="1018" t="n">
        <f aca="false">'Смета Внутр'!D275</f>
        <v>300</v>
      </c>
      <c r="E275" s="1004" t="n">
        <f aca="false">'Смета Внутр'!E275</f>
        <v>5</v>
      </c>
      <c r="F275" s="1004" t="n">
        <f aca="false">'Смета Внутр'!F275</f>
        <v>0</v>
      </c>
      <c r="G275" s="1004" t="n">
        <f aca="false">IF(E275&gt;F275,E275,F275)</f>
        <v>5</v>
      </c>
      <c r="H275" s="1004" t="n">
        <f aca="false">'Смета Внутр'!G275</f>
        <v>1500</v>
      </c>
      <c r="I275" s="1004" t="n">
        <f aca="false">'Смета Внутр'!H275</f>
        <v>0</v>
      </c>
      <c r="J275" s="1018" t="n">
        <f aca="false">'Смета Внутр'!I275</f>
        <v>0</v>
      </c>
    </row>
    <row r="276" customFormat="false" ht="15" hidden="false" customHeight="true" outlineLevel="0" collapsed="false">
      <c r="B276" s="1004" t="str">
        <f aca="false">'Смета Внутр'!B276</f>
        <v>Гвозди строительные 3,5 x 90</v>
      </c>
      <c r="C276" s="1004" t="str">
        <f aca="false">'Смета Внутр'!C276</f>
        <v>кг</v>
      </c>
      <c r="D276" s="1018" t="n">
        <f aca="false">'Смета Внутр'!D276</f>
        <v>0</v>
      </c>
      <c r="E276" s="1004" t="n">
        <f aca="false">'Смета Внутр'!E276</f>
        <v>70</v>
      </c>
      <c r="F276" s="1004" t="n">
        <f aca="false">'Смета Внутр'!F276</f>
        <v>0</v>
      </c>
      <c r="G276" s="1004" t="n">
        <f aca="false">IF(E276&gt;F276,E276,F276)</f>
        <v>70</v>
      </c>
      <c r="H276" s="1004" t="n">
        <f aca="false">'Смета Внутр'!G276</f>
        <v>0</v>
      </c>
      <c r="I276" s="1004" t="n">
        <f aca="false">'Смета Внутр'!H276</f>
        <v>0</v>
      </c>
      <c r="J276" s="1018" t="n">
        <f aca="false">'Смета Внутр'!I276</f>
        <v>0</v>
      </c>
    </row>
    <row r="277" customFormat="false" ht="15" hidden="false" customHeight="true" outlineLevel="0" collapsed="false">
      <c r="B277" s="1004" t="str">
        <f aca="false">'Смета Внутр'!B277</f>
        <v>Геотекстиль</v>
      </c>
      <c r="C277" s="1004" t="str">
        <f aca="false">'Смета Внутр'!C277</f>
        <v>м2</v>
      </c>
      <c r="D277" s="1018" t="n">
        <f aca="false">'Смета Внутр'!D277</f>
        <v>115</v>
      </c>
      <c r="E277" s="1004" t="n">
        <f aca="false">'Смета Внутр'!E277</f>
        <v>100</v>
      </c>
      <c r="F277" s="1004" t="n">
        <f aca="false">'Смета Внутр'!F277</f>
        <v>0</v>
      </c>
      <c r="G277" s="1004" t="n">
        <f aca="false">IF(E277&gt;F277,E277,F277)</f>
        <v>100</v>
      </c>
      <c r="H277" s="1004" t="n">
        <f aca="false">'Смета Внутр'!G277</f>
        <v>11500</v>
      </c>
      <c r="I277" s="1004" t="n">
        <f aca="false">'Смета Внутр'!H277</f>
        <v>0</v>
      </c>
      <c r="J277" s="1018" t="n">
        <f aca="false">'Смета Внутр'!I277</f>
        <v>0</v>
      </c>
    </row>
    <row r="278" customFormat="false" ht="15" hidden="false" customHeight="true" outlineLevel="0" collapsed="false">
      <c r="B278" s="1004" t="str">
        <f aca="false">'Смета Внутр'!B278</f>
        <v>Труба гофрированная одностенная d110</v>
      </c>
      <c r="C278" s="1004" t="str">
        <f aca="false">'Смета Внутр'!C278</f>
        <v>м.п.</v>
      </c>
      <c r="D278" s="1018" t="n">
        <f aca="false">'Смета Внутр'!D278</f>
        <v>61</v>
      </c>
      <c r="E278" s="1004" t="n">
        <f aca="false">'Смета Внутр'!E278</f>
        <v>77</v>
      </c>
      <c r="F278" s="1004" t="n">
        <f aca="false">'Смета Внутр'!F278</f>
        <v>0</v>
      </c>
      <c r="G278" s="1004" t="n">
        <f aca="false">IF(E278&gt;F278,E278,F278)</f>
        <v>77</v>
      </c>
      <c r="H278" s="1004" t="n">
        <f aca="false">'Смета Внутр'!G278</f>
        <v>4697</v>
      </c>
      <c r="I278" s="1004" t="n">
        <f aca="false">'Смета Внутр'!H278</f>
        <v>0</v>
      </c>
      <c r="J278" s="1018" t="n">
        <f aca="false">'Смета Внутр'!I278</f>
        <v>0</v>
      </c>
    </row>
    <row r="279" customFormat="false" ht="15" hidden="false" customHeight="true" outlineLevel="0" collapsed="false">
      <c r="B279" s="1004" t="str">
        <f aca="false">'Смета Внутр'!B279</f>
        <v>Дренажный колодец D300</v>
      </c>
      <c r="C279" s="1004" t="str">
        <f aca="false">'Смета Внутр'!C279</f>
        <v>шт</v>
      </c>
      <c r="D279" s="1018" t="n">
        <f aca="false">'Смета Внутр'!D279</f>
        <v>0</v>
      </c>
      <c r="E279" s="1004" t="n">
        <f aca="false">'Смета Внутр'!E279</f>
        <v>1500</v>
      </c>
      <c r="F279" s="1004" t="n">
        <f aca="false">'Смета Внутр'!F279</f>
        <v>0</v>
      </c>
      <c r="G279" s="1004" t="n">
        <f aca="false">IF(E279&gt;F279,E279,F279)</f>
        <v>1500</v>
      </c>
      <c r="H279" s="1004" t="n">
        <f aca="false">'Смета Внутр'!G279</f>
        <v>0</v>
      </c>
      <c r="I279" s="1004" t="n">
        <f aca="false">'Смета Внутр'!H279</f>
        <v>0</v>
      </c>
      <c r="J279" s="1018" t="n">
        <f aca="false">'Смета Внутр'!I279</f>
        <v>0</v>
      </c>
    </row>
    <row r="280" customFormat="false" ht="15" hidden="false" customHeight="true" outlineLevel="0" collapsed="false">
      <c r="B280" s="1004" t="str">
        <f aca="false">'Смета Внутр'!B280</f>
        <v>Труба канализационная D110</v>
      </c>
      <c r="C280" s="1004" t="str">
        <f aca="false">'Смета Внутр'!C280</f>
        <v>шт</v>
      </c>
      <c r="D280" s="1018" t="n">
        <f aca="false">'Смета Внутр'!D280</f>
        <v>0</v>
      </c>
      <c r="E280" s="1004" t="n">
        <f aca="false">'Смета Внутр'!E280</f>
        <v>70</v>
      </c>
      <c r="F280" s="1004" t="n">
        <f aca="false">'Смета Внутр'!F280</f>
        <v>0</v>
      </c>
      <c r="G280" s="1004" t="n">
        <f aca="false">IF(E280&gt;F280,E280,F280)</f>
        <v>70</v>
      </c>
      <c r="H280" s="1004" t="n">
        <f aca="false">'Смета Внутр'!G280</f>
        <v>0</v>
      </c>
      <c r="I280" s="1004" t="n">
        <f aca="false">'Смета Внутр'!H280</f>
        <v>0</v>
      </c>
      <c r="J280" s="1018" t="n">
        <f aca="false">'Смета Внутр'!I280</f>
        <v>0</v>
      </c>
    </row>
    <row r="281" customFormat="false" ht="14.5" hidden="false" customHeight="false" outlineLevel="0" collapsed="false">
      <c r="B281" s="2927" t="str">
        <f aca="false">'Смета Внутр'!B281</f>
        <v>Итого материалы</v>
      </c>
      <c r="C281" s="2927"/>
      <c r="D281" s="2927"/>
      <c r="E281" s="2927"/>
      <c r="F281" s="2927"/>
      <c r="G281" s="2927"/>
      <c r="H281" s="1004" t="n">
        <f aca="false">'Смета Внутр'!G281</f>
        <v>0</v>
      </c>
      <c r="I281" s="1004" t="n">
        <f aca="false">'Смета Внутр'!H281</f>
        <v>0</v>
      </c>
      <c r="J281" s="1018" t="n">
        <f aca="false">'Смета Внутр'!I281</f>
        <v>0</v>
      </c>
    </row>
    <row r="282" customFormat="false" ht="15" hidden="false" customHeight="true" outlineLevel="0" collapsed="false">
      <c r="B282" s="2881" t="str">
        <f aca="false">'Смета Внутр'!B282</f>
        <v>Работы</v>
      </c>
      <c r="D282" s="919"/>
      <c r="H282" s="0" t="n">
        <f aca="false">'Смета Внутр'!G282</f>
        <v>0</v>
      </c>
      <c r="I282" s="0" t="n">
        <f aca="false">'Смета Внутр'!H282</f>
        <v>0</v>
      </c>
      <c r="J282" s="2926" t="n">
        <f aca="false">'Смета Внутр'!I282</f>
        <v>0</v>
      </c>
    </row>
    <row r="283" customFormat="false" ht="15" hidden="false" customHeight="true" outlineLevel="0" collapsed="false">
      <c r="B283" s="1004" t="str">
        <f aca="false">'Смета Внутр'!B283</f>
        <v>разбивка осей фундамента</v>
      </c>
      <c r="C283" s="1004" t="str">
        <f aca="false">'Смета Внутр'!C283</f>
        <v>шт</v>
      </c>
      <c r="D283" s="1018" t="n">
        <f aca="false">'Смета Внутр'!D283</f>
        <v>1</v>
      </c>
      <c r="E283" s="1004" t="n">
        <f aca="false">'Смета Внутр'!E283</f>
        <v>7000</v>
      </c>
      <c r="F283" s="1004" t="n">
        <f aca="false">'Смета Внутр'!F283</f>
        <v>0</v>
      </c>
      <c r="G283" s="1004" t="n">
        <f aca="false">IF(E283&gt;F283,E283,F283)</f>
        <v>7000</v>
      </c>
      <c r="H283" s="1004" t="n">
        <f aca="false">'Смета Внутр'!G283</f>
        <v>7000</v>
      </c>
      <c r="I283" s="1004" t="n">
        <f aca="false">'Смета Внутр'!H283</f>
        <v>0</v>
      </c>
      <c r="J283" s="1018" t="n">
        <f aca="false">'Смета Внутр'!I283</f>
        <v>0</v>
      </c>
    </row>
    <row r="284" customFormat="false" ht="15" hidden="false" customHeight="true" outlineLevel="0" collapsed="false">
      <c r="B284" s="1004" t="str">
        <f aca="false">'Смета Внутр'!B284</f>
        <v>трамбовка пгс</v>
      </c>
      <c r="C284" s="1004" t="str">
        <f aca="false">'Смета Внутр'!C284</f>
        <v>м2</v>
      </c>
      <c r="D284" s="1018" t="n">
        <f aca="false">'Смета Внутр'!D284</f>
        <v>100</v>
      </c>
      <c r="E284" s="1004" t="n">
        <f aca="false">'Смета Внутр'!E284</f>
        <v>600</v>
      </c>
      <c r="F284" s="1004" t="n">
        <f aca="false">'Смета Внутр'!F284</f>
        <v>0</v>
      </c>
      <c r="G284" s="1004" t="n">
        <f aca="false">IF(E284&gt;F284,E284,F284)</f>
        <v>600</v>
      </c>
      <c r="H284" s="1004" t="n">
        <f aca="false">'Смета Внутр'!G284</f>
        <v>60000</v>
      </c>
      <c r="I284" s="1004" t="n">
        <f aca="false">'Смета Внутр'!H284</f>
        <v>0</v>
      </c>
      <c r="J284" s="1018" t="n">
        <f aca="false">'Смета Внутр'!I284</f>
        <v>0</v>
      </c>
    </row>
    <row r="285" customFormat="false" ht="15" hidden="false" customHeight="true" outlineLevel="0" collapsed="false">
      <c r="B285" s="1004" t="str">
        <f aca="false">'Смета Внутр'!B285</f>
        <v>трамбовка скальник</v>
      </c>
      <c r="C285" s="1004" t="str">
        <f aca="false">'Смета Внутр'!C285</f>
        <v>м2</v>
      </c>
      <c r="D285" s="1018" t="n">
        <f aca="false">'Смета Внутр'!D285</f>
        <v>100</v>
      </c>
      <c r="E285" s="1004" t="n">
        <f aca="false">'Смета Внутр'!E285</f>
        <v>400</v>
      </c>
      <c r="F285" s="1004" t="n">
        <f aca="false">'Смета Внутр'!F285</f>
        <v>0</v>
      </c>
      <c r="G285" s="1004" t="n">
        <f aca="false">IF(E285&gt;F285,E285,F285)</f>
        <v>400</v>
      </c>
      <c r="H285" s="1004" t="n">
        <f aca="false">'Смета Внутр'!G285</f>
        <v>40000</v>
      </c>
      <c r="I285" s="1004" t="n">
        <f aca="false">'Смета Внутр'!H285</f>
        <v>0</v>
      </c>
      <c r="J285" s="1018" t="n">
        <f aca="false">'Смета Внутр'!I285</f>
        <v>0</v>
      </c>
    </row>
    <row r="286" customFormat="false" ht="15" hidden="false" customHeight="true" outlineLevel="0" collapsed="false">
      <c r="B286" s="1004" t="str">
        <f aca="false">'Смета Внутр'!B286</f>
        <v>трамбовка песок</v>
      </c>
      <c r="C286" s="1004" t="str">
        <f aca="false">'Смета Внутр'!C286</f>
        <v>м2</v>
      </c>
      <c r="D286" s="1018" t="n">
        <f aca="false">'Смета Внутр'!D286</f>
        <v>100</v>
      </c>
      <c r="E286" s="1004" t="n">
        <f aca="false">'Смета Внутр'!E286</f>
        <v>350</v>
      </c>
      <c r="F286" s="1004" t="n">
        <f aca="false">'Смета Внутр'!F286</f>
        <v>0</v>
      </c>
      <c r="G286" s="1004" t="n">
        <f aca="false">IF(E286&gt;F286,E286,F286)</f>
        <v>350</v>
      </c>
      <c r="H286" s="1004" t="n">
        <f aca="false">'Смета Внутр'!G286</f>
        <v>35000</v>
      </c>
      <c r="I286" s="1004" t="n">
        <f aca="false">'Смета Внутр'!H286</f>
        <v>0</v>
      </c>
      <c r="J286" s="1018" t="n">
        <f aca="false">'Смета Внутр'!I286</f>
        <v>0</v>
      </c>
    </row>
    <row r="287" customFormat="false" ht="15" hidden="false" customHeight="true" outlineLevel="0" collapsed="false">
      <c r="B287" s="1004" t="str">
        <f aca="false">'Смета Внутр'!B287</f>
        <v>сборка/разборка опалубки</v>
      </c>
      <c r="C287" s="1004" t="str">
        <f aca="false">'Смета Внутр'!C287</f>
        <v>м2</v>
      </c>
      <c r="D287" s="1018" t="n">
        <f aca="false">'Смета Внутр'!D287</f>
        <v>0</v>
      </c>
      <c r="E287" s="1004" t="n">
        <f aca="false">'Смета Внутр'!E287</f>
        <v>400</v>
      </c>
      <c r="F287" s="1004" t="n">
        <f aca="false">'Смета Внутр'!F287</f>
        <v>0</v>
      </c>
      <c r="G287" s="1004" t="n">
        <f aca="false">IF(E287&gt;F287,E287,F287)</f>
        <v>400</v>
      </c>
      <c r="H287" s="1004" t="n">
        <f aca="false">'Смета Внутр'!G287</f>
        <v>0</v>
      </c>
      <c r="I287" s="1004" t="n">
        <f aca="false">'Смета Внутр'!H287</f>
        <v>0</v>
      </c>
      <c r="J287" s="1018" t="n">
        <f aca="false">'Смета Внутр'!I287</f>
        <v>0</v>
      </c>
    </row>
    <row r="288" customFormat="false" ht="15" hidden="false" customHeight="true" outlineLevel="0" collapsed="false">
      <c r="B288" s="1004" t="str">
        <f aca="false">'Смета Внутр'!B288</f>
        <v>укладка утеплителя под плиту</v>
      </c>
      <c r="C288" s="1004" t="str">
        <f aca="false">'Смета Внутр'!C288</f>
        <v>м2</v>
      </c>
      <c r="D288" s="1018" t="n">
        <f aca="false">'Смета Внутр'!D288</f>
        <v>100</v>
      </c>
      <c r="E288" s="1004" t="n">
        <f aca="false">'Смета Внутр'!E288</f>
        <v>200</v>
      </c>
      <c r="F288" s="1004" t="n">
        <f aca="false">'Смета Внутр'!F288</f>
        <v>0</v>
      </c>
      <c r="G288" s="1004" t="n">
        <f aca="false">IF(E288&gt;F288,E288,F288)</f>
        <v>200</v>
      </c>
      <c r="H288" s="1004" t="n">
        <f aca="false">'Смета Внутр'!G288</f>
        <v>20000</v>
      </c>
      <c r="I288" s="1004" t="n">
        <f aca="false">'Смета Внутр'!H288</f>
        <v>0</v>
      </c>
      <c r="J288" s="1018" t="n">
        <f aca="false">'Смета Внутр'!I288</f>
        <v>0</v>
      </c>
    </row>
    <row r="289" customFormat="false" ht="15" hidden="false" customHeight="true" outlineLevel="0" collapsed="false">
      <c r="B289" s="1004" t="str">
        <f aca="false">'Смета Внутр'!B289</f>
        <v>укладка утеплителя под отмостка</v>
      </c>
      <c r="C289" s="1004" t="str">
        <f aca="false">'Смета Внутр'!C289</f>
        <v>м2</v>
      </c>
      <c r="D289" s="1018" t="n">
        <f aca="false">'Смета Внутр'!D289</f>
        <v>0</v>
      </c>
      <c r="E289" s="1004" t="n">
        <f aca="false">'Смета Внутр'!E289</f>
        <v>200</v>
      </c>
      <c r="F289" s="1004" t="n">
        <f aca="false">'Смета Внутр'!F289</f>
        <v>0</v>
      </c>
      <c r="G289" s="1004" t="n">
        <f aca="false">IF(E289&gt;F289,E289,F289)</f>
        <v>200</v>
      </c>
      <c r="H289" s="1004" t="n">
        <f aca="false">'Смета Внутр'!G289</f>
        <v>0</v>
      </c>
      <c r="I289" s="1004" t="n">
        <f aca="false">'Смета Внутр'!H289</f>
        <v>0</v>
      </c>
      <c r="J289" s="1018" t="n">
        <f aca="false">'Смета Внутр'!I289</f>
        <v>0</v>
      </c>
    </row>
    <row r="290" customFormat="false" ht="15" hidden="false" customHeight="true" outlineLevel="0" collapsed="false">
      <c r="B290" s="1004" t="str">
        <f aca="false">'Смета Внутр'!B290</f>
        <v>укладка пленки</v>
      </c>
      <c r="C290" s="1004" t="str">
        <f aca="false">'Смета Внутр'!C290</f>
        <v>м2</v>
      </c>
      <c r="D290" s="1018" t="n">
        <f aca="false">'Смета Внутр'!D290</f>
        <v>100</v>
      </c>
      <c r="E290" s="1004" t="n">
        <f aca="false">'Смета Внутр'!E290</f>
        <v>10</v>
      </c>
      <c r="F290" s="1004" t="n">
        <f aca="false">'Смета Внутр'!F290</f>
        <v>0</v>
      </c>
      <c r="G290" s="1004" t="n">
        <f aca="false">IF(E290&gt;F290,E290,F290)</f>
        <v>10</v>
      </c>
      <c r="H290" s="1004" t="n">
        <f aca="false">'Смета Внутр'!G290</f>
        <v>1000</v>
      </c>
      <c r="I290" s="1004" t="n">
        <f aca="false">'Смета Внутр'!H290</f>
        <v>0</v>
      </c>
      <c r="J290" s="1018" t="n">
        <f aca="false">'Смета Внутр'!I290</f>
        <v>0</v>
      </c>
    </row>
    <row r="291" customFormat="false" ht="15" hidden="false" customHeight="true" outlineLevel="0" collapsed="false">
      <c r="B291" s="1004" t="str">
        <f aca="false">'Смета Внутр'!B291</f>
        <v>кладка сетки</v>
      </c>
      <c r="C291" s="1004" t="str">
        <f aca="false">'Смета Внутр'!C291</f>
        <v>м2</v>
      </c>
      <c r="D291" s="1018" t="n">
        <f aca="false">'Смета Внутр'!D291</f>
        <v>100</v>
      </c>
      <c r="E291" s="1004" t="n">
        <f aca="false">'Смета Внутр'!E291</f>
        <v>100</v>
      </c>
      <c r="F291" s="1004" t="n">
        <f aca="false">'Смета Внутр'!F291</f>
        <v>0</v>
      </c>
      <c r="G291" s="1004" t="n">
        <f aca="false">IF(E291&gt;F291,E291,F291)</f>
        <v>100</v>
      </c>
      <c r="H291" s="1004" t="n">
        <f aca="false">'Смета Внутр'!G291</f>
        <v>10000</v>
      </c>
      <c r="I291" s="1004" t="n">
        <f aca="false">'Смета Внутр'!H291</f>
        <v>0</v>
      </c>
      <c r="J291" s="1018" t="n">
        <f aca="false">'Смета Внутр'!I291</f>
        <v>0</v>
      </c>
    </row>
    <row r="292" customFormat="false" ht="15" hidden="false" customHeight="true" outlineLevel="0" collapsed="false">
      <c r="B292" s="1004" t="str">
        <f aca="false">'Смета Внутр'!B292</f>
        <v>укладка теп. Пола</v>
      </c>
      <c r="C292" s="1004" t="str">
        <f aca="false">'Смета Внутр'!C292</f>
        <v>м2</v>
      </c>
      <c r="D292" s="1018" t="n">
        <f aca="false">'Смета Внутр'!D292</f>
        <v>100</v>
      </c>
      <c r="E292" s="1004" t="n">
        <f aca="false">'Смета Внутр'!E292</f>
        <v>600</v>
      </c>
      <c r="F292" s="1004" t="n">
        <f aca="false">'Смета Внутр'!F292</f>
        <v>0</v>
      </c>
      <c r="G292" s="1004" t="n">
        <f aca="false">IF(E292&gt;F292,E292,F292)</f>
        <v>600</v>
      </c>
      <c r="H292" s="1004" t="n">
        <f aca="false">'Смета Внутр'!G292</f>
        <v>60000</v>
      </c>
      <c r="I292" s="1004" t="n">
        <f aca="false">'Смета Внутр'!H292</f>
        <v>0</v>
      </c>
      <c r="J292" s="1018" t="n">
        <f aca="false">'Смета Внутр'!I292</f>
        <v>0</v>
      </c>
    </row>
    <row r="293" customFormat="false" ht="15" hidden="false" customHeight="true" outlineLevel="0" collapsed="false">
      <c r="B293" s="1004" t="str">
        <f aca="false">'Смета Внутр'!B293</f>
        <v>Заливка бетоном перекрытия/плиты</v>
      </c>
      <c r="C293" s="1004" t="str">
        <f aca="false">'Смета Внутр'!C293</f>
        <v>м2</v>
      </c>
      <c r="D293" s="1018" t="n">
        <f aca="false">'Смета Внутр'!D293</f>
        <v>100</v>
      </c>
      <c r="E293" s="1004" t="n">
        <f aca="false">'Смета Внутр'!E293</f>
        <v>350</v>
      </c>
      <c r="F293" s="1004" t="n">
        <f aca="false">'Смета Внутр'!F293</f>
        <v>0</v>
      </c>
      <c r="G293" s="1004" t="n">
        <f aca="false">IF(E293&gt;F293,E293,F293)</f>
        <v>350</v>
      </c>
      <c r="H293" s="1004" t="n">
        <f aca="false">'Смета Внутр'!G293</f>
        <v>35000</v>
      </c>
      <c r="I293" s="1004" t="n">
        <f aca="false">'Смета Внутр'!H293</f>
        <v>0</v>
      </c>
      <c r="J293" s="1018" t="n">
        <f aca="false">'Смета Внутр'!I293</f>
        <v>0</v>
      </c>
    </row>
    <row r="294" customFormat="false" ht="15" hidden="false" customHeight="true" outlineLevel="0" collapsed="false">
      <c r="B294" s="1004" t="str">
        <f aca="false">'Смета Внутр'!B294</f>
        <v>заливка бетоном отмостки</v>
      </c>
      <c r="C294" s="1004" t="str">
        <f aca="false">'Смета Внутр'!C294</f>
        <v>м2</v>
      </c>
      <c r="D294" s="1018" t="n">
        <f aca="false">'Смета Внутр'!D294</f>
        <v>0</v>
      </c>
      <c r="E294" s="1004" t="n">
        <f aca="false">'Смета Внутр'!E294</f>
        <v>500</v>
      </c>
      <c r="F294" s="1004" t="n">
        <f aca="false">'Смета Внутр'!F294</f>
        <v>0</v>
      </c>
      <c r="G294" s="1004" t="n">
        <f aca="false">IF(E294&gt;F294,E294,F294)</f>
        <v>500</v>
      </c>
      <c r="H294" s="1004" t="n">
        <f aca="false">'Смета Внутр'!G294</f>
        <v>0</v>
      </c>
      <c r="I294" s="1004" t="n">
        <f aca="false">'Смета Внутр'!H294</f>
        <v>0</v>
      </c>
      <c r="J294" s="1018" t="n">
        <f aca="false">'Смета Внутр'!I294</f>
        <v>0</v>
      </c>
    </row>
    <row r="295" customFormat="false" ht="15" hidden="false" customHeight="true" outlineLevel="0" collapsed="false">
      <c r="B295" s="1004" t="str">
        <f aca="false">'Смета Внутр'!B295</f>
        <v>армирование пол</v>
      </c>
      <c r="C295" s="1004" t="str">
        <f aca="false">'Смета Внутр'!C295</f>
        <v>м2</v>
      </c>
      <c r="D295" s="1018" t="n">
        <f aca="false">'Смета Внутр'!D295</f>
        <v>100</v>
      </c>
      <c r="E295" s="1004" t="n">
        <f aca="false">'Смета Внутр'!E295</f>
        <v>300</v>
      </c>
      <c r="F295" s="1004" t="n">
        <f aca="false">'Смета Внутр'!F295</f>
        <v>0</v>
      </c>
      <c r="G295" s="1004" t="n">
        <f aca="false">IF(E295&gt;F295,E295,F295)</f>
        <v>300</v>
      </c>
      <c r="H295" s="1004" t="n">
        <f aca="false">'Смета Внутр'!G295</f>
        <v>30000</v>
      </c>
      <c r="I295" s="1004" t="n">
        <f aca="false">'Смета Внутр'!H295</f>
        <v>0</v>
      </c>
      <c r="J295" s="1018" t="n">
        <f aca="false">'Смета Внутр'!I295</f>
        <v>0</v>
      </c>
    </row>
    <row r="296" customFormat="false" ht="15" hidden="false" customHeight="true" outlineLevel="0" collapsed="false">
      <c r="B296" s="1004" t="str">
        <f aca="false">'Смета Внутр'!B296</f>
        <v>армирование отмостки</v>
      </c>
      <c r="C296" s="1004" t="str">
        <f aca="false">'Смета Внутр'!C296</f>
        <v>м2</v>
      </c>
      <c r="D296" s="1018" t="n">
        <f aca="false">'Смета Внутр'!D296</f>
        <v>0</v>
      </c>
      <c r="E296" s="1004" t="n">
        <f aca="false">'Смета Внутр'!E296</f>
        <v>350</v>
      </c>
      <c r="F296" s="1004" t="n">
        <f aca="false">'Смета Внутр'!F296</f>
        <v>0</v>
      </c>
      <c r="G296" s="1004" t="n">
        <f aca="false">IF(E296&gt;F296,E296,F296)</f>
        <v>350</v>
      </c>
      <c r="H296" s="1004" t="n">
        <f aca="false">'Смета Внутр'!G296</f>
        <v>0</v>
      </c>
      <c r="I296" s="1004" t="n">
        <f aca="false">'Смета Внутр'!H296</f>
        <v>0</v>
      </c>
      <c r="J296" s="1018" t="n">
        <f aca="false">'Смета Внутр'!I296</f>
        <v>0</v>
      </c>
    </row>
    <row r="297" customFormat="false" ht="15" hidden="false" customHeight="true" outlineLevel="0" collapsed="false">
      <c r="B297" s="1004" t="str">
        <f aca="false">'Смета Внутр'!B297</f>
        <v>монтаж канализации</v>
      </c>
      <c r="C297" s="1004" t="str">
        <f aca="false">'Смета Внутр'!C297</f>
        <v>м.п.</v>
      </c>
      <c r="D297" s="1018" t="n">
        <f aca="false">'Смета Внутр'!D297</f>
        <v>0</v>
      </c>
      <c r="E297" s="1004" t="n">
        <f aca="false">'Смета Внутр'!E297</f>
        <v>200</v>
      </c>
      <c r="F297" s="1004" t="n">
        <f aca="false">'Смета Внутр'!F297</f>
        <v>0</v>
      </c>
      <c r="G297" s="1004" t="n">
        <f aca="false">IF(E297&gt;F297,E297,F297)</f>
        <v>200</v>
      </c>
      <c r="H297" s="1004" t="n">
        <f aca="false">'Смета Внутр'!G297</f>
        <v>0</v>
      </c>
      <c r="I297" s="1004" t="n">
        <f aca="false">'Смета Внутр'!H297</f>
        <v>0</v>
      </c>
      <c r="J297" s="1018" t="n">
        <f aca="false">'Смета Внутр'!I297</f>
        <v>0</v>
      </c>
    </row>
    <row r="298" customFormat="false" ht="15" hidden="false" customHeight="true" outlineLevel="0" collapsed="false">
      <c r="B298" s="1004" t="str">
        <f aca="false">'Смета Внутр'!B298</f>
        <v>укладка геотекстиля</v>
      </c>
      <c r="C298" s="1004" t="str">
        <f aca="false">'Смета Внутр'!C298</f>
        <v>м2</v>
      </c>
      <c r="D298" s="1018" t="n">
        <f aca="false">'Смета Внутр'!D298</f>
        <v>100</v>
      </c>
      <c r="E298" s="1004" t="n">
        <f aca="false">'Смета Внутр'!E298</f>
        <v>200</v>
      </c>
      <c r="F298" s="1004" t="n">
        <f aca="false">'Смета Внутр'!F298</f>
        <v>0</v>
      </c>
      <c r="G298" s="1004" t="n">
        <f aca="false">IF(E298&gt;F298,E298,F298)</f>
        <v>200</v>
      </c>
      <c r="H298" s="1004" t="n">
        <f aca="false">'Смета Внутр'!G298</f>
        <v>20000</v>
      </c>
      <c r="I298" s="1004" t="n">
        <f aca="false">'Смета Внутр'!H298</f>
        <v>0</v>
      </c>
      <c r="J298" s="1018" t="n">
        <f aca="false">'Смета Внутр'!I298</f>
        <v>0</v>
      </c>
    </row>
    <row r="299" customFormat="false" ht="15" hidden="false" customHeight="true" outlineLevel="0" collapsed="false">
      <c r="B299" s="1004" t="str">
        <f aca="false">'Смета Внутр'!B299</f>
        <v>укладка дренажа</v>
      </c>
      <c r="C299" s="1004" t="str">
        <f aca="false">'Смета Внутр'!C299</f>
        <v>м2</v>
      </c>
      <c r="D299" s="1018" t="n">
        <f aca="false">'Смета Внутр'!D299</f>
        <v>61</v>
      </c>
      <c r="E299" s="1004" t="n">
        <f aca="false">'Смета Внутр'!E299</f>
        <v>200</v>
      </c>
      <c r="F299" s="1004" t="n">
        <f aca="false">'Смета Внутр'!F299</f>
        <v>0</v>
      </c>
      <c r="G299" s="1004" t="n">
        <f aca="false">IF(E299&gt;F299,E299,F299)</f>
        <v>200</v>
      </c>
      <c r="H299" s="1004" t="n">
        <f aca="false">'Смета Внутр'!G299</f>
        <v>12200</v>
      </c>
      <c r="I299" s="1004" t="n">
        <f aca="false">'Смета Внутр'!H299</f>
        <v>0</v>
      </c>
      <c r="J299" s="1018" t="n">
        <f aca="false">'Смета Внутр'!I299</f>
        <v>0</v>
      </c>
    </row>
    <row r="300" customFormat="false" ht="15" hidden="false" customHeight="true" outlineLevel="0" collapsed="false">
      <c r="B300" s="1004" t="str">
        <f aca="false">'Смета Внутр'!B300</f>
        <v>монтаж дренажного колодца</v>
      </c>
      <c r="C300" s="1004" t="str">
        <f aca="false">'Смета Внутр'!C300</f>
        <v>шт</v>
      </c>
      <c r="D300" s="1018" t="n">
        <f aca="false">'Смета Внутр'!D300</f>
        <v>0</v>
      </c>
      <c r="E300" s="1004" t="n">
        <f aca="false">'Смета Внутр'!E300</f>
        <v>300</v>
      </c>
      <c r="F300" s="1004" t="n">
        <f aca="false">'Смета Внутр'!F300</f>
        <v>0</v>
      </c>
      <c r="G300" s="1004" t="n">
        <f aca="false">IF(E300&gt;F300,E300,F300)</f>
        <v>300</v>
      </c>
      <c r="H300" s="1004" t="n">
        <f aca="false">'Смета Внутр'!G300</f>
        <v>0</v>
      </c>
      <c r="I300" s="1004" t="n">
        <f aca="false">'Смета Внутр'!H300</f>
        <v>0</v>
      </c>
      <c r="J300" s="1018" t="n">
        <f aca="false">'Смета Внутр'!I300</f>
        <v>0</v>
      </c>
    </row>
    <row r="301" customFormat="false" ht="15" hidden="false" customHeight="true" outlineLevel="0" collapsed="false">
      <c r="B301" s="2927" t="str">
        <f aca="false">'Смета Внутр'!B301</f>
        <v>Итого работы</v>
      </c>
      <c r="C301" s="2927"/>
      <c r="D301" s="2927"/>
      <c r="E301" s="2927"/>
      <c r="F301" s="2927"/>
      <c r="G301" s="2927"/>
      <c r="H301" s="1004" t="n">
        <f aca="false">'Смета Внутр'!G301</f>
        <v>0</v>
      </c>
      <c r="I301" s="1004" t="n">
        <f aca="false">'Смета Внутр'!H301</f>
        <v>0</v>
      </c>
      <c r="J301" s="1018" t="n">
        <f aca="false">'Смета Внутр'!I301</f>
        <v>0</v>
      </c>
    </row>
    <row r="302" customFormat="false" ht="15" hidden="false" customHeight="true" outlineLevel="0" collapsed="false">
      <c r="B302" s="2925" t="str">
        <f aca="false">'Смета Внутр'!B302</f>
        <v>Сип-Панели</v>
      </c>
      <c r="C302" s="2925"/>
      <c r="D302" s="2925"/>
      <c r="H302" s="0" t="n">
        <f aca="false">'Смета Внутр'!G302</f>
        <v>0</v>
      </c>
      <c r="I302" s="0" t="n">
        <f aca="false">'Смета Внутр'!H302</f>
        <v>0</v>
      </c>
      <c r="J302" s="2926" t="n">
        <f aca="false">'Смета Внутр'!I302</f>
        <v>0</v>
      </c>
    </row>
    <row r="303" customFormat="false" ht="15" hidden="false" customHeight="true" outlineLevel="0" collapsed="false">
      <c r="B303" s="2881" t="str">
        <f aca="false">'Смета Внутр'!B303</f>
        <v>Материалы</v>
      </c>
      <c r="D303" s="919"/>
      <c r="H303" s="0" t="n">
        <f aca="false">'Смета Внутр'!G303</f>
        <v>0</v>
      </c>
      <c r="I303" s="0" t="n">
        <f aca="false">'Смета Внутр'!H303</f>
        <v>0</v>
      </c>
      <c r="J303" s="2926" t="n">
        <f aca="false">'Смета Внутр'!I303</f>
        <v>0</v>
      </c>
    </row>
    <row r="304" customFormat="false" ht="15" hidden="false" customHeight="true" outlineLevel="0" collapsed="false">
      <c r="B304" s="1004" t="str">
        <f aca="false">'Смета Внутр'!B304</f>
        <v>Брус естественной влажности, 150*150мм</v>
      </c>
      <c r="C304" s="1004" t="str">
        <f aca="false">'Смета Внутр'!C304</f>
        <v>м3</v>
      </c>
      <c r="D304" s="1018" t="n">
        <f aca="false">'Смета Внутр'!D304</f>
        <v>1.26</v>
      </c>
      <c r="E304" s="1004" t="n">
        <f aca="false">'Смета Внутр'!E304</f>
        <v>6500</v>
      </c>
      <c r="F304" s="1004" t="n">
        <f aca="false">'Смета Внутр'!F304</f>
        <v>0</v>
      </c>
      <c r="G304" s="1004" t="n">
        <f aca="false">IF(E304&gt;F304,E304,F304)</f>
        <v>6500</v>
      </c>
      <c r="H304" s="1004" t="n">
        <f aca="false">'Смета Внутр'!G304</f>
        <v>8190</v>
      </c>
      <c r="I304" s="1004" t="n">
        <f aca="false">'Смета Внутр'!H304</f>
        <v>0</v>
      </c>
      <c r="J304" s="1018" t="n">
        <f aca="false">'Смета Внутр'!I304</f>
        <v>0</v>
      </c>
    </row>
    <row r="305" customFormat="false" ht="15" hidden="false" customHeight="true" outlineLevel="0" collapsed="false">
      <c r="B305" s="1004" t="str">
        <f aca="false">'Смета Внутр'!B305</f>
        <v>обработка мастикой</v>
      </c>
      <c r="C305" s="1004" t="str">
        <f aca="false">'Смета Внутр'!C305</f>
        <v>л</v>
      </c>
      <c r="D305" s="1018" t="n">
        <f aca="false">'Смета Внутр'!D305</f>
        <v>8.82</v>
      </c>
      <c r="E305" s="1004" t="n">
        <f aca="false">'Смета Внутр'!E305</f>
        <v>60</v>
      </c>
      <c r="F305" s="1004" t="n">
        <f aca="false">'Смета Внутр'!F305</f>
        <v>0</v>
      </c>
      <c r="G305" s="1004" t="n">
        <f aca="false">IF(E305&gt;F305,E305,F305)</f>
        <v>60</v>
      </c>
      <c r="H305" s="1004" t="n">
        <f aca="false">'Смета Внутр'!G305</f>
        <v>529.2</v>
      </c>
      <c r="I305" s="1004" t="n">
        <f aca="false">'Смета Внутр'!H305</f>
        <v>0</v>
      </c>
      <c r="J305" s="1018" t="n">
        <f aca="false">'Смета Внутр'!I305</f>
        <v>0</v>
      </c>
    </row>
    <row r="306" customFormat="false" ht="15" hidden="false" customHeight="true" outlineLevel="0" collapsed="false">
      <c r="B306" s="1004" t="str">
        <f aca="false">'Смета Внутр'!B306</f>
        <v>Sip панель 2800*1250*174мм</v>
      </c>
      <c r="C306" s="1004" t="str">
        <f aca="false">'Смета Внутр'!C306</f>
        <v>м2</v>
      </c>
      <c r="D306" s="1018" t="n">
        <f aca="false">'Смета Внутр'!D306</f>
        <v>-1.8</v>
      </c>
      <c r="E306" s="1004" t="n">
        <f aca="false">'Смета Внутр'!E306</f>
        <v>1200</v>
      </c>
      <c r="F306" s="1004" t="n">
        <f aca="false">'Смета Внутр'!F306</f>
        <v>0</v>
      </c>
      <c r="G306" s="1004" t="n">
        <f aca="false">IF(E306&gt;F306,E306,F306)</f>
        <v>1200</v>
      </c>
      <c r="H306" s="1004" t="n">
        <f aca="false">'Смета Внутр'!G306</f>
        <v>-2160</v>
      </c>
      <c r="I306" s="1004" t="n">
        <f aca="false">'Смета Внутр'!H306</f>
        <v>0</v>
      </c>
      <c r="J306" s="1018" t="n">
        <f aca="false">'Смета Внутр'!I306</f>
        <v>0</v>
      </c>
    </row>
    <row r="307" customFormat="false" ht="15" hidden="false" customHeight="true" outlineLevel="0" collapsed="false">
      <c r="B307" s="1004" t="str">
        <f aca="false">'Смета Внутр'!B307</f>
        <v>Sip панель 2800*1250*174мм</v>
      </c>
      <c r="C307" s="1004" t="str">
        <f aca="false">'Смета Внутр'!C307</f>
        <v>м2</v>
      </c>
      <c r="D307" s="1018" t="n">
        <f aca="false">'Смета Внутр'!D307</f>
        <v>0</v>
      </c>
      <c r="E307" s="1004" t="n">
        <f aca="false">'Смета Внутр'!E307</f>
        <v>1200</v>
      </c>
      <c r="F307" s="1004" t="n">
        <f aca="false">'Смета Внутр'!F307</f>
        <v>0</v>
      </c>
      <c r="G307" s="1004" t="n">
        <f aca="false">IF(E307&gt;F307,E307,F307)</f>
        <v>1200</v>
      </c>
      <c r="H307" s="1004" t="n">
        <f aca="false">'Смета Внутр'!G307</f>
        <v>0</v>
      </c>
      <c r="I307" s="1004" t="n">
        <f aca="false">'Смета Внутр'!H307</f>
        <v>0</v>
      </c>
      <c r="J307" s="1018" t="n">
        <f aca="false">'Смета Внутр'!I307</f>
        <v>0</v>
      </c>
    </row>
    <row r="308" customFormat="false" ht="15" hidden="false" customHeight="true" outlineLevel="0" collapsed="false">
      <c r="B308" s="1004" t="str">
        <f aca="false">'Смета Внутр'!B308</f>
        <v>Sip панель 2800*1250*124мм</v>
      </c>
      <c r="C308" s="1004" t="str">
        <f aca="false">'Смета Внутр'!C308</f>
        <v>м2</v>
      </c>
      <c r="D308" s="1018" t="n">
        <f aca="false">'Смета Внутр'!D308</f>
        <v>0</v>
      </c>
      <c r="E308" s="1004" t="n">
        <f aca="false">'Смета Внутр'!E308</f>
        <v>800</v>
      </c>
      <c r="F308" s="1004" t="n">
        <f aca="false">'Смета Внутр'!F308</f>
        <v>0</v>
      </c>
      <c r="G308" s="1004" t="n">
        <f aca="false">IF(E308&gt;F308,E308,F308)</f>
        <v>800</v>
      </c>
      <c r="H308" s="1004" t="n">
        <f aca="false">'Смета Внутр'!G308</f>
        <v>0</v>
      </c>
      <c r="I308" s="1004" t="n">
        <f aca="false">'Смета Внутр'!H308</f>
        <v>0</v>
      </c>
      <c r="J308" s="1018" t="n">
        <f aca="false">'Смета Внутр'!I308</f>
        <v>0</v>
      </c>
    </row>
    <row r="309" customFormat="false" ht="15" hidden="false" customHeight="true" outlineLevel="0" collapsed="false">
      <c r="B309" s="1004" t="str">
        <f aca="false">'Смета Внутр'!B309</f>
        <v>Болты анкерные с гайкой 12,0 х 280</v>
      </c>
      <c r="C309" s="1004" t="str">
        <f aca="false">'Смета Внутр'!C309</f>
        <v>шт</v>
      </c>
      <c r="D309" s="1018" t="n">
        <f aca="false">'Смета Внутр'!D309</f>
        <v>112</v>
      </c>
      <c r="E309" s="1004" t="n">
        <f aca="false">'Смета Внутр'!E309</f>
        <v>27.1</v>
      </c>
      <c r="F309" s="1004" t="n">
        <f aca="false">'Смета Внутр'!F309</f>
        <v>0</v>
      </c>
      <c r="G309" s="1004" t="n">
        <f aca="false">IF(E309&gt;F309,E309,F309)</f>
        <v>27.1</v>
      </c>
      <c r="H309" s="1004" t="n">
        <f aca="false">'Смета Внутр'!G309</f>
        <v>3035.2</v>
      </c>
      <c r="I309" s="1004" t="n">
        <f aca="false">'Смета Внутр'!H309</f>
        <v>0</v>
      </c>
      <c r="J309" s="1018" t="n">
        <f aca="false">'Смета Внутр'!I309</f>
        <v>0</v>
      </c>
    </row>
    <row r="310" customFormat="false" ht="15" hidden="false" customHeight="true" outlineLevel="0" collapsed="false">
      <c r="B310" s="1004" t="str">
        <f aca="false">'Смета Внутр'!B310</f>
        <v>обвязка наружние стены верх низ</v>
      </c>
      <c r="C310" s="1004" t="str">
        <f aca="false">'Смета Внутр'!C310</f>
        <v>м3</v>
      </c>
      <c r="D310" s="1018" t="n">
        <f aca="false">'Смета Внутр'!D310</f>
        <v>0.6</v>
      </c>
      <c r="E310" s="1004" t="n">
        <f aca="false">'Смета Внутр'!E310</f>
        <v>9000</v>
      </c>
      <c r="F310" s="1004" t="n">
        <f aca="false">'Смета Внутр'!F310</f>
        <v>0</v>
      </c>
      <c r="G310" s="1004" t="n">
        <f aca="false">IF(E310&gt;F310,E310,F310)</f>
        <v>9000</v>
      </c>
      <c r="H310" s="1004" t="n">
        <f aca="false">'Смета Внутр'!G310</f>
        <v>5400</v>
      </c>
      <c r="I310" s="1004" t="n">
        <f aca="false">'Смета Внутр'!H310</f>
        <v>0</v>
      </c>
      <c r="J310" s="1018" t="n">
        <f aca="false">'Смета Внутр'!I310</f>
        <v>0</v>
      </c>
    </row>
    <row r="311" customFormat="false" ht="15" hidden="false" customHeight="true" outlineLevel="0" collapsed="false">
      <c r="B311" s="1004" t="str">
        <f aca="false">'Смета Внутр'!B311</f>
        <v>обвязка несущие перегородки верх низ</v>
      </c>
      <c r="C311" s="1004" t="str">
        <f aca="false">'Смета Внутр'!C311</f>
        <v>м3</v>
      </c>
      <c r="D311" s="1018" t="n">
        <f aca="false">'Смета Внутр'!D311</f>
        <v>0.24</v>
      </c>
      <c r="E311" s="1004" t="n">
        <f aca="false">'Смета Внутр'!E311</f>
        <v>9000</v>
      </c>
      <c r="F311" s="1004" t="n">
        <f aca="false">'Смета Внутр'!F311</f>
        <v>0</v>
      </c>
      <c r="G311" s="1004" t="n">
        <f aca="false">IF(E311&gt;F311,E311,F311)</f>
        <v>9000</v>
      </c>
      <c r="H311" s="1004" t="n">
        <f aca="false">'Смета Внутр'!G311</f>
        <v>2160</v>
      </c>
      <c r="I311" s="1004" t="n">
        <f aca="false">'Смета Внутр'!H311</f>
        <v>0</v>
      </c>
      <c r="J311" s="1018" t="n">
        <f aca="false">'Смета Внутр'!I311</f>
        <v>0</v>
      </c>
    </row>
    <row r="312" customFormat="false" ht="15" hidden="false" customHeight="true" outlineLevel="0" collapsed="false">
      <c r="B312" s="1004" t="str">
        <f aca="false">'Смета Внутр'!B312</f>
        <v>обвязка несущие перегородки верх низ</v>
      </c>
      <c r="C312" s="1004" t="str">
        <f aca="false">'Смета Внутр'!C312</f>
        <v>м3</v>
      </c>
      <c r="D312" s="1018" t="n">
        <f aca="false">'Смета Внутр'!D312</f>
        <v>0.117</v>
      </c>
      <c r="E312" s="1004" t="n">
        <f aca="false">'Смета Внутр'!E312</f>
        <v>9000</v>
      </c>
      <c r="F312" s="1004" t="n">
        <f aca="false">'Смета Внутр'!F312</f>
        <v>0</v>
      </c>
      <c r="G312" s="1004" t="n">
        <f aca="false">IF(E312&gt;F312,E312,F312)</f>
        <v>9000</v>
      </c>
      <c r="H312" s="1004" t="n">
        <f aca="false">'Смета Внутр'!G312</f>
        <v>1053</v>
      </c>
      <c r="I312" s="1004" t="n">
        <f aca="false">'Смета Внутр'!H312</f>
        <v>0</v>
      </c>
      <c r="J312" s="1018" t="n">
        <f aca="false">'Смета Внутр'!I312</f>
        <v>0</v>
      </c>
    </row>
    <row r="313" customFormat="false" ht="15" hidden="false" customHeight="true" outlineLevel="0" collapsed="false">
      <c r="B313" s="1004" t="str">
        <f aca="false">'Смета Внутр'!B313</f>
        <v>стойки наружние стены</v>
      </c>
      <c r="C313" s="1004" t="str">
        <f aca="false">'Смета Внутр'!C313</f>
        <v>м3</v>
      </c>
      <c r="D313" s="1018" t="n">
        <f aca="false">'Смета Внутр'!D313</f>
        <v>0</v>
      </c>
      <c r="E313" s="1004" t="n">
        <f aca="false">'Смета Внутр'!E313</f>
        <v>9000</v>
      </c>
      <c r="F313" s="1004" t="n">
        <f aca="false">'Смета Внутр'!F313</f>
        <v>0</v>
      </c>
      <c r="G313" s="1004" t="n">
        <f aca="false">IF(E313&gt;F313,E313,F313)</f>
        <v>9000</v>
      </c>
      <c r="H313" s="1004" t="n">
        <f aca="false">'Смета Внутр'!G313</f>
        <v>0</v>
      </c>
      <c r="I313" s="1004" t="n">
        <f aca="false">'Смета Внутр'!H313</f>
        <v>0</v>
      </c>
      <c r="J313" s="1018" t="n">
        <f aca="false">'Смета Внутр'!I313</f>
        <v>0</v>
      </c>
    </row>
    <row r="314" customFormat="false" ht="15" hidden="false" customHeight="true" outlineLevel="0" collapsed="false">
      <c r="B314" s="1004" t="str">
        <f aca="false">'Смета Внутр'!B314</f>
        <v>стойки перегородки несущие</v>
      </c>
      <c r="C314" s="1004" t="str">
        <f aca="false">'Смета Внутр'!C314</f>
        <v>м3</v>
      </c>
      <c r="D314" s="1018" t="n">
        <f aca="false">'Смета Внутр'!D314</f>
        <v>0</v>
      </c>
      <c r="E314" s="1004" t="n">
        <f aca="false">'Смета Внутр'!E314</f>
        <v>9000</v>
      </c>
      <c r="F314" s="1004" t="n">
        <f aca="false">'Смета Внутр'!F314</f>
        <v>0</v>
      </c>
      <c r="G314" s="1004" t="n">
        <f aca="false">IF(E314&gt;F314,E314,F314)</f>
        <v>9000</v>
      </c>
      <c r="H314" s="1004" t="n">
        <f aca="false">'Смета Внутр'!G314</f>
        <v>0</v>
      </c>
      <c r="I314" s="1004" t="n">
        <f aca="false">'Смета Внутр'!H314</f>
        <v>0</v>
      </c>
      <c r="J314" s="1018" t="n">
        <f aca="false">'Смета Внутр'!I314</f>
        <v>0</v>
      </c>
    </row>
    <row r="315" customFormat="false" ht="15" hidden="false" customHeight="true" outlineLevel="0" collapsed="false">
      <c r="B315" s="1004" t="str">
        <f aca="false">'Смета Внутр'!B315</f>
        <v>Стойки перегородки простые</v>
      </c>
      <c r="C315" s="1004" t="str">
        <f aca="false">'Смета Внутр'!C315</f>
        <v>м3</v>
      </c>
      <c r="D315" s="1018" t="n">
        <f aca="false">'Смета Внутр'!D315</f>
        <v>0</v>
      </c>
      <c r="E315" s="1004" t="n">
        <f aca="false">'Смета Внутр'!E315</f>
        <v>9000</v>
      </c>
      <c r="F315" s="1004" t="n">
        <f aca="false">'Смета Внутр'!F315</f>
        <v>0</v>
      </c>
      <c r="G315" s="1004" t="n">
        <f aca="false">IF(E315&gt;F315,E315,F315)</f>
        <v>9000</v>
      </c>
      <c r="H315" s="1004" t="n">
        <f aca="false">'Смета Внутр'!G315</f>
        <v>0</v>
      </c>
      <c r="I315" s="1004" t="n">
        <f aca="false">'Смета Внутр'!H315</f>
        <v>0</v>
      </c>
      <c r="J315" s="1018" t="n">
        <f aca="false">'Смета Внутр'!I315</f>
        <v>0</v>
      </c>
    </row>
    <row r="316" customFormat="false" ht="15" hidden="false" customHeight="true" outlineLevel="0" collapsed="false">
      <c r="B316" s="1004" t="str">
        <f aca="false">'Смета Внутр'!B316</f>
        <v>брус, обвязка кровли, сип панели</v>
      </c>
      <c r="C316" s="1004" t="str">
        <f aca="false">'Смета Внутр'!C316</f>
        <v>м3</v>
      </c>
      <c r="D316" s="1018" t="n">
        <f aca="false">'Смета Внутр'!D316</f>
        <v>-0.15</v>
      </c>
      <c r="E316" s="1004" t="n">
        <f aca="false">'Смета Внутр'!E316</f>
        <v>0</v>
      </c>
      <c r="F316" s="1004" t="n">
        <f aca="false">'Смета Внутр'!F316</f>
        <v>0</v>
      </c>
      <c r="G316" s="1004" t="n">
        <f aca="false">IF(E316&gt;F316,E316,F316)</f>
        <v>0</v>
      </c>
      <c r="H316" s="1004" t="n">
        <f aca="false">'Смета Внутр'!G316</f>
        <v>0</v>
      </c>
      <c r="I316" s="1004" t="n">
        <f aca="false">'Смета Внутр'!H316</f>
        <v>0</v>
      </c>
      <c r="J316" s="1018" t="n">
        <f aca="false">'Смета Внутр'!I316</f>
        <v>0</v>
      </c>
    </row>
    <row r="317" customFormat="false" ht="15" hidden="false" customHeight="true" outlineLevel="0" collapsed="false">
      <c r="B317" s="1004" t="str">
        <f aca="false">'Смета Внутр'!B317</f>
        <v>торцевая доска, кровля, сип панели</v>
      </c>
      <c r="C317" s="1004" t="str">
        <f aca="false">'Смета Внутр'!C317</f>
        <v>м3</v>
      </c>
      <c r="D317" s="1018" t="n">
        <f aca="false">'Смета Внутр'!D317</f>
        <v>0.15</v>
      </c>
      <c r="E317" s="1004" t="n">
        <f aca="false">'Смета Внутр'!E317</f>
        <v>0</v>
      </c>
      <c r="F317" s="1004" t="n">
        <f aca="false">'Смета Внутр'!F317</f>
        <v>0</v>
      </c>
      <c r="G317" s="1004" t="n">
        <f aca="false">IF(E317&gt;F317,E317,F317)</f>
        <v>0</v>
      </c>
      <c r="H317" s="1004" t="n">
        <f aca="false">'Смета Внутр'!G317</f>
        <v>0</v>
      </c>
      <c r="I317" s="1004" t="n">
        <f aca="false">'Смета Внутр'!H317</f>
        <v>0</v>
      </c>
      <c r="J317" s="1018" t="n">
        <f aca="false">'Смета Внутр'!I317</f>
        <v>0</v>
      </c>
    </row>
    <row r="318" customFormat="false" ht="15" hidden="false" customHeight="true" outlineLevel="0" collapsed="false">
      <c r="B318" s="1004" t="str">
        <f aca="false">'Смета Внутр'!B318</f>
        <v>Нет</v>
      </c>
      <c r="C318" s="1004" t="str">
        <f aca="false">'Смета Внутр'!C318</f>
        <v>м2</v>
      </c>
      <c r="D318" s="1018" t="n">
        <f aca="false">'Смета Внутр'!D318</f>
        <v>0</v>
      </c>
      <c r="E318" s="1004" t="n">
        <f aca="false">'Смета Внутр'!E318</f>
        <v>0</v>
      </c>
      <c r="F318" s="1004" t="n">
        <f aca="false">'Смета Внутр'!F318</f>
        <v>0</v>
      </c>
      <c r="G318" s="1004" t="n">
        <f aca="false">IF(E318&gt;F318,E318,F318)</f>
        <v>0</v>
      </c>
      <c r="H318" s="1004" t="n">
        <f aca="false">'Смета Внутр'!G318</f>
        <v>0</v>
      </c>
      <c r="I318" s="1004" t="n">
        <f aca="false">'Смета Внутр'!H318</f>
        <v>0</v>
      </c>
      <c r="J318" s="1018" t="n">
        <f aca="false">'Смета Внутр'!I318</f>
        <v>0</v>
      </c>
    </row>
    <row r="319" customFormat="false" ht="15" hidden="false" customHeight="true" outlineLevel="0" collapsed="false">
      <c r="B319" s="1004" t="str">
        <f aca="false">'Смета Внутр'!B319</f>
        <v>Пена монтажная, всесезонняя 800мл</v>
      </c>
      <c r="C319" s="1004" t="str">
        <f aca="false">'Смета Внутр'!C319</f>
        <v>шт</v>
      </c>
      <c r="D319" s="1018" t="n">
        <f aca="false">'Смета Внутр'!D319</f>
        <v>10</v>
      </c>
      <c r="E319" s="1004" t="n">
        <f aca="false">'Смета Внутр'!E319</f>
        <v>300</v>
      </c>
      <c r="F319" s="1004" t="n">
        <f aca="false">'Смета Внутр'!F319</f>
        <v>0</v>
      </c>
      <c r="G319" s="1004" t="n">
        <f aca="false">IF(E319&gt;F319,E319,F319)</f>
        <v>300</v>
      </c>
      <c r="H319" s="1004" t="n">
        <f aca="false">'Смета Внутр'!G319</f>
        <v>3000</v>
      </c>
      <c r="I319" s="1004" t="n">
        <f aca="false">'Смета Внутр'!H319</f>
        <v>0</v>
      </c>
      <c r="J319" s="1018" t="n">
        <f aca="false">'Смета Внутр'!I319</f>
        <v>0</v>
      </c>
    </row>
    <row r="320" customFormat="false" ht="15" hidden="false" customHeight="true" outlineLevel="0" collapsed="false">
      <c r="B320" s="1004" t="str">
        <f aca="false">'Смета Внутр'!B320</f>
        <v>Саморезы 3,5 x 55</v>
      </c>
      <c r="C320" s="1004" t="str">
        <f aca="false">'Смета Внутр'!C320</f>
        <v>кг</v>
      </c>
      <c r="D320" s="1018" t="n">
        <f aca="false">'Смета Внутр'!D320</f>
        <v>3.33333333333333</v>
      </c>
      <c r="E320" s="1004" t="n">
        <f aca="false">'Смета Внутр'!E320</f>
        <v>105.62</v>
      </c>
      <c r="F320" s="1004" t="n">
        <f aca="false">'Смета Внутр'!F320</f>
        <v>0</v>
      </c>
      <c r="G320" s="1004" t="n">
        <f aca="false">IF(E320&gt;F320,E320,F320)</f>
        <v>105.62</v>
      </c>
      <c r="H320" s="1004" t="n">
        <f aca="false">'Смета Внутр'!G320</f>
        <v>352.066666666667</v>
      </c>
      <c r="I320" s="1004" t="n">
        <f aca="false">'Смета Внутр'!H320</f>
        <v>0</v>
      </c>
      <c r="J320" s="1018" t="n">
        <f aca="false">'Смета Внутр'!I320</f>
        <v>0</v>
      </c>
    </row>
    <row r="321" customFormat="false" ht="15" hidden="false" customHeight="true" outlineLevel="0" collapsed="false">
      <c r="B321" s="1004" t="str">
        <f aca="false">'Смета Внутр'!B321</f>
        <v>Саморезы 4,2 x 90</v>
      </c>
      <c r="C321" s="1004" t="str">
        <f aca="false">'Смета Внутр'!C321</f>
        <v>шт</v>
      </c>
      <c r="D321" s="1018" t="n">
        <f aca="false">'Смета Внутр'!D321</f>
        <v>3.33333333333333</v>
      </c>
      <c r="E321" s="1004" t="n">
        <f aca="false">'Смета Внутр'!E321</f>
        <v>107.62</v>
      </c>
      <c r="F321" s="1004" t="n">
        <f aca="false">'Смета Внутр'!F321</f>
        <v>0</v>
      </c>
      <c r="G321" s="1004" t="n">
        <f aca="false">IF(E321&gt;F321,E321,F321)</f>
        <v>107.62</v>
      </c>
      <c r="H321" s="1004" t="n">
        <f aca="false">'Смета Внутр'!G321</f>
        <v>358.733333333333</v>
      </c>
      <c r="I321" s="1004" t="n">
        <f aca="false">'Смета Внутр'!H321</f>
        <v>0</v>
      </c>
      <c r="J321" s="1018" t="n">
        <f aca="false">'Смета Внутр'!I321</f>
        <v>0</v>
      </c>
    </row>
    <row r="322" customFormat="false" ht="14.5" hidden="false" customHeight="false" outlineLevel="0" collapsed="false">
      <c r="B322" s="2927" t="str">
        <f aca="false">'Смета Внутр'!B322</f>
        <v>Итого материалы</v>
      </c>
      <c r="C322" s="2927"/>
      <c r="D322" s="2927"/>
      <c r="E322" s="2927"/>
      <c r="F322" s="2927"/>
      <c r="G322" s="2927"/>
      <c r="H322" s="1004" t="n">
        <f aca="false">'Смета Внутр'!G322</f>
        <v>0</v>
      </c>
      <c r="I322" s="1004" t="n">
        <f aca="false">'Смета Внутр'!H322</f>
        <v>0</v>
      </c>
      <c r="J322" s="1018" t="n">
        <f aca="false">'Смета Внутр'!I322</f>
        <v>0</v>
      </c>
    </row>
    <row r="323" customFormat="false" ht="15" hidden="false" customHeight="true" outlineLevel="0" collapsed="false">
      <c r="B323" s="2881" t="str">
        <f aca="false">'Смета Внутр'!B323</f>
        <v>Работы</v>
      </c>
      <c r="D323" s="919"/>
      <c r="H323" s="0" t="n">
        <f aca="false">'Смета Внутр'!G323</f>
        <v>0</v>
      </c>
      <c r="I323" s="0" t="n">
        <f aca="false">'Смета Внутр'!H323</f>
        <v>0</v>
      </c>
      <c r="J323" s="2926" t="n">
        <f aca="false">'Смета Внутр'!I323</f>
        <v>0</v>
      </c>
    </row>
    <row r="324" customFormat="false" ht="15" hidden="false" customHeight="true" outlineLevel="0" collapsed="false">
      <c r="B324" s="1004" t="str">
        <f aca="false">'Смета Внутр'!B324</f>
        <v>монтаж обвязочного бруса</v>
      </c>
      <c r="C324" s="1004" t="str">
        <f aca="false">'Смета Внутр'!C324</f>
        <v>м.п.</v>
      </c>
      <c r="D324" s="1018" t="n">
        <f aca="false">'Смета Внутр'!D324</f>
        <v>56</v>
      </c>
      <c r="E324" s="1004" t="n">
        <f aca="false">'Смета Внутр'!E324</f>
        <v>200</v>
      </c>
      <c r="F324" s="1004" t="n">
        <f aca="false">'Смета Внутр'!F324</f>
        <v>0</v>
      </c>
      <c r="G324" s="1004" t="n">
        <f aca="false">IF(E324&gt;F324,E324,F324)</f>
        <v>200</v>
      </c>
      <c r="H324" s="1004" t="n">
        <f aca="false">'Смета Внутр'!G324</f>
        <v>11200</v>
      </c>
      <c r="I324" s="1004" t="n">
        <f aca="false">'Смета Внутр'!H324</f>
        <v>0</v>
      </c>
      <c r="J324" s="1018" t="n">
        <f aca="false">'Смета Внутр'!I324</f>
        <v>0</v>
      </c>
    </row>
    <row r="325" customFormat="false" ht="15" hidden="false" customHeight="true" outlineLevel="0" collapsed="false">
      <c r="B325" s="1004" t="str">
        <f aca="false">'Смета Внутр'!B325</f>
        <v>обработка мастикой</v>
      </c>
      <c r="C325" s="1004" t="str">
        <f aca="false">'Смета Внутр'!C325</f>
        <v>м.п.</v>
      </c>
      <c r="D325" s="1018" t="n">
        <f aca="false">'Смета Внутр'!D325</f>
        <v>56</v>
      </c>
      <c r="E325" s="1004" t="n">
        <f aca="false">'Смета Внутр'!E325</f>
        <v>200</v>
      </c>
      <c r="F325" s="1004" t="n">
        <f aca="false">'Смета Внутр'!F325</f>
        <v>0</v>
      </c>
      <c r="G325" s="1004" t="n">
        <f aca="false">IF(E325&gt;F325,E325,F325)</f>
        <v>200</v>
      </c>
      <c r="H325" s="1004" t="n">
        <f aca="false">'Смета Внутр'!G325</f>
        <v>11200</v>
      </c>
      <c r="I325" s="1004" t="n">
        <f aca="false">'Смета Внутр'!H325</f>
        <v>0</v>
      </c>
      <c r="J325" s="1018" t="n">
        <f aca="false">'Смета Внутр'!I325</f>
        <v>0</v>
      </c>
    </row>
    <row r="326" customFormat="false" ht="15" hidden="false" customHeight="true" outlineLevel="0" collapsed="false">
      <c r="B326" s="1004" t="str">
        <f aca="false">'Смета Внутр'!B326</f>
        <v>монтаж наружних стен сиппанели</v>
      </c>
      <c r="C326" s="1004" t="str">
        <f aca="false">'Смета Внутр'!C326</f>
        <v>м2</v>
      </c>
      <c r="D326" s="1018" t="n">
        <f aca="false">'Смета Внутр'!D326</f>
        <v>0</v>
      </c>
      <c r="E326" s="1004" t="n">
        <f aca="false">'Смета Внутр'!E326</f>
        <v>400</v>
      </c>
      <c r="F326" s="1004" t="n">
        <f aca="false">'Смета Внутр'!F326</f>
        <v>0</v>
      </c>
      <c r="G326" s="1004" t="n">
        <f aca="false">IF(E326&gt;F326,E326,F326)</f>
        <v>400</v>
      </c>
      <c r="H326" s="1004" t="n">
        <f aca="false">'Смета Внутр'!G326</f>
        <v>0</v>
      </c>
      <c r="I326" s="1004" t="n">
        <f aca="false">'Смета Внутр'!H326</f>
        <v>0</v>
      </c>
      <c r="J326" s="1018" t="n">
        <f aca="false">'Смета Внутр'!I326</f>
        <v>0</v>
      </c>
    </row>
    <row r="327" customFormat="false" ht="15" hidden="false" customHeight="true" outlineLevel="0" collapsed="false">
      <c r="B327" s="1004" t="str">
        <f aca="false">'Смета Внутр'!B327</f>
        <v>Монтаж несущих перегородок сип панели</v>
      </c>
      <c r="C327" s="1004" t="str">
        <f aca="false">'Смета Внутр'!C327</f>
        <v>м2</v>
      </c>
      <c r="D327" s="1018" t="n">
        <f aca="false">'Смета Внутр'!D327</f>
        <v>0</v>
      </c>
      <c r="E327" s="1004" t="n">
        <f aca="false">'Смета Внутр'!E327</f>
        <v>400</v>
      </c>
      <c r="F327" s="1004" t="n">
        <f aca="false">'Смета Внутр'!F327</f>
        <v>0</v>
      </c>
      <c r="G327" s="1004" t="n">
        <f aca="false">IF(E327&gt;F327,E327,F327)</f>
        <v>400</v>
      </c>
      <c r="H327" s="1004" t="n">
        <f aca="false">'Смета Внутр'!G327</f>
        <v>0</v>
      </c>
      <c r="I327" s="1004" t="n">
        <f aca="false">'Смета Внутр'!H327</f>
        <v>0</v>
      </c>
      <c r="J327" s="1018" t="n">
        <f aca="false">'Смета Внутр'!I327</f>
        <v>0</v>
      </c>
    </row>
    <row r="328" customFormat="false" ht="15" hidden="false" customHeight="true" outlineLevel="0" collapsed="false">
      <c r="B328" s="1004" t="str">
        <f aca="false">'Смета Внутр'!B328</f>
        <v>Монтаж перегородок сип панели</v>
      </c>
      <c r="C328" s="1004" t="str">
        <f aca="false">'Смета Внутр'!C328</f>
        <v>м2</v>
      </c>
      <c r="D328" s="1018" t="n">
        <f aca="false">'Смета Внутр'!D328</f>
        <v>0</v>
      </c>
      <c r="E328" s="1004" t="n">
        <f aca="false">'Смета Внутр'!E328</f>
        <v>300</v>
      </c>
      <c r="F328" s="1004" t="n">
        <f aca="false">'Смета Внутр'!F328</f>
        <v>0</v>
      </c>
      <c r="G328" s="1004" t="n">
        <f aca="false">IF(E328&gt;F328,E328,F328)</f>
        <v>300</v>
      </c>
      <c r="H328" s="1004" t="n">
        <f aca="false">'Смета Внутр'!G328</f>
        <v>0</v>
      </c>
      <c r="I328" s="1004" t="n">
        <f aca="false">'Смета Внутр'!H328</f>
        <v>0</v>
      </c>
      <c r="J328" s="1018" t="n">
        <f aca="false">'Смета Внутр'!I328</f>
        <v>0</v>
      </c>
    </row>
    <row r="329" customFormat="false" ht="15" hidden="false" customHeight="true" outlineLevel="0" collapsed="false">
      <c r="B329" s="1004" t="str">
        <f aca="false">'Смета Внутр'!B329</f>
        <v>монтаж покрытия кровли</v>
      </c>
      <c r="C329" s="1004" t="str">
        <f aca="false">'Смета Внутр'!C329</f>
        <v>м2</v>
      </c>
      <c r="D329" s="1018" t="n">
        <f aca="false">'Смета Внутр'!D329</f>
        <v>0</v>
      </c>
      <c r="E329" s="1004" t="n">
        <f aca="false">'Смета Внутр'!E329</f>
        <v>400</v>
      </c>
      <c r="F329" s="1004" t="n">
        <f aca="false">'Смета Внутр'!F329</f>
        <v>0</v>
      </c>
      <c r="G329" s="1004" t="n">
        <f aca="false">IF(E329&gt;F329,E329,F329)</f>
        <v>400</v>
      </c>
      <c r="H329" s="1004" t="n">
        <f aca="false">'Смета Внутр'!G329</f>
        <v>0</v>
      </c>
      <c r="I329" s="1004" t="n">
        <f aca="false">'Смета Внутр'!H329</f>
        <v>0</v>
      </c>
      <c r="J329" s="1018" t="n">
        <f aca="false">'Смета Внутр'!I329</f>
        <v>0</v>
      </c>
    </row>
    <row r="330" customFormat="false" ht="15" hidden="false" customHeight="true" outlineLevel="0" collapsed="false">
      <c r="B330" s="2927" t="str">
        <f aca="false">'Смета Внутр'!B330</f>
        <v>Итого работы</v>
      </c>
      <c r="C330" s="2927"/>
      <c r="D330" s="2927"/>
      <c r="E330" s="2927"/>
      <c r="F330" s="2927"/>
      <c r="G330" s="2927"/>
      <c r="H330" s="1004" t="n">
        <f aca="false">'Смета Внутр'!G330</f>
        <v>0</v>
      </c>
      <c r="I330" s="1004" t="n">
        <f aca="false">'Смета Внутр'!H330</f>
        <v>0</v>
      </c>
      <c r="J330" s="1018" t="n">
        <f aca="false">'Смета Внутр'!I330</f>
        <v>0</v>
      </c>
    </row>
    <row r="331" customFormat="false" ht="15" hidden="false" customHeight="true" outlineLevel="0" collapsed="false">
      <c r="B331" s="2925" t="str">
        <f aca="false">'Смета Внутр'!B331</f>
        <v>Каркасный дом</v>
      </c>
      <c r="C331" s="2925"/>
      <c r="D331" s="2925"/>
      <c r="H331" s="0" t="n">
        <f aca="false">'Смета Внутр'!G331</f>
        <v>0</v>
      </c>
      <c r="I331" s="0" t="n">
        <f aca="false">'Смета Внутр'!H331</f>
        <v>0</v>
      </c>
      <c r="J331" s="2926" t="n">
        <f aca="false">'Смета Внутр'!I331</f>
        <v>0</v>
      </c>
    </row>
    <row r="332" customFormat="false" ht="15" hidden="false" customHeight="true" outlineLevel="0" collapsed="false">
      <c r="B332" s="2881" t="str">
        <f aca="false">'Смета Внутр'!B332</f>
        <v>Материалы</v>
      </c>
      <c r="D332" s="919"/>
      <c r="H332" s="0" t="n">
        <f aca="false">'Смета Внутр'!G332</f>
        <v>0</v>
      </c>
      <c r="I332" s="0" t="n">
        <f aca="false">'Смета Внутр'!H332</f>
        <v>0</v>
      </c>
      <c r="J332" s="2926" t="n">
        <f aca="false">'Смета Внутр'!I332</f>
        <v>0</v>
      </c>
    </row>
    <row r="333" customFormat="false" ht="15" hidden="false" customHeight="true" outlineLevel="0" collapsed="false">
      <c r="B333" s="1004" t="str">
        <f aca="false">'Смета Внутр'!B333</f>
        <v>Брус естественной влажности, 150*150мм</v>
      </c>
      <c r="C333" s="1004" t="str">
        <f aca="false">'Смета Внутр'!C333</f>
        <v>м3</v>
      </c>
      <c r="D333" s="1018" t="n">
        <f aca="false">'Смета Внутр'!D333</f>
        <v>1.26</v>
      </c>
      <c r="E333" s="1004" t="n">
        <f aca="false">'Смета Внутр'!E333</f>
        <v>6500</v>
      </c>
      <c r="F333" s="1004" t="n">
        <f aca="false">'Смета Внутр'!F333</f>
        <v>0</v>
      </c>
      <c r="G333" s="1004" t="n">
        <f aca="false">IF(E333&gt;F333,E333,F333)</f>
        <v>6500</v>
      </c>
      <c r="H333" s="1004" t="n">
        <f aca="false">'Смета Внутр'!G333</f>
        <v>8190</v>
      </c>
      <c r="I333" s="1004" t="n">
        <f aca="false">'Смета Внутр'!H333</f>
        <v>0</v>
      </c>
      <c r="J333" s="1018" t="n">
        <f aca="false">'Смета Внутр'!I333</f>
        <v>0</v>
      </c>
    </row>
    <row r="334" customFormat="false" ht="15" hidden="false" customHeight="true" outlineLevel="0" collapsed="false">
      <c r="B334" s="1004" t="str">
        <f aca="false">'Смета Внутр'!B334</f>
        <v>Болты анкерные с гайкой 12,0 х 280</v>
      </c>
      <c r="C334" s="1004" t="str">
        <f aca="false">'Смета Внутр'!C334</f>
        <v>шт</v>
      </c>
      <c r="D334" s="1018" t="n">
        <f aca="false">'Смета Внутр'!D334</f>
        <v>56</v>
      </c>
      <c r="E334" s="1004" t="n">
        <f aca="false">'Смета Внутр'!E334</f>
        <v>27.1</v>
      </c>
      <c r="F334" s="1004" t="n">
        <f aca="false">'Смета Внутр'!F334</f>
        <v>0</v>
      </c>
      <c r="G334" s="1004" t="n">
        <f aca="false">IF(E334&gt;F334,E334,F334)</f>
        <v>27.1</v>
      </c>
      <c r="H334" s="1004" t="n">
        <f aca="false">'Смета Внутр'!G334</f>
        <v>1517.6</v>
      </c>
      <c r="I334" s="1004" t="n">
        <f aca="false">'Смета Внутр'!H334</f>
        <v>0</v>
      </c>
      <c r="J334" s="1018" t="n">
        <f aca="false">'Смета Внутр'!I334</f>
        <v>0</v>
      </c>
    </row>
    <row r="335" customFormat="false" ht="15" hidden="false" customHeight="true" outlineLevel="0" collapsed="false">
      <c r="B335" s="1004" t="str">
        <f aca="false">'Смета Внутр'!B335</f>
        <v>ГПС 150х50-1,2</v>
      </c>
      <c r="C335" s="1004" t="str">
        <f aca="false">'Смета Внутр'!C335</f>
        <v>м3</v>
      </c>
      <c r="D335" s="1018" t="n">
        <f aca="false">'Смета Внутр'!D335</f>
        <v>0</v>
      </c>
      <c r="E335" s="1004" t="n">
        <f aca="false">'Смета Внутр'!E335</f>
        <v>201</v>
      </c>
      <c r="F335" s="1004" t="n">
        <f aca="false">'Смета Внутр'!F335</f>
        <v>0</v>
      </c>
      <c r="G335" s="1004" t="n">
        <f aca="false">IF(E335&gt;F335,E335,F335)</f>
        <v>201</v>
      </c>
      <c r="H335" s="1004" t="n">
        <f aca="false">'Смета Внутр'!G335</f>
        <v>0</v>
      </c>
      <c r="I335" s="1004" t="n">
        <f aca="false">'Смета Внутр'!H335</f>
        <v>0</v>
      </c>
      <c r="J335" s="1018" t="n">
        <f aca="false">'Смета Внутр'!I335</f>
        <v>0</v>
      </c>
    </row>
    <row r="336" customFormat="false" ht="15" hidden="false" customHeight="true" outlineLevel="0" collapsed="false">
      <c r="B336" s="1004" t="str">
        <f aca="false">'Смета Внутр'!B343</f>
        <v>ГПС 120х50-1,5</v>
      </c>
      <c r="C336" s="1004" t="str">
        <f aca="false">'Смета Внутр'!C343</f>
        <v>м3</v>
      </c>
      <c r="D336" s="1018" t="n">
        <f aca="false">'Смета Внутр'!D343</f>
        <v>0</v>
      </c>
      <c r="E336" s="1004" t="n">
        <f aca="false">'Смета Внутр'!E343</f>
        <v>224</v>
      </c>
      <c r="F336" s="1004" t="n">
        <f aca="false">'Смета Внутр'!F343</f>
        <v>0</v>
      </c>
      <c r="G336" s="1004" t="n">
        <f aca="false">IF(E336&gt;F336,E336,F336)</f>
        <v>224</v>
      </c>
      <c r="H336" s="1004" t="n">
        <f aca="false">'Смета Внутр'!G343</f>
        <v>0</v>
      </c>
      <c r="I336" s="1004" t="n">
        <f aca="false">'Смета Внутр'!H343</f>
        <v>0</v>
      </c>
      <c r="J336" s="1018" t="n">
        <f aca="false">'Смета Внутр'!I343</f>
        <v>0</v>
      </c>
    </row>
    <row r="337" customFormat="false" ht="15" hidden="false" customHeight="true" outlineLevel="0" collapsed="false">
      <c r="B337" s="1004" t="str">
        <f aca="false">'Смета Внутр'!B344</f>
        <v>ГПС 170х50-2,0</v>
      </c>
      <c r="C337" s="1004" t="str">
        <f aca="false">'Смета Внутр'!C344</f>
        <v>м3</v>
      </c>
      <c r="D337" s="1018" t="n">
        <f aca="false">'Смета Внутр'!D344</f>
        <v>0</v>
      </c>
      <c r="E337" s="1004" t="n">
        <f aca="false">'Смета Внутр'!E344</f>
        <v>358</v>
      </c>
      <c r="F337" s="1004" t="n">
        <f aca="false">'Смета Внутр'!F344</f>
        <v>0</v>
      </c>
      <c r="G337" s="1004" t="n">
        <f aca="false">IF(E337&gt;F337,E337,F337)</f>
        <v>358</v>
      </c>
      <c r="H337" s="1004" t="n">
        <f aca="false">'Смета Внутр'!G344</f>
        <v>0</v>
      </c>
      <c r="I337" s="1004" t="n">
        <f aca="false">'Смета Внутр'!H344</f>
        <v>0</v>
      </c>
      <c r="J337" s="1018" t="n">
        <f aca="false">'Смета Внутр'!I344</f>
        <v>0</v>
      </c>
    </row>
    <row r="338" customFormat="false" ht="15" hidden="false" customHeight="true" outlineLevel="0" collapsed="false">
      <c r="B338" s="1004" t="str">
        <f aca="false">'Смета Внутр'!B345</f>
        <v>Лист ГВЛВ 2500х1200х10 мм</v>
      </c>
      <c r="C338" s="1004" t="str">
        <f aca="false">'Смета Внутр'!C345</f>
        <v>м2</v>
      </c>
      <c r="D338" s="1018" t="n">
        <f aca="false">'Смета Внутр'!D345</f>
        <v>100</v>
      </c>
      <c r="E338" s="1004" t="n">
        <f aca="false">'Смета Внутр'!E345</f>
        <v>150</v>
      </c>
      <c r="F338" s="1004" t="n">
        <f aca="false">'Смета Внутр'!F345</f>
        <v>0</v>
      </c>
      <c r="G338" s="1004" t="n">
        <f aca="false">IF(E338&gt;F338,E338,F338)</f>
        <v>150</v>
      </c>
      <c r="H338" s="1004" t="n">
        <f aca="false">'Смета Внутр'!G345</f>
        <v>15000</v>
      </c>
      <c r="I338" s="1004" t="n">
        <f aca="false">'Смета Внутр'!H345</f>
        <v>0</v>
      </c>
      <c r="J338" s="1018" t="n">
        <f aca="false">'Смета Внутр'!I345</f>
        <v>0</v>
      </c>
    </row>
    <row r="339" customFormat="false" ht="15" hidden="false" customHeight="true" outlineLevel="0" collapsed="false">
      <c r="B339" s="1004" t="str">
        <f aca="false">'Смета Внутр'!B346</f>
        <v>нет</v>
      </c>
      <c r="C339" s="1004" t="str">
        <f aca="false">'Смета Внутр'!C346</f>
        <v>м.п.</v>
      </c>
      <c r="D339" s="1018" t="n">
        <f aca="false">'Смета Внутр'!D346</f>
        <v>0</v>
      </c>
      <c r="E339" s="1004" t="n">
        <f aca="false">'Смета Внутр'!E346</f>
        <v>0</v>
      </c>
      <c r="F339" s="1004" t="n">
        <f aca="false">'Смета Внутр'!F346</f>
        <v>0</v>
      </c>
      <c r="G339" s="1004" t="n">
        <f aca="false">IF(E339&gt;F339,E339,F339)</f>
        <v>0</v>
      </c>
      <c r="H339" s="1004" t="n">
        <f aca="false">'Смета Внутр'!G346</f>
        <v>0</v>
      </c>
      <c r="I339" s="1004" t="n">
        <f aca="false">'Смета Внутр'!H346</f>
        <v>0</v>
      </c>
      <c r="J339" s="1018" t="n">
        <f aca="false">'Смета Внутр'!I346</f>
        <v>0</v>
      </c>
    </row>
    <row r="340" customFormat="false" ht="15" hidden="false" customHeight="true" outlineLevel="0" collapsed="false">
      <c r="B340" s="1004" t="str">
        <f aca="false">'Смета Внутр'!B347</f>
        <v>Нет</v>
      </c>
      <c r="C340" s="1004" t="str">
        <f aca="false">'Смета Внутр'!C347</f>
        <v>м3</v>
      </c>
      <c r="D340" s="1018" t="n">
        <f aca="false">'Смета Внутр'!D347</f>
        <v>0</v>
      </c>
      <c r="E340" s="1004" t="n">
        <f aca="false">'Смета Внутр'!E347</f>
        <v>0</v>
      </c>
      <c r="F340" s="1004" t="n">
        <f aca="false">'Смета Внутр'!F347</f>
        <v>0</v>
      </c>
      <c r="G340" s="1004" t="n">
        <f aca="false">IF(E340&gt;F340,E340,F340)</f>
        <v>0</v>
      </c>
      <c r="H340" s="1004" t="n">
        <f aca="false">'Смета Внутр'!G347</f>
        <v>0</v>
      </c>
      <c r="I340" s="1004" t="n">
        <f aca="false">'Смета Внутр'!H347</f>
        <v>0</v>
      </c>
      <c r="J340" s="1018" t="n">
        <f aca="false">'Смета Внутр'!I347</f>
        <v>0</v>
      </c>
    </row>
    <row r="341" customFormat="false" ht="15" hidden="false" customHeight="true" outlineLevel="0" collapsed="false">
      <c r="B341" s="1004" t="str">
        <f aca="false">'Смета Внутр'!B348</f>
        <v>Нет</v>
      </c>
      <c r="C341" s="1004" t="str">
        <f aca="false">'Смета Внутр'!C348</f>
        <v>м3</v>
      </c>
      <c r="D341" s="1018" t="n">
        <f aca="false">'Смета Внутр'!D348</f>
        <v>0</v>
      </c>
      <c r="E341" s="1004" t="n">
        <f aca="false">'Смета Внутр'!E348</f>
        <v>0</v>
      </c>
      <c r="F341" s="1004" t="n">
        <f aca="false">'Смета Внутр'!F348</f>
        <v>0</v>
      </c>
      <c r="G341" s="1004" t="n">
        <f aca="false">IF(E341&gt;F341,E341,F341)</f>
        <v>0</v>
      </c>
      <c r="H341" s="1004" t="n">
        <f aca="false">'Смета Внутр'!G348</f>
        <v>0</v>
      </c>
      <c r="I341" s="1004" t="n">
        <f aca="false">'Смета Внутр'!H348</f>
        <v>0</v>
      </c>
      <c r="J341" s="1018" t="n">
        <f aca="false">'Смета Внутр'!I348</f>
        <v>0</v>
      </c>
    </row>
    <row r="342" customFormat="false" ht="15" hidden="false" customHeight="true" outlineLevel="0" collapsed="false">
      <c r="B342" s="1004" t="str">
        <f aca="false">'Смета Внутр'!B349</f>
        <v>нет</v>
      </c>
      <c r="C342" s="1004" t="str">
        <f aca="false">'Смета Внутр'!C349</f>
        <v>м2</v>
      </c>
      <c r="D342" s="1018" t="n">
        <f aca="false">'Смета Внутр'!D349</f>
        <v>0</v>
      </c>
      <c r="E342" s="1004" t="n">
        <f aca="false">'Смета Внутр'!E349</f>
        <v>0</v>
      </c>
      <c r="F342" s="1004" t="n">
        <f aca="false">'Смета Внутр'!F349</f>
        <v>0</v>
      </c>
      <c r="G342" s="1004" t="n">
        <f aca="false">IF(E342&gt;F342,E342,F342)</f>
        <v>0</v>
      </c>
      <c r="H342" s="1004" t="n">
        <f aca="false">'Смета Внутр'!G349</f>
        <v>0</v>
      </c>
      <c r="I342" s="1004" t="n">
        <f aca="false">'Смета Внутр'!H349</f>
        <v>0</v>
      </c>
      <c r="J342" s="1018" t="n">
        <f aca="false">'Смета Внутр'!I349</f>
        <v>0</v>
      </c>
    </row>
    <row r="343" customFormat="false" ht="15" hidden="false" customHeight="true" outlineLevel="0" collapsed="false">
      <c r="B343" s="1004" t="str">
        <f aca="false">'Смета Внутр'!B350</f>
        <v>нет</v>
      </c>
      <c r="C343" s="1004" t="str">
        <f aca="false">'Смета Внутр'!C350</f>
        <v>м2</v>
      </c>
      <c r="D343" s="1018" t="n">
        <f aca="false">'Смета Внутр'!D350</f>
        <v>0</v>
      </c>
      <c r="E343" s="1004" t="n">
        <f aca="false">'Смета Внутр'!E350</f>
        <v>0</v>
      </c>
      <c r="F343" s="1004" t="n">
        <f aca="false">'Смета Внутр'!F350</f>
        <v>0</v>
      </c>
      <c r="G343" s="1004" t="n">
        <f aca="false">IF(E343&gt;F343,E343,F343)</f>
        <v>0</v>
      </c>
      <c r="H343" s="1004" t="n">
        <f aca="false">'Смета Внутр'!G350</f>
        <v>0</v>
      </c>
      <c r="I343" s="1004" t="n">
        <f aca="false">'Смета Внутр'!H350</f>
        <v>0</v>
      </c>
      <c r="J343" s="1018" t="n">
        <f aca="false">'Смета Внутр'!I350</f>
        <v>0</v>
      </c>
    </row>
    <row r="344" customFormat="false" ht="15" hidden="false" customHeight="true" outlineLevel="0" collapsed="false">
      <c r="B344" s="1004" t="str">
        <f aca="false">'Смета Внутр'!B351</f>
        <v>нет</v>
      </c>
      <c r="C344" s="1004" t="str">
        <f aca="false">'Смета Внутр'!C351</f>
        <v>м2</v>
      </c>
      <c r="D344" s="1018" t="n">
        <f aca="false">'Смета Внутр'!D351</f>
        <v>0</v>
      </c>
      <c r="E344" s="1004" t="n">
        <f aca="false">'Смета Внутр'!E351</f>
        <v>0</v>
      </c>
      <c r="F344" s="1004" t="n">
        <f aca="false">'Смета Внутр'!F351</f>
        <v>0</v>
      </c>
      <c r="G344" s="1004" t="n">
        <f aca="false">IF(E344&gt;F344,E344,F344)</f>
        <v>0</v>
      </c>
      <c r="H344" s="1004" t="n">
        <f aca="false">'Смета Внутр'!G351</f>
        <v>0</v>
      </c>
      <c r="I344" s="1004" t="n">
        <f aca="false">'Смета Внутр'!H351</f>
        <v>0</v>
      </c>
      <c r="J344" s="1018" t="n">
        <f aca="false">'Смета Внутр'!I351</f>
        <v>0</v>
      </c>
    </row>
    <row r="345" customFormat="false" ht="15" hidden="false" customHeight="true" outlineLevel="0" collapsed="false">
      <c r="B345" s="1004" t="str">
        <f aca="false">'Смета Внутр'!B352</f>
        <v>Саморезы 3,5 x 25</v>
      </c>
      <c r="C345" s="1004" t="str">
        <f aca="false">'Смета Внутр'!C352</f>
        <v>шт</v>
      </c>
      <c r="D345" s="1018" t="n">
        <f aca="false">'Смета Внутр'!D352</f>
        <v>0</v>
      </c>
      <c r="E345" s="1004" t="n">
        <f aca="false">'Смета Внутр'!E352</f>
        <v>0.2</v>
      </c>
      <c r="F345" s="1004" t="n">
        <f aca="false">'Смета Внутр'!F352</f>
        <v>0</v>
      </c>
      <c r="G345" s="1004" t="n">
        <f aca="false">IF(E345&gt;F345,E345,F345)</f>
        <v>0.2</v>
      </c>
      <c r="H345" s="1004" t="n">
        <f aca="false">'Смета Внутр'!G352</f>
        <v>0</v>
      </c>
      <c r="I345" s="1004" t="n">
        <f aca="false">'Смета Внутр'!H352</f>
        <v>0</v>
      </c>
      <c r="J345" s="1018" t="n">
        <f aca="false">'Смета Внутр'!I352</f>
        <v>0</v>
      </c>
    </row>
    <row r="346" customFormat="false" ht="15" hidden="false" customHeight="true" outlineLevel="0" collapsed="false">
      <c r="B346" s="1004" t="str">
        <f aca="false">'Смета Внутр'!B353</f>
        <v>Гвозди ершоные 2,8 х 90</v>
      </c>
      <c r="C346" s="1004" t="str">
        <f aca="false">'Смета Внутр'!C353</f>
        <v>кг</v>
      </c>
      <c r="D346" s="1018" t="n">
        <f aca="false">'Смета Внутр'!D353</f>
        <v>0</v>
      </c>
      <c r="E346" s="1004" t="n">
        <f aca="false">'Смета Внутр'!E353</f>
        <v>76.49</v>
      </c>
      <c r="F346" s="1004" t="n">
        <f aca="false">'Смета Внутр'!F353</f>
        <v>0</v>
      </c>
      <c r="G346" s="1004" t="n">
        <f aca="false">IF(E346&gt;F346,E346,F346)</f>
        <v>76.49</v>
      </c>
      <c r="H346" s="1004" t="n">
        <f aca="false">'Смета Внутр'!G353</f>
        <v>0</v>
      </c>
      <c r="I346" s="1004" t="n">
        <f aca="false">'Смета Внутр'!H353</f>
        <v>0</v>
      </c>
      <c r="J346" s="1018" t="n">
        <f aca="false">'Смета Внутр'!I353</f>
        <v>0</v>
      </c>
    </row>
    <row r="347" customFormat="false" ht="15" hidden="false" customHeight="true" outlineLevel="0" collapsed="false">
      <c r="B347" s="1004" t="str">
        <f aca="false">'Смета Внутр'!B354</f>
        <v>Гвозди ершоные 3,4 x 60</v>
      </c>
      <c r="C347" s="1004" t="str">
        <f aca="false">'Смета Внутр'!C354</f>
        <v>кг</v>
      </c>
      <c r="D347" s="1018" t="n">
        <f aca="false">'Смета Внутр'!D354</f>
        <v>0</v>
      </c>
      <c r="E347" s="1004" t="n">
        <f aca="false">'Смета Внутр'!E354</f>
        <v>75.51</v>
      </c>
      <c r="F347" s="1004" t="n">
        <f aca="false">'Смета Внутр'!F354</f>
        <v>0</v>
      </c>
      <c r="G347" s="1004" t="n">
        <f aca="false">IF(E347&gt;F347,E347,F347)</f>
        <v>75.51</v>
      </c>
      <c r="H347" s="1004" t="n">
        <f aca="false">'Смета Внутр'!G354</f>
        <v>0</v>
      </c>
      <c r="I347" s="1004" t="n">
        <f aca="false">'Смета Внутр'!H354</f>
        <v>0</v>
      </c>
      <c r="J347" s="1018" t="n">
        <f aca="false">'Смета Внутр'!I354</f>
        <v>0</v>
      </c>
    </row>
    <row r="348" customFormat="false" ht="15" hidden="false" customHeight="true" outlineLevel="0" collapsed="false">
      <c r="B348" s="1004" t="str">
        <f aca="false">'Смета Внутр'!B355</f>
        <v>нет ветроизоляции</v>
      </c>
      <c r="C348" s="1004" t="str">
        <f aca="false">'Смета Внутр'!C355</f>
        <v>м2</v>
      </c>
      <c r="D348" s="1018" t="n">
        <f aca="false">'Смета Внутр'!D355</f>
        <v>0</v>
      </c>
      <c r="E348" s="1004" t="n">
        <f aca="false">'Смета Внутр'!E355</f>
        <v>0</v>
      </c>
      <c r="F348" s="1004" t="n">
        <f aca="false">'Смета Внутр'!F355</f>
        <v>0</v>
      </c>
      <c r="G348" s="1004" t="n">
        <f aca="false">IF(E348&gt;F348,E348,F348)</f>
        <v>0</v>
      </c>
      <c r="H348" s="1004" t="n">
        <f aca="false">'Смета Внутр'!G355</f>
        <v>0</v>
      </c>
      <c r="I348" s="1004" t="n">
        <f aca="false">'Смета Внутр'!H355</f>
        <v>0</v>
      </c>
      <c r="J348" s="1018" t="n">
        <f aca="false">'Смета Внутр'!I355</f>
        <v>0</v>
      </c>
    </row>
    <row r="349" customFormat="false" ht="15" hidden="false" customHeight="true" outlineLevel="0" collapsed="false">
      <c r="B349" s="1004" t="str">
        <f aca="false">'Смета Внутр'!B356</f>
        <v>нет пароизоляции</v>
      </c>
      <c r="C349" s="1004" t="str">
        <f aca="false">'Смета Внутр'!C356</f>
        <v>м2</v>
      </c>
      <c r="D349" s="1018" t="n">
        <f aca="false">'Смета Внутр'!D356</f>
        <v>0</v>
      </c>
      <c r="E349" s="1004" t="n">
        <f aca="false">'Смета Внутр'!E356</f>
        <v>0</v>
      </c>
      <c r="F349" s="1004" t="n">
        <f aca="false">'Смета Внутр'!F356</f>
        <v>0</v>
      </c>
      <c r="G349" s="1004" t="n">
        <f aca="false">IF(E349&gt;F349,E349,F349)</f>
        <v>0</v>
      </c>
      <c r="H349" s="1004" t="n">
        <f aca="false">'Смета Внутр'!G356</f>
        <v>0</v>
      </c>
      <c r="I349" s="1004" t="n">
        <f aca="false">'Смета Внутр'!H356</f>
        <v>0</v>
      </c>
      <c r="J349" s="1018" t="n">
        <f aca="false">'Смета Внутр'!I356</f>
        <v>0</v>
      </c>
    </row>
    <row r="350" customFormat="false" ht="15" hidden="false" customHeight="true" outlineLevel="0" collapsed="false">
      <c r="B350" s="1004" t="str">
        <f aca="false">'Смета Внутр'!B357</f>
        <v>Скобы для степлера, 1000шт/уп</v>
      </c>
      <c r="C350" s="1004" t="str">
        <f aca="false">'Смета Внутр'!C357</f>
        <v>уп</v>
      </c>
      <c r="D350" s="1018" t="n">
        <f aca="false">'Смета Внутр'!D357</f>
        <v>5</v>
      </c>
      <c r="E350" s="1004" t="n">
        <f aca="false">'Смета Внутр'!E357</f>
        <v>100</v>
      </c>
      <c r="F350" s="1004" t="n">
        <f aca="false">'Смета Внутр'!F357</f>
        <v>0</v>
      </c>
      <c r="G350" s="1004" t="n">
        <f aca="false">IF(E350&gt;F350,E350,F350)</f>
        <v>100</v>
      </c>
      <c r="H350" s="1004" t="n">
        <f aca="false">'Смета Внутр'!G357</f>
        <v>500</v>
      </c>
      <c r="I350" s="1004" t="n">
        <f aca="false">'Смета Внутр'!H357</f>
        <v>0</v>
      </c>
      <c r="J350" s="1018" t="n">
        <f aca="false">'Смета Внутр'!I357</f>
        <v>0</v>
      </c>
    </row>
    <row r="351" customFormat="false" ht="14.5" hidden="false" customHeight="false" outlineLevel="0" collapsed="false">
      <c r="B351" s="2927" t="str">
        <f aca="false">'Смета Внутр'!B358</f>
        <v>Итого материалы</v>
      </c>
      <c r="C351" s="2927"/>
      <c r="D351" s="2927"/>
      <c r="E351" s="2927"/>
      <c r="F351" s="2927"/>
      <c r="G351" s="2927"/>
      <c r="H351" s="1004" t="n">
        <f aca="false">'Смета Внутр'!G358</f>
        <v>0</v>
      </c>
      <c r="I351" s="1004" t="n">
        <f aca="false">'Смета Внутр'!H358</f>
        <v>0</v>
      </c>
      <c r="J351" s="1018" t="n">
        <f aca="false">'Смета Внутр'!I358</f>
        <v>0</v>
      </c>
    </row>
    <row r="352" customFormat="false" ht="15" hidden="false" customHeight="true" outlineLevel="0" collapsed="false">
      <c r="B352" s="2881" t="str">
        <f aca="false">'Смета Внутр'!B359</f>
        <v>Работы</v>
      </c>
      <c r="D352" s="919"/>
      <c r="H352" s="0" t="n">
        <f aca="false">'Смета Внутр'!G359</f>
        <v>0</v>
      </c>
      <c r="I352" s="0" t="n">
        <f aca="false">'Смета Внутр'!H359</f>
        <v>0</v>
      </c>
      <c r="J352" s="2926" t="n">
        <f aca="false">'Смета Внутр'!I359</f>
        <v>0</v>
      </c>
    </row>
    <row r="353" customFormat="false" ht="15" hidden="false" customHeight="true" outlineLevel="0" collapsed="false">
      <c r="B353" s="1004" t="str">
        <f aca="false">'Смета Внутр'!B360</f>
        <v>монтаж обвязки</v>
      </c>
      <c r="C353" s="1004" t="str">
        <f aca="false">'Смета Внутр'!C360</f>
        <v>м.п.</v>
      </c>
      <c r="D353" s="1018" t="n">
        <f aca="false">'Смета Внутр'!D360</f>
        <v>0</v>
      </c>
      <c r="E353" s="1004" t="n">
        <f aca="false">'Смета Внутр'!E360</f>
        <v>200</v>
      </c>
      <c r="F353" s="1004" t="n">
        <f aca="false">'Смета Внутр'!F360</f>
        <v>0</v>
      </c>
      <c r="G353" s="1004" t="n">
        <f aca="false">IF(E353&gt;F353,E353,F353)</f>
        <v>200</v>
      </c>
      <c r="H353" s="1004" t="n">
        <f aca="false">'Смета Внутр'!G360</f>
        <v>0</v>
      </c>
      <c r="I353" s="1004" t="n">
        <f aca="false">'Смета Внутр'!H360</f>
        <v>0</v>
      </c>
      <c r="J353" s="1018" t="n">
        <f aca="false">'Смета Внутр'!I360</f>
        <v>0</v>
      </c>
    </row>
    <row r="354" customFormat="false" ht="15" hidden="false" customHeight="true" outlineLevel="0" collapsed="false">
      <c r="B354" s="1004" t="str">
        <f aca="false">'Смета Внутр'!B361</f>
        <v>монтаж стен каркаса</v>
      </c>
      <c r="C354" s="1004" t="str">
        <f aca="false">'Смета Внутр'!C361</f>
        <v>м2</v>
      </c>
      <c r="D354" s="1018" t="n">
        <f aca="false">'Смета Внутр'!D361</f>
        <v>0</v>
      </c>
      <c r="E354" s="1004" t="n">
        <f aca="false">'Смета Внутр'!E361</f>
        <v>400</v>
      </c>
      <c r="F354" s="1004" t="n">
        <f aca="false">'Смета Внутр'!F361</f>
        <v>0</v>
      </c>
      <c r="G354" s="1004" t="n">
        <f aca="false">IF(E354&gt;F354,E354,F354)</f>
        <v>400</v>
      </c>
      <c r="H354" s="1004" t="n">
        <f aca="false">'Смета Внутр'!G361</f>
        <v>0</v>
      </c>
      <c r="I354" s="1004" t="n">
        <f aca="false">'Смета Внутр'!H361</f>
        <v>0</v>
      </c>
      <c r="J354" s="1018" t="n">
        <f aca="false">'Смета Внутр'!I361</f>
        <v>0</v>
      </c>
    </row>
    <row r="355" customFormat="false" ht="15" hidden="false" customHeight="true" outlineLevel="0" collapsed="false">
      <c r="B355" s="1004" t="str">
        <f aca="false">'Смета Внутр'!B362</f>
        <v>Монтаж несущих перегородок</v>
      </c>
      <c r="C355" s="1004" t="str">
        <f aca="false">'Смета Внутр'!C362</f>
        <v>м2</v>
      </c>
      <c r="D355" s="1018" t="n">
        <f aca="false">'Смета Внутр'!D362</f>
        <v>0</v>
      </c>
      <c r="E355" s="1004" t="n">
        <f aca="false">'Смета Внутр'!E362</f>
        <v>400</v>
      </c>
      <c r="F355" s="1004" t="n">
        <f aca="false">'Смета Внутр'!F362</f>
        <v>0</v>
      </c>
      <c r="G355" s="1004" t="n">
        <f aca="false">IF(E355&gt;F355,E355,F355)</f>
        <v>400</v>
      </c>
      <c r="H355" s="1004" t="n">
        <f aca="false">'Смета Внутр'!G362</f>
        <v>0</v>
      </c>
      <c r="I355" s="1004" t="n">
        <f aca="false">'Смета Внутр'!H362</f>
        <v>0</v>
      </c>
      <c r="J355" s="1018" t="n">
        <f aca="false">'Смета Внутр'!I362</f>
        <v>0</v>
      </c>
    </row>
    <row r="356" customFormat="false" ht="15" hidden="false" customHeight="true" outlineLevel="0" collapsed="false">
      <c r="B356" s="1004" t="str">
        <f aca="false">'Смета Внутр'!B363</f>
        <v>Монтаж перегородок</v>
      </c>
      <c r="C356" s="1004" t="str">
        <f aca="false">'Смета Внутр'!C363</f>
        <v>м2</v>
      </c>
      <c r="D356" s="1018" t="n">
        <f aca="false">'Смета Внутр'!D363</f>
        <v>0</v>
      </c>
      <c r="E356" s="1004" t="n">
        <f aca="false">'Смета Внутр'!E363</f>
        <v>400</v>
      </c>
      <c r="F356" s="1004" t="n">
        <f aca="false">'Смета Внутр'!F363</f>
        <v>0</v>
      </c>
      <c r="G356" s="1004" t="n">
        <f aca="false">IF(E356&gt;F356,E356,F356)</f>
        <v>400</v>
      </c>
      <c r="H356" s="1004" t="n">
        <f aca="false">'Смета Внутр'!G363</f>
        <v>0</v>
      </c>
      <c r="I356" s="1004" t="n">
        <f aca="false">'Смета Внутр'!H363</f>
        <v>0</v>
      </c>
      <c r="J356" s="1018" t="n">
        <f aca="false">'Смета Внутр'!I363</f>
        <v>0</v>
      </c>
    </row>
    <row r="357" customFormat="false" ht="15" hidden="false" customHeight="true" outlineLevel="0" collapsed="false">
      <c r="B357" s="1004" t="str">
        <f aca="false">'Смета Внутр'!B364</f>
        <v>Монтаж вентиляционного зазора</v>
      </c>
      <c r="C357" s="1004" t="str">
        <f aca="false">'Смета Внутр'!C364</f>
        <v>м2</v>
      </c>
      <c r="D357" s="1018" t="n">
        <f aca="false">'Смета Внутр'!D364</f>
        <v>0</v>
      </c>
      <c r="E357" s="1004" t="n">
        <f aca="false">'Смета Внутр'!E364</f>
        <v>80</v>
      </c>
      <c r="F357" s="1004" t="n">
        <f aca="false">'Смета Внутр'!F364</f>
        <v>0</v>
      </c>
      <c r="G357" s="1004" t="n">
        <f aca="false">IF(E357&gt;F357,E357,F357)</f>
        <v>80</v>
      </c>
      <c r="H357" s="1004" t="n">
        <f aca="false">'Смета Внутр'!G364</f>
        <v>0</v>
      </c>
      <c r="I357" s="1004" t="n">
        <f aca="false">'Смета Внутр'!H364</f>
        <v>0</v>
      </c>
      <c r="J357" s="1018" t="n">
        <f aca="false">'Смета Внутр'!I364</f>
        <v>0</v>
      </c>
    </row>
    <row r="358" customFormat="false" ht="15" hidden="false" customHeight="true" outlineLevel="0" collapsed="false">
      <c r="B358" s="1004" t="str">
        <f aca="false">'Смета Внутр'!B365</f>
        <v>Монтаж технологического зазора</v>
      </c>
      <c r="C358" s="1004" t="str">
        <f aca="false">'Смета Внутр'!C365</f>
        <v>м2</v>
      </c>
      <c r="D358" s="1018" t="n">
        <f aca="false">'Смета Внутр'!D365</f>
        <v>0</v>
      </c>
      <c r="E358" s="1004" t="n">
        <f aca="false">'Смета Внутр'!E365</f>
        <v>80</v>
      </c>
      <c r="F358" s="1004" t="n">
        <f aca="false">'Смета Внутр'!F365</f>
        <v>0</v>
      </c>
      <c r="G358" s="1004" t="n">
        <f aca="false">IF(E358&gt;F358,E358,F358)</f>
        <v>80</v>
      </c>
      <c r="H358" s="1004" t="n">
        <f aca="false">'Смета Внутр'!G365</f>
        <v>0</v>
      </c>
      <c r="I358" s="1004" t="n">
        <f aca="false">'Смета Внутр'!H365</f>
        <v>0</v>
      </c>
      <c r="J358" s="1018" t="n">
        <f aca="false">'Смета Внутр'!I365</f>
        <v>0</v>
      </c>
    </row>
    <row r="359" customFormat="false" ht="15" hidden="false" customHeight="true" outlineLevel="0" collapsed="false">
      <c r="B359" s="1004" t="str">
        <f aca="false">'Смета Внутр'!B366</f>
        <v>монтаж ветроизоляции стен</v>
      </c>
      <c r="C359" s="1004" t="str">
        <f aca="false">'Смета Внутр'!C366</f>
        <v>м2</v>
      </c>
      <c r="D359" s="1018" t="n">
        <f aca="false">'Смета Внутр'!D366</f>
        <v>0</v>
      </c>
      <c r="E359" s="1004" t="n">
        <f aca="false">'Смета Внутр'!E366</f>
        <v>100</v>
      </c>
      <c r="F359" s="1004" t="n">
        <f aca="false">'Смета Внутр'!F366</f>
        <v>0</v>
      </c>
      <c r="G359" s="1004" t="n">
        <f aca="false">IF(E359&gt;F359,E359,F359)</f>
        <v>100</v>
      </c>
      <c r="H359" s="1004" t="n">
        <f aca="false">'Смета Внутр'!G366</f>
        <v>0</v>
      </c>
      <c r="I359" s="1004" t="n">
        <f aca="false">'Смета Внутр'!H366</f>
        <v>0</v>
      </c>
      <c r="J359" s="1018" t="n">
        <f aca="false">'Смета Внутр'!I366</f>
        <v>0</v>
      </c>
    </row>
    <row r="360" customFormat="false" ht="15" hidden="false" customHeight="true" outlineLevel="0" collapsed="false">
      <c r="B360" s="1004" t="str">
        <f aca="false">'Смета Внутр'!B367</f>
        <v>монтаж пароизоляции стен</v>
      </c>
      <c r="C360" s="1004" t="str">
        <f aca="false">'Смета Внутр'!C367</f>
        <v>м2</v>
      </c>
      <c r="D360" s="1018" t="n">
        <f aca="false">'Смета Внутр'!D367</f>
        <v>0</v>
      </c>
      <c r="E360" s="1004" t="n">
        <f aca="false">'Смета Внутр'!E367</f>
        <v>100</v>
      </c>
      <c r="F360" s="1004" t="n">
        <f aca="false">'Смета Внутр'!F367</f>
        <v>0</v>
      </c>
      <c r="G360" s="1004" t="n">
        <f aca="false">IF(E360&gt;F360,E360,F360)</f>
        <v>100</v>
      </c>
      <c r="H360" s="1004" t="n">
        <f aca="false">'Смета Внутр'!G367</f>
        <v>0</v>
      </c>
      <c r="I360" s="1004" t="n">
        <f aca="false">'Смета Внутр'!H367</f>
        <v>0</v>
      </c>
      <c r="J360" s="1018" t="n">
        <f aca="false">'Смета Внутр'!I367</f>
        <v>0</v>
      </c>
    </row>
    <row r="361" customFormat="false" ht="15" hidden="false" customHeight="true" outlineLevel="0" collapsed="false">
      <c r="B361" s="1004" t="str">
        <f aca="false">'Смета Внутр'!B368</f>
        <v>монтаж osb/фанера наруж стены</v>
      </c>
      <c r="C361" s="1004" t="str">
        <f aca="false">'Смета Внутр'!C368</f>
        <v>м2</v>
      </c>
      <c r="D361" s="1018" t="n">
        <f aca="false">'Смета Внутр'!D368</f>
        <v>0</v>
      </c>
      <c r="E361" s="1004" t="n">
        <f aca="false">'Смета Внутр'!E368</f>
        <v>200</v>
      </c>
      <c r="F361" s="1004" t="n">
        <f aca="false">'Смета Внутр'!F368</f>
        <v>0</v>
      </c>
      <c r="G361" s="1004" t="n">
        <f aca="false">IF(E361&gt;F361,E361,F361)</f>
        <v>200</v>
      </c>
      <c r="H361" s="1004" t="n">
        <f aca="false">'Смета Внутр'!G368</f>
        <v>0</v>
      </c>
      <c r="I361" s="1004" t="n">
        <f aca="false">'Смета Внутр'!H368</f>
        <v>0</v>
      </c>
      <c r="J361" s="1018" t="n">
        <f aca="false">'Смета Внутр'!I368</f>
        <v>0</v>
      </c>
    </row>
    <row r="362" customFormat="false" ht="15" hidden="false" customHeight="true" outlineLevel="0" collapsed="false">
      <c r="B362" s="1004" t="str">
        <f aca="false">'Смета Внутр'!B369</f>
        <v>монтаж osb/фанера потолок</v>
      </c>
      <c r="C362" s="1004" t="str">
        <f aca="false">'Смета Внутр'!C369</f>
        <v>м2</v>
      </c>
      <c r="D362" s="1018" t="n">
        <f aca="false">'Смета Внутр'!D369</f>
        <v>0</v>
      </c>
      <c r="E362" s="1004" t="n">
        <f aca="false">'Смета Внутр'!E369</f>
        <v>200</v>
      </c>
      <c r="F362" s="1004" t="n">
        <f aca="false">'Смета Внутр'!F369</f>
        <v>0</v>
      </c>
      <c r="G362" s="1004" t="n">
        <f aca="false">IF(E362&gt;F362,E362,F362)</f>
        <v>200</v>
      </c>
      <c r="H362" s="1004" t="n">
        <f aca="false">'Смета Внутр'!G369</f>
        <v>0</v>
      </c>
      <c r="I362" s="1004" t="n">
        <f aca="false">'Смета Внутр'!H369</f>
        <v>0</v>
      </c>
      <c r="J362" s="1018" t="n">
        <f aca="false">'Смета Внутр'!I369</f>
        <v>0</v>
      </c>
    </row>
    <row r="363" customFormat="false" ht="15" hidden="false" customHeight="true" outlineLevel="0" collapsed="false">
      <c r="B363" s="1004" t="str">
        <f aca="false">'Смета Внутр'!B370</f>
        <v>монтаж osb/фанера перегородки</v>
      </c>
      <c r="C363" s="1004" t="str">
        <f aca="false">'Смета Внутр'!C370</f>
        <v>м2</v>
      </c>
      <c r="D363" s="1018" t="n">
        <f aca="false">'Смета Внутр'!D370</f>
        <v>0</v>
      </c>
      <c r="E363" s="1004" t="n">
        <f aca="false">'Смета Внутр'!E370</f>
        <v>200</v>
      </c>
      <c r="F363" s="1004" t="n">
        <f aca="false">'Смета Внутр'!F370</f>
        <v>0</v>
      </c>
      <c r="G363" s="1004" t="n">
        <f aca="false">IF(E363&gt;F363,E363,F363)</f>
        <v>200</v>
      </c>
      <c r="H363" s="1004" t="n">
        <f aca="false">'Смета Внутр'!G370</f>
        <v>0</v>
      </c>
      <c r="I363" s="1004" t="n">
        <f aca="false">'Смета Внутр'!H370</f>
        <v>0</v>
      </c>
      <c r="J363" s="1018" t="n">
        <f aca="false">'Смета Внутр'!I370</f>
        <v>0</v>
      </c>
    </row>
    <row r="364" customFormat="false" ht="15" hidden="false" customHeight="true" outlineLevel="0" collapsed="false">
      <c r="B364" s="1004" t="str">
        <f aca="false">'Смета Внутр'!B371</f>
        <v>монтаж osb/фанера пол</v>
      </c>
      <c r="C364" s="1004" t="str">
        <f aca="false">'Смета Внутр'!C371</f>
        <v>м2</v>
      </c>
      <c r="D364" s="1018" t="n">
        <f aca="false">'Смета Внутр'!D371</f>
        <v>100</v>
      </c>
      <c r="E364" s="1004" t="n">
        <f aca="false">'Смета Внутр'!E371</f>
        <v>200</v>
      </c>
      <c r="F364" s="1004" t="n">
        <f aca="false">'Смета Внутр'!F371</f>
        <v>0</v>
      </c>
      <c r="G364" s="1004" t="n">
        <f aca="false">IF(E364&gt;F364,E364,F364)</f>
        <v>200</v>
      </c>
      <c r="H364" s="1004" t="n">
        <f aca="false">'Смета Внутр'!G371</f>
        <v>20000</v>
      </c>
      <c r="I364" s="1004" t="n">
        <f aca="false">'Смета Внутр'!H371</f>
        <v>0</v>
      </c>
      <c r="J364" s="1018" t="n">
        <f aca="false">'Смета Внутр'!I371</f>
        <v>0</v>
      </c>
    </row>
    <row r="365" customFormat="false" ht="15" hidden="false" customHeight="true" outlineLevel="0" collapsed="false">
      <c r="B365" s="1004" t="str">
        <f aca="false">'Смета Внутр'!B372</f>
        <v>утепление наружних стен</v>
      </c>
      <c r="C365" s="1004" t="str">
        <f aca="false">'Смета Внутр'!C372</f>
        <v>м2</v>
      </c>
      <c r="D365" s="1018" t="n">
        <f aca="false">'Смета Внутр'!D372</f>
        <v>0</v>
      </c>
      <c r="E365" s="1004" t="n">
        <f aca="false">'Смета Внутр'!E372</f>
        <v>200</v>
      </c>
      <c r="F365" s="1004" t="n">
        <f aca="false">'Смета Внутр'!F372</f>
        <v>0</v>
      </c>
      <c r="G365" s="1004" t="n">
        <f aca="false">IF(E365&gt;F365,E365,F365)</f>
        <v>200</v>
      </c>
      <c r="H365" s="1004" t="n">
        <f aca="false">'Смета Внутр'!G372</f>
        <v>0</v>
      </c>
      <c r="I365" s="1004" t="n">
        <f aca="false">'Смета Внутр'!H372</f>
        <v>0</v>
      </c>
      <c r="J365" s="1018" t="n">
        <f aca="false">'Смета Внутр'!I372</f>
        <v>0</v>
      </c>
    </row>
    <row r="366" customFormat="false" ht="15" hidden="false" customHeight="true" outlineLevel="0" collapsed="false">
      <c r="B366" s="1004" t="str">
        <f aca="false">'Смета Внутр'!B373</f>
        <v>Утепление перегородок</v>
      </c>
      <c r="C366" s="1004" t="str">
        <f aca="false">'Смета Внутр'!C373</f>
        <v>м2</v>
      </c>
      <c r="D366" s="1018" t="n">
        <f aca="false">'Смета Внутр'!D373</f>
        <v>0</v>
      </c>
      <c r="E366" s="1004" t="n">
        <f aca="false">'Смета Внутр'!E373</f>
        <v>200</v>
      </c>
      <c r="F366" s="1004" t="n">
        <f aca="false">'Смета Внутр'!F373</f>
        <v>0</v>
      </c>
      <c r="G366" s="1004" t="n">
        <f aca="false">IF(E366&gt;F366,E366,F366)</f>
        <v>200</v>
      </c>
      <c r="H366" s="1004" t="n">
        <f aca="false">'Смета Внутр'!G373</f>
        <v>0</v>
      </c>
      <c r="I366" s="1004" t="n">
        <f aca="false">'Смета Внутр'!H373</f>
        <v>0</v>
      </c>
      <c r="J366" s="1018" t="n">
        <f aca="false">'Смета Внутр'!I373</f>
        <v>0</v>
      </c>
    </row>
    <row r="367" customFormat="false" ht="15" hidden="false" customHeight="true" outlineLevel="0" collapsed="false">
      <c r="B367" s="2927" t="str">
        <f aca="false">'Смета Внутр'!B374</f>
        <v>Итого работы</v>
      </c>
      <c r="C367" s="2927"/>
      <c r="D367" s="2927"/>
      <c r="E367" s="2927"/>
      <c r="F367" s="2927"/>
      <c r="G367" s="2927"/>
      <c r="H367" s="1004" t="n">
        <f aca="false">'Смета Внутр'!G374</f>
        <v>0</v>
      </c>
      <c r="I367" s="1004" t="n">
        <f aca="false">'Смета Внутр'!H374</f>
        <v>0</v>
      </c>
      <c r="J367" s="1018" t="n">
        <f aca="false">'Смета Внутр'!I374</f>
        <v>0</v>
      </c>
    </row>
    <row r="368" customFormat="false" ht="15" hidden="false" customHeight="true" outlineLevel="0" collapsed="false">
      <c r="B368" s="2928" t="str">
        <f aca="false">'Смета Внутр'!B375</f>
        <v>Каркасный дом двутавровые балки</v>
      </c>
      <c r="C368" s="2928"/>
      <c r="D368" s="2928"/>
      <c r="E368" s="2928"/>
      <c r="F368" s="2928"/>
      <c r="G368" s="2928"/>
      <c r="H368" s="2928"/>
      <c r="I368" s="2928"/>
      <c r="J368" s="2928"/>
    </row>
    <row r="369" customFormat="false" ht="15" hidden="false" customHeight="true" outlineLevel="0" collapsed="false">
      <c r="B369" s="2929" t="str">
        <f aca="false">'Смета Внутр'!B376</f>
        <v>Материалы</v>
      </c>
      <c r="C369" s="2929"/>
      <c r="D369" s="2929"/>
      <c r="E369" s="2929"/>
      <c r="F369" s="2929"/>
      <c r="G369" s="2929"/>
      <c r="H369" s="2929"/>
      <c r="I369" s="2929"/>
      <c r="J369" s="2929"/>
    </row>
    <row r="370" customFormat="false" ht="15" hidden="false" customHeight="true" outlineLevel="0" collapsed="false">
      <c r="B370" s="2594" t="str">
        <f aca="false">'Смета Внутр'!B377</f>
        <v>Брус естественной влажности, 150*150мм</v>
      </c>
      <c r="C370" s="2594" t="str">
        <f aca="false">'Смета Внутр'!C377</f>
        <v>м3</v>
      </c>
      <c r="D370" s="2594" t="n">
        <f aca="false">'Смета Внутр'!D377</f>
        <v>1.26</v>
      </c>
      <c r="E370" s="2594" t="n">
        <f aca="false">'Смета Внутр'!E377</f>
        <v>6500</v>
      </c>
      <c r="F370" s="2594" t="n">
        <f aca="false">'Смета Внутр'!F377</f>
        <v>0</v>
      </c>
      <c r="G370" s="1004" t="n">
        <f aca="false">IF(E370&gt;F370,E370,F370)</f>
        <v>6500</v>
      </c>
      <c r="H370" s="2594" t="n">
        <f aca="false">'Смета Внутр'!H377</f>
        <v>0</v>
      </c>
      <c r="I370" s="2594" t="n">
        <f aca="false">'Смета Внутр'!I377</f>
        <v>0</v>
      </c>
      <c r="J370" s="2315" t="n">
        <f aca="false">'Смета Внутр'!I377</f>
        <v>0</v>
      </c>
    </row>
    <row r="371" customFormat="false" ht="15" hidden="false" customHeight="true" outlineLevel="0" collapsed="false">
      <c r="B371" s="2594" t="str">
        <f aca="false">'Смета Внутр'!B378</f>
        <v>Болты анкерные с гайкой 12,0 х 280</v>
      </c>
      <c r="C371" s="2594" t="str">
        <f aca="false">'Смета Внутр'!C378</f>
        <v>шт</v>
      </c>
      <c r="D371" s="2594" t="n">
        <f aca="false">'Смета Внутр'!D378</f>
        <v>56</v>
      </c>
      <c r="E371" s="2594" t="n">
        <f aca="false">'Смета Внутр'!E378</f>
        <v>27.1</v>
      </c>
      <c r="F371" s="2594" t="n">
        <f aca="false">'Смета Внутр'!F378</f>
        <v>0</v>
      </c>
      <c r="G371" s="1004" t="n">
        <f aca="false">IF(E371&gt;F371,E371,F371)</f>
        <v>27.1</v>
      </c>
      <c r="H371" s="2594" t="n">
        <f aca="false">'Смета Внутр'!H378</f>
        <v>0</v>
      </c>
      <c r="I371" s="2594" t="n">
        <f aca="false">'Смета Внутр'!I378</f>
        <v>0</v>
      </c>
      <c r="J371" s="2315" t="n">
        <f aca="false">'Смета Внутр'!I378</f>
        <v>0</v>
      </c>
    </row>
    <row r="372" customFormat="false" ht="15" hidden="false" customHeight="true" outlineLevel="0" collapsed="false">
      <c r="B372" s="2594" t="str">
        <f aca="false">'Смета Внутр'!B379</f>
        <v>ГПС 150х50-1,2</v>
      </c>
      <c r="C372" s="2594" t="str">
        <f aca="false">'Смета Внутр'!C379</f>
        <v>м3</v>
      </c>
      <c r="D372" s="2594" t="n">
        <f aca="false">'Смета Внутр'!D379</f>
        <v>0</v>
      </c>
      <c r="E372" s="2594" t="n">
        <f aca="false">'Смета Внутр'!E379</f>
        <v>201</v>
      </c>
      <c r="F372" s="2594" t="n">
        <f aca="false">'Смета Внутр'!F379</f>
        <v>0</v>
      </c>
      <c r="G372" s="1004" t="n">
        <f aca="false">IF(E372&gt;F372,E372,F372)</f>
        <v>201</v>
      </c>
      <c r="H372" s="2594" t="n">
        <f aca="false">'Смета Внутр'!H379</f>
        <v>0</v>
      </c>
      <c r="I372" s="2594" t="n">
        <f aca="false">'Смета Внутр'!I379</f>
        <v>0</v>
      </c>
      <c r="J372" s="2315" t="n">
        <f aca="false">'Смета Внутр'!I379</f>
        <v>0</v>
      </c>
    </row>
    <row r="373" customFormat="false" ht="15" hidden="false" customHeight="true" outlineLevel="0" collapsed="false">
      <c r="B373" s="2594" t="str">
        <f aca="false">'Смета Внутр'!B380</f>
        <v>ГПН 152х35-1,2</v>
      </c>
      <c r="C373" s="2594" t="str">
        <f aca="false">'Смета Внутр'!C380</f>
        <v>мп.</v>
      </c>
      <c r="D373" s="2594" t="n">
        <f aca="false">'Смета Внутр'!D380</f>
        <v>0</v>
      </c>
      <c r="E373" s="2594" t="n">
        <f aca="false">'Смета Внутр'!E380</f>
        <v>163</v>
      </c>
      <c r="F373" s="2594" t="n">
        <f aca="false">'Смета Внутр'!F380</f>
        <v>0</v>
      </c>
      <c r="G373" s="1004" t="n">
        <f aca="false">IF(E373&gt;F373,E373,F373)</f>
        <v>163</v>
      </c>
      <c r="H373" s="2594" t="n">
        <f aca="false">'Смета Внутр'!H380</f>
        <v>0</v>
      </c>
      <c r="I373" s="2594" t="n">
        <f aca="false">'Смета Внутр'!I380</f>
        <v>0</v>
      </c>
      <c r="J373" s="2315" t="n">
        <f aca="false">'Смета Внутр'!I380</f>
        <v>0</v>
      </c>
    </row>
    <row r="374" customFormat="false" ht="15" hidden="false" customHeight="true" outlineLevel="0" collapsed="false">
      <c r="B374" s="2594" t="str">
        <f aca="false">'Смета Внутр'!B381</f>
        <v>Болты анкерные с гайкой 12,0 x 100</v>
      </c>
      <c r="C374" s="2594" t="str">
        <f aca="false">'Смета Внутр'!C381</f>
        <v>шт.</v>
      </c>
      <c r="D374" s="2594" t="n">
        <f aca="false">'Смета Внутр'!D381</f>
        <v>0</v>
      </c>
      <c r="E374" s="2594" t="n">
        <f aca="false">'Смета Внутр'!E381</f>
        <v>11.2</v>
      </c>
      <c r="F374" s="2594" t="n">
        <f aca="false">'Смета Внутр'!F381</f>
        <v>0</v>
      </c>
      <c r="G374" s="1004" t="n">
        <f aca="false">IF(E374&gt;F374,E374,F374)</f>
        <v>11.2</v>
      </c>
      <c r="H374" s="2594" t="n">
        <f aca="false">'Смета Внутр'!H381</f>
        <v>0</v>
      </c>
      <c r="I374" s="2594" t="n">
        <f aca="false">'Смета Внутр'!I381</f>
        <v>0</v>
      </c>
      <c r="J374" s="2315" t="n">
        <f aca="false">'Смета Внутр'!I381</f>
        <v>0</v>
      </c>
    </row>
    <row r="375" customFormat="false" ht="15" hidden="false" customHeight="true" outlineLevel="0" collapsed="false">
      <c r="B375" s="2594" t="str">
        <f aca="false">'Смета Внутр'!B382</f>
        <v>Саморез 5,5 х 25</v>
      </c>
      <c r="C375" s="2594" t="str">
        <f aca="false">'Смета Внутр'!C382</f>
        <v>шт.</v>
      </c>
      <c r="D375" s="2594" t="n">
        <f aca="false">'Смета Внутр'!D382</f>
        <v>1644</v>
      </c>
      <c r="E375" s="2594" t="n">
        <f aca="false">'Смета Внутр'!E382</f>
        <v>2.5</v>
      </c>
      <c r="F375" s="2594" t="n">
        <f aca="false">'Смета Внутр'!F382</f>
        <v>0</v>
      </c>
      <c r="G375" s="1004" t="n">
        <f aca="false">IF(E375&gt;F375,E375,F375)</f>
        <v>2.5</v>
      </c>
      <c r="H375" s="2594" t="n">
        <f aca="false">'Смета Внутр'!H382</f>
        <v>0</v>
      </c>
      <c r="I375" s="2594" t="n">
        <f aca="false">'Смета Внутр'!I382</f>
        <v>0</v>
      </c>
      <c r="J375" s="2315" t="n">
        <f aca="false">'Смета Внутр'!I382</f>
        <v>0</v>
      </c>
    </row>
    <row r="376" customFormat="false" ht="15" hidden="false" customHeight="true" outlineLevel="0" collapsed="false">
      <c r="B376" s="2594" t="str">
        <f aca="false">'Смета Внутр'!B383</f>
        <v>ГПН 122х35-1,5</v>
      </c>
      <c r="C376" s="2594" t="str">
        <f aca="false">'Смета Внутр'!C383</f>
        <v>мп.</v>
      </c>
      <c r="D376" s="2594" t="n">
        <f aca="false">'Смета Внутр'!D383</f>
        <v>0</v>
      </c>
      <c r="E376" s="2594" t="n">
        <f aca="false">'Смета Внутр'!E383</f>
        <v>163</v>
      </c>
      <c r="F376" s="2594" t="n">
        <f aca="false">'Смета Внутр'!F383</f>
        <v>0</v>
      </c>
      <c r="G376" s="1004" t="n">
        <f aca="false">IF(E376&gt;F376,E376,F376)</f>
        <v>163</v>
      </c>
      <c r="H376" s="2594" t="n">
        <f aca="false">'Смета Внутр'!H383</f>
        <v>0</v>
      </c>
      <c r="I376" s="2594" t="n">
        <f aca="false">'Смета Внутр'!I383</f>
        <v>0</v>
      </c>
      <c r="J376" s="2315" t="n">
        <f aca="false">'Смета Внутр'!I383</f>
        <v>0</v>
      </c>
    </row>
    <row r="377" customFormat="false" ht="15" hidden="false" customHeight="true" outlineLevel="0" collapsed="false">
      <c r="B377" s="2594" t="str">
        <f aca="false">'Смета Внутр'!B384</f>
        <v>Болты анкерные с гайкой 12,0 x 100</v>
      </c>
      <c r="C377" s="2594" t="str">
        <f aca="false">'Смета Внутр'!C384</f>
        <v>шт.</v>
      </c>
      <c r="D377" s="2594" t="n">
        <f aca="false">'Смета Внутр'!D384</f>
        <v>0</v>
      </c>
      <c r="E377" s="2594" t="n">
        <f aca="false">'Смета Внутр'!E384</f>
        <v>11.2</v>
      </c>
      <c r="F377" s="2594" t="n">
        <f aca="false">'Смета Внутр'!F384</f>
        <v>0</v>
      </c>
      <c r="G377" s="1004" t="n">
        <f aca="false">IF(E377&gt;F377,E377,F377)</f>
        <v>11.2</v>
      </c>
      <c r="H377" s="2594" t="n">
        <f aca="false">'Смета Внутр'!H384</f>
        <v>0</v>
      </c>
      <c r="I377" s="2594" t="n">
        <f aca="false">'Смета Внутр'!I384</f>
        <v>0</v>
      </c>
      <c r="J377" s="2315" t="n">
        <f aca="false">'Смета Внутр'!I384</f>
        <v>0</v>
      </c>
    </row>
    <row r="378" customFormat="false" ht="15" hidden="false" customHeight="true" outlineLevel="0" collapsed="false">
      <c r="B378" s="2594" t="str">
        <f aca="false">'Смета Внутр'!B385</f>
        <v>Саморез 5,5 х 25</v>
      </c>
      <c r="C378" s="2594" t="str">
        <f aca="false">'Смета Внутр'!C385</f>
        <v>шт.</v>
      </c>
      <c r="D378" s="2594" t="n">
        <f aca="false">'Смета Внутр'!D385</f>
        <v>12</v>
      </c>
      <c r="E378" s="2594" t="n">
        <f aca="false">'Смета Внутр'!E385</f>
        <v>2.5</v>
      </c>
      <c r="F378" s="2594" t="n">
        <f aca="false">'Смета Внутр'!F385</f>
        <v>0</v>
      </c>
      <c r="G378" s="1004" t="n">
        <f aca="false">IF(E378&gt;F378,E378,F378)</f>
        <v>2.5</v>
      </c>
      <c r="H378" s="2594" t="n">
        <f aca="false">'Смета Внутр'!H385</f>
        <v>0</v>
      </c>
      <c r="I378" s="2594" t="n">
        <f aca="false">'Смета Внутр'!I385</f>
        <v>0</v>
      </c>
      <c r="J378" s="2315" t="n">
        <f aca="false">'Смета Внутр'!I385</f>
        <v>0</v>
      </c>
    </row>
    <row r="379" customFormat="false" ht="15" hidden="false" customHeight="true" outlineLevel="0" collapsed="false">
      <c r="B379" s="2594" t="str">
        <f aca="false">'Смета Внутр'!B386</f>
        <v>ГПН 172х35-2,0</v>
      </c>
      <c r="C379" s="2594" t="str">
        <f aca="false">'Смета Внутр'!C386</f>
        <v>мп.</v>
      </c>
      <c r="D379" s="2594" t="n">
        <f aca="false">'Смета Внутр'!D386</f>
        <v>0</v>
      </c>
      <c r="E379" s="2594" t="n">
        <f aca="false">'Смета Внутр'!E386</f>
        <v>274</v>
      </c>
      <c r="F379" s="2594" t="n">
        <f aca="false">'Смета Внутр'!F386</f>
        <v>0</v>
      </c>
      <c r="G379" s="1004" t="n">
        <f aca="false">IF(E379&gt;F379,E379,F379)</f>
        <v>274</v>
      </c>
      <c r="H379" s="2594" t="n">
        <f aca="false">'Смета Внутр'!H386</f>
        <v>0</v>
      </c>
      <c r="I379" s="2594" t="n">
        <f aca="false">'Смета Внутр'!I386</f>
        <v>0</v>
      </c>
      <c r="J379" s="2315" t="n">
        <f aca="false">'Смета Внутр'!I386</f>
        <v>0</v>
      </c>
    </row>
    <row r="380" customFormat="false" ht="15" hidden="false" customHeight="true" outlineLevel="0" collapsed="false">
      <c r="B380" s="2594" t="str">
        <f aca="false">'Смета Внутр'!B387</f>
        <v>Болты анкерные с гайкой 12,0 x 100</v>
      </c>
      <c r="C380" s="2594" t="str">
        <f aca="false">'Смета Внутр'!C387</f>
        <v>шт.</v>
      </c>
      <c r="D380" s="2594" t="n">
        <f aca="false">'Смета Внутр'!D387</f>
        <v>0</v>
      </c>
      <c r="E380" s="2594" t="n">
        <f aca="false">'Смета Внутр'!E387</f>
        <v>11.2</v>
      </c>
      <c r="F380" s="2594" t="n">
        <f aca="false">'Смета Внутр'!F387</f>
        <v>0</v>
      </c>
      <c r="G380" s="1004" t="n">
        <f aca="false">IF(E380&gt;F380,E380,F380)</f>
        <v>11.2</v>
      </c>
      <c r="H380" s="2594" t="n">
        <f aca="false">'Смета Внутр'!H387</f>
        <v>0</v>
      </c>
      <c r="I380" s="2594" t="n">
        <f aca="false">'Смета Внутр'!I387</f>
        <v>0</v>
      </c>
      <c r="J380" s="2315" t="n">
        <f aca="false">'Смета Внутр'!I387</f>
        <v>0</v>
      </c>
    </row>
    <row r="381" customFormat="false" ht="15" hidden="false" customHeight="true" outlineLevel="0" collapsed="false">
      <c r="B381" s="2594" t="str">
        <f aca="false">'Смета Внутр'!B388</f>
        <v>Саморез 5,5 х 25</v>
      </c>
      <c r="C381" s="2594" t="str">
        <f aca="false">'Смета Внутр'!C388</f>
        <v>шт.</v>
      </c>
      <c r="D381" s="2594" t="n">
        <f aca="false">'Смета Внутр'!D388</f>
        <v>0</v>
      </c>
      <c r="E381" s="2594" t="n">
        <f aca="false">'Смета Внутр'!E388</f>
        <v>2.5</v>
      </c>
      <c r="F381" s="2594" t="n">
        <f aca="false">'Смета Внутр'!F388</f>
        <v>0</v>
      </c>
      <c r="G381" s="1004" t="n">
        <f aca="false">IF(E381&gt;F381,E381,F381)</f>
        <v>2.5</v>
      </c>
      <c r="H381" s="2594" t="n">
        <f aca="false">'Смета Внутр'!H388</f>
        <v>0</v>
      </c>
      <c r="I381" s="2594" t="n">
        <f aca="false">'Смета Внутр'!I388</f>
        <v>0</v>
      </c>
      <c r="J381" s="2315" t="n">
        <f aca="false">'Смета Внутр'!I388</f>
        <v>0</v>
      </c>
    </row>
    <row r="382" customFormat="false" ht="15" hidden="false" customHeight="true" outlineLevel="0" collapsed="false">
      <c r="B382" s="2594" t="str">
        <f aca="false">'Смета Внутр'!B389</f>
        <v>ГПС 150х50-1,2</v>
      </c>
      <c r="C382" s="2594" t="str">
        <f aca="false">'Смета Внутр'!C389</f>
        <v>мп.</v>
      </c>
      <c r="D382" s="2594" t="n">
        <f aca="false">'Смета Внутр'!D389</f>
        <v>14</v>
      </c>
      <c r="E382" s="2594" t="n">
        <f aca="false">'Смета Внутр'!E389</f>
        <v>63.0094043887147</v>
      </c>
      <c r="F382" s="2594" t="n">
        <f aca="false">'Смета Внутр'!F389</f>
        <v>0</v>
      </c>
      <c r="G382" s="1018" t="n">
        <f aca="false">IF(E382&gt;F382,E382,F382)</f>
        <v>63.0094043887147</v>
      </c>
      <c r="H382" s="2594" t="n">
        <f aca="false">'Смета Внутр'!H389</f>
        <v>0</v>
      </c>
      <c r="I382" s="2594" t="n">
        <f aca="false">'Смета Внутр'!I389</f>
        <v>0</v>
      </c>
      <c r="J382" s="2315" t="n">
        <f aca="false">'Смета Внутр'!I389</f>
        <v>0</v>
      </c>
    </row>
    <row r="383" customFormat="false" ht="15" hidden="false" customHeight="true" outlineLevel="0" collapsed="false">
      <c r="B383" s="2594" t="str">
        <f aca="false">'Смета Внутр'!B390</f>
        <v>Саморез 5,5 х 25</v>
      </c>
      <c r="C383" s="2594" t="str">
        <f aca="false">'Смета Внутр'!C390</f>
        <v>шт.</v>
      </c>
      <c r="D383" s="2594" t="n">
        <f aca="false">'Смета Внутр'!D390</f>
        <v>81</v>
      </c>
      <c r="E383" s="2594" t="n">
        <f aca="false">'Смета Внутр'!E390</f>
        <v>2.5</v>
      </c>
      <c r="F383" s="2594" t="n">
        <f aca="false">'Смета Внутр'!F390</f>
        <v>0</v>
      </c>
      <c r="G383" s="1004" t="n">
        <f aca="false">IF(E383&gt;F383,E383,F383)</f>
        <v>2.5</v>
      </c>
      <c r="H383" s="2594" t="n">
        <f aca="false">'Смета Внутр'!H390</f>
        <v>0</v>
      </c>
      <c r="I383" s="2594" t="n">
        <f aca="false">'Смета Внутр'!I390</f>
        <v>0</v>
      </c>
      <c r="J383" s="2315" t="n">
        <f aca="false">'Смета Внутр'!I390</f>
        <v>0</v>
      </c>
    </row>
    <row r="384" customFormat="false" ht="15" hidden="false" customHeight="true" outlineLevel="0" collapsed="false">
      <c r="B384" s="2594" t="str">
        <f aca="false">'Смета Внутр'!B391</f>
        <v>L 50 x 50, 1,2мм</v>
      </c>
      <c r="C384" s="2594" t="str">
        <f aca="false">'Смета Внутр'!C391</f>
        <v>м.п.</v>
      </c>
      <c r="D384" s="2594" t="n">
        <f aca="false">'Смета Внутр'!D391</f>
        <v>8.1</v>
      </c>
      <c r="E384" s="2594" t="n">
        <f aca="false">'Смета Внутр'!E391</f>
        <v>77</v>
      </c>
      <c r="F384" s="2594" t="n">
        <f aca="false">'Смета Внутр'!F391</f>
        <v>0</v>
      </c>
      <c r="G384" s="1004" t="n">
        <f aca="false">IF(E384&gt;F384,E384,F384)</f>
        <v>77</v>
      </c>
      <c r="H384" s="2594" t="n">
        <f aca="false">'Смета Внутр'!H391</f>
        <v>0</v>
      </c>
      <c r="I384" s="2594" t="n">
        <f aca="false">'Смета Внутр'!I391</f>
        <v>0</v>
      </c>
      <c r="J384" s="2315" t="n">
        <f aca="false">'Смета Внутр'!I391</f>
        <v>0</v>
      </c>
    </row>
    <row r="385" customFormat="false" ht="15" hidden="false" customHeight="true" outlineLevel="0" collapsed="false">
      <c r="B385" s="2594" t="str">
        <f aca="false">'Смета Внутр'!B392</f>
        <v>ГПС 120х50-1,5</v>
      </c>
      <c r="C385" s="2594" t="str">
        <f aca="false">'Смета Внутр'!C392</f>
        <v>м.п.</v>
      </c>
      <c r="D385" s="2594" t="n">
        <f aca="false">'Смета Внутр'!D392</f>
        <v>7.8</v>
      </c>
      <c r="E385" s="2594" t="n">
        <f aca="false">'Смета Внутр'!E392</f>
        <v>65.8823529411765</v>
      </c>
      <c r="F385" s="2594" t="n">
        <f aca="false">'Смета Внутр'!F392</f>
        <v>0</v>
      </c>
      <c r="G385" s="1018" t="n">
        <f aca="false">IF(E385&gt;F385,E385,F385)</f>
        <v>65.8823529411765</v>
      </c>
      <c r="H385" s="2594" t="n">
        <f aca="false">'Смета Внутр'!H392</f>
        <v>0</v>
      </c>
      <c r="I385" s="2594" t="n">
        <f aca="false">'Смета Внутр'!I392</f>
        <v>0</v>
      </c>
      <c r="J385" s="2315" t="n">
        <f aca="false">'Смета Внутр'!I392</f>
        <v>0</v>
      </c>
    </row>
    <row r="386" customFormat="false" ht="15" hidden="false" customHeight="true" outlineLevel="0" collapsed="false">
      <c r="B386" s="2594" t="str">
        <f aca="false">'Смета Внутр'!B393</f>
        <v>Саморез 5,5 х 25</v>
      </c>
      <c r="C386" s="2594" t="str">
        <f aca="false">'Смета Внутр'!C393</f>
        <v>шт.</v>
      </c>
      <c r="D386" s="2594" t="n">
        <f aca="false">'Смета Внутр'!D393</f>
        <v>48</v>
      </c>
      <c r="E386" s="2594" t="n">
        <f aca="false">'Смета Внутр'!E393</f>
        <v>2.5</v>
      </c>
      <c r="F386" s="2594" t="n">
        <f aca="false">'Смета Внутр'!F393</f>
        <v>0</v>
      </c>
      <c r="G386" s="1004" t="n">
        <f aca="false">IF(E386&gt;F386,E386,F386)</f>
        <v>2.5</v>
      </c>
      <c r="H386" s="2594" t="n">
        <f aca="false">'Смета Внутр'!H393</f>
        <v>0</v>
      </c>
      <c r="I386" s="2594" t="n">
        <f aca="false">'Смета Внутр'!I393</f>
        <v>0</v>
      </c>
      <c r="J386" s="2315" t="n">
        <f aca="false">'Смета Внутр'!I393</f>
        <v>0</v>
      </c>
    </row>
    <row r="387" customFormat="false" ht="15" hidden="false" customHeight="true" outlineLevel="0" collapsed="false">
      <c r="B387" s="2594" t="str">
        <f aca="false">'Смета Внутр'!B394</f>
        <v>нет</v>
      </c>
      <c r="C387" s="2594" t="str">
        <f aca="false">'Смета Внутр'!C394</f>
        <v>м.п.</v>
      </c>
      <c r="D387" s="2594" t="n">
        <f aca="false">'Смета Внутр'!D394</f>
        <v>0</v>
      </c>
      <c r="E387" s="2594" t="n">
        <f aca="false">'Смета Внутр'!E394</f>
        <v>0</v>
      </c>
      <c r="F387" s="2594" t="n">
        <f aca="false">'Смета Внутр'!F394</f>
        <v>0</v>
      </c>
      <c r="G387" s="1004" t="n">
        <f aca="false">IF(E387&gt;F387,E387,F387)</f>
        <v>0</v>
      </c>
      <c r="H387" s="2594" t="n">
        <f aca="false">'Смета Внутр'!H394</f>
        <v>0</v>
      </c>
      <c r="I387" s="2594" t="n">
        <f aca="false">'Смета Внутр'!I394</f>
        <v>0</v>
      </c>
      <c r="J387" s="2315" t="n">
        <f aca="false">'Смета Внутр'!I394</f>
        <v>0</v>
      </c>
    </row>
    <row r="388" customFormat="false" ht="15" hidden="false" customHeight="true" outlineLevel="0" collapsed="false">
      <c r="B388" s="2594" t="str">
        <f aca="false">'Смета Внутр'!B395</f>
        <v>нет</v>
      </c>
      <c r="C388" s="2594" t="str">
        <f aca="false">'Смета Внутр'!C395</f>
        <v>м.п.</v>
      </c>
      <c r="D388" s="2594" t="n">
        <f aca="false">'Смета Внутр'!D395</f>
        <v>0</v>
      </c>
      <c r="E388" s="2594" t="n">
        <f aca="false">'Смета Внутр'!E395</f>
        <v>0</v>
      </c>
      <c r="F388" s="2594" t="n">
        <f aca="false">'Смета Внутр'!F395</f>
        <v>0</v>
      </c>
      <c r="G388" s="1004" t="n">
        <f aca="false">IF(E388&gt;F388,E388,F388)</f>
        <v>0</v>
      </c>
      <c r="H388" s="2594" t="n">
        <f aca="false">'Смета Внутр'!H395</f>
        <v>0</v>
      </c>
      <c r="I388" s="2594" t="n">
        <f aca="false">'Смета Внутр'!I395</f>
        <v>0</v>
      </c>
      <c r="J388" s="2315" t="n">
        <f aca="false">'Смета Внутр'!I395</f>
        <v>0</v>
      </c>
    </row>
    <row r="389" customFormat="false" ht="15" hidden="false" customHeight="true" outlineLevel="0" collapsed="false">
      <c r="B389" s="2594" t="n">
        <f aca="false">'Смета Внутр'!B396</f>
        <v>0</v>
      </c>
      <c r="C389" s="2594" t="str">
        <f aca="false">'Смета Внутр'!C396</f>
        <v>шт.</v>
      </c>
      <c r="D389" s="2594" t="n">
        <f aca="false">'Смета Внутр'!D396</f>
        <v>0</v>
      </c>
      <c r="E389" s="2594" t="n">
        <f aca="false">'Смета Внутр'!E396</f>
        <v>0</v>
      </c>
      <c r="F389" s="2594" t="n">
        <f aca="false">'Смета Внутр'!F396</f>
        <v>0</v>
      </c>
      <c r="G389" s="1004" t="n">
        <f aca="false">IF(E389&gt;F389,E389,F389)</f>
        <v>0</v>
      </c>
      <c r="H389" s="2594" t="n">
        <f aca="false">'Смета Внутр'!H396</f>
        <v>0</v>
      </c>
      <c r="I389" s="2594" t="n">
        <f aca="false">'Смета Внутр'!I396</f>
        <v>0</v>
      </c>
      <c r="J389" s="2315" t="n">
        <f aca="false">'Смета Внутр'!I396</f>
        <v>0</v>
      </c>
    </row>
    <row r="390" customFormat="false" ht="15" hidden="false" customHeight="true" outlineLevel="0" collapsed="false">
      <c r="B390" s="2594" t="n">
        <f aca="false">'Смета Внутр'!B397</f>
        <v>0</v>
      </c>
      <c r="C390" s="2594" t="str">
        <f aca="false">'Смета Внутр'!C397</f>
        <v>шт.</v>
      </c>
      <c r="D390" s="2594" t="n">
        <f aca="false">'Смета Внутр'!D397</f>
        <v>0</v>
      </c>
      <c r="E390" s="2594" t="n">
        <f aca="false">'Смета Внутр'!E397</f>
        <v>0</v>
      </c>
      <c r="F390" s="2594" t="n">
        <f aca="false">'Смета Внутр'!F397</f>
        <v>0</v>
      </c>
      <c r="G390" s="1004" t="n">
        <f aca="false">IF(E390&gt;F390,E390,F390)</f>
        <v>0</v>
      </c>
      <c r="H390" s="2594" t="n">
        <f aca="false">'Смета Внутр'!H397</f>
        <v>0</v>
      </c>
      <c r="I390" s="2594" t="n">
        <f aca="false">'Смета Внутр'!I397</f>
        <v>0</v>
      </c>
      <c r="J390" s="2315" t="n">
        <f aca="false">'Смета Внутр'!I397</f>
        <v>0</v>
      </c>
    </row>
    <row r="391" customFormat="false" ht="15" hidden="false" customHeight="true" outlineLevel="0" collapsed="false">
      <c r="B391" s="2594" t="str">
        <f aca="false">'Смета Внутр'!B398</f>
        <v>нет</v>
      </c>
      <c r="C391" s="2594" t="str">
        <f aca="false">'Смета Внутр'!C398</f>
        <v>м2</v>
      </c>
      <c r="D391" s="2594" t="n">
        <f aca="false">'Смета Внутр'!D398</f>
        <v>0</v>
      </c>
      <c r="E391" s="2594" t="n">
        <f aca="false">'Смета Внутр'!E398</f>
        <v>0</v>
      </c>
      <c r="F391" s="2594" t="n">
        <f aca="false">'Смета Внутр'!F398</f>
        <v>0</v>
      </c>
      <c r="G391" s="1004" t="n">
        <f aca="false">IF(E391&gt;F391,E391,F391)</f>
        <v>0</v>
      </c>
      <c r="H391" s="2594" t="n">
        <f aca="false">'Смета Внутр'!H398</f>
        <v>0</v>
      </c>
      <c r="I391" s="2594" t="n">
        <f aca="false">'Смета Внутр'!I398</f>
        <v>0</v>
      </c>
      <c r="J391" s="2315" t="n">
        <f aca="false">'Смета Внутр'!I398</f>
        <v>0</v>
      </c>
    </row>
    <row r="392" customFormat="false" ht="15" hidden="false" customHeight="true" outlineLevel="0" collapsed="false">
      <c r="B392" s="2594" t="str">
        <f aca="false">'Смета Внутр'!B399</f>
        <v>Саморезы 3,5 x 25</v>
      </c>
      <c r="C392" s="2594" t="str">
        <f aca="false">'Смета Внутр'!C399</f>
        <v>шт.</v>
      </c>
      <c r="D392" s="2594" t="n">
        <f aca="false">'Смета Внутр'!D399</f>
        <v>0</v>
      </c>
      <c r="E392" s="2594" t="n">
        <f aca="false">'Смета Внутр'!E399</f>
        <v>0.2</v>
      </c>
      <c r="F392" s="2594" t="n">
        <f aca="false">'Смета Внутр'!F399</f>
        <v>0</v>
      </c>
      <c r="G392" s="1004" t="n">
        <f aca="false">IF(E392&gt;F392,E392,F392)</f>
        <v>0.2</v>
      </c>
      <c r="H392" s="2594" t="n">
        <f aca="false">'Смета Внутр'!H399</f>
        <v>0</v>
      </c>
      <c r="I392" s="2594" t="n">
        <f aca="false">'Смета Внутр'!I399</f>
        <v>0</v>
      </c>
      <c r="J392" s="2315" t="n">
        <f aca="false">'Смета Внутр'!I399</f>
        <v>0</v>
      </c>
    </row>
    <row r="393" customFormat="false" ht="15" hidden="false" customHeight="true" outlineLevel="0" collapsed="false">
      <c r="B393" s="2594" t="str">
        <f aca="false">'Смета Внутр'!B400</f>
        <v>нет</v>
      </c>
      <c r="C393" s="2594" t="str">
        <f aca="false">'Смета Внутр'!C400</f>
        <v>м.п.</v>
      </c>
      <c r="D393" s="2594" t="n">
        <f aca="false">'Смета Внутр'!D400</f>
        <v>0</v>
      </c>
      <c r="E393" s="2594" t="n">
        <f aca="false">'Смета Внутр'!E400</f>
        <v>0</v>
      </c>
      <c r="F393" s="2594" t="n">
        <f aca="false">'Смета Внутр'!F400</f>
        <v>0</v>
      </c>
      <c r="G393" s="1004" t="n">
        <f aca="false">IF(E393&gt;F393,E393,F393)</f>
        <v>0</v>
      </c>
      <c r="H393" s="2594" t="n">
        <f aca="false">'Смета Внутр'!H400</f>
        <v>0</v>
      </c>
      <c r="I393" s="2594" t="n">
        <f aca="false">'Смета Внутр'!I400</f>
        <v>0</v>
      </c>
      <c r="J393" s="2315" t="n">
        <f aca="false">'Смета Внутр'!I400</f>
        <v>0</v>
      </c>
    </row>
    <row r="394" customFormat="false" ht="15" hidden="false" customHeight="true" outlineLevel="0" collapsed="false">
      <c r="B394" s="2594" t="n">
        <f aca="false">'Смета Внутр'!B401</f>
        <v>0</v>
      </c>
      <c r="C394" s="2594" t="str">
        <f aca="false">'Смета Внутр'!C401</f>
        <v>шт.</v>
      </c>
      <c r="D394" s="2594" t="n">
        <f aca="false">'Смета Внутр'!D401</f>
        <v>0</v>
      </c>
      <c r="E394" s="2594" t="n">
        <f aca="false">'Смета Внутр'!E401</f>
        <v>0</v>
      </c>
      <c r="F394" s="2594" t="n">
        <f aca="false">'Смета Внутр'!F401</f>
        <v>0</v>
      </c>
      <c r="G394" s="1004" t="n">
        <f aca="false">IF(E394&gt;F394,E394,F394)</f>
        <v>0</v>
      </c>
      <c r="H394" s="2594" t="n">
        <f aca="false">'Смета Внутр'!H401</f>
        <v>0</v>
      </c>
      <c r="I394" s="2594" t="n">
        <f aca="false">'Смета Внутр'!I401</f>
        <v>0</v>
      </c>
      <c r="J394" s="2315" t="n">
        <f aca="false">'Смета Внутр'!I401</f>
        <v>0</v>
      </c>
    </row>
    <row r="395" customFormat="false" ht="15" hidden="false" customHeight="true" outlineLevel="0" collapsed="false">
      <c r="B395" s="2594" t="str">
        <f aca="false">'Смета Внутр'!B402</f>
        <v>нет</v>
      </c>
      <c r="C395" s="2594" t="str">
        <f aca="false">'Смета Внутр'!C402</f>
        <v>м2</v>
      </c>
      <c r="D395" s="2594" t="n">
        <f aca="false">'Смета Внутр'!D402</f>
        <v>0</v>
      </c>
      <c r="E395" s="2594" t="n">
        <f aca="false">'Смета Внутр'!E402</f>
        <v>0</v>
      </c>
      <c r="F395" s="2594" t="n">
        <f aca="false">'Смета Внутр'!F402</f>
        <v>0</v>
      </c>
      <c r="G395" s="1004" t="n">
        <f aca="false">IF(E395&gt;F395,E395,F395)</f>
        <v>0</v>
      </c>
      <c r="H395" s="2594" t="n">
        <f aca="false">'Смета Внутр'!H402</f>
        <v>0</v>
      </c>
      <c r="I395" s="2594" t="n">
        <f aca="false">'Смета Внутр'!I402</f>
        <v>0</v>
      </c>
      <c r="J395" s="2315" t="n">
        <f aca="false">'Смета Внутр'!I402</f>
        <v>0</v>
      </c>
    </row>
    <row r="396" customFormat="false" ht="15" hidden="false" customHeight="true" outlineLevel="0" collapsed="false">
      <c r="B396" s="2594" t="str">
        <f aca="false">'Смета Внутр'!B403</f>
        <v>Саморезы 3,5 x 45</v>
      </c>
      <c r="C396" s="2594" t="str">
        <f aca="false">'Смета Внутр'!C403</f>
        <v>шт.</v>
      </c>
      <c r="D396" s="2594" t="n">
        <f aca="false">'Смета Внутр'!D403</f>
        <v>0</v>
      </c>
      <c r="E396" s="2594" t="n">
        <f aca="false">'Смета Внутр'!E403</f>
        <v>0.25</v>
      </c>
      <c r="F396" s="2594" t="n">
        <f aca="false">'Смета Внутр'!F403</f>
        <v>0</v>
      </c>
      <c r="G396" s="1004" t="n">
        <f aca="false">IF(E396&gt;F396,E396,F396)</f>
        <v>0.25</v>
      </c>
      <c r="H396" s="2594" t="n">
        <f aca="false">'Смета Внутр'!H403</f>
        <v>0</v>
      </c>
      <c r="I396" s="2594" t="n">
        <f aca="false">'Смета Внутр'!I403</f>
        <v>0</v>
      </c>
      <c r="J396" s="2315" t="n">
        <f aca="false">'Смета Внутр'!I403</f>
        <v>0</v>
      </c>
    </row>
    <row r="397" customFormat="false" ht="15" hidden="false" customHeight="true" outlineLevel="0" collapsed="false">
      <c r="B397" s="2594" t="str">
        <f aca="false">'Смета Внутр'!B404</f>
        <v>нет</v>
      </c>
      <c r="C397" s="2594" t="str">
        <f aca="false">'Смета Внутр'!C404</f>
        <v>м.п.</v>
      </c>
      <c r="D397" s="2594" t="n">
        <f aca="false">'Смета Внутр'!D404</f>
        <v>192</v>
      </c>
      <c r="E397" s="2594" t="n">
        <f aca="false">'Смета Внутр'!E404</f>
        <v>0</v>
      </c>
      <c r="F397" s="2594" t="n">
        <f aca="false">'Смета Внутр'!F404</f>
        <v>0</v>
      </c>
      <c r="G397" s="1004" t="n">
        <f aca="false">IF(E397&gt;F397,E397,F397)</f>
        <v>0</v>
      </c>
      <c r="H397" s="2594" t="n">
        <f aca="false">'Смета Внутр'!H404</f>
        <v>0</v>
      </c>
      <c r="I397" s="2594" t="n">
        <f aca="false">'Смета Внутр'!I404</f>
        <v>0</v>
      </c>
      <c r="J397" s="2315" t="n">
        <f aca="false">'Смета Внутр'!I404</f>
        <v>0</v>
      </c>
    </row>
    <row r="398" customFormat="false" ht="15" hidden="false" customHeight="true" outlineLevel="0" collapsed="false">
      <c r="B398" s="2594" t="str">
        <f aca="false">'Смета Внутр'!B405</f>
        <v>нет</v>
      </c>
      <c r="C398" s="2594" t="str">
        <f aca="false">'Смета Внутр'!C405</f>
        <v>м.п.</v>
      </c>
      <c r="D398" s="2594" t="n">
        <f aca="false">'Смета Внутр'!D405</f>
        <v>192</v>
      </c>
      <c r="E398" s="2594" t="n">
        <f aca="false">'Смета Внутр'!E405</f>
        <v>0</v>
      </c>
      <c r="F398" s="2594" t="n">
        <f aca="false">'Смета Внутр'!F405</f>
        <v>0</v>
      </c>
      <c r="G398" s="1004" t="n">
        <f aca="false">IF(E398&gt;F398,E398,F398)</f>
        <v>0</v>
      </c>
      <c r="H398" s="2594" t="n">
        <f aca="false">'Смета Внутр'!H405</f>
        <v>0</v>
      </c>
      <c r="I398" s="2594" t="n">
        <f aca="false">'Смета Внутр'!I405</f>
        <v>0</v>
      </c>
      <c r="J398" s="2315" t="n">
        <f aca="false">'Смета Внутр'!I405</f>
        <v>0</v>
      </c>
    </row>
    <row r="399" customFormat="false" ht="15" hidden="false" customHeight="true" outlineLevel="0" collapsed="false">
      <c r="B399" s="2594" t="n">
        <f aca="false">'Смета Внутр'!B406</f>
        <v>0</v>
      </c>
      <c r="C399" s="2594" t="str">
        <f aca="false">'Смета Внутр'!C406</f>
        <v>шт.</v>
      </c>
      <c r="D399" s="2594" t="n">
        <f aca="false">'Смета Внутр'!D406</f>
        <v>384</v>
      </c>
      <c r="E399" s="2594" t="n">
        <f aca="false">'Смета Внутр'!E406</f>
        <v>0</v>
      </c>
      <c r="F399" s="2594" t="n">
        <f aca="false">'Смета Внутр'!F406</f>
        <v>0</v>
      </c>
      <c r="G399" s="1004" t="n">
        <f aca="false">IF(E399&gt;F399,E399,F399)</f>
        <v>0</v>
      </c>
      <c r="H399" s="2594" t="n">
        <f aca="false">'Смета Внутр'!H406</f>
        <v>0</v>
      </c>
      <c r="I399" s="2594" t="n">
        <f aca="false">'Смета Внутр'!I406</f>
        <v>0</v>
      </c>
      <c r="J399" s="2315" t="n">
        <f aca="false">'Смета Внутр'!I406</f>
        <v>0</v>
      </c>
    </row>
    <row r="400" customFormat="false" ht="15" hidden="false" customHeight="true" outlineLevel="0" collapsed="false">
      <c r="B400" s="2594" t="str">
        <f aca="false">'Смета Внутр'!B407</f>
        <v>Кровельный саморез</v>
      </c>
      <c r="C400" s="2594" t="str">
        <f aca="false">'Смета Внутр'!C407</f>
        <v>шт.</v>
      </c>
      <c r="D400" s="2594" t="n">
        <f aca="false">'Смета Внутр'!D407</f>
        <v>0</v>
      </c>
      <c r="E400" s="2594" t="n">
        <f aca="false">'Смета Внутр'!E407</f>
        <v>2</v>
      </c>
      <c r="F400" s="2594" t="n">
        <f aca="false">'Смета Внутр'!F407</f>
        <v>0</v>
      </c>
      <c r="G400" s="1004" t="n">
        <f aca="false">IF(E400&gt;F400,E400,F400)</f>
        <v>2</v>
      </c>
      <c r="H400" s="2594" t="n">
        <f aca="false">'Смета Внутр'!H407</f>
        <v>0</v>
      </c>
      <c r="I400" s="2594" t="n">
        <f aca="false">'Смета Внутр'!I407</f>
        <v>0</v>
      </c>
      <c r="J400" s="2315" t="n">
        <f aca="false">'Смета Внутр'!I407</f>
        <v>0</v>
      </c>
    </row>
    <row r="401" customFormat="false" ht="15" hidden="false" customHeight="true" outlineLevel="0" collapsed="false">
      <c r="B401" s="2594" t="str">
        <f aca="false">'Смета Внутр'!B408</f>
        <v>нет</v>
      </c>
      <c r="C401" s="2594" t="str">
        <f aca="false">'Смета Внутр'!C408</f>
        <v>м.п.</v>
      </c>
      <c r="D401" s="2594" t="n">
        <f aca="false">'Смета Внутр'!D408</f>
        <v>192</v>
      </c>
      <c r="E401" s="2594" t="n">
        <f aca="false">'Смета Внутр'!E408</f>
        <v>0</v>
      </c>
      <c r="F401" s="2594" t="n">
        <f aca="false">'Смета Внутр'!F408</f>
        <v>0</v>
      </c>
      <c r="G401" s="1004" t="n">
        <f aca="false">IF(E401&gt;F401,E401,F401)</f>
        <v>0</v>
      </c>
      <c r="H401" s="2594" t="n">
        <f aca="false">'Смета Внутр'!H408</f>
        <v>0</v>
      </c>
      <c r="I401" s="2594" t="n">
        <f aca="false">'Смета Внутр'!I408</f>
        <v>0</v>
      </c>
      <c r="J401" s="2315" t="n">
        <f aca="false">'Смета Внутр'!I408</f>
        <v>0</v>
      </c>
    </row>
    <row r="402" customFormat="false" ht="15" hidden="false" customHeight="true" outlineLevel="0" collapsed="false">
      <c r="B402" s="2594" t="str">
        <f aca="false">'Смета Внутр'!B409</f>
        <v>нет</v>
      </c>
      <c r="C402" s="2594" t="str">
        <f aca="false">'Смета Внутр'!C409</f>
        <v>м.п.</v>
      </c>
      <c r="D402" s="2594" t="n">
        <f aca="false">'Смета Внутр'!D409</f>
        <v>110</v>
      </c>
      <c r="E402" s="2594" t="n">
        <f aca="false">'Смета Внутр'!E409</f>
        <v>0</v>
      </c>
      <c r="F402" s="2594" t="n">
        <f aca="false">'Смета Внутр'!F409</f>
        <v>0</v>
      </c>
      <c r="G402" s="1004" t="n">
        <f aca="false">IF(E402&gt;F402,E402,F402)</f>
        <v>0</v>
      </c>
      <c r="H402" s="2594" t="n">
        <f aca="false">'Смета Внутр'!H409</f>
        <v>0</v>
      </c>
      <c r="I402" s="2594" t="n">
        <f aca="false">'Смета Внутр'!I409</f>
        <v>0</v>
      </c>
      <c r="J402" s="2315" t="n">
        <f aca="false">'Смета Внутр'!I409</f>
        <v>0</v>
      </c>
    </row>
    <row r="403" customFormat="false" ht="15" hidden="false" customHeight="true" outlineLevel="0" collapsed="false">
      <c r="B403" s="2594" t="n">
        <f aca="false">'Смета Внутр'!B410</f>
        <v>0</v>
      </c>
      <c r="C403" s="2594" t="str">
        <f aca="false">'Смета Внутр'!C410</f>
        <v>шт.</v>
      </c>
      <c r="D403" s="2594" t="n">
        <f aca="false">'Смета Внутр'!D410</f>
        <v>384</v>
      </c>
      <c r="E403" s="2594" t="n">
        <f aca="false">'Смета Внутр'!E410</f>
        <v>0</v>
      </c>
      <c r="F403" s="2594" t="n">
        <f aca="false">'Смета Внутр'!F410</f>
        <v>0</v>
      </c>
      <c r="G403" s="1004" t="n">
        <f aca="false">IF(E403&gt;F403,E403,F403)</f>
        <v>0</v>
      </c>
      <c r="H403" s="2594" t="n">
        <f aca="false">'Смета Внутр'!H410</f>
        <v>0</v>
      </c>
      <c r="I403" s="2594" t="n">
        <f aca="false">'Смета Внутр'!I410</f>
        <v>0</v>
      </c>
      <c r="J403" s="2315" t="n">
        <f aca="false">'Смета Внутр'!I410</f>
        <v>0</v>
      </c>
    </row>
    <row r="404" customFormat="false" ht="15" hidden="false" customHeight="true" outlineLevel="0" collapsed="false">
      <c r="B404" s="2594" t="str">
        <f aca="false">'Смета Внутр'!B411</f>
        <v>Кровельный саморез</v>
      </c>
      <c r="C404" s="2594" t="str">
        <f aca="false">'Смета Внутр'!C411</f>
        <v>шт.</v>
      </c>
      <c r="D404" s="2594" t="n">
        <f aca="false">'Смета Внутр'!D411</f>
        <v>0</v>
      </c>
      <c r="E404" s="2594" t="n">
        <f aca="false">'Смета Внутр'!E411</f>
        <v>2</v>
      </c>
      <c r="F404" s="2594" t="n">
        <f aca="false">'Смета Внутр'!F411</f>
        <v>0</v>
      </c>
      <c r="G404" s="1004" t="n">
        <f aca="false">IF(E404&gt;F404,E404,F404)</f>
        <v>2</v>
      </c>
      <c r="H404" s="2594" t="n">
        <f aca="false">'Смета Внутр'!H411</f>
        <v>0</v>
      </c>
      <c r="I404" s="2594" t="n">
        <f aca="false">'Смета Внутр'!I411</f>
        <v>0</v>
      </c>
      <c r="J404" s="2315" t="n">
        <f aca="false">'Смета Внутр'!I411</f>
        <v>0</v>
      </c>
    </row>
    <row r="405" customFormat="false" ht="15" hidden="false" customHeight="true" outlineLevel="0" collapsed="false">
      <c r="B405" s="2594" t="str">
        <f aca="false">'Смета Внутр'!B412</f>
        <v>Саморезы 3,5 x 25</v>
      </c>
      <c r="C405" s="2594" t="str">
        <f aca="false">'Смета Внутр'!C412</f>
        <v>шт.</v>
      </c>
      <c r="D405" s="2594" t="n">
        <f aca="false">'Смета Внутр'!D412</f>
        <v>0</v>
      </c>
      <c r="E405" s="2594" t="n">
        <f aca="false">'Смета Внутр'!E412</f>
        <v>0.2</v>
      </c>
      <c r="F405" s="2594" t="n">
        <f aca="false">'Смета Внутр'!F412</f>
        <v>0</v>
      </c>
      <c r="G405" s="1004" t="n">
        <f aca="false">IF(E405&gt;F405,E405,F405)</f>
        <v>0.2</v>
      </c>
      <c r="H405" s="2594" t="n">
        <f aca="false">'Смета Внутр'!H412</f>
        <v>0</v>
      </c>
      <c r="I405" s="2594" t="n">
        <f aca="false">'Смета Внутр'!I412</f>
        <v>0</v>
      </c>
      <c r="J405" s="2315" t="n">
        <f aca="false">'Смета Внутр'!I412</f>
        <v>0</v>
      </c>
    </row>
    <row r="406" customFormat="false" ht="15" hidden="false" customHeight="true" outlineLevel="0" collapsed="false">
      <c r="B406" s="2594" t="str">
        <f aca="false">'Смета Внутр'!B413</f>
        <v>Саморезы 3,5 x 25</v>
      </c>
      <c r="C406" s="2594" t="str">
        <f aca="false">'Смета Внутр'!C413</f>
        <v>шт.</v>
      </c>
      <c r="D406" s="2594" t="n">
        <f aca="false">'Смета Внутр'!D413</f>
        <v>1200</v>
      </c>
      <c r="E406" s="2594" t="n">
        <f aca="false">'Смета Внутр'!E413</f>
        <v>0.2</v>
      </c>
      <c r="F406" s="2594" t="n">
        <f aca="false">'Смета Внутр'!F413</f>
        <v>0</v>
      </c>
      <c r="G406" s="1004" t="n">
        <f aca="false">IF(E406&gt;F406,E406,F406)</f>
        <v>0.2</v>
      </c>
      <c r="H406" s="2594" t="n">
        <f aca="false">'Смета Внутр'!H413</f>
        <v>0</v>
      </c>
      <c r="I406" s="2594" t="n">
        <f aca="false">'Смета Внутр'!I413</f>
        <v>0</v>
      </c>
      <c r="J406" s="2315" t="n">
        <f aca="false">'Смета Внутр'!I413</f>
        <v>0</v>
      </c>
    </row>
    <row r="407" customFormat="false" ht="15" hidden="false" customHeight="true" outlineLevel="0" collapsed="false">
      <c r="B407" s="2594" t="str">
        <f aca="false">'Смета Внутр'!B414</f>
        <v>ГПС 120х50-1,5</v>
      </c>
      <c r="C407" s="2594" t="str">
        <f aca="false">'Смета Внутр'!C414</f>
        <v>м3</v>
      </c>
      <c r="D407" s="2594" t="n">
        <f aca="false">'Смета Внутр'!D414</f>
        <v>0</v>
      </c>
      <c r="E407" s="2594" t="n">
        <f aca="false">'Смета Внутр'!E414</f>
        <v>224</v>
      </c>
      <c r="F407" s="2594" t="n">
        <f aca="false">'Смета Внутр'!F414</f>
        <v>0</v>
      </c>
      <c r="G407" s="1004" t="n">
        <f aca="false">IF(E407&gt;F407,E407,F407)</f>
        <v>224</v>
      </c>
      <c r="H407" s="2594" t="n">
        <f aca="false">'Смета Внутр'!H414</f>
        <v>0</v>
      </c>
      <c r="I407" s="2594" t="n">
        <f aca="false">'Смета Внутр'!I414</f>
        <v>0</v>
      </c>
      <c r="J407" s="2315" t="n">
        <f aca="false">'Смета Внутр'!I414</f>
        <v>0</v>
      </c>
    </row>
    <row r="408" customFormat="false" ht="15" hidden="false" customHeight="true" outlineLevel="0" collapsed="false">
      <c r="B408" s="2594" t="str">
        <f aca="false">'Смета Внутр'!B415</f>
        <v>ГПС 170х50-2,0</v>
      </c>
      <c r="C408" s="2594" t="str">
        <f aca="false">'Смета Внутр'!C415</f>
        <v>м3</v>
      </c>
      <c r="D408" s="2594" t="n">
        <f aca="false">'Смета Внутр'!D415</f>
        <v>0</v>
      </c>
      <c r="E408" s="2594" t="n">
        <f aca="false">'Смета Внутр'!E415</f>
        <v>358</v>
      </c>
      <c r="F408" s="2594" t="n">
        <f aca="false">'Смета Внутр'!F415</f>
        <v>0</v>
      </c>
      <c r="G408" s="1004" t="n">
        <f aca="false">IF(E408&gt;F408,E408,F408)</f>
        <v>358</v>
      </c>
      <c r="H408" s="2594" t="n">
        <f aca="false">'Смета Внутр'!H415</f>
        <v>0</v>
      </c>
      <c r="I408" s="2594" t="n">
        <f aca="false">'Смета Внутр'!I415</f>
        <v>0</v>
      </c>
      <c r="J408" s="2315" t="n">
        <f aca="false">'Смета Внутр'!I415</f>
        <v>0</v>
      </c>
    </row>
    <row r="409" customFormat="false" ht="15" hidden="false" customHeight="true" outlineLevel="0" collapsed="false">
      <c r="B409" s="2594" t="str">
        <f aca="false">'Смета Внутр'!B416</f>
        <v>Лист ГВЛВ 2500х1200х10 мм</v>
      </c>
      <c r="C409" s="2594" t="str">
        <f aca="false">'Смета Внутр'!C416</f>
        <v>м2</v>
      </c>
      <c r="D409" s="2594" t="n">
        <f aca="false">'Смета Внутр'!D416</f>
        <v>100</v>
      </c>
      <c r="E409" s="2594" t="n">
        <f aca="false">'Смета Внутр'!E416</f>
        <v>150</v>
      </c>
      <c r="F409" s="2594" t="n">
        <f aca="false">'Смета Внутр'!F416</f>
        <v>0</v>
      </c>
      <c r="G409" s="1004" t="n">
        <f aca="false">IF(E409&gt;F409,E409,F409)</f>
        <v>150</v>
      </c>
      <c r="H409" s="2594" t="n">
        <f aca="false">'Смета Внутр'!H416</f>
        <v>0</v>
      </c>
      <c r="I409" s="2594" t="n">
        <f aca="false">'Смета Внутр'!I416</f>
        <v>0</v>
      </c>
      <c r="J409" s="2315" t="n">
        <f aca="false">'Смета Внутр'!I416</f>
        <v>0</v>
      </c>
    </row>
    <row r="410" customFormat="false" ht="15" hidden="false" customHeight="true" outlineLevel="0" collapsed="false">
      <c r="B410" s="2594" t="str">
        <f aca="false">'Смета Внутр'!B417</f>
        <v>нет</v>
      </c>
      <c r="C410" s="2594" t="str">
        <f aca="false">'Смета Внутр'!C417</f>
        <v>м.п.</v>
      </c>
      <c r="D410" s="2594" t="n">
        <f aca="false">'Смета Внутр'!D417</f>
        <v>0</v>
      </c>
      <c r="E410" s="2594" t="n">
        <f aca="false">'Смета Внутр'!E417</f>
        <v>0</v>
      </c>
      <c r="F410" s="2594" t="n">
        <f aca="false">'Смета Внутр'!F417</f>
        <v>0</v>
      </c>
      <c r="G410" s="1004" t="n">
        <f aca="false">IF(E410&gt;F410,E410,F410)</f>
        <v>0</v>
      </c>
      <c r="H410" s="2594" t="n">
        <f aca="false">'Смета Внутр'!H417</f>
        <v>0</v>
      </c>
      <c r="I410" s="2594" t="n">
        <f aca="false">'Смета Внутр'!I417</f>
        <v>0</v>
      </c>
      <c r="J410" s="2315" t="n">
        <f aca="false">'Смета Внутр'!I417</f>
        <v>0</v>
      </c>
    </row>
    <row r="411" customFormat="false" ht="15" hidden="false" customHeight="true" outlineLevel="0" collapsed="false">
      <c r="B411" s="2594" t="str">
        <f aca="false">'Смета Внутр'!B418</f>
        <v>Нет</v>
      </c>
      <c r="C411" s="2594" t="str">
        <f aca="false">'Смета Внутр'!C418</f>
        <v>м3</v>
      </c>
      <c r="D411" s="2594" t="n">
        <f aca="false">'Смета Внутр'!D418</f>
        <v>0</v>
      </c>
      <c r="E411" s="2594" t="n">
        <f aca="false">'Смета Внутр'!E418</f>
        <v>0</v>
      </c>
      <c r="F411" s="2594" t="n">
        <f aca="false">'Смета Внутр'!F418</f>
        <v>0</v>
      </c>
      <c r="G411" s="1004" t="n">
        <f aca="false">IF(E411&gt;F411,E411,F411)</f>
        <v>0</v>
      </c>
      <c r="H411" s="2594" t="n">
        <f aca="false">'Смета Внутр'!H418</f>
        <v>0</v>
      </c>
      <c r="I411" s="2594" t="n">
        <f aca="false">'Смета Внутр'!I418</f>
        <v>0</v>
      </c>
      <c r="J411" s="2315" t="n">
        <f aca="false">'Смета Внутр'!I418</f>
        <v>0</v>
      </c>
    </row>
    <row r="412" customFormat="false" ht="15" hidden="false" customHeight="true" outlineLevel="0" collapsed="false">
      <c r="B412" s="2594" t="str">
        <f aca="false">'Смета Внутр'!B419</f>
        <v>Нет</v>
      </c>
      <c r="C412" s="2594" t="str">
        <f aca="false">'Смета Внутр'!C419</f>
        <v>м3</v>
      </c>
      <c r="D412" s="2594" t="n">
        <f aca="false">'Смета Внутр'!D419</f>
        <v>0</v>
      </c>
      <c r="E412" s="2594" t="n">
        <f aca="false">'Смета Внутр'!E419</f>
        <v>0</v>
      </c>
      <c r="F412" s="2594" t="n">
        <f aca="false">'Смета Внутр'!F419</f>
        <v>0</v>
      </c>
      <c r="G412" s="1004" t="n">
        <f aca="false">IF(E412&gt;F412,E412,F412)</f>
        <v>0</v>
      </c>
      <c r="H412" s="2594" t="n">
        <f aca="false">'Смета Внутр'!H419</f>
        <v>0</v>
      </c>
      <c r="I412" s="2594" t="n">
        <f aca="false">'Смета Внутр'!I419</f>
        <v>0</v>
      </c>
      <c r="J412" s="2315" t="n">
        <f aca="false">'Смета Внутр'!I419</f>
        <v>0</v>
      </c>
    </row>
    <row r="413" customFormat="false" ht="15" hidden="false" customHeight="true" outlineLevel="0" collapsed="false">
      <c r="B413" s="2594" t="str">
        <f aca="false">'Смета Внутр'!B420</f>
        <v>нет</v>
      </c>
      <c r="C413" s="2594" t="str">
        <f aca="false">'Смета Внутр'!C420</f>
        <v>м2</v>
      </c>
      <c r="D413" s="2594" t="n">
        <f aca="false">'Смета Внутр'!D420</f>
        <v>0</v>
      </c>
      <c r="E413" s="2594" t="n">
        <f aca="false">'Смета Внутр'!E420</f>
        <v>0</v>
      </c>
      <c r="F413" s="2594" t="n">
        <f aca="false">'Смета Внутр'!F420</f>
        <v>0</v>
      </c>
      <c r="G413" s="1004" t="n">
        <f aca="false">IF(E413&gt;F413,E413,F413)</f>
        <v>0</v>
      </c>
      <c r="H413" s="2594" t="n">
        <f aca="false">'Смета Внутр'!H420</f>
        <v>0</v>
      </c>
      <c r="I413" s="2594" t="n">
        <f aca="false">'Смета Внутр'!I420</f>
        <v>0</v>
      </c>
      <c r="J413" s="2315" t="n">
        <f aca="false">'Смета Внутр'!I420</f>
        <v>0</v>
      </c>
    </row>
    <row r="414" customFormat="false" ht="15" hidden="false" customHeight="true" outlineLevel="0" collapsed="false">
      <c r="B414" s="2594" t="str">
        <f aca="false">'Смета Внутр'!B421</f>
        <v>нет</v>
      </c>
      <c r="C414" s="2594" t="str">
        <f aca="false">'Смета Внутр'!C421</f>
        <v>м2</v>
      </c>
      <c r="D414" s="2594" t="n">
        <f aca="false">'Смета Внутр'!D421</f>
        <v>0</v>
      </c>
      <c r="E414" s="2594" t="n">
        <f aca="false">'Смета Внутр'!E421</f>
        <v>0</v>
      </c>
      <c r="F414" s="2594" t="n">
        <f aca="false">'Смета Внутр'!F421</f>
        <v>0</v>
      </c>
      <c r="G414" s="1004" t="n">
        <f aca="false">IF(E414&gt;F414,E414,F414)</f>
        <v>0</v>
      </c>
      <c r="H414" s="2594" t="n">
        <f aca="false">'Смета Внутр'!H421</f>
        <v>0</v>
      </c>
      <c r="I414" s="2594" t="n">
        <f aca="false">'Смета Внутр'!I421</f>
        <v>0</v>
      </c>
      <c r="J414" s="2315" t="n">
        <f aca="false">'Смета Внутр'!I421</f>
        <v>0</v>
      </c>
    </row>
    <row r="415" customFormat="false" ht="15" hidden="false" customHeight="true" outlineLevel="0" collapsed="false">
      <c r="B415" s="2594" t="str">
        <f aca="false">'Смета Внутр'!B422</f>
        <v>нет</v>
      </c>
      <c r="C415" s="2594" t="str">
        <f aca="false">'Смета Внутр'!C422</f>
        <v>м2</v>
      </c>
      <c r="D415" s="2594" t="n">
        <f aca="false">'Смета Внутр'!D422</f>
        <v>0</v>
      </c>
      <c r="E415" s="2594" t="n">
        <f aca="false">'Смета Внутр'!E422</f>
        <v>0</v>
      </c>
      <c r="F415" s="2594" t="n">
        <f aca="false">'Смета Внутр'!F422</f>
        <v>0</v>
      </c>
      <c r="G415" s="1004" t="n">
        <f aca="false">IF(E415&gt;F415,E415,F415)</f>
        <v>0</v>
      </c>
      <c r="H415" s="2594" t="n">
        <f aca="false">'Смета Внутр'!H422</f>
        <v>0</v>
      </c>
      <c r="I415" s="2594" t="n">
        <f aca="false">'Смета Внутр'!I422</f>
        <v>0</v>
      </c>
      <c r="J415" s="2315" t="n">
        <f aca="false">'Смета Внутр'!I422</f>
        <v>0</v>
      </c>
    </row>
    <row r="416" customFormat="false" ht="15" hidden="false" customHeight="true" outlineLevel="0" collapsed="false">
      <c r="B416" s="2594" t="str">
        <f aca="false">'Смета Внутр'!B423</f>
        <v>Саморезы 3,5 x 25</v>
      </c>
      <c r="C416" s="2594" t="str">
        <f aca="false">'Смета Внутр'!C423</f>
        <v>шт</v>
      </c>
      <c r="D416" s="2594" t="n">
        <f aca="false">'Смета Внутр'!D423</f>
        <v>0</v>
      </c>
      <c r="E416" s="2594" t="n">
        <f aca="false">'Смета Внутр'!E423</f>
        <v>0.2</v>
      </c>
      <c r="F416" s="2594" t="n">
        <f aca="false">'Смета Внутр'!F423</f>
        <v>0</v>
      </c>
      <c r="G416" s="1004" t="n">
        <f aca="false">IF(E416&gt;F416,E416,F416)</f>
        <v>0.2</v>
      </c>
      <c r="H416" s="2594" t="n">
        <f aca="false">'Смета Внутр'!H423</f>
        <v>0</v>
      </c>
      <c r="I416" s="2594" t="n">
        <f aca="false">'Смета Внутр'!I423</f>
        <v>0</v>
      </c>
      <c r="J416" s="2315" t="n">
        <f aca="false">'Смета Внутр'!I423</f>
        <v>0</v>
      </c>
    </row>
    <row r="417" customFormat="false" ht="15" hidden="false" customHeight="true" outlineLevel="0" collapsed="false">
      <c r="B417" s="2594" t="str">
        <f aca="false">'Смета Внутр'!B424</f>
        <v>Гвозди ершоные 2,8 х 90</v>
      </c>
      <c r="C417" s="2594" t="str">
        <f aca="false">'Смета Внутр'!C424</f>
        <v>кг</v>
      </c>
      <c r="D417" s="2594" t="n">
        <f aca="false">'Смета Внутр'!D424</f>
        <v>0</v>
      </c>
      <c r="E417" s="2594" t="n">
        <f aca="false">'Смета Внутр'!E424</f>
        <v>76.49</v>
      </c>
      <c r="F417" s="2594" t="n">
        <f aca="false">'Смета Внутр'!F424</f>
        <v>0</v>
      </c>
      <c r="G417" s="1004" t="n">
        <f aca="false">IF(E417&gt;F417,E417,F417)</f>
        <v>76.49</v>
      </c>
      <c r="H417" s="2594" t="n">
        <f aca="false">'Смета Внутр'!H424</f>
        <v>0</v>
      </c>
      <c r="I417" s="2594" t="n">
        <f aca="false">'Смета Внутр'!I424</f>
        <v>0</v>
      </c>
      <c r="J417" s="2315" t="n">
        <f aca="false">'Смета Внутр'!I424</f>
        <v>0</v>
      </c>
    </row>
    <row r="418" customFormat="false" ht="15" hidden="false" customHeight="true" outlineLevel="0" collapsed="false">
      <c r="B418" s="2594" t="str">
        <f aca="false">'Смета Внутр'!B425</f>
        <v>Гвозди ершоные 3,4 x 60</v>
      </c>
      <c r="C418" s="2594" t="str">
        <f aca="false">'Смета Внутр'!C425</f>
        <v>кг</v>
      </c>
      <c r="D418" s="2594" t="n">
        <f aca="false">'Смета Внутр'!D425</f>
        <v>0</v>
      </c>
      <c r="E418" s="2594" t="n">
        <f aca="false">'Смета Внутр'!E425</f>
        <v>75.51</v>
      </c>
      <c r="F418" s="2594" t="n">
        <f aca="false">'Смета Внутр'!F425</f>
        <v>0</v>
      </c>
      <c r="G418" s="1004" t="n">
        <f aca="false">IF(E418&gt;F418,E418,F418)</f>
        <v>75.51</v>
      </c>
      <c r="H418" s="2594" t="n">
        <f aca="false">'Смета Внутр'!H425</f>
        <v>0</v>
      </c>
      <c r="I418" s="2594" t="n">
        <f aca="false">'Смета Внутр'!I425</f>
        <v>0</v>
      </c>
      <c r="J418" s="2315" t="n">
        <f aca="false">'Смета Внутр'!I425</f>
        <v>0</v>
      </c>
    </row>
    <row r="419" customFormat="false" ht="15" hidden="false" customHeight="true" outlineLevel="0" collapsed="false">
      <c r="B419" s="2594" t="str">
        <f aca="false">'Смета Внутр'!B426</f>
        <v>нет ветроизоляции</v>
      </c>
      <c r="C419" s="2594" t="str">
        <f aca="false">'Смета Внутр'!C426</f>
        <v>м2</v>
      </c>
      <c r="D419" s="2594" t="n">
        <f aca="false">'Смета Внутр'!D426</f>
        <v>0</v>
      </c>
      <c r="E419" s="2594" t="n">
        <f aca="false">'Смета Внутр'!E426</f>
        <v>0</v>
      </c>
      <c r="F419" s="2594" t="n">
        <f aca="false">'Смета Внутр'!F426</f>
        <v>0</v>
      </c>
      <c r="G419" s="1004" t="n">
        <f aca="false">IF(E419&gt;F419,E419,F419)</f>
        <v>0</v>
      </c>
      <c r="H419" s="2594" t="n">
        <f aca="false">'Смета Внутр'!H426</f>
        <v>0</v>
      </c>
      <c r="I419" s="2594" t="n">
        <f aca="false">'Смета Внутр'!I426</f>
        <v>0</v>
      </c>
      <c r="J419" s="2315" t="n">
        <f aca="false">'Смета Внутр'!I426</f>
        <v>0</v>
      </c>
    </row>
    <row r="420" customFormat="false" ht="15" hidden="false" customHeight="true" outlineLevel="0" collapsed="false">
      <c r="B420" s="2594" t="str">
        <f aca="false">'Смета Внутр'!B427</f>
        <v>нет пароизоляции</v>
      </c>
      <c r="C420" s="2594" t="str">
        <f aca="false">'Смета Внутр'!C427</f>
        <v>м2</v>
      </c>
      <c r="D420" s="2594" t="n">
        <f aca="false">'Смета Внутр'!D427</f>
        <v>0</v>
      </c>
      <c r="E420" s="2594" t="n">
        <f aca="false">'Смета Внутр'!E427</f>
        <v>0</v>
      </c>
      <c r="F420" s="2594" t="n">
        <f aca="false">'Смета Внутр'!F427</f>
        <v>0</v>
      </c>
      <c r="G420" s="1004" t="n">
        <f aca="false">IF(E420&gt;F420,E420,F420)</f>
        <v>0</v>
      </c>
      <c r="H420" s="2594" t="n">
        <f aca="false">'Смета Внутр'!H427</f>
        <v>0</v>
      </c>
      <c r="I420" s="2594" t="n">
        <f aca="false">'Смета Внутр'!I427</f>
        <v>0</v>
      </c>
      <c r="J420" s="2315" t="n">
        <f aca="false">'Смета Внутр'!I427</f>
        <v>0</v>
      </c>
    </row>
    <row r="421" customFormat="false" ht="15" hidden="false" customHeight="true" outlineLevel="0" collapsed="false">
      <c r="B421" s="2594" t="str">
        <f aca="false">'Смета Внутр'!B428</f>
        <v>Скобы для степлера, 1000шт/уп</v>
      </c>
      <c r="C421" s="2594" t="str">
        <f aca="false">'Смета Внутр'!C428</f>
        <v>уп</v>
      </c>
      <c r="D421" s="2594" t="n">
        <f aca="false">'Смета Внутр'!D428</f>
        <v>5</v>
      </c>
      <c r="E421" s="2594" t="n">
        <f aca="false">'Смета Внутр'!E428</f>
        <v>100</v>
      </c>
      <c r="F421" s="2594" t="n">
        <f aca="false">'Смета Внутр'!F428</f>
        <v>0</v>
      </c>
      <c r="G421" s="1004" t="n">
        <f aca="false">IF(E421&gt;F421,E421,F421)</f>
        <v>100</v>
      </c>
      <c r="H421" s="2594" t="n">
        <f aca="false">'Смета Внутр'!H428</f>
        <v>0</v>
      </c>
      <c r="I421" s="2594" t="n">
        <f aca="false">'Смета Внутр'!I428</f>
        <v>0</v>
      </c>
      <c r="J421" s="2315" t="n">
        <f aca="false">'Смета Внутр'!I428</f>
        <v>0</v>
      </c>
    </row>
    <row r="422" customFormat="false" ht="15" hidden="false" customHeight="true" outlineLevel="0" collapsed="false">
      <c r="B422" s="2927" t="str">
        <f aca="false">'Смета Внутр'!B429</f>
        <v>Итого материалы</v>
      </c>
      <c r="C422" s="2927"/>
      <c r="D422" s="2927"/>
      <c r="E422" s="2927"/>
      <c r="F422" s="2927"/>
      <c r="G422" s="2927"/>
      <c r="H422" s="2594"/>
      <c r="I422" s="2594"/>
      <c r="J422" s="2315" t="n">
        <f aca="false">'Смета Внутр'!I429</f>
        <v>0</v>
      </c>
    </row>
    <row r="423" customFormat="false" ht="15" hidden="false" customHeight="true" outlineLevel="0" collapsed="false">
      <c r="B423" s="2930" t="str">
        <f aca="false">'Смета Внутр'!B430</f>
        <v>Работы</v>
      </c>
      <c r="C423" s="2930"/>
      <c r="D423" s="2930"/>
      <c r="E423" s="2930"/>
      <c r="F423" s="2930"/>
      <c r="G423" s="2930"/>
      <c r="H423" s="2930"/>
      <c r="I423" s="2930"/>
      <c r="J423" s="2930"/>
    </row>
    <row r="424" customFormat="false" ht="15" hidden="false" customHeight="true" outlineLevel="0" collapsed="false">
      <c r="B424" s="2594" t="str">
        <f aca="false">'Смета Внутр'!B431</f>
        <v>монтаж обвязки</v>
      </c>
      <c r="C424" s="2594" t="str">
        <f aca="false">'Смета Внутр'!C431</f>
        <v>м.п.</v>
      </c>
      <c r="D424" s="2594" t="n">
        <f aca="false">'Смета Внутр'!D431</f>
        <v>0</v>
      </c>
      <c r="E424" s="2594" t="n">
        <f aca="false">'Смета Внутр'!E431</f>
        <v>200</v>
      </c>
      <c r="F424" s="2594" t="n">
        <f aca="false">'Смета Внутр'!F431</f>
        <v>0</v>
      </c>
      <c r="G424" s="1004" t="n">
        <f aca="false">IF(E424&gt;F424,E424,F424)</f>
        <v>200</v>
      </c>
      <c r="H424" s="2594" t="n">
        <f aca="false">'Смета Внутр'!H431</f>
        <v>0</v>
      </c>
      <c r="I424" s="2594" t="n">
        <f aca="false">'Смета Внутр'!I431</f>
        <v>0</v>
      </c>
      <c r="J424" s="2315" t="n">
        <f aca="false">'Смета Внутр'!I431</f>
        <v>0</v>
      </c>
    </row>
    <row r="425" customFormat="false" ht="15" hidden="false" customHeight="true" outlineLevel="0" collapsed="false">
      <c r="B425" s="2594" t="str">
        <f aca="false">'Смета Внутр'!B432</f>
        <v>монтаж стен каркаса</v>
      </c>
      <c r="C425" s="2594" t="str">
        <f aca="false">'Смета Внутр'!C432</f>
        <v>м2</v>
      </c>
      <c r="D425" s="2594" t="n">
        <f aca="false">'Смета Внутр'!D432</f>
        <v>0</v>
      </c>
      <c r="E425" s="2594" t="n">
        <f aca="false">'Смета Внутр'!E432</f>
        <v>400</v>
      </c>
      <c r="F425" s="2594" t="n">
        <f aca="false">'Смета Внутр'!F432</f>
        <v>0</v>
      </c>
      <c r="G425" s="1004" t="n">
        <f aca="false">IF(E425&gt;F425,E425,F425)</f>
        <v>400</v>
      </c>
      <c r="H425" s="2594" t="n">
        <f aca="false">'Смета Внутр'!H432</f>
        <v>0</v>
      </c>
      <c r="I425" s="2594" t="n">
        <f aca="false">'Смета Внутр'!I432</f>
        <v>0</v>
      </c>
      <c r="J425" s="2315" t="n">
        <f aca="false">'Смета Внутр'!I432</f>
        <v>0</v>
      </c>
    </row>
    <row r="426" customFormat="false" ht="15" hidden="false" customHeight="true" outlineLevel="0" collapsed="false">
      <c r="B426" s="2594" t="str">
        <f aca="false">'Смета Внутр'!B433</f>
        <v>Монтаж несущих перегородок</v>
      </c>
      <c r="C426" s="2594" t="str">
        <f aca="false">'Смета Внутр'!C433</f>
        <v>м2</v>
      </c>
      <c r="D426" s="2594" t="n">
        <f aca="false">'Смета Внутр'!D433</f>
        <v>0</v>
      </c>
      <c r="E426" s="2594" t="n">
        <f aca="false">'Смета Внутр'!E433</f>
        <v>400</v>
      </c>
      <c r="F426" s="2594" t="n">
        <f aca="false">'Смета Внутр'!F433</f>
        <v>0</v>
      </c>
      <c r="G426" s="1004" t="n">
        <f aca="false">IF(E426&gt;F426,E426,F426)</f>
        <v>400</v>
      </c>
      <c r="H426" s="2594" t="n">
        <f aca="false">'Смета Внутр'!H433</f>
        <v>0</v>
      </c>
      <c r="I426" s="2594" t="n">
        <f aca="false">'Смета Внутр'!I433</f>
        <v>0</v>
      </c>
      <c r="J426" s="2315" t="n">
        <f aca="false">'Смета Внутр'!I433</f>
        <v>0</v>
      </c>
    </row>
    <row r="427" customFormat="false" ht="15" hidden="false" customHeight="true" outlineLevel="0" collapsed="false">
      <c r="B427" s="2594" t="str">
        <f aca="false">'Смета Внутр'!B434</f>
        <v>Монтаж перегородок</v>
      </c>
      <c r="C427" s="2594" t="str">
        <f aca="false">'Смета Внутр'!C434</f>
        <v>м2</v>
      </c>
      <c r="D427" s="2594" t="n">
        <f aca="false">'Смета Внутр'!D434</f>
        <v>0</v>
      </c>
      <c r="E427" s="2594" t="n">
        <f aca="false">'Смета Внутр'!E434</f>
        <v>400</v>
      </c>
      <c r="F427" s="2594" t="n">
        <f aca="false">'Смета Внутр'!F434</f>
        <v>0</v>
      </c>
      <c r="G427" s="1004" t="n">
        <f aca="false">IF(E427&gt;F427,E427,F427)</f>
        <v>400</v>
      </c>
      <c r="H427" s="2594" t="n">
        <f aca="false">'Смета Внутр'!H434</f>
        <v>0</v>
      </c>
      <c r="I427" s="2594" t="n">
        <f aca="false">'Смета Внутр'!I434</f>
        <v>0</v>
      </c>
      <c r="J427" s="2315" t="n">
        <f aca="false">'Смета Внутр'!I434</f>
        <v>0</v>
      </c>
    </row>
    <row r="428" customFormat="false" ht="15" hidden="false" customHeight="true" outlineLevel="0" collapsed="false">
      <c r="B428" s="2594" t="str">
        <f aca="false">'Смета Внутр'!B435</f>
        <v>Монтаж вентиляционного зазора</v>
      </c>
      <c r="C428" s="2594" t="str">
        <f aca="false">'Смета Внутр'!C435</f>
        <v>м2</v>
      </c>
      <c r="D428" s="2594" t="n">
        <f aca="false">'Смета Внутр'!D435</f>
        <v>0</v>
      </c>
      <c r="E428" s="2594" t="n">
        <f aca="false">'Смета Внутр'!E435</f>
        <v>80</v>
      </c>
      <c r="F428" s="2594" t="n">
        <f aca="false">'Смета Внутр'!F435</f>
        <v>0</v>
      </c>
      <c r="G428" s="1004" t="n">
        <f aca="false">IF(E428&gt;F428,E428,F428)</f>
        <v>80</v>
      </c>
      <c r="H428" s="2594" t="n">
        <f aca="false">'Смета Внутр'!H435</f>
        <v>0</v>
      </c>
      <c r="I428" s="2594" t="n">
        <f aca="false">'Смета Внутр'!I435</f>
        <v>0</v>
      </c>
      <c r="J428" s="2315" t="n">
        <f aca="false">'Смета Внутр'!I435</f>
        <v>0</v>
      </c>
    </row>
    <row r="429" customFormat="false" ht="15" hidden="false" customHeight="true" outlineLevel="0" collapsed="false">
      <c r="B429" s="2594" t="str">
        <f aca="false">'Смета Внутр'!B436</f>
        <v>Монтаж технологического зазора</v>
      </c>
      <c r="C429" s="2594" t="str">
        <f aca="false">'Смета Внутр'!C436</f>
        <v>м2</v>
      </c>
      <c r="D429" s="2594" t="n">
        <f aca="false">'Смета Внутр'!D436</f>
        <v>0</v>
      </c>
      <c r="E429" s="2594" t="n">
        <f aca="false">'Смета Внутр'!E436</f>
        <v>80</v>
      </c>
      <c r="F429" s="2594" t="n">
        <f aca="false">'Смета Внутр'!F436</f>
        <v>0</v>
      </c>
      <c r="G429" s="1004" t="n">
        <f aca="false">IF(E429&gt;F429,E429,F429)</f>
        <v>80</v>
      </c>
      <c r="H429" s="2594" t="n">
        <f aca="false">'Смета Внутр'!H436</f>
        <v>0</v>
      </c>
      <c r="I429" s="2594" t="n">
        <f aca="false">'Смета Внутр'!I436</f>
        <v>0</v>
      </c>
      <c r="J429" s="2315" t="n">
        <f aca="false">'Смета Внутр'!I436</f>
        <v>0</v>
      </c>
    </row>
    <row r="430" customFormat="false" ht="15" hidden="false" customHeight="true" outlineLevel="0" collapsed="false">
      <c r="B430" s="2594" t="str">
        <f aca="false">'Смета Внутр'!B437</f>
        <v>монтаж ветроизоляции стен</v>
      </c>
      <c r="C430" s="2594" t="str">
        <f aca="false">'Смета Внутр'!C437</f>
        <v>м2</v>
      </c>
      <c r="D430" s="2594" t="n">
        <f aca="false">'Смета Внутр'!D437</f>
        <v>0</v>
      </c>
      <c r="E430" s="2594" t="n">
        <f aca="false">'Смета Внутр'!E437</f>
        <v>100</v>
      </c>
      <c r="F430" s="2594" t="n">
        <f aca="false">'Смета Внутр'!F437</f>
        <v>0</v>
      </c>
      <c r="G430" s="1004" t="n">
        <f aca="false">IF(E430&gt;F430,E430,F430)</f>
        <v>100</v>
      </c>
      <c r="H430" s="2594" t="n">
        <f aca="false">'Смета Внутр'!H437</f>
        <v>0</v>
      </c>
      <c r="I430" s="2594" t="n">
        <f aca="false">'Смета Внутр'!I437</f>
        <v>0</v>
      </c>
      <c r="J430" s="2315" t="n">
        <f aca="false">'Смета Внутр'!I437</f>
        <v>0</v>
      </c>
    </row>
    <row r="431" customFormat="false" ht="15" hidden="false" customHeight="true" outlineLevel="0" collapsed="false">
      <c r="B431" s="2594" t="str">
        <f aca="false">'Смета Внутр'!B438</f>
        <v>монтаж пароизоляции стен</v>
      </c>
      <c r="C431" s="2594" t="str">
        <f aca="false">'Смета Внутр'!C438</f>
        <v>м2</v>
      </c>
      <c r="D431" s="2594" t="n">
        <f aca="false">'Смета Внутр'!D438</f>
        <v>0</v>
      </c>
      <c r="E431" s="2594" t="n">
        <f aca="false">'Смета Внутр'!E438</f>
        <v>100</v>
      </c>
      <c r="F431" s="2594" t="n">
        <f aca="false">'Смета Внутр'!F438</f>
        <v>0</v>
      </c>
      <c r="G431" s="1004" t="n">
        <f aca="false">IF(E431&gt;F431,E431,F431)</f>
        <v>100</v>
      </c>
      <c r="H431" s="2594" t="n">
        <f aca="false">'Смета Внутр'!H438</f>
        <v>0</v>
      </c>
      <c r="I431" s="2594" t="n">
        <f aca="false">'Смета Внутр'!I438</f>
        <v>0</v>
      </c>
      <c r="J431" s="2315" t="n">
        <f aca="false">'Смета Внутр'!I438</f>
        <v>0</v>
      </c>
    </row>
    <row r="432" customFormat="false" ht="15" hidden="false" customHeight="true" outlineLevel="0" collapsed="false">
      <c r="B432" s="2594" t="str">
        <f aca="false">'Смета Внутр'!B439</f>
        <v>монтаж osb/фанера наруж стены</v>
      </c>
      <c r="C432" s="2594" t="str">
        <f aca="false">'Смета Внутр'!C439</f>
        <v>м2</v>
      </c>
      <c r="D432" s="2594" t="n">
        <f aca="false">'Смета Внутр'!D439</f>
        <v>0</v>
      </c>
      <c r="E432" s="2594" t="n">
        <f aca="false">'Смета Внутр'!E439</f>
        <v>200</v>
      </c>
      <c r="F432" s="2594" t="n">
        <f aca="false">'Смета Внутр'!F439</f>
        <v>0</v>
      </c>
      <c r="G432" s="1004" t="n">
        <f aca="false">IF(E432&gt;F432,E432,F432)</f>
        <v>200</v>
      </c>
      <c r="H432" s="2594" t="n">
        <f aca="false">'Смета Внутр'!H439</f>
        <v>0</v>
      </c>
      <c r="I432" s="2594" t="n">
        <f aca="false">'Смета Внутр'!I439</f>
        <v>0</v>
      </c>
      <c r="J432" s="2315" t="n">
        <f aca="false">'Смета Внутр'!I439</f>
        <v>0</v>
      </c>
    </row>
    <row r="433" customFormat="false" ht="15" hidden="false" customHeight="true" outlineLevel="0" collapsed="false">
      <c r="B433" s="2594" t="str">
        <f aca="false">'Смета Внутр'!B440</f>
        <v>монтаж osb/фанера потолок</v>
      </c>
      <c r="C433" s="2594" t="str">
        <f aca="false">'Смета Внутр'!C440</f>
        <v>м2</v>
      </c>
      <c r="D433" s="2594" t="n">
        <f aca="false">'Смета Внутр'!D440</f>
        <v>0</v>
      </c>
      <c r="E433" s="2594" t="n">
        <f aca="false">'Смета Внутр'!E440</f>
        <v>200</v>
      </c>
      <c r="F433" s="2594" t="n">
        <f aca="false">'Смета Внутр'!F440</f>
        <v>0</v>
      </c>
      <c r="G433" s="1004" t="n">
        <f aca="false">IF(E433&gt;F433,E433,F433)</f>
        <v>200</v>
      </c>
      <c r="H433" s="2594" t="n">
        <f aca="false">'Смета Внутр'!H440</f>
        <v>0</v>
      </c>
      <c r="I433" s="2594" t="n">
        <f aca="false">'Смета Внутр'!I440</f>
        <v>0</v>
      </c>
      <c r="J433" s="2315" t="n">
        <f aca="false">'Смета Внутр'!I440</f>
        <v>0</v>
      </c>
    </row>
    <row r="434" customFormat="false" ht="15" hidden="false" customHeight="true" outlineLevel="0" collapsed="false">
      <c r="B434" s="2594" t="str">
        <f aca="false">'Смета Внутр'!B441</f>
        <v>монтаж osb/фанера перегородки</v>
      </c>
      <c r="C434" s="2594" t="str">
        <f aca="false">'Смета Внутр'!C441</f>
        <v>м2</v>
      </c>
      <c r="D434" s="2594" t="n">
        <f aca="false">'Смета Внутр'!D441</f>
        <v>0</v>
      </c>
      <c r="E434" s="2594" t="n">
        <f aca="false">'Смета Внутр'!E441</f>
        <v>200</v>
      </c>
      <c r="F434" s="2594" t="n">
        <f aca="false">'Смета Внутр'!F441</f>
        <v>0</v>
      </c>
      <c r="G434" s="1004" t="n">
        <f aca="false">IF(E434&gt;F434,E434,F434)</f>
        <v>200</v>
      </c>
      <c r="H434" s="2594" t="n">
        <f aca="false">'Смета Внутр'!H441</f>
        <v>0</v>
      </c>
      <c r="I434" s="2594" t="n">
        <f aca="false">'Смета Внутр'!I441</f>
        <v>0</v>
      </c>
      <c r="J434" s="2315" t="n">
        <f aca="false">'Смета Внутр'!I441</f>
        <v>0</v>
      </c>
    </row>
    <row r="435" customFormat="false" ht="15" hidden="false" customHeight="true" outlineLevel="0" collapsed="false">
      <c r="B435" s="2594" t="str">
        <f aca="false">'Смета Внутр'!B442</f>
        <v>монтаж osb/фанера пол</v>
      </c>
      <c r="C435" s="2594" t="str">
        <f aca="false">'Смета Внутр'!C442</f>
        <v>м2</v>
      </c>
      <c r="D435" s="2594" t="n">
        <f aca="false">'Смета Внутр'!D442</f>
        <v>100</v>
      </c>
      <c r="E435" s="2594" t="n">
        <f aca="false">'Смета Внутр'!E442</f>
        <v>200</v>
      </c>
      <c r="F435" s="2594" t="n">
        <f aca="false">'Смета Внутр'!F442</f>
        <v>0</v>
      </c>
      <c r="G435" s="1004" t="n">
        <f aca="false">IF(E435&gt;F435,E435,F435)</f>
        <v>200</v>
      </c>
      <c r="H435" s="2594" t="n">
        <f aca="false">'Смета Внутр'!H442</f>
        <v>0</v>
      </c>
      <c r="I435" s="2594" t="n">
        <f aca="false">'Смета Внутр'!I442</f>
        <v>0</v>
      </c>
      <c r="J435" s="2315" t="n">
        <f aca="false">'Смета Внутр'!I442</f>
        <v>0</v>
      </c>
    </row>
    <row r="436" customFormat="false" ht="15" hidden="false" customHeight="true" outlineLevel="0" collapsed="false">
      <c r="B436" s="2594" t="str">
        <f aca="false">'Смета Внутр'!B443</f>
        <v>утепление наружних стен</v>
      </c>
      <c r="C436" s="2594" t="str">
        <f aca="false">'Смета Внутр'!C443</f>
        <v>м2</v>
      </c>
      <c r="D436" s="2594" t="n">
        <f aca="false">'Смета Внутр'!D443</f>
        <v>0</v>
      </c>
      <c r="E436" s="2594" t="n">
        <f aca="false">'Смета Внутр'!E443</f>
        <v>200</v>
      </c>
      <c r="F436" s="2594" t="n">
        <f aca="false">'Смета Внутр'!F443</f>
        <v>0</v>
      </c>
      <c r="G436" s="1004" t="n">
        <f aca="false">IF(E436&gt;F436,E436,F436)</f>
        <v>200</v>
      </c>
      <c r="H436" s="2594" t="n">
        <f aca="false">'Смета Внутр'!H443</f>
        <v>0</v>
      </c>
      <c r="I436" s="2594" t="n">
        <f aca="false">'Смета Внутр'!I443</f>
        <v>0</v>
      </c>
      <c r="J436" s="2315" t="n">
        <f aca="false">'Смета Внутр'!I443</f>
        <v>0</v>
      </c>
    </row>
    <row r="437" customFormat="false" ht="15" hidden="false" customHeight="true" outlineLevel="0" collapsed="false">
      <c r="B437" s="2594" t="str">
        <f aca="false">'Смета Внутр'!B444</f>
        <v>Утепление перегородок</v>
      </c>
      <c r="C437" s="2594" t="str">
        <f aca="false">'Смета Внутр'!C444</f>
        <v>м2</v>
      </c>
      <c r="D437" s="2594" t="n">
        <f aca="false">'Смета Внутр'!D444</f>
        <v>0</v>
      </c>
      <c r="E437" s="2594" t="n">
        <f aca="false">'Смета Внутр'!E444</f>
        <v>200</v>
      </c>
      <c r="F437" s="2594" t="n">
        <f aca="false">'Смета Внутр'!F444</f>
        <v>0</v>
      </c>
      <c r="G437" s="1004" t="n">
        <f aca="false">IF(E437&gt;F437,E437,F437)</f>
        <v>200</v>
      </c>
      <c r="H437" s="2594" t="n">
        <f aca="false">'Смета Внутр'!H444</f>
        <v>0</v>
      </c>
      <c r="I437" s="2594" t="n">
        <f aca="false">'Смета Внутр'!I444</f>
        <v>0</v>
      </c>
      <c r="J437" s="2315" t="n">
        <f aca="false">'Смета Внутр'!I444</f>
        <v>0</v>
      </c>
    </row>
    <row r="438" customFormat="false" ht="15" hidden="false" customHeight="true" outlineLevel="0" collapsed="false">
      <c r="B438" s="2594" t="str">
        <f aca="false">'Смета Внутр'!B445</f>
        <v>Монтаж горизонтальной обрешетки</v>
      </c>
      <c r="C438" s="2594" t="str">
        <f aca="false">'Смета Внутр'!C445</f>
        <v>м2</v>
      </c>
      <c r="D438" s="2594" t="n">
        <f aca="false">'Смета Внутр'!D445</f>
        <v>0</v>
      </c>
      <c r="E438" s="2594" t="n">
        <f aca="false">'Смета Внутр'!E445</f>
        <v>100</v>
      </c>
      <c r="F438" s="2594" t="n">
        <f aca="false">'Смета Внутр'!F445</f>
        <v>0</v>
      </c>
      <c r="G438" s="1004" t="n">
        <f aca="false">IF(E438&gt;F438,E438,F438)</f>
        <v>100</v>
      </c>
      <c r="H438" s="2594" t="n">
        <f aca="false">'Смета Внутр'!H445</f>
        <v>0</v>
      </c>
      <c r="I438" s="2594" t="n">
        <f aca="false">'Смета Внутр'!I445</f>
        <v>0</v>
      </c>
      <c r="J438" s="2315" t="n">
        <f aca="false">'Смета Внутр'!I445</f>
        <v>0</v>
      </c>
    </row>
    <row r="439" customFormat="false" ht="15" hidden="false" customHeight="true" outlineLevel="0" collapsed="false">
      <c r="B439" s="2594" t="str">
        <f aca="false">'Смета Внутр'!B446</f>
        <v>Монтаж вертикальной обрешетки</v>
      </c>
      <c r="C439" s="2594" t="str">
        <f aca="false">'Смета Внутр'!C446</f>
        <v>м2</v>
      </c>
      <c r="D439" s="2594" t="n">
        <f aca="false">'Смета Внутр'!D446</f>
        <v>0</v>
      </c>
      <c r="E439" s="2594" t="n">
        <f aca="false">'Смета Внутр'!E446</f>
        <v>100</v>
      </c>
      <c r="F439" s="2594" t="n">
        <f aca="false">'Смета Внутр'!F446</f>
        <v>0</v>
      </c>
      <c r="G439" s="1004" t="n">
        <f aca="false">IF(E439&gt;F439,E439,F439)</f>
        <v>100</v>
      </c>
      <c r="H439" s="2594" t="n">
        <f aca="false">'Смета Внутр'!H446</f>
        <v>0</v>
      </c>
      <c r="I439" s="2594" t="n">
        <f aca="false">'Смета Внутр'!I446</f>
        <v>0</v>
      </c>
      <c r="J439" s="2315" t="n">
        <f aca="false">'Смета Внутр'!I446</f>
        <v>0</v>
      </c>
    </row>
    <row r="440" customFormat="false" ht="15" hidden="false" customHeight="true" outlineLevel="0" collapsed="false">
      <c r="B440" s="2594" t="str">
        <f aca="false">'Смета Внутр'!B447</f>
        <v>Монтаж обрешетки потолок</v>
      </c>
      <c r="C440" s="2594" t="str">
        <f aca="false">'Смета Внутр'!C447</f>
        <v>м2</v>
      </c>
      <c r="D440" s="2594" t="n">
        <f aca="false">'Смета Внутр'!D447</f>
        <v>0</v>
      </c>
      <c r="E440" s="2594" t="n">
        <f aca="false">'Смета Внутр'!E447</f>
        <v>100</v>
      </c>
      <c r="F440" s="2594" t="n">
        <f aca="false">'Смета Внутр'!F447</f>
        <v>0</v>
      </c>
      <c r="G440" s="1004" t="n">
        <f aca="false">IF(E440&gt;F440,E440,F440)</f>
        <v>100</v>
      </c>
      <c r="H440" s="2594" t="n">
        <f aca="false">'Смета Внутр'!H447</f>
        <v>0</v>
      </c>
      <c r="I440" s="2594" t="n">
        <f aca="false">'Смета Внутр'!I447</f>
        <v>0</v>
      </c>
      <c r="J440" s="2315" t="n">
        <f aca="false">'Смета Внутр'!I447</f>
        <v>0</v>
      </c>
    </row>
    <row r="441" customFormat="false" ht="15" hidden="false" customHeight="true" outlineLevel="0" collapsed="false">
      <c r="B441" s="2594" t="str">
        <f aca="false">'Смета Внутр'!B448</f>
        <v>Монтаж профлист потолок</v>
      </c>
      <c r="C441" s="2594" t="str">
        <f aca="false">'Смета Внутр'!C448</f>
        <v>м2</v>
      </c>
      <c r="D441" s="2594" t="n">
        <f aca="false">'Смета Внутр'!D448</f>
        <v>0</v>
      </c>
      <c r="E441" s="2594" t="n">
        <f aca="false">'Смета Внутр'!E448</f>
        <v>100</v>
      </c>
      <c r="F441" s="2594" t="n">
        <f aca="false">'Смета Внутр'!F448</f>
        <v>0</v>
      </c>
      <c r="G441" s="1004" t="n">
        <f aca="false">IF(E441&gt;F441,E441,F441)</f>
        <v>100</v>
      </c>
      <c r="H441" s="2594" t="n">
        <f aca="false">'Смета Внутр'!H448</f>
        <v>0</v>
      </c>
      <c r="I441" s="2594" t="n">
        <f aca="false">'Смета Внутр'!I448</f>
        <v>0</v>
      </c>
      <c r="J441" s="2315" t="n">
        <f aca="false">'Смета Внутр'!I448</f>
        <v>0</v>
      </c>
    </row>
    <row r="442" customFormat="false" ht="15" hidden="false" customHeight="true" outlineLevel="0" collapsed="false">
      <c r="B442" s="2594" t="str">
        <f aca="false">'Смета Внутр'!B449</f>
        <v>Монтаж обрешетки пол</v>
      </c>
      <c r="C442" s="2594" t="str">
        <f aca="false">'Смета Внутр'!C449</f>
        <v>м2</v>
      </c>
      <c r="D442" s="2594" t="n">
        <f aca="false">'Смета Внутр'!D449</f>
        <v>0</v>
      </c>
      <c r="E442" s="2594" t="n">
        <f aca="false">'Смета Внутр'!E449</f>
        <v>100</v>
      </c>
      <c r="F442" s="2594" t="n">
        <f aca="false">'Смета Внутр'!F449</f>
        <v>0</v>
      </c>
      <c r="G442" s="1004" t="n">
        <f aca="false">IF(E442&gt;F442,E442,F442)</f>
        <v>100</v>
      </c>
      <c r="H442" s="2594" t="n">
        <f aca="false">'Смета Внутр'!H449</f>
        <v>0</v>
      </c>
      <c r="I442" s="2594" t="n">
        <f aca="false">'Смета Внутр'!I449</f>
        <v>0</v>
      </c>
      <c r="J442" s="2315" t="n">
        <f aca="false">'Смета Внутр'!I449</f>
        <v>0</v>
      </c>
    </row>
    <row r="443" customFormat="false" ht="15" hidden="false" customHeight="true" outlineLevel="0" collapsed="false">
      <c r="B443" s="2594" t="str">
        <f aca="false">'Смета Внутр'!B450</f>
        <v>Монтаж профлист пол</v>
      </c>
      <c r="C443" s="2594" t="str">
        <f aca="false">'Смета Внутр'!C450</f>
        <v>м2</v>
      </c>
      <c r="D443" s="2594" t="n">
        <f aca="false">'Смета Внутр'!D450</f>
        <v>0</v>
      </c>
      <c r="E443" s="2594" t="n">
        <f aca="false">'Смета Внутр'!E450</f>
        <v>100</v>
      </c>
      <c r="F443" s="2594" t="n">
        <f aca="false">'Смета Внутр'!F450</f>
        <v>0</v>
      </c>
      <c r="G443" s="1004" t="n">
        <f aca="false">IF(E443&gt;F443,E443,F443)</f>
        <v>100</v>
      </c>
      <c r="H443" s="2594" t="n">
        <f aca="false">'Смета Внутр'!H450</f>
        <v>0</v>
      </c>
      <c r="I443" s="2594" t="n">
        <f aca="false">'Смета Внутр'!I450</f>
        <v>0</v>
      </c>
      <c r="J443" s="2315" t="n">
        <f aca="false">'Смета Внутр'!I450</f>
        <v>0</v>
      </c>
    </row>
    <row r="444" customFormat="false" ht="15" hidden="false" customHeight="true" outlineLevel="0" collapsed="false">
      <c r="B444" s="2594" t="str">
        <f aca="false">'Смета Внутр'!B451</f>
        <v>монтаж osb/фанера пол</v>
      </c>
      <c r="C444" s="2594" t="str">
        <f aca="false">'Смета Внутр'!C451</f>
        <v>м2</v>
      </c>
      <c r="D444" s="2594" t="n">
        <f aca="false">'Смета Внутр'!D451</f>
        <v>100</v>
      </c>
      <c r="E444" s="2594" t="n">
        <f aca="false">'Смета Внутр'!E451</f>
        <v>200</v>
      </c>
      <c r="F444" s="2594" t="n">
        <f aca="false">'Смета Внутр'!F451</f>
        <v>0</v>
      </c>
      <c r="G444" s="1004" t="n">
        <f aca="false">IF(E444&gt;F444,E444,F444)</f>
        <v>200</v>
      </c>
      <c r="H444" s="2594" t="n">
        <f aca="false">'Смета Внутр'!H451</f>
        <v>0</v>
      </c>
      <c r="I444" s="2594" t="n">
        <f aca="false">'Смета Внутр'!I451</f>
        <v>0</v>
      </c>
      <c r="J444" s="2315" t="n">
        <f aca="false">'Смета Внутр'!I451</f>
        <v>0</v>
      </c>
    </row>
    <row r="445" customFormat="false" ht="15" hidden="false" customHeight="true" outlineLevel="0" collapsed="false">
      <c r="B445" s="2927" t="str">
        <f aca="false">'Смета Внутр'!B452</f>
        <v>Итого работы</v>
      </c>
      <c r="C445" s="2927"/>
      <c r="D445" s="2927"/>
      <c r="E445" s="2927"/>
      <c r="F445" s="2927"/>
      <c r="G445" s="2927"/>
      <c r="H445" s="2594"/>
      <c r="I445" s="2594"/>
      <c r="J445" s="2315" t="n">
        <f aca="false">'Смета Внутр'!I452</f>
        <v>0</v>
      </c>
    </row>
    <row r="446" customFormat="false" ht="15" hidden="false" customHeight="true" outlineLevel="0" collapsed="false">
      <c r="B446" s="2931" t="str">
        <f aca="false">'Смета Внутр'!B453</f>
        <v>Техника и дополнительные расходы</v>
      </c>
      <c r="C446" s="2931"/>
      <c r="D446" s="2931"/>
      <c r="E446" s="2931"/>
      <c r="F446" s="2931"/>
      <c r="G446" s="2931"/>
      <c r="H446" s="2931"/>
      <c r="I446" s="2931"/>
      <c r="J446" s="2931"/>
    </row>
    <row r="447" customFormat="false" ht="15" hidden="false" customHeight="true" outlineLevel="0" collapsed="false">
      <c r="B447" s="2594" t="str">
        <f aca="false">'Смета Внутр'!B454</f>
        <v>Командировочные расходы</v>
      </c>
      <c r="C447" s="2594" t="n">
        <f aca="false">'Смета Внутр'!C454</f>
        <v>0</v>
      </c>
      <c r="D447" s="2594" t="n">
        <f aca="false">'Смета Внутр'!D454</f>
        <v>1</v>
      </c>
      <c r="E447" s="2594" t="n">
        <f aca="false">'Смета Внутр'!E454</f>
        <v>0</v>
      </c>
      <c r="F447" s="2594" t="n">
        <f aca="false">'Смета Внутр'!F454</f>
        <v>0</v>
      </c>
      <c r="G447" s="1004" t="n">
        <f aca="false">IF(E447&gt;F447,E447,F447)</f>
        <v>0</v>
      </c>
      <c r="H447" s="2594" t="n">
        <f aca="false">'Смета Внутр'!H454</f>
        <v>0</v>
      </c>
      <c r="I447" s="2594" t="n">
        <f aca="false">'Смета Внутр'!I454</f>
        <v>0</v>
      </c>
      <c r="J447" s="933" t="n">
        <f aca="false">'Смета Внутр'!I454</f>
        <v>0</v>
      </c>
    </row>
    <row r="448" customFormat="false" ht="15" hidden="false" customHeight="true" outlineLevel="0" collapsed="false">
      <c r="B448" s="2594" t="str">
        <f aca="false">'Смета Внутр'!B455</f>
        <v>расходные материалы каркасный дом</v>
      </c>
      <c r="C448" s="2594" t="n">
        <f aca="false">'Смета Внутр'!C455</f>
        <v>0</v>
      </c>
      <c r="D448" s="2594" t="n">
        <f aca="false">'Смета Внутр'!D455</f>
        <v>1</v>
      </c>
      <c r="E448" s="2594" t="n">
        <f aca="false">'Смета Внутр'!E455</f>
        <v>12000</v>
      </c>
      <c r="F448" s="2594" t="n">
        <f aca="false">'Смета Внутр'!F455</f>
        <v>0</v>
      </c>
      <c r="G448" s="1004" t="n">
        <f aca="false">IF(E448&gt;F448,E448,F448)</f>
        <v>12000</v>
      </c>
      <c r="H448" s="2594" t="n">
        <f aca="false">'Смета Внутр'!H455</f>
        <v>0</v>
      </c>
      <c r="I448" s="2594" t="n">
        <f aca="false">'Смета Внутр'!I455</f>
        <v>0</v>
      </c>
      <c r="J448" s="933" t="n">
        <f aca="false">'Смета Внутр'!I455</f>
        <v>0</v>
      </c>
    </row>
    <row r="449" customFormat="false" ht="15" hidden="false" customHeight="true" outlineLevel="0" collapsed="false">
      <c r="B449" s="2594" t="str">
        <f aca="false">'Смета Внутр'!B456</f>
        <v>Нет техники</v>
      </c>
      <c r="C449" s="2594" t="n">
        <f aca="false">'Смета Внутр'!C456</f>
        <v>0</v>
      </c>
      <c r="D449" s="2594" t="n">
        <f aca="false">'Смета Внутр'!D456</f>
        <v>2</v>
      </c>
      <c r="E449" s="2594" t="n">
        <f aca="false">'Смета Внутр'!E456</f>
        <v>0</v>
      </c>
      <c r="F449" s="2594" t="n">
        <f aca="false">'Смета Внутр'!F456</f>
        <v>0</v>
      </c>
      <c r="G449" s="1004" t="n">
        <f aca="false">IF(E449&gt;F449,E449,F449)</f>
        <v>0</v>
      </c>
      <c r="H449" s="2594" t="n">
        <f aca="false">'Смета Внутр'!H456</f>
        <v>0</v>
      </c>
      <c r="I449" s="2594" t="n">
        <f aca="false">'Смета Внутр'!I456</f>
        <v>0</v>
      </c>
      <c r="J449" s="933" t="n">
        <f aca="false">'Смета Внутр'!I456</f>
        <v>0</v>
      </c>
    </row>
    <row r="450" customFormat="false" ht="15" hidden="false" customHeight="true" outlineLevel="0" collapsed="false">
      <c r="B450" s="2927" t="str">
        <f aca="false">'Смета Внутр'!B457</f>
        <v>Итого</v>
      </c>
      <c r="C450" s="2927"/>
      <c r="D450" s="2927"/>
      <c r="E450" s="2927"/>
      <c r="F450" s="2927"/>
      <c r="G450" s="2927"/>
      <c r="H450" s="1116"/>
      <c r="I450" s="1116"/>
      <c r="J450" s="2315" t="n">
        <f aca="false">'Смета Внутр'!J457</f>
        <v>0</v>
      </c>
    </row>
    <row r="451" customFormat="false" ht="15" hidden="false" customHeight="true" outlineLevel="0" collapsed="false">
      <c r="B451" s="2932" t="str">
        <f aca="false">'Смета Внутр'!B458</f>
        <v>Каркасный дом ЛСТК</v>
      </c>
      <c r="C451" s="2932"/>
      <c r="D451" s="2932"/>
      <c r="E451" s="2932"/>
      <c r="F451" s="2932"/>
      <c r="G451" s="2932"/>
      <c r="H451" s="2932"/>
      <c r="I451" s="2932"/>
      <c r="J451" s="2932"/>
    </row>
    <row r="452" customFormat="false" ht="15" hidden="false" customHeight="true" outlineLevel="0" collapsed="false">
      <c r="B452" s="2321" t="str">
        <f aca="false">'Смета Внутр'!B459</f>
        <v>Материалы</v>
      </c>
      <c r="C452" s="2933"/>
      <c r="D452" s="2933"/>
      <c r="E452" s="2933"/>
      <c r="F452" s="2933"/>
      <c r="G452" s="2933"/>
      <c r="H452" s="1116"/>
      <c r="I452" s="1116"/>
      <c r="J452" s="1043"/>
    </row>
    <row r="453" customFormat="false" ht="15" hidden="false" customHeight="true" outlineLevel="0" collapsed="false">
      <c r="B453" s="2315" t="str">
        <f aca="false">'Смета Внутр'!B460</f>
        <v>Брус естественной влажности, 150*150мм</v>
      </c>
      <c r="C453" s="2315" t="str">
        <f aca="false">'Смета Внутр'!C460</f>
        <v>м3</v>
      </c>
      <c r="D453" s="2315" t="n">
        <f aca="false">'Смета Внутр'!D460</f>
        <v>1.26</v>
      </c>
      <c r="E453" s="2315" t="n">
        <f aca="false">'Смета Внутр'!E460</f>
        <v>6500</v>
      </c>
      <c r="F453" s="2315" t="n">
        <f aca="false">'Смета Внутр'!F460</f>
        <v>0</v>
      </c>
      <c r="G453" s="1004" t="n">
        <f aca="false">IF(E453&gt;F453,E453,F453)</f>
        <v>6500</v>
      </c>
      <c r="H453" s="2315" t="n">
        <f aca="false">'Смета Внутр'!H460</f>
        <v>0</v>
      </c>
      <c r="I453" s="2315" t="n">
        <f aca="false">'Смета Внутр'!I460</f>
        <v>0</v>
      </c>
      <c r="J453" s="933" t="n">
        <f aca="false">'Смета Внутр'!I460</f>
        <v>0</v>
      </c>
    </row>
    <row r="454" customFormat="false" ht="15" hidden="false" customHeight="true" outlineLevel="0" collapsed="false">
      <c r="B454" s="2315" t="str">
        <f aca="false">'Смета Внутр'!B461</f>
        <v>Болты анкерные с гайкой 12,0 х 280</v>
      </c>
      <c r="C454" s="2315" t="str">
        <f aca="false">'Смета Внутр'!C461</f>
        <v>шт</v>
      </c>
      <c r="D454" s="2315" t="n">
        <f aca="false">'Смета Внутр'!D461</f>
        <v>56</v>
      </c>
      <c r="E454" s="2315" t="n">
        <f aca="false">'Смета Внутр'!E461</f>
        <v>27.1</v>
      </c>
      <c r="F454" s="2315" t="n">
        <f aca="false">'Смета Внутр'!F461</f>
        <v>0</v>
      </c>
      <c r="G454" s="1004" t="n">
        <f aca="false">IF(E454&gt;F454,E454,F454)</f>
        <v>27.1</v>
      </c>
      <c r="H454" s="2315" t="n">
        <f aca="false">'Смета Внутр'!H461</f>
        <v>0</v>
      </c>
      <c r="I454" s="2315" t="n">
        <f aca="false">'Смета Внутр'!I461</f>
        <v>0</v>
      </c>
      <c r="J454" s="933" t="n">
        <f aca="false">'Смета Внутр'!I461</f>
        <v>0</v>
      </c>
    </row>
    <row r="455" customFormat="false" ht="15" hidden="false" customHeight="true" outlineLevel="0" collapsed="false">
      <c r="B455" s="2315" t="str">
        <f aca="false">'Смета Внутр'!B462</f>
        <v>ГПС 150х50-1,2</v>
      </c>
      <c r="C455" s="2315" t="str">
        <f aca="false">'Смета Внутр'!C462</f>
        <v>м3</v>
      </c>
      <c r="D455" s="2315" t="n">
        <f aca="false">'Смета Внутр'!D462</f>
        <v>0</v>
      </c>
      <c r="E455" s="2315" t="n">
        <f aca="false">'Смета Внутр'!E462</f>
        <v>201</v>
      </c>
      <c r="F455" s="2315" t="n">
        <f aca="false">'Смета Внутр'!F462</f>
        <v>0</v>
      </c>
      <c r="G455" s="1004" t="n">
        <f aca="false">IF(E455&gt;F455,E455,F455)</f>
        <v>201</v>
      </c>
      <c r="H455" s="2315" t="n">
        <f aca="false">'Смета Внутр'!H462</f>
        <v>0</v>
      </c>
      <c r="I455" s="2315" t="n">
        <f aca="false">'Смета Внутр'!I462</f>
        <v>0</v>
      </c>
      <c r="J455" s="933" t="n">
        <f aca="false">'Смета Внутр'!I462</f>
        <v>0</v>
      </c>
    </row>
    <row r="456" customFormat="false" ht="15" hidden="false" customHeight="true" outlineLevel="0" collapsed="false">
      <c r="B456" s="2315" t="str">
        <f aca="false">'Смета Внутр'!B463</f>
        <v>ГПН 152х35-1,2</v>
      </c>
      <c r="C456" s="2315" t="str">
        <f aca="false">'Смета Внутр'!C463</f>
        <v>мп.</v>
      </c>
      <c r="D456" s="2315" t="n">
        <f aca="false">'Смета Внутр'!D463</f>
        <v>0</v>
      </c>
      <c r="E456" s="2315" t="n">
        <f aca="false">'Смета Внутр'!E463</f>
        <v>163</v>
      </c>
      <c r="F456" s="2315" t="n">
        <f aca="false">'Смета Внутр'!F463</f>
        <v>0</v>
      </c>
      <c r="G456" s="1004" t="n">
        <f aca="false">IF(E456&gt;F456,E456,F456)</f>
        <v>163</v>
      </c>
      <c r="H456" s="2315" t="n">
        <f aca="false">'Смета Внутр'!H463</f>
        <v>0</v>
      </c>
      <c r="I456" s="2315" t="n">
        <f aca="false">'Смета Внутр'!I463</f>
        <v>0</v>
      </c>
      <c r="J456" s="933" t="n">
        <f aca="false">'Смета Внутр'!I463</f>
        <v>0</v>
      </c>
    </row>
    <row r="457" customFormat="false" ht="15" hidden="false" customHeight="true" outlineLevel="0" collapsed="false">
      <c r="B457" s="2315" t="str">
        <f aca="false">'Смета Внутр'!B464</f>
        <v>Болты анкерные с гайкой 12,0 x 100</v>
      </c>
      <c r="C457" s="2315" t="str">
        <f aca="false">'Смета Внутр'!C464</f>
        <v>шт.</v>
      </c>
      <c r="D457" s="2315" t="n">
        <f aca="false">'Смета Внутр'!D464</f>
        <v>0</v>
      </c>
      <c r="E457" s="2315" t="n">
        <f aca="false">'Смета Внутр'!E464</f>
        <v>11.2</v>
      </c>
      <c r="F457" s="2315" t="n">
        <f aca="false">'Смета Внутр'!F464</f>
        <v>0</v>
      </c>
      <c r="G457" s="1004" t="n">
        <f aca="false">IF(E457&gt;F457,E457,F457)</f>
        <v>11.2</v>
      </c>
      <c r="H457" s="2315" t="n">
        <f aca="false">'Смета Внутр'!H464</f>
        <v>0</v>
      </c>
      <c r="I457" s="2315" t="n">
        <f aca="false">'Смета Внутр'!I464</f>
        <v>0</v>
      </c>
      <c r="J457" s="933" t="n">
        <f aca="false">'Смета Внутр'!I464</f>
        <v>0</v>
      </c>
    </row>
    <row r="458" customFormat="false" ht="15" hidden="false" customHeight="true" outlineLevel="0" collapsed="false">
      <c r="B458" s="2315" t="str">
        <f aca="false">'Смета Внутр'!B465</f>
        <v>Саморез 5,5 х 25</v>
      </c>
      <c r="C458" s="2315" t="str">
        <f aca="false">'Смета Внутр'!C465</f>
        <v>шт.</v>
      </c>
      <c r="D458" s="2315" t="n">
        <f aca="false">'Смета Внутр'!D465</f>
        <v>1644</v>
      </c>
      <c r="E458" s="2315" t="n">
        <f aca="false">'Смета Внутр'!E465</f>
        <v>2.5</v>
      </c>
      <c r="F458" s="2315" t="n">
        <f aca="false">'Смета Внутр'!F465</f>
        <v>0</v>
      </c>
      <c r="G458" s="1004" t="n">
        <f aca="false">IF(E458&gt;F458,E458,F458)</f>
        <v>2.5</v>
      </c>
      <c r="H458" s="2315" t="n">
        <f aca="false">'Смета Внутр'!H465</f>
        <v>0</v>
      </c>
      <c r="I458" s="2315" t="n">
        <f aca="false">'Смета Внутр'!I465</f>
        <v>0</v>
      </c>
      <c r="J458" s="933" t="n">
        <f aca="false">'Смета Внутр'!I465</f>
        <v>0</v>
      </c>
    </row>
    <row r="459" customFormat="false" ht="15" hidden="false" customHeight="true" outlineLevel="0" collapsed="false">
      <c r="B459" s="2315" t="str">
        <f aca="false">'Смета Внутр'!B466</f>
        <v>ГПН 122х35-1,5</v>
      </c>
      <c r="C459" s="2315" t="str">
        <f aca="false">'Смета Внутр'!C466</f>
        <v>мп.</v>
      </c>
      <c r="D459" s="2315" t="n">
        <f aca="false">'Смета Внутр'!D466</f>
        <v>0</v>
      </c>
      <c r="E459" s="2315" t="n">
        <f aca="false">'Смета Внутр'!E466</f>
        <v>163</v>
      </c>
      <c r="F459" s="2315" t="n">
        <f aca="false">'Смета Внутр'!F466</f>
        <v>0</v>
      </c>
      <c r="G459" s="1004" t="n">
        <f aca="false">IF(E459&gt;F459,E459,F459)</f>
        <v>163</v>
      </c>
      <c r="H459" s="2315" t="n">
        <f aca="false">'Смета Внутр'!H466</f>
        <v>0</v>
      </c>
      <c r="I459" s="2315" t="n">
        <f aca="false">'Смета Внутр'!I466</f>
        <v>0</v>
      </c>
      <c r="J459" s="933" t="n">
        <f aca="false">'Смета Внутр'!I466</f>
        <v>0</v>
      </c>
    </row>
    <row r="460" customFormat="false" ht="15" hidden="false" customHeight="true" outlineLevel="0" collapsed="false">
      <c r="B460" s="2315" t="str">
        <f aca="false">'Смета Внутр'!B467</f>
        <v>Болты анкерные с гайкой 12,0 x 100</v>
      </c>
      <c r="C460" s="2315" t="str">
        <f aca="false">'Смета Внутр'!C467</f>
        <v>шт.</v>
      </c>
      <c r="D460" s="2315" t="n">
        <f aca="false">'Смета Внутр'!D467</f>
        <v>0</v>
      </c>
      <c r="E460" s="2315" t="n">
        <f aca="false">'Смета Внутр'!E467</f>
        <v>11.2</v>
      </c>
      <c r="F460" s="2315" t="n">
        <f aca="false">'Смета Внутр'!F467</f>
        <v>0</v>
      </c>
      <c r="G460" s="1004" t="n">
        <f aca="false">IF(E460&gt;F460,E460,F460)</f>
        <v>11.2</v>
      </c>
      <c r="H460" s="2315" t="n">
        <f aca="false">'Смета Внутр'!H467</f>
        <v>0</v>
      </c>
      <c r="I460" s="2315" t="n">
        <f aca="false">'Смета Внутр'!I467</f>
        <v>0</v>
      </c>
      <c r="J460" s="933" t="n">
        <f aca="false">'Смета Внутр'!I467</f>
        <v>0</v>
      </c>
    </row>
    <row r="461" customFormat="false" ht="15" hidden="false" customHeight="true" outlineLevel="0" collapsed="false">
      <c r="B461" s="2315" t="str">
        <f aca="false">'Смета Внутр'!B468</f>
        <v>Саморез 5,5 х 25</v>
      </c>
      <c r="C461" s="2315" t="str">
        <f aca="false">'Смета Внутр'!C468</f>
        <v>шт.</v>
      </c>
      <c r="D461" s="2315" t="n">
        <f aca="false">'Смета Внутр'!D468</f>
        <v>12</v>
      </c>
      <c r="E461" s="2315" t="n">
        <f aca="false">'Смета Внутр'!E468</f>
        <v>2.5</v>
      </c>
      <c r="F461" s="2315" t="n">
        <f aca="false">'Смета Внутр'!F468</f>
        <v>0</v>
      </c>
      <c r="G461" s="1004" t="n">
        <f aca="false">IF(E461&gt;F461,E461,F461)</f>
        <v>2.5</v>
      </c>
      <c r="H461" s="2315" t="n">
        <f aca="false">'Смета Внутр'!H468</f>
        <v>0</v>
      </c>
      <c r="I461" s="2315" t="n">
        <f aca="false">'Смета Внутр'!I468</f>
        <v>0</v>
      </c>
      <c r="J461" s="933" t="n">
        <f aca="false">'Смета Внутр'!I468</f>
        <v>0</v>
      </c>
    </row>
    <row r="462" customFormat="false" ht="15" hidden="false" customHeight="true" outlineLevel="0" collapsed="false">
      <c r="B462" s="2315" t="str">
        <f aca="false">'Смета Внутр'!B469</f>
        <v>ГПН 172х35-2,0</v>
      </c>
      <c r="C462" s="2315" t="str">
        <f aca="false">'Смета Внутр'!C469</f>
        <v>мп.</v>
      </c>
      <c r="D462" s="2315" t="n">
        <f aca="false">'Смета Внутр'!D469</f>
        <v>0</v>
      </c>
      <c r="E462" s="2315" t="n">
        <f aca="false">'Смета Внутр'!E469</f>
        <v>274</v>
      </c>
      <c r="F462" s="2315" t="n">
        <f aca="false">'Смета Внутр'!F469</f>
        <v>0</v>
      </c>
      <c r="G462" s="1004" t="n">
        <f aca="false">IF(E462&gt;F462,E462,F462)</f>
        <v>274</v>
      </c>
      <c r="H462" s="2315" t="n">
        <f aca="false">'Смета Внутр'!H469</f>
        <v>0</v>
      </c>
      <c r="I462" s="2315" t="n">
        <f aca="false">'Смета Внутр'!I469</f>
        <v>0</v>
      </c>
      <c r="J462" s="933" t="n">
        <f aca="false">'Смета Внутр'!I469</f>
        <v>0</v>
      </c>
    </row>
    <row r="463" customFormat="false" ht="15" hidden="false" customHeight="true" outlineLevel="0" collapsed="false">
      <c r="B463" s="2315" t="str">
        <f aca="false">'Смета Внутр'!B470</f>
        <v>Болты анкерные с гайкой 12,0 x 100</v>
      </c>
      <c r="C463" s="2315" t="str">
        <f aca="false">'Смета Внутр'!C470</f>
        <v>шт.</v>
      </c>
      <c r="D463" s="2315" t="n">
        <f aca="false">'Смета Внутр'!D470</f>
        <v>0</v>
      </c>
      <c r="E463" s="2315" t="n">
        <f aca="false">'Смета Внутр'!E470</f>
        <v>11.2</v>
      </c>
      <c r="F463" s="2315" t="n">
        <f aca="false">'Смета Внутр'!F470</f>
        <v>0</v>
      </c>
      <c r="G463" s="1004" t="n">
        <f aca="false">IF(E463&gt;F463,E463,F463)</f>
        <v>11.2</v>
      </c>
      <c r="H463" s="2315" t="n">
        <f aca="false">'Смета Внутр'!H470</f>
        <v>0</v>
      </c>
      <c r="I463" s="2315" t="n">
        <f aca="false">'Смета Внутр'!I470</f>
        <v>0</v>
      </c>
      <c r="J463" s="933" t="n">
        <f aca="false">'Смета Внутр'!I470</f>
        <v>0</v>
      </c>
    </row>
    <row r="464" customFormat="false" ht="15" hidden="false" customHeight="true" outlineLevel="0" collapsed="false">
      <c r="B464" s="2315" t="str">
        <f aca="false">'Смета Внутр'!B471</f>
        <v>Саморез 5,5 х 25</v>
      </c>
      <c r="C464" s="2315" t="str">
        <f aca="false">'Смета Внутр'!C471</f>
        <v>шт.</v>
      </c>
      <c r="D464" s="2315" t="n">
        <f aca="false">'Смета Внутр'!D471</f>
        <v>0</v>
      </c>
      <c r="E464" s="2315" t="n">
        <f aca="false">'Смета Внутр'!E471</f>
        <v>2.5</v>
      </c>
      <c r="F464" s="2315" t="n">
        <f aca="false">'Смета Внутр'!F471</f>
        <v>0</v>
      </c>
      <c r="G464" s="1004" t="n">
        <f aca="false">IF(E464&gt;F464,E464,F464)</f>
        <v>2.5</v>
      </c>
      <c r="H464" s="2315" t="n">
        <f aca="false">'Смета Внутр'!H471</f>
        <v>0</v>
      </c>
      <c r="I464" s="2315" t="n">
        <f aca="false">'Смета Внутр'!I471</f>
        <v>0</v>
      </c>
      <c r="J464" s="933" t="n">
        <f aca="false">'Смета Внутр'!I471</f>
        <v>0</v>
      </c>
    </row>
    <row r="465" customFormat="false" ht="15" hidden="false" customHeight="true" outlineLevel="0" collapsed="false">
      <c r="B465" s="2315" t="str">
        <f aca="false">'Смета Внутр'!B472</f>
        <v>ГПС 150х50-1,2</v>
      </c>
      <c r="C465" s="2315" t="str">
        <f aca="false">'Смета Внутр'!C472</f>
        <v>мп.</v>
      </c>
      <c r="D465" s="2315" t="n">
        <f aca="false">'Смета Внутр'!D472</f>
        <v>14</v>
      </c>
      <c r="E465" s="2315" t="n">
        <f aca="false">'Смета Внутр'!E472</f>
        <v>63.0094043887147</v>
      </c>
      <c r="F465" s="2315" t="n">
        <f aca="false">'Смета Внутр'!F472</f>
        <v>0</v>
      </c>
      <c r="G465" s="1004" t="n">
        <f aca="false">IF(E465&gt;F465,E465,F465)</f>
        <v>63.0094043887147</v>
      </c>
      <c r="H465" s="2315" t="n">
        <f aca="false">'Смета Внутр'!H472</f>
        <v>0</v>
      </c>
      <c r="I465" s="2315" t="n">
        <f aca="false">'Смета Внутр'!I472</f>
        <v>0</v>
      </c>
      <c r="J465" s="933" t="n">
        <f aca="false">'Смета Внутр'!I472</f>
        <v>0</v>
      </c>
    </row>
    <row r="466" customFormat="false" ht="15" hidden="false" customHeight="true" outlineLevel="0" collapsed="false">
      <c r="B466" s="2315" t="str">
        <f aca="false">'Смета Внутр'!B473</f>
        <v>Саморез 5,5 х 25</v>
      </c>
      <c r="C466" s="2315" t="str">
        <f aca="false">'Смета Внутр'!C473</f>
        <v>шт.</v>
      </c>
      <c r="D466" s="2315" t="n">
        <f aca="false">'Смета Внутр'!D473</f>
        <v>81</v>
      </c>
      <c r="E466" s="2315" t="n">
        <f aca="false">'Смета Внутр'!E473</f>
        <v>2.5</v>
      </c>
      <c r="F466" s="2315" t="n">
        <f aca="false">'Смета Внутр'!F473</f>
        <v>0</v>
      </c>
      <c r="G466" s="1004" t="n">
        <f aca="false">IF(E466&gt;F466,E466,F466)</f>
        <v>2.5</v>
      </c>
      <c r="H466" s="2315" t="n">
        <f aca="false">'Смета Внутр'!H473</f>
        <v>0</v>
      </c>
      <c r="I466" s="2315" t="n">
        <f aca="false">'Смета Внутр'!I473</f>
        <v>0</v>
      </c>
      <c r="J466" s="933" t="n">
        <f aca="false">'Смета Внутр'!I473</f>
        <v>0</v>
      </c>
    </row>
    <row r="467" customFormat="false" ht="15" hidden="false" customHeight="true" outlineLevel="0" collapsed="false">
      <c r="B467" s="2315" t="str">
        <f aca="false">'Смета Внутр'!B474</f>
        <v>L 50 x 50, 1,2мм</v>
      </c>
      <c r="C467" s="2315" t="str">
        <f aca="false">'Смета Внутр'!C474</f>
        <v>м.п.</v>
      </c>
      <c r="D467" s="2315" t="n">
        <f aca="false">'Смета Внутр'!D474</f>
        <v>8.1</v>
      </c>
      <c r="E467" s="2315" t="n">
        <f aca="false">'Смета Внутр'!E474</f>
        <v>77</v>
      </c>
      <c r="F467" s="2315" t="n">
        <f aca="false">'Смета Внутр'!F474</f>
        <v>0</v>
      </c>
      <c r="G467" s="1004" t="n">
        <f aca="false">IF(E467&gt;F467,E467,F467)</f>
        <v>77</v>
      </c>
      <c r="H467" s="2315" t="n">
        <f aca="false">'Смета Внутр'!H474</f>
        <v>0</v>
      </c>
      <c r="I467" s="2315" t="n">
        <f aca="false">'Смета Внутр'!I474</f>
        <v>0</v>
      </c>
      <c r="J467" s="933" t="n">
        <f aca="false">'Смета Внутр'!I474</f>
        <v>0</v>
      </c>
    </row>
    <row r="468" customFormat="false" ht="15" hidden="false" customHeight="true" outlineLevel="0" collapsed="false">
      <c r="B468" s="2315" t="str">
        <f aca="false">'Смета Внутр'!B475</f>
        <v>ГПС 120х50-1,5</v>
      </c>
      <c r="C468" s="2315" t="str">
        <f aca="false">'Смета Внутр'!C475</f>
        <v>м.п.</v>
      </c>
      <c r="D468" s="2315" t="n">
        <f aca="false">'Смета Внутр'!D475</f>
        <v>7.8</v>
      </c>
      <c r="E468" s="2315" t="n">
        <f aca="false">'Смета Внутр'!E475</f>
        <v>65.8823529411765</v>
      </c>
      <c r="F468" s="2315" t="n">
        <f aca="false">'Смета Внутр'!F475</f>
        <v>0</v>
      </c>
      <c r="G468" s="1004" t="n">
        <f aca="false">IF(E468&gt;F468,E468,F468)</f>
        <v>65.8823529411765</v>
      </c>
      <c r="H468" s="2315" t="n">
        <f aca="false">'Смета Внутр'!H475</f>
        <v>0</v>
      </c>
      <c r="I468" s="2315" t="n">
        <f aca="false">'Смета Внутр'!I475</f>
        <v>0</v>
      </c>
      <c r="J468" s="933" t="n">
        <f aca="false">'Смета Внутр'!I475</f>
        <v>0</v>
      </c>
    </row>
    <row r="469" customFormat="false" ht="15" hidden="false" customHeight="true" outlineLevel="0" collapsed="false">
      <c r="B469" s="2315" t="str">
        <f aca="false">'Смета Внутр'!B476</f>
        <v>Саморез 5,5 х 25</v>
      </c>
      <c r="C469" s="2315" t="str">
        <f aca="false">'Смета Внутр'!C476</f>
        <v>шт.</v>
      </c>
      <c r="D469" s="2315" t="n">
        <f aca="false">'Смета Внутр'!D476</f>
        <v>48</v>
      </c>
      <c r="E469" s="2315" t="n">
        <f aca="false">'Смета Внутр'!E476</f>
        <v>2.5</v>
      </c>
      <c r="F469" s="2315" t="n">
        <f aca="false">'Смета Внутр'!F476</f>
        <v>100</v>
      </c>
      <c r="G469" s="1004" t="n">
        <f aca="false">IF(E469&gt;F469,E469,F469)</f>
        <v>100</v>
      </c>
      <c r="H469" s="2315" t="n">
        <f aca="false">'Смета Внутр'!H476</f>
        <v>0</v>
      </c>
      <c r="I469" s="2315" t="n">
        <f aca="false">'Смета Внутр'!I476</f>
        <v>0</v>
      </c>
      <c r="J469" s="933" t="n">
        <f aca="false">'Смета Внутр'!I476</f>
        <v>0</v>
      </c>
    </row>
    <row r="470" customFormat="false" ht="15" hidden="false" customHeight="true" outlineLevel="0" collapsed="false">
      <c r="B470" s="2315" t="str">
        <f aca="false">'Смета Внутр'!B477</f>
        <v>нет</v>
      </c>
      <c r="C470" s="2315" t="str">
        <f aca="false">'Смета Внутр'!C477</f>
        <v>м.п.</v>
      </c>
      <c r="D470" s="2315" t="n">
        <f aca="false">'Смета Внутр'!D477</f>
        <v>0</v>
      </c>
      <c r="E470" s="2315" t="n">
        <f aca="false">'Смета Внутр'!E477</f>
        <v>0</v>
      </c>
      <c r="F470" s="2315" t="n">
        <f aca="false">'Смета Внутр'!F477</f>
        <v>0</v>
      </c>
      <c r="G470" s="1004" t="n">
        <f aca="false">IF(E470&gt;F470,E470,F470)</f>
        <v>0</v>
      </c>
      <c r="H470" s="2315" t="n">
        <f aca="false">'Смета Внутр'!H477</f>
        <v>0</v>
      </c>
      <c r="I470" s="2315" t="n">
        <f aca="false">'Смета Внутр'!I477</f>
        <v>0</v>
      </c>
      <c r="J470" s="933" t="n">
        <f aca="false">'Смета Внутр'!I477</f>
        <v>0</v>
      </c>
    </row>
    <row r="471" customFormat="false" ht="15" hidden="false" customHeight="true" outlineLevel="0" collapsed="false">
      <c r="B471" s="2315" t="str">
        <f aca="false">'Смета Внутр'!B478</f>
        <v>нет</v>
      </c>
      <c r="C471" s="2315" t="str">
        <f aca="false">'Смета Внутр'!C478</f>
        <v>м.п.</v>
      </c>
      <c r="D471" s="2315" t="n">
        <f aca="false">'Смета Внутр'!D478</f>
        <v>0</v>
      </c>
      <c r="E471" s="2315" t="n">
        <f aca="false">'Смета Внутр'!E478</f>
        <v>0</v>
      </c>
      <c r="F471" s="2315" t="n">
        <f aca="false">'Смета Внутр'!F478</f>
        <v>0</v>
      </c>
      <c r="G471" s="1004" t="n">
        <f aca="false">IF(E471&gt;F471,E471,F471)</f>
        <v>0</v>
      </c>
      <c r="H471" s="2315" t="n">
        <f aca="false">'Смета Внутр'!H478</f>
        <v>0</v>
      </c>
      <c r="I471" s="2315" t="n">
        <f aca="false">'Смета Внутр'!I478</f>
        <v>0</v>
      </c>
      <c r="J471" s="933" t="n">
        <f aca="false">'Смета Внутр'!I478</f>
        <v>0</v>
      </c>
    </row>
    <row r="472" customFormat="false" ht="15" hidden="false" customHeight="true" outlineLevel="0" collapsed="false">
      <c r="B472" s="2315" t="n">
        <f aca="false">'Смета Внутр'!B479</f>
        <v>0</v>
      </c>
      <c r="C472" s="2315" t="str">
        <f aca="false">'Смета Внутр'!C479</f>
        <v>шт.</v>
      </c>
      <c r="D472" s="2315" t="n">
        <f aca="false">'Смета Внутр'!D479</f>
        <v>0</v>
      </c>
      <c r="E472" s="2315" t="n">
        <f aca="false">'Смета Внутр'!E479</f>
        <v>0</v>
      </c>
      <c r="F472" s="2315" t="n">
        <f aca="false">'Смета Внутр'!F479</f>
        <v>0</v>
      </c>
      <c r="G472" s="1004" t="n">
        <f aca="false">IF(E472&gt;F472,E472,F472)</f>
        <v>0</v>
      </c>
      <c r="H472" s="2315" t="n">
        <f aca="false">'Смета Внутр'!H479</f>
        <v>0</v>
      </c>
      <c r="I472" s="2315" t="n">
        <f aca="false">'Смета Внутр'!I479</f>
        <v>0</v>
      </c>
      <c r="J472" s="933" t="n">
        <f aca="false">'Смета Внутр'!I479</f>
        <v>0</v>
      </c>
    </row>
    <row r="473" customFormat="false" ht="15" hidden="false" customHeight="true" outlineLevel="0" collapsed="false">
      <c r="B473" s="2315" t="n">
        <f aca="false">'Смета Внутр'!B480</f>
        <v>0</v>
      </c>
      <c r="C473" s="2315" t="str">
        <f aca="false">'Смета Внутр'!C480</f>
        <v>шт.</v>
      </c>
      <c r="D473" s="2315" t="n">
        <f aca="false">'Смета Внутр'!D480</f>
        <v>0</v>
      </c>
      <c r="E473" s="2315" t="n">
        <f aca="false">'Смета Внутр'!E480</f>
        <v>0</v>
      </c>
      <c r="F473" s="2315" t="n">
        <f aca="false">'Смета Внутр'!F480</f>
        <v>0</v>
      </c>
      <c r="G473" s="1004" t="n">
        <f aca="false">IF(E473&gt;F473,E473,F473)</f>
        <v>0</v>
      </c>
      <c r="H473" s="2315" t="n">
        <f aca="false">'Смета Внутр'!H480</f>
        <v>0</v>
      </c>
      <c r="I473" s="2315" t="n">
        <f aca="false">'Смета Внутр'!I480</f>
        <v>0</v>
      </c>
      <c r="J473" s="933" t="n">
        <f aca="false">'Смета Внутр'!I480</f>
        <v>0</v>
      </c>
    </row>
    <row r="474" customFormat="false" ht="15" hidden="false" customHeight="true" outlineLevel="0" collapsed="false">
      <c r="B474" s="2315" t="str">
        <f aca="false">'Смета Внутр'!B481</f>
        <v>нет</v>
      </c>
      <c r="C474" s="2315" t="str">
        <f aca="false">'Смета Внутр'!C481</f>
        <v>м2</v>
      </c>
      <c r="D474" s="2315" t="n">
        <f aca="false">'Смета Внутр'!D481</f>
        <v>0</v>
      </c>
      <c r="E474" s="2315" t="n">
        <f aca="false">'Смета Внутр'!E481</f>
        <v>0</v>
      </c>
      <c r="F474" s="2315" t="n">
        <f aca="false">'Смета Внутр'!F481</f>
        <v>0</v>
      </c>
      <c r="G474" s="1004" t="n">
        <f aca="false">IF(E474&gt;F474,E474,F474)</f>
        <v>0</v>
      </c>
      <c r="H474" s="2315" t="n">
        <f aca="false">'Смета Внутр'!H481</f>
        <v>0</v>
      </c>
      <c r="I474" s="2315" t="n">
        <f aca="false">'Смета Внутр'!I481</f>
        <v>0</v>
      </c>
      <c r="J474" s="933" t="n">
        <f aca="false">'Смета Внутр'!I481</f>
        <v>0</v>
      </c>
    </row>
    <row r="475" customFormat="false" ht="15" hidden="false" customHeight="true" outlineLevel="0" collapsed="false">
      <c r="B475" s="2315" t="str">
        <f aca="false">'Смета Внутр'!B482</f>
        <v>Саморезы 3,5 x 25</v>
      </c>
      <c r="C475" s="2315" t="str">
        <f aca="false">'Смета Внутр'!C482</f>
        <v>шт.</v>
      </c>
      <c r="D475" s="2315" t="n">
        <f aca="false">'Смета Внутр'!D482</f>
        <v>0</v>
      </c>
      <c r="E475" s="2315" t="n">
        <f aca="false">'Смета Внутр'!E482</f>
        <v>0.2</v>
      </c>
      <c r="F475" s="2315" t="n">
        <f aca="false">'Смета Внутр'!F482</f>
        <v>0</v>
      </c>
      <c r="G475" s="1004" t="n">
        <f aca="false">IF(E475&gt;F475,E475,F475)</f>
        <v>0.2</v>
      </c>
      <c r="H475" s="2315" t="n">
        <f aca="false">'Смета Внутр'!H482</f>
        <v>0</v>
      </c>
      <c r="I475" s="2315" t="n">
        <f aca="false">'Смета Внутр'!I482</f>
        <v>0</v>
      </c>
      <c r="J475" s="933" t="n">
        <f aca="false">'Смета Внутр'!I482</f>
        <v>0</v>
      </c>
    </row>
    <row r="476" customFormat="false" ht="15" hidden="false" customHeight="true" outlineLevel="0" collapsed="false">
      <c r="B476" s="2315" t="str">
        <f aca="false">'Смета Внутр'!B483</f>
        <v>нет</v>
      </c>
      <c r="C476" s="2315" t="str">
        <f aca="false">'Смета Внутр'!C483</f>
        <v>м.п.</v>
      </c>
      <c r="D476" s="2315" t="n">
        <f aca="false">'Смета Внутр'!D483</f>
        <v>0</v>
      </c>
      <c r="E476" s="2315" t="n">
        <f aca="false">'Смета Внутр'!E483</f>
        <v>0</v>
      </c>
      <c r="F476" s="2315" t="n">
        <f aca="false">'Смета Внутр'!F483</f>
        <v>0</v>
      </c>
      <c r="G476" s="1004" t="n">
        <f aca="false">IF(E476&gt;F476,E476,F476)</f>
        <v>0</v>
      </c>
      <c r="H476" s="2315" t="n">
        <f aca="false">'Смета Внутр'!H483</f>
        <v>0</v>
      </c>
      <c r="I476" s="2315" t="n">
        <f aca="false">'Смета Внутр'!I483</f>
        <v>0</v>
      </c>
      <c r="J476" s="933" t="n">
        <f aca="false">'Смета Внутр'!I483</f>
        <v>0</v>
      </c>
    </row>
    <row r="477" customFormat="false" ht="15" hidden="false" customHeight="true" outlineLevel="0" collapsed="false">
      <c r="B477" s="2315" t="n">
        <f aca="false">'Смета Внутр'!B484</f>
        <v>0</v>
      </c>
      <c r="C477" s="2315" t="str">
        <f aca="false">'Смета Внутр'!C484</f>
        <v>шт.</v>
      </c>
      <c r="D477" s="2315" t="n">
        <f aca="false">'Смета Внутр'!D484</f>
        <v>0</v>
      </c>
      <c r="E477" s="2315" t="n">
        <f aca="false">'Смета Внутр'!E484</f>
        <v>0</v>
      </c>
      <c r="F477" s="2315" t="n">
        <f aca="false">'Смета Внутр'!F484</f>
        <v>0</v>
      </c>
      <c r="G477" s="1004" t="n">
        <f aca="false">IF(E477&gt;F477,E477,F477)</f>
        <v>0</v>
      </c>
      <c r="H477" s="2315" t="n">
        <f aca="false">'Смета Внутр'!H484</f>
        <v>0</v>
      </c>
      <c r="I477" s="2315" t="n">
        <f aca="false">'Смета Внутр'!I484</f>
        <v>0</v>
      </c>
      <c r="J477" s="933" t="n">
        <f aca="false">'Смета Внутр'!I484</f>
        <v>0</v>
      </c>
    </row>
    <row r="478" customFormat="false" ht="15" hidden="false" customHeight="true" outlineLevel="0" collapsed="false">
      <c r="B478" s="2315" t="str">
        <f aca="false">'Смета Внутр'!B485</f>
        <v>нет</v>
      </c>
      <c r="C478" s="2315" t="str">
        <f aca="false">'Смета Внутр'!C485</f>
        <v>м2</v>
      </c>
      <c r="D478" s="2315" t="n">
        <f aca="false">'Смета Внутр'!D485</f>
        <v>0</v>
      </c>
      <c r="E478" s="2315" t="n">
        <f aca="false">'Смета Внутр'!E485</f>
        <v>0</v>
      </c>
      <c r="F478" s="2315" t="n">
        <f aca="false">'Смета Внутр'!F485</f>
        <v>0</v>
      </c>
      <c r="G478" s="1004" t="n">
        <f aca="false">IF(E478&gt;F478,E478,F478)</f>
        <v>0</v>
      </c>
      <c r="H478" s="2315" t="n">
        <f aca="false">'Смета Внутр'!H485</f>
        <v>0</v>
      </c>
      <c r="I478" s="2315" t="n">
        <f aca="false">'Смета Внутр'!I485</f>
        <v>0</v>
      </c>
      <c r="J478" s="933" t="n">
        <f aca="false">'Смета Внутр'!I485</f>
        <v>0</v>
      </c>
    </row>
    <row r="479" customFormat="false" ht="15" hidden="false" customHeight="true" outlineLevel="0" collapsed="false">
      <c r="B479" s="2315" t="str">
        <f aca="false">'Смета Внутр'!B486</f>
        <v>Саморезы 3,5 x 45</v>
      </c>
      <c r="C479" s="2315" t="str">
        <f aca="false">'Смета Внутр'!C486</f>
        <v>шт.</v>
      </c>
      <c r="D479" s="2315" t="n">
        <f aca="false">'Смета Внутр'!D486</f>
        <v>0</v>
      </c>
      <c r="E479" s="2315" t="n">
        <f aca="false">'Смета Внутр'!E486</f>
        <v>0.25</v>
      </c>
      <c r="F479" s="2315" t="n">
        <f aca="false">'Смета Внутр'!F486</f>
        <v>0</v>
      </c>
      <c r="G479" s="1004" t="n">
        <f aca="false">IF(E479&gt;F479,E479,F479)</f>
        <v>0.25</v>
      </c>
      <c r="H479" s="2315" t="n">
        <f aca="false">'Смета Внутр'!H486</f>
        <v>0</v>
      </c>
      <c r="I479" s="2315" t="n">
        <f aca="false">'Смета Внутр'!I486</f>
        <v>0</v>
      </c>
      <c r="J479" s="933" t="n">
        <f aca="false">'Смета Внутр'!I486</f>
        <v>0</v>
      </c>
    </row>
    <row r="480" customFormat="false" ht="15" hidden="false" customHeight="true" outlineLevel="0" collapsed="false">
      <c r="B480" s="2315" t="str">
        <f aca="false">'Смета Внутр'!B487</f>
        <v>нет</v>
      </c>
      <c r="C480" s="2315" t="str">
        <f aca="false">'Смета Внутр'!C487</f>
        <v>м.п.</v>
      </c>
      <c r="D480" s="2315" t="n">
        <f aca="false">'Смета Внутр'!D487</f>
        <v>192</v>
      </c>
      <c r="E480" s="2315" t="n">
        <f aca="false">'Смета Внутр'!E487</f>
        <v>0</v>
      </c>
      <c r="F480" s="2315" t="n">
        <f aca="false">'Смета Внутр'!F487</f>
        <v>0</v>
      </c>
      <c r="G480" s="1004" t="n">
        <f aca="false">IF(E480&gt;F480,E480,F480)</f>
        <v>0</v>
      </c>
      <c r="H480" s="2315" t="n">
        <f aca="false">'Смета Внутр'!H487</f>
        <v>0</v>
      </c>
      <c r="I480" s="2315" t="n">
        <f aca="false">'Смета Внутр'!I487</f>
        <v>0</v>
      </c>
      <c r="J480" s="933" t="n">
        <f aca="false">'Смета Внутр'!I487</f>
        <v>0</v>
      </c>
    </row>
    <row r="481" customFormat="false" ht="15" hidden="false" customHeight="true" outlineLevel="0" collapsed="false">
      <c r="B481" s="2315" t="str">
        <f aca="false">'Смета Внутр'!B488</f>
        <v>нет</v>
      </c>
      <c r="C481" s="2315" t="str">
        <f aca="false">'Смета Внутр'!C488</f>
        <v>м.п.</v>
      </c>
      <c r="D481" s="2315" t="n">
        <f aca="false">'Смета Внутр'!D488</f>
        <v>192</v>
      </c>
      <c r="E481" s="2315" t="n">
        <f aca="false">'Смета Внутр'!E488</f>
        <v>0</v>
      </c>
      <c r="F481" s="2315" t="n">
        <f aca="false">'Смета Внутр'!F488</f>
        <v>0</v>
      </c>
      <c r="G481" s="1004" t="n">
        <f aca="false">IF(E481&gt;F481,E481,F481)</f>
        <v>0</v>
      </c>
      <c r="H481" s="2315" t="n">
        <f aca="false">'Смета Внутр'!H488</f>
        <v>0</v>
      </c>
      <c r="I481" s="2315" t="n">
        <f aca="false">'Смета Внутр'!I488</f>
        <v>0</v>
      </c>
      <c r="J481" s="933" t="n">
        <f aca="false">'Смета Внутр'!I488</f>
        <v>0</v>
      </c>
    </row>
    <row r="482" customFormat="false" ht="15" hidden="false" customHeight="true" outlineLevel="0" collapsed="false">
      <c r="B482" s="2315" t="n">
        <f aca="false">'Смета Внутр'!B489</f>
        <v>0</v>
      </c>
      <c r="C482" s="2315" t="str">
        <f aca="false">'Смета Внутр'!C489</f>
        <v>шт.</v>
      </c>
      <c r="D482" s="2315" t="n">
        <f aca="false">'Смета Внутр'!D489</f>
        <v>384</v>
      </c>
      <c r="E482" s="2315" t="n">
        <f aca="false">'Смета Внутр'!E489</f>
        <v>0</v>
      </c>
      <c r="F482" s="2315" t="n">
        <f aca="false">'Смета Внутр'!F489</f>
        <v>0</v>
      </c>
      <c r="G482" s="1004" t="n">
        <f aca="false">IF(E482&gt;F482,E482,F482)</f>
        <v>0</v>
      </c>
      <c r="H482" s="2315" t="n">
        <f aca="false">'Смета Внутр'!H489</f>
        <v>0</v>
      </c>
      <c r="I482" s="2315" t="n">
        <f aca="false">'Смета Внутр'!I489</f>
        <v>0</v>
      </c>
      <c r="J482" s="933" t="n">
        <f aca="false">'Смета Внутр'!I489</f>
        <v>0</v>
      </c>
    </row>
    <row r="483" customFormat="false" ht="15" hidden="false" customHeight="true" outlineLevel="0" collapsed="false">
      <c r="B483" s="2315" t="str">
        <f aca="false">'Смета Внутр'!B490</f>
        <v>Кровельный саморез</v>
      </c>
      <c r="C483" s="2315" t="str">
        <f aca="false">'Смета Внутр'!C490</f>
        <v>шт.</v>
      </c>
      <c r="D483" s="2315" t="n">
        <f aca="false">'Смета Внутр'!D490</f>
        <v>0</v>
      </c>
      <c r="E483" s="2315" t="n">
        <f aca="false">'Смета Внутр'!E490</f>
        <v>2</v>
      </c>
      <c r="F483" s="2315" t="n">
        <f aca="false">'Смета Внутр'!F490</f>
        <v>0</v>
      </c>
      <c r="G483" s="1004" t="n">
        <f aca="false">IF(E483&gt;F483,E483,F483)</f>
        <v>2</v>
      </c>
      <c r="H483" s="2315" t="n">
        <f aca="false">'Смета Внутр'!H490</f>
        <v>0</v>
      </c>
      <c r="I483" s="2315" t="n">
        <f aca="false">'Смета Внутр'!I490</f>
        <v>0</v>
      </c>
      <c r="J483" s="933" t="n">
        <f aca="false">'Смета Внутр'!I490</f>
        <v>0</v>
      </c>
    </row>
    <row r="484" customFormat="false" ht="15" hidden="false" customHeight="true" outlineLevel="0" collapsed="false">
      <c r="B484" s="2315" t="str">
        <f aca="false">'Смета Внутр'!B491</f>
        <v>нет</v>
      </c>
      <c r="C484" s="2315" t="str">
        <f aca="false">'Смета Внутр'!C491</f>
        <v>м.п.</v>
      </c>
      <c r="D484" s="2315" t="n">
        <f aca="false">'Смета Внутр'!D491</f>
        <v>192</v>
      </c>
      <c r="E484" s="2315" t="n">
        <f aca="false">'Смета Внутр'!E491</f>
        <v>0</v>
      </c>
      <c r="F484" s="2315" t="n">
        <f aca="false">'Смета Внутр'!F491</f>
        <v>0</v>
      </c>
      <c r="G484" s="1004" t="n">
        <f aca="false">IF(E484&gt;F484,E484,F484)</f>
        <v>0</v>
      </c>
      <c r="H484" s="2315" t="n">
        <f aca="false">'Смета Внутр'!H491</f>
        <v>0</v>
      </c>
      <c r="I484" s="2315" t="n">
        <f aca="false">'Смета Внутр'!I491</f>
        <v>0</v>
      </c>
      <c r="J484" s="933" t="n">
        <f aca="false">'Смета Внутр'!I491</f>
        <v>0</v>
      </c>
    </row>
    <row r="485" customFormat="false" ht="15" hidden="false" customHeight="true" outlineLevel="0" collapsed="false">
      <c r="B485" s="2315" t="str">
        <f aca="false">'Смета Внутр'!B492</f>
        <v>нет</v>
      </c>
      <c r="C485" s="2315" t="str">
        <f aca="false">'Смета Внутр'!C492</f>
        <v>м.п.</v>
      </c>
      <c r="D485" s="2315" t="n">
        <f aca="false">'Смета Внутр'!D492</f>
        <v>110</v>
      </c>
      <c r="E485" s="2315" t="n">
        <f aca="false">'Смета Внутр'!E492</f>
        <v>0</v>
      </c>
      <c r="F485" s="2315" t="n">
        <f aca="false">'Смета Внутр'!F492</f>
        <v>0</v>
      </c>
      <c r="G485" s="1004" t="n">
        <f aca="false">IF(E485&gt;F485,E485,F485)</f>
        <v>0</v>
      </c>
      <c r="H485" s="2315" t="n">
        <f aca="false">'Смета Внутр'!H492</f>
        <v>0</v>
      </c>
      <c r="I485" s="2315" t="n">
        <f aca="false">'Смета Внутр'!I492</f>
        <v>0</v>
      </c>
      <c r="J485" s="933" t="n">
        <f aca="false">'Смета Внутр'!I492</f>
        <v>0</v>
      </c>
    </row>
    <row r="486" customFormat="false" ht="15" hidden="false" customHeight="true" outlineLevel="0" collapsed="false">
      <c r="B486" s="2315" t="n">
        <f aca="false">'Смета Внутр'!B493</f>
        <v>0</v>
      </c>
      <c r="C486" s="2315" t="str">
        <f aca="false">'Смета Внутр'!C493</f>
        <v>шт.</v>
      </c>
      <c r="D486" s="2315" t="n">
        <f aca="false">'Смета Внутр'!D493</f>
        <v>384</v>
      </c>
      <c r="E486" s="2315" t="n">
        <f aca="false">'Смета Внутр'!E493</f>
        <v>0</v>
      </c>
      <c r="F486" s="2315" t="n">
        <f aca="false">'Смета Внутр'!F493</f>
        <v>0</v>
      </c>
      <c r="G486" s="1004" t="n">
        <f aca="false">IF(E486&gt;F486,E486,F486)</f>
        <v>0</v>
      </c>
      <c r="H486" s="2315" t="n">
        <f aca="false">'Смета Внутр'!H493</f>
        <v>0</v>
      </c>
      <c r="I486" s="2315" t="n">
        <f aca="false">'Смета Внутр'!I493</f>
        <v>0</v>
      </c>
      <c r="J486" s="933" t="n">
        <f aca="false">'Смета Внутр'!I493</f>
        <v>0</v>
      </c>
    </row>
    <row r="487" customFormat="false" ht="15" hidden="false" customHeight="true" outlineLevel="0" collapsed="false">
      <c r="B487" s="2315" t="str">
        <f aca="false">'Смета Внутр'!B494</f>
        <v>Кровельный саморез</v>
      </c>
      <c r="C487" s="2315" t="str">
        <f aca="false">'Смета Внутр'!C494</f>
        <v>шт.</v>
      </c>
      <c r="D487" s="2315" t="n">
        <f aca="false">'Смета Внутр'!D494</f>
        <v>0</v>
      </c>
      <c r="E487" s="2315" t="n">
        <f aca="false">'Смета Внутр'!E494</f>
        <v>2</v>
      </c>
      <c r="F487" s="2315" t="n">
        <f aca="false">'Смета Внутр'!F494</f>
        <v>0</v>
      </c>
      <c r="G487" s="1004" t="n">
        <f aca="false">IF(E487&gt;F487,E487,F487)</f>
        <v>2</v>
      </c>
      <c r="H487" s="2315" t="n">
        <f aca="false">'Смета Внутр'!H494</f>
        <v>0</v>
      </c>
      <c r="I487" s="2315" t="n">
        <f aca="false">'Смета Внутр'!I494</f>
        <v>0</v>
      </c>
      <c r="J487" s="933" t="n">
        <f aca="false">'Смета Внутр'!I494</f>
        <v>0</v>
      </c>
    </row>
    <row r="488" customFormat="false" ht="15" hidden="false" customHeight="true" outlineLevel="0" collapsed="false">
      <c r="B488" s="2315" t="str">
        <f aca="false">'Смета Внутр'!B495</f>
        <v>Саморезы 3,5 x 25</v>
      </c>
      <c r="C488" s="2315" t="str">
        <f aca="false">'Смета Внутр'!C495</f>
        <v>шт.</v>
      </c>
      <c r="D488" s="2315" t="n">
        <f aca="false">'Смета Внутр'!D495</f>
        <v>0</v>
      </c>
      <c r="E488" s="2315" t="n">
        <f aca="false">'Смета Внутр'!E495</f>
        <v>0.2</v>
      </c>
      <c r="F488" s="2315" t="n">
        <f aca="false">'Смета Внутр'!F495</f>
        <v>0</v>
      </c>
      <c r="G488" s="1004" t="n">
        <f aca="false">IF(E488&gt;F488,E488,F488)</f>
        <v>0.2</v>
      </c>
      <c r="H488" s="2315" t="n">
        <f aca="false">'Смета Внутр'!H495</f>
        <v>0</v>
      </c>
      <c r="I488" s="2315" t="n">
        <f aca="false">'Смета Внутр'!I495</f>
        <v>0</v>
      </c>
      <c r="J488" s="933" t="n">
        <f aca="false">'Смета Внутр'!I495</f>
        <v>0</v>
      </c>
    </row>
    <row r="489" customFormat="false" ht="15" hidden="false" customHeight="true" outlineLevel="0" collapsed="false">
      <c r="B489" s="2315" t="str">
        <f aca="false">'Смета Внутр'!B496</f>
        <v>Саморезы 3,5 x 25</v>
      </c>
      <c r="C489" s="2315" t="str">
        <f aca="false">'Смета Внутр'!C496</f>
        <v>шт.</v>
      </c>
      <c r="D489" s="2315" t="n">
        <f aca="false">'Смета Внутр'!D496</f>
        <v>1200</v>
      </c>
      <c r="E489" s="2315" t="n">
        <f aca="false">'Смета Внутр'!E496</f>
        <v>0.2</v>
      </c>
      <c r="F489" s="2315" t="n">
        <f aca="false">'Смета Внутр'!F496</f>
        <v>0</v>
      </c>
      <c r="G489" s="1004" t="n">
        <f aca="false">IF(E489&gt;F489,E489,F489)</f>
        <v>0.2</v>
      </c>
      <c r="H489" s="2315" t="n">
        <f aca="false">'Смета Внутр'!H496</f>
        <v>0</v>
      </c>
      <c r="I489" s="2315" t="n">
        <f aca="false">'Смета Внутр'!I496</f>
        <v>0</v>
      </c>
      <c r="J489" s="933" t="n">
        <f aca="false">'Смета Внутр'!I496</f>
        <v>0</v>
      </c>
    </row>
    <row r="490" customFormat="false" ht="15" hidden="false" customHeight="true" outlineLevel="0" collapsed="false">
      <c r="B490" s="2315" t="str">
        <f aca="false">'Смета Внутр'!B497</f>
        <v>ГПС 120х50-1,5</v>
      </c>
      <c r="C490" s="2315" t="str">
        <f aca="false">'Смета Внутр'!C497</f>
        <v>м3</v>
      </c>
      <c r="D490" s="2315" t="n">
        <f aca="false">'Смета Внутр'!D497</f>
        <v>0</v>
      </c>
      <c r="E490" s="2315" t="n">
        <f aca="false">'Смета Внутр'!E497</f>
        <v>224</v>
      </c>
      <c r="F490" s="2315" t="n">
        <f aca="false">'Смета Внутр'!F497</f>
        <v>0</v>
      </c>
      <c r="G490" s="1004" t="n">
        <f aca="false">IF(E490&gt;F490,E490,F490)</f>
        <v>224</v>
      </c>
      <c r="H490" s="2315" t="n">
        <f aca="false">'Смета Внутр'!H497</f>
        <v>0</v>
      </c>
      <c r="I490" s="2315" t="n">
        <f aca="false">'Смета Внутр'!I497</f>
        <v>0</v>
      </c>
      <c r="J490" s="933" t="n">
        <f aca="false">'Смета Внутр'!I497</f>
        <v>0</v>
      </c>
    </row>
    <row r="491" customFormat="false" ht="15" hidden="false" customHeight="true" outlineLevel="0" collapsed="false">
      <c r="B491" s="2315" t="str">
        <f aca="false">'Смета Внутр'!B498</f>
        <v>ГПС 170х50-2,0</v>
      </c>
      <c r="C491" s="2315" t="str">
        <f aca="false">'Смета Внутр'!C498</f>
        <v>м3</v>
      </c>
      <c r="D491" s="2315" t="n">
        <f aca="false">'Смета Внутр'!D498</f>
        <v>0</v>
      </c>
      <c r="E491" s="2315" t="n">
        <f aca="false">'Смета Внутр'!E498</f>
        <v>358</v>
      </c>
      <c r="F491" s="2315" t="n">
        <f aca="false">'Смета Внутр'!F498</f>
        <v>0</v>
      </c>
      <c r="G491" s="1004" t="n">
        <f aca="false">IF(E491&gt;F491,E491,F491)</f>
        <v>358</v>
      </c>
      <c r="H491" s="2315" t="n">
        <f aca="false">'Смета Внутр'!H498</f>
        <v>0</v>
      </c>
      <c r="I491" s="2315" t="n">
        <f aca="false">'Смета Внутр'!I498</f>
        <v>0</v>
      </c>
      <c r="J491" s="933" t="n">
        <f aca="false">'Смета Внутр'!I498</f>
        <v>0</v>
      </c>
    </row>
    <row r="492" customFormat="false" ht="15" hidden="false" customHeight="true" outlineLevel="0" collapsed="false">
      <c r="B492" s="2315" t="str">
        <f aca="false">'Смета Внутр'!B499</f>
        <v>Лист ГВЛВ 2500х1200х10 мм</v>
      </c>
      <c r="C492" s="2315" t="str">
        <f aca="false">'Смета Внутр'!C499</f>
        <v>м2</v>
      </c>
      <c r="D492" s="2315" t="n">
        <f aca="false">'Смета Внутр'!D499</f>
        <v>100</v>
      </c>
      <c r="E492" s="2315" t="n">
        <f aca="false">'Смета Внутр'!E499</f>
        <v>150</v>
      </c>
      <c r="F492" s="2315" t="n">
        <f aca="false">'Смета Внутр'!F499</f>
        <v>0</v>
      </c>
      <c r="G492" s="1004" t="n">
        <f aca="false">IF(E492&gt;F492,E492,F492)</f>
        <v>150</v>
      </c>
      <c r="H492" s="2315" t="n">
        <f aca="false">'Смета Внутр'!H499</f>
        <v>0</v>
      </c>
      <c r="I492" s="2315" t="n">
        <f aca="false">'Смета Внутр'!I499</f>
        <v>0</v>
      </c>
      <c r="J492" s="933" t="n">
        <f aca="false">'Смета Внутр'!I499</f>
        <v>0</v>
      </c>
    </row>
    <row r="493" customFormat="false" ht="15" hidden="false" customHeight="true" outlineLevel="0" collapsed="false">
      <c r="B493" s="2315" t="str">
        <f aca="false">'Смета Внутр'!B500</f>
        <v>нет</v>
      </c>
      <c r="C493" s="2315" t="str">
        <f aca="false">'Смета Внутр'!C500</f>
        <v>м.п.</v>
      </c>
      <c r="D493" s="2315" t="n">
        <f aca="false">'Смета Внутр'!D500</f>
        <v>0</v>
      </c>
      <c r="E493" s="2315" t="n">
        <f aca="false">'Смета Внутр'!E500</f>
        <v>0</v>
      </c>
      <c r="F493" s="2315" t="n">
        <f aca="false">'Смета Внутр'!F500</f>
        <v>0</v>
      </c>
      <c r="G493" s="1004" t="n">
        <f aca="false">IF(E493&gt;F493,E493,F493)</f>
        <v>0</v>
      </c>
      <c r="H493" s="2315" t="n">
        <f aca="false">'Смета Внутр'!H500</f>
        <v>0</v>
      </c>
      <c r="I493" s="2315" t="n">
        <f aca="false">'Смета Внутр'!I500</f>
        <v>0</v>
      </c>
      <c r="J493" s="933" t="n">
        <f aca="false">'Смета Внутр'!I500</f>
        <v>0</v>
      </c>
    </row>
    <row r="494" customFormat="false" ht="15" hidden="false" customHeight="true" outlineLevel="0" collapsed="false">
      <c r="B494" s="2315" t="str">
        <f aca="false">'Смета Внутр'!B501</f>
        <v>Нет</v>
      </c>
      <c r="C494" s="2315" t="str">
        <f aca="false">'Смета Внутр'!C501</f>
        <v>м3</v>
      </c>
      <c r="D494" s="2315" t="n">
        <f aca="false">'Смета Внутр'!D501</f>
        <v>0</v>
      </c>
      <c r="E494" s="2315" t="n">
        <f aca="false">'Смета Внутр'!E501</f>
        <v>0</v>
      </c>
      <c r="F494" s="2315" t="n">
        <f aca="false">'Смета Внутр'!F501</f>
        <v>0</v>
      </c>
      <c r="G494" s="1004" t="n">
        <f aca="false">IF(E494&gt;F494,E494,F494)</f>
        <v>0</v>
      </c>
      <c r="H494" s="2315" t="n">
        <f aca="false">'Смета Внутр'!H501</f>
        <v>0</v>
      </c>
      <c r="I494" s="2315" t="n">
        <f aca="false">'Смета Внутр'!I501</f>
        <v>0</v>
      </c>
      <c r="J494" s="933" t="n">
        <f aca="false">'Смета Внутр'!I501</f>
        <v>0</v>
      </c>
    </row>
    <row r="495" customFormat="false" ht="15" hidden="false" customHeight="true" outlineLevel="0" collapsed="false">
      <c r="B495" s="2315" t="str">
        <f aca="false">'Смета Внутр'!B502</f>
        <v>Нет</v>
      </c>
      <c r="C495" s="2315" t="str">
        <f aca="false">'Смета Внутр'!C502</f>
        <v>м3</v>
      </c>
      <c r="D495" s="2315" t="n">
        <f aca="false">'Смета Внутр'!D502</f>
        <v>0</v>
      </c>
      <c r="E495" s="2315" t="n">
        <f aca="false">'Смета Внутр'!E502</f>
        <v>0</v>
      </c>
      <c r="F495" s="2315" t="n">
        <f aca="false">'Смета Внутр'!F502</f>
        <v>0</v>
      </c>
      <c r="G495" s="1004" t="n">
        <f aca="false">IF(E495&gt;F495,E495,F495)</f>
        <v>0</v>
      </c>
      <c r="H495" s="2315" t="n">
        <f aca="false">'Смета Внутр'!H502</f>
        <v>0</v>
      </c>
      <c r="I495" s="2315" t="n">
        <f aca="false">'Смета Внутр'!I502</f>
        <v>0</v>
      </c>
      <c r="J495" s="933" t="n">
        <f aca="false">'Смета Внутр'!I502</f>
        <v>0</v>
      </c>
    </row>
    <row r="496" customFormat="false" ht="15" hidden="false" customHeight="true" outlineLevel="0" collapsed="false">
      <c r="B496" s="2315" t="str">
        <f aca="false">'Смета Внутр'!B503</f>
        <v>нет</v>
      </c>
      <c r="C496" s="2315" t="str">
        <f aca="false">'Смета Внутр'!C503</f>
        <v>м2</v>
      </c>
      <c r="D496" s="2315" t="n">
        <f aca="false">'Смета Внутр'!D503</f>
        <v>0</v>
      </c>
      <c r="E496" s="2315" t="n">
        <f aca="false">'Смета Внутр'!E503</f>
        <v>0</v>
      </c>
      <c r="F496" s="2315" t="n">
        <f aca="false">'Смета Внутр'!F503</f>
        <v>0</v>
      </c>
      <c r="G496" s="1004" t="n">
        <f aca="false">IF(E496&gt;F496,E496,F496)</f>
        <v>0</v>
      </c>
      <c r="H496" s="2315" t="n">
        <f aca="false">'Смета Внутр'!H503</f>
        <v>0</v>
      </c>
      <c r="I496" s="2315" t="n">
        <f aca="false">'Смета Внутр'!I503</f>
        <v>0</v>
      </c>
      <c r="J496" s="933" t="n">
        <f aca="false">'Смета Внутр'!I503</f>
        <v>0</v>
      </c>
    </row>
    <row r="497" customFormat="false" ht="15" hidden="false" customHeight="true" outlineLevel="0" collapsed="false">
      <c r="B497" s="2315" t="str">
        <f aca="false">'Смета Внутр'!B504</f>
        <v>нет</v>
      </c>
      <c r="C497" s="2315" t="str">
        <f aca="false">'Смета Внутр'!C504</f>
        <v>м2</v>
      </c>
      <c r="D497" s="2315" t="n">
        <f aca="false">'Смета Внутр'!D504</f>
        <v>0</v>
      </c>
      <c r="E497" s="2315" t="n">
        <f aca="false">'Смета Внутр'!E504</f>
        <v>0</v>
      </c>
      <c r="F497" s="2315" t="n">
        <f aca="false">'Смета Внутр'!F504</f>
        <v>0</v>
      </c>
      <c r="G497" s="1004" t="n">
        <f aca="false">IF(E497&gt;F497,E497,F497)</f>
        <v>0</v>
      </c>
      <c r="H497" s="2315" t="n">
        <f aca="false">'Смета Внутр'!H504</f>
        <v>0</v>
      </c>
      <c r="I497" s="2315" t="n">
        <f aca="false">'Смета Внутр'!I504</f>
        <v>0</v>
      </c>
      <c r="J497" s="933" t="n">
        <f aca="false">'Смета Внутр'!I504</f>
        <v>0</v>
      </c>
    </row>
    <row r="498" customFormat="false" ht="15" hidden="false" customHeight="true" outlineLevel="0" collapsed="false">
      <c r="B498" s="2315" t="str">
        <f aca="false">'Смета Внутр'!B505</f>
        <v>нет</v>
      </c>
      <c r="C498" s="2315" t="str">
        <f aca="false">'Смета Внутр'!C505</f>
        <v>м2</v>
      </c>
      <c r="D498" s="2315" t="n">
        <f aca="false">'Смета Внутр'!D505</f>
        <v>0</v>
      </c>
      <c r="E498" s="2315" t="n">
        <f aca="false">'Смета Внутр'!E505</f>
        <v>0</v>
      </c>
      <c r="F498" s="2315" t="n">
        <f aca="false">'Смета Внутр'!F505</f>
        <v>0</v>
      </c>
      <c r="G498" s="1004" t="n">
        <f aca="false">IF(E498&gt;F498,E498,F498)</f>
        <v>0</v>
      </c>
      <c r="H498" s="2315" t="n">
        <f aca="false">'Смета Внутр'!H505</f>
        <v>0</v>
      </c>
      <c r="I498" s="2315" t="n">
        <f aca="false">'Смета Внутр'!I505</f>
        <v>0</v>
      </c>
      <c r="J498" s="933" t="n">
        <f aca="false">'Смета Внутр'!I505</f>
        <v>0</v>
      </c>
    </row>
    <row r="499" customFormat="false" ht="15" hidden="false" customHeight="true" outlineLevel="0" collapsed="false">
      <c r="B499" s="2315" t="str">
        <f aca="false">'Смета Внутр'!B506</f>
        <v>Саморезы 3,5 x 25</v>
      </c>
      <c r="C499" s="2315" t="str">
        <f aca="false">'Смета Внутр'!C506</f>
        <v>шт</v>
      </c>
      <c r="D499" s="2315" t="n">
        <f aca="false">'Смета Внутр'!D506</f>
        <v>0</v>
      </c>
      <c r="E499" s="2315" t="n">
        <f aca="false">'Смета Внутр'!E506</f>
        <v>0.2</v>
      </c>
      <c r="F499" s="2315" t="n">
        <f aca="false">'Смета Внутр'!F506</f>
        <v>0</v>
      </c>
      <c r="G499" s="1004" t="n">
        <f aca="false">IF(E499&gt;F499,E499,F499)</f>
        <v>0.2</v>
      </c>
      <c r="H499" s="2315" t="n">
        <f aca="false">'Смета Внутр'!H506</f>
        <v>0</v>
      </c>
      <c r="I499" s="2315" t="n">
        <f aca="false">'Смета Внутр'!I506</f>
        <v>0</v>
      </c>
      <c r="J499" s="933" t="n">
        <f aca="false">'Смета Внутр'!I506</f>
        <v>0</v>
      </c>
    </row>
    <row r="500" customFormat="false" ht="15" hidden="false" customHeight="true" outlineLevel="0" collapsed="false">
      <c r="B500" s="2315" t="str">
        <f aca="false">'Смета Внутр'!B507</f>
        <v>Гвозди ершоные 2,8 х 90</v>
      </c>
      <c r="C500" s="2315" t="str">
        <f aca="false">'Смета Внутр'!C507</f>
        <v>кг</v>
      </c>
      <c r="D500" s="2315" t="n">
        <f aca="false">'Смета Внутр'!D507</f>
        <v>0</v>
      </c>
      <c r="E500" s="2315" t="n">
        <f aca="false">'Смета Внутр'!E507</f>
        <v>76.49</v>
      </c>
      <c r="F500" s="2315" t="n">
        <f aca="false">'Смета Внутр'!F507</f>
        <v>0</v>
      </c>
      <c r="G500" s="1004" t="n">
        <f aca="false">IF(E500&gt;F500,E500,F500)</f>
        <v>76.49</v>
      </c>
      <c r="H500" s="2315" t="n">
        <f aca="false">'Смета Внутр'!H507</f>
        <v>0</v>
      </c>
      <c r="I500" s="2315" t="n">
        <f aca="false">'Смета Внутр'!I507</f>
        <v>0</v>
      </c>
      <c r="J500" s="933" t="n">
        <f aca="false">'Смета Внутр'!I507</f>
        <v>0</v>
      </c>
    </row>
    <row r="501" customFormat="false" ht="15" hidden="false" customHeight="true" outlineLevel="0" collapsed="false">
      <c r="B501" s="2315" t="str">
        <f aca="false">'Смета Внутр'!B508</f>
        <v>Гвозди ершоные 3,4 x 60</v>
      </c>
      <c r="C501" s="2315" t="str">
        <f aca="false">'Смета Внутр'!C508</f>
        <v>кг</v>
      </c>
      <c r="D501" s="2315" t="n">
        <f aca="false">'Смета Внутр'!D508</f>
        <v>0</v>
      </c>
      <c r="E501" s="2315" t="n">
        <f aca="false">'Смета Внутр'!E508</f>
        <v>75.51</v>
      </c>
      <c r="F501" s="2315" t="n">
        <f aca="false">'Смета Внутр'!F508</f>
        <v>0</v>
      </c>
      <c r="G501" s="1004" t="n">
        <f aca="false">IF(E501&gt;F501,E501,F501)</f>
        <v>75.51</v>
      </c>
      <c r="H501" s="2315" t="n">
        <f aca="false">'Смета Внутр'!H508</f>
        <v>0</v>
      </c>
      <c r="I501" s="2315" t="n">
        <f aca="false">'Смета Внутр'!I508</f>
        <v>0</v>
      </c>
      <c r="J501" s="933" t="n">
        <f aca="false">'Смета Внутр'!I508</f>
        <v>0</v>
      </c>
    </row>
    <row r="502" customFormat="false" ht="15" hidden="false" customHeight="true" outlineLevel="0" collapsed="false">
      <c r="B502" s="2315" t="str">
        <f aca="false">'Смета Внутр'!B509</f>
        <v>нет ветроизоляции</v>
      </c>
      <c r="C502" s="2315" t="str">
        <f aca="false">'Смета Внутр'!C509</f>
        <v>м2</v>
      </c>
      <c r="D502" s="2315" t="n">
        <f aca="false">'Смета Внутр'!D509</f>
        <v>0</v>
      </c>
      <c r="E502" s="2315" t="n">
        <f aca="false">'Смета Внутр'!E509</f>
        <v>0</v>
      </c>
      <c r="F502" s="2315" t="n">
        <f aca="false">'Смета Внутр'!F509</f>
        <v>0</v>
      </c>
      <c r="G502" s="1004" t="n">
        <f aca="false">IF(E502&gt;F502,E502,F502)</f>
        <v>0</v>
      </c>
      <c r="H502" s="2315" t="n">
        <f aca="false">'Смета Внутр'!H509</f>
        <v>0</v>
      </c>
      <c r="I502" s="2315" t="n">
        <f aca="false">'Смета Внутр'!I509</f>
        <v>0</v>
      </c>
      <c r="J502" s="933" t="n">
        <f aca="false">'Смета Внутр'!I509</f>
        <v>0</v>
      </c>
    </row>
    <row r="503" customFormat="false" ht="15" hidden="false" customHeight="true" outlineLevel="0" collapsed="false">
      <c r="B503" s="2315" t="str">
        <f aca="false">'Смета Внутр'!B510</f>
        <v>нет пароизоляции</v>
      </c>
      <c r="C503" s="2315" t="str">
        <f aca="false">'Смета Внутр'!C510</f>
        <v>м2</v>
      </c>
      <c r="D503" s="2315" t="n">
        <f aca="false">'Смета Внутр'!D510</f>
        <v>0</v>
      </c>
      <c r="E503" s="2315" t="n">
        <f aca="false">'Смета Внутр'!E510</f>
        <v>0</v>
      </c>
      <c r="F503" s="2315" t="n">
        <f aca="false">'Смета Внутр'!F510</f>
        <v>0</v>
      </c>
      <c r="G503" s="1004" t="n">
        <f aca="false">IF(E503&gt;F503,E503,F503)</f>
        <v>0</v>
      </c>
      <c r="H503" s="2315" t="n">
        <f aca="false">'Смета Внутр'!H510</f>
        <v>0</v>
      </c>
      <c r="I503" s="2315" t="n">
        <f aca="false">'Смета Внутр'!I510</f>
        <v>0</v>
      </c>
      <c r="J503" s="933" t="n">
        <f aca="false">'Смета Внутр'!I510</f>
        <v>0</v>
      </c>
    </row>
    <row r="504" customFormat="false" ht="15" hidden="false" customHeight="true" outlineLevel="0" collapsed="false">
      <c r="B504" s="2315" t="str">
        <f aca="false">'Смета Внутр'!B511</f>
        <v>Скобы для степлера, 1000шт/уп</v>
      </c>
      <c r="C504" s="2315" t="str">
        <f aca="false">'Смета Внутр'!C511</f>
        <v>уп</v>
      </c>
      <c r="D504" s="2315" t="n">
        <f aca="false">'Смета Внутр'!D511</f>
        <v>5</v>
      </c>
      <c r="E504" s="2315" t="n">
        <f aca="false">'Смета Внутр'!E511</f>
        <v>100</v>
      </c>
      <c r="F504" s="2315" t="n">
        <f aca="false">'Смета Внутр'!F511</f>
        <v>0</v>
      </c>
      <c r="G504" s="1004" t="n">
        <f aca="false">IF(E504&gt;F504,E504,F504)</f>
        <v>100</v>
      </c>
      <c r="H504" s="2315" t="n">
        <f aca="false">'Смета Внутр'!H511</f>
        <v>0</v>
      </c>
      <c r="I504" s="2315" t="n">
        <f aca="false">'Смета Внутр'!I511</f>
        <v>0</v>
      </c>
      <c r="J504" s="933" t="n">
        <f aca="false">'Смета Внутр'!I511</f>
        <v>0</v>
      </c>
    </row>
    <row r="505" customFormat="false" ht="15" hidden="false" customHeight="true" outlineLevel="0" collapsed="false">
      <c r="B505" s="2927" t="str">
        <f aca="false">'Смета Внутр'!B512</f>
        <v>Итого материалы</v>
      </c>
      <c r="C505" s="2927"/>
      <c r="D505" s="2927"/>
      <c r="E505" s="2927"/>
      <c r="F505" s="2927"/>
      <c r="G505" s="2927"/>
      <c r="H505" s="2315"/>
      <c r="I505" s="2315"/>
      <c r="J505" s="933" t="n">
        <f aca="false">'Смета Внутр'!I512</f>
        <v>0</v>
      </c>
    </row>
    <row r="506" customFormat="false" ht="15" hidden="false" customHeight="true" outlineLevel="0" collapsed="false">
      <c r="B506" s="2931" t="str">
        <f aca="false">'Смета Внутр'!B513</f>
        <v>Работы</v>
      </c>
      <c r="C506" s="2931"/>
      <c r="D506" s="2931"/>
      <c r="E506" s="2931"/>
      <c r="F506" s="2931"/>
      <c r="G506" s="2931"/>
      <c r="H506" s="2931"/>
      <c r="I506" s="2931"/>
      <c r="J506" s="2931"/>
    </row>
    <row r="507" customFormat="false" ht="15" hidden="false" customHeight="true" outlineLevel="0" collapsed="false">
      <c r="B507" s="2315" t="str">
        <f aca="false">'Смета Внутр'!B514</f>
        <v>монтаж обвязки</v>
      </c>
      <c r="C507" s="2315" t="str">
        <f aca="false">'Смета Внутр'!C514</f>
        <v>м.п.</v>
      </c>
      <c r="D507" s="2315" t="n">
        <f aca="false">'Смета Внутр'!D514</f>
        <v>0</v>
      </c>
      <c r="E507" s="2315" t="n">
        <f aca="false">'Смета Внутр'!E514</f>
        <v>200</v>
      </c>
      <c r="F507" s="2315" t="n">
        <f aca="false">'Смета Внутр'!F514</f>
        <v>0</v>
      </c>
      <c r="G507" s="1004" t="n">
        <f aca="false">IF(E507&gt;F507,E507,F507)</f>
        <v>200</v>
      </c>
      <c r="H507" s="2315" t="n">
        <f aca="false">'Смета Внутр'!H514</f>
        <v>0</v>
      </c>
      <c r="I507" s="2315" t="n">
        <f aca="false">'Смета Внутр'!I514</f>
        <v>0</v>
      </c>
      <c r="J507" s="933" t="n">
        <f aca="false">'Смета Внутр'!I514</f>
        <v>0</v>
      </c>
    </row>
    <row r="508" customFormat="false" ht="15" hidden="false" customHeight="true" outlineLevel="0" collapsed="false">
      <c r="B508" s="2315" t="str">
        <f aca="false">'Смета Внутр'!B515</f>
        <v>монтаж стен каркаса</v>
      </c>
      <c r="C508" s="2315" t="str">
        <f aca="false">'Смета Внутр'!C515</f>
        <v>м2</v>
      </c>
      <c r="D508" s="2315" t="n">
        <f aca="false">'Смета Внутр'!D515</f>
        <v>0</v>
      </c>
      <c r="E508" s="2315" t="n">
        <f aca="false">'Смета Внутр'!E515</f>
        <v>400</v>
      </c>
      <c r="F508" s="2315" t="n">
        <f aca="false">'Смета Внутр'!F515</f>
        <v>0</v>
      </c>
      <c r="G508" s="1004" t="n">
        <f aca="false">IF(E508&gt;F508,E508,F508)</f>
        <v>400</v>
      </c>
      <c r="H508" s="2315" t="n">
        <f aca="false">'Смета Внутр'!H515</f>
        <v>0</v>
      </c>
      <c r="I508" s="2315" t="n">
        <f aca="false">'Смета Внутр'!I515</f>
        <v>0</v>
      </c>
      <c r="J508" s="933" t="n">
        <f aca="false">'Смета Внутр'!I515</f>
        <v>0</v>
      </c>
    </row>
    <row r="509" customFormat="false" ht="15" hidden="false" customHeight="true" outlineLevel="0" collapsed="false">
      <c r="B509" s="2315" t="str">
        <f aca="false">'Смета Внутр'!B516</f>
        <v>Монтаж несущих перегородок</v>
      </c>
      <c r="C509" s="2315" t="str">
        <f aca="false">'Смета Внутр'!C516</f>
        <v>м2</v>
      </c>
      <c r="D509" s="2315" t="n">
        <f aca="false">'Смета Внутр'!D516</f>
        <v>0</v>
      </c>
      <c r="E509" s="2315" t="n">
        <f aca="false">'Смета Внутр'!E516</f>
        <v>400</v>
      </c>
      <c r="F509" s="2315" t="n">
        <f aca="false">'Смета Внутр'!F516</f>
        <v>0</v>
      </c>
      <c r="G509" s="1004" t="n">
        <f aca="false">IF(E509&gt;F509,E509,F509)</f>
        <v>400</v>
      </c>
      <c r="H509" s="2315" t="n">
        <f aca="false">'Смета Внутр'!H516</f>
        <v>0</v>
      </c>
      <c r="I509" s="2315" t="n">
        <f aca="false">'Смета Внутр'!I516</f>
        <v>0</v>
      </c>
      <c r="J509" s="933" t="n">
        <f aca="false">'Смета Внутр'!I516</f>
        <v>0</v>
      </c>
    </row>
    <row r="510" customFormat="false" ht="15" hidden="false" customHeight="true" outlineLevel="0" collapsed="false">
      <c r="B510" s="2315" t="str">
        <f aca="false">'Смета Внутр'!B517</f>
        <v>Монтаж перегородок</v>
      </c>
      <c r="C510" s="2315" t="str">
        <f aca="false">'Смета Внутр'!C517</f>
        <v>м2</v>
      </c>
      <c r="D510" s="2315" t="n">
        <f aca="false">'Смета Внутр'!D517</f>
        <v>0</v>
      </c>
      <c r="E510" s="2315" t="n">
        <f aca="false">'Смета Внутр'!E517</f>
        <v>400</v>
      </c>
      <c r="F510" s="2315" t="n">
        <f aca="false">'Смета Внутр'!F517</f>
        <v>0</v>
      </c>
      <c r="G510" s="1004" t="n">
        <f aca="false">IF(E510&gt;F510,E510,F510)</f>
        <v>400</v>
      </c>
      <c r="H510" s="2315" t="n">
        <f aca="false">'Смета Внутр'!H517</f>
        <v>0</v>
      </c>
      <c r="I510" s="2315" t="n">
        <f aca="false">'Смета Внутр'!I517</f>
        <v>0</v>
      </c>
      <c r="J510" s="933" t="n">
        <f aca="false">'Смета Внутр'!I517</f>
        <v>0</v>
      </c>
    </row>
    <row r="511" customFormat="false" ht="15" hidden="false" customHeight="true" outlineLevel="0" collapsed="false">
      <c r="B511" s="2315" t="str">
        <f aca="false">'Смета Внутр'!B518</f>
        <v>Монтаж вентиляционного зазора</v>
      </c>
      <c r="C511" s="2315" t="str">
        <f aca="false">'Смета Внутр'!C518</f>
        <v>м2</v>
      </c>
      <c r="D511" s="2315" t="n">
        <f aca="false">'Смета Внутр'!D518</f>
        <v>0</v>
      </c>
      <c r="E511" s="2315" t="n">
        <f aca="false">'Смета Внутр'!E518</f>
        <v>80</v>
      </c>
      <c r="F511" s="2315" t="n">
        <f aca="false">'Смета Внутр'!F518</f>
        <v>0</v>
      </c>
      <c r="G511" s="1004" t="n">
        <f aca="false">IF(E511&gt;F511,E511,F511)</f>
        <v>80</v>
      </c>
      <c r="H511" s="2315" t="n">
        <f aca="false">'Смета Внутр'!H518</f>
        <v>0</v>
      </c>
      <c r="I511" s="2315" t="n">
        <f aca="false">'Смета Внутр'!I518</f>
        <v>0</v>
      </c>
      <c r="J511" s="933" t="n">
        <f aca="false">'Смета Внутр'!I518</f>
        <v>0</v>
      </c>
    </row>
    <row r="512" customFormat="false" ht="15" hidden="false" customHeight="true" outlineLevel="0" collapsed="false">
      <c r="B512" s="2315" t="str">
        <f aca="false">'Смета Внутр'!B519</f>
        <v>Монтаж технологического зазора</v>
      </c>
      <c r="C512" s="2315" t="str">
        <f aca="false">'Смета Внутр'!C519</f>
        <v>м2</v>
      </c>
      <c r="D512" s="2315" t="n">
        <f aca="false">'Смета Внутр'!D519</f>
        <v>0</v>
      </c>
      <c r="E512" s="2315" t="n">
        <f aca="false">'Смета Внутр'!E519</f>
        <v>80</v>
      </c>
      <c r="F512" s="2315" t="n">
        <f aca="false">'Смета Внутр'!F519</f>
        <v>0</v>
      </c>
      <c r="G512" s="1004" t="n">
        <f aca="false">IF(E512&gt;F512,E512,F512)</f>
        <v>80</v>
      </c>
      <c r="H512" s="2315" t="n">
        <f aca="false">'Смета Внутр'!H519</f>
        <v>0</v>
      </c>
      <c r="I512" s="2315" t="n">
        <f aca="false">'Смета Внутр'!I519</f>
        <v>0</v>
      </c>
      <c r="J512" s="933" t="n">
        <f aca="false">'Смета Внутр'!I519</f>
        <v>0</v>
      </c>
    </row>
    <row r="513" customFormat="false" ht="15" hidden="false" customHeight="true" outlineLevel="0" collapsed="false">
      <c r="B513" s="2315" t="str">
        <f aca="false">'Смета Внутр'!B520</f>
        <v>монтаж ветроизоляции стен</v>
      </c>
      <c r="C513" s="2315" t="str">
        <f aca="false">'Смета Внутр'!C520</f>
        <v>м2</v>
      </c>
      <c r="D513" s="2315" t="n">
        <f aca="false">'Смета Внутр'!D520</f>
        <v>0</v>
      </c>
      <c r="E513" s="2315" t="n">
        <f aca="false">'Смета Внутр'!E520</f>
        <v>100</v>
      </c>
      <c r="F513" s="2315" t="n">
        <f aca="false">'Смета Внутр'!F520</f>
        <v>0</v>
      </c>
      <c r="G513" s="1004" t="n">
        <f aca="false">IF(E513&gt;F513,E513,F513)</f>
        <v>100</v>
      </c>
      <c r="H513" s="2315" t="n">
        <f aca="false">'Смета Внутр'!H520</f>
        <v>0</v>
      </c>
      <c r="I513" s="2315" t="n">
        <f aca="false">'Смета Внутр'!I520</f>
        <v>0</v>
      </c>
      <c r="J513" s="933" t="n">
        <f aca="false">'Смета Внутр'!I520</f>
        <v>0</v>
      </c>
    </row>
    <row r="514" customFormat="false" ht="15" hidden="false" customHeight="true" outlineLevel="0" collapsed="false">
      <c r="B514" s="2315" t="str">
        <f aca="false">'Смета Внутр'!B521</f>
        <v>монтаж пароизоляции стен</v>
      </c>
      <c r="C514" s="2315" t="str">
        <f aca="false">'Смета Внутр'!C521</f>
        <v>м2</v>
      </c>
      <c r="D514" s="2315" t="n">
        <f aca="false">'Смета Внутр'!D521</f>
        <v>0</v>
      </c>
      <c r="E514" s="2315" t="n">
        <f aca="false">'Смета Внутр'!E521</f>
        <v>100</v>
      </c>
      <c r="F514" s="2315" t="n">
        <f aca="false">'Смета Внутр'!F521</f>
        <v>0</v>
      </c>
      <c r="G514" s="1004" t="n">
        <f aca="false">IF(E514&gt;F514,E514,F514)</f>
        <v>100</v>
      </c>
      <c r="H514" s="2315" t="n">
        <f aca="false">'Смета Внутр'!H521</f>
        <v>0</v>
      </c>
      <c r="I514" s="2315" t="n">
        <f aca="false">'Смета Внутр'!I521</f>
        <v>0</v>
      </c>
      <c r="J514" s="933" t="n">
        <f aca="false">'Смета Внутр'!I521</f>
        <v>0</v>
      </c>
    </row>
    <row r="515" customFormat="false" ht="15" hidden="false" customHeight="true" outlineLevel="0" collapsed="false">
      <c r="B515" s="2315" t="str">
        <f aca="false">'Смета Внутр'!B522</f>
        <v>монтаж osb/фанера наруж стены</v>
      </c>
      <c r="C515" s="2315" t="str">
        <f aca="false">'Смета Внутр'!C522</f>
        <v>м2</v>
      </c>
      <c r="D515" s="2315" t="n">
        <f aca="false">'Смета Внутр'!D522</f>
        <v>0</v>
      </c>
      <c r="E515" s="2315" t="n">
        <f aca="false">'Смета Внутр'!E522</f>
        <v>200</v>
      </c>
      <c r="F515" s="2315" t="n">
        <f aca="false">'Смета Внутр'!F522</f>
        <v>0</v>
      </c>
      <c r="G515" s="1004" t="n">
        <f aca="false">IF(E515&gt;F515,E515,F515)</f>
        <v>200</v>
      </c>
      <c r="H515" s="2315" t="n">
        <f aca="false">'Смета Внутр'!H522</f>
        <v>0</v>
      </c>
      <c r="I515" s="2315" t="n">
        <f aca="false">'Смета Внутр'!I522</f>
        <v>0</v>
      </c>
      <c r="J515" s="933" t="n">
        <f aca="false">'Смета Внутр'!I522</f>
        <v>0</v>
      </c>
    </row>
    <row r="516" customFormat="false" ht="15" hidden="false" customHeight="true" outlineLevel="0" collapsed="false">
      <c r="B516" s="2315" t="str">
        <f aca="false">'Смета Внутр'!B523</f>
        <v>монтаж osb/фанера потолок</v>
      </c>
      <c r="C516" s="2315" t="str">
        <f aca="false">'Смета Внутр'!C523</f>
        <v>м2</v>
      </c>
      <c r="D516" s="2315" t="n">
        <f aca="false">'Смета Внутр'!D523</f>
        <v>0</v>
      </c>
      <c r="E516" s="2315" t="n">
        <f aca="false">'Смета Внутр'!E523</f>
        <v>200</v>
      </c>
      <c r="F516" s="2315" t="n">
        <f aca="false">'Смета Внутр'!F523</f>
        <v>0</v>
      </c>
      <c r="G516" s="1004" t="n">
        <f aca="false">IF(E516&gt;F516,E516,F516)</f>
        <v>200</v>
      </c>
      <c r="H516" s="2315" t="n">
        <f aca="false">'Смета Внутр'!H523</f>
        <v>0</v>
      </c>
      <c r="I516" s="2315" t="n">
        <f aca="false">'Смета Внутр'!I523</f>
        <v>0</v>
      </c>
      <c r="J516" s="933" t="n">
        <f aca="false">'Смета Внутр'!I523</f>
        <v>0</v>
      </c>
    </row>
    <row r="517" customFormat="false" ht="15" hidden="false" customHeight="true" outlineLevel="0" collapsed="false">
      <c r="B517" s="2315" t="str">
        <f aca="false">'Смета Внутр'!B524</f>
        <v>монтаж osb/фанера перегородки</v>
      </c>
      <c r="C517" s="2315" t="str">
        <f aca="false">'Смета Внутр'!C524</f>
        <v>м2</v>
      </c>
      <c r="D517" s="2315" t="n">
        <f aca="false">'Смета Внутр'!D524</f>
        <v>0</v>
      </c>
      <c r="E517" s="2315" t="n">
        <f aca="false">'Смета Внутр'!E524</f>
        <v>200</v>
      </c>
      <c r="F517" s="2315" t="n">
        <f aca="false">'Смета Внутр'!F524</f>
        <v>0</v>
      </c>
      <c r="G517" s="1004" t="n">
        <f aca="false">IF(E517&gt;F517,E517,F517)</f>
        <v>200</v>
      </c>
      <c r="H517" s="2315" t="n">
        <f aca="false">'Смета Внутр'!H524</f>
        <v>0</v>
      </c>
      <c r="I517" s="2315" t="n">
        <f aca="false">'Смета Внутр'!I524</f>
        <v>0</v>
      </c>
      <c r="J517" s="933" t="n">
        <f aca="false">'Смета Внутр'!I524</f>
        <v>0</v>
      </c>
    </row>
    <row r="518" customFormat="false" ht="15" hidden="false" customHeight="true" outlineLevel="0" collapsed="false">
      <c r="B518" s="2315" t="str">
        <f aca="false">'Смета Внутр'!B525</f>
        <v>монтаж osb/фанера пол</v>
      </c>
      <c r="C518" s="2315" t="str">
        <f aca="false">'Смета Внутр'!C525</f>
        <v>м2</v>
      </c>
      <c r="D518" s="2315" t="n">
        <f aca="false">'Смета Внутр'!D525</f>
        <v>100</v>
      </c>
      <c r="E518" s="2315" t="n">
        <f aca="false">'Смета Внутр'!E525</f>
        <v>200</v>
      </c>
      <c r="F518" s="2315" t="n">
        <f aca="false">'Смета Внутр'!F525</f>
        <v>0</v>
      </c>
      <c r="G518" s="1004" t="n">
        <f aca="false">IF(E518&gt;F518,E518,F518)</f>
        <v>200</v>
      </c>
      <c r="H518" s="2315" t="n">
        <f aca="false">'Смета Внутр'!H525</f>
        <v>0</v>
      </c>
      <c r="I518" s="2315" t="n">
        <f aca="false">'Смета Внутр'!I525</f>
        <v>0</v>
      </c>
      <c r="J518" s="933" t="n">
        <f aca="false">'Смета Внутр'!I525</f>
        <v>0</v>
      </c>
    </row>
    <row r="519" customFormat="false" ht="15" hidden="false" customHeight="true" outlineLevel="0" collapsed="false">
      <c r="B519" s="2315" t="str">
        <f aca="false">'Смета Внутр'!B526</f>
        <v>утепление наружних стен</v>
      </c>
      <c r="C519" s="2315" t="str">
        <f aca="false">'Смета Внутр'!C526</f>
        <v>м2</v>
      </c>
      <c r="D519" s="2315" t="n">
        <f aca="false">'Смета Внутр'!D526</f>
        <v>0</v>
      </c>
      <c r="E519" s="2315" t="n">
        <f aca="false">'Смета Внутр'!E526</f>
        <v>200</v>
      </c>
      <c r="F519" s="2315" t="n">
        <f aca="false">'Смета Внутр'!F526</f>
        <v>0</v>
      </c>
      <c r="G519" s="1004" t="n">
        <f aca="false">IF(E519&gt;F519,E519,F519)</f>
        <v>200</v>
      </c>
      <c r="H519" s="2315" t="n">
        <f aca="false">'Смета Внутр'!H526</f>
        <v>0</v>
      </c>
      <c r="I519" s="2315" t="n">
        <f aca="false">'Смета Внутр'!I526</f>
        <v>0</v>
      </c>
      <c r="J519" s="933" t="n">
        <f aca="false">'Смета Внутр'!I526</f>
        <v>0</v>
      </c>
    </row>
    <row r="520" customFormat="false" ht="15" hidden="false" customHeight="true" outlineLevel="0" collapsed="false">
      <c r="B520" s="2315" t="str">
        <f aca="false">'Смета Внутр'!B527</f>
        <v>Утепление перегородок</v>
      </c>
      <c r="C520" s="2315" t="str">
        <f aca="false">'Смета Внутр'!C527</f>
        <v>м2</v>
      </c>
      <c r="D520" s="2315" t="n">
        <f aca="false">'Смета Внутр'!D527</f>
        <v>0</v>
      </c>
      <c r="E520" s="2315" t="n">
        <f aca="false">'Смета Внутр'!E527</f>
        <v>200</v>
      </c>
      <c r="F520" s="2315" t="n">
        <f aca="false">'Смета Внутр'!F527</f>
        <v>0</v>
      </c>
      <c r="G520" s="1004" t="n">
        <f aca="false">IF(E520&gt;F520,E520,F520)</f>
        <v>200</v>
      </c>
      <c r="H520" s="2315" t="n">
        <f aca="false">'Смета Внутр'!H527</f>
        <v>0</v>
      </c>
      <c r="I520" s="2315" t="n">
        <f aca="false">'Смета Внутр'!I527</f>
        <v>0</v>
      </c>
      <c r="J520" s="933" t="n">
        <f aca="false">'Смета Внутр'!I527</f>
        <v>0</v>
      </c>
    </row>
    <row r="521" customFormat="false" ht="15" hidden="false" customHeight="true" outlineLevel="0" collapsed="false">
      <c r="B521" s="2315" t="str">
        <f aca="false">'Смета Внутр'!B528</f>
        <v>Монтаж горизонтальной обрешетки</v>
      </c>
      <c r="C521" s="2315" t="str">
        <f aca="false">'Смета Внутр'!C528</f>
        <v>м2</v>
      </c>
      <c r="D521" s="2315" t="n">
        <f aca="false">'Смета Внутр'!D528</f>
        <v>0</v>
      </c>
      <c r="E521" s="2315" t="n">
        <f aca="false">'Смета Внутр'!E528</f>
        <v>100</v>
      </c>
      <c r="F521" s="2315" t="n">
        <f aca="false">'Смета Внутр'!F528</f>
        <v>0</v>
      </c>
      <c r="G521" s="1004" t="n">
        <f aca="false">IF(E521&gt;F521,E521,F521)</f>
        <v>100</v>
      </c>
      <c r="H521" s="2315" t="n">
        <f aca="false">'Смета Внутр'!H528</f>
        <v>0</v>
      </c>
      <c r="I521" s="2315" t="n">
        <f aca="false">'Смета Внутр'!I528</f>
        <v>0</v>
      </c>
      <c r="J521" s="933" t="n">
        <f aca="false">'Смета Внутр'!I528</f>
        <v>0</v>
      </c>
    </row>
    <row r="522" customFormat="false" ht="15" hidden="false" customHeight="true" outlineLevel="0" collapsed="false">
      <c r="B522" s="2315" t="str">
        <f aca="false">'Смета Внутр'!B529</f>
        <v>Монтаж вертикальной обрешетки</v>
      </c>
      <c r="C522" s="2315" t="str">
        <f aca="false">'Смета Внутр'!C529</f>
        <v>м2</v>
      </c>
      <c r="D522" s="2315" t="n">
        <f aca="false">'Смета Внутр'!D529</f>
        <v>0</v>
      </c>
      <c r="E522" s="2315" t="n">
        <f aca="false">'Смета Внутр'!E529</f>
        <v>100</v>
      </c>
      <c r="F522" s="2315" t="n">
        <f aca="false">'Смета Внутр'!F529</f>
        <v>0</v>
      </c>
      <c r="G522" s="1004" t="n">
        <f aca="false">IF(E522&gt;F522,E522,F522)</f>
        <v>100</v>
      </c>
      <c r="H522" s="2315" t="n">
        <f aca="false">'Смета Внутр'!H529</f>
        <v>0</v>
      </c>
      <c r="I522" s="2315" t="n">
        <f aca="false">'Смета Внутр'!I529</f>
        <v>0</v>
      </c>
      <c r="J522" s="933" t="n">
        <f aca="false">'Смета Внутр'!I529</f>
        <v>0</v>
      </c>
    </row>
    <row r="523" customFormat="false" ht="15" hidden="false" customHeight="true" outlineLevel="0" collapsed="false">
      <c r="B523" s="2315" t="str">
        <f aca="false">'Смета Внутр'!B530</f>
        <v>Монтаж обрешетки потолок</v>
      </c>
      <c r="C523" s="2315" t="str">
        <f aca="false">'Смета Внутр'!C530</f>
        <v>м2</v>
      </c>
      <c r="D523" s="2315" t="n">
        <f aca="false">'Смета Внутр'!D530</f>
        <v>0</v>
      </c>
      <c r="E523" s="2315" t="n">
        <f aca="false">'Смета Внутр'!E530</f>
        <v>100</v>
      </c>
      <c r="F523" s="2315" t="n">
        <f aca="false">'Смета Внутр'!F530</f>
        <v>0</v>
      </c>
      <c r="G523" s="1004" t="n">
        <f aca="false">IF(E523&gt;F523,E523,F523)</f>
        <v>100</v>
      </c>
      <c r="H523" s="2315" t="n">
        <f aca="false">'Смета Внутр'!H530</f>
        <v>0</v>
      </c>
      <c r="I523" s="2315" t="n">
        <f aca="false">'Смета Внутр'!I530</f>
        <v>0</v>
      </c>
      <c r="J523" s="933" t="n">
        <f aca="false">'Смета Внутр'!I530</f>
        <v>0</v>
      </c>
    </row>
    <row r="524" customFormat="false" ht="15" hidden="false" customHeight="true" outlineLevel="0" collapsed="false">
      <c r="B524" s="2315" t="str">
        <f aca="false">'Смета Внутр'!B531</f>
        <v>Монтаж профлист потолок</v>
      </c>
      <c r="C524" s="2315" t="str">
        <f aca="false">'Смета Внутр'!C531</f>
        <v>м2</v>
      </c>
      <c r="D524" s="2315" t="n">
        <f aca="false">'Смета Внутр'!D531</f>
        <v>0</v>
      </c>
      <c r="E524" s="2315" t="n">
        <f aca="false">'Смета Внутр'!E531</f>
        <v>100</v>
      </c>
      <c r="F524" s="2315" t="n">
        <f aca="false">'Смета Внутр'!F531</f>
        <v>0</v>
      </c>
      <c r="G524" s="1004" t="n">
        <f aca="false">IF(E524&gt;F524,E524,F524)</f>
        <v>100</v>
      </c>
      <c r="H524" s="2315" t="n">
        <f aca="false">'Смета Внутр'!H531</f>
        <v>0</v>
      </c>
      <c r="I524" s="2315" t="n">
        <f aca="false">'Смета Внутр'!I531</f>
        <v>0</v>
      </c>
      <c r="J524" s="933" t="n">
        <f aca="false">'Смета Внутр'!I531</f>
        <v>0</v>
      </c>
    </row>
    <row r="525" customFormat="false" ht="15" hidden="false" customHeight="true" outlineLevel="0" collapsed="false">
      <c r="B525" s="2315" t="str">
        <f aca="false">'Смета Внутр'!B532</f>
        <v>Монтаж обрешетки пол</v>
      </c>
      <c r="C525" s="2315" t="str">
        <f aca="false">'Смета Внутр'!C532</f>
        <v>м2</v>
      </c>
      <c r="D525" s="2315" t="n">
        <f aca="false">'Смета Внутр'!D532</f>
        <v>0</v>
      </c>
      <c r="E525" s="2315" t="n">
        <f aca="false">'Смета Внутр'!E532</f>
        <v>100</v>
      </c>
      <c r="F525" s="2315" t="n">
        <f aca="false">'Смета Внутр'!F532</f>
        <v>0</v>
      </c>
      <c r="G525" s="1004" t="n">
        <f aca="false">IF(E525&gt;F525,E525,F525)</f>
        <v>100</v>
      </c>
      <c r="H525" s="2315" t="n">
        <f aca="false">'Смета Внутр'!H532</f>
        <v>0</v>
      </c>
      <c r="I525" s="2315" t="n">
        <f aca="false">'Смета Внутр'!I532</f>
        <v>0</v>
      </c>
      <c r="J525" s="933" t="n">
        <f aca="false">'Смета Внутр'!I532</f>
        <v>0</v>
      </c>
    </row>
    <row r="526" customFormat="false" ht="15" hidden="false" customHeight="true" outlineLevel="0" collapsed="false">
      <c r="B526" s="2315" t="str">
        <f aca="false">'Смета Внутр'!B533</f>
        <v>Монтаж профлист пол</v>
      </c>
      <c r="C526" s="2315" t="str">
        <f aca="false">'Смета Внутр'!C533</f>
        <v>м2</v>
      </c>
      <c r="D526" s="2315" t="n">
        <f aca="false">'Смета Внутр'!D533</f>
        <v>0</v>
      </c>
      <c r="E526" s="2315" t="n">
        <f aca="false">'Смета Внутр'!E533</f>
        <v>100</v>
      </c>
      <c r="F526" s="2315" t="n">
        <f aca="false">'Смета Внутр'!F533</f>
        <v>0</v>
      </c>
      <c r="G526" s="1004" t="n">
        <f aca="false">IF(E526&gt;F526,E526,F526)</f>
        <v>100</v>
      </c>
      <c r="H526" s="2315" t="n">
        <f aca="false">'Смета Внутр'!H533</f>
        <v>0</v>
      </c>
      <c r="I526" s="2315" t="n">
        <f aca="false">'Смета Внутр'!I533</f>
        <v>0</v>
      </c>
      <c r="J526" s="933" t="n">
        <f aca="false">'Смета Внутр'!I533</f>
        <v>0</v>
      </c>
    </row>
    <row r="527" customFormat="false" ht="15" hidden="false" customHeight="true" outlineLevel="0" collapsed="false">
      <c r="B527" s="2315" t="str">
        <f aca="false">'Смета Внутр'!B534</f>
        <v>монтаж osb/фанера пол</v>
      </c>
      <c r="C527" s="2315" t="str">
        <f aca="false">'Смета Внутр'!C534</f>
        <v>м2</v>
      </c>
      <c r="D527" s="2315" t="n">
        <f aca="false">'Смета Внутр'!D534</f>
        <v>100</v>
      </c>
      <c r="E527" s="2315" t="n">
        <f aca="false">'Смета Внутр'!E534</f>
        <v>200</v>
      </c>
      <c r="F527" s="2315" t="n">
        <f aca="false">'Смета Внутр'!F534</f>
        <v>0</v>
      </c>
      <c r="G527" s="1004" t="n">
        <f aca="false">IF(E527&gt;F527,E527,F527)</f>
        <v>200</v>
      </c>
      <c r="H527" s="2315" t="n">
        <f aca="false">'Смета Внутр'!H534</f>
        <v>0</v>
      </c>
      <c r="I527" s="2315" t="n">
        <f aca="false">'Смета Внутр'!I534</f>
        <v>0</v>
      </c>
      <c r="J527" s="933" t="n">
        <f aca="false">'Смета Внутр'!I534</f>
        <v>0</v>
      </c>
    </row>
    <row r="528" customFormat="false" ht="15" hidden="false" customHeight="true" outlineLevel="0" collapsed="false">
      <c r="B528" s="2927" t="str">
        <f aca="false">'Смета Внутр'!B535</f>
        <v>Итого работы</v>
      </c>
      <c r="C528" s="2927"/>
      <c r="D528" s="2927"/>
      <c r="E528" s="2927"/>
      <c r="F528" s="2927"/>
      <c r="G528" s="2927"/>
      <c r="H528" s="2315"/>
      <c r="I528" s="2315"/>
      <c r="J528" s="933" t="n">
        <f aca="false">'Смета Внутр'!I535</f>
        <v>0</v>
      </c>
    </row>
    <row r="529" customFormat="false" ht="15" hidden="false" customHeight="true" outlineLevel="0" collapsed="false">
      <c r="B529" s="2930" t="str">
        <f aca="false">'Смета Внутр'!B536</f>
        <v>Техника и дополнительные расходы</v>
      </c>
      <c r="C529" s="2930"/>
      <c r="D529" s="2930"/>
      <c r="E529" s="2930"/>
      <c r="F529" s="2930"/>
      <c r="G529" s="2930"/>
      <c r="H529" s="2930"/>
      <c r="I529" s="2930"/>
      <c r="J529" s="2930"/>
    </row>
    <row r="530" customFormat="false" ht="15" hidden="false" customHeight="true" outlineLevel="0" collapsed="false">
      <c r="B530" s="2594" t="str">
        <f aca="false">'Смета Внутр'!B537</f>
        <v>Командировочные расходы</v>
      </c>
      <c r="C530" s="2594" t="n">
        <f aca="false">'Смета Внутр'!C537</f>
        <v>0</v>
      </c>
      <c r="D530" s="2594" t="n">
        <f aca="false">'Смета Внутр'!D537</f>
        <v>1</v>
      </c>
      <c r="E530" s="2594" t="n">
        <f aca="false">'Смета Внутр'!E537</f>
        <v>0</v>
      </c>
      <c r="F530" s="2594" t="n">
        <f aca="false">'Смета Внутр'!F537</f>
        <v>0</v>
      </c>
      <c r="G530" s="1004" t="n">
        <f aca="false">IF(E530&gt;F530,E530,F530)</f>
        <v>0</v>
      </c>
      <c r="H530" s="2594" t="n">
        <f aca="false">'Смета Внутр'!H537</f>
        <v>0</v>
      </c>
      <c r="I530" s="2594" t="n">
        <f aca="false">'Смета Внутр'!I537</f>
        <v>0</v>
      </c>
      <c r="J530" s="932" t="n">
        <f aca="false">'Смета Внутр'!I537</f>
        <v>0</v>
      </c>
    </row>
    <row r="531" customFormat="false" ht="15" hidden="false" customHeight="true" outlineLevel="0" collapsed="false">
      <c r="B531" s="2594" t="str">
        <f aca="false">'Смета Внутр'!B538</f>
        <v>расходные материалы каркасный дом</v>
      </c>
      <c r="C531" s="2594" t="n">
        <f aca="false">'Смета Внутр'!C538</f>
        <v>0</v>
      </c>
      <c r="D531" s="2594" t="n">
        <f aca="false">'Смета Внутр'!D538</f>
        <v>1</v>
      </c>
      <c r="E531" s="2594" t="n">
        <f aca="false">'Смета Внутр'!E538</f>
        <v>12000</v>
      </c>
      <c r="F531" s="2594" t="n">
        <f aca="false">'Смета Внутр'!F538</f>
        <v>0</v>
      </c>
      <c r="G531" s="1004" t="n">
        <f aca="false">IF(E531&gt;F531,E531,F531)</f>
        <v>12000</v>
      </c>
      <c r="H531" s="2594" t="n">
        <f aca="false">'Смета Внутр'!H538</f>
        <v>0</v>
      </c>
      <c r="I531" s="2594" t="n">
        <f aca="false">'Смета Внутр'!I538</f>
        <v>0</v>
      </c>
      <c r="J531" s="932" t="n">
        <f aca="false">'Смета Внутр'!I538</f>
        <v>0</v>
      </c>
    </row>
    <row r="532" customFormat="false" ht="15" hidden="false" customHeight="true" outlineLevel="0" collapsed="false">
      <c r="B532" s="2594" t="str">
        <f aca="false">'Смета Внутр'!B539</f>
        <v>Нет техники</v>
      </c>
      <c r="C532" s="2594" t="n">
        <f aca="false">'Смета Внутр'!C539</f>
        <v>0</v>
      </c>
      <c r="D532" s="2594" t="n">
        <f aca="false">'Смета Внутр'!D539</f>
        <v>2</v>
      </c>
      <c r="E532" s="2594" t="n">
        <f aca="false">'Смета Внутр'!E539</f>
        <v>0</v>
      </c>
      <c r="F532" s="2594" t="n">
        <f aca="false">'Смета Внутр'!F539</f>
        <v>0</v>
      </c>
      <c r="G532" s="1004" t="n">
        <f aca="false">IF(E532&gt;F532,E532,F532)</f>
        <v>0</v>
      </c>
      <c r="H532" s="2594" t="n">
        <f aca="false">'Смета Внутр'!H539</f>
        <v>0</v>
      </c>
      <c r="I532" s="2594" t="n">
        <f aca="false">'Смета Внутр'!I539</f>
        <v>0</v>
      </c>
      <c r="J532" s="932" t="n">
        <f aca="false">'Смета Внутр'!I539</f>
        <v>0</v>
      </c>
    </row>
    <row r="533" customFormat="false" ht="15" hidden="false" customHeight="true" outlineLevel="0" collapsed="false">
      <c r="B533" s="2930" t="str">
        <f aca="false">'Смета Внутр'!B540</f>
        <v>Итого</v>
      </c>
      <c r="C533" s="2930"/>
      <c r="D533" s="2930"/>
      <c r="E533" s="2930"/>
      <c r="F533" s="2930"/>
      <c r="G533" s="2930"/>
      <c r="H533" s="2321"/>
      <c r="I533" s="2321"/>
      <c r="J533" s="932" t="n">
        <f aca="false">'Смета Внутр'!I540</f>
        <v>0</v>
      </c>
    </row>
    <row r="534" customFormat="false" ht="15" hidden="false" customHeight="true" outlineLevel="0" collapsed="false">
      <c r="B534" s="2934" t="str">
        <f aca="false">'Смета Внутр'!B541</f>
        <v>Дом из Газобетона</v>
      </c>
      <c r="C534" s="2934"/>
      <c r="D534" s="2934"/>
      <c r="H534" s="0" t="n">
        <f aca="false">'Смета Внутр'!G541</f>
        <v>0</v>
      </c>
      <c r="I534" s="0" t="n">
        <f aca="false">'Смета Внутр'!H541</f>
        <v>0</v>
      </c>
      <c r="J534" s="2926" t="n">
        <f aca="false">'Смета Внутр'!I541</f>
        <v>0</v>
      </c>
    </row>
    <row r="535" customFormat="false" ht="15" hidden="false" customHeight="true" outlineLevel="0" collapsed="false">
      <c r="B535" s="2881" t="str">
        <f aca="false">'Смета Внутр'!B542</f>
        <v>Материалы</v>
      </c>
      <c r="D535" s="919"/>
      <c r="H535" s="0" t="n">
        <f aca="false">'Смета Внутр'!G542</f>
        <v>0</v>
      </c>
      <c r="I535" s="0" t="n">
        <f aca="false">'Смета Внутр'!H542</f>
        <v>0</v>
      </c>
      <c r="J535" s="2926" t="n">
        <f aca="false">'Смета Внутр'!I542</f>
        <v>0</v>
      </c>
    </row>
    <row r="536" customFormat="false" ht="15" hidden="false" customHeight="true" outlineLevel="0" collapsed="false">
      <c r="B536" s="1004" t="str">
        <f aca="false">'Смета Внутр'!B543</f>
        <v>Газоблок D400 200х100х390</v>
      </c>
      <c r="C536" s="1004" t="str">
        <f aca="false">'Смета Внутр'!C543</f>
        <v>м3</v>
      </c>
      <c r="D536" s="1018" t="n">
        <f aca="false">'Смета Внутр'!D543</f>
        <v>-3.12</v>
      </c>
      <c r="E536" s="1004" t="n">
        <f aca="false">'Смета Внутр'!E543</f>
        <v>4200</v>
      </c>
      <c r="F536" s="1004" t="n">
        <f aca="false">'Смета Внутр'!F543</f>
        <v>0</v>
      </c>
      <c r="G536" s="1004" t="n">
        <f aca="false">IF(E536&gt;F536,E536,F536)</f>
        <v>4200</v>
      </c>
      <c r="H536" s="1004" t="n">
        <f aca="false">'Смета Внутр'!G543</f>
        <v>-13104</v>
      </c>
      <c r="I536" s="1004" t="n">
        <f aca="false">'Смета Внутр'!H543</f>
        <v>0</v>
      </c>
      <c r="J536" s="1018" t="n">
        <f aca="false">'Смета Внутр'!I543</f>
        <v>0</v>
      </c>
    </row>
    <row r="537" customFormat="false" ht="15" hidden="false" customHeight="true" outlineLevel="0" collapsed="false">
      <c r="B537" s="1004" t="str">
        <f aca="false">'Смета Внутр'!B544</f>
        <v>Газоблок D500 200х100х390</v>
      </c>
      <c r="C537" s="1004" t="str">
        <f aca="false">'Смета Внутр'!C544</f>
        <v>м3</v>
      </c>
      <c r="D537" s="1018" t="n">
        <f aca="false">'Смета Внутр'!D544</f>
        <v>0</v>
      </c>
      <c r="E537" s="1004" t="n">
        <f aca="false">'Смета Внутр'!E544</f>
        <v>4200</v>
      </c>
      <c r="F537" s="1004" t="n">
        <f aca="false">'Смета Внутр'!F544</f>
        <v>0</v>
      </c>
      <c r="G537" s="1004" t="n">
        <f aca="false">IF(E537&gt;F537,E537,F537)</f>
        <v>4200</v>
      </c>
      <c r="H537" s="1004" t="n">
        <f aca="false">'Смета Внутр'!G544</f>
        <v>0</v>
      </c>
      <c r="I537" s="1004" t="n">
        <f aca="false">'Смета Внутр'!H544</f>
        <v>0</v>
      </c>
      <c r="J537" s="1018" t="n">
        <f aca="false">'Смета Внутр'!I544</f>
        <v>0</v>
      </c>
    </row>
    <row r="538" customFormat="false" ht="15" hidden="false" customHeight="true" outlineLevel="0" collapsed="false">
      <c r="B538" s="1004" t="str">
        <f aca="false">'Смета Внутр'!B545</f>
        <v>Газоблок D400 200х400х390</v>
      </c>
      <c r="C538" s="1004" t="str">
        <f aca="false">'Смета Внутр'!C545</f>
        <v>м3</v>
      </c>
      <c r="D538" s="1018" t="n">
        <f aca="false">'Смета Внутр'!D545</f>
        <v>0</v>
      </c>
      <c r="E538" s="1004" t="n">
        <f aca="false">'Смета Внутр'!E545</f>
        <v>4200</v>
      </c>
      <c r="F538" s="1004" t="n">
        <f aca="false">'Смета Внутр'!F545</f>
        <v>0</v>
      </c>
      <c r="G538" s="1004" t="n">
        <f aca="false">IF(E538&gt;F538,E538,F538)</f>
        <v>4200</v>
      </c>
      <c r="H538" s="1004" t="n">
        <f aca="false">'Смета Внутр'!G545</f>
        <v>0</v>
      </c>
      <c r="I538" s="1004" t="n">
        <f aca="false">'Смета Внутр'!H545</f>
        <v>0</v>
      </c>
      <c r="J538" s="1018" t="n">
        <f aca="false">'Смета Внутр'!I545</f>
        <v>0</v>
      </c>
    </row>
    <row r="539" customFormat="false" ht="15" hidden="false" customHeight="true" outlineLevel="0" collapsed="false">
      <c r="B539" s="1004" t="str">
        <f aca="false">'Смета Внутр'!B546</f>
        <v>Газоблокпоясной  D400 200х100х390</v>
      </c>
      <c r="C539" s="1004" t="str">
        <f aca="false">'Смета Внутр'!C546</f>
        <v>м3</v>
      </c>
      <c r="D539" s="1018" t="n">
        <f aca="false">'Смета Внутр'!D546</f>
        <v>3.0888</v>
      </c>
      <c r="E539" s="1004" t="n">
        <f aca="false">'Смета Внутр'!E546</f>
        <v>4200</v>
      </c>
      <c r="F539" s="1004" t="n">
        <f aca="false">'Смета Внутр'!F546</f>
        <v>0</v>
      </c>
      <c r="G539" s="1004" t="n">
        <f aca="false">IF(E539&gt;F539,E539,F539)</f>
        <v>4200</v>
      </c>
      <c r="H539" s="1004" t="n">
        <f aca="false">'Смета Внутр'!G546</f>
        <v>12972.96</v>
      </c>
      <c r="I539" s="1004" t="n">
        <f aca="false">'Смета Внутр'!H546</f>
        <v>0</v>
      </c>
      <c r="J539" s="1018" t="n">
        <f aca="false">'Смета Внутр'!I546</f>
        <v>0</v>
      </c>
    </row>
    <row r="540" customFormat="false" ht="15" hidden="false" customHeight="true" outlineLevel="0" collapsed="false">
      <c r="B540" s="1004" t="str">
        <f aca="false">'Смета Внутр'!B547</f>
        <v>Поясной 200х100х600 угловой внешний</v>
      </c>
      <c r="C540" s="1004" t="str">
        <f aca="false">'Смета Внутр'!C547</f>
        <v>м3</v>
      </c>
      <c r="D540" s="1018" t="n">
        <f aca="false">'Смета Внутр'!D547</f>
        <v>0.0312</v>
      </c>
      <c r="E540" s="1004" t="n">
        <f aca="false">'Смета Внутр'!E547</f>
        <v>4200</v>
      </c>
      <c r="F540" s="1004" t="n">
        <f aca="false">'Смета Внутр'!F547</f>
        <v>0</v>
      </c>
      <c r="G540" s="1004" t="n">
        <f aca="false">IF(E540&gt;F540,E540,F540)</f>
        <v>4200</v>
      </c>
      <c r="H540" s="1004" t="n">
        <f aca="false">'Смета Внутр'!G547</f>
        <v>131.04</v>
      </c>
      <c r="I540" s="1004" t="n">
        <f aca="false">'Смета Внутр'!H547</f>
        <v>0</v>
      </c>
      <c r="J540" s="1018" t="n">
        <f aca="false">'Смета Внутр'!I547</f>
        <v>0</v>
      </c>
    </row>
    <row r="541" customFormat="false" ht="15" hidden="false" customHeight="true" outlineLevel="0" collapsed="false">
      <c r="B541" s="1004" t="str">
        <f aca="false">'Смета Внутр'!B548</f>
        <v>Поясной 200х100х600 угловой внутренний</v>
      </c>
      <c r="C541" s="1004" t="str">
        <f aca="false">'Смета Внутр'!C548</f>
        <v>м3</v>
      </c>
      <c r="D541" s="1018" t="n">
        <f aca="false">'Смета Внутр'!D548</f>
        <v>0</v>
      </c>
      <c r="E541" s="1004" t="n">
        <f aca="false">'Смета Внутр'!E548</f>
        <v>4200</v>
      </c>
      <c r="F541" s="1004" t="n">
        <f aca="false">'Смета Внутр'!F548</f>
        <v>0</v>
      </c>
      <c r="G541" s="1004" t="n">
        <f aca="false">IF(E541&gt;F541,E541,F541)</f>
        <v>4200</v>
      </c>
      <c r="H541" s="1004" t="n">
        <f aca="false">'Смета Внутр'!G548</f>
        <v>0</v>
      </c>
      <c r="I541" s="1004" t="n">
        <f aca="false">'Смета Внутр'!H548</f>
        <v>0</v>
      </c>
      <c r="J541" s="1018" t="n">
        <f aca="false">'Смета Внутр'!I548</f>
        <v>0</v>
      </c>
    </row>
    <row r="542" customFormat="false" ht="15" hidden="false" customHeight="true" outlineLevel="0" collapsed="false">
      <c r="B542" s="1004" t="str">
        <f aca="false">'Смета Внутр'!B549</f>
        <v>200х100х600 угловой внешний</v>
      </c>
      <c r="C542" s="1004" t="str">
        <f aca="false">'Смета Внутр'!C549</f>
        <v>м3</v>
      </c>
      <c r="D542" s="1018" t="n">
        <f aca="false">'Смета Внутр'!D549</f>
        <v>0.72</v>
      </c>
      <c r="E542" s="1004" t="n">
        <f aca="false">'Смета Внутр'!E549</f>
        <v>4200</v>
      </c>
      <c r="F542" s="1004" t="n">
        <f aca="false">'Смета Внутр'!F549</f>
        <v>0</v>
      </c>
      <c r="G542" s="1004" t="n">
        <f aca="false">IF(E542&gt;F542,E542,F542)</f>
        <v>4200</v>
      </c>
      <c r="H542" s="1004" t="n">
        <f aca="false">'Смета Внутр'!G549</f>
        <v>3024</v>
      </c>
      <c r="I542" s="1004" t="n">
        <f aca="false">'Смета Внутр'!H549</f>
        <v>0</v>
      </c>
      <c r="J542" s="1018" t="n">
        <f aca="false">'Смета Внутр'!I549</f>
        <v>0</v>
      </c>
    </row>
    <row r="543" customFormat="false" ht="15" hidden="false" customHeight="true" outlineLevel="0" collapsed="false">
      <c r="B543" s="1004" t="str">
        <f aca="false">'Смета Внутр'!B550</f>
        <v>200х100х600 угловой внутренний</v>
      </c>
      <c r="C543" s="1004" t="str">
        <f aca="false">'Смета Внутр'!C550</f>
        <v>м4</v>
      </c>
      <c r="D543" s="1018" t="n">
        <f aca="false">'Смета Внутр'!D550</f>
        <v>0</v>
      </c>
      <c r="E543" s="1004" t="n">
        <f aca="false">'Смета Внутр'!E550</f>
        <v>4200</v>
      </c>
      <c r="F543" s="1004" t="n">
        <f aca="false">'Смета Внутр'!F550</f>
        <v>0</v>
      </c>
      <c r="G543" s="1004" t="n">
        <f aca="false">IF(E543&gt;F543,E543,F543)</f>
        <v>4200</v>
      </c>
      <c r="H543" s="1004" t="n">
        <f aca="false">'Смета Внутр'!G550</f>
        <v>0</v>
      </c>
      <c r="I543" s="1004" t="n">
        <f aca="false">'Смета Внутр'!H550</f>
        <v>0</v>
      </c>
      <c r="J543" s="1018" t="n">
        <f aca="false">'Смета Внутр'!I550</f>
        <v>0</v>
      </c>
    </row>
    <row r="544" customFormat="false" ht="15" hidden="false" customHeight="true" outlineLevel="0" collapsed="false">
      <c r="B544" s="1004" t="str">
        <f aca="false">'Смета Внутр'!B551</f>
        <v>Клей монтажный ВК-100</v>
      </c>
      <c r="C544" s="1004" t="str">
        <f aca="false">'Смета Внутр'!C551</f>
        <v>меш</v>
      </c>
      <c r="D544" s="1018" t="n">
        <f aca="false">'Смета Внутр'!D551</f>
        <v>0</v>
      </c>
      <c r="E544" s="1004" t="n">
        <f aca="false">'Смета Внутр'!E551</f>
        <v>185</v>
      </c>
      <c r="F544" s="1004" t="n">
        <f aca="false">'Смета Внутр'!F551</f>
        <v>0</v>
      </c>
      <c r="G544" s="1004" t="n">
        <f aca="false">IF(E544&gt;F544,E544,F544)</f>
        <v>185</v>
      </c>
      <c r="H544" s="1004" t="n">
        <f aca="false">'Смета Внутр'!G551</f>
        <v>0</v>
      </c>
      <c r="I544" s="1004" t="n">
        <f aca="false">'Смета Внутр'!H551</f>
        <v>0</v>
      </c>
      <c r="J544" s="1018" t="n">
        <f aca="false">'Смета Внутр'!I551</f>
        <v>0</v>
      </c>
    </row>
    <row r="545" customFormat="false" ht="15" hidden="false" customHeight="true" outlineLevel="0" collapsed="false">
      <c r="B545" s="1004" t="e">
        <f aca="false">'Смета Внутр'!B552</f>
        <v>#N/A</v>
      </c>
      <c r="C545" s="1004" t="str">
        <f aca="false">'Смета Внутр'!C552</f>
        <v>меш</v>
      </c>
      <c r="D545" s="1018" t="n">
        <f aca="false">'Смета Внутр'!D552</f>
        <v>-2.274072192</v>
      </c>
      <c r="E545" s="1004" t="n">
        <f aca="false">'Смета Внутр'!E552</f>
        <v>0</v>
      </c>
      <c r="F545" s="1004" t="n">
        <f aca="false">'Смета Внутр'!F552</f>
        <v>0</v>
      </c>
      <c r="G545" s="1004" t="n">
        <f aca="false">IF(E545&gt;F545,E545,F545)</f>
        <v>0</v>
      </c>
      <c r="H545" s="1004" t="n">
        <f aca="false">'Смета Внутр'!G552</f>
        <v>0</v>
      </c>
      <c r="I545" s="1004" t="n">
        <f aca="false">'Смета Внутр'!H552</f>
        <v>0</v>
      </c>
      <c r="J545" s="1018" t="n">
        <f aca="false">'Смета Внутр'!I552</f>
        <v>0</v>
      </c>
    </row>
    <row r="546" customFormat="false" ht="15" hidden="false" customHeight="true" outlineLevel="0" collapsed="false">
      <c r="B546" s="1004" t="e">
        <f aca="false">'Смета Внутр'!B553</f>
        <v>#N/A</v>
      </c>
      <c r="C546" s="1004" t="str">
        <f aca="false">'Смета Внутр'!C553</f>
        <v>м3</v>
      </c>
      <c r="D546" s="1018" t="n">
        <f aca="false">'Смета Внутр'!D553</f>
        <v>-0.541445759999999</v>
      </c>
      <c r="E546" s="1004" t="n">
        <f aca="false">'Смета Внутр'!E553</f>
        <v>0</v>
      </c>
      <c r="F546" s="1004" t="n">
        <f aca="false">'Смета Внутр'!F553</f>
        <v>0</v>
      </c>
      <c r="G546" s="1004" t="n">
        <f aca="false">IF(E546&gt;F546,E546,F546)</f>
        <v>0</v>
      </c>
      <c r="H546" s="1004" t="n">
        <f aca="false">'Смета Внутр'!G553</f>
        <v>0</v>
      </c>
      <c r="I546" s="1004" t="n">
        <f aca="false">'Смета Внутр'!H553</f>
        <v>0</v>
      </c>
      <c r="J546" s="1018" t="n">
        <f aca="false">'Смета Внутр'!I553</f>
        <v>0</v>
      </c>
    </row>
    <row r="547" customFormat="false" ht="15" hidden="false" customHeight="true" outlineLevel="0" collapsed="false">
      <c r="B547" s="1004" t="str">
        <f aca="false">'Смета Внутр'!B554</f>
        <v>Доставка песка</v>
      </c>
      <c r="C547" s="1004" t="str">
        <f aca="false">'Смета Внутр'!C554</f>
        <v>маш</v>
      </c>
      <c r="D547" s="1018" t="n">
        <f aca="false">'Смета Внутр'!D554</f>
        <v>0</v>
      </c>
      <c r="E547" s="1004" t="n">
        <f aca="false">'Смета Внутр'!E554</f>
        <v>0</v>
      </c>
      <c r="F547" s="1004" t="n">
        <f aca="false">'Смета Внутр'!F554</f>
        <v>0</v>
      </c>
      <c r="G547" s="1004" t="n">
        <f aca="false">IF(E547&gt;F547,E547,F547)</f>
        <v>0</v>
      </c>
      <c r="H547" s="1004" t="n">
        <f aca="false">'Смета Внутр'!G554</f>
        <v>0</v>
      </c>
      <c r="I547" s="1004" t="n">
        <f aca="false">'Смета Внутр'!H554</f>
        <v>0</v>
      </c>
      <c r="J547" s="1018" t="n">
        <f aca="false">'Смета Внутр'!I554</f>
        <v>0</v>
      </c>
    </row>
    <row r="548" customFormat="false" ht="15" hidden="false" customHeight="true" outlineLevel="0" collapsed="false">
      <c r="B548" s="1004" t="e">
        <f aca="false">'Смета Внутр'!B555</f>
        <v>#N/A</v>
      </c>
      <c r="C548" s="1004" t="str">
        <f aca="false">'Смета Внутр'!C555</f>
        <v>м3</v>
      </c>
      <c r="D548" s="1018" t="n">
        <f aca="false">'Смета Внутр'!D555</f>
        <v>-0.541445759999999</v>
      </c>
      <c r="E548" s="1004" t="n">
        <f aca="false">'Смета Внутр'!E555</f>
        <v>0</v>
      </c>
      <c r="F548" s="1004" t="n">
        <f aca="false">'Смета Внутр'!F555</f>
        <v>0</v>
      </c>
      <c r="G548" s="1004" t="n">
        <f aca="false">IF(E548&gt;F548,E548,F548)</f>
        <v>0</v>
      </c>
      <c r="H548" s="1004" t="n">
        <f aca="false">'Смета Внутр'!G555</f>
        <v>0</v>
      </c>
      <c r="I548" s="1004" t="n">
        <f aca="false">'Смета Внутр'!H555</f>
        <v>0</v>
      </c>
      <c r="J548" s="1018" t="n">
        <f aca="false">'Смета Внутр'!I555</f>
        <v>0</v>
      </c>
    </row>
    <row r="549" customFormat="false" ht="15" hidden="false" customHeight="true" outlineLevel="0" collapsed="false">
      <c r="B549" s="1004" t="str">
        <f aca="false">'Смета Внутр'!B556</f>
        <v>Арматура М6 каждый 3-й ряд, 2 нити</v>
      </c>
      <c r="C549" s="1004" t="str">
        <f aca="false">'Смета Внутр'!C556</f>
        <v>м.п.</v>
      </c>
      <c r="D549" s="1018" t="n">
        <f aca="false">'Смета Внутр'!D556</f>
        <v>480</v>
      </c>
      <c r="E549" s="1004" t="n">
        <f aca="false">'Смета Внутр'!E556</f>
        <v>0</v>
      </c>
      <c r="F549" s="1004" t="n">
        <f aca="false">'Смета Внутр'!F556</f>
        <v>0</v>
      </c>
      <c r="G549" s="1004" t="n">
        <f aca="false">IF(E549&gt;F549,E549,F549)</f>
        <v>0</v>
      </c>
      <c r="H549" s="1004" t="n">
        <f aca="false">'Смета Внутр'!G556</f>
        <v>0</v>
      </c>
      <c r="I549" s="1004" t="n">
        <f aca="false">'Смета Внутр'!H556</f>
        <v>0</v>
      </c>
      <c r="J549" s="1018" t="n">
        <f aca="false">'Смета Внутр'!I556</f>
        <v>0</v>
      </c>
    </row>
    <row r="550" customFormat="false" ht="15" hidden="false" customHeight="true" outlineLevel="0" collapsed="false">
      <c r="B550" s="1004" t="str">
        <f aca="false">'Смета Внутр'!B557</f>
        <v>Арматура М6 каждый 3-й ряд, 2 нити</v>
      </c>
      <c r="C550" s="1004" t="str">
        <f aca="false">'Смета Внутр'!C557</f>
        <v>м.п.</v>
      </c>
      <c r="D550" s="1018" t="n">
        <f aca="false">'Смета Внутр'!D557</f>
        <v>0</v>
      </c>
      <c r="E550" s="1004" t="n">
        <f aca="false">'Смета Внутр'!E557</f>
        <v>0</v>
      </c>
      <c r="F550" s="1004" t="n">
        <f aca="false">'Смета Внутр'!F557</f>
        <v>0</v>
      </c>
      <c r="G550" s="1004" t="n">
        <f aca="false">IF(E550&gt;F550,E550,F550)</f>
        <v>0</v>
      </c>
      <c r="H550" s="1004" t="n">
        <f aca="false">'Смета Внутр'!G557</f>
        <v>0</v>
      </c>
      <c r="I550" s="1004" t="n">
        <f aca="false">'Смета Внутр'!H557</f>
        <v>0</v>
      </c>
      <c r="J550" s="1018" t="n">
        <f aca="false">'Смета Внутр'!I557</f>
        <v>0</v>
      </c>
    </row>
    <row r="551" customFormat="false" ht="15" hidden="false" customHeight="true" outlineLevel="0" collapsed="false">
      <c r="B551" s="1004" t="str">
        <f aca="false">'Смета Внутр'!B558</f>
        <v>Перемычка оконная, 1-ый эт. Вариант 1</v>
      </c>
      <c r="C551" s="1004" t="str">
        <f aca="false">'Смета Внутр'!C558</f>
        <v>м.п.</v>
      </c>
      <c r="D551" s="1018" t="n">
        <f aca="false">'Смета Внутр'!D558</f>
        <v>1</v>
      </c>
      <c r="E551" s="1004" t="n">
        <f aca="false">'Смета Внутр'!E558</f>
        <v>1000</v>
      </c>
      <c r="F551" s="1004" t="n">
        <f aca="false">'Смета Внутр'!F558</f>
        <v>0</v>
      </c>
      <c r="G551" s="1004" t="n">
        <f aca="false">IF(E551&gt;F551,E551,F551)</f>
        <v>1000</v>
      </c>
      <c r="H551" s="1004" t="n">
        <f aca="false">'Смета Внутр'!G558</f>
        <v>1000</v>
      </c>
      <c r="I551" s="1004" t="n">
        <f aca="false">'Смета Внутр'!H558</f>
        <v>0</v>
      </c>
      <c r="J551" s="1018" t="n">
        <f aca="false">'Смета Внутр'!I558</f>
        <v>0</v>
      </c>
    </row>
    <row r="552" customFormat="false" ht="15" hidden="false" customHeight="true" outlineLevel="0" collapsed="false">
      <c r="B552" s="1004" t="str">
        <f aca="false">'Смета Внутр'!B559</f>
        <v>Перемычка оконная, 1-ый эт. Вариант 2</v>
      </c>
      <c r="C552" s="1004" t="str">
        <f aca="false">'Смета Внутр'!C559</f>
        <v>м.п.</v>
      </c>
      <c r="D552" s="1018" t="n">
        <f aca="false">'Смета Внутр'!D559</f>
        <v>0</v>
      </c>
      <c r="E552" s="1004" t="n">
        <f aca="false">'Смета Внутр'!E559</f>
        <v>1000</v>
      </c>
      <c r="F552" s="1004" t="n">
        <f aca="false">'Смета Внутр'!F559</f>
        <v>0</v>
      </c>
      <c r="G552" s="1004" t="n">
        <f aca="false">IF(E552&gt;F552,E552,F552)</f>
        <v>1000</v>
      </c>
      <c r="H552" s="1004" t="n">
        <f aca="false">'Смета Внутр'!G559</f>
        <v>0</v>
      </c>
      <c r="I552" s="1004" t="n">
        <f aca="false">'Смета Внутр'!H559</f>
        <v>0</v>
      </c>
      <c r="J552" s="1018" t="n">
        <f aca="false">'Смета Внутр'!I559</f>
        <v>0</v>
      </c>
    </row>
    <row r="553" customFormat="false" ht="15" hidden="false" customHeight="true" outlineLevel="0" collapsed="false">
      <c r="B553" s="1004" t="str">
        <f aca="false">'Смета Внутр'!B560</f>
        <v>Перемычка оконная, 1-ый эт. Вариант 3</v>
      </c>
      <c r="C553" s="1004" t="str">
        <f aca="false">'Смета Внутр'!C560</f>
        <v>м.п.</v>
      </c>
      <c r="D553" s="1018" t="n">
        <f aca="false">'Смета Внутр'!D560</f>
        <v>0</v>
      </c>
      <c r="E553" s="1004" t="n">
        <f aca="false">'Смета Внутр'!E560</f>
        <v>1000</v>
      </c>
      <c r="F553" s="1004" t="n">
        <f aca="false">'Смета Внутр'!F560</f>
        <v>0</v>
      </c>
      <c r="G553" s="1004" t="n">
        <f aca="false">IF(E553&gt;F553,E553,F553)</f>
        <v>1000</v>
      </c>
      <c r="H553" s="1004" t="n">
        <f aca="false">'Смета Внутр'!G560</f>
        <v>0</v>
      </c>
      <c r="I553" s="1004" t="n">
        <f aca="false">'Смета Внутр'!H560</f>
        <v>0</v>
      </c>
      <c r="J553" s="1018" t="n">
        <f aca="false">'Смета Внутр'!I560</f>
        <v>0</v>
      </c>
    </row>
    <row r="554" customFormat="false" ht="15" hidden="false" customHeight="true" outlineLevel="0" collapsed="false">
      <c r="B554" s="1004" t="str">
        <f aca="false">'Смета Внутр'!B561</f>
        <v>Перемычка оконная, 1-ый эт. Вариант 4</v>
      </c>
      <c r="C554" s="1004" t="str">
        <f aca="false">'Смета Внутр'!C561</f>
        <v>м.п.</v>
      </c>
      <c r="D554" s="1018" t="n">
        <f aca="false">'Смета Внутр'!D561</f>
        <v>0</v>
      </c>
      <c r="E554" s="1004" t="n">
        <f aca="false">'Смета Внутр'!E561</f>
        <v>1000</v>
      </c>
      <c r="F554" s="1004" t="n">
        <f aca="false">'Смета Внутр'!F561</f>
        <v>0</v>
      </c>
      <c r="G554" s="1004" t="n">
        <f aca="false">IF(E554&gt;F554,E554,F554)</f>
        <v>1000</v>
      </c>
      <c r="H554" s="1004" t="n">
        <f aca="false">'Смета Внутр'!G561</f>
        <v>0</v>
      </c>
      <c r="I554" s="1004" t="n">
        <f aca="false">'Смета Внутр'!H561</f>
        <v>0</v>
      </c>
      <c r="J554" s="1018" t="n">
        <f aca="false">'Смета Внутр'!I561</f>
        <v>0</v>
      </c>
    </row>
    <row r="555" customFormat="false" ht="15" hidden="false" customHeight="true" outlineLevel="0" collapsed="false">
      <c r="B555" s="1004" t="str">
        <f aca="false">'Смета Внутр'!B562</f>
        <v>Перемычка оконная, 1-ый эт. Вариант 5</v>
      </c>
      <c r="C555" s="1004" t="str">
        <f aca="false">'Смета Внутр'!C562</f>
        <v>м.п.</v>
      </c>
      <c r="D555" s="1018" t="n">
        <f aca="false">'Смета Внутр'!D562</f>
        <v>0</v>
      </c>
      <c r="E555" s="1004" t="n">
        <f aca="false">'Смета Внутр'!E562</f>
        <v>1000</v>
      </c>
      <c r="F555" s="1004" t="n">
        <f aca="false">'Смета Внутр'!F562</f>
        <v>0</v>
      </c>
      <c r="G555" s="1004" t="n">
        <f aca="false">IF(E555&gt;F555,E555,F555)</f>
        <v>1000</v>
      </c>
      <c r="H555" s="1004" t="n">
        <f aca="false">'Смета Внутр'!G562</f>
        <v>0</v>
      </c>
      <c r="I555" s="1004" t="n">
        <f aca="false">'Смета Внутр'!H562</f>
        <v>0</v>
      </c>
      <c r="J555" s="1018" t="n">
        <f aca="false">'Смета Внутр'!I562</f>
        <v>0</v>
      </c>
    </row>
    <row r="556" customFormat="false" ht="15" hidden="false" customHeight="true" outlineLevel="0" collapsed="false">
      <c r="B556" s="1004" t="str">
        <f aca="false">'Смета Внутр'!B563</f>
        <v>Перемычка оконная, 2-ый эт. Вариант 6</v>
      </c>
      <c r="C556" s="1004" t="str">
        <f aca="false">'Смета Внутр'!C563</f>
        <v>м.п.</v>
      </c>
      <c r="D556" s="1018" t="n">
        <f aca="false">'Смета Внутр'!D563</f>
        <v>0</v>
      </c>
      <c r="E556" s="1004" t="n">
        <f aca="false">'Смета Внутр'!E563</f>
        <v>1000</v>
      </c>
      <c r="F556" s="1004" t="n">
        <f aca="false">'Смета Внутр'!F563</f>
        <v>0</v>
      </c>
      <c r="G556" s="1004" t="n">
        <f aca="false">IF(E556&gt;F556,E556,F556)</f>
        <v>1000</v>
      </c>
      <c r="H556" s="1004" t="n">
        <f aca="false">'Смета Внутр'!G563</f>
        <v>0</v>
      </c>
      <c r="I556" s="1004" t="n">
        <f aca="false">'Смета Внутр'!H563</f>
        <v>0</v>
      </c>
      <c r="J556" s="1018" t="n">
        <f aca="false">'Смета Внутр'!I563</f>
        <v>0</v>
      </c>
    </row>
    <row r="557" customFormat="false" ht="15" hidden="false" customHeight="true" outlineLevel="0" collapsed="false">
      <c r="B557" s="1004" t="str">
        <f aca="false">'Смета Внутр'!B564</f>
        <v>Перемычка оконная, 2-ый эт. Вариант 7</v>
      </c>
      <c r="C557" s="1004" t="str">
        <f aca="false">'Смета Внутр'!C564</f>
        <v>м.п.</v>
      </c>
      <c r="D557" s="1018" t="n">
        <f aca="false">'Смета Внутр'!D564</f>
        <v>0</v>
      </c>
      <c r="E557" s="1004" t="n">
        <f aca="false">'Смета Внутр'!E564</f>
        <v>1000</v>
      </c>
      <c r="F557" s="1004" t="n">
        <f aca="false">'Смета Внутр'!F564</f>
        <v>0</v>
      </c>
      <c r="G557" s="1004" t="n">
        <f aca="false">IF(E557&gt;F557,E557,F557)</f>
        <v>1000</v>
      </c>
      <c r="H557" s="1004" t="n">
        <f aca="false">'Смета Внутр'!G564</f>
        <v>0</v>
      </c>
      <c r="I557" s="1004" t="n">
        <f aca="false">'Смета Внутр'!H564</f>
        <v>0</v>
      </c>
      <c r="J557" s="1018" t="n">
        <f aca="false">'Смета Внутр'!I564</f>
        <v>0</v>
      </c>
    </row>
    <row r="558" customFormat="false" ht="15" hidden="false" customHeight="true" outlineLevel="0" collapsed="false">
      <c r="B558" s="1004" t="str">
        <f aca="false">'Смета Внутр'!B565</f>
        <v>Перемычка оконная, 2-ый эт. Вариант 8</v>
      </c>
      <c r="C558" s="1004" t="str">
        <f aca="false">'Смета Внутр'!C565</f>
        <v>м.п.</v>
      </c>
      <c r="D558" s="1018" t="n">
        <f aca="false">'Смета Внутр'!D565</f>
        <v>0</v>
      </c>
      <c r="E558" s="1004" t="n">
        <f aca="false">'Смета Внутр'!E565</f>
        <v>1000</v>
      </c>
      <c r="F558" s="1004" t="n">
        <f aca="false">'Смета Внутр'!F565</f>
        <v>0</v>
      </c>
      <c r="G558" s="1004" t="n">
        <f aca="false">IF(E558&gt;F558,E558,F558)</f>
        <v>1000</v>
      </c>
      <c r="H558" s="1004" t="n">
        <f aca="false">'Смета Внутр'!G565</f>
        <v>0</v>
      </c>
      <c r="I558" s="1004" t="n">
        <f aca="false">'Смета Внутр'!H565</f>
        <v>0</v>
      </c>
      <c r="J558" s="1018" t="n">
        <f aca="false">'Смета Внутр'!I565</f>
        <v>0</v>
      </c>
    </row>
    <row r="559" customFormat="false" ht="15" hidden="false" customHeight="true" outlineLevel="0" collapsed="false">
      <c r="B559" s="1004" t="str">
        <f aca="false">'Смета Внутр'!B566</f>
        <v>Перемычка оконная, 2-ый эт. Вариант 9</v>
      </c>
      <c r="C559" s="1004" t="str">
        <f aca="false">'Смета Внутр'!C566</f>
        <v>м.п.</v>
      </c>
      <c r="D559" s="1018" t="n">
        <f aca="false">'Смета Внутр'!D566</f>
        <v>0</v>
      </c>
      <c r="E559" s="1004" t="n">
        <f aca="false">'Смета Внутр'!E566</f>
        <v>1000</v>
      </c>
      <c r="F559" s="1004" t="n">
        <f aca="false">'Смета Внутр'!F566</f>
        <v>0</v>
      </c>
      <c r="G559" s="1004" t="n">
        <f aca="false">IF(E559&gt;F559,E559,F559)</f>
        <v>1000</v>
      </c>
      <c r="H559" s="1004" t="n">
        <f aca="false">'Смета Внутр'!G566</f>
        <v>0</v>
      </c>
      <c r="I559" s="1004" t="n">
        <f aca="false">'Смета Внутр'!H566</f>
        <v>0</v>
      </c>
      <c r="J559" s="1018" t="n">
        <f aca="false">'Смета Внутр'!I566</f>
        <v>0</v>
      </c>
    </row>
    <row r="560" customFormat="false" ht="15" hidden="false" customHeight="true" outlineLevel="0" collapsed="false">
      <c r="B560" s="1004" t="str">
        <f aca="false">'Смета Внутр'!B567</f>
        <v>Перемычка оконная, 2-ый эт. Вариант 10</v>
      </c>
      <c r="C560" s="1004" t="str">
        <f aca="false">'Смета Внутр'!C567</f>
        <v>м.п.</v>
      </c>
      <c r="D560" s="1018" t="n">
        <f aca="false">'Смета Внутр'!D567</f>
        <v>0</v>
      </c>
      <c r="E560" s="1004" t="n">
        <f aca="false">'Смета Внутр'!E567</f>
        <v>1000</v>
      </c>
      <c r="F560" s="1004" t="n">
        <f aca="false">'Смета Внутр'!F567</f>
        <v>0</v>
      </c>
      <c r="G560" s="1004" t="n">
        <f aca="false">IF(E560&gt;F560,E560,F560)</f>
        <v>1000</v>
      </c>
      <c r="H560" s="1004" t="n">
        <f aca="false">'Смета Внутр'!G567</f>
        <v>0</v>
      </c>
      <c r="I560" s="1004" t="n">
        <f aca="false">'Смета Внутр'!H567</f>
        <v>0</v>
      </c>
      <c r="J560" s="1018" t="n">
        <f aca="false">'Смета Внутр'!I567</f>
        <v>0</v>
      </c>
    </row>
    <row r="561" customFormat="false" ht="15" hidden="false" customHeight="true" outlineLevel="0" collapsed="false">
      <c r="B561" s="1004" t="str">
        <f aca="false">'Смета Внутр'!B568</f>
        <v>Перемычка дверная, 1-ый эт. Вариант 1</v>
      </c>
      <c r="C561" s="1004" t="str">
        <f aca="false">'Смета Внутр'!C568</f>
        <v>м.п.</v>
      </c>
      <c r="D561" s="1018" t="n">
        <f aca="false">'Смета Внутр'!D568</f>
        <v>0</v>
      </c>
      <c r="E561" s="1004" t="n">
        <f aca="false">'Смета Внутр'!E568</f>
        <v>1000</v>
      </c>
      <c r="F561" s="1004" t="n">
        <f aca="false">'Смета Внутр'!F568</f>
        <v>0</v>
      </c>
      <c r="G561" s="1004" t="n">
        <f aca="false">IF(E561&gt;F561,E561,F561)</f>
        <v>1000</v>
      </c>
      <c r="H561" s="1004" t="n">
        <f aca="false">'Смета Внутр'!G568</f>
        <v>0</v>
      </c>
      <c r="I561" s="1004" t="n">
        <f aca="false">'Смета Внутр'!H568</f>
        <v>0</v>
      </c>
      <c r="J561" s="1018" t="n">
        <f aca="false">'Смета Внутр'!I568</f>
        <v>0</v>
      </c>
    </row>
    <row r="562" customFormat="false" ht="15" hidden="false" customHeight="true" outlineLevel="0" collapsed="false">
      <c r="B562" s="1004" t="str">
        <f aca="false">'Смета Внутр'!B569</f>
        <v>Перемычка дверная, 2-ый эт. Вариант 2</v>
      </c>
      <c r="C562" s="1004" t="str">
        <f aca="false">'Смета Внутр'!C569</f>
        <v>м.п.</v>
      </c>
      <c r="D562" s="1018" t="n">
        <f aca="false">'Смета Внутр'!D569</f>
        <v>0</v>
      </c>
      <c r="E562" s="1004" t="n">
        <f aca="false">'Смета Внутр'!E569</f>
        <v>1000</v>
      </c>
      <c r="F562" s="1004" t="n">
        <f aca="false">'Смета Внутр'!F569</f>
        <v>0</v>
      </c>
      <c r="G562" s="1004" t="n">
        <f aca="false">IF(E562&gt;F562,E562,F562)</f>
        <v>1000</v>
      </c>
      <c r="H562" s="1004" t="n">
        <f aca="false">'Смета Внутр'!G569</f>
        <v>0</v>
      </c>
      <c r="I562" s="1004" t="n">
        <f aca="false">'Смета Внутр'!H569</f>
        <v>0</v>
      </c>
      <c r="J562" s="1018" t="n">
        <f aca="false">'Смета Внутр'!I569</f>
        <v>0</v>
      </c>
    </row>
    <row r="563" customFormat="false" ht="15" hidden="false" customHeight="true" outlineLevel="0" collapsed="false">
      <c r="B563" s="1004" t="str">
        <f aca="false">'Смета Внутр'!B570</f>
        <v>Перемычка оконная 1-ый эт, Вариант 11</v>
      </c>
      <c r="C563" s="1004" t="str">
        <f aca="false">'Смета Внутр'!C570</f>
        <v>м.п.</v>
      </c>
      <c r="D563" s="1018" t="n">
        <f aca="false">'Смета Внутр'!D570</f>
        <v>0</v>
      </c>
      <c r="E563" s="1004" t="n">
        <f aca="false">'Смета Внутр'!E570</f>
        <v>1000</v>
      </c>
      <c r="F563" s="1004" t="n">
        <f aca="false">'Смета Внутр'!F570</f>
        <v>0</v>
      </c>
      <c r="G563" s="1004" t="n">
        <f aca="false">IF(E563&gt;F563,E563,F563)</f>
        <v>1000</v>
      </c>
      <c r="H563" s="1004" t="n">
        <f aca="false">'Смета Внутр'!G570</f>
        <v>0</v>
      </c>
      <c r="I563" s="1004" t="n">
        <f aca="false">'Смета Внутр'!H570</f>
        <v>0</v>
      </c>
      <c r="J563" s="1018" t="n">
        <f aca="false">'Смета Внутр'!I570</f>
        <v>0</v>
      </c>
    </row>
    <row r="564" customFormat="false" ht="15" hidden="false" customHeight="true" outlineLevel="0" collapsed="false">
      <c r="B564" s="1004" t="str">
        <f aca="false">'Смета Внутр'!B571</f>
        <v>Перемычка оконная 1-ый эт, Вариант 12</v>
      </c>
      <c r="C564" s="1004" t="str">
        <f aca="false">'Смета Внутр'!C571</f>
        <v>м.п.</v>
      </c>
      <c r="D564" s="1018" t="n">
        <f aca="false">'Смета Внутр'!D571</f>
        <v>0</v>
      </c>
      <c r="E564" s="1004" t="n">
        <f aca="false">'Смета Внутр'!E571</f>
        <v>1000</v>
      </c>
      <c r="F564" s="1004" t="n">
        <f aca="false">'Смета Внутр'!F571</f>
        <v>0</v>
      </c>
      <c r="G564" s="1004" t="n">
        <f aca="false">IF(E564&gt;F564,E564,F564)</f>
        <v>1000</v>
      </c>
      <c r="H564" s="1004" t="n">
        <f aca="false">'Смета Внутр'!G571</f>
        <v>0</v>
      </c>
      <c r="I564" s="1004" t="n">
        <f aca="false">'Смета Внутр'!H571</f>
        <v>0</v>
      </c>
      <c r="J564" s="1018" t="n">
        <f aca="false">'Смета Внутр'!I571</f>
        <v>0</v>
      </c>
    </row>
    <row r="565" customFormat="false" ht="15" hidden="false" customHeight="true" outlineLevel="0" collapsed="false">
      <c r="B565" s="1004" t="str">
        <f aca="false">'Смета Внутр'!B572</f>
        <v>Перемычка дверная, 1-ый эт. Вариант 4</v>
      </c>
      <c r="C565" s="1004" t="str">
        <f aca="false">'Смета Внутр'!C572</f>
        <v>м.п.</v>
      </c>
      <c r="D565" s="1018" t="n">
        <f aca="false">'Смета Внутр'!D572</f>
        <v>0</v>
      </c>
      <c r="E565" s="1004" t="n">
        <f aca="false">'Смета Внутр'!E572</f>
        <v>1000</v>
      </c>
      <c r="F565" s="1004" t="n">
        <f aca="false">'Смета Внутр'!F572</f>
        <v>0</v>
      </c>
      <c r="G565" s="1004" t="n">
        <f aca="false">IF(E565&gt;F565,E565,F565)</f>
        <v>1000</v>
      </c>
      <c r="H565" s="1004" t="n">
        <f aca="false">'Смета Внутр'!G572</f>
        <v>0</v>
      </c>
      <c r="I565" s="1004" t="n">
        <f aca="false">'Смета Внутр'!H572</f>
        <v>0</v>
      </c>
      <c r="J565" s="1018" t="n">
        <f aca="false">'Смета Внутр'!I572</f>
        <v>0</v>
      </c>
    </row>
    <row r="566" customFormat="false" ht="15" hidden="false" customHeight="true" outlineLevel="0" collapsed="false">
      <c r="B566" s="1004" t="str">
        <f aca="false">'Смета Внутр'!B573</f>
        <v>Перемычка дверная, 1-ый эт. Вариант 5</v>
      </c>
      <c r="C566" s="1004" t="str">
        <f aca="false">'Смета Внутр'!C573</f>
        <v>м.п.</v>
      </c>
      <c r="D566" s="1018" t="n">
        <f aca="false">'Смета Внутр'!D573</f>
        <v>0</v>
      </c>
      <c r="E566" s="1004" t="n">
        <f aca="false">'Смета Внутр'!E573</f>
        <v>1000</v>
      </c>
      <c r="F566" s="1004" t="n">
        <f aca="false">'Смета Внутр'!F573</f>
        <v>0</v>
      </c>
      <c r="G566" s="1004" t="n">
        <f aca="false">IF(E566&gt;F566,E566,F566)</f>
        <v>1000</v>
      </c>
      <c r="H566" s="1004" t="n">
        <f aca="false">'Смета Внутр'!G573</f>
        <v>0</v>
      </c>
      <c r="I566" s="1004" t="n">
        <f aca="false">'Смета Внутр'!H573</f>
        <v>0</v>
      </c>
      <c r="J566" s="1018" t="n">
        <f aca="false">'Смета Внутр'!I573</f>
        <v>0</v>
      </c>
    </row>
    <row r="567" customFormat="false" ht="15" hidden="false" customHeight="true" outlineLevel="0" collapsed="false">
      <c r="B567" s="1004" t="str">
        <f aca="false">'Смета Внутр'!B574</f>
        <v>Перемычка дверная, 1-ый эт. Вариант 6</v>
      </c>
      <c r="C567" s="1004" t="str">
        <f aca="false">'Смета Внутр'!C574</f>
        <v>м.п.</v>
      </c>
      <c r="D567" s="1018" t="n">
        <f aca="false">'Смета Внутр'!D574</f>
        <v>0</v>
      </c>
      <c r="E567" s="1004" t="n">
        <f aca="false">'Смета Внутр'!E574</f>
        <v>1000</v>
      </c>
      <c r="F567" s="1004" t="n">
        <f aca="false">'Смета Внутр'!F574</f>
        <v>0</v>
      </c>
      <c r="G567" s="1004" t="n">
        <f aca="false">IF(E567&gt;F567,E567,F567)</f>
        <v>1000</v>
      </c>
      <c r="H567" s="1004" t="n">
        <f aca="false">'Смета Внутр'!G574</f>
        <v>0</v>
      </c>
      <c r="I567" s="1004" t="n">
        <f aca="false">'Смета Внутр'!H574</f>
        <v>0</v>
      </c>
      <c r="J567" s="1018" t="n">
        <f aca="false">'Смета Внутр'!I574</f>
        <v>0</v>
      </c>
    </row>
    <row r="568" customFormat="false" ht="15" hidden="false" customHeight="true" outlineLevel="0" collapsed="false">
      <c r="B568" s="1004" t="str">
        <f aca="false">'Смета Внутр'!B575</f>
        <v>Перемычка дверная, 2-ый эт. Вариант 7</v>
      </c>
      <c r="C568" s="1004" t="str">
        <f aca="false">'Смета Внутр'!C575</f>
        <v>м.п.</v>
      </c>
      <c r="D568" s="1018" t="n">
        <f aca="false">'Смета Внутр'!D575</f>
        <v>0</v>
      </c>
      <c r="E568" s="1004" t="n">
        <f aca="false">'Смета Внутр'!E575</f>
        <v>1000</v>
      </c>
      <c r="F568" s="1004" t="n">
        <f aca="false">'Смета Внутр'!F575</f>
        <v>0</v>
      </c>
      <c r="G568" s="1004" t="n">
        <f aca="false">IF(E568&gt;F568,E568,F568)</f>
        <v>1000</v>
      </c>
      <c r="H568" s="1004" t="n">
        <f aca="false">'Смета Внутр'!G575</f>
        <v>0</v>
      </c>
      <c r="I568" s="1004" t="n">
        <f aca="false">'Смета Внутр'!H575</f>
        <v>0</v>
      </c>
      <c r="J568" s="1018" t="n">
        <f aca="false">'Смета Внутр'!I575</f>
        <v>0</v>
      </c>
    </row>
    <row r="569" customFormat="false" ht="15" hidden="false" customHeight="true" outlineLevel="0" collapsed="false">
      <c r="B569" s="1004" t="str">
        <f aca="false">'Смета Внутр'!B576</f>
        <v>Перемычка дверная, 2-ый эт. Вариант 8</v>
      </c>
      <c r="C569" s="1004" t="str">
        <f aca="false">'Смета Внутр'!C576</f>
        <v>м.п.</v>
      </c>
      <c r="D569" s="1018" t="n">
        <f aca="false">'Смета Внутр'!D576</f>
        <v>0</v>
      </c>
      <c r="E569" s="1004" t="n">
        <f aca="false">'Смета Внутр'!E576</f>
        <v>1000</v>
      </c>
      <c r="F569" s="1004" t="n">
        <f aca="false">'Смета Внутр'!F576</f>
        <v>0</v>
      </c>
      <c r="G569" s="1004" t="n">
        <f aca="false">IF(E569&gt;F569,E569,F569)</f>
        <v>1000</v>
      </c>
      <c r="H569" s="1004" t="n">
        <f aca="false">'Смета Внутр'!G576</f>
        <v>0</v>
      </c>
      <c r="I569" s="1004" t="n">
        <f aca="false">'Смета Внутр'!H576</f>
        <v>0</v>
      </c>
      <c r="J569" s="1018" t="n">
        <f aca="false">'Смета Внутр'!I576</f>
        <v>0</v>
      </c>
    </row>
    <row r="570" customFormat="false" ht="15" hidden="false" customHeight="true" outlineLevel="0" collapsed="false">
      <c r="B570" s="1004" t="str">
        <f aca="false">'Смета Внутр'!B577</f>
        <v>Перемычка дверная, 2-ый эт. Вариант 9</v>
      </c>
      <c r="C570" s="1004" t="str">
        <f aca="false">'Смета Внутр'!C577</f>
        <v>м.п.</v>
      </c>
      <c r="D570" s="1018" t="n">
        <f aca="false">'Смета Внутр'!D577</f>
        <v>0</v>
      </c>
      <c r="E570" s="1004" t="n">
        <f aca="false">'Смета Внутр'!E577</f>
        <v>1000</v>
      </c>
      <c r="F570" s="1004" t="n">
        <f aca="false">'Смета Внутр'!F577</f>
        <v>0</v>
      </c>
      <c r="G570" s="1004" t="n">
        <f aca="false">IF(E570&gt;F570,E570,F570)</f>
        <v>1000</v>
      </c>
      <c r="H570" s="1004" t="n">
        <f aca="false">'Смета Внутр'!G577</f>
        <v>0</v>
      </c>
      <c r="I570" s="1004" t="n">
        <f aca="false">'Смета Внутр'!H577</f>
        <v>0</v>
      </c>
      <c r="J570" s="1018" t="n">
        <f aca="false">'Смета Внутр'!I577</f>
        <v>0</v>
      </c>
    </row>
    <row r="571" customFormat="false" ht="15" hidden="false" customHeight="true" outlineLevel="0" collapsed="false">
      <c r="B571" s="1004" t="str">
        <f aca="false">'Смета Внутр'!B578</f>
        <v>Перемычка проема, 1-ый эт. Вариант 10</v>
      </c>
      <c r="C571" s="1004" t="str">
        <f aca="false">'Смета Внутр'!C578</f>
        <v>м.п.</v>
      </c>
      <c r="D571" s="1018" t="n">
        <f aca="false">'Смета Внутр'!D578</f>
        <v>0</v>
      </c>
      <c r="E571" s="1004" t="n">
        <f aca="false">'Смета Внутр'!E578</f>
        <v>1000</v>
      </c>
      <c r="F571" s="1004" t="n">
        <f aca="false">'Смета Внутр'!F578</f>
        <v>0</v>
      </c>
      <c r="G571" s="1004" t="n">
        <f aca="false">IF(E571&gt;F571,E571,F571)</f>
        <v>1000</v>
      </c>
      <c r="H571" s="1004" t="n">
        <f aca="false">'Смета Внутр'!G578</f>
        <v>0</v>
      </c>
      <c r="I571" s="1004" t="n">
        <f aca="false">'Смета Внутр'!H578</f>
        <v>0</v>
      </c>
      <c r="J571" s="1018" t="n">
        <f aca="false">'Смета Внутр'!I578</f>
        <v>0</v>
      </c>
    </row>
    <row r="572" customFormat="false" ht="15" hidden="false" customHeight="true" outlineLevel="0" collapsed="false">
      <c r="B572" s="1004" t="str">
        <f aca="false">'Смета Внутр'!B579</f>
        <v>Перемычка проема, 1-ый эт. Вариант 11</v>
      </c>
      <c r="C572" s="1004" t="str">
        <f aca="false">'Смета Внутр'!C579</f>
        <v>м.п.</v>
      </c>
      <c r="D572" s="1018" t="n">
        <f aca="false">'Смета Внутр'!D579</f>
        <v>0</v>
      </c>
      <c r="E572" s="1004" t="n">
        <f aca="false">'Смета Внутр'!E579</f>
        <v>1000</v>
      </c>
      <c r="F572" s="1004" t="n">
        <f aca="false">'Смета Внутр'!F579</f>
        <v>0</v>
      </c>
      <c r="G572" s="1004" t="n">
        <f aca="false">IF(E572&gt;F572,E572,F572)</f>
        <v>1000</v>
      </c>
      <c r="H572" s="1004" t="n">
        <f aca="false">'Смета Внутр'!G579</f>
        <v>0</v>
      </c>
      <c r="I572" s="1004" t="n">
        <f aca="false">'Смета Внутр'!H579</f>
        <v>0</v>
      </c>
      <c r="J572" s="1018" t="n">
        <f aca="false">'Смета Внутр'!I579</f>
        <v>0</v>
      </c>
    </row>
    <row r="573" customFormat="false" ht="15" hidden="false" customHeight="true" outlineLevel="0" collapsed="false">
      <c r="B573" s="1004" t="str">
        <f aca="false">'Смета Внутр'!B580</f>
        <v>Перемычка проема, 2-ый эт. Вариант 12</v>
      </c>
      <c r="C573" s="1004" t="str">
        <f aca="false">'Смета Внутр'!C580</f>
        <v>м.п.</v>
      </c>
      <c r="D573" s="1018" t="n">
        <f aca="false">'Смета Внутр'!D580</f>
        <v>0</v>
      </c>
      <c r="E573" s="1004" t="n">
        <f aca="false">'Смета Внутр'!E580</f>
        <v>1000</v>
      </c>
      <c r="F573" s="1004" t="n">
        <f aca="false">'Смета Внутр'!F580</f>
        <v>0</v>
      </c>
      <c r="G573" s="1004" t="n">
        <f aca="false">IF(E573&gt;F573,E573,F573)</f>
        <v>1000</v>
      </c>
      <c r="H573" s="1004" t="n">
        <f aca="false">'Смета Внутр'!G580</f>
        <v>0</v>
      </c>
      <c r="I573" s="1004" t="n">
        <f aca="false">'Смета Внутр'!H580</f>
        <v>0</v>
      </c>
      <c r="J573" s="1018" t="n">
        <f aca="false">'Смета Внутр'!I580</f>
        <v>0</v>
      </c>
    </row>
    <row r="574" customFormat="false" ht="15" hidden="false" customHeight="true" outlineLevel="0" collapsed="false">
      <c r="B574" s="1004" t="str">
        <f aca="false">'Смета Внутр'!B581</f>
        <v>Перемычка проема, 2-ый эт. Вариант 13</v>
      </c>
      <c r="C574" s="1004" t="str">
        <f aca="false">'Смета Внутр'!C581</f>
        <v>м.п.</v>
      </c>
      <c r="D574" s="1018" t="n">
        <f aca="false">'Смета Внутр'!D581</f>
        <v>0</v>
      </c>
      <c r="E574" s="1004" t="n">
        <f aca="false">'Смета Внутр'!E581</f>
        <v>1000</v>
      </c>
      <c r="F574" s="1004" t="n">
        <f aca="false">'Смета Внутр'!F581</f>
        <v>0</v>
      </c>
      <c r="G574" s="1004" t="n">
        <f aca="false">IF(E574&gt;F574,E574,F574)</f>
        <v>1000</v>
      </c>
      <c r="H574" s="1004" t="n">
        <f aca="false">'Смета Внутр'!G581</f>
        <v>0</v>
      </c>
      <c r="I574" s="1004" t="n">
        <f aca="false">'Смета Внутр'!H581</f>
        <v>0</v>
      </c>
      <c r="J574" s="1018" t="n">
        <f aca="false">'Смета Внутр'!I581</f>
        <v>0</v>
      </c>
    </row>
    <row r="575" customFormat="false" ht="15" hidden="false" customHeight="true" outlineLevel="0" collapsed="false">
      <c r="B575" s="1004" t="str">
        <f aca="false">'Смета Внутр'!B582</f>
        <v>Перемычка дверная, 1-ый эт. Вариант 1</v>
      </c>
      <c r="C575" s="1004" t="str">
        <f aca="false">'Смета Внутр'!C582</f>
        <v>м.п.</v>
      </c>
      <c r="D575" s="1018" t="n">
        <f aca="false">'Смета Внутр'!D582</f>
        <v>0</v>
      </c>
      <c r="E575" s="1004" t="n">
        <f aca="false">'Смета Внутр'!E582</f>
        <v>1000</v>
      </c>
      <c r="F575" s="1004" t="n">
        <f aca="false">'Смета Внутр'!F582</f>
        <v>0</v>
      </c>
      <c r="G575" s="1004" t="n">
        <f aca="false">IF(E575&gt;F575,E575,F575)</f>
        <v>1000</v>
      </c>
      <c r="H575" s="1004" t="n">
        <f aca="false">'Смета Внутр'!G582</f>
        <v>0</v>
      </c>
      <c r="I575" s="1004" t="n">
        <f aca="false">'Смета Внутр'!H582</f>
        <v>0</v>
      </c>
      <c r="J575" s="1018" t="n">
        <f aca="false">'Смета Внутр'!I582</f>
        <v>0</v>
      </c>
    </row>
    <row r="576" customFormat="false" ht="15" hidden="false" customHeight="true" outlineLevel="0" collapsed="false">
      <c r="B576" s="1004" t="str">
        <f aca="false">'Смета Внутр'!B583</f>
        <v>Перемычка дверная, 1-ый эт. Вариант 2</v>
      </c>
      <c r="C576" s="1004" t="str">
        <f aca="false">'Смета Внутр'!C583</f>
        <v>м.п.</v>
      </c>
      <c r="D576" s="1018" t="n">
        <f aca="false">'Смета Внутр'!D583</f>
        <v>0</v>
      </c>
      <c r="E576" s="1004" t="n">
        <f aca="false">'Смета Внутр'!E583</f>
        <v>1000</v>
      </c>
      <c r="F576" s="1004" t="n">
        <f aca="false">'Смета Внутр'!F583</f>
        <v>0</v>
      </c>
      <c r="G576" s="1004" t="n">
        <f aca="false">IF(E576&gt;F576,E576,F576)</f>
        <v>1000</v>
      </c>
      <c r="H576" s="1004" t="n">
        <f aca="false">'Смета Внутр'!G583</f>
        <v>0</v>
      </c>
      <c r="I576" s="1004" t="n">
        <f aca="false">'Смета Внутр'!H583</f>
        <v>0</v>
      </c>
      <c r="J576" s="1018" t="n">
        <f aca="false">'Смета Внутр'!I583</f>
        <v>0</v>
      </c>
    </row>
    <row r="577" customFormat="false" ht="15" hidden="false" customHeight="true" outlineLevel="0" collapsed="false">
      <c r="B577" s="1004" t="str">
        <f aca="false">'Смета Внутр'!B584</f>
        <v>Перемычка дверная, 1-ый эт. Вариант 3</v>
      </c>
      <c r="C577" s="1004" t="str">
        <f aca="false">'Смета Внутр'!C584</f>
        <v>м.п.</v>
      </c>
      <c r="D577" s="1018" t="n">
        <f aca="false">'Смета Внутр'!D584</f>
        <v>0</v>
      </c>
      <c r="E577" s="1004" t="n">
        <f aca="false">'Смета Внутр'!E584</f>
        <v>1000</v>
      </c>
      <c r="F577" s="1004" t="n">
        <f aca="false">'Смета Внутр'!F584</f>
        <v>0</v>
      </c>
      <c r="G577" s="1004" t="n">
        <f aca="false">IF(E577&gt;F577,E577,F577)</f>
        <v>1000</v>
      </c>
      <c r="H577" s="1004" t="n">
        <f aca="false">'Смета Внутр'!G584</f>
        <v>0</v>
      </c>
      <c r="I577" s="1004" t="n">
        <f aca="false">'Смета Внутр'!H584</f>
        <v>0</v>
      </c>
      <c r="J577" s="1018" t="n">
        <f aca="false">'Смета Внутр'!I584</f>
        <v>0</v>
      </c>
    </row>
    <row r="578" customFormat="false" ht="15" hidden="false" customHeight="true" outlineLevel="0" collapsed="false">
      <c r="B578" s="1004" t="str">
        <f aca="false">'Смета Внутр'!B585</f>
        <v>Сосна влаж,200*40мм</v>
      </c>
      <c r="C578" s="1004" t="str">
        <f aca="false">'Смета Внутр'!C585</f>
        <v>м3</v>
      </c>
      <c r="D578" s="1018" t="n">
        <f aca="false">'Смета Внутр'!D585</f>
        <v>0.832</v>
      </c>
      <c r="E578" s="1004" t="n">
        <f aca="false">'Смета Внутр'!E585</f>
        <v>6500</v>
      </c>
      <c r="F578" s="1004" t="n">
        <f aca="false">'Смета Внутр'!F585</f>
        <v>0</v>
      </c>
      <c r="G578" s="1004" t="n">
        <f aca="false">IF(E578&gt;F578,E578,F578)</f>
        <v>6500</v>
      </c>
      <c r="H578" s="1004" t="n">
        <f aca="false">'Смета Внутр'!G585</f>
        <v>5408</v>
      </c>
      <c r="I578" s="1004" t="n">
        <f aca="false">'Смета Внутр'!H585</f>
        <v>0</v>
      </c>
      <c r="J578" s="1018" t="n">
        <f aca="false">'Смета Внутр'!I585</f>
        <v>0</v>
      </c>
    </row>
    <row r="579" customFormat="false" ht="15" hidden="false" customHeight="true" outlineLevel="0" collapsed="false">
      <c r="B579" s="1004" t="str">
        <f aca="false">'Смета Внутр'!B586</f>
        <v>Сейсмопояс Арматура М10 4 нити</v>
      </c>
      <c r="C579" s="1004" t="str">
        <f aca="false">'Смета Внутр'!C586</f>
        <v>м.п.</v>
      </c>
      <c r="D579" s="1018" t="n">
        <f aca="false">'Смета Внутр'!D586</f>
        <v>176</v>
      </c>
      <c r="E579" s="1004" t="n">
        <f aca="false">'Смета Внутр'!E586</f>
        <v>21.0397</v>
      </c>
      <c r="F579" s="1004" t="n">
        <f aca="false">'Смета Внутр'!F586</f>
        <v>0</v>
      </c>
      <c r="G579" s="1004" t="n">
        <f aca="false">IF(E579&gt;F579,E579,F579)</f>
        <v>21.0397</v>
      </c>
      <c r="H579" s="1004" t="n">
        <f aca="false">'Смета Внутр'!G586</f>
        <v>3702.9872</v>
      </c>
      <c r="I579" s="1004" t="n">
        <f aca="false">'Смета Внутр'!H586</f>
        <v>0</v>
      </c>
      <c r="J579" s="1018" t="n">
        <f aca="false">'Смета Внутр'!I586</f>
        <v>0</v>
      </c>
    </row>
    <row r="580" customFormat="false" ht="15" hidden="false" customHeight="true" outlineLevel="0" collapsed="false">
      <c r="B580" s="1004" t="str">
        <f aca="false">'Смета Внутр'!B587</f>
        <v>Хомут для сейсмопояса Арматура М6, шаг 400мм</v>
      </c>
      <c r="C580" s="1004" t="str">
        <f aca="false">'Смета Внутр'!C587</f>
        <v>м.п.</v>
      </c>
      <c r="D580" s="1018" t="n">
        <f aca="false">'Смета Внутр'!D587</f>
        <v>90</v>
      </c>
      <c r="E580" s="1004" t="n">
        <f aca="false">'Смета Внутр'!E587</f>
        <v>0</v>
      </c>
      <c r="F580" s="1004" t="n">
        <f aca="false">'Смета Внутр'!F587</f>
        <v>0</v>
      </c>
      <c r="G580" s="1004" t="n">
        <f aca="false">IF(E580&gt;F580,E580,F580)</f>
        <v>0</v>
      </c>
      <c r="H580" s="1004" t="n">
        <f aca="false">'Смета Внутр'!G587</f>
        <v>0</v>
      </c>
      <c r="I580" s="1004" t="n">
        <f aca="false">'Смета Внутр'!H587</f>
        <v>0</v>
      </c>
      <c r="J580" s="1018" t="n">
        <f aca="false">'Смета Внутр'!I587</f>
        <v>0</v>
      </c>
    </row>
    <row r="581" customFormat="false" ht="15" hidden="false" customHeight="true" outlineLevel="0" collapsed="false">
      <c r="B581" s="1004" t="str">
        <f aca="false">'Смета Внутр'!B588</f>
        <v>Бетон, м300</v>
      </c>
      <c r="C581" s="1004" t="str">
        <f aca="false">'Смета Внутр'!C588</f>
        <v>м3</v>
      </c>
      <c r="D581" s="1018" t="n">
        <f aca="false">'Смета Внутр'!D588</f>
        <v>1.638</v>
      </c>
      <c r="E581" s="1004" t="n">
        <f aca="false">'Смета Внутр'!E588</f>
        <v>3000</v>
      </c>
      <c r="F581" s="1004" t="n">
        <f aca="false">'Смета Внутр'!F588</f>
        <v>0</v>
      </c>
      <c r="G581" s="1004" t="n">
        <f aca="false">IF(E581&gt;F581,E581,F581)</f>
        <v>3000</v>
      </c>
      <c r="H581" s="1004" t="n">
        <f aca="false">'Смета Внутр'!G588</f>
        <v>4914</v>
      </c>
      <c r="I581" s="1004" t="n">
        <f aca="false">'Смета Внутр'!H588</f>
        <v>0</v>
      </c>
      <c r="J581" s="1018" t="n">
        <f aca="false">'Смета Внутр'!I588</f>
        <v>0</v>
      </c>
    </row>
    <row r="582" customFormat="false" ht="15" hidden="false" customHeight="true" outlineLevel="0" collapsed="false">
      <c r="B582" s="1004" t="str">
        <f aca="false">'Смета Внутр'!B589</f>
        <v>Нет</v>
      </c>
      <c r="C582" s="1004" t="str">
        <f aca="false">'Смета Внутр'!C589</f>
        <v>м3</v>
      </c>
      <c r="D582" s="1018" t="n">
        <f aca="false">'Смета Внутр'!D589</f>
        <v>0</v>
      </c>
      <c r="E582" s="1004" t="n">
        <f aca="false">'Смета Внутр'!E589</f>
        <v>0</v>
      </c>
      <c r="F582" s="1004" t="n">
        <f aca="false">'Смета Внутр'!F589</f>
        <v>0</v>
      </c>
      <c r="G582" s="1004" t="n">
        <f aca="false">IF(E582&gt;F582,E582,F582)</f>
        <v>0</v>
      </c>
      <c r="H582" s="1004" t="n">
        <f aca="false">'Смета Внутр'!G589</f>
        <v>0</v>
      </c>
      <c r="I582" s="1004" t="n">
        <f aca="false">'Смета Внутр'!H589</f>
        <v>0</v>
      </c>
      <c r="J582" s="1018" t="n">
        <f aca="false">'Смета Внутр'!I589</f>
        <v>0</v>
      </c>
    </row>
    <row r="583" customFormat="false" ht="15" hidden="false" customHeight="true" outlineLevel="0" collapsed="false">
      <c r="B583" s="1004" t="str">
        <f aca="false">'Смета Внутр'!B590</f>
        <v>Грибок для крепления утеплителя</v>
      </c>
      <c r="C583" s="1004" t="str">
        <f aca="false">'Смета Внутр'!C590</f>
        <v>шт</v>
      </c>
      <c r="D583" s="1018" t="n">
        <f aca="false">'Смета Внутр'!D590</f>
        <v>0</v>
      </c>
      <c r="E583" s="1004" t="n">
        <f aca="false">'Смета Внутр'!E590</f>
        <v>15</v>
      </c>
      <c r="F583" s="1004" t="n">
        <f aca="false">'Смета Внутр'!F590</f>
        <v>0</v>
      </c>
      <c r="G583" s="1004" t="n">
        <f aca="false">IF(E583&gt;F583,E583,F583)</f>
        <v>15</v>
      </c>
      <c r="H583" s="1004" t="n">
        <f aca="false">'Смета Внутр'!G590</f>
        <v>0</v>
      </c>
      <c r="I583" s="1004" t="n">
        <f aca="false">'Смета Внутр'!H590</f>
        <v>0</v>
      </c>
      <c r="J583" s="1018" t="n">
        <f aca="false">'Смета Внутр'!I590</f>
        <v>0</v>
      </c>
    </row>
    <row r="584" customFormat="false" ht="15" hidden="false" customHeight="true" outlineLevel="0" collapsed="false">
      <c r="B584" s="1004" t="str">
        <f aca="false">'Смета Внутр'!B591</f>
        <v>нет ветроизоляции</v>
      </c>
      <c r="C584" s="1004" t="str">
        <f aca="false">'Смета Внутр'!C591</f>
        <v>м2</v>
      </c>
      <c r="D584" s="1018" t="n">
        <f aca="false">'Смета Внутр'!D591</f>
        <v>0</v>
      </c>
      <c r="E584" s="1004" t="n">
        <f aca="false">'Смета Внутр'!E591</f>
        <v>0</v>
      </c>
      <c r="F584" s="1004" t="n">
        <f aca="false">'Смета Внутр'!F591</f>
        <v>0</v>
      </c>
      <c r="G584" s="1004" t="n">
        <f aca="false">IF(E584&gt;F584,E584,F584)</f>
        <v>0</v>
      </c>
      <c r="H584" s="1004" t="n">
        <f aca="false">'Смета Внутр'!G591</f>
        <v>0</v>
      </c>
      <c r="I584" s="1004" t="n">
        <f aca="false">'Смета Внутр'!H591</f>
        <v>0</v>
      </c>
      <c r="J584" s="1018" t="n">
        <f aca="false">'Смета Внутр'!I591</f>
        <v>0</v>
      </c>
    </row>
    <row r="585" customFormat="false" ht="14.5" hidden="false" customHeight="false" outlineLevel="0" collapsed="false">
      <c r="B585" s="2927" t="str">
        <f aca="false">'Смета Внутр'!B592</f>
        <v>Итого материалы</v>
      </c>
      <c r="C585" s="2927"/>
      <c r="D585" s="2927"/>
      <c r="E585" s="2927"/>
      <c r="F585" s="2927"/>
      <c r="G585" s="2927"/>
      <c r="H585" s="1004" t="n">
        <f aca="false">'Смета Внутр'!G592</f>
        <v>0</v>
      </c>
      <c r="I585" s="1004" t="n">
        <f aca="false">'Смета Внутр'!H592</f>
        <v>0</v>
      </c>
      <c r="J585" s="1018" t="n">
        <f aca="false">'Смета Внутр'!I592</f>
        <v>0</v>
      </c>
    </row>
    <row r="586" customFormat="false" ht="15" hidden="false" customHeight="true" outlineLevel="0" collapsed="false">
      <c r="B586" s="2881" t="str">
        <f aca="false">'Смета Внутр'!B593</f>
        <v>Работы</v>
      </c>
      <c r="D586" s="919"/>
      <c r="H586" s="0" t="n">
        <f aca="false">'Смета Внутр'!G593</f>
        <v>0</v>
      </c>
      <c r="I586" s="0" t="n">
        <f aca="false">'Смета Внутр'!H593</f>
        <v>0</v>
      </c>
      <c r="J586" s="2926" t="n">
        <f aca="false">'Смета Внутр'!I593</f>
        <v>0</v>
      </c>
    </row>
    <row r="587" customFormat="false" ht="15" hidden="false" customHeight="true" outlineLevel="0" collapsed="false">
      <c r="B587" s="1004" t="str">
        <f aca="false">'Смета Внутр'!B594</f>
        <v>кладка газобетона несущие стены</v>
      </c>
      <c r="C587" s="1004" t="str">
        <f aca="false">'Смета Внутр'!C594</f>
        <v>м3</v>
      </c>
      <c r="D587" s="1018" t="n">
        <f aca="false">'Смета Внутр'!D594</f>
        <v>-3.12</v>
      </c>
      <c r="E587" s="1004" t="n">
        <f aca="false">'Смета Внутр'!E594</f>
        <v>3500</v>
      </c>
      <c r="F587" s="1004" t="n">
        <f aca="false">'Смета Внутр'!F594</f>
        <v>0</v>
      </c>
      <c r="G587" s="1004" t="n">
        <f aca="false">IF(E587&gt;F587,E587,F587)</f>
        <v>3500</v>
      </c>
      <c r="H587" s="1004" t="n">
        <f aca="false">'Смета Внутр'!G594</f>
        <v>-10920</v>
      </c>
      <c r="I587" s="1004" t="n">
        <f aca="false">'Смета Внутр'!H594</f>
        <v>0</v>
      </c>
      <c r="J587" s="1018" t="n">
        <f aca="false">'Смета Внутр'!I594</f>
        <v>0</v>
      </c>
    </row>
    <row r="588" customFormat="false" ht="15" hidden="false" customHeight="true" outlineLevel="0" collapsed="false">
      <c r="B588" s="1004" t="str">
        <f aca="false">'Смета Внутр'!B595</f>
        <v>кладка газобетона несущие перегородки</v>
      </c>
      <c r="C588" s="1004" t="str">
        <f aca="false">'Смета Внутр'!C595</f>
        <v>м3</v>
      </c>
      <c r="D588" s="1018" t="n">
        <f aca="false">'Смета Внутр'!D595</f>
        <v>0</v>
      </c>
      <c r="E588" s="1004" t="n">
        <f aca="false">'Смета Внутр'!E595</f>
        <v>3500</v>
      </c>
      <c r="F588" s="1004" t="n">
        <f aca="false">'Смета Внутр'!F595</f>
        <v>0</v>
      </c>
      <c r="G588" s="1004" t="n">
        <f aca="false">IF(E588&gt;F588,E588,F588)</f>
        <v>3500</v>
      </c>
      <c r="H588" s="1004" t="n">
        <f aca="false">'Смета Внутр'!G595</f>
        <v>0</v>
      </c>
      <c r="I588" s="1004" t="n">
        <f aca="false">'Смета Внутр'!H595</f>
        <v>0</v>
      </c>
      <c r="J588" s="1018" t="n">
        <f aca="false">'Смета Внутр'!I595</f>
        <v>0</v>
      </c>
    </row>
    <row r="589" customFormat="false" ht="15" hidden="false" customHeight="true" outlineLevel="0" collapsed="false">
      <c r="B589" s="1004" t="str">
        <f aca="false">'Смета Внутр'!B596</f>
        <v>кладка газобетона перегородки</v>
      </c>
      <c r="C589" s="1004" t="str">
        <f aca="false">'Смета Внутр'!C596</f>
        <v>м2</v>
      </c>
      <c r="D589" s="1018" t="n">
        <f aca="false">'Смета Внутр'!D596</f>
        <v>0</v>
      </c>
      <c r="E589" s="1004" t="n">
        <f aca="false">'Смета Внутр'!E596</f>
        <v>500</v>
      </c>
      <c r="F589" s="1004" t="n">
        <f aca="false">'Смета Внутр'!F596</f>
        <v>0</v>
      </c>
      <c r="G589" s="1004" t="n">
        <f aca="false">IF(E589&gt;F589,E589,F589)</f>
        <v>500</v>
      </c>
      <c r="H589" s="1004" t="n">
        <f aca="false">'Смета Внутр'!G596</f>
        <v>0</v>
      </c>
      <c r="I589" s="1004" t="n">
        <f aca="false">'Смета Внутр'!H596</f>
        <v>0</v>
      </c>
      <c r="J589" s="1018" t="n">
        <f aca="false">'Смета Внутр'!I596</f>
        <v>0</v>
      </c>
    </row>
    <row r="590" customFormat="false" ht="15" hidden="false" customHeight="true" outlineLevel="0" collapsed="false">
      <c r="B590" s="1004" t="str">
        <f aca="false">'Смета Внутр'!B597</f>
        <v>изготовление и монтаж перемычек для окон и дверей</v>
      </c>
      <c r="C590" s="1004" t="str">
        <f aca="false">'Смета Внутр'!C597</f>
        <v>м.п.</v>
      </c>
      <c r="D590" s="1018" t="n">
        <f aca="false">'Смета Внутр'!D597</f>
        <v>2.52</v>
      </c>
      <c r="E590" s="1004" t="n">
        <f aca="false">'Смета Внутр'!E597</f>
        <v>500</v>
      </c>
      <c r="F590" s="1004" t="n">
        <f aca="false">'Смета Внутр'!F597</f>
        <v>0</v>
      </c>
      <c r="G590" s="1004" t="n">
        <f aca="false">IF(E590&gt;F590,E590,F590)</f>
        <v>500</v>
      </c>
      <c r="H590" s="1004" t="n">
        <f aca="false">'Смета Внутр'!G597</f>
        <v>1260</v>
      </c>
      <c r="I590" s="1004" t="n">
        <f aca="false">'Смета Внутр'!H597</f>
        <v>0</v>
      </c>
      <c r="J590" s="1018" t="n">
        <f aca="false">'Смета Внутр'!I597</f>
        <v>0</v>
      </c>
    </row>
    <row r="591" customFormat="false" ht="15" hidden="false" customHeight="true" outlineLevel="0" collapsed="false">
      <c r="B591" s="1004" t="str">
        <f aca="false">'Смета Внутр'!B598</f>
        <v>Замешивание раствора</v>
      </c>
      <c r="C591" s="1004" t="str">
        <f aca="false">'Смета Внутр'!C598</f>
        <v>м3</v>
      </c>
      <c r="D591" s="1018" t="n">
        <f aca="false">'Смета Внутр'!D598</f>
        <v>-0.541445759999999</v>
      </c>
      <c r="E591" s="1004" t="n">
        <f aca="false">'Смета Внутр'!E598</f>
        <v>1500</v>
      </c>
      <c r="F591" s="1004" t="n">
        <f aca="false">'Смета Внутр'!F598</f>
        <v>0</v>
      </c>
      <c r="G591" s="1004" t="n">
        <f aca="false">IF(E591&gt;F591,E591,F591)</f>
        <v>1500</v>
      </c>
      <c r="H591" s="1004" t="n">
        <f aca="false">'Смета Внутр'!G598</f>
        <v>-812.168639999999</v>
      </c>
      <c r="I591" s="1004" t="n">
        <f aca="false">'Смета Внутр'!H598</f>
        <v>0</v>
      </c>
      <c r="J591" s="1018" t="n">
        <f aca="false">'Смета Внутр'!I598</f>
        <v>0</v>
      </c>
    </row>
    <row r="592" customFormat="false" ht="15" hidden="false" customHeight="true" outlineLevel="0" collapsed="false">
      <c r="B592" s="1004" t="str">
        <f aca="false">'Смета Внутр'!B599</f>
        <v>Армирование стен наружних и перегородок</v>
      </c>
      <c r="C592" s="1004" t="str">
        <f aca="false">'Смета Внутр'!C599</f>
        <v>м.п.</v>
      </c>
      <c r="D592" s="1018" t="n">
        <f aca="false">'Смета Внутр'!D599</f>
        <v>240</v>
      </c>
      <c r="E592" s="1004" t="n">
        <f aca="false">'Смета Внутр'!E599</f>
        <v>70</v>
      </c>
      <c r="F592" s="1004" t="n">
        <f aca="false">'Смета Внутр'!F599</f>
        <v>0</v>
      </c>
      <c r="G592" s="1004" t="n">
        <f aca="false">IF(E592&gt;F592,E592,F592)</f>
        <v>70</v>
      </c>
      <c r="H592" s="1004" t="n">
        <f aca="false">'Смета Внутр'!G599</f>
        <v>16800</v>
      </c>
      <c r="I592" s="1004" t="n">
        <f aca="false">'Смета Внутр'!H599</f>
        <v>0</v>
      </c>
      <c r="J592" s="1018" t="n">
        <f aca="false">'Смета Внутр'!I599</f>
        <v>0</v>
      </c>
    </row>
    <row r="593" customFormat="false" ht="15" hidden="false" customHeight="true" outlineLevel="0" collapsed="false">
      <c r="B593" s="1004" t="str">
        <f aca="false">'Смета Внутр'!B600</f>
        <v>Установка опалубки для сейсмопояса</v>
      </c>
      <c r="C593" s="1004" t="str">
        <f aca="false">'Смета Внутр'!C600</f>
        <v>м.п.</v>
      </c>
      <c r="D593" s="1018" t="n">
        <f aca="false">'Смета Внутр'!D600</f>
        <v>40</v>
      </c>
      <c r="E593" s="1004" t="n">
        <f aca="false">'Смета Внутр'!E600</f>
        <v>300</v>
      </c>
      <c r="F593" s="1004" t="n">
        <f aca="false">'Смета Внутр'!F600</f>
        <v>0</v>
      </c>
      <c r="G593" s="1004" t="n">
        <f aca="false">IF(E593&gt;F593,E593,F593)</f>
        <v>300</v>
      </c>
      <c r="H593" s="1004" t="n">
        <f aca="false">'Смета Внутр'!G600</f>
        <v>12000</v>
      </c>
      <c r="I593" s="1004" t="n">
        <f aca="false">'Смета Внутр'!H600</f>
        <v>0</v>
      </c>
      <c r="J593" s="1018" t="n">
        <f aca="false">'Смета Внутр'!I600</f>
        <v>0</v>
      </c>
    </row>
    <row r="594" customFormat="false" ht="15" hidden="false" customHeight="true" outlineLevel="0" collapsed="false">
      <c r="B594" s="1004" t="str">
        <f aca="false">'Смета Внутр'!B601</f>
        <v>Армирование сейсмопояса</v>
      </c>
      <c r="C594" s="1004" t="str">
        <f aca="false">'Смета Внутр'!C601</f>
        <v>м.п.</v>
      </c>
      <c r="D594" s="1018" t="n">
        <f aca="false">'Смета Внутр'!D601</f>
        <v>40</v>
      </c>
      <c r="E594" s="1004" t="n">
        <f aca="false">'Смета Внутр'!E601</f>
        <v>500</v>
      </c>
      <c r="F594" s="1004" t="n">
        <f aca="false">'Смета Внутр'!F601</f>
        <v>0</v>
      </c>
      <c r="G594" s="1004" t="n">
        <f aca="false">IF(E594&gt;F594,E594,F594)</f>
        <v>500</v>
      </c>
      <c r="H594" s="1004" t="n">
        <f aca="false">'Смета Внутр'!G601</f>
        <v>20000</v>
      </c>
      <c r="I594" s="1004" t="n">
        <f aca="false">'Смета Внутр'!H601</f>
        <v>0</v>
      </c>
      <c r="J594" s="1018" t="n">
        <f aca="false">'Смета Внутр'!I601</f>
        <v>0</v>
      </c>
    </row>
    <row r="595" customFormat="false" ht="15" hidden="false" customHeight="true" outlineLevel="0" collapsed="false">
      <c r="B595" s="1004" t="str">
        <f aca="false">'Смета Внутр'!B602</f>
        <v>Заливка бетоном сейсмопояса</v>
      </c>
      <c r="C595" s="1004" t="str">
        <f aca="false">'Смета Внутр'!C602</f>
        <v>м.п.</v>
      </c>
      <c r="D595" s="1018" t="n">
        <f aca="false">'Смета Внутр'!D602</f>
        <v>40</v>
      </c>
      <c r="E595" s="1004" t="n">
        <f aca="false">'Смета Внутр'!E602</f>
        <v>700</v>
      </c>
      <c r="F595" s="1004" t="n">
        <f aca="false">'Смета Внутр'!F602</f>
        <v>0</v>
      </c>
      <c r="G595" s="1004" t="n">
        <f aca="false">IF(E595&gt;F595,E595,F595)</f>
        <v>700</v>
      </c>
      <c r="H595" s="1004" t="n">
        <f aca="false">'Смета Внутр'!G602</f>
        <v>28000</v>
      </c>
      <c r="I595" s="1004" t="n">
        <f aca="false">'Смета Внутр'!H602</f>
        <v>0</v>
      </c>
      <c r="J595" s="1018" t="n">
        <f aca="false">'Смета Внутр'!I602</f>
        <v>0</v>
      </c>
    </row>
    <row r="596" customFormat="false" ht="15" hidden="false" customHeight="true" outlineLevel="0" collapsed="false">
      <c r="B596" s="1004" t="str">
        <f aca="false">'Смета Внутр'!B603</f>
        <v>утепление стен снаружи дома</v>
      </c>
      <c r="C596" s="1004" t="str">
        <f aca="false">'Смета Внутр'!C603</f>
        <v>м2</v>
      </c>
      <c r="D596" s="1018" t="n">
        <f aca="false">'Смета Внутр'!D603</f>
        <v>0</v>
      </c>
      <c r="E596" s="1004" t="n">
        <f aca="false">'Смета Внутр'!E603</f>
        <v>350</v>
      </c>
      <c r="F596" s="1004" t="n">
        <f aca="false">'Смета Внутр'!F603</f>
        <v>0</v>
      </c>
      <c r="G596" s="1004" t="n">
        <f aca="false">IF(E596&gt;F596,E596,F596)</f>
        <v>350</v>
      </c>
      <c r="H596" s="1004" t="n">
        <f aca="false">'Смета Внутр'!G603</f>
        <v>0</v>
      </c>
      <c r="I596" s="1004" t="n">
        <f aca="false">'Смета Внутр'!H603</f>
        <v>0</v>
      </c>
      <c r="J596" s="1018" t="n">
        <f aca="false">'Смета Внутр'!I603</f>
        <v>0</v>
      </c>
    </row>
    <row r="597" customFormat="false" ht="15" hidden="false" customHeight="true" outlineLevel="0" collapsed="false">
      <c r="B597" s="1004" t="str">
        <f aca="false">'Смета Внутр'!B604</f>
        <v>монтаж ветроизоляции стен</v>
      </c>
      <c r="C597" s="1004" t="str">
        <f aca="false">'Смета Внутр'!C604</f>
        <v>м2</v>
      </c>
      <c r="D597" s="1018" t="n">
        <f aca="false">'Смета Внутр'!D604</f>
        <v>0</v>
      </c>
      <c r="E597" s="1004" t="n">
        <f aca="false">'Смета Внутр'!E604</f>
        <v>100</v>
      </c>
      <c r="F597" s="1004" t="n">
        <f aca="false">'Смета Внутр'!F604</f>
        <v>0</v>
      </c>
      <c r="G597" s="1004" t="n">
        <f aca="false">IF(E597&gt;F597,E597,F597)</f>
        <v>100</v>
      </c>
      <c r="H597" s="1004" t="n">
        <f aca="false">'Смета Внутр'!G604</f>
        <v>0</v>
      </c>
      <c r="I597" s="1004" t="n">
        <f aca="false">'Смета Внутр'!H604</f>
        <v>0</v>
      </c>
      <c r="J597" s="1018" t="n">
        <f aca="false">'Смета Внутр'!I604</f>
        <v>0</v>
      </c>
    </row>
    <row r="598" customFormat="false" ht="15" hidden="false" customHeight="true" outlineLevel="0" collapsed="false">
      <c r="B598" s="2927" t="str">
        <f aca="false">'Смета Внутр'!B605</f>
        <v>Итого работы</v>
      </c>
      <c r="C598" s="2927"/>
      <c r="D598" s="2927"/>
      <c r="E598" s="2927"/>
      <c r="F598" s="2927"/>
      <c r="G598" s="2927"/>
      <c r="H598" s="1004" t="n">
        <f aca="false">'Смета Внутр'!G605</f>
        <v>0</v>
      </c>
      <c r="I598" s="1004" t="n">
        <f aca="false">'Смета Внутр'!H605</f>
        <v>0</v>
      </c>
      <c r="J598" s="1018" t="n">
        <f aca="false">'Смета Внутр'!I605</f>
        <v>0</v>
      </c>
    </row>
    <row r="599" customFormat="false" ht="15" hidden="false" customHeight="true" outlineLevel="0" collapsed="false">
      <c r="B599" s="2925" t="str">
        <f aca="false">'Смета Внутр'!B606</f>
        <v>Дом из Пенобетона</v>
      </c>
      <c r="C599" s="2925"/>
      <c r="D599" s="2925"/>
      <c r="H599" s="0" t="n">
        <f aca="false">'Смета Внутр'!G606</f>
        <v>0</v>
      </c>
      <c r="I599" s="0" t="n">
        <f aca="false">'Смета Внутр'!H606</f>
        <v>0</v>
      </c>
      <c r="J599" s="2926" t="n">
        <f aca="false">'Смета Внутр'!I606</f>
        <v>0</v>
      </c>
    </row>
    <row r="600" customFormat="false" ht="15" hidden="false" customHeight="true" outlineLevel="0" collapsed="false">
      <c r="B600" s="2881" t="str">
        <f aca="false">'Смета Внутр'!B607</f>
        <v>Материалы</v>
      </c>
      <c r="D600" s="919"/>
      <c r="H600" s="0" t="n">
        <f aca="false">'Смета Внутр'!G607</f>
        <v>0</v>
      </c>
      <c r="I600" s="0" t="n">
        <f aca="false">'Смета Внутр'!H607</f>
        <v>0</v>
      </c>
      <c r="J600" s="2926" t="n">
        <f aca="false">'Смета Внутр'!I607</f>
        <v>0</v>
      </c>
    </row>
    <row r="601" customFormat="false" ht="15" hidden="false" customHeight="true" outlineLevel="0" collapsed="false">
      <c r="B601" s="1004" t="str">
        <f aca="false">'Смета Внутр'!B608</f>
        <v>Керамзитобетонный блок - 390х190х188</v>
      </c>
      <c r="C601" s="1004" t="str">
        <f aca="false">'Смета Внутр'!C608</f>
        <v>м3</v>
      </c>
      <c r="D601" s="1018" t="n">
        <f aca="false">'Смета Внутр'!D608</f>
        <v>0</v>
      </c>
      <c r="E601" s="1004" t="n">
        <f aca="false">'Смета Внутр'!E608</f>
        <v>3200</v>
      </c>
      <c r="F601" s="1004" t="n">
        <f aca="false">'Смета Внутр'!F608</f>
        <v>0</v>
      </c>
      <c r="G601" s="1004" t="n">
        <f aca="false">IF(E601&gt;F601,E601,F601)</f>
        <v>3200</v>
      </c>
      <c r="H601" s="1004" t="n">
        <f aca="false">'Смета Внутр'!G608</f>
        <v>0</v>
      </c>
      <c r="I601" s="1004" t="n">
        <f aca="false">'Смета Внутр'!H608</f>
        <v>0</v>
      </c>
      <c r="J601" s="1018" t="n">
        <f aca="false">'Смета Внутр'!I608</f>
        <v>0</v>
      </c>
    </row>
    <row r="602" customFormat="false" ht="15" hidden="false" customHeight="true" outlineLevel="0" collapsed="false">
      <c r="B602" s="1004" t="str">
        <f aca="false">'Смета Внутр'!B609</f>
        <v>Керамзитобетонный блок - 390х190х188</v>
      </c>
      <c r="C602" s="1004" t="str">
        <f aca="false">'Смета Внутр'!C609</f>
        <v>м3</v>
      </c>
      <c r="D602" s="1018" t="n">
        <f aca="false">'Смета Внутр'!D609</f>
        <v>0</v>
      </c>
      <c r="E602" s="1004" t="n">
        <f aca="false">'Смета Внутр'!E609</f>
        <v>3200</v>
      </c>
      <c r="F602" s="1004" t="n">
        <f aca="false">'Смета Внутр'!F609</f>
        <v>0</v>
      </c>
      <c r="G602" s="1004" t="n">
        <f aca="false">IF(E602&gt;F602,E602,F602)</f>
        <v>3200</v>
      </c>
      <c r="H602" s="1004" t="n">
        <f aca="false">'Смета Внутр'!G609</f>
        <v>0</v>
      </c>
      <c r="I602" s="1004" t="n">
        <f aca="false">'Смета Внутр'!H609</f>
        <v>0</v>
      </c>
      <c r="J602" s="1018" t="n">
        <f aca="false">'Смета Внутр'!I609</f>
        <v>0</v>
      </c>
    </row>
    <row r="603" customFormat="false" ht="15" hidden="false" customHeight="true" outlineLevel="0" collapsed="false">
      <c r="B603" s="1004" t="str">
        <f aca="false">'Смета Внутр'!B610</f>
        <v>Керамзитобетонный блок - 390х90х188</v>
      </c>
      <c r="C603" s="1004" t="str">
        <f aca="false">'Смета Внутр'!C610</f>
        <v>м3</v>
      </c>
      <c r="D603" s="1018" t="n">
        <f aca="false">'Смета Внутр'!D610</f>
        <v>0</v>
      </c>
      <c r="E603" s="1004" t="n">
        <f aca="false">'Смета Внутр'!E610</f>
        <v>3200</v>
      </c>
      <c r="F603" s="1004" t="n">
        <f aca="false">'Смета Внутр'!F610</f>
        <v>0</v>
      </c>
      <c r="G603" s="1004" t="n">
        <f aca="false">IF(E603&gt;F603,E603,F603)</f>
        <v>3200</v>
      </c>
      <c r="H603" s="1004" t="n">
        <f aca="false">'Смета Внутр'!G610</f>
        <v>0</v>
      </c>
      <c r="I603" s="1004" t="n">
        <f aca="false">'Смета Внутр'!H610</f>
        <v>0</v>
      </c>
      <c r="J603" s="1018" t="n">
        <f aca="false">'Смета Внутр'!I610</f>
        <v>0</v>
      </c>
    </row>
    <row r="604" customFormat="false" ht="15" hidden="false" customHeight="true" outlineLevel="0" collapsed="false">
      <c r="B604" s="1004" t="str">
        <f aca="false">'Смета Внутр'!B611</f>
        <v>Клей монтажный ВК-100</v>
      </c>
      <c r="C604" s="1004" t="str">
        <f aca="false">'Смета Внутр'!C611</f>
        <v>меш</v>
      </c>
      <c r="D604" s="1018" t="n">
        <f aca="false">'Смета Внутр'!D611</f>
        <v>0</v>
      </c>
      <c r="E604" s="1004" t="n">
        <f aca="false">'Смета Внутр'!E611</f>
        <v>185</v>
      </c>
      <c r="F604" s="1004" t="n">
        <f aca="false">'Смета Внутр'!F611</f>
        <v>0</v>
      </c>
      <c r="G604" s="1004" t="n">
        <f aca="false">IF(E604&gt;F604,E604,F604)</f>
        <v>185</v>
      </c>
      <c r="H604" s="1004" t="n">
        <f aca="false">'Смета Внутр'!G611</f>
        <v>0</v>
      </c>
      <c r="I604" s="1004" t="n">
        <f aca="false">'Смета Внутр'!H611</f>
        <v>0</v>
      </c>
      <c r="J604" s="1018" t="n">
        <f aca="false">'Смета Внутр'!I611</f>
        <v>0</v>
      </c>
    </row>
    <row r="605" customFormat="false" ht="15" hidden="false" customHeight="true" outlineLevel="0" collapsed="false">
      <c r="B605" s="1004" t="e">
        <f aca="false">'Смета Внутр'!B612</f>
        <v>#N/A</v>
      </c>
      <c r="C605" s="1004" t="str">
        <f aca="false">'Смета Внутр'!C612</f>
        <v>меш</v>
      </c>
      <c r="D605" s="1018" t="n">
        <f aca="false">'Смета Внутр'!D612</f>
        <v>0</v>
      </c>
      <c r="E605" s="1004" t="n">
        <f aca="false">'Смета Внутр'!E612</f>
        <v>0</v>
      </c>
      <c r="F605" s="1004" t="n">
        <f aca="false">'Смета Внутр'!F612</f>
        <v>0</v>
      </c>
      <c r="G605" s="1004" t="n">
        <f aca="false">IF(E605&gt;F605,E605,F605)</f>
        <v>0</v>
      </c>
      <c r="H605" s="1004" t="n">
        <f aca="false">'Смета Внутр'!G612</f>
        <v>0</v>
      </c>
      <c r="I605" s="1004" t="n">
        <f aca="false">'Смета Внутр'!H612</f>
        <v>0</v>
      </c>
      <c r="J605" s="1018" t="n">
        <f aca="false">'Смета Внутр'!I612</f>
        <v>0</v>
      </c>
    </row>
    <row r="606" customFormat="false" ht="15" hidden="false" customHeight="true" outlineLevel="0" collapsed="false">
      <c r="B606" s="1004" t="e">
        <f aca="false">'Смета Внутр'!B613</f>
        <v>#N/A</v>
      </c>
      <c r="C606" s="1004" t="str">
        <f aca="false">'Смета Внутр'!C613</f>
        <v>м3</v>
      </c>
      <c r="D606" s="1018" t="n">
        <f aca="false">'Смета Внутр'!D613</f>
        <v>0</v>
      </c>
      <c r="E606" s="1004" t="n">
        <f aca="false">'Смета Внутр'!E613</f>
        <v>0</v>
      </c>
      <c r="F606" s="1004" t="n">
        <f aca="false">'Смета Внутр'!F613</f>
        <v>0</v>
      </c>
      <c r="G606" s="1004" t="n">
        <f aca="false">IF(E606&gt;F606,E606,F606)</f>
        <v>0</v>
      </c>
      <c r="H606" s="1004" t="n">
        <f aca="false">'Смета Внутр'!G613</f>
        <v>0</v>
      </c>
      <c r="I606" s="1004" t="n">
        <f aca="false">'Смета Внутр'!H613</f>
        <v>0</v>
      </c>
      <c r="J606" s="1018" t="n">
        <f aca="false">'Смета Внутр'!I613</f>
        <v>0</v>
      </c>
    </row>
    <row r="607" customFormat="false" ht="15" hidden="false" customHeight="true" outlineLevel="0" collapsed="false">
      <c r="B607" s="1004" t="str">
        <f aca="false">'Смета Внутр'!B614</f>
        <v>Доставка песка</v>
      </c>
      <c r="C607" s="1004" t="str">
        <f aca="false">'Смета Внутр'!C614</f>
        <v>маш</v>
      </c>
      <c r="D607" s="1018" t="n">
        <f aca="false">'Смета Внутр'!D614</f>
        <v>0</v>
      </c>
      <c r="E607" s="1004" t="n">
        <f aca="false">'Смета Внутр'!E614</f>
        <v>0</v>
      </c>
      <c r="F607" s="1004" t="n">
        <f aca="false">'Смета Внутр'!F614</f>
        <v>0</v>
      </c>
      <c r="G607" s="1004" t="n">
        <f aca="false">IF(E607&gt;F607,E607,F607)</f>
        <v>0</v>
      </c>
      <c r="H607" s="1004" t="n">
        <f aca="false">'Смета Внутр'!G614</f>
        <v>0</v>
      </c>
      <c r="I607" s="1004" t="n">
        <f aca="false">'Смета Внутр'!H614</f>
        <v>0</v>
      </c>
      <c r="J607" s="1018" t="n">
        <f aca="false">'Смета Внутр'!I614</f>
        <v>0</v>
      </c>
    </row>
    <row r="608" customFormat="false" ht="15" hidden="false" customHeight="true" outlineLevel="0" collapsed="false">
      <c r="B608" s="1004" t="e">
        <f aca="false">'Смета Внутр'!B615</f>
        <v>#N/A</v>
      </c>
      <c r="C608" s="1004" t="str">
        <f aca="false">'Смета Внутр'!C615</f>
        <v>м3</v>
      </c>
      <c r="D608" s="1018" t="n">
        <f aca="false">'Смета Внутр'!D615</f>
        <v>0</v>
      </c>
      <c r="E608" s="1004" t="n">
        <f aca="false">'Смета Внутр'!E615</f>
        <v>0</v>
      </c>
      <c r="F608" s="1004" t="n">
        <f aca="false">'Смета Внутр'!F615</f>
        <v>0</v>
      </c>
      <c r="G608" s="1004" t="n">
        <f aca="false">IF(E608&gt;F608,E608,F608)</f>
        <v>0</v>
      </c>
      <c r="H608" s="1004" t="n">
        <f aca="false">'Смета Внутр'!G615</f>
        <v>0</v>
      </c>
      <c r="I608" s="1004" t="n">
        <f aca="false">'Смета Внутр'!H615</f>
        <v>0</v>
      </c>
      <c r="J608" s="1018" t="n">
        <f aca="false">'Смета Внутр'!I615</f>
        <v>0</v>
      </c>
    </row>
    <row r="609" customFormat="false" ht="15" hidden="false" customHeight="true" outlineLevel="0" collapsed="false">
      <c r="B609" s="1004" t="str">
        <f aca="false">'Смета Внутр'!B616</f>
        <v>Арматура М6 каждый 3-й ряд, 2 нити</v>
      </c>
      <c r="C609" s="1004" t="str">
        <f aca="false">'Смета Внутр'!C616</f>
        <v>м.п.</v>
      </c>
      <c r="D609" s="1018" t="n">
        <f aca="false">'Смета Внутр'!D616</f>
        <v>480</v>
      </c>
      <c r="E609" s="1004" t="n">
        <f aca="false">'Смета Внутр'!E616</f>
        <v>0</v>
      </c>
      <c r="F609" s="1004" t="n">
        <f aca="false">'Смета Внутр'!F616</f>
        <v>0</v>
      </c>
      <c r="G609" s="1004" t="n">
        <f aca="false">IF(E609&gt;F609,E609,F609)</f>
        <v>0</v>
      </c>
      <c r="H609" s="1004" t="n">
        <f aca="false">'Смета Внутр'!G616</f>
        <v>0</v>
      </c>
      <c r="I609" s="1004" t="n">
        <f aca="false">'Смета Внутр'!H616</f>
        <v>0</v>
      </c>
      <c r="J609" s="1018" t="n">
        <f aca="false">'Смета Внутр'!I616</f>
        <v>0</v>
      </c>
    </row>
    <row r="610" customFormat="false" ht="15" hidden="false" customHeight="true" outlineLevel="0" collapsed="false">
      <c r="B610" s="1004" t="str">
        <f aca="false">'Смета Внутр'!B617</f>
        <v>Арматура М6 каждый 3-й ряд, 2 нити</v>
      </c>
      <c r="C610" s="1004" t="str">
        <f aca="false">'Смета Внутр'!C617</f>
        <v>м.п.</v>
      </c>
      <c r="D610" s="1018" t="n">
        <f aca="false">'Смета Внутр'!D617</f>
        <v>0</v>
      </c>
      <c r="E610" s="1004" t="n">
        <f aca="false">'Смета Внутр'!E617</f>
        <v>0</v>
      </c>
      <c r="F610" s="1004" t="n">
        <f aca="false">'Смета Внутр'!F617</f>
        <v>0</v>
      </c>
      <c r="G610" s="1004" t="n">
        <f aca="false">IF(E610&gt;F610,E610,F610)</f>
        <v>0</v>
      </c>
      <c r="H610" s="1004" t="n">
        <f aca="false">'Смета Внутр'!G617</f>
        <v>0</v>
      </c>
      <c r="I610" s="1004" t="n">
        <f aca="false">'Смета Внутр'!H617</f>
        <v>0</v>
      </c>
      <c r="J610" s="1018" t="n">
        <f aca="false">'Смета Внутр'!I617</f>
        <v>0</v>
      </c>
    </row>
    <row r="611" customFormat="false" ht="15" hidden="false" customHeight="true" outlineLevel="0" collapsed="false">
      <c r="B611" s="1004" t="str">
        <f aca="false">'Смета Внутр'!B618</f>
        <v>Перемычка оконная, 1-ый эт. Вариант 1</v>
      </c>
      <c r="C611" s="1004" t="str">
        <f aca="false">'Смета Внутр'!C618</f>
        <v>м.п.</v>
      </c>
      <c r="D611" s="1018" t="n">
        <f aca="false">'Смета Внутр'!D618</f>
        <v>1</v>
      </c>
      <c r="E611" s="1004" t="n">
        <f aca="false">'Смета Внутр'!E618</f>
        <v>1000</v>
      </c>
      <c r="F611" s="1004" t="n">
        <f aca="false">'Смета Внутр'!F618</f>
        <v>0</v>
      </c>
      <c r="G611" s="1004" t="n">
        <f aca="false">IF(E611&gt;F611,E611,F611)</f>
        <v>1000</v>
      </c>
      <c r="H611" s="1004" t="n">
        <f aca="false">'Смета Внутр'!G618</f>
        <v>1000</v>
      </c>
      <c r="I611" s="1004" t="n">
        <f aca="false">'Смета Внутр'!H618</f>
        <v>0</v>
      </c>
      <c r="J611" s="1018" t="n">
        <f aca="false">'Смета Внутр'!I618</f>
        <v>0</v>
      </c>
    </row>
    <row r="612" customFormat="false" ht="15" hidden="false" customHeight="true" outlineLevel="0" collapsed="false">
      <c r="B612" s="1004" t="str">
        <f aca="false">'Смета Внутр'!B619</f>
        <v>Перемычка оконная, 1-ый эт. Вариант 2</v>
      </c>
      <c r="C612" s="1004" t="str">
        <f aca="false">'Смета Внутр'!C619</f>
        <v>м.п.</v>
      </c>
      <c r="D612" s="1018" t="n">
        <f aca="false">'Смета Внутр'!D619</f>
        <v>0</v>
      </c>
      <c r="E612" s="1004" t="n">
        <f aca="false">'Смета Внутр'!E619</f>
        <v>1000</v>
      </c>
      <c r="F612" s="1004" t="n">
        <f aca="false">'Смета Внутр'!F619</f>
        <v>0</v>
      </c>
      <c r="G612" s="1004" t="n">
        <f aca="false">IF(E612&gt;F612,E612,F612)</f>
        <v>1000</v>
      </c>
      <c r="H612" s="1004" t="n">
        <f aca="false">'Смета Внутр'!G619</f>
        <v>0</v>
      </c>
      <c r="I612" s="1004" t="n">
        <f aca="false">'Смета Внутр'!H619</f>
        <v>0</v>
      </c>
      <c r="J612" s="1018" t="n">
        <f aca="false">'Смета Внутр'!I619</f>
        <v>0</v>
      </c>
    </row>
    <row r="613" customFormat="false" ht="15" hidden="false" customHeight="true" outlineLevel="0" collapsed="false">
      <c r="B613" s="1004" t="str">
        <f aca="false">'Смета Внутр'!B620</f>
        <v>Перемычка оконная, 1-ый эт. Вариант 3</v>
      </c>
      <c r="C613" s="1004" t="str">
        <f aca="false">'Смета Внутр'!C620</f>
        <v>м.п.</v>
      </c>
      <c r="D613" s="1018" t="n">
        <f aca="false">'Смета Внутр'!D620</f>
        <v>0</v>
      </c>
      <c r="E613" s="1004" t="n">
        <f aca="false">'Смета Внутр'!E620</f>
        <v>1000</v>
      </c>
      <c r="F613" s="1004" t="n">
        <f aca="false">'Смета Внутр'!F620</f>
        <v>0</v>
      </c>
      <c r="G613" s="1004" t="n">
        <f aca="false">IF(E613&gt;F613,E613,F613)</f>
        <v>1000</v>
      </c>
      <c r="H613" s="1004" t="n">
        <f aca="false">'Смета Внутр'!G620</f>
        <v>0</v>
      </c>
      <c r="I613" s="1004" t="n">
        <f aca="false">'Смета Внутр'!H620</f>
        <v>0</v>
      </c>
      <c r="J613" s="1018" t="n">
        <f aca="false">'Смета Внутр'!I620</f>
        <v>0</v>
      </c>
    </row>
    <row r="614" customFormat="false" ht="15" hidden="false" customHeight="true" outlineLevel="0" collapsed="false">
      <c r="B614" s="1004" t="str">
        <f aca="false">'Смета Внутр'!B621</f>
        <v>Перемычка оконная, 1-ый эт. Вариант 4</v>
      </c>
      <c r="C614" s="1004" t="str">
        <f aca="false">'Смета Внутр'!C621</f>
        <v>м.п.</v>
      </c>
      <c r="D614" s="1018" t="n">
        <f aca="false">'Смета Внутр'!D621</f>
        <v>0</v>
      </c>
      <c r="E614" s="1004" t="n">
        <f aca="false">'Смета Внутр'!E621</f>
        <v>1000</v>
      </c>
      <c r="F614" s="1004" t="n">
        <f aca="false">'Смета Внутр'!F621</f>
        <v>0</v>
      </c>
      <c r="G614" s="1004" t="n">
        <f aca="false">IF(E614&gt;F614,E614,F614)</f>
        <v>1000</v>
      </c>
      <c r="H614" s="1004" t="n">
        <f aca="false">'Смета Внутр'!G621</f>
        <v>0</v>
      </c>
      <c r="I614" s="1004" t="n">
        <f aca="false">'Смета Внутр'!H621</f>
        <v>0</v>
      </c>
      <c r="J614" s="1018" t="n">
        <f aca="false">'Смета Внутр'!I621</f>
        <v>0</v>
      </c>
    </row>
    <row r="615" customFormat="false" ht="15" hidden="false" customHeight="true" outlineLevel="0" collapsed="false">
      <c r="B615" s="1004" t="str">
        <f aca="false">'Смета Внутр'!B622</f>
        <v>Перемычка оконная, 1-ый эт. Вариант 5</v>
      </c>
      <c r="C615" s="1004" t="str">
        <f aca="false">'Смета Внутр'!C622</f>
        <v>м.п.</v>
      </c>
      <c r="D615" s="1018" t="n">
        <f aca="false">'Смета Внутр'!D622</f>
        <v>0</v>
      </c>
      <c r="E615" s="1004" t="n">
        <f aca="false">'Смета Внутр'!E622</f>
        <v>1000</v>
      </c>
      <c r="F615" s="1004" t="n">
        <f aca="false">'Смета Внутр'!F622</f>
        <v>0</v>
      </c>
      <c r="G615" s="1004" t="n">
        <f aca="false">IF(E615&gt;F615,E615,F615)</f>
        <v>1000</v>
      </c>
      <c r="H615" s="1004" t="n">
        <f aca="false">'Смета Внутр'!G622</f>
        <v>0</v>
      </c>
      <c r="I615" s="1004" t="n">
        <f aca="false">'Смета Внутр'!H622</f>
        <v>0</v>
      </c>
      <c r="J615" s="1018" t="n">
        <f aca="false">'Смета Внутр'!I622</f>
        <v>0</v>
      </c>
    </row>
    <row r="616" customFormat="false" ht="15" hidden="false" customHeight="true" outlineLevel="0" collapsed="false">
      <c r="B616" s="1004" t="str">
        <f aca="false">'Смета Внутр'!B623</f>
        <v>Перемычка оконная, 2-ый эт. Вариант 6</v>
      </c>
      <c r="C616" s="1004" t="str">
        <f aca="false">'Смета Внутр'!C623</f>
        <v>м.п.</v>
      </c>
      <c r="D616" s="1018" t="n">
        <f aca="false">'Смета Внутр'!D623</f>
        <v>0</v>
      </c>
      <c r="E616" s="1004" t="n">
        <f aca="false">'Смета Внутр'!E623</f>
        <v>1000</v>
      </c>
      <c r="F616" s="1004" t="n">
        <f aca="false">'Смета Внутр'!F623</f>
        <v>0</v>
      </c>
      <c r="G616" s="1004" t="n">
        <f aca="false">IF(E616&gt;F616,E616,F616)</f>
        <v>1000</v>
      </c>
      <c r="H616" s="1004" t="n">
        <f aca="false">'Смета Внутр'!G623</f>
        <v>0</v>
      </c>
      <c r="I616" s="1004" t="n">
        <f aca="false">'Смета Внутр'!H623</f>
        <v>0</v>
      </c>
      <c r="J616" s="1018" t="n">
        <f aca="false">'Смета Внутр'!I623</f>
        <v>0</v>
      </c>
    </row>
    <row r="617" customFormat="false" ht="15" hidden="false" customHeight="true" outlineLevel="0" collapsed="false">
      <c r="B617" s="1004" t="str">
        <f aca="false">'Смета Внутр'!B624</f>
        <v>Перемычка оконная, 2-ый эт. Вариант 7</v>
      </c>
      <c r="C617" s="1004" t="str">
        <f aca="false">'Смета Внутр'!C624</f>
        <v>м.п.</v>
      </c>
      <c r="D617" s="1018" t="n">
        <f aca="false">'Смета Внутр'!D624</f>
        <v>0</v>
      </c>
      <c r="E617" s="1004" t="n">
        <f aca="false">'Смета Внутр'!E624</f>
        <v>1000</v>
      </c>
      <c r="F617" s="1004" t="n">
        <f aca="false">'Смета Внутр'!F624</f>
        <v>0</v>
      </c>
      <c r="G617" s="1004" t="n">
        <f aca="false">IF(E617&gt;F617,E617,F617)</f>
        <v>1000</v>
      </c>
      <c r="H617" s="1004" t="n">
        <f aca="false">'Смета Внутр'!G624</f>
        <v>0</v>
      </c>
      <c r="I617" s="1004" t="n">
        <f aca="false">'Смета Внутр'!H624</f>
        <v>0</v>
      </c>
      <c r="J617" s="1018" t="n">
        <f aca="false">'Смета Внутр'!I624</f>
        <v>0</v>
      </c>
    </row>
    <row r="618" customFormat="false" ht="15" hidden="false" customHeight="true" outlineLevel="0" collapsed="false">
      <c r="B618" s="1004" t="str">
        <f aca="false">'Смета Внутр'!B625</f>
        <v>Перемычка оконная, 2-ый эт. Вариант 8</v>
      </c>
      <c r="C618" s="1004" t="str">
        <f aca="false">'Смета Внутр'!C625</f>
        <v>м.п.</v>
      </c>
      <c r="D618" s="1018" t="n">
        <f aca="false">'Смета Внутр'!D625</f>
        <v>0</v>
      </c>
      <c r="E618" s="1004" t="n">
        <f aca="false">'Смета Внутр'!E625</f>
        <v>1000</v>
      </c>
      <c r="F618" s="1004" t="n">
        <f aca="false">'Смета Внутр'!F625</f>
        <v>0</v>
      </c>
      <c r="G618" s="1004" t="n">
        <f aca="false">IF(E618&gt;F618,E618,F618)</f>
        <v>1000</v>
      </c>
      <c r="H618" s="1004" t="n">
        <f aca="false">'Смета Внутр'!G625</f>
        <v>0</v>
      </c>
      <c r="I618" s="1004" t="n">
        <f aca="false">'Смета Внутр'!H625</f>
        <v>0</v>
      </c>
      <c r="J618" s="1018" t="n">
        <f aca="false">'Смета Внутр'!I625</f>
        <v>0</v>
      </c>
    </row>
    <row r="619" customFormat="false" ht="15" hidden="false" customHeight="true" outlineLevel="0" collapsed="false">
      <c r="B619" s="1004" t="str">
        <f aca="false">'Смета Внутр'!B626</f>
        <v>Перемычка оконная, 2-ый эт. Вариант 9</v>
      </c>
      <c r="C619" s="1004" t="str">
        <f aca="false">'Смета Внутр'!C626</f>
        <v>м.п.</v>
      </c>
      <c r="D619" s="1018" t="n">
        <f aca="false">'Смета Внутр'!D626</f>
        <v>0</v>
      </c>
      <c r="E619" s="1004" t="n">
        <f aca="false">'Смета Внутр'!E626</f>
        <v>1000</v>
      </c>
      <c r="F619" s="1004" t="n">
        <f aca="false">'Смета Внутр'!F626</f>
        <v>0</v>
      </c>
      <c r="G619" s="1004" t="n">
        <f aca="false">IF(E619&gt;F619,E619,F619)</f>
        <v>1000</v>
      </c>
      <c r="H619" s="1004" t="n">
        <f aca="false">'Смета Внутр'!G626</f>
        <v>0</v>
      </c>
      <c r="I619" s="1004" t="n">
        <f aca="false">'Смета Внутр'!H626</f>
        <v>0</v>
      </c>
      <c r="J619" s="1018" t="n">
        <f aca="false">'Смета Внутр'!I626</f>
        <v>0</v>
      </c>
    </row>
    <row r="620" customFormat="false" ht="15" hidden="false" customHeight="true" outlineLevel="0" collapsed="false">
      <c r="B620" s="1004" t="str">
        <f aca="false">'Смета Внутр'!B627</f>
        <v>Перемычка оконная, 2-ый эт. Вариант 10</v>
      </c>
      <c r="C620" s="1004" t="str">
        <f aca="false">'Смета Внутр'!C627</f>
        <v>м.п.</v>
      </c>
      <c r="D620" s="1018" t="n">
        <f aca="false">'Смета Внутр'!D627</f>
        <v>0</v>
      </c>
      <c r="E620" s="1004" t="n">
        <f aca="false">'Смета Внутр'!E627</f>
        <v>1000</v>
      </c>
      <c r="F620" s="1004" t="n">
        <f aca="false">'Смета Внутр'!F627</f>
        <v>0</v>
      </c>
      <c r="G620" s="1004" t="n">
        <f aca="false">IF(E620&gt;F620,E620,F620)</f>
        <v>1000</v>
      </c>
      <c r="H620" s="1004" t="n">
        <f aca="false">'Смета Внутр'!G627</f>
        <v>0</v>
      </c>
      <c r="I620" s="1004" t="n">
        <f aca="false">'Смета Внутр'!H627</f>
        <v>0</v>
      </c>
      <c r="J620" s="1018" t="n">
        <f aca="false">'Смета Внутр'!I627</f>
        <v>0</v>
      </c>
    </row>
    <row r="621" customFormat="false" ht="15" hidden="false" customHeight="true" outlineLevel="0" collapsed="false">
      <c r="B621" s="1004" t="str">
        <f aca="false">'Смета Внутр'!B628</f>
        <v>Перемычка дверная, 1-ый эт. Вариант 1</v>
      </c>
      <c r="C621" s="1004" t="str">
        <f aca="false">'Смета Внутр'!C628</f>
        <v>м.п.</v>
      </c>
      <c r="D621" s="1018" t="n">
        <f aca="false">'Смета Внутр'!D628</f>
        <v>0</v>
      </c>
      <c r="E621" s="1004" t="n">
        <f aca="false">'Смета Внутр'!E628</f>
        <v>1000</v>
      </c>
      <c r="F621" s="1004" t="n">
        <f aca="false">'Смета Внутр'!F628</f>
        <v>0</v>
      </c>
      <c r="G621" s="1004" t="n">
        <f aca="false">IF(E621&gt;F621,E621,F621)</f>
        <v>1000</v>
      </c>
      <c r="H621" s="1004" t="n">
        <f aca="false">'Смета Внутр'!G628</f>
        <v>0</v>
      </c>
      <c r="I621" s="1004" t="n">
        <f aca="false">'Смета Внутр'!H628</f>
        <v>0</v>
      </c>
      <c r="J621" s="1018" t="n">
        <f aca="false">'Смета Внутр'!I628</f>
        <v>0</v>
      </c>
    </row>
    <row r="622" customFormat="false" ht="15" hidden="false" customHeight="true" outlineLevel="0" collapsed="false">
      <c r="B622" s="1004" t="str">
        <f aca="false">'Смета Внутр'!B629</f>
        <v>Перемычка дверная, 2-ый эт. Вариант 2</v>
      </c>
      <c r="C622" s="1004" t="str">
        <f aca="false">'Смета Внутр'!C629</f>
        <v>м.п.</v>
      </c>
      <c r="D622" s="1018" t="n">
        <f aca="false">'Смета Внутр'!D629</f>
        <v>0</v>
      </c>
      <c r="E622" s="1004" t="n">
        <f aca="false">'Смета Внутр'!E629</f>
        <v>1000</v>
      </c>
      <c r="F622" s="1004" t="n">
        <f aca="false">'Смета Внутр'!F629</f>
        <v>0</v>
      </c>
      <c r="G622" s="1004" t="n">
        <f aca="false">IF(E622&gt;F622,E622,F622)</f>
        <v>1000</v>
      </c>
      <c r="H622" s="1004" t="n">
        <f aca="false">'Смета Внутр'!G629</f>
        <v>0</v>
      </c>
      <c r="I622" s="1004" t="n">
        <f aca="false">'Смета Внутр'!H629</f>
        <v>0</v>
      </c>
      <c r="J622" s="1018" t="n">
        <f aca="false">'Смета Внутр'!I629</f>
        <v>0</v>
      </c>
    </row>
    <row r="623" customFormat="false" ht="15" hidden="false" customHeight="true" outlineLevel="0" collapsed="false">
      <c r="B623" s="1004" t="str">
        <f aca="false">'Смета Внутр'!B630</f>
        <v>Перемычка оконная 1-ый эт, Вариант 11</v>
      </c>
      <c r="C623" s="1004" t="str">
        <f aca="false">'Смета Внутр'!C630</f>
        <v>м.п.</v>
      </c>
      <c r="D623" s="1018" t="n">
        <f aca="false">'Смета Внутр'!D630</f>
        <v>0</v>
      </c>
      <c r="E623" s="1004" t="n">
        <f aca="false">'Смета Внутр'!E630</f>
        <v>1000</v>
      </c>
      <c r="F623" s="1004" t="n">
        <f aca="false">'Смета Внутр'!F630</f>
        <v>0</v>
      </c>
      <c r="G623" s="1004" t="n">
        <f aca="false">IF(E623&gt;F623,E623,F623)</f>
        <v>1000</v>
      </c>
      <c r="H623" s="1004" t="n">
        <f aca="false">'Смета Внутр'!G630</f>
        <v>0</v>
      </c>
      <c r="I623" s="1004" t="n">
        <f aca="false">'Смета Внутр'!H630</f>
        <v>0</v>
      </c>
      <c r="J623" s="1018" t="n">
        <f aca="false">'Смета Внутр'!I630</f>
        <v>0</v>
      </c>
    </row>
    <row r="624" customFormat="false" ht="15" hidden="false" customHeight="true" outlineLevel="0" collapsed="false">
      <c r="B624" s="1004" t="str">
        <f aca="false">'Смета Внутр'!B631</f>
        <v>Перемычка оконная 1-ый эт, Вариант 12</v>
      </c>
      <c r="C624" s="1004" t="str">
        <f aca="false">'Смета Внутр'!C631</f>
        <v>м.п.</v>
      </c>
      <c r="D624" s="1018" t="n">
        <f aca="false">'Смета Внутр'!D631</f>
        <v>0</v>
      </c>
      <c r="E624" s="1004" t="n">
        <f aca="false">'Смета Внутр'!E631</f>
        <v>1000</v>
      </c>
      <c r="F624" s="1004" t="n">
        <f aca="false">'Смета Внутр'!F631</f>
        <v>0</v>
      </c>
      <c r="G624" s="1004" t="n">
        <f aca="false">IF(E624&gt;F624,E624,F624)</f>
        <v>1000</v>
      </c>
      <c r="H624" s="1004" t="n">
        <f aca="false">'Смета Внутр'!G631</f>
        <v>0</v>
      </c>
      <c r="I624" s="1004" t="n">
        <f aca="false">'Смета Внутр'!H631</f>
        <v>0</v>
      </c>
      <c r="J624" s="1018" t="n">
        <f aca="false">'Смета Внутр'!I631</f>
        <v>0</v>
      </c>
    </row>
    <row r="625" customFormat="false" ht="15" hidden="false" customHeight="true" outlineLevel="0" collapsed="false">
      <c r="B625" s="1004" t="str">
        <f aca="false">'Смета Внутр'!B632</f>
        <v>Перемычка дверная, 1-ый эт. Вариант 4</v>
      </c>
      <c r="C625" s="1004" t="str">
        <f aca="false">'Смета Внутр'!C632</f>
        <v>м.п.</v>
      </c>
      <c r="D625" s="1018" t="n">
        <f aca="false">'Смета Внутр'!D632</f>
        <v>0</v>
      </c>
      <c r="E625" s="1004" t="n">
        <f aca="false">'Смета Внутр'!E632</f>
        <v>1000</v>
      </c>
      <c r="F625" s="1004" t="n">
        <f aca="false">'Смета Внутр'!F632</f>
        <v>0</v>
      </c>
      <c r="G625" s="1004" t="n">
        <f aca="false">IF(E625&gt;F625,E625,F625)</f>
        <v>1000</v>
      </c>
      <c r="H625" s="1004" t="n">
        <f aca="false">'Смета Внутр'!G632</f>
        <v>0</v>
      </c>
      <c r="I625" s="1004" t="n">
        <f aca="false">'Смета Внутр'!H632</f>
        <v>0</v>
      </c>
      <c r="J625" s="1018" t="n">
        <f aca="false">'Смета Внутр'!I632</f>
        <v>0</v>
      </c>
    </row>
    <row r="626" customFormat="false" ht="15" hidden="false" customHeight="true" outlineLevel="0" collapsed="false">
      <c r="B626" s="1004" t="str">
        <f aca="false">'Смета Внутр'!B633</f>
        <v>Перемычка дверная, 1-ый эт. Вариант 5</v>
      </c>
      <c r="C626" s="1004" t="str">
        <f aca="false">'Смета Внутр'!C633</f>
        <v>м.п.</v>
      </c>
      <c r="D626" s="1018" t="n">
        <f aca="false">'Смета Внутр'!D633</f>
        <v>0</v>
      </c>
      <c r="E626" s="1004" t="n">
        <f aca="false">'Смета Внутр'!E633</f>
        <v>1000</v>
      </c>
      <c r="F626" s="1004" t="n">
        <f aca="false">'Смета Внутр'!F633</f>
        <v>0</v>
      </c>
      <c r="G626" s="1004" t="n">
        <f aca="false">IF(E626&gt;F626,E626,F626)</f>
        <v>1000</v>
      </c>
      <c r="H626" s="1004" t="n">
        <f aca="false">'Смета Внутр'!G633</f>
        <v>0</v>
      </c>
      <c r="I626" s="1004" t="n">
        <f aca="false">'Смета Внутр'!H633</f>
        <v>0</v>
      </c>
      <c r="J626" s="1018" t="n">
        <f aca="false">'Смета Внутр'!I633</f>
        <v>0</v>
      </c>
    </row>
    <row r="627" customFormat="false" ht="15" hidden="false" customHeight="true" outlineLevel="0" collapsed="false">
      <c r="B627" s="1004" t="str">
        <f aca="false">'Смета Внутр'!B634</f>
        <v>Перемычка дверная, 1-ый эт. Вариант 6</v>
      </c>
      <c r="C627" s="1004" t="str">
        <f aca="false">'Смета Внутр'!C634</f>
        <v>м.п.</v>
      </c>
      <c r="D627" s="1018" t="n">
        <f aca="false">'Смета Внутр'!D634</f>
        <v>0</v>
      </c>
      <c r="E627" s="1004" t="n">
        <f aca="false">'Смета Внутр'!E634</f>
        <v>1000</v>
      </c>
      <c r="F627" s="1004" t="n">
        <f aca="false">'Смета Внутр'!F634</f>
        <v>0</v>
      </c>
      <c r="G627" s="1004" t="n">
        <f aca="false">IF(E627&gt;F627,E627,F627)</f>
        <v>1000</v>
      </c>
      <c r="H627" s="1004" t="n">
        <f aca="false">'Смета Внутр'!G634</f>
        <v>0</v>
      </c>
      <c r="I627" s="1004" t="n">
        <f aca="false">'Смета Внутр'!H634</f>
        <v>0</v>
      </c>
      <c r="J627" s="1018" t="n">
        <f aca="false">'Смета Внутр'!I634</f>
        <v>0</v>
      </c>
    </row>
    <row r="628" customFormat="false" ht="15" hidden="false" customHeight="true" outlineLevel="0" collapsed="false">
      <c r="B628" s="1004" t="str">
        <f aca="false">'Смета Внутр'!B635</f>
        <v>Перемычка дверная, 2-ый эт. Вариант 7</v>
      </c>
      <c r="C628" s="1004" t="str">
        <f aca="false">'Смета Внутр'!C635</f>
        <v>м.п.</v>
      </c>
      <c r="D628" s="1018" t="n">
        <f aca="false">'Смета Внутр'!D635</f>
        <v>0</v>
      </c>
      <c r="E628" s="1004" t="n">
        <f aca="false">'Смета Внутр'!E635</f>
        <v>1000</v>
      </c>
      <c r="F628" s="1004" t="n">
        <f aca="false">'Смета Внутр'!F635</f>
        <v>0</v>
      </c>
      <c r="G628" s="1004" t="n">
        <f aca="false">IF(E628&gt;F628,E628,F628)</f>
        <v>1000</v>
      </c>
      <c r="H628" s="1004" t="n">
        <f aca="false">'Смета Внутр'!G635</f>
        <v>0</v>
      </c>
      <c r="I628" s="1004" t="n">
        <f aca="false">'Смета Внутр'!H635</f>
        <v>0</v>
      </c>
      <c r="J628" s="1018" t="n">
        <f aca="false">'Смета Внутр'!I635</f>
        <v>0</v>
      </c>
    </row>
    <row r="629" customFormat="false" ht="15" hidden="false" customHeight="true" outlineLevel="0" collapsed="false">
      <c r="B629" s="1004" t="str">
        <f aca="false">'Смета Внутр'!B636</f>
        <v>Перемычка дверная, 2-ый эт. Вариант 8</v>
      </c>
      <c r="C629" s="1004" t="str">
        <f aca="false">'Смета Внутр'!C636</f>
        <v>м.п.</v>
      </c>
      <c r="D629" s="1018" t="n">
        <f aca="false">'Смета Внутр'!D636</f>
        <v>0</v>
      </c>
      <c r="E629" s="1004" t="n">
        <f aca="false">'Смета Внутр'!E636</f>
        <v>1000</v>
      </c>
      <c r="F629" s="1004" t="n">
        <f aca="false">'Смета Внутр'!F636</f>
        <v>0</v>
      </c>
      <c r="G629" s="1004" t="n">
        <f aca="false">IF(E629&gt;F629,E629,F629)</f>
        <v>1000</v>
      </c>
      <c r="H629" s="1004" t="n">
        <f aca="false">'Смета Внутр'!G636</f>
        <v>0</v>
      </c>
      <c r="I629" s="1004" t="n">
        <f aca="false">'Смета Внутр'!H636</f>
        <v>0</v>
      </c>
      <c r="J629" s="1018" t="n">
        <f aca="false">'Смета Внутр'!I636</f>
        <v>0</v>
      </c>
    </row>
    <row r="630" customFormat="false" ht="15" hidden="false" customHeight="true" outlineLevel="0" collapsed="false">
      <c r="B630" s="1004" t="str">
        <f aca="false">'Смета Внутр'!B637</f>
        <v>Перемычка дверная, 2-ый эт. Вариант 9</v>
      </c>
      <c r="C630" s="1004" t="str">
        <f aca="false">'Смета Внутр'!C637</f>
        <v>м.п.</v>
      </c>
      <c r="D630" s="1018" t="n">
        <f aca="false">'Смета Внутр'!D637</f>
        <v>0</v>
      </c>
      <c r="E630" s="1004" t="n">
        <f aca="false">'Смета Внутр'!E637</f>
        <v>1000</v>
      </c>
      <c r="F630" s="1004" t="n">
        <f aca="false">'Смета Внутр'!F637</f>
        <v>0</v>
      </c>
      <c r="G630" s="1004" t="n">
        <f aca="false">IF(E630&gt;F630,E630,F630)</f>
        <v>1000</v>
      </c>
      <c r="H630" s="1004" t="n">
        <f aca="false">'Смета Внутр'!G637</f>
        <v>0</v>
      </c>
      <c r="I630" s="1004" t="n">
        <f aca="false">'Смета Внутр'!H637</f>
        <v>0</v>
      </c>
      <c r="J630" s="1018" t="n">
        <f aca="false">'Смета Внутр'!I637</f>
        <v>0</v>
      </c>
    </row>
    <row r="631" customFormat="false" ht="15" hidden="false" customHeight="true" outlineLevel="0" collapsed="false">
      <c r="B631" s="1004" t="str">
        <f aca="false">'Смета Внутр'!B638</f>
        <v>Перемычка проема, 1-ый эт. Вариант 10</v>
      </c>
      <c r="C631" s="1004" t="str">
        <f aca="false">'Смета Внутр'!C638</f>
        <v>м.п.</v>
      </c>
      <c r="D631" s="1018" t="n">
        <f aca="false">'Смета Внутр'!D638</f>
        <v>0</v>
      </c>
      <c r="E631" s="1004" t="n">
        <f aca="false">'Смета Внутр'!E638</f>
        <v>1000</v>
      </c>
      <c r="F631" s="1004" t="n">
        <f aca="false">'Смета Внутр'!F638</f>
        <v>0</v>
      </c>
      <c r="G631" s="1004" t="n">
        <f aca="false">IF(E631&gt;F631,E631,F631)</f>
        <v>1000</v>
      </c>
      <c r="H631" s="1004" t="n">
        <f aca="false">'Смета Внутр'!G638</f>
        <v>0</v>
      </c>
      <c r="I631" s="1004" t="n">
        <f aca="false">'Смета Внутр'!H638</f>
        <v>0</v>
      </c>
      <c r="J631" s="1018" t="n">
        <f aca="false">'Смета Внутр'!I638</f>
        <v>0</v>
      </c>
    </row>
    <row r="632" customFormat="false" ht="15" hidden="false" customHeight="true" outlineLevel="0" collapsed="false">
      <c r="B632" s="1004" t="str">
        <f aca="false">'Смета Внутр'!B639</f>
        <v>Перемычка проема, 1-ый эт. Вариант 11</v>
      </c>
      <c r="C632" s="1004" t="str">
        <f aca="false">'Смета Внутр'!C639</f>
        <v>м.п.</v>
      </c>
      <c r="D632" s="1018" t="n">
        <f aca="false">'Смета Внутр'!D639</f>
        <v>0</v>
      </c>
      <c r="E632" s="1004" t="n">
        <f aca="false">'Смета Внутр'!E639</f>
        <v>1000</v>
      </c>
      <c r="F632" s="1004" t="n">
        <f aca="false">'Смета Внутр'!F639</f>
        <v>0</v>
      </c>
      <c r="G632" s="1004" t="n">
        <f aca="false">IF(E632&gt;F632,E632,F632)</f>
        <v>1000</v>
      </c>
      <c r="H632" s="1004" t="n">
        <f aca="false">'Смета Внутр'!G639</f>
        <v>0</v>
      </c>
      <c r="I632" s="1004" t="n">
        <f aca="false">'Смета Внутр'!H639</f>
        <v>0</v>
      </c>
      <c r="J632" s="1018" t="n">
        <f aca="false">'Смета Внутр'!I639</f>
        <v>0</v>
      </c>
    </row>
    <row r="633" customFormat="false" ht="15" hidden="false" customHeight="true" outlineLevel="0" collapsed="false">
      <c r="B633" s="1004" t="str">
        <f aca="false">'Смета Внутр'!B640</f>
        <v>Перемычка проема, 2-ый эт. Вариант 12</v>
      </c>
      <c r="C633" s="1004" t="str">
        <f aca="false">'Смета Внутр'!C640</f>
        <v>м.п.</v>
      </c>
      <c r="D633" s="1018" t="n">
        <f aca="false">'Смета Внутр'!D640</f>
        <v>0</v>
      </c>
      <c r="E633" s="1004" t="n">
        <f aca="false">'Смета Внутр'!E640</f>
        <v>1000</v>
      </c>
      <c r="F633" s="1004" t="n">
        <f aca="false">'Смета Внутр'!F640</f>
        <v>0</v>
      </c>
      <c r="G633" s="1004" t="n">
        <f aca="false">IF(E633&gt;F633,E633,F633)</f>
        <v>1000</v>
      </c>
      <c r="H633" s="1004" t="n">
        <f aca="false">'Смета Внутр'!G640</f>
        <v>0</v>
      </c>
      <c r="I633" s="1004" t="n">
        <f aca="false">'Смета Внутр'!H640</f>
        <v>0</v>
      </c>
      <c r="J633" s="1018" t="n">
        <f aca="false">'Смета Внутр'!I640</f>
        <v>0</v>
      </c>
    </row>
    <row r="634" customFormat="false" ht="15" hidden="false" customHeight="true" outlineLevel="0" collapsed="false">
      <c r="B634" s="1004" t="str">
        <f aca="false">'Смета Внутр'!B641</f>
        <v>Перемычка проема, 2-ый эт. Вариант 13</v>
      </c>
      <c r="C634" s="1004" t="str">
        <f aca="false">'Смета Внутр'!C641</f>
        <v>м.п.</v>
      </c>
      <c r="D634" s="1018" t="n">
        <f aca="false">'Смета Внутр'!D641</f>
        <v>0</v>
      </c>
      <c r="E634" s="1004" t="n">
        <f aca="false">'Смета Внутр'!E641</f>
        <v>1000</v>
      </c>
      <c r="F634" s="1004" t="n">
        <f aca="false">'Смета Внутр'!F641</f>
        <v>0</v>
      </c>
      <c r="G634" s="1004" t="n">
        <f aca="false">IF(E634&gt;F634,E634,F634)</f>
        <v>1000</v>
      </c>
      <c r="H634" s="1004" t="n">
        <f aca="false">'Смета Внутр'!G641</f>
        <v>0</v>
      </c>
      <c r="I634" s="1004" t="n">
        <f aca="false">'Смета Внутр'!H641</f>
        <v>0</v>
      </c>
      <c r="J634" s="1018" t="n">
        <f aca="false">'Смета Внутр'!I641</f>
        <v>0</v>
      </c>
    </row>
    <row r="635" customFormat="false" ht="15" hidden="false" customHeight="true" outlineLevel="0" collapsed="false">
      <c r="B635" s="1004" t="str">
        <f aca="false">'Смета Внутр'!B642</f>
        <v>Перемычка дверная, 1-ый эт. Вариант 1</v>
      </c>
      <c r="C635" s="1004" t="str">
        <f aca="false">'Смета Внутр'!C642</f>
        <v>м.п.</v>
      </c>
      <c r="D635" s="1018" t="n">
        <f aca="false">'Смета Внутр'!D642</f>
        <v>0</v>
      </c>
      <c r="E635" s="1004" t="n">
        <f aca="false">'Смета Внутр'!E642</f>
        <v>1000</v>
      </c>
      <c r="F635" s="1004" t="n">
        <f aca="false">'Смета Внутр'!F642</f>
        <v>0</v>
      </c>
      <c r="G635" s="1004" t="n">
        <f aca="false">IF(E635&gt;F635,E635,F635)</f>
        <v>1000</v>
      </c>
      <c r="H635" s="1004" t="n">
        <f aca="false">'Смета Внутр'!G642</f>
        <v>0</v>
      </c>
      <c r="I635" s="1004" t="n">
        <f aca="false">'Смета Внутр'!H642</f>
        <v>0</v>
      </c>
      <c r="J635" s="1018" t="n">
        <f aca="false">'Смета Внутр'!I642</f>
        <v>0</v>
      </c>
    </row>
    <row r="636" customFormat="false" ht="15" hidden="false" customHeight="true" outlineLevel="0" collapsed="false">
      <c r="B636" s="1004" t="str">
        <f aca="false">'Смета Внутр'!B643</f>
        <v>Перемычка дверная, 1-ый эт. Вариант 2</v>
      </c>
      <c r="C636" s="1004" t="str">
        <f aca="false">'Смета Внутр'!C643</f>
        <v>м.п.</v>
      </c>
      <c r="D636" s="1018" t="n">
        <f aca="false">'Смета Внутр'!D643</f>
        <v>0</v>
      </c>
      <c r="E636" s="1004" t="n">
        <f aca="false">'Смета Внутр'!E643</f>
        <v>1000</v>
      </c>
      <c r="F636" s="1004" t="n">
        <f aca="false">'Смета Внутр'!F643</f>
        <v>0</v>
      </c>
      <c r="G636" s="1004" t="n">
        <f aca="false">IF(E636&gt;F636,E636,F636)</f>
        <v>1000</v>
      </c>
      <c r="H636" s="1004" t="n">
        <f aca="false">'Смета Внутр'!G643</f>
        <v>0</v>
      </c>
      <c r="I636" s="1004" t="n">
        <f aca="false">'Смета Внутр'!H643</f>
        <v>0</v>
      </c>
      <c r="J636" s="1018" t="n">
        <f aca="false">'Смета Внутр'!I643</f>
        <v>0</v>
      </c>
    </row>
    <row r="637" customFormat="false" ht="15" hidden="false" customHeight="true" outlineLevel="0" collapsed="false">
      <c r="B637" s="1004" t="str">
        <f aca="false">'Смета Внутр'!B644</f>
        <v>Перемычка дверная, 1-ый эт. Вариант 3</v>
      </c>
      <c r="C637" s="1004" t="str">
        <f aca="false">'Смета Внутр'!C644</f>
        <v>м.п.</v>
      </c>
      <c r="D637" s="1018" t="n">
        <f aca="false">'Смета Внутр'!D644</f>
        <v>0</v>
      </c>
      <c r="E637" s="1004" t="n">
        <f aca="false">'Смета Внутр'!E644</f>
        <v>1000</v>
      </c>
      <c r="F637" s="1004" t="n">
        <f aca="false">'Смета Внутр'!F644</f>
        <v>0</v>
      </c>
      <c r="G637" s="1004" t="n">
        <f aca="false">IF(E637&gt;F637,E637,F637)</f>
        <v>1000</v>
      </c>
      <c r="H637" s="1004" t="n">
        <f aca="false">'Смета Внутр'!G644</f>
        <v>0</v>
      </c>
      <c r="I637" s="1004" t="n">
        <f aca="false">'Смета Внутр'!H644</f>
        <v>0</v>
      </c>
      <c r="J637" s="1018" t="n">
        <f aca="false">'Смета Внутр'!I644</f>
        <v>0</v>
      </c>
    </row>
    <row r="638" customFormat="false" ht="15" hidden="false" customHeight="true" outlineLevel="0" collapsed="false">
      <c r="B638" s="1004" t="str">
        <f aca="false">'Смета Внутр'!B645</f>
        <v>Сосна влаж,200*40мм</v>
      </c>
      <c r="C638" s="1004" t="str">
        <f aca="false">'Смета Внутр'!C645</f>
        <v>м3</v>
      </c>
      <c r="D638" s="1018" t="n">
        <f aca="false">'Смета Внутр'!D645</f>
        <v>0.832</v>
      </c>
      <c r="E638" s="1004" t="n">
        <f aca="false">'Смета Внутр'!E645</f>
        <v>6500</v>
      </c>
      <c r="F638" s="1004" t="n">
        <f aca="false">'Смета Внутр'!F645</f>
        <v>0</v>
      </c>
      <c r="G638" s="1004" t="n">
        <f aca="false">IF(E638&gt;F638,E638,F638)</f>
        <v>6500</v>
      </c>
      <c r="H638" s="1004" t="n">
        <f aca="false">'Смета Внутр'!G645</f>
        <v>5408</v>
      </c>
      <c r="I638" s="1004" t="n">
        <f aca="false">'Смета Внутр'!H645</f>
        <v>0</v>
      </c>
      <c r="J638" s="1018" t="n">
        <f aca="false">'Смета Внутр'!I645</f>
        <v>0</v>
      </c>
    </row>
    <row r="639" customFormat="false" ht="15" hidden="false" customHeight="true" outlineLevel="0" collapsed="false">
      <c r="B639" s="1004" t="str">
        <f aca="false">'Смета Внутр'!B646</f>
        <v>Сейсмопояс Арматура М10 4 нити</v>
      </c>
      <c r="C639" s="1004" t="str">
        <f aca="false">'Смета Внутр'!C646</f>
        <v>м.п.</v>
      </c>
      <c r="D639" s="1018" t="n">
        <f aca="false">'Смета Внутр'!D646</f>
        <v>176</v>
      </c>
      <c r="E639" s="1004" t="n">
        <f aca="false">'Смета Внутр'!E646</f>
        <v>21.0397</v>
      </c>
      <c r="F639" s="1004" t="n">
        <f aca="false">'Смета Внутр'!F646</f>
        <v>0</v>
      </c>
      <c r="G639" s="1004" t="n">
        <f aca="false">IF(E639&gt;F639,E639,F639)</f>
        <v>21.0397</v>
      </c>
      <c r="H639" s="1004" t="n">
        <f aca="false">'Смета Внутр'!G646</f>
        <v>3702.9872</v>
      </c>
      <c r="I639" s="1004" t="n">
        <f aca="false">'Смета Внутр'!H646</f>
        <v>0</v>
      </c>
      <c r="J639" s="1018" t="n">
        <f aca="false">'Смета Внутр'!I646</f>
        <v>0</v>
      </c>
    </row>
    <row r="640" customFormat="false" ht="15" hidden="false" customHeight="true" outlineLevel="0" collapsed="false">
      <c r="B640" s="1004" t="str">
        <f aca="false">'Смета Внутр'!B647</f>
        <v>Хомут для сейсмопояса Арматура М6, шаг 400мм</v>
      </c>
      <c r="C640" s="1004" t="str">
        <f aca="false">'Смета Внутр'!C647</f>
        <v>м.п.</v>
      </c>
      <c r="D640" s="1018" t="n">
        <f aca="false">'Смета Внутр'!D647</f>
        <v>90</v>
      </c>
      <c r="E640" s="1004" t="n">
        <f aca="false">'Смета Внутр'!E647</f>
        <v>0</v>
      </c>
      <c r="F640" s="1004" t="n">
        <f aca="false">'Смета Внутр'!F647</f>
        <v>0</v>
      </c>
      <c r="G640" s="1004" t="n">
        <f aca="false">IF(E640&gt;F640,E640,F640)</f>
        <v>0</v>
      </c>
      <c r="H640" s="1004" t="n">
        <f aca="false">'Смета Внутр'!G647</f>
        <v>0</v>
      </c>
      <c r="I640" s="1004" t="n">
        <f aca="false">'Смета Внутр'!H647</f>
        <v>0</v>
      </c>
      <c r="J640" s="1018" t="n">
        <f aca="false">'Смета Внутр'!I647</f>
        <v>0</v>
      </c>
    </row>
    <row r="641" customFormat="false" ht="15" hidden="false" customHeight="true" outlineLevel="0" collapsed="false">
      <c r="B641" s="1004" t="str">
        <f aca="false">'Смета Внутр'!B648</f>
        <v>Бетон, м300</v>
      </c>
      <c r="C641" s="1004" t="str">
        <f aca="false">'Смета Внутр'!C648</f>
        <v>м3</v>
      </c>
      <c r="D641" s="1018" t="n">
        <f aca="false">'Смета Внутр'!D648</f>
        <v>1.638</v>
      </c>
      <c r="E641" s="1004" t="n">
        <f aca="false">'Смета Внутр'!E648</f>
        <v>3000</v>
      </c>
      <c r="F641" s="1004" t="n">
        <f aca="false">'Смета Внутр'!F648</f>
        <v>0</v>
      </c>
      <c r="G641" s="1004" t="n">
        <f aca="false">IF(E641&gt;F641,E641,F641)</f>
        <v>3000</v>
      </c>
      <c r="H641" s="1004" t="n">
        <f aca="false">'Смета Внутр'!G648</f>
        <v>4914</v>
      </c>
      <c r="I641" s="1004" t="n">
        <f aca="false">'Смета Внутр'!H648</f>
        <v>0</v>
      </c>
      <c r="J641" s="1018" t="n">
        <f aca="false">'Смета Внутр'!I648</f>
        <v>0</v>
      </c>
    </row>
    <row r="642" customFormat="false" ht="15" hidden="false" customHeight="true" outlineLevel="0" collapsed="false">
      <c r="B642" s="1004" t="str">
        <f aca="false">'Смета Внутр'!B649</f>
        <v>Нет</v>
      </c>
      <c r="C642" s="1004" t="str">
        <f aca="false">'Смета Внутр'!C649</f>
        <v>м3</v>
      </c>
      <c r="D642" s="1018" t="n">
        <f aca="false">'Смета Внутр'!D649</f>
        <v>0</v>
      </c>
      <c r="E642" s="1004" t="n">
        <f aca="false">'Смета Внутр'!E649</f>
        <v>0</v>
      </c>
      <c r="F642" s="1004" t="n">
        <f aca="false">'Смета Внутр'!F649</f>
        <v>0</v>
      </c>
      <c r="G642" s="1004" t="n">
        <f aca="false">IF(E642&gt;F642,E642,F642)</f>
        <v>0</v>
      </c>
      <c r="H642" s="1004" t="n">
        <f aca="false">'Смета Внутр'!G649</f>
        <v>0</v>
      </c>
      <c r="I642" s="1004" t="n">
        <f aca="false">'Смета Внутр'!H649</f>
        <v>0</v>
      </c>
      <c r="J642" s="1018" t="n">
        <f aca="false">'Смета Внутр'!I649</f>
        <v>0</v>
      </c>
    </row>
    <row r="643" customFormat="false" ht="15" hidden="false" customHeight="true" outlineLevel="0" collapsed="false">
      <c r="B643" s="1004" t="str">
        <f aca="false">'Смета Внутр'!B650</f>
        <v>Грибок для крепления утеплителя</v>
      </c>
      <c r="C643" s="1004" t="str">
        <f aca="false">'Смета Внутр'!C650</f>
        <v>шт</v>
      </c>
      <c r="D643" s="1018" t="n">
        <f aca="false">'Смета Внутр'!D650</f>
        <v>0</v>
      </c>
      <c r="E643" s="1004" t="n">
        <f aca="false">'Смета Внутр'!E650</f>
        <v>15</v>
      </c>
      <c r="F643" s="1004" t="n">
        <f aca="false">'Смета Внутр'!F650</f>
        <v>0</v>
      </c>
      <c r="G643" s="1004" t="n">
        <f aca="false">IF(E643&gt;F643,E643,F643)</f>
        <v>15</v>
      </c>
      <c r="H643" s="1004" t="n">
        <f aca="false">'Смета Внутр'!G650</f>
        <v>0</v>
      </c>
      <c r="I643" s="1004" t="n">
        <f aca="false">'Смета Внутр'!H650</f>
        <v>0</v>
      </c>
      <c r="J643" s="1018" t="n">
        <f aca="false">'Смета Внутр'!I650</f>
        <v>0</v>
      </c>
    </row>
    <row r="644" customFormat="false" ht="15" hidden="false" customHeight="true" outlineLevel="0" collapsed="false">
      <c r="B644" s="1004" t="str">
        <f aca="false">'Смета Внутр'!B651</f>
        <v>нет ветроизоляции</v>
      </c>
      <c r="C644" s="1004" t="str">
        <f aca="false">'Смета Внутр'!C651</f>
        <v>м2</v>
      </c>
      <c r="D644" s="1018" t="n">
        <f aca="false">'Смета Внутр'!D651</f>
        <v>0</v>
      </c>
      <c r="E644" s="1004" t="n">
        <f aca="false">'Смета Внутр'!E651</f>
        <v>0</v>
      </c>
      <c r="F644" s="1004" t="n">
        <f aca="false">'Смета Внутр'!F651</f>
        <v>0</v>
      </c>
      <c r="G644" s="1004" t="n">
        <f aca="false">IF(E644&gt;F644,E644,F644)</f>
        <v>0</v>
      </c>
      <c r="H644" s="1004" t="n">
        <f aca="false">'Смета Внутр'!G651</f>
        <v>0</v>
      </c>
      <c r="I644" s="1004" t="n">
        <f aca="false">'Смета Внутр'!H651</f>
        <v>0</v>
      </c>
      <c r="J644" s="1018" t="n">
        <f aca="false">'Смета Внутр'!I651</f>
        <v>0</v>
      </c>
    </row>
    <row r="645" customFormat="false" ht="14.5" hidden="false" customHeight="false" outlineLevel="0" collapsed="false">
      <c r="B645" s="2927" t="str">
        <f aca="false">'Смета Внутр'!B652</f>
        <v>Итого материалы</v>
      </c>
      <c r="C645" s="2927"/>
      <c r="D645" s="2927"/>
      <c r="E645" s="2927"/>
      <c r="F645" s="2927"/>
      <c r="G645" s="2927"/>
      <c r="H645" s="1004" t="n">
        <f aca="false">'Смета Внутр'!G652</f>
        <v>0</v>
      </c>
      <c r="I645" s="1004" t="n">
        <f aca="false">'Смета Внутр'!H652</f>
        <v>0</v>
      </c>
      <c r="J645" s="1018" t="n">
        <f aca="false">'Смета Внутр'!I652</f>
        <v>0</v>
      </c>
    </row>
    <row r="646" customFormat="false" ht="15" hidden="false" customHeight="true" outlineLevel="0" collapsed="false">
      <c r="B646" s="2881" t="str">
        <f aca="false">'Смета Внутр'!B653</f>
        <v>Работы</v>
      </c>
      <c r="D646" s="919"/>
      <c r="H646" s="0" t="n">
        <f aca="false">'Смета Внутр'!G653</f>
        <v>0</v>
      </c>
      <c r="I646" s="0" t="n">
        <f aca="false">'Смета Внутр'!H653</f>
        <v>0</v>
      </c>
      <c r="J646" s="2926" t="n">
        <f aca="false">'Смета Внутр'!I653</f>
        <v>0</v>
      </c>
    </row>
    <row r="647" customFormat="false" ht="15" hidden="false" customHeight="true" outlineLevel="0" collapsed="false">
      <c r="B647" s="1004" t="str">
        <f aca="false">'Смета Внутр'!B654</f>
        <v>кладка пенобетона несущие стены</v>
      </c>
      <c r="C647" s="1004" t="str">
        <f aca="false">'Смета Внутр'!C654</f>
        <v>м3</v>
      </c>
      <c r="D647" s="1018" t="n">
        <f aca="false">'Смета Внутр'!D654</f>
        <v>0</v>
      </c>
      <c r="E647" s="1004" t="n">
        <f aca="false">'Смета Внутр'!E654</f>
        <v>3500</v>
      </c>
      <c r="F647" s="1004" t="n">
        <f aca="false">'Смета Внутр'!F654</f>
        <v>0</v>
      </c>
      <c r="G647" s="1004" t="n">
        <f aca="false">IF(E647&gt;F647,E647,F647)</f>
        <v>3500</v>
      </c>
      <c r="H647" s="1004" t="n">
        <f aca="false">'Смета Внутр'!G654</f>
        <v>0</v>
      </c>
      <c r="I647" s="1004" t="n">
        <f aca="false">'Смета Внутр'!H654</f>
        <v>0</v>
      </c>
      <c r="J647" s="1018" t="n">
        <f aca="false">'Смета Внутр'!I654</f>
        <v>0</v>
      </c>
    </row>
    <row r="648" customFormat="false" ht="15" hidden="false" customHeight="true" outlineLevel="0" collapsed="false">
      <c r="B648" s="1004" t="str">
        <f aca="false">'Смета Внутр'!B655</f>
        <v>кладка пенобетона несущие перегородки</v>
      </c>
      <c r="C648" s="1004" t="str">
        <f aca="false">'Смета Внутр'!C655</f>
        <v>м3</v>
      </c>
      <c r="D648" s="1018" t="n">
        <f aca="false">'Смета Внутр'!D655</f>
        <v>0</v>
      </c>
      <c r="E648" s="1004" t="n">
        <f aca="false">'Смета Внутр'!E655</f>
        <v>3500</v>
      </c>
      <c r="F648" s="1004" t="n">
        <f aca="false">'Смета Внутр'!F655</f>
        <v>0</v>
      </c>
      <c r="G648" s="1004" t="n">
        <f aca="false">IF(E648&gt;F648,E648,F648)</f>
        <v>3500</v>
      </c>
      <c r="H648" s="1004" t="n">
        <f aca="false">'Смета Внутр'!G655</f>
        <v>0</v>
      </c>
      <c r="I648" s="1004" t="n">
        <f aca="false">'Смета Внутр'!H655</f>
        <v>0</v>
      </c>
      <c r="J648" s="1018" t="n">
        <f aca="false">'Смета Внутр'!I655</f>
        <v>0</v>
      </c>
    </row>
    <row r="649" customFormat="false" ht="15" hidden="false" customHeight="true" outlineLevel="0" collapsed="false">
      <c r="B649" s="1004" t="str">
        <f aca="false">'Смета Внутр'!B656</f>
        <v>кладка пенобетона перегородки</v>
      </c>
      <c r="C649" s="1004" t="str">
        <f aca="false">'Смета Внутр'!C656</f>
        <v>м2</v>
      </c>
      <c r="D649" s="1018" t="n">
        <f aca="false">'Смета Внутр'!D656</f>
        <v>0</v>
      </c>
      <c r="E649" s="1004" t="n">
        <f aca="false">'Смета Внутр'!E656</f>
        <v>450</v>
      </c>
      <c r="F649" s="1004" t="n">
        <f aca="false">'Смета Внутр'!F656</f>
        <v>0</v>
      </c>
      <c r="G649" s="1004" t="n">
        <f aca="false">IF(E649&gt;F649,E649,F649)</f>
        <v>450</v>
      </c>
      <c r="H649" s="1004" t="n">
        <f aca="false">'Смета Внутр'!G656</f>
        <v>0</v>
      </c>
      <c r="I649" s="1004" t="n">
        <f aca="false">'Смета Внутр'!H656</f>
        <v>0</v>
      </c>
      <c r="J649" s="1018" t="n">
        <f aca="false">'Смета Внутр'!I656</f>
        <v>0</v>
      </c>
    </row>
    <row r="650" customFormat="false" ht="15" hidden="false" customHeight="true" outlineLevel="0" collapsed="false">
      <c r="B650" s="1004" t="str">
        <f aca="false">'Смета Внутр'!B657</f>
        <v>изготовление и монтаж перемычек для окон и дверей</v>
      </c>
      <c r="C650" s="1004" t="str">
        <f aca="false">'Смета Внутр'!C657</f>
        <v>м.п.</v>
      </c>
      <c r="D650" s="1018" t="n">
        <f aca="false">'Смета Внутр'!D657</f>
        <v>2.52</v>
      </c>
      <c r="E650" s="1004" t="n">
        <f aca="false">'Смета Внутр'!E657</f>
        <v>500</v>
      </c>
      <c r="F650" s="1004" t="n">
        <f aca="false">'Смета Внутр'!F657</f>
        <v>0</v>
      </c>
      <c r="G650" s="1004" t="n">
        <f aca="false">IF(E650&gt;F650,E650,F650)</f>
        <v>500</v>
      </c>
      <c r="H650" s="1004" t="n">
        <f aca="false">'Смета Внутр'!G657</f>
        <v>1260</v>
      </c>
      <c r="I650" s="1004" t="n">
        <f aca="false">'Смета Внутр'!H657</f>
        <v>0</v>
      </c>
      <c r="J650" s="1018" t="n">
        <f aca="false">'Смета Внутр'!I657</f>
        <v>0</v>
      </c>
    </row>
    <row r="651" customFormat="false" ht="15" hidden="false" customHeight="true" outlineLevel="0" collapsed="false">
      <c r="B651" s="1004" t="str">
        <f aca="false">'Смета Внутр'!B658</f>
        <v>Замешивание раствора</v>
      </c>
      <c r="C651" s="1004" t="str">
        <f aca="false">'Смета Внутр'!C658</f>
        <v>м3</v>
      </c>
      <c r="D651" s="1018" t="n">
        <f aca="false">'Смета Внутр'!D658</f>
        <v>0</v>
      </c>
      <c r="E651" s="1004" t="n">
        <f aca="false">'Смета Внутр'!E658</f>
        <v>1500</v>
      </c>
      <c r="F651" s="1004" t="n">
        <f aca="false">'Смета Внутр'!F658</f>
        <v>0</v>
      </c>
      <c r="G651" s="1004" t="n">
        <f aca="false">IF(E651&gt;F651,E651,F651)</f>
        <v>1500</v>
      </c>
      <c r="H651" s="1004" t="n">
        <f aca="false">'Смета Внутр'!G658</f>
        <v>0</v>
      </c>
      <c r="I651" s="1004" t="n">
        <f aca="false">'Смета Внутр'!H658</f>
        <v>0</v>
      </c>
      <c r="J651" s="1018" t="n">
        <f aca="false">'Смета Внутр'!I658</f>
        <v>0</v>
      </c>
    </row>
    <row r="652" customFormat="false" ht="15" hidden="false" customHeight="true" outlineLevel="0" collapsed="false">
      <c r="B652" s="1004" t="str">
        <f aca="false">'Смета Внутр'!B659</f>
        <v>Армирование стен наружних и перегородок</v>
      </c>
      <c r="C652" s="1004" t="str">
        <f aca="false">'Смета Внутр'!C659</f>
        <v>м.п.</v>
      </c>
      <c r="D652" s="1018" t="n">
        <f aca="false">'Смета Внутр'!D659</f>
        <v>240</v>
      </c>
      <c r="E652" s="1004" t="n">
        <f aca="false">'Смета Внутр'!E659</f>
        <v>70</v>
      </c>
      <c r="F652" s="1004" t="n">
        <f aca="false">'Смета Внутр'!F659</f>
        <v>0</v>
      </c>
      <c r="G652" s="1004" t="n">
        <f aca="false">IF(E652&gt;F652,E652,F652)</f>
        <v>70</v>
      </c>
      <c r="H652" s="1004" t="n">
        <f aca="false">'Смета Внутр'!G659</f>
        <v>16800</v>
      </c>
      <c r="I652" s="1004" t="n">
        <f aca="false">'Смета Внутр'!H659</f>
        <v>0</v>
      </c>
      <c r="J652" s="1018" t="n">
        <f aca="false">'Смета Внутр'!I659</f>
        <v>0</v>
      </c>
    </row>
    <row r="653" customFormat="false" ht="15" hidden="false" customHeight="true" outlineLevel="0" collapsed="false">
      <c r="B653" s="1004" t="str">
        <f aca="false">'Смета Внутр'!B660</f>
        <v>Установка опалубки для сейсмопояса</v>
      </c>
      <c r="C653" s="1004" t="str">
        <f aca="false">'Смета Внутр'!C660</f>
        <v>м.п.</v>
      </c>
      <c r="D653" s="1018" t="n">
        <f aca="false">'Смета Внутр'!D660</f>
        <v>40</v>
      </c>
      <c r="E653" s="1004" t="n">
        <f aca="false">'Смета Внутр'!E660</f>
        <v>300</v>
      </c>
      <c r="F653" s="1004" t="n">
        <f aca="false">'Смета Внутр'!F660</f>
        <v>0</v>
      </c>
      <c r="G653" s="1004" t="n">
        <f aca="false">IF(E653&gt;F653,E653,F653)</f>
        <v>300</v>
      </c>
      <c r="H653" s="1004" t="n">
        <f aca="false">'Смета Внутр'!G660</f>
        <v>12000</v>
      </c>
      <c r="I653" s="1004" t="n">
        <f aca="false">'Смета Внутр'!H660</f>
        <v>0</v>
      </c>
      <c r="J653" s="1018" t="n">
        <f aca="false">'Смета Внутр'!I660</f>
        <v>0</v>
      </c>
    </row>
    <row r="654" customFormat="false" ht="15" hidden="false" customHeight="true" outlineLevel="0" collapsed="false">
      <c r="B654" s="1004" t="str">
        <f aca="false">'Смета Внутр'!B661</f>
        <v>Армирование сейсмопояса</v>
      </c>
      <c r="C654" s="1004" t="str">
        <f aca="false">'Смета Внутр'!C661</f>
        <v>м.п.</v>
      </c>
      <c r="D654" s="1018" t="n">
        <f aca="false">'Смета Внутр'!D661</f>
        <v>40</v>
      </c>
      <c r="E654" s="1004" t="n">
        <f aca="false">'Смета Внутр'!E661</f>
        <v>500</v>
      </c>
      <c r="F654" s="1004" t="n">
        <f aca="false">'Смета Внутр'!F661</f>
        <v>0</v>
      </c>
      <c r="G654" s="1004" t="n">
        <f aca="false">IF(E654&gt;F654,E654,F654)</f>
        <v>500</v>
      </c>
      <c r="H654" s="1004" t="n">
        <f aca="false">'Смета Внутр'!G661</f>
        <v>20000</v>
      </c>
      <c r="I654" s="1004" t="n">
        <f aca="false">'Смета Внутр'!H661</f>
        <v>0</v>
      </c>
      <c r="J654" s="1018" t="n">
        <f aca="false">'Смета Внутр'!I661</f>
        <v>0</v>
      </c>
    </row>
    <row r="655" customFormat="false" ht="15" hidden="false" customHeight="true" outlineLevel="0" collapsed="false">
      <c r="B655" s="1004" t="str">
        <f aca="false">'Смета Внутр'!B662</f>
        <v>Заливка бетоном сейсмопояса</v>
      </c>
      <c r="C655" s="1004" t="str">
        <f aca="false">'Смета Внутр'!C662</f>
        <v>м.п.</v>
      </c>
      <c r="D655" s="1018" t="n">
        <f aca="false">'Смета Внутр'!D662</f>
        <v>40</v>
      </c>
      <c r="E655" s="1004" t="n">
        <f aca="false">'Смета Внутр'!E662</f>
        <v>700</v>
      </c>
      <c r="F655" s="1004" t="n">
        <f aca="false">'Смета Внутр'!F662</f>
        <v>0</v>
      </c>
      <c r="G655" s="1004" t="n">
        <f aca="false">IF(E655&gt;F655,E655,F655)</f>
        <v>700</v>
      </c>
      <c r="H655" s="1004" t="n">
        <f aca="false">'Смета Внутр'!G662</f>
        <v>28000</v>
      </c>
      <c r="I655" s="1004" t="n">
        <f aca="false">'Смета Внутр'!H662</f>
        <v>0</v>
      </c>
      <c r="J655" s="1018" t="n">
        <f aca="false">'Смета Внутр'!I662</f>
        <v>0</v>
      </c>
    </row>
    <row r="656" customFormat="false" ht="15" hidden="false" customHeight="true" outlineLevel="0" collapsed="false">
      <c r="B656" s="1004" t="str">
        <f aca="false">'Смета Внутр'!B663</f>
        <v>утепление стен снаружи дома</v>
      </c>
      <c r="C656" s="1004" t="str">
        <f aca="false">'Смета Внутр'!C663</f>
        <v>м2</v>
      </c>
      <c r="D656" s="1018" t="n">
        <f aca="false">'Смета Внутр'!D663</f>
        <v>0</v>
      </c>
      <c r="E656" s="1004" t="n">
        <f aca="false">'Смета Внутр'!E663</f>
        <v>350</v>
      </c>
      <c r="F656" s="1004" t="n">
        <f aca="false">'Смета Внутр'!F663</f>
        <v>0</v>
      </c>
      <c r="G656" s="1004" t="n">
        <f aca="false">IF(E656&gt;F656,E656,F656)</f>
        <v>350</v>
      </c>
      <c r="H656" s="1004" t="n">
        <f aca="false">'Смета Внутр'!G663</f>
        <v>0</v>
      </c>
      <c r="I656" s="1004" t="n">
        <f aca="false">'Смета Внутр'!H663</f>
        <v>0</v>
      </c>
      <c r="J656" s="1018" t="n">
        <f aca="false">'Смета Внутр'!I663</f>
        <v>0</v>
      </c>
    </row>
    <row r="657" customFormat="false" ht="15" hidden="false" customHeight="true" outlineLevel="0" collapsed="false">
      <c r="B657" s="1004" t="str">
        <f aca="false">'Смета Внутр'!B664</f>
        <v>монтаж ветроизоляции стен</v>
      </c>
      <c r="C657" s="1004" t="str">
        <f aca="false">'Смета Внутр'!C664</f>
        <v>м2</v>
      </c>
      <c r="D657" s="1018" t="n">
        <f aca="false">'Смета Внутр'!D664</f>
        <v>0</v>
      </c>
      <c r="E657" s="1004" t="n">
        <f aca="false">'Смета Внутр'!E664</f>
        <v>100</v>
      </c>
      <c r="F657" s="1004" t="n">
        <f aca="false">'Смета Внутр'!F664</f>
        <v>0</v>
      </c>
      <c r="G657" s="1004" t="n">
        <f aca="false">IF(E657&gt;F657,E657,F657)</f>
        <v>100</v>
      </c>
      <c r="H657" s="1004" t="n">
        <f aca="false">'Смета Внутр'!G664</f>
        <v>0</v>
      </c>
      <c r="I657" s="1004" t="n">
        <f aca="false">'Смета Внутр'!H664</f>
        <v>0</v>
      </c>
      <c r="J657" s="1018" t="n">
        <f aca="false">'Смета Внутр'!I664</f>
        <v>0</v>
      </c>
    </row>
    <row r="658" customFormat="false" ht="15" hidden="false" customHeight="true" outlineLevel="0" collapsed="false">
      <c r="B658" s="2927" t="str">
        <f aca="false">'Смета Внутр'!B665</f>
        <v>Итого работы</v>
      </c>
      <c r="C658" s="2927"/>
      <c r="D658" s="2927"/>
      <c r="E658" s="2927"/>
      <c r="F658" s="2927"/>
      <c r="G658" s="2927"/>
      <c r="H658" s="1004" t="n">
        <f aca="false">'Смета Внутр'!G665</f>
        <v>0</v>
      </c>
      <c r="I658" s="1004" t="n">
        <f aca="false">'Смета Внутр'!H665</f>
        <v>0</v>
      </c>
      <c r="J658" s="1018" t="n">
        <f aca="false">'Смета Внутр'!I665</f>
        <v>0</v>
      </c>
    </row>
    <row r="659" customFormat="false" ht="15" hidden="false" customHeight="true" outlineLevel="0" collapsed="false">
      <c r="B659" s="2925" t="str">
        <f aca="false">'Смета Внутр'!B666</f>
        <v>Кирпичный дом</v>
      </c>
      <c r="C659" s="2925"/>
      <c r="D659" s="2925"/>
      <c r="H659" s="0" t="n">
        <f aca="false">'Смета Внутр'!G666</f>
        <v>0</v>
      </c>
      <c r="I659" s="0" t="n">
        <f aca="false">'Смета Внутр'!H666</f>
        <v>1</v>
      </c>
      <c r="J659" s="919" t="n">
        <f aca="false">'Смета Внутр'!I666</f>
        <v>1</v>
      </c>
    </row>
    <row r="660" customFormat="false" ht="15" hidden="false" customHeight="true" outlineLevel="0" collapsed="false">
      <c r="B660" s="2881" t="str">
        <f aca="false">'Смета Внутр'!B667</f>
        <v>Материалы</v>
      </c>
      <c r="D660" s="919"/>
      <c r="H660" s="0" t="n">
        <f aca="false">'Смета Внутр'!G667</f>
        <v>0</v>
      </c>
      <c r="I660" s="0" t="n">
        <f aca="false">'Смета Внутр'!H667</f>
        <v>1</v>
      </c>
      <c r="J660" s="919" t="n">
        <f aca="false">'Смета Внутр'!I667</f>
        <v>1</v>
      </c>
    </row>
    <row r="661" customFormat="false" ht="15" hidden="false" customHeight="true" outlineLevel="0" collapsed="false">
      <c r="B661" s="1004" t="str">
        <f aca="false">'Смета Внутр'!B668</f>
        <v>Керамоблок 510х250х219 мм -    14,3 НФ</v>
      </c>
      <c r="C661" s="1004" t="str">
        <f aca="false">'Смета Внутр'!C668</f>
        <v>м3</v>
      </c>
      <c r="D661" s="1018" t="n">
        <f aca="false">'Смета Внутр'!D668</f>
        <v>41.7516</v>
      </c>
      <c r="E661" s="1004" t="n">
        <f aca="false">'Смета Внутр'!E668</f>
        <v>10000</v>
      </c>
      <c r="F661" s="1004" t="n">
        <f aca="false">'Смета Внутр'!F668</f>
        <v>0</v>
      </c>
      <c r="G661" s="1004" t="n">
        <f aca="false">IF(E661&gt;F661,E661,F661)</f>
        <v>10000</v>
      </c>
      <c r="H661" s="1004" t="n">
        <f aca="false">'Смета Внутр'!G668</f>
        <v>417516</v>
      </c>
      <c r="I661" s="1004" t="n">
        <f aca="false">'Смета Внутр'!H668</f>
        <v>417516</v>
      </c>
      <c r="J661" s="1018" t="n">
        <f aca="false">'Смета Внутр'!I668</f>
        <v>417516</v>
      </c>
    </row>
    <row r="662" customFormat="false" ht="15" hidden="false" customHeight="true" outlineLevel="0" collapsed="false">
      <c r="B662" s="1004" t="str">
        <f aca="false">'Смета Внутр'!B669</f>
        <v>Керамоблок 510х250х219 мм -    14,3 НФ</v>
      </c>
      <c r="C662" s="1004" t="str">
        <f aca="false">'Смета Внутр'!C669</f>
        <v>м3</v>
      </c>
      <c r="D662" s="1018" t="n">
        <f aca="false">'Смета Внутр'!D669</f>
        <v>12.672</v>
      </c>
      <c r="E662" s="1004" t="n">
        <f aca="false">'Смета Внутр'!E669</f>
        <v>10000</v>
      </c>
      <c r="F662" s="1004" t="n">
        <f aca="false">'Смета Внутр'!F669</f>
        <v>0</v>
      </c>
      <c r="G662" s="1004" t="n">
        <f aca="false">IF(E662&gt;F662,E662,F662)</f>
        <v>10000</v>
      </c>
      <c r="H662" s="1004" t="n">
        <f aca="false">'Смета Внутр'!G669</f>
        <v>126720</v>
      </c>
      <c r="I662" s="1004" t="n">
        <f aca="false">'Смета Внутр'!H669</f>
        <v>126720</v>
      </c>
      <c r="J662" s="1018" t="n">
        <f aca="false">'Смета Внутр'!I669</f>
        <v>126720</v>
      </c>
    </row>
    <row r="663" customFormat="false" ht="15" hidden="false" customHeight="true" outlineLevel="0" collapsed="false">
      <c r="B663" s="1004" t="str">
        <f aca="false">'Смета Внутр'!B670</f>
        <v>Керамоблок 510х250х219 мм -    14,3 НФ</v>
      </c>
      <c r="C663" s="1004" t="str">
        <f aca="false">'Смета Внутр'!C670</f>
        <v>м3</v>
      </c>
      <c r="D663" s="1018" t="n">
        <f aca="false">'Смета Внутр'!D670</f>
        <v>4.1184</v>
      </c>
      <c r="E663" s="1004" t="n">
        <f aca="false">'Смета Внутр'!E670</f>
        <v>10000</v>
      </c>
      <c r="F663" s="1004" t="n">
        <f aca="false">'Смета Внутр'!F670</f>
        <v>0</v>
      </c>
      <c r="G663" s="1004" t="n">
        <f aca="false">IF(E663&gt;F663,E663,F663)</f>
        <v>10000</v>
      </c>
      <c r="H663" s="1004" t="n">
        <f aca="false">'Смета Внутр'!G670</f>
        <v>41184</v>
      </c>
      <c r="I663" s="1004" t="n">
        <f aca="false">'Смета Внутр'!H670</f>
        <v>41184</v>
      </c>
      <c r="J663" s="1018" t="n">
        <f aca="false">'Смета Внутр'!I670</f>
        <v>41184</v>
      </c>
    </row>
    <row r="664" customFormat="false" ht="15" hidden="false" customHeight="true" outlineLevel="0" collapsed="false">
      <c r="B664" s="1004" t="str">
        <f aca="false">'Смета Внутр'!B671</f>
        <v>Перемычка оконная, 1-ый эт. Вариант 1</v>
      </c>
      <c r="C664" s="1004" t="str">
        <f aca="false">'Смета Внутр'!C671</f>
        <v>м.п.</v>
      </c>
      <c r="D664" s="1018" t="n">
        <f aca="false">'Смета Внутр'!D671</f>
        <v>1</v>
      </c>
      <c r="E664" s="1004" t="n">
        <f aca="false">'Смета Внутр'!E671</f>
        <v>1000</v>
      </c>
      <c r="F664" s="1004" t="n">
        <f aca="false">'Смета Внутр'!F671</f>
        <v>0</v>
      </c>
      <c r="G664" s="1004" t="n">
        <f aca="false">IF(E664&gt;F664,E664,F664)</f>
        <v>1000</v>
      </c>
      <c r="H664" s="1004" t="n">
        <f aca="false">'Смета Внутр'!G671</f>
        <v>1000</v>
      </c>
      <c r="I664" s="1004" t="n">
        <f aca="false">'Смета Внутр'!H671</f>
        <v>1000</v>
      </c>
      <c r="J664" s="1018" t="n">
        <f aca="false">'Смета Внутр'!I671</f>
        <v>1000</v>
      </c>
    </row>
    <row r="665" customFormat="false" ht="15" hidden="false" customHeight="true" outlineLevel="0" collapsed="false">
      <c r="B665" s="1004" t="str">
        <f aca="false">'Смета Внутр'!B672</f>
        <v>Перемычка оконная, 1-ый эт. Вариант 2</v>
      </c>
      <c r="C665" s="1004" t="str">
        <f aca="false">'Смета Внутр'!C672</f>
        <v>м.п.</v>
      </c>
      <c r="D665" s="1018" t="n">
        <f aca="false">'Смета Внутр'!D672</f>
        <v>0</v>
      </c>
      <c r="E665" s="1004" t="n">
        <f aca="false">'Смета Внутр'!E672</f>
        <v>1000</v>
      </c>
      <c r="F665" s="1004" t="n">
        <f aca="false">'Смета Внутр'!F672</f>
        <v>0</v>
      </c>
      <c r="G665" s="1004" t="n">
        <f aca="false">IF(E665&gt;F665,E665,F665)</f>
        <v>1000</v>
      </c>
      <c r="H665" s="1004" t="n">
        <f aca="false">'Смета Внутр'!G672</f>
        <v>0</v>
      </c>
      <c r="I665" s="1004" t="n">
        <f aca="false">'Смета Внутр'!H672</f>
        <v>0</v>
      </c>
      <c r="J665" s="1018" t="n">
        <f aca="false">'Смета Внутр'!I672</f>
        <v>0</v>
      </c>
    </row>
    <row r="666" customFormat="false" ht="15" hidden="false" customHeight="true" outlineLevel="0" collapsed="false">
      <c r="B666" s="1004" t="str">
        <f aca="false">'Смета Внутр'!B673</f>
        <v>Перемычка оконная, 1-ый эт. Вариант 3</v>
      </c>
      <c r="C666" s="1004" t="str">
        <f aca="false">'Смета Внутр'!C673</f>
        <v>м.п.</v>
      </c>
      <c r="D666" s="1018" t="n">
        <f aca="false">'Смета Внутр'!D673</f>
        <v>0</v>
      </c>
      <c r="E666" s="1004" t="n">
        <f aca="false">'Смета Внутр'!E673</f>
        <v>1000</v>
      </c>
      <c r="F666" s="1004" t="n">
        <f aca="false">'Смета Внутр'!F673</f>
        <v>0</v>
      </c>
      <c r="G666" s="1004" t="n">
        <f aca="false">IF(E666&gt;F666,E666,F666)</f>
        <v>1000</v>
      </c>
      <c r="H666" s="1004" t="n">
        <f aca="false">'Смета Внутр'!G673</f>
        <v>0</v>
      </c>
      <c r="I666" s="1004" t="n">
        <f aca="false">'Смета Внутр'!H673</f>
        <v>0</v>
      </c>
      <c r="J666" s="1018" t="n">
        <f aca="false">'Смета Внутр'!I673</f>
        <v>0</v>
      </c>
    </row>
    <row r="667" customFormat="false" ht="15" hidden="false" customHeight="true" outlineLevel="0" collapsed="false">
      <c r="B667" s="1004" t="str">
        <f aca="false">'Смета Внутр'!B674</f>
        <v>Перемычка оконная, 1-ый эт. Вариант 4</v>
      </c>
      <c r="C667" s="1004" t="str">
        <f aca="false">'Смета Внутр'!C674</f>
        <v>м.п.</v>
      </c>
      <c r="D667" s="1018" t="n">
        <f aca="false">'Смета Внутр'!D674</f>
        <v>0</v>
      </c>
      <c r="E667" s="1004" t="n">
        <f aca="false">'Смета Внутр'!E674</f>
        <v>1000</v>
      </c>
      <c r="F667" s="1004" t="n">
        <f aca="false">'Смета Внутр'!F674</f>
        <v>0</v>
      </c>
      <c r="G667" s="1004" t="n">
        <f aca="false">IF(E667&gt;F667,E667,F667)</f>
        <v>1000</v>
      </c>
      <c r="H667" s="1004" t="n">
        <f aca="false">'Смета Внутр'!G674</f>
        <v>0</v>
      </c>
      <c r="I667" s="1004" t="n">
        <f aca="false">'Смета Внутр'!H674</f>
        <v>0</v>
      </c>
      <c r="J667" s="1018" t="n">
        <f aca="false">'Смета Внутр'!I674</f>
        <v>0</v>
      </c>
    </row>
    <row r="668" customFormat="false" ht="15" hidden="false" customHeight="true" outlineLevel="0" collapsed="false">
      <c r="B668" s="1004" t="str">
        <f aca="false">'Смета Внутр'!B675</f>
        <v>Перемычка оконная, 1-ый эт. Вариант 5</v>
      </c>
      <c r="C668" s="1004" t="str">
        <f aca="false">'Смета Внутр'!C675</f>
        <v>м.п.</v>
      </c>
      <c r="D668" s="1018" t="n">
        <f aca="false">'Смета Внутр'!D675</f>
        <v>0</v>
      </c>
      <c r="E668" s="1004" t="n">
        <f aca="false">'Смета Внутр'!E675</f>
        <v>1000</v>
      </c>
      <c r="F668" s="1004" t="n">
        <f aca="false">'Смета Внутр'!F675</f>
        <v>0</v>
      </c>
      <c r="G668" s="1004" t="n">
        <f aca="false">IF(E668&gt;F668,E668,F668)</f>
        <v>1000</v>
      </c>
      <c r="H668" s="1004" t="n">
        <f aca="false">'Смета Внутр'!G675</f>
        <v>0</v>
      </c>
      <c r="I668" s="1004" t="n">
        <f aca="false">'Смета Внутр'!H675</f>
        <v>0</v>
      </c>
      <c r="J668" s="1018" t="n">
        <f aca="false">'Смета Внутр'!I675</f>
        <v>0</v>
      </c>
    </row>
    <row r="669" customFormat="false" ht="15" hidden="false" customHeight="true" outlineLevel="0" collapsed="false">
      <c r="B669" s="1004" t="str">
        <f aca="false">'Смета Внутр'!B676</f>
        <v>Перемычка оконная, 2-ый эт. Вариант 6</v>
      </c>
      <c r="C669" s="1004" t="str">
        <f aca="false">'Смета Внутр'!C676</f>
        <v>м.п.</v>
      </c>
      <c r="D669" s="1018" t="n">
        <f aca="false">'Смета Внутр'!D676</f>
        <v>0</v>
      </c>
      <c r="E669" s="1004" t="n">
        <f aca="false">'Смета Внутр'!E676</f>
        <v>1000</v>
      </c>
      <c r="F669" s="1004" t="n">
        <f aca="false">'Смета Внутр'!F676</f>
        <v>0</v>
      </c>
      <c r="G669" s="1004" t="n">
        <f aca="false">IF(E669&gt;F669,E669,F669)</f>
        <v>1000</v>
      </c>
      <c r="H669" s="1004" t="n">
        <f aca="false">'Смета Внутр'!G676</f>
        <v>0</v>
      </c>
      <c r="I669" s="1004" t="n">
        <f aca="false">'Смета Внутр'!H676</f>
        <v>0</v>
      </c>
      <c r="J669" s="1018" t="n">
        <f aca="false">'Смета Внутр'!I676</f>
        <v>0</v>
      </c>
    </row>
    <row r="670" customFormat="false" ht="15" hidden="false" customHeight="true" outlineLevel="0" collapsed="false">
      <c r="B670" s="1004" t="str">
        <f aca="false">'Смета Внутр'!B677</f>
        <v>Перемычка оконная, 2-ый эт. Вариант 7</v>
      </c>
      <c r="C670" s="1004" t="str">
        <f aca="false">'Смета Внутр'!C677</f>
        <v>м.п.</v>
      </c>
      <c r="D670" s="1018" t="n">
        <f aca="false">'Смета Внутр'!D677</f>
        <v>0</v>
      </c>
      <c r="E670" s="1004" t="n">
        <f aca="false">'Смета Внутр'!E677</f>
        <v>1000</v>
      </c>
      <c r="F670" s="1004" t="n">
        <f aca="false">'Смета Внутр'!F677</f>
        <v>0</v>
      </c>
      <c r="G670" s="1004" t="n">
        <f aca="false">IF(E670&gt;F670,E670,F670)</f>
        <v>1000</v>
      </c>
      <c r="H670" s="1004" t="n">
        <f aca="false">'Смета Внутр'!G677</f>
        <v>0</v>
      </c>
      <c r="I670" s="1004" t="n">
        <f aca="false">'Смета Внутр'!H677</f>
        <v>0</v>
      </c>
      <c r="J670" s="1018" t="n">
        <f aca="false">'Смета Внутр'!I677</f>
        <v>0</v>
      </c>
    </row>
    <row r="671" customFormat="false" ht="15" hidden="false" customHeight="true" outlineLevel="0" collapsed="false">
      <c r="B671" s="1004" t="str">
        <f aca="false">'Смета Внутр'!B678</f>
        <v>Перемычка оконная, 2-ый эт. Вариант 8</v>
      </c>
      <c r="C671" s="1004" t="str">
        <f aca="false">'Смета Внутр'!C678</f>
        <v>м.п.</v>
      </c>
      <c r="D671" s="1018" t="n">
        <f aca="false">'Смета Внутр'!D678</f>
        <v>0</v>
      </c>
      <c r="E671" s="1004" t="n">
        <f aca="false">'Смета Внутр'!E678</f>
        <v>1000</v>
      </c>
      <c r="F671" s="1004" t="n">
        <f aca="false">'Смета Внутр'!F678</f>
        <v>0</v>
      </c>
      <c r="G671" s="1004" t="n">
        <f aca="false">IF(E671&gt;F671,E671,F671)</f>
        <v>1000</v>
      </c>
      <c r="H671" s="1004" t="n">
        <f aca="false">'Смета Внутр'!G678</f>
        <v>0</v>
      </c>
      <c r="I671" s="1004" t="n">
        <f aca="false">'Смета Внутр'!H678</f>
        <v>0</v>
      </c>
      <c r="J671" s="1018" t="n">
        <f aca="false">'Смета Внутр'!I678</f>
        <v>0</v>
      </c>
    </row>
    <row r="672" customFormat="false" ht="15" hidden="false" customHeight="true" outlineLevel="0" collapsed="false">
      <c r="B672" s="1004" t="str">
        <f aca="false">'Смета Внутр'!B679</f>
        <v>Перемычка оконная, 2-ый эт. Вариант 9</v>
      </c>
      <c r="C672" s="1004" t="str">
        <f aca="false">'Смета Внутр'!C679</f>
        <v>м.п.</v>
      </c>
      <c r="D672" s="1018" t="n">
        <f aca="false">'Смета Внутр'!D679</f>
        <v>0</v>
      </c>
      <c r="E672" s="1004" t="n">
        <f aca="false">'Смета Внутр'!E679</f>
        <v>1000</v>
      </c>
      <c r="F672" s="1004" t="n">
        <f aca="false">'Смета Внутр'!F679</f>
        <v>0</v>
      </c>
      <c r="G672" s="1004" t="n">
        <f aca="false">IF(E672&gt;F672,E672,F672)</f>
        <v>1000</v>
      </c>
      <c r="H672" s="1004" t="n">
        <f aca="false">'Смета Внутр'!G679</f>
        <v>0</v>
      </c>
      <c r="I672" s="1004" t="n">
        <f aca="false">'Смета Внутр'!H679</f>
        <v>0</v>
      </c>
      <c r="J672" s="1018" t="n">
        <f aca="false">'Смета Внутр'!I679</f>
        <v>0</v>
      </c>
    </row>
    <row r="673" customFormat="false" ht="15" hidden="false" customHeight="true" outlineLevel="0" collapsed="false">
      <c r="B673" s="1004" t="str">
        <f aca="false">'Смета Внутр'!B680</f>
        <v>Перемычка оконная, 2-ый эт. Вариант 10</v>
      </c>
      <c r="C673" s="1004" t="str">
        <f aca="false">'Смета Внутр'!C680</f>
        <v>м.п.</v>
      </c>
      <c r="D673" s="1018" t="n">
        <f aca="false">'Смета Внутр'!D680</f>
        <v>0</v>
      </c>
      <c r="E673" s="1004" t="n">
        <f aca="false">'Смета Внутр'!E680</f>
        <v>1000</v>
      </c>
      <c r="F673" s="1004" t="n">
        <f aca="false">'Смета Внутр'!F680</f>
        <v>0</v>
      </c>
      <c r="G673" s="1004" t="n">
        <f aca="false">IF(E673&gt;F673,E673,F673)</f>
        <v>1000</v>
      </c>
      <c r="H673" s="1004" t="n">
        <f aca="false">'Смета Внутр'!G680</f>
        <v>0</v>
      </c>
      <c r="I673" s="1004" t="n">
        <f aca="false">'Смета Внутр'!H680</f>
        <v>0</v>
      </c>
      <c r="J673" s="1018" t="n">
        <f aca="false">'Смета Внутр'!I680</f>
        <v>0</v>
      </c>
    </row>
    <row r="674" customFormat="false" ht="15" hidden="false" customHeight="true" outlineLevel="0" collapsed="false">
      <c r="B674" s="1004" t="str">
        <f aca="false">'Смета Внутр'!B681</f>
        <v>Перемычка дверная, 1-ый эт. Вариант 1</v>
      </c>
      <c r="C674" s="1004" t="str">
        <f aca="false">'Смета Внутр'!C681</f>
        <v>м.п.</v>
      </c>
      <c r="D674" s="1018" t="n">
        <f aca="false">'Смета Внутр'!D681</f>
        <v>0</v>
      </c>
      <c r="E674" s="1004" t="n">
        <f aca="false">'Смета Внутр'!E681</f>
        <v>1000</v>
      </c>
      <c r="F674" s="1004" t="n">
        <f aca="false">'Смета Внутр'!F681</f>
        <v>0</v>
      </c>
      <c r="G674" s="1004" t="n">
        <f aca="false">IF(E674&gt;F674,E674,F674)</f>
        <v>1000</v>
      </c>
      <c r="H674" s="1004" t="n">
        <f aca="false">'Смета Внутр'!G681</f>
        <v>0</v>
      </c>
      <c r="I674" s="1004" t="n">
        <f aca="false">'Смета Внутр'!H681</f>
        <v>0</v>
      </c>
      <c r="J674" s="1018" t="n">
        <f aca="false">'Смета Внутр'!I681</f>
        <v>0</v>
      </c>
    </row>
    <row r="675" customFormat="false" ht="15" hidden="false" customHeight="true" outlineLevel="0" collapsed="false">
      <c r="B675" s="1004" t="str">
        <f aca="false">'Смета Внутр'!B682</f>
        <v>Перемычка дверная, 2-ый эт. Вариант 2</v>
      </c>
      <c r="C675" s="1004" t="str">
        <f aca="false">'Смета Внутр'!C682</f>
        <v>м.п.</v>
      </c>
      <c r="D675" s="1018" t="n">
        <f aca="false">'Смета Внутр'!D682</f>
        <v>0</v>
      </c>
      <c r="E675" s="1004" t="n">
        <f aca="false">'Смета Внутр'!E682</f>
        <v>1000</v>
      </c>
      <c r="F675" s="1004" t="n">
        <f aca="false">'Смета Внутр'!F682</f>
        <v>0</v>
      </c>
      <c r="G675" s="1004" t="n">
        <f aca="false">IF(E675&gt;F675,E675,F675)</f>
        <v>1000</v>
      </c>
      <c r="H675" s="1004" t="n">
        <f aca="false">'Смета Внутр'!G682</f>
        <v>0</v>
      </c>
      <c r="I675" s="1004" t="n">
        <f aca="false">'Смета Внутр'!H682</f>
        <v>0</v>
      </c>
      <c r="J675" s="1018" t="n">
        <f aca="false">'Смета Внутр'!I682</f>
        <v>0</v>
      </c>
    </row>
    <row r="676" customFormat="false" ht="15" hidden="false" customHeight="true" outlineLevel="0" collapsed="false">
      <c r="B676" s="1004" t="str">
        <f aca="false">'Смета Внутр'!B683</f>
        <v>Перемычка оконная 1-ый эт, Вариант 11</v>
      </c>
      <c r="C676" s="1004" t="str">
        <f aca="false">'Смета Внутр'!C683</f>
        <v>м.п.</v>
      </c>
      <c r="D676" s="1018" t="n">
        <f aca="false">'Смета Внутр'!D683</f>
        <v>0</v>
      </c>
      <c r="E676" s="1004" t="n">
        <f aca="false">'Смета Внутр'!E683</f>
        <v>1000</v>
      </c>
      <c r="F676" s="1004" t="n">
        <f aca="false">'Смета Внутр'!F683</f>
        <v>0</v>
      </c>
      <c r="G676" s="1004" t="n">
        <f aca="false">IF(E676&gt;F676,E676,F676)</f>
        <v>1000</v>
      </c>
      <c r="H676" s="1004" t="n">
        <f aca="false">'Смета Внутр'!G683</f>
        <v>0</v>
      </c>
      <c r="I676" s="1004" t="n">
        <f aca="false">'Смета Внутр'!H683</f>
        <v>0</v>
      </c>
      <c r="J676" s="1018" t="n">
        <f aca="false">'Смета Внутр'!I683</f>
        <v>0</v>
      </c>
    </row>
    <row r="677" customFormat="false" ht="15" hidden="false" customHeight="true" outlineLevel="0" collapsed="false">
      <c r="B677" s="1004" t="str">
        <f aca="false">'Смета Внутр'!B684</f>
        <v>Перемычка оконная 1-ый эт, Вариант 12</v>
      </c>
      <c r="C677" s="1004" t="str">
        <f aca="false">'Смета Внутр'!C684</f>
        <v>м.п.</v>
      </c>
      <c r="D677" s="1018" t="n">
        <f aca="false">'Смета Внутр'!D684</f>
        <v>0</v>
      </c>
      <c r="E677" s="1004" t="n">
        <f aca="false">'Смета Внутр'!E684</f>
        <v>1000</v>
      </c>
      <c r="F677" s="1004" t="n">
        <f aca="false">'Смета Внутр'!F684</f>
        <v>0</v>
      </c>
      <c r="G677" s="1004" t="n">
        <f aca="false">IF(E677&gt;F677,E677,F677)</f>
        <v>1000</v>
      </c>
      <c r="H677" s="1004" t="n">
        <f aca="false">'Смета Внутр'!G684</f>
        <v>0</v>
      </c>
      <c r="I677" s="1004" t="n">
        <f aca="false">'Смета Внутр'!H684</f>
        <v>0</v>
      </c>
      <c r="J677" s="1018" t="n">
        <f aca="false">'Смета Внутр'!I684</f>
        <v>0</v>
      </c>
    </row>
    <row r="678" customFormat="false" ht="15" hidden="false" customHeight="true" outlineLevel="0" collapsed="false">
      <c r="B678" s="1004" t="str">
        <f aca="false">'Смета Внутр'!B685</f>
        <v>Перемычка дверная, 1-ый эт. Вариант 4</v>
      </c>
      <c r="C678" s="1004" t="str">
        <f aca="false">'Смета Внутр'!C685</f>
        <v>м.п.</v>
      </c>
      <c r="D678" s="1018" t="n">
        <f aca="false">'Смета Внутр'!D685</f>
        <v>0</v>
      </c>
      <c r="E678" s="1004" t="n">
        <f aca="false">'Смета Внутр'!E685</f>
        <v>1000</v>
      </c>
      <c r="F678" s="1004" t="n">
        <f aca="false">'Смета Внутр'!F685</f>
        <v>0</v>
      </c>
      <c r="G678" s="1004" t="n">
        <f aca="false">IF(E678&gt;F678,E678,F678)</f>
        <v>1000</v>
      </c>
      <c r="H678" s="1004" t="n">
        <f aca="false">'Смета Внутр'!G685</f>
        <v>0</v>
      </c>
      <c r="I678" s="1004" t="n">
        <f aca="false">'Смета Внутр'!H685</f>
        <v>0</v>
      </c>
      <c r="J678" s="1018" t="n">
        <f aca="false">'Смета Внутр'!I685</f>
        <v>0</v>
      </c>
    </row>
    <row r="679" customFormat="false" ht="15" hidden="false" customHeight="true" outlineLevel="0" collapsed="false">
      <c r="B679" s="1004" t="str">
        <f aca="false">'Смета Внутр'!B686</f>
        <v>Перемычка дверная, 1-ый эт. Вариант 5</v>
      </c>
      <c r="C679" s="1004" t="str">
        <f aca="false">'Смета Внутр'!C686</f>
        <v>м.п.</v>
      </c>
      <c r="D679" s="1018" t="n">
        <f aca="false">'Смета Внутр'!D686</f>
        <v>0</v>
      </c>
      <c r="E679" s="1004" t="n">
        <f aca="false">'Смета Внутр'!E686</f>
        <v>1000</v>
      </c>
      <c r="F679" s="1004" t="n">
        <f aca="false">'Смета Внутр'!F686</f>
        <v>0</v>
      </c>
      <c r="G679" s="1004" t="n">
        <f aca="false">IF(E679&gt;F679,E679,F679)</f>
        <v>1000</v>
      </c>
      <c r="H679" s="1004" t="n">
        <f aca="false">'Смета Внутр'!G686</f>
        <v>0</v>
      </c>
      <c r="I679" s="1004" t="n">
        <f aca="false">'Смета Внутр'!H686</f>
        <v>0</v>
      </c>
      <c r="J679" s="1018" t="n">
        <f aca="false">'Смета Внутр'!I686</f>
        <v>0</v>
      </c>
    </row>
    <row r="680" customFormat="false" ht="15" hidden="false" customHeight="true" outlineLevel="0" collapsed="false">
      <c r="B680" s="1004" t="str">
        <f aca="false">'Смета Внутр'!B687</f>
        <v>Перемычка дверная, 1-ый эт. Вариант 6</v>
      </c>
      <c r="C680" s="1004" t="str">
        <f aca="false">'Смета Внутр'!C687</f>
        <v>м.п.</v>
      </c>
      <c r="D680" s="1018" t="n">
        <f aca="false">'Смета Внутр'!D687</f>
        <v>0</v>
      </c>
      <c r="E680" s="1004" t="n">
        <f aca="false">'Смета Внутр'!E687</f>
        <v>1000</v>
      </c>
      <c r="F680" s="1004" t="n">
        <f aca="false">'Смета Внутр'!F687</f>
        <v>0</v>
      </c>
      <c r="G680" s="1004" t="n">
        <f aca="false">IF(E680&gt;F680,E680,F680)</f>
        <v>1000</v>
      </c>
      <c r="H680" s="1004" t="n">
        <f aca="false">'Смета Внутр'!G687</f>
        <v>0</v>
      </c>
      <c r="I680" s="1004" t="n">
        <f aca="false">'Смета Внутр'!H687</f>
        <v>0</v>
      </c>
      <c r="J680" s="1018" t="n">
        <f aca="false">'Смета Внутр'!I687</f>
        <v>0</v>
      </c>
    </row>
    <row r="681" customFormat="false" ht="15" hidden="false" customHeight="true" outlineLevel="0" collapsed="false">
      <c r="B681" s="1004" t="str">
        <f aca="false">'Смета Внутр'!B688</f>
        <v>Перемычка дверная, 2-ый эт. Вариант 7</v>
      </c>
      <c r="C681" s="1004" t="str">
        <f aca="false">'Смета Внутр'!C688</f>
        <v>м.п.</v>
      </c>
      <c r="D681" s="1018" t="n">
        <f aca="false">'Смета Внутр'!D688</f>
        <v>0</v>
      </c>
      <c r="E681" s="1004" t="n">
        <f aca="false">'Смета Внутр'!E688</f>
        <v>1000</v>
      </c>
      <c r="F681" s="1004" t="n">
        <f aca="false">'Смета Внутр'!F688</f>
        <v>0</v>
      </c>
      <c r="G681" s="1004" t="n">
        <f aca="false">IF(E681&gt;F681,E681,F681)</f>
        <v>1000</v>
      </c>
      <c r="H681" s="1004" t="n">
        <f aca="false">'Смета Внутр'!G688</f>
        <v>0</v>
      </c>
      <c r="I681" s="1004" t="n">
        <f aca="false">'Смета Внутр'!H688</f>
        <v>0</v>
      </c>
      <c r="J681" s="1018" t="n">
        <f aca="false">'Смета Внутр'!I688</f>
        <v>0</v>
      </c>
    </row>
    <row r="682" customFormat="false" ht="15" hidden="false" customHeight="true" outlineLevel="0" collapsed="false">
      <c r="B682" s="1004" t="str">
        <f aca="false">'Смета Внутр'!B689</f>
        <v>Перемычка дверная, 2-ый эт. Вариант 8</v>
      </c>
      <c r="C682" s="1004" t="str">
        <f aca="false">'Смета Внутр'!C689</f>
        <v>м.п.</v>
      </c>
      <c r="D682" s="1018" t="n">
        <f aca="false">'Смета Внутр'!D689</f>
        <v>0</v>
      </c>
      <c r="E682" s="1004" t="n">
        <f aca="false">'Смета Внутр'!E689</f>
        <v>1000</v>
      </c>
      <c r="F682" s="1004" t="n">
        <f aca="false">'Смета Внутр'!F689</f>
        <v>0</v>
      </c>
      <c r="G682" s="1004" t="n">
        <f aca="false">IF(E682&gt;F682,E682,F682)</f>
        <v>1000</v>
      </c>
      <c r="H682" s="1004" t="n">
        <f aca="false">'Смета Внутр'!G689</f>
        <v>0</v>
      </c>
      <c r="I682" s="1004" t="n">
        <f aca="false">'Смета Внутр'!H689</f>
        <v>0</v>
      </c>
      <c r="J682" s="1018" t="n">
        <f aca="false">'Смета Внутр'!I689</f>
        <v>0</v>
      </c>
    </row>
    <row r="683" customFormat="false" ht="15" hidden="false" customHeight="true" outlineLevel="0" collapsed="false">
      <c r="B683" s="1004" t="str">
        <f aca="false">'Смета Внутр'!B690</f>
        <v>Перемычка дверная, 2-ый эт. Вариант 9</v>
      </c>
      <c r="C683" s="1004" t="str">
        <f aca="false">'Смета Внутр'!C690</f>
        <v>м.п.</v>
      </c>
      <c r="D683" s="1018" t="n">
        <f aca="false">'Смета Внутр'!D690</f>
        <v>0</v>
      </c>
      <c r="E683" s="1004" t="n">
        <f aca="false">'Смета Внутр'!E690</f>
        <v>1000</v>
      </c>
      <c r="F683" s="1004" t="n">
        <f aca="false">'Смета Внутр'!F690</f>
        <v>0</v>
      </c>
      <c r="G683" s="1004" t="n">
        <f aca="false">IF(E683&gt;F683,E683,F683)</f>
        <v>1000</v>
      </c>
      <c r="H683" s="1004" t="n">
        <f aca="false">'Смета Внутр'!G690</f>
        <v>0</v>
      </c>
      <c r="I683" s="1004" t="n">
        <f aca="false">'Смета Внутр'!H690</f>
        <v>0</v>
      </c>
      <c r="J683" s="1018" t="n">
        <f aca="false">'Смета Внутр'!I690</f>
        <v>0</v>
      </c>
    </row>
    <row r="684" customFormat="false" ht="15" hidden="false" customHeight="true" outlineLevel="0" collapsed="false">
      <c r="B684" s="1004" t="str">
        <f aca="false">'Смета Внутр'!B691</f>
        <v>Перемычка проема, 1-ый эт. Вариант 10</v>
      </c>
      <c r="C684" s="1004" t="str">
        <f aca="false">'Смета Внутр'!C691</f>
        <v>м.п.</v>
      </c>
      <c r="D684" s="1018" t="n">
        <f aca="false">'Смета Внутр'!D691</f>
        <v>0</v>
      </c>
      <c r="E684" s="1004" t="n">
        <f aca="false">'Смета Внутр'!E691</f>
        <v>1000</v>
      </c>
      <c r="F684" s="1004" t="n">
        <f aca="false">'Смета Внутр'!F691</f>
        <v>0</v>
      </c>
      <c r="G684" s="1004" t="n">
        <f aca="false">IF(E684&gt;F684,E684,F684)</f>
        <v>1000</v>
      </c>
      <c r="H684" s="1004" t="n">
        <f aca="false">'Смета Внутр'!G691</f>
        <v>0</v>
      </c>
      <c r="I684" s="1004" t="n">
        <f aca="false">'Смета Внутр'!H691</f>
        <v>0</v>
      </c>
      <c r="J684" s="1018" t="n">
        <f aca="false">'Смета Внутр'!I691</f>
        <v>0</v>
      </c>
    </row>
    <row r="685" customFormat="false" ht="15" hidden="false" customHeight="true" outlineLevel="0" collapsed="false">
      <c r="B685" s="1004" t="str">
        <f aca="false">'Смета Внутр'!B692</f>
        <v>Перемычка проема, 1-ый эт. Вариант 11</v>
      </c>
      <c r="C685" s="1004" t="str">
        <f aca="false">'Смета Внутр'!C692</f>
        <v>м.п.</v>
      </c>
      <c r="D685" s="1018" t="n">
        <f aca="false">'Смета Внутр'!D692</f>
        <v>0</v>
      </c>
      <c r="E685" s="1004" t="n">
        <f aca="false">'Смета Внутр'!E692</f>
        <v>1000</v>
      </c>
      <c r="F685" s="1004" t="n">
        <f aca="false">'Смета Внутр'!F692</f>
        <v>0</v>
      </c>
      <c r="G685" s="1004" t="n">
        <f aca="false">IF(E685&gt;F685,E685,F685)</f>
        <v>1000</v>
      </c>
      <c r="H685" s="1004" t="n">
        <f aca="false">'Смета Внутр'!G692</f>
        <v>0</v>
      </c>
      <c r="I685" s="1004" t="n">
        <f aca="false">'Смета Внутр'!H692</f>
        <v>0</v>
      </c>
      <c r="J685" s="1018" t="n">
        <f aca="false">'Смета Внутр'!I692</f>
        <v>0</v>
      </c>
    </row>
    <row r="686" customFormat="false" ht="15" hidden="false" customHeight="true" outlineLevel="0" collapsed="false">
      <c r="B686" s="1004" t="str">
        <f aca="false">'Смета Внутр'!B693</f>
        <v>Перемычка проема, 2-ый эт. Вариант 12</v>
      </c>
      <c r="C686" s="1004" t="str">
        <f aca="false">'Смета Внутр'!C693</f>
        <v>м.п.</v>
      </c>
      <c r="D686" s="1018" t="n">
        <f aca="false">'Смета Внутр'!D693</f>
        <v>0</v>
      </c>
      <c r="E686" s="1004" t="n">
        <f aca="false">'Смета Внутр'!E693</f>
        <v>1000</v>
      </c>
      <c r="F686" s="1004" t="n">
        <f aca="false">'Смета Внутр'!F693</f>
        <v>0</v>
      </c>
      <c r="G686" s="1004" t="n">
        <f aca="false">IF(E686&gt;F686,E686,F686)</f>
        <v>1000</v>
      </c>
      <c r="H686" s="1004" t="n">
        <f aca="false">'Смета Внутр'!G693</f>
        <v>0</v>
      </c>
      <c r="I686" s="1004" t="n">
        <f aca="false">'Смета Внутр'!H693</f>
        <v>0</v>
      </c>
      <c r="J686" s="1018" t="n">
        <f aca="false">'Смета Внутр'!I693</f>
        <v>0</v>
      </c>
    </row>
    <row r="687" customFormat="false" ht="15" hidden="false" customHeight="true" outlineLevel="0" collapsed="false">
      <c r="B687" s="1004" t="str">
        <f aca="false">'Смета Внутр'!B694</f>
        <v>Перемычка проема, 2-ый эт. Вариант 13</v>
      </c>
      <c r="C687" s="1004" t="str">
        <f aca="false">'Смета Внутр'!C694</f>
        <v>м.п.</v>
      </c>
      <c r="D687" s="1018" t="n">
        <f aca="false">'Смета Внутр'!D694</f>
        <v>0</v>
      </c>
      <c r="E687" s="1004" t="n">
        <f aca="false">'Смета Внутр'!E694</f>
        <v>1000</v>
      </c>
      <c r="F687" s="1004" t="n">
        <f aca="false">'Смета Внутр'!F694</f>
        <v>0</v>
      </c>
      <c r="G687" s="1004" t="n">
        <f aca="false">IF(E687&gt;F687,E687,F687)</f>
        <v>1000</v>
      </c>
      <c r="H687" s="1004" t="n">
        <f aca="false">'Смета Внутр'!G694</f>
        <v>0</v>
      </c>
      <c r="I687" s="1004" t="n">
        <f aca="false">'Смета Внутр'!H694</f>
        <v>0</v>
      </c>
      <c r="J687" s="1018" t="n">
        <f aca="false">'Смета Внутр'!I694</f>
        <v>0</v>
      </c>
    </row>
    <row r="688" customFormat="false" ht="15" hidden="false" customHeight="true" outlineLevel="0" collapsed="false">
      <c r="B688" s="1004" t="str">
        <f aca="false">'Смета Внутр'!B695</f>
        <v>Перемычка дверная, 1-ый эт. Вариант 1</v>
      </c>
      <c r="C688" s="1004" t="str">
        <f aca="false">'Смета Внутр'!C695</f>
        <v>м.п.</v>
      </c>
      <c r="D688" s="1018" t="n">
        <f aca="false">'Смета Внутр'!D695</f>
        <v>0</v>
      </c>
      <c r="E688" s="1004" t="n">
        <f aca="false">'Смета Внутр'!E695</f>
        <v>1000</v>
      </c>
      <c r="F688" s="1004" t="n">
        <f aca="false">'Смета Внутр'!F695</f>
        <v>0</v>
      </c>
      <c r="G688" s="1004" t="n">
        <f aca="false">IF(E688&gt;F688,E688,F688)</f>
        <v>1000</v>
      </c>
      <c r="H688" s="1004" t="n">
        <f aca="false">'Смета Внутр'!G695</f>
        <v>0</v>
      </c>
      <c r="I688" s="1004" t="n">
        <f aca="false">'Смета Внутр'!H695</f>
        <v>0</v>
      </c>
      <c r="J688" s="1018" t="n">
        <f aca="false">'Смета Внутр'!I695</f>
        <v>0</v>
      </c>
    </row>
    <row r="689" customFormat="false" ht="15" hidden="false" customHeight="true" outlineLevel="0" collapsed="false">
      <c r="B689" s="1004" t="str">
        <f aca="false">'Смета Внутр'!B696</f>
        <v>Перемычка дверная, 1-ый эт. Вариант 2</v>
      </c>
      <c r="C689" s="1004" t="str">
        <f aca="false">'Смета Внутр'!C696</f>
        <v>м.п.</v>
      </c>
      <c r="D689" s="1018" t="n">
        <f aca="false">'Смета Внутр'!D696</f>
        <v>0</v>
      </c>
      <c r="E689" s="1004" t="n">
        <f aca="false">'Смета Внутр'!E696</f>
        <v>1000</v>
      </c>
      <c r="F689" s="1004" t="n">
        <f aca="false">'Смета Внутр'!F696</f>
        <v>0</v>
      </c>
      <c r="G689" s="1004" t="n">
        <f aca="false">IF(E689&gt;F689,E689,F689)</f>
        <v>1000</v>
      </c>
      <c r="H689" s="1004" t="n">
        <f aca="false">'Смета Внутр'!G696</f>
        <v>0</v>
      </c>
      <c r="I689" s="1004" t="n">
        <f aca="false">'Смета Внутр'!H696</f>
        <v>0</v>
      </c>
      <c r="J689" s="1018" t="n">
        <f aca="false">'Смета Внутр'!I696</f>
        <v>0</v>
      </c>
    </row>
    <row r="690" customFormat="false" ht="15" hidden="false" customHeight="true" outlineLevel="0" collapsed="false">
      <c r="B690" s="1004" t="str">
        <f aca="false">'Смета Внутр'!B697</f>
        <v>Перемычка дверная, 1-ый эт. Вариант 3</v>
      </c>
      <c r="C690" s="1004" t="str">
        <f aca="false">'Смета Внутр'!C697</f>
        <v>м.п.</v>
      </c>
      <c r="D690" s="1018" t="n">
        <f aca="false">'Смета Внутр'!D697</f>
        <v>0</v>
      </c>
      <c r="E690" s="1004" t="n">
        <f aca="false">'Смета Внутр'!E697</f>
        <v>1000</v>
      </c>
      <c r="F690" s="1004" t="n">
        <f aca="false">'Смета Внутр'!F697</f>
        <v>0</v>
      </c>
      <c r="G690" s="1004" t="n">
        <f aca="false">IF(E690&gt;F690,E690,F690)</f>
        <v>1000</v>
      </c>
      <c r="H690" s="1004" t="n">
        <f aca="false">'Смета Внутр'!G697</f>
        <v>0</v>
      </c>
      <c r="I690" s="1004" t="n">
        <f aca="false">'Смета Внутр'!H697</f>
        <v>0</v>
      </c>
      <c r="J690" s="1018" t="n">
        <f aca="false">'Смета Внутр'!I697</f>
        <v>0</v>
      </c>
    </row>
    <row r="691" customFormat="false" ht="15" hidden="false" customHeight="true" outlineLevel="0" collapsed="false">
      <c r="B691" s="1004" t="str">
        <f aca="false">'Смета Внутр'!B698</f>
        <v>Сосна влаж,200*40мм</v>
      </c>
      <c r="C691" s="1004" t="str">
        <f aca="false">'Смета Внутр'!C698</f>
        <v>м3</v>
      </c>
      <c r="D691" s="1018" t="n">
        <f aca="false">'Смета Внутр'!D698</f>
        <v>0.832</v>
      </c>
      <c r="E691" s="1004" t="n">
        <f aca="false">'Смета Внутр'!E698</f>
        <v>6500</v>
      </c>
      <c r="F691" s="1004" t="n">
        <f aca="false">'Смета Внутр'!F698</f>
        <v>0</v>
      </c>
      <c r="G691" s="1004" t="n">
        <f aca="false">IF(E691&gt;F691,E691,F691)</f>
        <v>6500</v>
      </c>
      <c r="H691" s="1004" t="n">
        <f aca="false">'Смета Внутр'!G698</f>
        <v>5408</v>
      </c>
      <c r="I691" s="1004" t="n">
        <f aca="false">'Смета Внутр'!H698</f>
        <v>5408</v>
      </c>
      <c r="J691" s="1018" t="n">
        <f aca="false">'Смета Внутр'!I698</f>
        <v>5408</v>
      </c>
    </row>
    <row r="692" customFormat="false" ht="15" hidden="false" customHeight="true" outlineLevel="0" collapsed="false">
      <c r="B692" s="1004" t="str">
        <f aca="false">'Смета Внутр'!B699</f>
        <v>Сейсмопояс Арматура М10 4 нити</v>
      </c>
      <c r="C692" s="1004" t="str">
        <f aca="false">'Смета Внутр'!C699</f>
        <v>м.п.</v>
      </c>
      <c r="D692" s="1018" t="n">
        <f aca="false">'Смета Внутр'!D699</f>
        <v>176</v>
      </c>
      <c r="E692" s="1004" t="n">
        <f aca="false">'Смета Внутр'!E699</f>
        <v>21.0397</v>
      </c>
      <c r="F692" s="1004" t="n">
        <f aca="false">'Смета Внутр'!F699</f>
        <v>0</v>
      </c>
      <c r="G692" s="1004" t="n">
        <f aca="false">IF(E692&gt;F692,E692,F692)</f>
        <v>21.0397</v>
      </c>
      <c r="H692" s="1004" t="n">
        <f aca="false">'Смета Внутр'!G699</f>
        <v>3702.9872</v>
      </c>
      <c r="I692" s="1004" t="n">
        <f aca="false">'Смета Внутр'!H699</f>
        <v>3702.9872</v>
      </c>
      <c r="J692" s="1018" t="n">
        <f aca="false">'Смета Внутр'!I699</f>
        <v>3702.9872</v>
      </c>
    </row>
    <row r="693" customFormat="false" ht="15" hidden="false" customHeight="true" outlineLevel="0" collapsed="false">
      <c r="B693" s="1004" t="str">
        <f aca="false">'Смета Внутр'!B700</f>
        <v>Хомут для сейсмопояса Арматура М6, шаг 400мм</v>
      </c>
      <c r="C693" s="1004" t="str">
        <f aca="false">'Смета Внутр'!C700</f>
        <v>м.п.</v>
      </c>
      <c r="D693" s="1018" t="n">
        <f aca="false">'Смета Внутр'!D700</f>
        <v>90</v>
      </c>
      <c r="E693" s="1004" t="n">
        <f aca="false">'Смета Внутр'!E700</f>
        <v>0</v>
      </c>
      <c r="F693" s="1004" t="n">
        <f aca="false">'Смета Внутр'!F700</f>
        <v>0</v>
      </c>
      <c r="G693" s="1004" t="n">
        <f aca="false">IF(E693&gt;F693,E693,F693)</f>
        <v>0</v>
      </c>
      <c r="H693" s="1004" t="n">
        <f aca="false">'Смета Внутр'!G700</f>
        <v>0</v>
      </c>
      <c r="I693" s="1004" t="n">
        <f aca="false">'Смета Внутр'!H700</f>
        <v>0</v>
      </c>
      <c r="J693" s="1018" t="n">
        <f aca="false">'Смета Внутр'!I700</f>
        <v>0</v>
      </c>
    </row>
    <row r="694" customFormat="false" ht="15" hidden="false" customHeight="true" outlineLevel="0" collapsed="false">
      <c r="B694" s="1004" t="str">
        <f aca="false">'Смета Внутр'!B701</f>
        <v>Бетон, м300</v>
      </c>
      <c r="C694" s="1004" t="str">
        <f aca="false">'Смета Внутр'!C701</f>
        <v>м3</v>
      </c>
      <c r="D694" s="1018" t="n">
        <f aca="false">'Смета Внутр'!D701</f>
        <v>1.638</v>
      </c>
      <c r="E694" s="1004" t="n">
        <f aca="false">'Смета Внутр'!E701</f>
        <v>3000</v>
      </c>
      <c r="F694" s="1004" t="n">
        <f aca="false">'Смета Внутр'!F701</f>
        <v>0</v>
      </c>
      <c r="G694" s="1004" t="n">
        <f aca="false">IF(E694&gt;F694,E694,F694)</f>
        <v>3000</v>
      </c>
      <c r="H694" s="1004" t="n">
        <f aca="false">'Смета Внутр'!G701</f>
        <v>4914</v>
      </c>
      <c r="I694" s="1004" t="n">
        <f aca="false">'Смета Внутр'!H701</f>
        <v>4914</v>
      </c>
      <c r="J694" s="1018" t="n">
        <f aca="false">'Смета Внутр'!I701</f>
        <v>4914</v>
      </c>
    </row>
    <row r="695" customFormat="false" ht="15" hidden="false" customHeight="true" outlineLevel="0" collapsed="false">
      <c r="B695" s="1004" t="str">
        <f aca="false">'Смета Внутр'!B702</f>
        <v>Нет</v>
      </c>
      <c r="C695" s="1004" t="str">
        <f aca="false">'Смета Внутр'!C702</f>
        <v>м3</v>
      </c>
      <c r="D695" s="1018" t="n">
        <f aca="false">'Смета Внутр'!D702</f>
        <v>0</v>
      </c>
      <c r="E695" s="1004" t="n">
        <f aca="false">'Смета Внутр'!E702</f>
        <v>0</v>
      </c>
      <c r="F695" s="1004" t="n">
        <f aca="false">'Смета Внутр'!F702</f>
        <v>0</v>
      </c>
      <c r="G695" s="1004" t="n">
        <f aca="false">IF(E695&gt;F695,E695,F695)</f>
        <v>0</v>
      </c>
      <c r="H695" s="1004" t="n">
        <f aca="false">'Смета Внутр'!G702</f>
        <v>0</v>
      </c>
      <c r="I695" s="1004" t="n">
        <f aca="false">'Смета Внутр'!H702</f>
        <v>0</v>
      </c>
      <c r="J695" s="1018" t="n">
        <f aca="false">'Смета Внутр'!I702</f>
        <v>0</v>
      </c>
    </row>
    <row r="696" customFormat="false" ht="15" hidden="false" customHeight="true" outlineLevel="0" collapsed="false">
      <c r="B696" s="1004" t="str">
        <f aca="false">'Смета Внутр'!B703</f>
        <v>Грибок для крепления утеплителя</v>
      </c>
      <c r="C696" s="1004" t="str">
        <f aca="false">'Смета Внутр'!C703</f>
        <v>шт</v>
      </c>
      <c r="D696" s="1018" t="n">
        <f aca="false">'Смета Внутр'!D703</f>
        <v>0</v>
      </c>
      <c r="E696" s="1004" t="n">
        <f aca="false">'Смета Внутр'!E703</f>
        <v>15</v>
      </c>
      <c r="F696" s="1004" t="n">
        <f aca="false">'Смета Внутр'!F703</f>
        <v>0</v>
      </c>
      <c r="G696" s="1004" t="n">
        <f aca="false">IF(E696&gt;F696,E696,F696)</f>
        <v>15</v>
      </c>
      <c r="H696" s="1004" t="n">
        <f aca="false">'Смета Внутр'!G703</f>
        <v>0</v>
      </c>
      <c r="I696" s="1004" t="n">
        <f aca="false">'Смета Внутр'!H703</f>
        <v>0</v>
      </c>
      <c r="J696" s="1018" t="n">
        <f aca="false">'Смета Внутр'!I703</f>
        <v>0</v>
      </c>
    </row>
    <row r="697" customFormat="false" ht="15" hidden="false" customHeight="true" outlineLevel="0" collapsed="false">
      <c r="B697" s="1004" t="str">
        <f aca="false">'Смета Внутр'!B704</f>
        <v>нет ветроизоляции</v>
      </c>
      <c r="C697" s="1004" t="str">
        <f aca="false">'Смета Внутр'!C704</f>
        <v>м2</v>
      </c>
      <c r="D697" s="1018" t="n">
        <f aca="false">'Смета Внутр'!D704</f>
        <v>0</v>
      </c>
      <c r="E697" s="1004" t="n">
        <f aca="false">'Смета Внутр'!E704</f>
        <v>0</v>
      </c>
      <c r="F697" s="1004" t="n">
        <f aca="false">'Смета Внутр'!F704</f>
        <v>0</v>
      </c>
      <c r="G697" s="1004" t="n">
        <f aca="false">IF(E697&gt;F697,E697,F697)</f>
        <v>0</v>
      </c>
      <c r="H697" s="1004" t="n">
        <f aca="false">'Смета Внутр'!G704</f>
        <v>0</v>
      </c>
      <c r="I697" s="1004" t="n">
        <f aca="false">'Смета Внутр'!H704</f>
        <v>0</v>
      </c>
      <c r="J697" s="1018" t="n">
        <f aca="false">'Смета Внутр'!I704</f>
        <v>0</v>
      </c>
    </row>
    <row r="698" customFormat="false" ht="15" hidden="false" customHeight="true" outlineLevel="0" collapsed="false">
      <c r="B698" s="1004" t="str">
        <f aca="false">'Смета Внутр'!B705</f>
        <v>Кладочная сетка, 100*100/150*150/200*200мм</v>
      </c>
      <c r="C698" s="1004" t="str">
        <f aca="false">'Смета Внутр'!C705</f>
        <v>м2</v>
      </c>
      <c r="D698" s="1018" t="n">
        <f aca="false">'Смета Внутр'!D705</f>
        <v>110.88</v>
      </c>
      <c r="E698" s="1004" t="n">
        <f aca="false">'Смета Внутр'!E705</f>
        <v>70</v>
      </c>
      <c r="F698" s="1004" t="n">
        <f aca="false">'Смета Внутр'!F705</f>
        <v>0</v>
      </c>
      <c r="G698" s="1004" t="n">
        <f aca="false">IF(E698&gt;F698,E698,F698)</f>
        <v>70</v>
      </c>
      <c r="H698" s="1004" t="n">
        <f aca="false">'Смета Внутр'!G705</f>
        <v>7761.6</v>
      </c>
      <c r="I698" s="1004" t="n">
        <f aca="false">'Смета Внутр'!H705</f>
        <v>7761.6</v>
      </c>
      <c r="J698" s="1018" t="n">
        <f aca="false">'Смета Внутр'!I705</f>
        <v>7761.6</v>
      </c>
    </row>
    <row r="699" customFormat="false" ht="15" hidden="false" customHeight="true" outlineLevel="0" collapsed="false">
      <c r="B699" s="1004" t="str">
        <f aca="false">'Смета Внутр'!B706</f>
        <v>Песок, машина 13м3</v>
      </c>
      <c r="C699" s="1004" t="str">
        <f aca="false">'Смета Внутр'!C706</f>
        <v>шт</v>
      </c>
      <c r="D699" s="1018" t="n">
        <f aca="false">'Смета Внутр'!D706</f>
        <v>1.1269335</v>
      </c>
      <c r="E699" s="1004" t="n">
        <f aca="false">'Смета Внутр'!E706</f>
        <v>12000</v>
      </c>
      <c r="F699" s="1004" t="n">
        <f aca="false">'Смета Внутр'!F706</f>
        <v>0</v>
      </c>
      <c r="G699" s="1004" t="n">
        <f aca="false">IF(E699&gt;F699,E699,F699)</f>
        <v>12000</v>
      </c>
      <c r="H699" s="1004" t="n">
        <f aca="false">'Смета Внутр'!G706</f>
        <v>13523.202</v>
      </c>
      <c r="I699" s="1004" t="n">
        <f aca="false">'Смета Внутр'!H706</f>
        <v>13523.202</v>
      </c>
      <c r="J699" s="1018" t="n">
        <f aca="false">'Смета Внутр'!I706</f>
        <v>13523.202</v>
      </c>
    </row>
    <row r="700" customFormat="false" ht="15" hidden="false" customHeight="true" outlineLevel="0" collapsed="false">
      <c r="B700" s="1004" t="str">
        <f aca="false">'Смета Внутр'!B707</f>
        <v>Цемент, мешок, 50кг</v>
      </c>
      <c r="C700" s="1004" t="str">
        <f aca="false">'Смета Внутр'!C707</f>
        <v>меш</v>
      </c>
      <c r="D700" s="1018" t="n">
        <f aca="false">'Смета Внутр'!D707</f>
        <v>34.773948</v>
      </c>
      <c r="E700" s="1004" t="n">
        <f aca="false">'Смета Внутр'!E707</f>
        <v>250</v>
      </c>
      <c r="F700" s="1004" t="n">
        <f aca="false">'Смета Внутр'!F707</f>
        <v>0</v>
      </c>
      <c r="G700" s="1004" t="n">
        <f aca="false">IF(E700&gt;F700,E700,F700)</f>
        <v>250</v>
      </c>
      <c r="H700" s="1004" t="n">
        <f aca="false">'Смета Внутр'!G707</f>
        <v>8693.487</v>
      </c>
      <c r="I700" s="1004" t="n">
        <f aca="false">'Смета Внутр'!H707</f>
        <v>8693.487</v>
      </c>
      <c r="J700" s="1018" t="n">
        <f aca="false">'Смета Внутр'!I707</f>
        <v>8693.487</v>
      </c>
    </row>
    <row r="701" customFormat="false" ht="15" hidden="false" customHeight="true" outlineLevel="0" collapsed="false">
      <c r="B701" s="2927" t="str">
        <f aca="false">'Смета Внутр'!B708</f>
        <v>Итого материалы, рублей</v>
      </c>
      <c r="C701" s="2927"/>
      <c r="D701" s="2927"/>
      <c r="E701" s="2927"/>
      <c r="F701" s="2927"/>
      <c r="G701" s="2927"/>
      <c r="H701" s="1004" t="n">
        <f aca="false">'Смета Внутр'!G708</f>
        <v>630423.2762</v>
      </c>
      <c r="I701" s="1004" t="n">
        <f aca="false">'Смета Внутр'!H708</f>
        <v>630423.2762</v>
      </c>
      <c r="J701" s="1018" t="n">
        <f aca="false">'Смета Внутр'!I708</f>
        <v>630423.2762</v>
      </c>
    </row>
    <row r="702" customFormat="false" ht="15" hidden="false" customHeight="true" outlineLevel="0" collapsed="false">
      <c r="B702" s="2881" t="str">
        <f aca="false">'Смета Внутр'!B709</f>
        <v>Работы</v>
      </c>
      <c r="D702" s="919"/>
      <c r="H702" s="0" t="n">
        <f aca="false">'Смета Внутр'!G709</f>
        <v>0</v>
      </c>
      <c r="I702" s="0" t="n">
        <f aca="false">'Смета Внутр'!H709</f>
        <v>1</v>
      </c>
      <c r="J702" s="2926" t="n">
        <f aca="false">'Смета Внутр'!I709</f>
        <v>1</v>
      </c>
    </row>
    <row r="703" customFormat="false" ht="15" hidden="false" customHeight="true" outlineLevel="0" collapsed="false">
      <c r="B703" s="1004" t="str">
        <f aca="false">'Смета Внутр'!B710</f>
        <v>кладка кирпича</v>
      </c>
      <c r="C703" s="1004" t="str">
        <f aca="false">'Смета Внутр'!C710</f>
        <v>м3</v>
      </c>
      <c r="D703" s="1018" t="n">
        <f aca="false">'Смета Внутр'!D710</f>
        <v>58.542</v>
      </c>
      <c r="E703" s="1004" t="n">
        <f aca="false">'Смета Внутр'!E710</f>
        <v>3500</v>
      </c>
      <c r="F703" s="1004" t="n">
        <f aca="false">'Смета Внутр'!F710</f>
        <v>0</v>
      </c>
      <c r="G703" s="1004" t="n">
        <f aca="false">IF(E703&gt;F703,E703,F703)</f>
        <v>3500</v>
      </c>
      <c r="H703" s="1004" t="n">
        <f aca="false">'Смета Внутр'!G710</f>
        <v>204897</v>
      </c>
      <c r="I703" s="1004" t="n">
        <f aca="false">'Смета Внутр'!H710</f>
        <v>204897</v>
      </c>
      <c r="J703" s="1018" t="n">
        <f aca="false">'Смета Внутр'!I710</f>
        <v>204897</v>
      </c>
    </row>
    <row r="704" customFormat="false" ht="15" hidden="false" customHeight="true" outlineLevel="0" collapsed="false">
      <c r="B704" s="1004" t="str">
        <f aca="false">'Смета Внутр'!B711</f>
        <v>кладка перегородок из кирпича</v>
      </c>
      <c r="C704" s="1004" t="str">
        <f aca="false">'Смета Внутр'!C711</f>
        <v>м2</v>
      </c>
      <c r="D704" s="1018" t="n">
        <f aca="false">'Смета Внутр'!D711</f>
        <v>23.4</v>
      </c>
      <c r="E704" s="1004" t="n">
        <f aca="false">'Смета Внутр'!E711</f>
        <v>550</v>
      </c>
      <c r="F704" s="1004" t="n">
        <f aca="false">'Смета Внутр'!F711</f>
        <v>0</v>
      </c>
      <c r="G704" s="1004" t="n">
        <f aca="false">IF(E704&gt;F704,E704,F704)</f>
        <v>550</v>
      </c>
      <c r="H704" s="1004" t="n">
        <f aca="false">'Смета Внутр'!G711</f>
        <v>12870</v>
      </c>
      <c r="I704" s="1004" t="n">
        <f aca="false">'Смета Внутр'!H711</f>
        <v>12870</v>
      </c>
      <c r="J704" s="1018" t="n">
        <f aca="false">'Смета Внутр'!I711</f>
        <v>12870</v>
      </c>
    </row>
    <row r="705" customFormat="false" ht="15" hidden="false" customHeight="true" outlineLevel="0" collapsed="false">
      <c r="B705" s="1004" t="str">
        <f aca="false">'Смета Внутр'!B712</f>
        <v>Армирование сейсмопояса</v>
      </c>
      <c r="C705" s="1004" t="str">
        <f aca="false">'Смета Внутр'!C712</f>
        <v>м2</v>
      </c>
      <c r="D705" s="1018" t="n">
        <f aca="false">'Смета Внутр'!D712</f>
        <v>55.44</v>
      </c>
      <c r="E705" s="1004" t="n">
        <f aca="false">'Смета Внутр'!E712</f>
        <v>500</v>
      </c>
      <c r="F705" s="1004" t="n">
        <f aca="false">'Смета Внутр'!F712</f>
        <v>0</v>
      </c>
      <c r="G705" s="1004" t="n">
        <f aca="false">IF(E705&gt;F705,E705,F705)</f>
        <v>500</v>
      </c>
      <c r="H705" s="1004" t="n">
        <f aca="false">'Смета Внутр'!G712</f>
        <v>27720</v>
      </c>
      <c r="I705" s="1004" t="n">
        <f aca="false">'Смета Внутр'!H712</f>
        <v>27720</v>
      </c>
      <c r="J705" s="1018" t="n">
        <f aca="false">'Смета Внутр'!I712</f>
        <v>27720</v>
      </c>
    </row>
    <row r="706" customFormat="false" ht="15" hidden="false" customHeight="true" outlineLevel="0" collapsed="false">
      <c r="B706" s="1004" t="str">
        <f aca="false">'Смета Внутр'!B713</f>
        <v>Заливка бетоном сейсмопояса</v>
      </c>
      <c r="C706" s="1004" t="str">
        <f aca="false">'Смета Внутр'!C713</f>
        <v>м3</v>
      </c>
      <c r="D706" s="1018" t="n">
        <f aca="false">'Смета Внутр'!D713</f>
        <v>1.638</v>
      </c>
      <c r="E706" s="1004" t="n">
        <f aca="false">'Смета Внутр'!E713</f>
        <v>700</v>
      </c>
      <c r="F706" s="1004" t="n">
        <f aca="false">'Смета Внутр'!F713</f>
        <v>0</v>
      </c>
      <c r="G706" s="1004" t="n">
        <f aca="false">IF(E706&gt;F706,E706,F706)</f>
        <v>700</v>
      </c>
      <c r="H706" s="1004" t="n">
        <f aca="false">'Смета Внутр'!G713</f>
        <v>1146.6</v>
      </c>
      <c r="I706" s="1004" t="n">
        <f aca="false">'Смета Внутр'!H713</f>
        <v>1146.6</v>
      </c>
      <c r="J706" s="1018" t="n">
        <f aca="false">'Смета Внутр'!I713</f>
        <v>1146.6</v>
      </c>
    </row>
    <row r="707" customFormat="false" ht="15" hidden="false" customHeight="true" outlineLevel="0" collapsed="false">
      <c r="B707" s="1004" t="str">
        <f aca="false">'Смета Внутр'!B714</f>
        <v>утепление стен снаружи дома</v>
      </c>
      <c r="C707" s="1004" t="str">
        <f aca="false">'Смета Внутр'!C714</f>
        <v>м2</v>
      </c>
      <c r="D707" s="1018" t="n">
        <f aca="false">'Смета Внутр'!D714</f>
        <v>0</v>
      </c>
      <c r="E707" s="1004" t="n">
        <f aca="false">'Смета Внутр'!E714</f>
        <v>350</v>
      </c>
      <c r="F707" s="1004" t="n">
        <f aca="false">'Смета Внутр'!F714</f>
        <v>0</v>
      </c>
      <c r="G707" s="1004" t="n">
        <f aca="false">IF(E707&gt;F707,E707,F707)</f>
        <v>350</v>
      </c>
      <c r="H707" s="1004" t="n">
        <f aca="false">'Смета Внутр'!G714</f>
        <v>0</v>
      </c>
      <c r="I707" s="1004" t="n">
        <f aca="false">'Смета Внутр'!H714</f>
        <v>0</v>
      </c>
      <c r="J707" s="1018" t="n">
        <f aca="false">'Смета Внутр'!I714</f>
        <v>0</v>
      </c>
    </row>
    <row r="708" customFormat="false" ht="15" hidden="false" customHeight="true" outlineLevel="0" collapsed="false">
      <c r="B708" s="1004" t="str">
        <f aca="false">'Смета Внутр'!B715</f>
        <v>монтаж ветроизоляции стен</v>
      </c>
      <c r="C708" s="1004" t="str">
        <f aca="false">'Смета Внутр'!C715</f>
        <v>м2</v>
      </c>
      <c r="D708" s="1018" t="n">
        <f aca="false">'Смета Внутр'!D715</f>
        <v>0</v>
      </c>
      <c r="E708" s="1004" t="n">
        <f aca="false">'Смета Внутр'!E715</f>
        <v>100</v>
      </c>
      <c r="F708" s="1004" t="n">
        <f aca="false">'Смета Внутр'!F715</f>
        <v>0</v>
      </c>
      <c r="G708" s="1004" t="n">
        <f aca="false">IF(E708&gt;F708,E708,F708)</f>
        <v>100</v>
      </c>
      <c r="H708" s="1004" t="n">
        <f aca="false">'Смета Внутр'!G715</f>
        <v>0</v>
      </c>
      <c r="I708" s="1004" t="n">
        <f aca="false">'Смета Внутр'!H715</f>
        <v>0</v>
      </c>
      <c r="J708" s="1018" t="n">
        <f aca="false">'Смета Внутр'!I715</f>
        <v>0</v>
      </c>
    </row>
    <row r="709" customFormat="false" ht="15" hidden="false" customHeight="true" outlineLevel="0" collapsed="false">
      <c r="B709" s="1004" t="str">
        <f aca="false">'Смета Внутр'!B716</f>
        <v>изготовление и монтаж перемычек для окон и дверей</v>
      </c>
      <c r="C709" s="1004" t="str">
        <f aca="false">'Смета Внутр'!C716</f>
        <v>м.п.</v>
      </c>
      <c r="D709" s="1018" t="n">
        <f aca="false">'Смета Внутр'!D716</f>
        <v>1</v>
      </c>
      <c r="E709" s="1004" t="n">
        <f aca="false">'Смета Внутр'!E716</f>
        <v>500</v>
      </c>
      <c r="F709" s="1004" t="n">
        <f aca="false">'Смета Внутр'!F716</f>
        <v>0</v>
      </c>
      <c r="G709" s="1004" t="n">
        <f aca="false">IF(E709&gt;F709,E709,F709)</f>
        <v>500</v>
      </c>
      <c r="H709" s="1004" t="n">
        <f aca="false">'Смета Внутр'!G716</f>
        <v>500</v>
      </c>
      <c r="I709" s="1004" t="n">
        <f aca="false">'Смета Внутр'!H716</f>
        <v>500</v>
      </c>
      <c r="J709" s="1018" t="n">
        <f aca="false">'Смета Внутр'!I716</f>
        <v>500</v>
      </c>
    </row>
    <row r="710" customFormat="false" ht="15" hidden="false" customHeight="true" outlineLevel="0" collapsed="false">
      <c r="B710" s="2927" t="str">
        <f aca="false">'Смета Внутр'!B717</f>
        <v>Итого работы, рублей</v>
      </c>
      <c r="C710" s="2927"/>
      <c r="D710" s="2927"/>
      <c r="E710" s="2927"/>
      <c r="F710" s="2927"/>
      <c r="G710" s="2927"/>
      <c r="H710" s="1004" t="n">
        <f aca="false">'Смета Внутр'!G717</f>
        <v>247133.6</v>
      </c>
      <c r="I710" s="1004" t="n">
        <f aca="false">'Смета Внутр'!H717</f>
        <v>247133.6</v>
      </c>
      <c r="J710" s="1018" t="n">
        <f aca="false">'Смета Внутр'!I717</f>
        <v>247133.6</v>
      </c>
    </row>
    <row r="711" customFormat="false" ht="15" hidden="false" customHeight="true" outlineLevel="0" collapsed="false">
      <c r="B711" s="2925" t="str">
        <f aca="false">'Смета Внутр'!B718</f>
        <v>Брусовой дом</v>
      </c>
      <c r="C711" s="2925"/>
      <c r="D711" s="2925"/>
      <c r="H711" s="0" t="n">
        <f aca="false">'Смета Внутр'!G718</f>
        <v>0</v>
      </c>
      <c r="I711" s="0" t="n">
        <f aca="false">'Смета Внутр'!H718</f>
        <v>0</v>
      </c>
      <c r="J711" s="2926" t="n">
        <f aca="false">'Смета Внутр'!I718</f>
        <v>0</v>
      </c>
    </row>
    <row r="712" customFormat="false" ht="15" hidden="false" customHeight="true" outlineLevel="0" collapsed="false">
      <c r="B712" s="2881" t="str">
        <f aca="false">'Смета Внутр'!B719</f>
        <v>Материалы</v>
      </c>
      <c r="D712" s="919"/>
      <c r="H712" s="0" t="n">
        <f aca="false">'Смета Внутр'!G719</f>
        <v>0</v>
      </c>
      <c r="I712" s="0" t="n">
        <f aca="false">'Смета Внутр'!H719</f>
        <v>0</v>
      </c>
      <c r="J712" s="2926" t="n">
        <f aca="false">'Смета Внутр'!I719</f>
        <v>0</v>
      </c>
    </row>
    <row r="713" customFormat="false" ht="15" hidden="false" customHeight="true" outlineLevel="0" collapsed="false">
      <c r="B713" s="1004" t="str">
        <f aca="false">'Смета Внутр'!B720</f>
        <v>Листв. влаж, 200*200мм</v>
      </c>
      <c r="C713" s="1004" t="str">
        <f aca="false">'Смета Внутр'!C720</f>
        <v>м3</v>
      </c>
      <c r="D713" s="1018" t="n">
        <f aca="false">'Смета Внутр'!D720</f>
        <v>2.552</v>
      </c>
      <c r="E713" s="1004" t="n">
        <f aca="false">'Смета Внутр'!E720</f>
        <v>9000</v>
      </c>
      <c r="F713" s="1004" t="n">
        <f aca="false">'Смета Внутр'!F720</f>
        <v>0</v>
      </c>
      <c r="G713" s="1004" t="n">
        <f aca="false">IF(E713&gt;F713,E713,F713)</f>
        <v>9000</v>
      </c>
      <c r="H713" s="1004" t="n">
        <f aca="false">'Смета Внутр'!G720</f>
        <v>22968</v>
      </c>
      <c r="I713" s="1004" t="n">
        <f aca="false">'Смета Внутр'!H720</f>
        <v>0</v>
      </c>
      <c r="J713" s="1018" t="n">
        <f aca="false">'Смета Внутр'!I720</f>
        <v>0</v>
      </c>
    </row>
    <row r="714" customFormat="false" ht="15" hidden="false" customHeight="true" outlineLevel="0" collapsed="false">
      <c r="B714" s="1004" t="str">
        <f aca="false">'Смета Внутр'!B721</f>
        <v>Сосна влаж, 200*200мм</v>
      </c>
      <c r="C714" s="1004" t="str">
        <f aca="false">'Смета Внутр'!C721</f>
        <v>м3</v>
      </c>
      <c r="D714" s="1018" t="n">
        <f aca="false">'Смета Внутр'!D721</f>
        <v>22.9504</v>
      </c>
      <c r="E714" s="1004" t="n">
        <f aca="false">'Смета Внутр'!E721</f>
        <v>6500</v>
      </c>
      <c r="F714" s="1004" t="n">
        <f aca="false">'Смета Внутр'!F721</f>
        <v>0</v>
      </c>
      <c r="G714" s="1004" t="n">
        <f aca="false">IF(E714&gt;F714,E714,F714)</f>
        <v>6500</v>
      </c>
      <c r="H714" s="1004" t="n">
        <f aca="false">'Смета Внутр'!G721</f>
        <v>149177.6</v>
      </c>
      <c r="I714" s="1004" t="n">
        <f aca="false">'Смета Внутр'!H721</f>
        <v>0</v>
      </c>
      <c r="J714" s="1018" t="n">
        <f aca="false">'Смета Внутр'!I721</f>
        <v>0</v>
      </c>
    </row>
    <row r="715" customFormat="false" ht="15" hidden="false" customHeight="true" outlineLevel="0" collapsed="false">
      <c r="B715" s="1004" t="str">
        <f aca="false">'Смета Внутр'!B722</f>
        <v>Сосна влаж, 200*150мм</v>
      </c>
      <c r="C715" s="1004" t="str">
        <f aca="false">'Смета Внутр'!C722</f>
        <v>м3</v>
      </c>
      <c r="D715" s="1018" t="n">
        <f aca="false">'Смета Внутр'!D722</f>
        <v>0</v>
      </c>
      <c r="E715" s="1004" t="n">
        <f aca="false">'Смета Внутр'!E722</f>
        <v>6500</v>
      </c>
      <c r="F715" s="1004" t="n">
        <f aca="false">'Смета Внутр'!F722</f>
        <v>0</v>
      </c>
      <c r="G715" s="1004" t="n">
        <f aca="false">IF(E715&gt;F715,E715,F715)</f>
        <v>6500</v>
      </c>
      <c r="H715" s="1004" t="n">
        <f aca="false">'Смета Внутр'!G722</f>
        <v>0</v>
      </c>
      <c r="I715" s="1004" t="n">
        <f aca="false">'Смета Внутр'!H722</f>
        <v>0</v>
      </c>
      <c r="J715" s="1018" t="n">
        <f aca="false">'Смета Внутр'!I722</f>
        <v>0</v>
      </c>
    </row>
    <row r="716" customFormat="false" ht="15" hidden="false" customHeight="true" outlineLevel="0" collapsed="false">
      <c r="B716" s="1004" t="str">
        <f aca="false">'Смета Внутр'!B723</f>
        <v>Сосна влаж, 200*100мм</v>
      </c>
      <c r="C716" s="1004" t="str">
        <f aca="false">'Смета Внутр'!C723</f>
        <v>м2</v>
      </c>
      <c r="D716" s="1018" t="n">
        <f aca="false">'Смета Внутр'!D723</f>
        <v>0</v>
      </c>
      <c r="E716" s="1004" t="n">
        <f aca="false">'Смета Внутр'!E723</f>
        <v>6500</v>
      </c>
      <c r="F716" s="1004" t="n">
        <f aca="false">'Смета Внутр'!F723</f>
        <v>0</v>
      </c>
      <c r="G716" s="1004" t="n">
        <f aca="false">IF(E716&gt;F716,E716,F716)</f>
        <v>6500</v>
      </c>
      <c r="H716" s="1004" t="n">
        <f aca="false">'Смета Внутр'!G723</f>
        <v>0</v>
      </c>
      <c r="I716" s="1004" t="n">
        <f aca="false">'Смета Внутр'!H723</f>
        <v>0</v>
      </c>
      <c r="J716" s="1018" t="n">
        <f aca="false">'Смета Внутр'!I723</f>
        <v>0</v>
      </c>
    </row>
    <row r="717" customFormat="false" ht="15" hidden="false" customHeight="true" outlineLevel="0" collapsed="false">
      <c r="B717" s="1004" t="str">
        <f aca="false">'Смета Внутр'!B724</f>
        <v>Шкант</v>
      </c>
      <c r="C717" s="1004" t="str">
        <f aca="false">'Смета Внутр'!C724</f>
        <v>шт</v>
      </c>
      <c r="D717" s="1018" t="n">
        <f aca="false">'Смета Внутр'!D724</f>
        <v>562</v>
      </c>
      <c r="E717" s="1004" t="n">
        <f aca="false">'Смета Внутр'!E724</f>
        <v>6</v>
      </c>
      <c r="F717" s="1004" t="n">
        <f aca="false">'Смета Внутр'!F724</f>
        <v>0</v>
      </c>
      <c r="G717" s="1004" t="n">
        <f aca="false">IF(E717&gt;F717,E717,F717)</f>
        <v>6</v>
      </c>
      <c r="H717" s="1004" t="n">
        <f aca="false">'Смета Внутр'!G724</f>
        <v>3372</v>
      </c>
      <c r="I717" s="1004" t="n">
        <f aca="false">'Смета Внутр'!H724</f>
        <v>0</v>
      </c>
      <c r="J717" s="1018" t="n">
        <f aca="false">'Смета Внутр'!I724</f>
        <v>0</v>
      </c>
    </row>
    <row r="718" customFormat="false" ht="15" hidden="false" customHeight="true" outlineLevel="0" collapsed="false">
      <c r="B718" s="1004" t="str">
        <f aca="false">'Смета Внутр'!B725</f>
        <v>Лен-джут 200х5х20000 мм</v>
      </c>
      <c r="C718" s="1004" t="str">
        <f aca="false">'Смета Внутр'!C725</f>
        <v>шт</v>
      </c>
      <c r="D718" s="1018" t="n">
        <f aca="false">'Смета Внутр'!D725</f>
        <v>0</v>
      </c>
      <c r="E718" s="1004" t="n">
        <f aca="false">'Смета Внутр'!E725</f>
        <v>175</v>
      </c>
      <c r="F718" s="1004" t="n">
        <f aca="false">'Смета Внутр'!F725</f>
        <v>0</v>
      </c>
      <c r="G718" s="1004" t="n">
        <f aca="false">IF(E718&gt;F718,E718,F718)</f>
        <v>175</v>
      </c>
      <c r="H718" s="1004" t="n">
        <f aca="false">'Смета Внутр'!G725</f>
        <v>0</v>
      </c>
      <c r="I718" s="1004" t="n">
        <f aca="false">'Смета Внутр'!H725</f>
        <v>0</v>
      </c>
      <c r="J718" s="1018" t="n">
        <f aca="false">'Смета Внутр'!I725</f>
        <v>0</v>
      </c>
    </row>
    <row r="719" customFormat="false" ht="15" hidden="false" customHeight="true" outlineLevel="0" collapsed="false">
      <c r="B719" s="1004" t="str">
        <f aca="false">'Смета Внутр'!B726</f>
        <v>Гвозди строительные 3,5 x 90</v>
      </c>
      <c r="C719" s="1004" t="str">
        <f aca="false">'Смета Внутр'!C726</f>
        <v>шт</v>
      </c>
      <c r="D719" s="1018" t="n">
        <f aca="false">'Смета Внутр'!D726</f>
        <v>4.4</v>
      </c>
      <c r="E719" s="1004" t="n">
        <f aca="false">'Смета Внутр'!E726</f>
        <v>70</v>
      </c>
      <c r="F719" s="1004" t="n">
        <f aca="false">'Смета Внутр'!F726</f>
        <v>0</v>
      </c>
      <c r="G719" s="1004" t="n">
        <f aca="false">IF(E719&gt;F719,E719,F719)</f>
        <v>70</v>
      </c>
      <c r="H719" s="1004" t="n">
        <f aca="false">'Смета Внутр'!G726</f>
        <v>308</v>
      </c>
      <c r="I719" s="1004" t="n">
        <f aca="false">'Смета Внутр'!H726</f>
        <v>0</v>
      </c>
      <c r="J719" s="1018" t="n">
        <f aca="false">'Смета Внутр'!I726</f>
        <v>0</v>
      </c>
    </row>
    <row r="720" customFormat="false" ht="15" hidden="false" customHeight="true" outlineLevel="0" collapsed="false">
      <c r="B720" s="1004" t="str">
        <f aca="false">'Смета Внутр'!B727</f>
        <v>нет</v>
      </c>
      <c r="C720" s="1004" t="str">
        <f aca="false">'Смета Внутр'!C727</f>
        <v>м3</v>
      </c>
      <c r="D720" s="1018" t="n">
        <f aca="false">'Смета Внутр'!D727</f>
        <v>0</v>
      </c>
      <c r="E720" s="1004" t="n">
        <f aca="false">'Смета Внутр'!E727</f>
        <v>0</v>
      </c>
      <c r="F720" s="1004" t="n">
        <f aca="false">'Смета Внутр'!F727</f>
        <v>0</v>
      </c>
      <c r="G720" s="1004" t="n">
        <f aca="false">IF(E720&gt;F720,E720,F720)</f>
        <v>0</v>
      </c>
      <c r="H720" s="1004" t="n">
        <f aca="false">'Смета Внутр'!G727</f>
        <v>0</v>
      </c>
      <c r="I720" s="1004" t="n">
        <f aca="false">'Смета Внутр'!H727</f>
        <v>0</v>
      </c>
      <c r="J720" s="1018" t="n">
        <f aca="false">'Смета Внутр'!I727</f>
        <v>0</v>
      </c>
    </row>
    <row r="721" customFormat="false" ht="15" hidden="false" customHeight="true" outlineLevel="0" collapsed="false">
      <c r="B721" s="1004" t="str">
        <f aca="false">'Смета Внутр'!B728</f>
        <v>Доска сухая, 100*50мм</v>
      </c>
      <c r="C721" s="1004" t="str">
        <f aca="false">'Смета Внутр'!C728</f>
        <v>м3</v>
      </c>
      <c r="D721" s="1018" t="n">
        <f aca="false">'Смета Внутр'!D728</f>
        <v>0</v>
      </c>
      <c r="E721" s="1004" t="n">
        <f aca="false">'Смета Внутр'!E728</f>
        <v>9000</v>
      </c>
      <c r="F721" s="1004" t="n">
        <f aca="false">'Смета Внутр'!F728</f>
        <v>0</v>
      </c>
      <c r="G721" s="1004" t="n">
        <f aca="false">IF(E721&gt;F721,E721,F721)</f>
        <v>9000</v>
      </c>
      <c r="H721" s="1004" t="n">
        <f aca="false">'Смета Внутр'!G728</f>
        <v>0</v>
      </c>
      <c r="I721" s="1004" t="n">
        <f aca="false">'Смета Внутр'!H728</f>
        <v>0</v>
      </c>
      <c r="J721" s="1018" t="n">
        <f aca="false">'Смета Внутр'!I728</f>
        <v>0</v>
      </c>
    </row>
    <row r="722" customFormat="false" ht="15" hidden="false" customHeight="true" outlineLevel="0" collapsed="false">
      <c r="B722" s="1004" t="str">
        <f aca="false">'Смета Внутр'!B729</f>
        <v>Доска сухая калиброванная, 100*45мм</v>
      </c>
      <c r="C722" s="1004" t="str">
        <f aca="false">'Смета Внутр'!C729</f>
        <v>м3</v>
      </c>
      <c r="D722" s="1018" t="n">
        <f aca="false">'Смета Внутр'!D729</f>
        <v>0</v>
      </c>
      <c r="E722" s="1004" t="n">
        <f aca="false">'Смета Внутр'!E729</f>
        <v>12500</v>
      </c>
      <c r="F722" s="1004" t="n">
        <f aca="false">'Смета Внутр'!F729</f>
        <v>0</v>
      </c>
      <c r="G722" s="1004" t="n">
        <f aca="false">IF(E722&gt;F722,E722,F722)</f>
        <v>12500</v>
      </c>
      <c r="H722" s="1004" t="n">
        <f aca="false">'Смета Внутр'!G729</f>
        <v>0</v>
      </c>
      <c r="I722" s="1004" t="n">
        <f aca="false">'Смета Внутр'!H729</f>
        <v>0</v>
      </c>
      <c r="J722" s="1018" t="n">
        <f aca="false">'Смета Внутр'!I729</f>
        <v>0</v>
      </c>
    </row>
    <row r="723" customFormat="false" ht="15" hidden="false" customHeight="true" outlineLevel="0" collapsed="false">
      <c r="B723" s="1004" t="str">
        <f aca="false">'Смета Внутр'!B730</f>
        <v>Сосна влаж, 50*50мм</v>
      </c>
      <c r="C723" s="1004" t="str">
        <f aca="false">'Смета Внутр'!C730</f>
        <v>м.п.</v>
      </c>
      <c r="D723" s="1018" t="n">
        <f aca="false">'Смета Внутр'!D730</f>
        <v>0</v>
      </c>
      <c r="E723" s="1004" t="n">
        <f aca="false">'Смета Внутр'!E730</f>
        <v>16.25</v>
      </c>
      <c r="F723" s="1004" t="n">
        <f aca="false">'Смета Внутр'!F730</f>
        <v>0</v>
      </c>
      <c r="G723" s="1004" t="n">
        <f aca="false">IF(E723&gt;F723,E723,F723)</f>
        <v>16.25</v>
      </c>
      <c r="H723" s="1004" t="n">
        <f aca="false">'Смета Внутр'!G730</f>
        <v>0</v>
      </c>
      <c r="I723" s="1004" t="n">
        <f aca="false">'Смета Внутр'!H730</f>
        <v>0</v>
      </c>
      <c r="J723" s="1018" t="n">
        <f aca="false">'Смета Внутр'!I730</f>
        <v>0</v>
      </c>
    </row>
    <row r="724" customFormat="false" ht="15" hidden="false" customHeight="true" outlineLevel="0" collapsed="false">
      <c r="B724" s="1004" t="str">
        <f aca="false">'Смета Внутр'!B731</f>
        <v>Бензин для пилы</v>
      </c>
      <c r="C724" s="1004" t="str">
        <f aca="false">'Смета Внутр'!C731</f>
        <v>л</v>
      </c>
      <c r="D724" s="1018" t="n">
        <f aca="false">'Смета Внутр'!D731</f>
        <v>4.67544</v>
      </c>
      <c r="E724" s="1004" t="n">
        <f aca="false">'Смета Внутр'!E731</f>
        <v>40</v>
      </c>
      <c r="F724" s="1004" t="n">
        <f aca="false">'Смета Внутр'!F731</f>
        <v>0</v>
      </c>
      <c r="G724" s="1004" t="n">
        <f aca="false">IF(E724&gt;F724,E724,F724)</f>
        <v>40</v>
      </c>
      <c r="H724" s="1004" t="n">
        <f aca="false">'Смета Внутр'!G731</f>
        <v>187.0176</v>
      </c>
      <c r="I724" s="1004" t="n">
        <f aca="false">'Смета Внутр'!H731</f>
        <v>0</v>
      </c>
      <c r="J724" s="1018" t="n">
        <f aca="false">'Смета Внутр'!I731</f>
        <v>0</v>
      </c>
    </row>
    <row r="725" customFormat="false" ht="15" hidden="false" customHeight="true" outlineLevel="0" collapsed="false">
      <c r="B725" s="1004" t="str">
        <f aca="false">'Смета Внутр'!B732</f>
        <v>Масло для пилы</v>
      </c>
      <c r="C725" s="1004" t="str">
        <f aca="false">'Смета Внутр'!C732</f>
        <v>л</v>
      </c>
      <c r="D725" s="1018" t="n">
        <f aca="false">'Смета Внутр'!D732</f>
        <v>0.5142984</v>
      </c>
      <c r="E725" s="1004" t="n">
        <f aca="false">'Смета Внутр'!E732</f>
        <v>250</v>
      </c>
      <c r="F725" s="1004" t="n">
        <f aca="false">'Смета Внутр'!F732</f>
        <v>0</v>
      </c>
      <c r="G725" s="1004" t="n">
        <f aca="false">IF(E725&gt;F725,E725,F725)</f>
        <v>250</v>
      </c>
      <c r="H725" s="1004" t="n">
        <f aca="false">'Смета Внутр'!G732</f>
        <v>128.5746</v>
      </c>
      <c r="I725" s="1004" t="n">
        <f aca="false">'Смета Внутр'!H732</f>
        <v>0</v>
      </c>
      <c r="J725" s="1018" t="n">
        <f aca="false">'Смета Внутр'!I732</f>
        <v>0</v>
      </c>
    </row>
    <row r="726" customFormat="false" ht="15" hidden="false" customHeight="true" outlineLevel="0" collapsed="false">
      <c r="B726" s="1004" t="str">
        <f aca="false">'Смета Внутр'!B733</f>
        <v>Цепь для пилы</v>
      </c>
      <c r="C726" s="1004" t="str">
        <f aca="false">'Смета Внутр'!C733</f>
        <v>шт</v>
      </c>
      <c r="D726" s="1018" t="n">
        <f aca="false">'Смета Внутр'!D733</f>
        <v>2.2</v>
      </c>
      <c r="E726" s="1004" t="n">
        <f aca="false">'Смета Внутр'!E733</f>
        <v>800</v>
      </c>
      <c r="F726" s="1004" t="n">
        <f aca="false">'Смета Внутр'!F733</f>
        <v>0</v>
      </c>
      <c r="G726" s="1004" t="n">
        <f aca="false">IF(E726&gt;F726,E726,F726)</f>
        <v>800</v>
      </c>
      <c r="H726" s="1004" t="n">
        <f aca="false">'Смета Внутр'!G733</f>
        <v>1760</v>
      </c>
      <c r="I726" s="1004" t="n">
        <f aca="false">'Смета Внутр'!H733</f>
        <v>0</v>
      </c>
      <c r="J726" s="1018" t="n">
        <f aca="false">'Смета Внутр'!I733</f>
        <v>0</v>
      </c>
    </row>
    <row r="727" customFormat="false" ht="15" hidden="false" customHeight="true" outlineLevel="0" collapsed="false">
      <c r="B727" s="1004" t="str">
        <f aca="false">'Смета Внутр'!B734</f>
        <v>"Профилюкс" Антисептик АНТИПЛЕСЕНЬ</v>
      </c>
      <c r="C727" s="1004" t="str">
        <f aca="false">'Смета Внутр'!C734</f>
        <v>л</v>
      </c>
      <c r="D727" s="1018" t="n">
        <f aca="false">'Смета Внутр'!D734</f>
        <v>0</v>
      </c>
      <c r="E727" s="1004" t="n">
        <f aca="false">'Смета Внутр'!E734</f>
        <v>108</v>
      </c>
      <c r="F727" s="1004" t="n">
        <f aca="false">'Смета Внутр'!F734</f>
        <v>0</v>
      </c>
      <c r="G727" s="1004" t="n">
        <f aca="false">IF(E727&gt;F727,E727,F727)</f>
        <v>108</v>
      </c>
      <c r="H727" s="1004" t="n">
        <f aca="false">'Смета Внутр'!G734</f>
        <v>0</v>
      </c>
      <c r="I727" s="1004" t="n">
        <f aca="false">'Смета Внутр'!H734</f>
        <v>0</v>
      </c>
      <c r="J727" s="1018" t="n">
        <f aca="false">'Смета Внутр'!I734</f>
        <v>0</v>
      </c>
    </row>
    <row r="728" customFormat="false" ht="15" hidden="false" customHeight="true" outlineLevel="0" collapsed="false">
      <c r="B728" s="1004" t="str">
        <f aca="false">'Смета Внутр'!B735</f>
        <v>"Тонерол" Антисептик  бесцветный  1л</v>
      </c>
      <c r="C728" s="1004" t="str">
        <f aca="false">'Смета Внутр'!C735</f>
        <v>л</v>
      </c>
      <c r="D728" s="1018" t="n">
        <f aca="false">'Смета Внутр'!D735</f>
        <v>0</v>
      </c>
      <c r="E728" s="1004" t="n">
        <f aca="false">'Смета Внутр'!E735</f>
        <v>305</v>
      </c>
      <c r="F728" s="1004" t="n">
        <f aca="false">'Смета Внутр'!F735</f>
        <v>0</v>
      </c>
      <c r="G728" s="1004" t="n">
        <f aca="false">IF(E728&gt;F728,E728,F728)</f>
        <v>305</v>
      </c>
      <c r="H728" s="1004" t="n">
        <f aca="false">'Смета Внутр'!G735</f>
        <v>0</v>
      </c>
      <c r="I728" s="1004" t="n">
        <f aca="false">'Смета Внутр'!H735</f>
        <v>0</v>
      </c>
      <c r="J728" s="1018" t="n">
        <f aca="false">'Смета Внутр'!I735</f>
        <v>0</v>
      </c>
    </row>
    <row r="729" customFormat="false" ht="15" hidden="false" customHeight="true" outlineLevel="0" collapsed="false">
      <c r="B729" s="1004" t="str">
        <f aca="false">'Смета Внутр'!B736</f>
        <v>"Тонерол" Антисептик  махагон  1л</v>
      </c>
      <c r="C729" s="1004" t="str">
        <f aca="false">'Смета Внутр'!C736</f>
        <v>л</v>
      </c>
      <c r="D729" s="1018" t="n">
        <f aca="false">'Смета Внутр'!D736</f>
        <v>0</v>
      </c>
      <c r="E729" s="1004" t="n">
        <f aca="false">'Смета Внутр'!E736</f>
        <v>305</v>
      </c>
      <c r="F729" s="1004" t="n">
        <f aca="false">'Смета Внутр'!F736</f>
        <v>0</v>
      </c>
      <c r="G729" s="1004" t="n">
        <f aca="false">IF(E729&gt;F729,E729,F729)</f>
        <v>305</v>
      </c>
      <c r="H729" s="1004" t="n">
        <f aca="false">'Смета Внутр'!G736</f>
        <v>0</v>
      </c>
      <c r="I729" s="1004" t="n">
        <f aca="false">'Смета Внутр'!H736</f>
        <v>0</v>
      </c>
      <c r="J729" s="1018" t="n">
        <f aca="false">'Смета Внутр'!I736</f>
        <v>0</v>
      </c>
    </row>
    <row r="730" customFormat="false" ht="15" hidden="false" customHeight="true" outlineLevel="0" collapsed="false">
      <c r="B730" s="1004" t="str">
        <f aca="false">'Смета Внутр'!B737</f>
        <v>Нет наличника</v>
      </c>
      <c r="C730" s="1004" t="str">
        <f aca="false">'Смета Внутр'!C737</f>
        <v>м.п.</v>
      </c>
      <c r="D730" s="1018" t="n">
        <f aca="false">'Смета Внутр'!D737</f>
        <v>3.57</v>
      </c>
      <c r="E730" s="1004" t="n">
        <f aca="false">'Смета Внутр'!E737</f>
        <v>0</v>
      </c>
      <c r="F730" s="1004" t="n">
        <f aca="false">'Смета Внутр'!F737</f>
        <v>0</v>
      </c>
      <c r="G730" s="1004" t="n">
        <f aca="false">IF(E730&gt;F730,E730,F730)</f>
        <v>0</v>
      </c>
      <c r="H730" s="1004" t="n">
        <f aca="false">'Смета Внутр'!G737</f>
        <v>0</v>
      </c>
      <c r="I730" s="1004" t="n">
        <f aca="false">'Смета Внутр'!H737</f>
        <v>0</v>
      </c>
      <c r="J730" s="1018" t="n">
        <f aca="false">'Смета Внутр'!I737</f>
        <v>0</v>
      </c>
    </row>
    <row r="731" customFormat="false" ht="15" hidden="false" customHeight="true" outlineLevel="0" collapsed="false">
      <c r="B731" s="1004" t="str">
        <f aca="false">'Смета Внутр'!B738</f>
        <v>Нет наличника</v>
      </c>
      <c r="C731" s="1004" t="str">
        <f aca="false">'Смета Внутр'!C738</f>
        <v>м.п.</v>
      </c>
      <c r="D731" s="1018" t="n">
        <f aca="false">'Смета Внутр'!D738</f>
        <v>3.57</v>
      </c>
      <c r="E731" s="1004" t="n">
        <f aca="false">'Смета Внутр'!E738</f>
        <v>0</v>
      </c>
      <c r="F731" s="1004" t="n">
        <f aca="false">'Смета Внутр'!F738</f>
        <v>0</v>
      </c>
      <c r="G731" s="1004" t="n">
        <f aca="false">IF(E731&gt;F731,E731,F731)</f>
        <v>0</v>
      </c>
      <c r="H731" s="1004" t="n">
        <f aca="false">'Смета Внутр'!G738</f>
        <v>0</v>
      </c>
      <c r="I731" s="1004" t="n">
        <f aca="false">'Смета Внутр'!H738</f>
        <v>0</v>
      </c>
      <c r="J731" s="1018" t="n">
        <f aca="false">'Смета Внутр'!I738</f>
        <v>0</v>
      </c>
    </row>
    <row r="732" customFormat="false" ht="15" hidden="false" customHeight="true" outlineLevel="0" collapsed="false">
      <c r="B732" s="1004" t="str">
        <f aca="false">'Смета Внутр'!B739</f>
        <v>Бумага наждачная № 63 F(30)</v>
      </c>
      <c r="C732" s="1004" t="str">
        <f aca="false">'Смета Внутр'!C739</f>
        <v>м</v>
      </c>
      <c r="D732" s="1018" t="n">
        <f aca="false">'Смета Внутр'!D739</f>
        <v>5</v>
      </c>
      <c r="E732" s="1004" t="n">
        <f aca="false">'Смета Внутр'!E739</f>
        <v>291</v>
      </c>
      <c r="F732" s="1004" t="n">
        <f aca="false">'Смета Внутр'!F739</f>
        <v>0</v>
      </c>
      <c r="G732" s="1004" t="n">
        <f aca="false">IF(E732&gt;F732,E732,F732)</f>
        <v>291</v>
      </c>
      <c r="H732" s="1004" t="n">
        <f aca="false">'Смета Внутр'!G739</f>
        <v>1455</v>
      </c>
      <c r="I732" s="1004" t="n">
        <f aca="false">'Смета Внутр'!H739</f>
        <v>0</v>
      </c>
      <c r="J732" s="1018" t="n">
        <f aca="false">'Смета Внутр'!I739</f>
        <v>0</v>
      </c>
    </row>
    <row r="733" customFormat="false" ht="15" hidden="false" customHeight="true" outlineLevel="0" collapsed="false">
      <c r="B733" s="1004" t="str">
        <f aca="false">'Смета Внутр'!B740</f>
        <v>Нет наждачной бумаги</v>
      </c>
      <c r="C733" s="1004" t="str">
        <f aca="false">'Смета Внутр'!C740</f>
        <v>м</v>
      </c>
      <c r="D733" s="1018" t="n">
        <f aca="false">'Смета Внутр'!D740</f>
        <v>0</v>
      </c>
      <c r="E733" s="1004" t="n">
        <f aca="false">'Смета Внутр'!E740</f>
        <v>0</v>
      </c>
      <c r="F733" s="1004" t="n">
        <f aca="false">'Смета Внутр'!F740</f>
        <v>0</v>
      </c>
      <c r="G733" s="1004" t="n">
        <f aca="false">IF(E733&gt;F733,E733,F733)</f>
        <v>0</v>
      </c>
      <c r="H733" s="1004" t="n">
        <f aca="false">'Смета Внутр'!G740</f>
        <v>0</v>
      </c>
      <c r="I733" s="1004" t="n">
        <f aca="false">'Смета Внутр'!H740</f>
        <v>0</v>
      </c>
      <c r="J733" s="1018" t="n">
        <f aca="false">'Смета Внутр'!I740</f>
        <v>0</v>
      </c>
    </row>
    <row r="734" customFormat="false" ht="15" hidden="false" customHeight="true" outlineLevel="0" collapsed="false">
      <c r="B734" s="1004" t="str">
        <f aca="false">'Смета Внутр'!B741</f>
        <v>Бумага наждачная № 63 F(30)</v>
      </c>
      <c r="C734" s="1004" t="str">
        <f aca="false">'Смета Внутр'!C741</f>
        <v>м</v>
      </c>
      <c r="D734" s="1018" t="n">
        <f aca="false">'Смета Внутр'!D741</f>
        <v>0</v>
      </c>
      <c r="E734" s="1004" t="n">
        <f aca="false">'Смета Внутр'!E741</f>
        <v>291</v>
      </c>
      <c r="F734" s="1004" t="n">
        <f aca="false">'Смета Внутр'!F741</f>
        <v>0</v>
      </c>
      <c r="G734" s="1004" t="n">
        <f aca="false">IF(E734&gt;F734,E734,F734)</f>
        <v>291</v>
      </c>
      <c r="H734" s="1004" t="n">
        <f aca="false">'Смета Внутр'!G741</f>
        <v>0</v>
      </c>
      <c r="I734" s="1004" t="n">
        <f aca="false">'Смета Внутр'!H741</f>
        <v>0</v>
      </c>
      <c r="J734" s="1018" t="n">
        <f aca="false">'Смета Внутр'!I741</f>
        <v>0</v>
      </c>
    </row>
    <row r="735" customFormat="false" ht="15" hidden="false" customHeight="true" outlineLevel="0" collapsed="false">
      <c r="B735" s="1004" t="str">
        <f aca="false">'Смета Внутр'!B742</f>
        <v>Бумага наждачная № 40</v>
      </c>
      <c r="C735" s="1004" t="str">
        <f aca="false">'Смета Внутр'!C742</f>
        <v>м</v>
      </c>
      <c r="D735" s="1018" t="n">
        <f aca="false">'Смета Внутр'!D742</f>
        <v>0</v>
      </c>
      <c r="E735" s="1004" t="n">
        <f aca="false">'Смета Внутр'!E742</f>
        <v>240</v>
      </c>
      <c r="F735" s="1004" t="n">
        <f aca="false">'Смета Внутр'!F742</f>
        <v>0</v>
      </c>
      <c r="G735" s="1004" t="n">
        <f aca="false">IF(E735&gt;F735,E735,F735)</f>
        <v>240</v>
      </c>
      <c r="H735" s="1004" t="n">
        <f aca="false">'Смета Внутр'!G742</f>
        <v>0</v>
      </c>
      <c r="I735" s="1004" t="n">
        <f aca="false">'Смета Внутр'!H742</f>
        <v>0</v>
      </c>
      <c r="J735" s="1018" t="n">
        <f aca="false">'Смета Внутр'!I742</f>
        <v>0</v>
      </c>
    </row>
    <row r="736" customFormat="false" ht="15" hidden="false" customHeight="true" outlineLevel="0" collapsed="false">
      <c r="B736" s="2927" t="str">
        <f aca="false">'Смета Внутр'!B743</f>
        <v>Итого материалы, рублей</v>
      </c>
      <c r="C736" s="2927"/>
      <c r="D736" s="2927"/>
      <c r="E736" s="2927"/>
      <c r="F736" s="2927"/>
      <c r="G736" s="2927"/>
      <c r="H736" s="1004" t="n">
        <f aca="false">'Смета Внутр'!G743</f>
        <v>0</v>
      </c>
      <c r="I736" s="1004" t="n">
        <f aca="false">'Смета Внутр'!H743</f>
        <v>0</v>
      </c>
      <c r="J736" s="1018" t="n">
        <f aca="false">'Смета Внутр'!I743</f>
        <v>0</v>
      </c>
    </row>
    <row r="737" customFormat="false" ht="15" hidden="false" customHeight="true" outlineLevel="0" collapsed="false">
      <c r="B737" s="2881" t="str">
        <f aca="false">'Смета Внутр'!B744</f>
        <v>Работы</v>
      </c>
      <c r="D737" s="919"/>
      <c r="H737" s="0" t="n">
        <f aca="false">'Смета Внутр'!G744</f>
        <v>0</v>
      </c>
      <c r="I737" s="0" t="n">
        <f aca="false">'Смета Внутр'!H744</f>
        <v>0</v>
      </c>
      <c r="J737" s="2926" t="n">
        <f aca="false">'Смета Внутр'!I744</f>
        <v>0</v>
      </c>
    </row>
    <row r="738" customFormat="false" ht="15" hidden="false" customHeight="true" outlineLevel="0" collapsed="false">
      <c r="B738" s="1004" t="str">
        <f aca="false">'Смета Внутр'!B745</f>
        <v>кладка бруса</v>
      </c>
      <c r="C738" s="1004" t="str">
        <f aca="false">'Смета Внутр'!C745</f>
        <v>м3</v>
      </c>
      <c r="D738" s="1018" t="n">
        <f aca="false">'Смета Внутр'!D745</f>
        <v>25.5024</v>
      </c>
      <c r="E738" s="1004" t="n">
        <f aca="false">'Смета Внутр'!E745</f>
        <v>4000</v>
      </c>
      <c r="F738" s="1004" t="n">
        <f aca="false">'Смета Внутр'!F745</f>
        <v>0</v>
      </c>
      <c r="G738" s="1004" t="n">
        <f aca="false">IF(E738&gt;F738,E738,F738)</f>
        <v>4000</v>
      </c>
      <c r="H738" s="1004" t="n">
        <f aca="false">'Смета Внутр'!G745</f>
        <v>102009.6</v>
      </c>
      <c r="I738" s="1004" t="n">
        <f aca="false">'Смета Внутр'!H745</f>
        <v>0</v>
      </c>
      <c r="J738" s="1018" t="n">
        <f aca="false">'Смета Внутр'!I745</f>
        <v>0</v>
      </c>
    </row>
    <row r="739" customFormat="false" ht="15" hidden="false" customHeight="true" outlineLevel="0" collapsed="false">
      <c r="B739" s="1004" t="str">
        <f aca="false">'Смета Внутр'!B746</f>
        <v>окосячка проемов, м.п.</v>
      </c>
      <c r="C739" s="1004" t="str">
        <f aca="false">'Смета Внутр'!C746</f>
        <v>м.п.</v>
      </c>
      <c r="D739" s="1018" t="n">
        <f aca="false">'Смета Внутр'!D746</f>
        <v>0</v>
      </c>
      <c r="E739" s="1004" t="n">
        <f aca="false">'Смета Внутр'!E746</f>
        <v>150</v>
      </c>
      <c r="F739" s="1004" t="n">
        <f aca="false">'Смета Внутр'!F746</f>
        <v>0</v>
      </c>
      <c r="G739" s="1004" t="n">
        <f aca="false">IF(E739&gt;F739,E739,F739)</f>
        <v>150</v>
      </c>
      <c r="H739" s="1004" t="n">
        <f aca="false">'Смета Внутр'!G746</f>
        <v>0</v>
      </c>
      <c r="I739" s="1004" t="n">
        <f aca="false">'Смета Внутр'!H746</f>
        <v>0</v>
      </c>
      <c r="J739" s="1018" t="n">
        <f aca="false">'Смета Внутр'!I746</f>
        <v>0</v>
      </c>
    </row>
    <row r="740" customFormat="false" ht="15" hidden="false" customHeight="true" outlineLevel="0" collapsed="false">
      <c r="B740" s="1004" t="str">
        <f aca="false">'Смета Внутр'!B747</f>
        <v>обработка торцов на брусе</v>
      </c>
      <c r="C740" s="1004" t="str">
        <f aca="false">'Смета Внутр'!C747</f>
        <v>м.п.</v>
      </c>
      <c r="D740" s="1018" t="n">
        <f aca="false">'Смета Внутр'!D747</f>
        <v>14.4</v>
      </c>
      <c r="E740" s="1004" t="n">
        <f aca="false">'Смета Внутр'!E747</f>
        <v>250</v>
      </c>
      <c r="F740" s="1004" t="n">
        <f aca="false">'Смета Внутр'!F747</f>
        <v>0</v>
      </c>
      <c r="G740" s="1004" t="n">
        <f aca="false">IF(E740&gt;F740,E740,F740)</f>
        <v>250</v>
      </c>
      <c r="H740" s="1004" t="n">
        <f aca="false">'Смета Внутр'!G747</f>
        <v>3600</v>
      </c>
      <c r="I740" s="1004" t="n">
        <f aca="false">'Смета Внутр'!H747</f>
        <v>0</v>
      </c>
      <c r="J740" s="1018" t="n">
        <f aca="false">'Смета Внутр'!I747</f>
        <v>0</v>
      </c>
    </row>
    <row r="741" customFormat="false" ht="15" hidden="false" customHeight="true" outlineLevel="0" collapsed="false">
      <c r="B741" s="1004" t="str">
        <f aca="false">'Смета Внутр'!B748</f>
        <v>Обаботка огнебиозащитой</v>
      </c>
      <c r="C741" s="1004" t="str">
        <f aca="false">'Смета Внутр'!C748</f>
        <v>м.п.</v>
      </c>
      <c r="D741" s="1018" t="n">
        <f aca="false">'Смета Внутр'!D748</f>
        <v>25.5024</v>
      </c>
      <c r="E741" s="1004" t="n">
        <f aca="false">'Смета Внутр'!E748</f>
        <v>300</v>
      </c>
      <c r="F741" s="1004" t="n">
        <f aca="false">'Смета Внутр'!F748</f>
        <v>0</v>
      </c>
      <c r="G741" s="1004" t="n">
        <f aca="false">IF(E741&gt;F741,E741,F741)</f>
        <v>300</v>
      </c>
      <c r="H741" s="1004" t="n">
        <f aca="false">'Смета Внутр'!G748</f>
        <v>7650.72000000001</v>
      </c>
      <c r="I741" s="1004" t="n">
        <f aca="false">'Смета Внутр'!H748</f>
        <v>0</v>
      </c>
      <c r="J741" s="1018" t="n">
        <f aca="false">'Смета Внутр'!I748</f>
        <v>0</v>
      </c>
    </row>
    <row r="742" customFormat="false" ht="15" hidden="false" customHeight="true" outlineLevel="0" collapsed="false">
      <c r="B742" s="1004" t="str">
        <f aca="false">'Смета Внутр'!B749</f>
        <v>Пропитка стен внешних</v>
      </c>
      <c r="C742" s="1004" t="str">
        <f aca="false">'Смета Внутр'!C749</f>
        <v>м.п.</v>
      </c>
      <c r="D742" s="1018" t="n">
        <f aca="false">'Смета Внутр'!D749</f>
        <v>0</v>
      </c>
      <c r="E742" s="1004" t="n">
        <f aca="false">'Смета Внутр'!E749</f>
        <v>100</v>
      </c>
      <c r="F742" s="1004" t="n">
        <f aca="false">'Смета Внутр'!F749</f>
        <v>0</v>
      </c>
      <c r="G742" s="1004" t="n">
        <f aca="false">IF(E742&gt;F742,E742,F742)</f>
        <v>100</v>
      </c>
      <c r="H742" s="1004" t="n">
        <f aca="false">'Смета Внутр'!G749</f>
        <v>0</v>
      </c>
      <c r="I742" s="1004" t="n">
        <f aca="false">'Смета Внутр'!H749</f>
        <v>0</v>
      </c>
      <c r="J742" s="1018" t="n">
        <f aca="false">'Смета Внутр'!I749</f>
        <v>0</v>
      </c>
    </row>
    <row r="743" customFormat="false" ht="15" hidden="false" customHeight="true" outlineLevel="0" collapsed="false">
      <c r="B743" s="1004" t="str">
        <f aca="false">'Смета Внутр'!B750</f>
        <v>Пропитка внутенних стен</v>
      </c>
      <c r="C743" s="1004" t="str">
        <f aca="false">'Смета Внутр'!C750</f>
        <v>м.п.</v>
      </c>
      <c r="D743" s="1018" t="n">
        <f aca="false">'Смета Внутр'!D750</f>
        <v>0</v>
      </c>
      <c r="E743" s="1004" t="n">
        <f aca="false">'Смета Внутр'!E750</f>
        <v>100</v>
      </c>
      <c r="F743" s="1004" t="n">
        <f aca="false">'Смета Внутр'!F750</f>
        <v>0</v>
      </c>
      <c r="G743" s="1004" t="n">
        <f aca="false">IF(E743&gt;F743,E743,F743)</f>
        <v>100</v>
      </c>
      <c r="H743" s="1004" t="n">
        <f aca="false">'Смета Внутр'!G750</f>
        <v>0</v>
      </c>
      <c r="I743" s="1004" t="n">
        <f aca="false">'Смета Внутр'!H750</f>
        <v>0</v>
      </c>
      <c r="J743" s="1018" t="n">
        <f aca="false">'Смета Внутр'!I750</f>
        <v>0</v>
      </c>
    </row>
    <row r="744" customFormat="false" ht="15" hidden="false" customHeight="true" outlineLevel="0" collapsed="false">
      <c r="B744" s="1004" t="str">
        <f aca="false">'Смета Внутр'!B751</f>
        <v>Сверление стен для скрытой проводки</v>
      </c>
      <c r="C744" s="1004" t="str">
        <f aca="false">'Смета Внутр'!C751</f>
        <v>м.п.</v>
      </c>
      <c r="D744" s="1018" t="n">
        <f aca="false">'Смета Внутр'!D751</f>
        <v>180</v>
      </c>
      <c r="E744" s="1004" t="n">
        <f aca="false">'Смета Внутр'!E751</f>
        <v>300</v>
      </c>
      <c r="F744" s="1004" t="n">
        <f aca="false">'Смета Внутр'!F751</f>
        <v>0</v>
      </c>
      <c r="G744" s="1004" t="n">
        <f aca="false">IF(E744&gt;F744,E744,F744)</f>
        <v>300</v>
      </c>
      <c r="H744" s="1004" t="n">
        <f aca="false">'Смета Внутр'!G751</f>
        <v>54000</v>
      </c>
      <c r="I744" s="1004" t="n">
        <f aca="false">'Смета Внутр'!H751</f>
        <v>0</v>
      </c>
      <c r="J744" s="1018" t="n">
        <f aca="false">'Смета Внутр'!I751</f>
        <v>0</v>
      </c>
    </row>
    <row r="745" customFormat="false" ht="15" hidden="false" customHeight="true" outlineLevel="0" collapsed="false">
      <c r="B745" s="1004" t="str">
        <f aca="false">'Смета Внутр'!B752</f>
        <v>Монтаж наличника</v>
      </c>
      <c r="C745" s="1004" t="str">
        <f aca="false">'Смета Внутр'!C752</f>
        <v>м.п.</v>
      </c>
      <c r="D745" s="1018" t="n">
        <f aca="false">'Смета Внутр'!D752</f>
        <v>0</v>
      </c>
      <c r="E745" s="1004" t="n">
        <f aca="false">'Смета Внутр'!E752</f>
        <v>80</v>
      </c>
      <c r="F745" s="1004" t="n">
        <f aca="false">'Смета Внутр'!F752</f>
        <v>0</v>
      </c>
      <c r="G745" s="1004" t="n">
        <f aca="false">IF(E745&gt;F745,E745,F745)</f>
        <v>80</v>
      </c>
      <c r="H745" s="1004" t="n">
        <f aca="false">'Смета Внутр'!G752</f>
        <v>0</v>
      </c>
      <c r="I745" s="1004" t="n">
        <f aca="false">'Смета Внутр'!H752</f>
        <v>0</v>
      </c>
      <c r="J745" s="1018" t="n">
        <f aca="false">'Смета Внутр'!I752</f>
        <v>0</v>
      </c>
    </row>
    <row r="746" customFormat="false" ht="15" hidden="false" customHeight="true" outlineLevel="0" collapsed="false">
      <c r="B746" s="1004" t="str">
        <f aca="false">'Смета Внутр'!B753</f>
        <v>Шлифовка стен дома</v>
      </c>
      <c r="C746" s="1004" t="str">
        <f aca="false">'Смета Внутр'!C753</f>
        <v>м.п.</v>
      </c>
      <c r="D746" s="1018" t="n">
        <f aca="false">'Смета Внутр'!D753</f>
        <v>0</v>
      </c>
      <c r="E746" s="1004" t="n">
        <f aca="false">'Смета Внутр'!E753</f>
        <v>250</v>
      </c>
      <c r="F746" s="1004" t="n">
        <f aca="false">'Смета Внутр'!F753</f>
        <v>0</v>
      </c>
      <c r="G746" s="1004" t="n">
        <f aca="false">IF(E746&gt;F746,E746,F746)</f>
        <v>250</v>
      </c>
      <c r="H746" s="1004" t="n">
        <f aca="false">'Смета Внутр'!G753</f>
        <v>0</v>
      </c>
      <c r="I746" s="1004" t="n">
        <f aca="false">'Смета Внутр'!H753</f>
        <v>0</v>
      </c>
      <c r="J746" s="1018" t="n">
        <f aca="false">'Смета Внутр'!I753</f>
        <v>0</v>
      </c>
    </row>
    <row r="747" customFormat="false" ht="15" hidden="false" customHeight="true" outlineLevel="0" collapsed="false">
      <c r="B747" s="2927" t="str">
        <f aca="false">'Смета Внутр'!B754</f>
        <v>Итого работы</v>
      </c>
      <c r="C747" s="2927"/>
      <c r="D747" s="2927"/>
      <c r="E747" s="2927"/>
      <c r="F747" s="2927"/>
      <c r="G747" s="2927"/>
      <c r="H747" s="1004" t="n">
        <f aca="false">'Смета Внутр'!G754</f>
        <v>0</v>
      </c>
      <c r="I747" s="1004" t="n">
        <f aca="false">'Смета Внутр'!H754</f>
        <v>0</v>
      </c>
      <c r="J747" s="1018" t="n">
        <f aca="false">'Смета Внутр'!I754</f>
        <v>0</v>
      </c>
    </row>
    <row r="748" customFormat="false" ht="15" hidden="false" customHeight="true" outlineLevel="0" collapsed="false">
      <c r="B748" s="2925" t="str">
        <f aca="false">'Смета Внутр'!B755</f>
        <v>Дом из Дикого леса</v>
      </c>
      <c r="C748" s="2925"/>
      <c r="D748" s="2925"/>
      <c r="H748" s="0" t="n">
        <f aca="false">'Смета Внутр'!G755</f>
        <v>0</v>
      </c>
      <c r="I748" s="0" t="n">
        <f aca="false">'Смета Внутр'!H755</f>
        <v>0</v>
      </c>
      <c r="J748" s="2926" t="n">
        <f aca="false">'Смета Внутр'!I755</f>
        <v>0</v>
      </c>
    </row>
    <row r="749" customFormat="false" ht="15" hidden="false" customHeight="true" outlineLevel="0" collapsed="false">
      <c r="B749" s="2881" t="str">
        <f aca="false">'Смета Внутр'!B756</f>
        <v>Материалы</v>
      </c>
      <c r="D749" s="919"/>
      <c r="H749" s="0" t="n">
        <f aca="false">'Смета Внутр'!G756</f>
        <v>0</v>
      </c>
      <c r="I749" s="0" t="n">
        <f aca="false">'Смета Внутр'!H756</f>
        <v>0</v>
      </c>
      <c r="J749" s="2926" t="n">
        <f aca="false">'Смета Внутр'!I756</f>
        <v>0</v>
      </c>
    </row>
    <row r="750" customFormat="false" ht="15" hidden="false" customHeight="true" outlineLevel="0" collapsed="false">
      <c r="B750" s="1004" t="str">
        <f aca="false">'Смета Внутр'!B757</f>
        <v>Оцилиндрованное бревно сосна 260мм</v>
      </c>
      <c r="C750" s="1004" t="str">
        <f aca="false">'Смета Внутр'!C757</f>
        <v>м3</v>
      </c>
      <c r="D750" s="1018" t="n">
        <f aca="false">'Смета Внутр'!D757</f>
        <v>3.72417188</v>
      </c>
      <c r="E750" s="1004" t="n">
        <f aca="false">'Смета Внутр'!E757</f>
        <v>10000</v>
      </c>
      <c r="F750" s="1004" t="n">
        <f aca="false">'Смета Внутр'!F757</f>
        <v>0</v>
      </c>
      <c r="G750" s="1004" t="n">
        <f aca="false">IF(E750&gt;F750,E750,F750)</f>
        <v>10000</v>
      </c>
      <c r="H750" s="1004" t="n">
        <f aca="false">'Смета Внутр'!G757</f>
        <v>37241.7188</v>
      </c>
      <c r="I750" s="1004" t="n">
        <f aca="false">'Смета Внутр'!H757</f>
        <v>0</v>
      </c>
      <c r="J750" s="1018" t="n">
        <f aca="false">'Смета Внутр'!I757</f>
        <v>0</v>
      </c>
    </row>
    <row r="751" customFormat="false" ht="15" hidden="false" customHeight="true" outlineLevel="0" collapsed="false">
      <c r="B751" s="1004" t="str">
        <f aca="false">'Смета Внутр'!B758</f>
        <v>Оцилиндрованное бревно сосна 260мм</v>
      </c>
      <c r="C751" s="1004" t="str">
        <f aca="false">'Смета Внутр'!C758</f>
        <v>м3</v>
      </c>
      <c r="D751" s="1018" t="n">
        <f aca="false">'Смета Внутр'!D758</f>
        <v>24.29467612</v>
      </c>
      <c r="E751" s="1004" t="n">
        <f aca="false">'Смета Внутр'!E758</f>
        <v>8500</v>
      </c>
      <c r="F751" s="1004" t="n">
        <f aca="false">'Смета Внутр'!F758</f>
        <v>0</v>
      </c>
      <c r="G751" s="1004" t="n">
        <f aca="false">IF(E751&gt;F751,E751,F751)</f>
        <v>8500</v>
      </c>
      <c r="H751" s="1004" t="n">
        <f aca="false">'Смета Внутр'!G758</f>
        <v>206504.74702</v>
      </c>
      <c r="I751" s="1004" t="n">
        <f aca="false">'Смета Внутр'!H758</f>
        <v>0</v>
      </c>
      <c r="J751" s="1018" t="n">
        <f aca="false">'Смета Внутр'!I758</f>
        <v>0</v>
      </c>
    </row>
    <row r="752" customFormat="false" ht="15" hidden="false" customHeight="true" outlineLevel="0" collapsed="false">
      <c r="B752" s="1004" t="str">
        <f aca="false">'Смета Внутр'!B759</f>
        <v>Оцилиндрованное бревно сосна 200мм</v>
      </c>
      <c r="C752" s="1004" t="str">
        <f aca="false">'Смета Внутр'!C759</f>
        <v>м3</v>
      </c>
      <c r="D752" s="1018" t="n">
        <f aca="false">'Смета Внутр'!D759</f>
        <v>0</v>
      </c>
      <c r="E752" s="1004" t="n">
        <f aca="false">'Смета Внутр'!E759</f>
        <v>8000</v>
      </c>
      <c r="F752" s="1004" t="n">
        <f aca="false">'Смета Внутр'!F759</f>
        <v>0</v>
      </c>
      <c r="G752" s="1004" t="n">
        <f aca="false">IF(E752&gt;F752,E752,F752)</f>
        <v>8000</v>
      </c>
      <c r="H752" s="1004" t="n">
        <f aca="false">'Смета Внутр'!G759</f>
        <v>0</v>
      </c>
      <c r="I752" s="1004" t="n">
        <f aca="false">'Смета Внутр'!H759</f>
        <v>0</v>
      </c>
      <c r="J752" s="1018" t="n">
        <f aca="false">'Смета Внутр'!I759</f>
        <v>0</v>
      </c>
    </row>
    <row r="753" customFormat="false" ht="15" hidden="false" customHeight="true" outlineLevel="0" collapsed="false">
      <c r="B753" s="1004" t="str">
        <f aca="false">'Смета Внутр'!B760</f>
        <v>Оцилиндрованное бревно сосна 200мм</v>
      </c>
      <c r="C753" s="1004" t="str">
        <f aca="false">'Смета Внутр'!C760</f>
        <v>м2</v>
      </c>
      <c r="D753" s="1018" t="n">
        <f aca="false">'Смета Внутр'!D760</f>
        <v>0</v>
      </c>
      <c r="E753" s="1004" t="n">
        <f aca="false">'Смета Внутр'!E760</f>
        <v>8000</v>
      </c>
      <c r="F753" s="1004" t="n">
        <f aca="false">'Смета Внутр'!F760</f>
        <v>0</v>
      </c>
      <c r="G753" s="1004" t="n">
        <f aca="false">IF(E753&gt;F753,E753,F753)</f>
        <v>8000</v>
      </c>
      <c r="H753" s="1004" t="n">
        <f aca="false">'Смета Внутр'!G760</f>
        <v>0</v>
      </c>
      <c r="I753" s="1004" t="n">
        <f aca="false">'Смета Внутр'!H760</f>
        <v>0</v>
      </c>
      <c r="J753" s="1018" t="n">
        <f aca="false">'Смета Внутр'!I760</f>
        <v>0</v>
      </c>
    </row>
    <row r="754" customFormat="false" ht="15" hidden="false" customHeight="true" outlineLevel="0" collapsed="false">
      <c r="B754" s="1004" t="str">
        <f aca="false">'Смета Внутр'!B761</f>
        <v>Шкант</v>
      </c>
      <c r="C754" s="1004" t="str">
        <f aca="false">'Смета Внутр'!C761</f>
        <v>шт</v>
      </c>
      <c r="D754" s="1018" t="n">
        <f aca="false">'Смета Внутр'!D761</f>
        <v>7.543536</v>
      </c>
      <c r="E754" s="1004" t="n">
        <f aca="false">'Смета Внутр'!E761</f>
        <v>6</v>
      </c>
      <c r="F754" s="1004" t="n">
        <f aca="false">'Смета Внутр'!F761</f>
        <v>0</v>
      </c>
      <c r="G754" s="1004" t="n">
        <f aca="false">IF(E754&gt;F754,E754,F754)</f>
        <v>6</v>
      </c>
      <c r="H754" s="1004" t="n">
        <f aca="false">'Смета Внутр'!G761</f>
        <v>45.261216</v>
      </c>
      <c r="I754" s="1004" t="n">
        <f aca="false">'Смета Внутр'!H761</f>
        <v>0</v>
      </c>
      <c r="J754" s="1018" t="n">
        <f aca="false">'Смета Внутр'!I761</f>
        <v>0</v>
      </c>
    </row>
    <row r="755" customFormat="false" ht="15" hidden="false" customHeight="true" outlineLevel="0" collapsed="false">
      <c r="B755" s="1004" t="str">
        <f aca="false">'Смета Внутр'!B762</f>
        <v>Лен-джут 200х5х20000 мм</v>
      </c>
      <c r="C755" s="1004" t="str">
        <f aca="false">'Смета Внутр'!C762</f>
        <v>шт</v>
      </c>
      <c r="D755" s="1018" t="n">
        <f aca="false">'Смета Внутр'!D762</f>
        <v>33</v>
      </c>
      <c r="E755" s="1004" t="n">
        <f aca="false">'Смета Внутр'!E762</f>
        <v>175</v>
      </c>
      <c r="F755" s="1004" t="n">
        <f aca="false">'Смета Внутр'!F762</f>
        <v>0</v>
      </c>
      <c r="G755" s="1004" t="n">
        <f aca="false">IF(E755&gt;F755,E755,F755)</f>
        <v>175</v>
      </c>
      <c r="H755" s="1004" t="n">
        <f aca="false">'Смета Внутр'!G762</f>
        <v>5775</v>
      </c>
      <c r="I755" s="1004" t="n">
        <f aca="false">'Смета Внутр'!H762</f>
        <v>0</v>
      </c>
      <c r="J755" s="1018" t="n">
        <f aca="false">'Смета Внутр'!I762</f>
        <v>0</v>
      </c>
    </row>
    <row r="756" customFormat="false" ht="15" hidden="false" customHeight="true" outlineLevel="0" collapsed="false">
      <c r="B756" s="1004" t="str">
        <f aca="false">'Смета Внутр'!B763</f>
        <v>Гвозди ершоные 2,8 х 90</v>
      </c>
      <c r="C756" s="1004" t="str">
        <f aca="false">'Смета Внутр'!C763</f>
        <v>шт</v>
      </c>
      <c r="D756" s="1018" t="n">
        <f aca="false">'Смета Внутр'!D763</f>
        <v>4.84</v>
      </c>
      <c r="E756" s="1004" t="n">
        <f aca="false">'Смета Внутр'!E763</f>
        <v>76.49</v>
      </c>
      <c r="F756" s="1004" t="n">
        <f aca="false">'Смета Внутр'!F763</f>
        <v>0</v>
      </c>
      <c r="G756" s="1004" t="n">
        <f aca="false">IF(E756&gt;F756,E756,F756)</f>
        <v>76.49</v>
      </c>
      <c r="H756" s="1004" t="n">
        <f aca="false">'Смета Внутр'!G763</f>
        <v>370.2116</v>
      </c>
      <c r="I756" s="1004" t="n">
        <f aca="false">'Смета Внутр'!H763</f>
        <v>0</v>
      </c>
      <c r="J756" s="1018" t="n">
        <f aca="false">'Смета Внутр'!I763</f>
        <v>0</v>
      </c>
    </row>
    <row r="757" customFormat="false" ht="15" hidden="false" customHeight="true" outlineLevel="0" collapsed="false">
      <c r="B757" s="1004" t="str">
        <f aca="false">'Смета Внутр'!B764</f>
        <v>нет</v>
      </c>
      <c r="C757" s="1004" t="str">
        <f aca="false">'Смета Внутр'!C764</f>
        <v>м3</v>
      </c>
      <c r="D757" s="1018" t="n">
        <f aca="false">'Смета Внутр'!D764</f>
        <v>0</v>
      </c>
      <c r="E757" s="1004" t="n">
        <f aca="false">'Смета Внутр'!E764</f>
        <v>0</v>
      </c>
      <c r="F757" s="1004" t="n">
        <f aca="false">'Смета Внутр'!F764</f>
        <v>0</v>
      </c>
      <c r="G757" s="1004" t="n">
        <f aca="false">IF(E757&gt;F757,E757,F757)</f>
        <v>0</v>
      </c>
      <c r="H757" s="1004" t="n">
        <f aca="false">'Смета Внутр'!G764</f>
        <v>0</v>
      </c>
      <c r="I757" s="1004" t="n">
        <f aca="false">'Смета Внутр'!H764</f>
        <v>0</v>
      </c>
      <c r="J757" s="1018" t="n">
        <f aca="false">'Смета Внутр'!I764</f>
        <v>0</v>
      </c>
    </row>
    <row r="758" customFormat="false" ht="15" hidden="false" customHeight="true" outlineLevel="0" collapsed="false">
      <c r="B758" s="1004" t="str">
        <f aca="false">'Смета Внутр'!B765</f>
        <v>Доска сухая, 100*50мм</v>
      </c>
      <c r="C758" s="1004" t="str">
        <f aca="false">'Смета Внутр'!C765</f>
        <v>м3</v>
      </c>
      <c r="D758" s="1018" t="n">
        <f aca="false">'Смета Внутр'!D765</f>
        <v>0</v>
      </c>
      <c r="E758" s="1004" t="n">
        <f aca="false">'Смета Внутр'!E765</f>
        <v>9000</v>
      </c>
      <c r="F758" s="1004" t="n">
        <f aca="false">'Смета Внутр'!F765</f>
        <v>0</v>
      </c>
      <c r="G758" s="1004" t="n">
        <f aca="false">IF(E758&gt;F758,E758,F758)</f>
        <v>9000</v>
      </c>
      <c r="H758" s="1004" t="n">
        <f aca="false">'Смета Внутр'!G765</f>
        <v>0</v>
      </c>
      <c r="I758" s="1004" t="n">
        <f aca="false">'Смета Внутр'!H765</f>
        <v>0</v>
      </c>
      <c r="J758" s="1018" t="n">
        <f aca="false">'Смета Внутр'!I765</f>
        <v>0</v>
      </c>
    </row>
    <row r="759" customFormat="false" ht="15" hidden="false" customHeight="true" outlineLevel="0" collapsed="false">
      <c r="B759" s="1004" t="str">
        <f aca="false">'Смета Внутр'!B766</f>
        <v>Доска сухая калиброванная, 100*45мм</v>
      </c>
      <c r="C759" s="1004" t="str">
        <f aca="false">'Смета Внутр'!C766</f>
        <v>м3</v>
      </c>
      <c r="D759" s="1018" t="n">
        <f aca="false">'Смета Внутр'!D766</f>
        <v>0</v>
      </c>
      <c r="E759" s="1004" t="n">
        <f aca="false">'Смета Внутр'!E766</f>
        <v>12500</v>
      </c>
      <c r="F759" s="1004" t="n">
        <f aca="false">'Смета Внутр'!F766</f>
        <v>0</v>
      </c>
      <c r="G759" s="1004" t="n">
        <f aca="false">IF(E759&gt;F759,E759,F759)</f>
        <v>12500</v>
      </c>
      <c r="H759" s="1004" t="n">
        <f aca="false">'Смета Внутр'!G766</f>
        <v>0</v>
      </c>
      <c r="I759" s="1004" t="n">
        <f aca="false">'Смета Внутр'!H766</f>
        <v>0</v>
      </c>
      <c r="J759" s="1018" t="n">
        <f aca="false">'Смета Внутр'!I766</f>
        <v>0</v>
      </c>
    </row>
    <row r="760" customFormat="false" ht="15" hidden="false" customHeight="true" outlineLevel="0" collapsed="false">
      <c r="B760" s="1004" t="str">
        <f aca="false">'Смета Внутр'!B767</f>
        <v>Сосна влаж, 50*50мм</v>
      </c>
      <c r="C760" s="1004" t="str">
        <f aca="false">'Смета Внутр'!C767</f>
        <v>м.п.</v>
      </c>
      <c r="D760" s="1018" t="n">
        <f aca="false">'Смета Внутр'!D767</f>
        <v>0</v>
      </c>
      <c r="E760" s="1004" t="n">
        <f aca="false">'Смета Внутр'!E767</f>
        <v>16.25</v>
      </c>
      <c r="F760" s="1004" t="n">
        <f aca="false">'Смета Внутр'!F767</f>
        <v>0</v>
      </c>
      <c r="G760" s="1004" t="n">
        <f aca="false">IF(E760&gt;F760,E760,F760)</f>
        <v>16.25</v>
      </c>
      <c r="H760" s="1004" t="n">
        <f aca="false">'Смета Внутр'!G767</f>
        <v>0</v>
      </c>
      <c r="I760" s="1004" t="n">
        <f aca="false">'Смета Внутр'!H767</f>
        <v>0</v>
      </c>
      <c r="J760" s="1018" t="n">
        <f aca="false">'Смета Внутр'!I767</f>
        <v>0</v>
      </c>
    </row>
    <row r="761" customFormat="false" ht="15" hidden="false" customHeight="true" outlineLevel="0" collapsed="false">
      <c r="B761" s="1004" t="str">
        <f aca="false">'Смета Внутр'!B768</f>
        <v>Бензин для пилы</v>
      </c>
      <c r="C761" s="1004" t="str">
        <f aca="false">'Смета Внутр'!C768</f>
        <v>л</v>
      </c>
      <c r="D761" s="1018" t="n">
        <f aca="false">'Смета Внутр'!D768</f>
        <v>5.6037696</v>
      </c>
      <c r="E761" s="1004" t="n">
        <f aca="false">'Смета Внутр'!E768</f>
        <v>40</v>
      </c>
      <c r="F761" s="1004" t="n">
        <f aca="false">'Смета Внутр'!F768</f>
        <v>0</v>
      </c>
      <c r="G761" s="1004" t="n">
        <f aca="false">IF(E761&gt;F761,E761,F761)</f>
        <v>40</v>
      </c>
      <c r="H761" s="1004" t="n">
        <f aca="false">'Смета Внутр'!G768</f>
        <v>224.150784</v>
      </c>
      <c r="I761" s="1004" t="n">
        <f aca="false">'Смета Внутр'!H768</f>
        <v>0</v>
      </c>
      <c r="J761" s="1018" t="n">
        <f aca="false">'Смета Внутр'!I768</f>
        <v>0</v>
      </c>
    </row>
    <row r="762" customFormat="false" ht="15" hidden="false" customHeight="true" outlineLevel="0" collapsed="false">
      <c r="B762" s="1004" t="str">
        <f aca="false">'Смета Внутр'!B769</f>
        <v>Масло для пилы</v>
      </c>
      <c r="C762" s="1004" t="str">
        <f aca="false">'Смета Внутр'!C769</f>
        <v>л</v>
      </c>
      <c r="D762" s="1018" t="n">
        <f aca="false">'Смета Внутр'!D769</f>
        <v>0.28018848</v>
      </c>
      <c r="E762" s="1004" t="n">
        <f aca="false">'Смета Внутр'!E769</f>
        <v>250</v>
      </c>
      <c r="F762" s="1004" t="n">
        <f aca="false">'Смета Внутр'!F769</f>
        <v>0</v>
      </c>
      <c r="G762" s="1004" t="n">
        <f aca="false">IF(E762&gt;F762,E762,F762)</f>
        <v>250</v>
      </c>
      <c r="H762" s="1004" t="n">
        <f aca="false">'Смета Внутр'!G769</f>
        <v>70.04712</v>
      </c>
      <c r="I762" s="1004" t="n">
        <f aca="false">'Смета Внутр'!H769</f>
        <v>0</v>
      </c>
      <c r="J762" s="1018" t="n">
        <f aca="false">'Смета Внутр'!I769</f>
        <v>0</v>
      </c>
    </row>
    <row r="763" customFormat="false" ht="15" hidden="false" customHeight="true" outlineLevel="0" collapsed="false">
      <c r="B763" s="1004" t="str">
        <f aca="false">'Смета Внутр'!B770</f>
        <v>Цепь для пилы</v>
      </c>
      <c r="C763" s="1004" t="str">
        <f aca="false">'Смета Внутр'!C770</f>
        <v>шт</v>
      </c>
      <c r="D763" s="1018" t="n">
        <f aca="false">'Смета Внутр'!D770</f>
        <v>3</v>
      </c>
      <c r="E763" s="1004" t="n">
        <f aca="false">'Смета Внутр'!E770</f>
        <v>800</v>
      </c>
      <c r="F763" s="1004" t="n">
        <f aca="false">'Смета Внутр'!F770</f>
        <v>0</v>
      </c>
      <c r="G763" s="1004" t="n">
        <f aca="false">IF(E763&gt;F763,E763,F763)</f>
        <v>800</v>
      </c>
      <c r="H763" s="1004" t="n">
        <f aca="false">'Смета Внутр'!G770</f>
        <v>2400</v>
      </c>
      <c r="I763" s="1004" t="n">
        <f aca="false">'Смета Внутр'!H770</f>
        <v>0</v>
      </c>
      <c r="J763" s="1018" t="n">
        <f aca="false">'Смета Внутр'!I770</f>
        <v>0</v>
      </c>
    </row>
    <row r="764" customFormat="false" ht="15" hidden="false" customHeight="true" outlineLevel="0" collapsed="false">
      <c r="B764" s="1004" t="str">
        <f aca="false">'Смета Внутр'!B771</f>
        <v>"Профилюкс" Антисептик АНТИПЛЕСЕНЬ</v>
      </c>
      <c r="C764" s="1004" t="str">
        <f aca="false">'Смета Внутр'!C771</f>
        <v>л</v>
      </c>
      <c r="D764" s="1018" t="n">
        <f aca="false">'Смета Внутр'!D771</f>
        <v>39.1872</v>
      </c>
      <c r="E764" s="1004" t="n">
        <f aca="false">'Смета Внутр'!E771</f>
        <v>108</v>
      </c>
      <c r="F764" s="1004" t="n">
        <f aca="false">'Смета Внутр'!F771</f>
        <v>0</v>
      </c>
      <c r="G764" s="1004" t="n">
        <f aca="false">IF(E764&gt;F764,E764,F764)</f>
        <v>108</v>
      </c>
      <c r="H764" s="1004" t="n">
        <f aca="false">'Смета Внутр'!G771</f>
        <v>4232.2176</v>
      </c>
      <c r="I764" s="1004" t="n">
        <f aca="false">'Смета Внутр'!H771</f>
        <v>0</v>
      </c>
      <c r="J764" s="1018" t="n">
        <f aca="false">'Смета Внутр'!I771</f>
        <v>0</v>
      </c>
    </row>
    <row r="765" customFormat="false" ht="15" hidden="false" customHeight="true" outlineLevel="0" collapsed="false">
      <c r="B765" s="1004" t="str">
        <f aca="false">'Смета Внутр'!B772</f>
        <v>"Тонерол" Антисептик  бесцветный  1л</v>
      </c>
      <c r="C765" s="1004" t="str">
        <f aca="false">'Смета Внутр'!C772</f>
        <v>л</v>
      </c>
      <c r="D765" s="1018" t="n">
        <f aca="false">'Смета Внутр'!D772</f>
        <v>23.51232</v>
      </c>
      <c r="E765" s="1004" t="n">
        <f aca="false">'Смета Внутр'!E772</f>
        <v>305</v>
      </c>
      <c r="F765" s="1004" t="n">
        <f aca="false">'Смета Внутр'!F772</f>
        <v>0</v>
      </c>
      <c r="G765" s="1004" t="n">
        <f aca="false">IF(E765&gt;F765,E765,F765)</f>
        <v>305</v>
      </c>
      <c r="H765" s="1004" t="n">
        <f aca="false">'Смета Внутр'!G772</f>
        <v>7171.2576</v>
      </c>
      <c r="I765" s="1004" t="n">
        <f aca="false">'Смета Внутр'!H772</f>
        <v>0</v>
      </c>
      <c r="J765" s="1018" t="n">
        <f aca="false">'Смета Внутр'!I772</f>
        <v>0</v>
      </c>
    </row>
    <row r="766" customFormat="false" ht="15" hidden="false" customHeight="true" outlineLevel="0" collapsed="false">
      <c r="B766" s="1004" t="str">
        <f aca="false">'Смета Внутр'!B773</f>
        <v>"Тонерол" Антисептик  махагон  1л</v>
      </c>
      <c r="C766" s="1004" t="str">
        <f aca="false">'Смета Внутр'!C773</f>
        <v>л</v>
      </c>
      <c r="D766" s="1018" t="n">
        <f aca="false">'Смета Внутр'!D773</f>
        <v>23.51232</v>
      </c>
      <c r="E766" s="1004" t="n">
        <f aca="false">'Смета Внутр'!E773</f>
        <v>305</v>
      </c>
      <c r="F766" s="1004" t="n">
        <f aca="false">'Смета Внутр'!F773</f>
        <v>0</v>
      </c>
      <c r="G766" s="1004" t="n">
        <f aca="false">IF(E766&gt;F766,E766,F766)</f>
        <v>305</v>
      </c>
      <c r="H766" s="1004" t="n">
        <f aca="false">'Смета Внутр'!G773</f>
        <v>7171.2576</v>
      </c>
      <c r="I766" s="1004" t="n">
        <f aca="false">'Смета Внутр'!H773</f>
        <v>0</v>
      </c>
      <c r="J766" s="1018" t="n">
        <f aca="false">'Смета Внутр'!I773</f>
        <v>0</v>
      </c>
    </row>
    <row r="767" customFormat="false" ht="15" hidden="false" customHeight="true" outlineLevel="0" collapsed="false">
      <c r="B767" s="1004" t="str">
        <f aca="false">'Смета Внутр'!B774</f>
        <v>Нет наличника</v>
      </c>
      <c r="C767" s="1004" t="str">
        <f aca="false">'Смета Внутр'!C774</f>
        <v>м.п.</v>
      </c>
      <c r="D767" s="1018" t="n">
        <f aca="false">'Смета Внутр'!D774</f>
        <v>3.57</v>
      </c>
      <c r="E767" s="1004" t="n">
        <f aca="false">'Смета Внутр'!E774</f>
        <v>0</v>
      </c>
      <c r="F767" s="1004" t="n">
        <f aca="false">'Смета Внутр'!F774</f>
        <v>0</v>
      </c>
      <c r="G767" s="1004" t="n">
        <f aca="false">IF(E767&gt;F767,E767,F767)</f>
        <v>0</v>
      </c>
      <c r="H767" s="1004" t="n">
        <f aca="false">'Смета Внутр'!G774</f>
        <v>0</v>
      </c>
      <c r="I767" s="1004" t="n">
        <f aca="false">'Смета Внутр'!H774</f>
        <v>0</v>
      </c>
      <c r="J767" s="1018" t="n">
        <f aca="false">'Смета Внутр'!I774</f>
        <v>0</v>
      </c>
    </row>
    <row r="768" customFormat="false" ht="15" hidden="false" customHeight="true" outlineLevel="0" collapsed="false">
      <c r="B768" s="1004" t="str">
        <f aca="false">'Смета Внутр'!B775</f>
        <v>Нет наличника</v>
      </c>
      <c r="C768" s="1004" t="str">
        <f aca="false">'Смета Внутр'!C775</f>
        <v>м.п.</v>
      </c>
      <c r="D768" s="1018" t="n">
        <f aca="false">'Смета Внутр'!D775</f>
        <v>3.57</v>
      </c>
      <c r="E768" s="1004" t="n">
        <f aca="false">'Смета Внутр'!E775</f>
        <v>0</v>
      </c>
      <c r="F768" s="1004" t="n">
        <f aca="false">'Смета Внутр'!F775</f>
        <v>0</v>
      </c>
      <c r="G768" s="1004" t="n">
        <f aca="false">IF(E768&gt;F768,E768,F768)</f>
        <v>0</v>
      </c>
      <c r="H768" s="1004" t="n">
        <f aca="false">'Смета Внутр'!G775</f>
        <v>0</v>
      </c>
      <c r="I768" s="1004" t="n">
        <f aca="false">'Смета Внутр'!H775</f>
        <v>0</v>
      </c>
      <c r="J768" s="1018" t="n">
        <f aca="false">'Смета Внутр'!I775</f>
        <v>0</v>
      </c>
    </row>
    <row r="769" customFormat="false" ht="15" hidden="false" customHeight="true" outlineLevel="0" collapsed="false">
      <c r="B769" s="1004" t="str">
        <f aca="false">'Смета Внутр'!B776</f>
        <v>Бумага наждачная № 63 F(30)</v>
      </c>
      <c r="C769" s="1004" t="str">
        <f aca="false">'Смета Внутр'!C776</f>
        <v>м</v>
      </c>
      <c r="D769" s="1018" t="n">
        <f aca="false">'Смета Внутр'!D776</f>
        <v>5</v>
      </c>
      <c r="E769" s="1004" t="n">
        <f aca="false">'Смета Внутр'!E776</f>
        <v>291</v>
      </c>
      <c r="F769" s="1004" t="n">
        <f aca="false">'Смета Внутр'!F776</f>
        <v>0</v>
      </c>
      <c r="G769" s="1004" t="n">
        <f aca="false">IF(E769&gt;F769,E769,F769)</f>
        <v>291</v>
      </c>
      <c r="H769" s="1004" t="n">
        <f aca="false">'Смета Внутр'!G776</f>
        <v>1455</v>
      </c>
      <c r="I769" s="1004" t="n">
        <f aca="false">'Смета Внутр'!H776</f>
        <v>0</v>
      </c>
      <c r="J769" s="1018" t="n">
        <f aca="false">'Смета Внутр'!I776</f>
        <v>0</v>
      </c>
    </row>
    <row r="770" customFormat="false" ht="15" hidden="false" customHeight="true" outlineLevel="0" collapsed="false">
      <c r="B770" s="1004" t="str">
        <f aca="false">'Смета Внутр'!B777</f>
        <v>Нет наждачной бумаги</v>
      </c>
      <c r="C770" s="1004" t="str">
        <f aca="false">'Смета Внутр'!C777</f>
        <v>м</v>
      </c>
      <c r="D770" s="1018" t="n">
        <f aca="false">'Смета Внутр'!D777</f>
        <v>0</v>
      </c>
      <c r="E770" s="1004" t="n">
        <f aca="false">'Смета Внутр'!E777</f>
        <v>0</v>
      </c>
      <c r="F770" s="1004" t="n">
        <f aca="false">'Смета Внутр'!F777</f>
        <v>0</v>
      </c>
      <c r="G770" s="1004" t="n">
        <f aca="false">IF(E770&gt;F770,E770,F770)</f>
        <v>0</v>
      </c>
      <c r="H770" s="1004" t="n">
        <f aca="false">'Смета Внутр'!G777</f>
        <v>0</v>
      </c>
      <c r="I770" s="1004" t="n">
        <f aca="false">'Смета Внутр'!H777</f>
        <v>0</v>
      </c>
      <c r="J770" s="1018" t="n">
        <f aca="false">'Смета Внутр'!I777</f>
        <v>0</v>
      </c>
    </row>
    <row r="771" customFormat="false" ht="15" hidden="false" customHeight="true" outlineLevel="0" collapsed="false">
      <c r="B771" s="1004" t="str">
        <f aca="false">'Смета Внутр'!B778</f>
        <v>Бумага наждачная № 63 F(30)</v>
      </c>
      <c r="C771" s="1004" t="str">
        <f aca="false">'Смета Внутр'!C778</f>
        <v>м</v>
      </c>
      <c r="D771" s="1018" t="n">
        <f aca="false">'Смета Внутр'!D778</f>
        <v>0</v>
      </c>
      <c r="E771" s="1004" t="n">
        <f aca="false">'Смета Внутр'!E778</f>
        <v>291</v>
      </c>
      <c r="F771" s="1004" t="n">
        <f aca="false">'Смета Внутр'!F778</f>
        <v>0</v>
      </c>
      <c r="G771" s="1004" t="n">
        <f aca="false">IF(E771&gt;F771,E771,F771)</f>
        <v>291</v>
      </c>
      <c r="H771" s="1004" t="n">
        <f aca="false">'Смета Внутр'!G778</f>
        <v>0</v>
      </c>
      <c r="I771" s="1004" t="n">
        <f aca="false">'Смета Внутр'!H778</f>
        <v>0</v>
      </c>
      <c r="J771" s="1018" t="n">
        <f aca="false">'Смета Внутр'!I778</f>
        <v>0</v>
      </c>
    </row>
    <row r="772" customFormat="false" ht="15" hidden="false" customHeight="true" outlineLevel="0" collapsed="false">
      <c r="B772" s="1004" t="str">
        <f aca="false">'Смета Внутр'!B779</f>
        <v>Бумага наждачная № 40</v>
      </c>
      <c r="C772" s="1004" t="str">
        <f aca="false">'Смета Внутр'!C779</f>
        <v>м</v>
      </c>
      <c r="D772" s="1018" t="n">
        <f aca="false">'Смета Внутр'!D779</f>
        <v>0</v>
      </c>
      <c r="E772" s="1004" t="n">
        <f aca="false">'Смета Внутр'!E779</f>
        <v>240</v>
      </c>
      <c r="F772" s="1004" t="n">
        <f aca="false">'Смета Внутр'!F779</f>
        <v>0</v>
      </c>
      <c r="G772" s="1004" t="n">
        <f aca="false">IF(E772&gt;F772,E772,F772)</f>
        <v>240</v>
      </c>
      <c r="H772" s="1004" t="n">
        <f aca="false">'Смета Внутр'!G779</f>
        <v>0</v>
      </c>
      <c r="I772" s="1004" t="n">
        <f aca="false">'Смета Внутр'!H779</f>
        <v>0</v>
      </c>
      <c r="J772" s="1018" t="n">
        <f aca="false">'Смета Внутр'!I779</f>
        <v>0</v>
      </c>
    </row>
    <row r="773" customFormat="false" ht="14.5" hidden="false" customHeight="false" outlineLevel="0" collapsed="false">
      <c r="B773" s="2927" t="str">
        <f aca="false">'Смета Внутр'!B780</f>
        <v>Итого материалы</v>
      </c>
      <c r="C773" s="2927"/>
      <c r="D773" s="2927"/>
      <c r="E773" s="2927"/>
      <c r="F773" s="2927"/>
      <c r="G773" s="2927"/>
      <c r="H773" s="1004" t="n">
        <f aca="false">'Смета Внутр'!G780</f>
        <v>0</v>
      </c>
      <c r="I773" s="1004" t="n">
        <f aca="false">'Смета Внутр'!H780</f>
        <v>0</v>
      </c>
      <c r="J773" s="1018" t="n">
        <f aca="false">'Смета Внутр'!I780</f>
        <v>0</v>
      </c>
    </row>
    <row r="774" customFormat="false" ht="15" hidden="false" customHeight="true" outlineLevel="0" collapsed="false">
      <c r="B774" s="2881" t="str">
        <f aca="false">'Смета Внутр'!B781</f>
        <v>Работы</v>
      </c>
      <c r="D774" s="919"/>
      <c r="H774" s="0" t="n">
        <f aca="false">'Смета Внутр'!G781</f>
        <v>0</v>
      </c>
      <c r="I774" s="0" t="n">
        <f aca="false">'Смета Внутр'!H781</f>
        <v>0</v>
      </c>
      <c r="J774" s="2926" t="n">
        <f aca="false">'Смета Внутр'!I781</f>
        <v>0</v>
      </c>
    </row>
    <row r="775" customFormat="false" ht="15" hidden="false" customHeight="true" outlineLevel="0" collapsed="false">
      <c r="B775" s="1004" t="str">
        <f aca="false">'Смета Внутр'!B782</f>
        <v>кладка Дикого леса</v>
      </c>
      <c r="C775" s="1004" t="str">
        <f aca="false">'Смета Внутр'!C782</f>
        <v>м3</v>
      </c>
      <c r="D775" s="1018" t="n">
        <f aca="false">'Смета Внутр'!D782</f>
        <v>28.018848</v>
      </c>
      <c r="E775" s="1004" t="n">
        <f aca="false">'Смета Внутр'!E782</f>
        <v>6000</v>
      </c>
      <c r="F775" s="1004" t="n">
        <f aca="false">'Смета Внутр'!F782</f>
        <v>0</v>
      </c>
      <c r="G775" s="1004" t="n">
        <f aca="false">IF(E775&gt;F775,E775,F775)</f>
        <v>6000</v>
      </c>
      <c r="H775" s="1004" t="n">
        <f aca="false">'Смета Внутр'!G782</f>
        <v>168113.088</v>
      </c>
      <c r="I775" s="1004" t="n">
        <f aca="false">'Смета Внутр'!H782</f>
        <v>0</v>
      </c>
      <c r="J775" s="1018" t="n">
        <f aca="false">'Смета Внутр'!I782</f>
        <v>0</v>
      </c>
    </row>
    <row r="776" customFormat="false" ht="15" hidden="false" customHeight="true" outlineLevel="0" collapsed="false">
      <c r="B776" s="1004" t="str">
        <f aca="false">'Смета Внутр'!B783</f>
        <v>окосячка проемов, м.п.</v>
      </c>
      <c r="C776" s="1004" t="str">
        <f aca="false">'Смета Внутр'!C783</f>
        <v>м.п.</v>
      </c>
      <c r="D776" s="1018" t="n">
        <f aca="false">'Смета Внутр'!D783</f>
        <v>0</v>
      </c>
      <c r="E776" s="1004" t="n">
        <f aca="false">'Смета Внутр'!E783</f>
        <v>150</v>
      </c>
      <c r="F776" s="1004" t="n">
        <f aca="false">'Смета Внутр'!F783</f>
        <v>0</v>
      </c>
      <c r="G776" s="1004" t="n">
        <f aca="false">IF(E776&gt;F776,E776,F776)</f>
        <v>150</v>
      </c>
      <c r="H776" s="1004" t="n">
        <f aca="false">'Смета Внутр'!G783</f>
        <v>0</v>
      </c>
      <c r="I776" s="1004" t="n">
        <f aca="false">'Смета Внутр'!H783</f>
        <v>0</v>
      </c>
      <c r="J776" s="1018" t="n">
        <f aca="false">'Смета Внутр'!I783</f>
        <v>0</v>
      </c>
    </row>
    <row r="777" customFormat="false" ht="15" hidden="false" customHeight="true" outlineLevel="0" collapsed="false">
      <c r="B777" s="1004" t="str">
        <f aca="false">'Смета Внутр'!B784</f>
        <v>обработка торцов на брусе</v>
      </c>
      <c r="C777" s="1004" t="str">
        <f aca="false">'Смета Внутр'!C784</f>
        <v>м.п.</v>
      </c>
      <c r="D777" s="1018" t="n">
        <f aca="false">'Смета Внутр'!D784</f>
        <v>14.4</v>
      </c>
      <c r="E777" s="1004" t="n">
        <f aca="false">'Смета Внутр'!E784</f>
        <v>250</v>
      </c>
      <c r="F777" s="1004" t="n">
        <f aca="false">'Смета Внутр'!F784</f>
        <v>0</v>
      </c>
      <c r="G777" s="1004" t="n">
        <f aca="false">IF(E777&gt;F777,E777,F777)</f>
        <v>250</v>
      </c>
      <c r="H777" s="1004" t="n">
        <f aca="false">'Смета Внутр'!G784</f>
        <v>3600</v>
      </c>
      <c r="I777" s="1004" t="n">
        <f aca="false">'Смета Внутр'!H784</f>
        <v>0</v>
      </c>
      <c r="J777" s="1018" t="n">
        <f aca="false">'Смета Внутр'!I784</f>
        <v>0</v>
      </c>
    </row>
    <row r="778" customFormat="false" ht="15" hidden="false" customHeight="true" outlineLevel="0" collapsed="false">
      <c r="B778" s="1004" t="str">
        <f aca="false">'Смета Внутр'!B785</f>
        <v>Обаботка огнебиозащитой</v>
      </c>
      <c r="C778" s="1004" t="str">
        <f aca="false">'Смета Внутр'!C785</f>
        <v>м.п.</v>
      </c>
      <c r="D778" s="1018" t="n">
        <f aca="false">'Смета Внутр'!D785</f>
        <v>28.018848</v>
      </c>
      <c r="E778" s="1004" t="n">
        <f aca="false">'Смета Внутр'!E785</f>
        <v>300</v>
      </c>
      <c r="F778" s="1004" t="n">
        <f aca="false">'Смета Внутр'!F785</f>
        <v>0</v>
      </c>
      <c r="G778" s="1004" t="n">
        <f aca="false">IF(E778&gt;F778,E778,F778)</f>
        <v>300</v>
      </c>
      <c r="H778" s="1004" t="n">
        <f aca="false">'Смета Внутр'!G785</f>
        <v>8405.6544</v>
      </c>
      <c r="I778" s="1004" t="n">
        <f aca="false">'Смета Внутр'!H785</f>
        <v>0</v>
      </c>
      <c r="J778" s="1018" t="n">
        <f aca="false">'Смета Внутр'!I785</f>
        <v>0</v>
      </c>
    </row>
    <row r="779" customFormat="false" ht="15" hidden="false" customHeight="true" outlineLevel="0" collapsed="false">
      <c r="B779" s="1004" t="str">
        <f aca="false">'Смета Внутр'!B786</f>
        <v>Пропитка стен внешних</v>
      </c>
      <c r="C779" s="1004" t="str">
        <f aca="false">'Смета Внутр'!C786</f>
        <v>м.п.</v>
      </c>
      <c r="D779" s="1018" t="n">
        <f aca="false">'Смета Внутр'!D786</f>
        <v>117.5616</v>
      </c>
      <c r="E779" s="1004" t="n">
        <f aca="false">'Смета Внутр'!E786</f>
        <v>100</v>
      </c>
      <c r="F779" s="1004" t="n">
        <f aca="false">'Смета Внутр'!F786</f>
        <v>0</v>
      </c>
      <c r="G779" s="1004" t="n">
        <f aca="false">IF(E779&gt;F779,E779,F779)</f>
        <v>100</v>
      </c>
      <c r="H779" s="1004" t="n">
        <f aca="false">'Смета Внутр'!G786</f>
        <v>11756.16</v>
      </c>
      <c r="I779" s="1004" t="n">
        <f aca="false">'Смета Внутр'!H786</f>
        <v>0</v>
      </c>
      <c r="J779" s="1018" t="n">
        <f aca="false">'Смета Внутр'!I786</f>
        <v>0</v>
      </c>
    </row>
    <row r="780" customFormat="false" ht="15" hidden="false" customHeight="true" outlineLevel="0" collapsed="false">
      <c r="B780" s="1004" t="str">
        <f aca="false">'Смета Внутр'!B787</f>
        <v>Пропитка внутенних стен</v>
      </c>
      <c r="C780" s="1004" t="str">
        <f aca="false">'Смета Внутр'!C787</f>
        <v>м.п.</v>
      </c>
      <c r="D780" s="1018" t="n">
        <f aca="false">'Смета Внутр'!D787</f>
        <v>117.5616</v>
      </c>
      <c r="E780" s="1004" t="n">
        <f aca="false">'Смета Внутр'!E787</f>
        <v>100</v>
      </c>
      <c r="F780" s="1004" t="n">
        <f aca="false">'Смета Внутр'!F787</f>
        <v>0</v>
      </c>
      <c r="G780" s="1004" t="n">
        <f aca="false">IF(E780&gt;F780,E780,F780)</f>
        <v>100</v>
      </c>
      <c r="H780" s="1004" t="n">
        <f aca="false">'Смета Внутр'!G787</f>
        <v>11756.16</v>
      </c>
      <c r="I780" s="1004" t="n">
        <f aca="false">'Смета Внутр'!H787</f>
        <v>0</v>
      </c>
      <c r="J780" s="1018" t="n">
        <f aca="false">'Смета Внутр'!I787</f>
        <v>0</v>
      </c>
    </row>
    <row r="781" customFormat="false" ht="15" hidden="false" customHeight="true" outlineLevel="0" collapsed="false">
      <c r="B781" s="1004" t="str">
        <f aca="false">'Смета Внутр'!B788</f>
        <v>Сверление стен для скрытой проводки</v>
      </c>
      <c r="C781" s="1004" t="str">
        <f aca="false">'Смета Внутр'!C788</f>
        <v>м.п.</v>
      </c>
      <c r="D781" s="1018" t="n">
        <f aca="false">'Смета Внутр'!D788</f>
        <v>180</v>
      </c>
      <c r="E781" s="1004" t="n">
        <f aca="false">'Смета Внутр'!E788</f>
        <v>300</v>
      </c>
      <c r="F781" s="1004" t="n">
        <f aca="false">'Смета Внутр'!F788</f>
        <v>0</v>
      </c>
      <c r="G781" s="1004" t="n">
        <f aca="false">IF(E781&gt;F781,E781,F781)</f>
        <v>300</v>
      </c>
      <c r="H781" s="1004" t="n">
        <f aca="false">'Смета Внутр'!G788</f>
        <v>54000</v>
      </c>
      <c r="I781" s="1004" t="n">
        <f aca="false">'Смета Внутр'!H788</f>
        <v>0</v>
      </c>
      <c r="J781" s="1018" t="n">
        <f aca="false">'Смета Внутр'!I788</f>
        <v>0</v>
      </c>
    </row>
    <row r="782" customFormat="false" ht="15" hidden="false" customHeight="true" outlineLevel="0" collapsed="false">
      <c r="B782" s="1004" t="str">
        <f aca="false">'Смета Внутр'!B789</f>
        <v>Монтаж наличника</v>
      </c>
      <c r="C782" s="1004" t="str">
        <f aca="false">'Смета Внутр'!C789</f>
        <v>м.п.</v>
      </c>
      <c r="D782" s="1018" t="n">
        <f aca="false">'Смета Внутр'!D789</f>
        <v>0</v>
      </c>
      <c r="E782" s="1004" t="n">
        <f aca="false">'Смета Внутр'!E789</f>
        <v>80</v>
      </c>
      <c r="F782" s="1004" t="n">
        <f aca="false">'Смета Внутр'!F789</f>
        <v>0</v>
      </c>
      <c r="G782" s="1004" t="n">
        <f aca="false">IF(E782&gt;F782,E782,F782)</f>
        <v>80</v>
      </c>
      <c r="H782" s="1004" t="n">
        <f aca="false">'Смета Внутр'!G789</f>
        <v>0</v>
      </c>
      <c r="I782" s="1004" t="n">
        <f aca="false">'Смета Внутр'!H789</f>
        <v>0</v>
      </c>
      <c r="J782" s="1018" t="n">
        <f aca="false">'Смета Внутр'!I789</f>
        <v>0</v>
      </c>
    </row>
    <row r="783" customFormat="false" ht="15" hidden="false" customHeight="true" outlineLevel="0" collapsed="false">
      <c r="B783" s="1004" t="str">
        <f aca="false">'Смета Внутр'!B790</f>
        <v>Шлифовка стен дома</v>
      </c>
      <c r="C783" s="1004" t="str">
        <f aca="false">'Смета Внутр'!C790</f>
        <v>м.п.</v>
      </c>
      <c r="D783" s="1018" t="n">
        <f aca="false">'Смета Внутр'!D790</f>
        <v>121.44</v>
      </c>
      <c r="E783" s="1004" t="n">
        <f aca="false">'Смета Внутр'!E790</f>
        <v>250</v>
      </c>
      <c r="F783" s="1004" t="n">
        <f aca="false">'Смета Внутр'!F790</f>
        <v>0</v>
      </c>
      <c r="G783" s="1004" t="n">
        <f aca="false">IF(E783&gt;F783,E783,F783)</f>
        <v>250</v>
      </c>
      <c r="H783" s="1004" t="n">
        <f aca="false">'Смета Внутр'!G790</f>
        <v>30360</v>
      </c>
      <c r="I783" s="1004" t="n">
        <f aca="false">'Смета Внутр'!H790</f>
        <v>0</v>
      </c>
      <c r="J783" s="1018" t="n">
        <f aca="false">'Смета Внутр'!I790</f>
        <v>0</v>
      </c>
    </row>
    <row r="784" customFormat="false" ht="15" hidden="false" customHeight="true" outlineLevel="0" collapsed="false">
      <c r="B784" s="2927" t="str">
        <f aca="false">'Смета Внутр'!B791</f>
        <v>Итого работы</v>
      </c>
      <c r="C784" s="2927"/>
      <c r="D784" s="2927"/>
      <c r="E784" s="2927"/>
      <c r="F784" s="2927"/>
      <c r="G784" s="2927"/>
      <c r="H784" s="1004" t="n">
        <f aca="false">'Смета Внутр'!G791</f>
        <v>0</v>
      </c>
      <c r="I784" s="1004" t="n">
        <f aca="false">'Смета Внутр'!H791</f>
        <v>0</v>
      </c>
      <c r="J784" s="1018" t="n">
        <f aca="false">'Смета Внутр'!I791</f>
        <v>0</v>
      </c>
    </row>
    <row r="785" customFormat="false" ht="15" hidden="false" customHeight="true" outlineLevel="0" collapsed="false">
      <c r="B785" s="2925" t="str">
        <f aca="false">'Смета Внутр'!B792</f>
        <v>Дом из Оцилиндрованного бревна</v>
      </c>
      <c r="C785" s="2925"/>
      <c r="D785" s="2925"/>
      <c r="H785" s="0" t="n">
        <f aca="false">'Смета Внутр'!G792</f>
        <v>0</v>
      </c>
      <c r="I785" s="0" t="n">
        <f aca="false">'Смета Внутр'!H792</f>
        <v>0</v>
      </c>
      <c r="J785" s="2926" t="n">
        <f aca="false">'Смета Внутр'!I792</f>
        <v>0</v>
      </c>
    </row>
    <row r="786" customFormat="false" ht="15" hidden="false" customHeight="true" outlineLevel="0" collapsed="false">
      <c r="B786" s="2881" t="str">
        <f aca="false">'Смета Внутр'!B793</f>
        <v>Материалы</v>
      </c>
      <c r="D786" s="919"/>
      <c r="H786" s="0" t="n">
        <f aca="false">'Смета Внутр'!G793</f>
        <v>0</v>
      </c>
      <c r="I786" s="0" t="n">
        <f aca="false">'Смета Внутр'!H793</f>
        <v>0</v>
      </c>
      <c r="J786" s="2926" t="n">
        <f aca="false">'Смета Внутр'!I793</f>
        <v>0</v>
      </c>
    </row>
    <row r="787" customFormat="false" ht="15" hidden="false" customHeight="true" outlineLevel="0" collapsed="false">
      <c r="B787" s="1004" t="str">
        <f aca="false">'Смета Внутр'!B794</f>
        <v>Оцилиндрованное бревно сосна 260мм</v>
      </c>
      <c r="C787" s="1004" t="str">
        <f aca="false">'Смета Внутр'!C794</f>
        <v>м3</v>
      </c>
      <c r="D787" s="1018" t="n">
        <f aca="false">'Смета Внутр'!D794</f>
        <v>3.72417188</v>
      </c>
      <c r="E787" s="1004" t="n">
        <f aca="false">'Смета Внутр'!E794</f>
        <v>10000</v>
      </c>
      <c r="F787" s="1004" t="n">
        <f aca="false">'Смета Внутр'!F794</f>
        <v>0</v>
      </c>
      <c r="G787" s="1004" t="n">
        <f aca="false">IF(E787&gt;F787,E787,F787)</f>
        <v>10000</v>
      </c>
      <c r="H787" s="1004" t="n">
        <f aca="false">'Смета Внутр'!G794</f>
        <v>37241.7188</v>
      </c>
      <c r="I787" s="1004" t="n">
        <f aca="false">'Смета Внутр'!H794</f>
        <v>0</v>
      </c>
      <c r="J787" s="1018" t="n">
        <f aca="false">'Смета Внутр'!I794</f>
        <v>0</v>
      </c>
    </row>
    <row r="788" customFormat="false" ht="15" hidden="false" customHeight="true" outlineLevel="0" collapsed="false">
      <c r="B788" s="1004" t="str">
        <f aca="false">'Смета Внутр'!B795</f>
        <v>Оцилиндрованное бревно сосна 260мм</v>
      </c>
      <c r="C788" s="1004" t="str">
        <f aca="false">'Смета Внутр'!C795</f>
        <v>м3</v>
      </c>
      <c r="D788" s="1018" t="n">
        <f aca="false">'Смета Внутр'!D795</f>
        <v>24.29467612</v>
      </c>
      <c r="E788" s="1004" t="n">
        <f aca="false">'Смета Внутр'!E795</f>
        <v>8500</v>
      </c>
      <c r="F788" s="1004" t="n">
        <f aca="false">'Смета Внутр'!F795</f>
        <v>0</v>
      </c>
      <c r="G788" s="1004" t="n">
        <f aca="false">IF(E788&gt;F788,E788,F788)</f>
        <v>8500</v>
      </c>
      <c r="H788" s="1004" t="n">
        <f aca="false">'Смета Внутр'!G795</f>
        <v>206504.74702</v>
      </c>
      <c r="I788" s="1004" t="n">
        <f aca="false">'Смета Внутр'!H795</f>
        <v>0</v>
      </c>
      <c r="J788" s="1018" t="n">
        <f aca="false">'Смета Внутр'!I795</f>
        <v>0</v>
      </c>
    </row>
    <row r="789" customFormat="false" ht="15" hidden="false" customHeight="true" outlineLevel="0" collapsed="false">
      <c r="B789" s="1004" t="str">
        <f aca="false">'Смета Внутр'!B796</f>
        <v>Оцилиндрованное бревно сосна 200мм</v>
      </c>
      <c r="C789" s="1004" t="str">
        <f aca="false">'Смета Внутр'!C796</f>
        <v>м3</v>
      </c>
      <c r="D789" s="1018" t="n">
        <f aca="false">'Смета Внутр'!D796</f>
        <v>0</v>
      </c>
      <c r="E789" s="1004" t="n">
        <f aca="false">'Смета Внутр'!E796</f>
        <v>8000</v>
      </c>
      <c r="F789" s="1004" t="n">
        <f aca="false">'Смета Внутр'!F796</f>
        <v>0</v>
      </c>
      <c r="G789" s="1004" t="n">
        <f aca="false">IF(E789&gt;F789,E789,F789)</f>
        <v>8000</v>
      </c>
      <c r="H789" s="1004" t="n">
        <f aca="false">'Смета Внутр'!G796</f>
        <v>0</v>
      </c>
      <c r="I789" s="1004" t="n">
        <f aca="false">'Смета Внутр'!H796</f>
        <v>0</v>
      </c>
      <c r="J789" s="1018" t="n">
        <f aca="false">'Смета Внутр'!I796</f>
        <v>0</v>
      </c>
    </row>
    <row r="790" customFormat="false" ht="15" hidden="false" customHeight="true" outlineLevel="0" collapsed="false">
      <c r="B790" s="1004" t="str">
        <f aca="false">'Смета Внутр'!B797</f>
        <v>Оцилиндрованное бревно сосна 200мм</v>
      </c>
      <c r="C790" s="1004" t="str">
        <f aca="false">'Смета Внутр'!C797</f>
        <v>м2</v>
      </c>
      <c r="D790" s="1018" t="n">
        <f aca="false">'Смета Внутр'!D797</f>
        <v>0</v>
      </c>
      <c r="E790" s="1004" t="n">
        <f aca="false">'Смета Внутр'!E797</f>
        <v>8000</v>
      </c>
      <c r="F790" s="1004" t="n">
        <f aca="false">'Смета Внутр'!F797</f>
        <v>0</v>
      </c>
      <c r="G790" s="1004" t="n">
        <f aca="false">IF(E790&gt;F790,E790,F790)</f>
        <v>8000</v>
      </c>
      <c r="H790" s="1004" t="n">
        <f aca="false">'Смета Внутр'!G797</f>
        <v>0</v>
      </c>
      <c r="I790" s="1004" t="n">
        <f aca="false">'Смета Внутр'!H797</f>
        <v>0</v>
      </c>
      <c r="J790" s="1018" t="n">
        <f aca="false">'Смета Внутр'!I797</f>
        <v>0</v>
      </c>
    </row>
    <row r="791" customFormat="false" ht="15" hidden="false" customHeight="true" outlineLevel="0" collapsed="false">
      <c r="B791" s="1004" t="str">
        <f aca="false">'Смета Внутр'!B798</f>
        <v>Шкант</v>
      </c>
      <c r="C791" s="1004" t="str">
        <f aca="false">'Смета Внутр'!C798</f>
        <v>шт</v>
      </c>
      <c r="D791" s="1018" t="n">
        <f aca="false">'Смета Внутр'!D798</f>
        <v>617</v>
      </c>
      <c r="E791" s="1004" t="n">
        <f aca="false">'Смета Внутр'!E798</f>
        <v>6</v>
      </c>
      <c r="F791" s="1004" t="n">
        <f aca="false">'Смета Внутр'!F798</f>
        <v>0</v>
      </c>
      <c r="G791" s="1004" t="n">
        <f aca="false">IF(E791&gt;F791,E791,F791)</f>
        <v>6</v>
      </c>
      <c r="H791" s="1004" t="n">
        <f aca="false">'Смета Внутр'!G798</f>
        <v>3702</v>
      </c>
      <c r="I791" s="1004" t="n">
        <f aca="false">'Смета Внутр'!H798</f>
        <v>0</v>
      </c>
      <c r="J791" s="1018" t="n">
        <f aca="false">'Смета Внутр'!I798</f>
        <v>0</v>
      </c>
    </row>
    <row r="792" customFormat="false" ht="15" hidden="false" customHeight="true" outlineLevel="0" collapsed="false">
      <c r="B792" s="1004" t="str">
        <f aca="false">'Смета Внутр'!B799</f>
        <v>Лен-джут 200х5х20000 мм</v>
      </c>
      <c r="C792" s="1004" t="str">
        <f aca="false">'Смета Внутр'!C799</f>
        <v>шт</v>
      </c>
      <c r="D792" s="1018" t="n">
        <f aca="false">'Смета Внутр'!D799</f>
        <v>33</v>
      </c>
      <c r="E792" s="1004" t="n">
        <f aca="false">'Смета Внутр'!E799</f>
        <v>175</v>
      </c>
      <c r="F792" s="1004" t="n">
        <f aca="false">'Смета Внутр'!F799</f>
        <v>0</v>
      </c>
      <c r="G792" s="1004" t="n">
        <f aca="false">IF(E792&gt;F792,E792,F792)</f>
        <v>175</v>
      </c>
      <c r="H792" s="1004" t="n">
        <f aca="false">'Смета Внутр'!G799</f>
        <v>5775</v>
      </c>
      <c r="I792" s="1004" t="n">
        <f aca="false">'Смета Внутр'!H799</f>
        <v>0</v>
      </c>
      <c r="J792" s="1018" t="n">
        <f aca="false">'Смета Внутр'!I799</f>
        <v>0</v>
      </c>
    </row>
    <row r="793" customFormat="false" ht="15" hidden="false" customHeight="true" outlineLevel="0" collapsed="false">
      <c r="B793" s="1004" t="str">
        <f aca="false">'Смета Внутр'!B800</f>
        <v>Гвозди ершоные 2,8 х 90</v>
      </c>
      <c r="C793" s="1004" t="str">
        <f aca="false">'Смета Внутр'!C800</f>
        <v>шт</v>
      </c>
      <c r="D793" s="1018" t="n">
        <f aca="false">'Смета Внутр'!D800</f>
        <v>4.84</v>
      </c>
      <c r="E793" s="1004" t="n">
        <f aca="false">'Смета Внутр'!E800</f>
        <v>76.49</v>
      </c>
      <c r="F793" s="1004" t="n">
        <f aca="false">'Смета Внутр'!F800</f>
        <v>0</v>
      </c>
      <c r="G793" s="1004" t="n">
        <f aca="false">IF(E793&gt;F793,E793,F793)</f>
        <v>76.49</v>
      </c>
      <c r="H793" s="1004" t="n">
        <f aca="false">'Смета Внутр'!G800</f>
        <v>370.2116</v>
      </c>
      <c r="I793" s="1004" t="n">
        <f aca="false">'Смета Внутр'!H800</f>
        <v>0</v>
      </c>
      <c r="J793" s="1018" t="n">
        <f aca="false">'Смета Внутр'!I800</f>
        <v>0</v>
      </c>
    </row>
    <row r="794" customFormat="false" ht="15" hidden="false" customHeight="true" outlineLevel="0" collapsed="false">
      <c r="B794" s="1004" t="str">
        <f aca="false">'Смета Внутр'!B801</f>
        <v>нет</v>
      </c>
      <c r="C794" s="1004" t="str">
        <f aca="false">'Смета Внутр'!C801</f>
        <v>м3</v>
      </c>
      <c r="D794" s="1018" t="n">
        <f aca="false">'Смета Внутр'!D801</f>
        <v>0</v>
      </c>
      <c r="E794" s="1004" t="n">
        <f aca="false">'Смета Внутр'!E801</f>
        <v>0</v>
      </c>
      <c r="F794" s="1004" t="n">
        <f aca="false">'Смета Внутр'!F801</f>
        <v>0</v>
      </c>
      <c r="G794" s="1004" t="n">
        <f aca="false">IF(E794&gt;F794,E794,F794)</f>
        <v>0</v>
      </c>
      <c r="H794" s="1004" t="n">
        <f aca="false">'Смета Внутр'!G801</f>
        <v>0</v>
      </c>
      <c r="I794" s="1004" t="n">
        <f aca="false">'Смета Внутр'!H801</f>
        <v>0</v>
      </c>
      <c r="J794" s="1018" t="n">
        <f aca="false">'Смета Внутр'!I801</f>
        <v>0</v>
      </c>
    </row>
    <row r="795" customFormat="false" ht="15" hidden="false" customHeight="true" outlineLevel="0" collapsed="false">
      <c r="B795" s="1004" t="str">
        <f aca="false">'Смета Внутр'!B802</f>
        <v>Доска сухая, 100*50мм</v>
      </c>
      <c r="C795" s="1004" t="str">
        <f aca="false">'Смета Внутр'!C802</f>
        <v>м3</v>
      </c>
      <c r="D795" s="1018" t="n">
        <f aca="false">'Смета Внутр'!D802</f>
        <v>0</v>
      </c>
      <c r="E795" s="1004" t="n">
        <f aca="false">'Смета Внутр'!E802</f>
        <v>9000</v>
      </c>
      <c r="F795" s="1004" t="n">
        <f aca="false">'Смета Внутр'!F802</f>
        <v>0</v>
      </c>
      <c r="G795" s="1004" t="n">
        <f aca="false">IF(E795&gt;F795,E795,F795)</f>
        <v>9000</v>
      </c>
      <c r="H795" s="1004" t="n">
        <f aca="false">'Смета Внутр'!G802</f>
        <v>0</v>
      </c>
      <c r="I795" s="1004" t="n">
        <f aca="false">'Смета Внутр'!H802</f>
        <v>0</v>
      </c>
      <c r="J795" s="1018" t="n">
        <f aca="false">'Смета Внутр'!I802</f>
        <v>0</v>
      </c>
    </row>
    <row r="796" customFormat="false" ht="15" hidden="false" customHeight="true" outlineLevel="0" collapsed="false">
      <c r="B796" s="1004" t="str">
        <f aca="false">'Смета Внутр'!B803</f>
        <v>Доска сухая калиброванная, 100*45мм</v>
      </c>
      <c r="C796" s="1004" t="str">
        <f aca="false">'Смета Внутр'!C803</f>
        <v>м3</v>
      </c>
      <c r="D796" s="1018" t="n">
        <f aca="false">'Смета Внутр'!D803</f>
        <v>0</v>
      </c>
      <c r="E796" s="1004" t="n">
        <f aca="false">'Смета Внутр'!E803</f>
        <v>12500</v>
      </c>
      <c r="F796" s="1004" t="n">
        <f aca="false">'Смета Внутр'!F803</f>
        <v>0</v>
      </c>
      <c r="G796" s="1004" t="n">
        <f aca="false">IF(E796&gt;F796,E796,F796)</f>
        <v>12500</v>
      </c>
      <c r="H796" s="1004" t="n">
        <f aca="false">'Смета Внутр'!G803</f>
        <v>0</v>
      </c>
      <c r="I796" s="1004" t="n">
        <f aca="false">'Смета Внутр'!H803</f>
        <v>0</v>
      </c>
      <c r="J796" s="1018" t="n">
        <f aca="false">'Смета Внутр'!I803</f>
        <v>0</v>
      </c>
    </row>
    <row r="797" customFormat="false" ht="15" hidden="false" customHeight="true" outlineLevel="0" collapsed="false">
      <c r="B797" s="1004" t="str">
        <f aca="false">'Смета Внутр'!B804</f>
        <v>Сосна влаж, 50*50мм</v>
      </c>
      <c r="C797" s="1004" t="str">
        <f aca="false">'Смета Внутр'!C804</f>
        <v>м.п.</v>
      </c>
      <c r="D797" s="1018" t="n">
        <f aca="false">'Смета Внутр'!D804</f>
        <v>0</v>
      </c>
      <c r="E797" s="1004" t="n">
        <f aca="false">'Смета Внутр'!E804</f>
        <v>16.25</v>
      </c>
      <c r="F797" s="1004" t="n">
        <f aca="false">'Смета Внутр'!F804</f>
        <v>0</v>
      </c>
      <c r="G797" s="1004" t="n">
        <f aca="false">IF(E797&gt;F797,E797,F797)</f>
        <v>16.25</v>
      </c>
      <c r="H797" s="1004" t="n">
        <f aca="false">'Смета Внутр'!G804</f>
        <v>0</v>
      </c>
      <c r="I797" s="1004" t="n">
        <f aca="false">'Смета Внутр'!H804</f>
        <v>0</v>
      </c>
      <c r="J797" s="1018" t="n">
        <f aca="false">'Смета Внутр'!I804</f>
        <v>0</v>
      </c>
    </row>
    <row r="798" customFormat="false" ht="15" hidden="false" customHeight="true" outlineLevel="0" collapsed="false">
      <c r="B798" s="1004" t="str">
        <f aca="false">'Смета Внутр'!B805</f>
        <v>Бензин для пилы</v>
      </c>
      <c r="C798" s="1004" t="str">
        <f aca="false">'Смета Внутр'!C805</f>
        <v>л</v>
      </c>
      <c r="D798" s="1018" t="n">
        <f aca="false">'Смета Внутр'!D805</f>
        <v>7.004712</v>
      </c>
      <c r="E798" s="1004" t="n">
        <f aca="false">'Смета Внутр'!E805</f>
        <v>40</v>
      </c>
      <c r="F798" s="1004" t="n">
        <f aca="false">'Смета Внутр'!F805</f>
        <v>0</v>
      </c>
      <c r="G798" s="1004" t="n">
        <f aca="false">IF(E798&gt;F798,E798,F798)</f>
        <v>40</v>
      </c>
      <c r="H798" s="1004" t="n">
        <f aca="false">'Смета Внутр'!G805</f>
        <v>280.18848</v>
      </c>
      <c r="I798" s="1004" t="n">
        <f aca="false">'Смета Внутр'!H805</f>
        <v>0</v>
      </c>
      <c r="J798" s="1018" t="n">
        <f aca="false">'Смета Внутр'!I805</f>
        <v>0</v>
      </c>
    </row>
    <row r="799" customFormat="false" ht="15" hidden="false" customHeight="true" outlineLevel="0" collapsed="false">
      <c r="B799" s="1004" t="str">
        <f aca="false">'Смета Внутр'!B806</f>
        <v>Масло для пилы</v>
      </c>
      <c r="C799" s="1004" t="str">
        <f aca="false">'Смета Внутр'!C806</f>
        <v>л</v>
      </c>
      <c r="D799" s="1018" t="n">
        <f aca="false">'Смета Внутр'!D806</f>
        <v>0.3502356</v>
      </c>
      <c r="E799" s="1004" t="n">
        <f aca="false">'Смета Внутр'!E806</f>
        <v>250</v>
      </c>
      <c r="F799" s="1004" t="n">
        <f aca="false">'Смета Внутр'!F806</f>
        <v>0</v>
      </c>
      <c r="G799" s="1004" t="n">
        <f aca="false">IF(E799&gt;F799,E799,F799)</f>
        <v>250</v>
      </c>
      <c r="H799" s="1004" t="n">
        <f aca="false">'Смета Внутр'!G806</f>
        <v>87.5589</v>
      </c>
      <c r="I799" s="1004" t="n">
        <f aca="false">'Смета Внутр'!H806</f>
        <v>0</v>
      </c>
      <c r="J799" s="1018" t="n">
        <f aca="false">'Смета Внутр'!I806</f>
        <v>0</v>
      </c>
    </row>
    <row r="800" customFormat="false" ht="15" hidden="false" customHeight="true" outlineLevel="0" collapsed="false">
      <c r="B800" s="1004" t="str">
        <f aca="false">'Смета Внутр'!B807</f>
        <v>Цепь для пилы</v>
      </c>
      <c r="C800" s="1004" t="str">
        <f aca="false">'Смета Внутр'!C807</f>
        <v>шт</v>
      </c>
      <c r="D800" s="1018" t="n">
        <f aca="false">'Смета Внутр'!D807</f>
        <v>3</v>
      </c>
      <c r="E800" s="1004" t="n">
        <f aca="false">'Смета Внутр'!E807</f>
        <v>800</v>
      </c>
      <c r="F800" s="1004" t="n">
        <f aca="false">'Смета Внутр'!F807</f>
        <v>0</v>
      </c>
      <c r="G800" s="1004" t="n">
        <f aca="false">IF(E800&gt;F800,E800,F800)</f>
        <v>800</v>
      </c>
      <c r="H800" s="1004" t="n">
        <f aca="false">'Смета Внутр'!G807</f>
        <v>2400</v>
      </c>
      <c r="I800" s="1004" t="n">
        <f aca="false">'Смета Внутр'!H807</f>
        <v>0</v>
      </c>
      <c r="J800" s="1018" t="n">
        <f aca="false">'Смета Внутр'!I807</f>
        <v>0</v>
      </c>
    </row>
    <row r="801" customFormat="false" ht="15" hidden="false" customHeight="true" outlineLevel="0" collapsed="false">
      <c r="B801" s="1004" t="str">
        <f aca="false">'Смета Внутр'!B808</f>
        <v>"Профилюкс" Антисептик АНТИПЛЕСЕНЬ</v>
      </c>
      <c r="C801" s="1004" t="str">
        <f aca="false">'Смета Внутр'!C808</f>
        <v>л</v>
      </c>
      <c r="D801" s="1018" t="n">
        <f aca="false">'Смета Внутр'!D808</f>
        <v>39.1872</v>
      </c>
      <c r="E801" s="1004" t="n">
        <f aca="false">'Смета Внутр'!E808</f>
        <v>108</v>
      </c>
      <c r="F801" s="1004" t="n">
        <f aca="false">'Смета Внутр'!F808</f>
        <v>0</v>
      </c>
      <c r="G801" s="1004" t="n">
        <f aca="false">IF(E801&gt;F801,E801,F801)</f>
        <v>108</v>
      </c>
      <c r="H801" s="1004" t="n">
        <f aca="false">'Смета Внутр'!G808</f>
        <v>4232.2176</v>
      </c>
      <c r="I801" s="1004" t="n">
        <f aca="false">'Смета Внутр'!H808</f>
        <v>0</v>
      </c>
      <c r="J801" s="1018" t="n">
        <f aca="false">'Смета Внутр'!I808</f>
        <v>0</v>
      </c>
    </row>
    <row r="802" customFormat="false" ht="15" hidden="false" customHeight="true" outlineLevel="0" collapsed="false">
      <c r="B802" s="1004" t="str">
        <f aca="false">'Смета Внутр'!B809</f>
        <v>"Тонерол" Антисептик  бесцветный  1л</v>
      </c>
      <c r="C802" s="1004" t="str">
        <f aca="false">'Смета Внутр'!C809</f>
        <v>л</v>
      </c>
      <c r="D802" s="1018" t="n">
        <f aca="false">'Смета Внутр'!D809</f>
        <v>23.51232</v>
      </c>
      <c r="E802" s="1004" t="n">
        <f aca="false">'Смета Внутр'!E809</f>
        <v>305</v>
      </c>
      <c r="F802" s="1004" t="n">
        <f aca="false">'Смета Внутр'!F809</f>
        <v>0</v>
      </c>
      <c r="G802" s="1004" t="n">
        <f aca="false">IF(E802&gt;F802,E802,F802)</f>
        <v>305</v>
      </c>
      <c r="H802" s="1004" t="n">
        <f aca="false">'Смета Внутр'!G809</f>
        <v>7171.2576</v>
      </c>
      <c r="I802" s="1004" t="n">
        <f aca="false">'Смета Внутр'!H809</f>
        <v>0</v>
      </c>
      <c r="J802" s="1018" t="n">
        <f aca="false">'Смета Внутр'!I809</f>
        <v>0</v>
      </c>
    </row>
    <row r="803" customFormat="false" ht="15" hidden="false" customHeight="true" outlineLevel="0" collapsed="false">
      <c r="B803" s="1004" t="str">
        <f aca="false">'Смета Внутр'!B810</f>
        <v>"Тонерол" Антисептик  махагон  1л</v>
      </c>
      <c r="C803" s="1004" t="str">
        <f aca="false">'Смета Внутр'!C810</f>
        <v>л</v>
      </c>
      <c r="D803" s="1018" t="n">
        <f aca="false">'Смета Внутр'!D810</f>
        <v>23.51232</v>
      </c>
      <c r="E803" s="1004" t="n">
        <f aca="false">'Смета Внутр'!E810</f>
        <v>305</v>
      </c>
      <c r="F803" s="1004" t="n">
        <f aca="false">'Смета Внутр'!F810</f>
        <v>0</v>
      </c>
      <c r="G803" s="1004" t="n">
        <f aca="false">IF(E803&gt;F803,E803,F803)</f>
        <v>305</v>
      </c>
      <c r="H803" s="1004" t="n">
        <f aca="false">'Смета Внутр'!G810</f>
        <v>7171.2576</v>
      </c>
      <c r="I803" s="1004" t="n">
        <f aca="false">'Смета Внутр'!H810</f>
        <v>0</v>
      </c>
      <c r="J803" s="1018" t="n">
        <f aca="false">'Смета Внутр'!I810</f>
        <v>0</v>
      </c>
    </row>
    <row r="804" customFormat="false" ht="15" hidden="false" customHeight="true" outlineLevel="0" collapsed="false">
      <c r="B804" s="1004" t="str">
        <f aca="false">'Смета Внутр'!B811</f>
        <v>Нет наличника</v>
      </c>
      <c r="C804" s="1004" t="str">
        <f aca="false">'Смета Внутр'!C811</f>
        <v>м.п.</v>
      </c>
      <c r="D804" s="1018" t="n">
        <f aca="false">'Смета Внутр'!D811</f>
        <v>3.57</v>
      </c>
      <c r="E804" s="1004" t="n">
        <f aca="false">'Смета Внутр'!E811</f>
        <v>0</v>
      </c>
      <c r="F804" s="1004" t="n">
        <f aca="false">'Смета Внутр'!F811</f>
        <v>0</v>
      </c>
      <c r="G804" s="1004" t="n">
        <f aca="false">IF(E804&gt;F804,E804,F804)</f>
        <v>0</v>
      </c>
      <c r="H804" s="1004" t="n">
        <f aca="false">'Смета Внутр'!G811</f>
        <v>0</v>
      </c>
      <c r="I804" s="1004" t="n">
        <f aca="false">'Смета Внутр'!H811</f>
        <v>0</v>
      </c>
      <c r="J804" s="1018" t="n">
        <f aca="false">'Смета Внутр'!I811</f>
        <v>0</v>
      </c>
    </row>
    <row r="805" customFormat="false" ht="15" hidden="false" customHeight="true" outlineLevel="0" collapsed="false">
      <c r="B805" s="1004" t="str">
        <f aca="false">'Смета Внутр'!B812</f>
        <v>Нет наличника</v>
      </c>
      <c r="C805" s="1004" t="str">
        <f aca="false">'Смета Внутр'!C812</f>
        <v>м.п.</v>
      </c>
      <c r="D805" s="1018" t="n">
        <f aca="false">'Смета Внутр'!D812</f>
        <v>3.57</v>
      </c>
      <c r="E805" s="1004" t="n">
        <f aca="false">'Смета Внутр'!E812</f>
        <v>0</v>
      </c>
      <c r="F805" s="1004" t="n">
        <f aca="false">'Смета Внутр'!F812</f>
        <v>0</v>
      </c>
      <c r="G805" s="1004" t="n">
        <f aca="false">IF(E805&gt;F805,E805,F805)</f>
        <v>0</v>
      </c>
      <c r="H805" s="1004" t="n">
        <f aca="false">'Смета Внутр'!G812</f>
        <v>0</v>
      </c>
      <c r="I805" s="1004" t="n">
        <f aca="false">'Смета Внутр'!H812</f>
        <v>0</v>
      </c>
      <c r="J805" s="1018" t="n">
        <f aca="false">'Смета Внутр'!I812</f>
        <v>0</v>
      </c>
    </row>
    <row r="806" customFormat="false" ht="15" hidden="false" customHeight="true" outlineLevel="0" collapsed="false">
      <c r="B806" s="1004" t="str">
        <f aca="false">'Смета Внутр'!B813</f>
        <v>Бумага наждачная № 63 F(30)</v>
      </c>
      <c r="C806" s="1004" t="str">
        <f aca="false">'Смета Внутр'!C813</f>
        <v>м</v>
      </c>
      <c r="D806" s="1018" t="n">
        <f aca="false">'Смета Внутр'!D813</f>
        <v>5</v>
      </c>
      <c r="E806" s="1004" t="n">
        <f aca="false">'Смета Внутр'!E813</f>
        <v>291</v>
      </c>
      <c r="F806" s="1004" t="n">
        <f aca="false">'Смета Внутр'!F813</f>
        <v>0</v>
      </c>
      <c r="G806" s="1004" t="n">
        <f aca="false">IF(E806&gt;F806,E806,F806)</f>
        <v>291</v>
      </c>
      <c r="H806" s="1004" t="n">
        <f aca="false">'Смета Внутр'!G813</f>
        <v>1455</v>
      </c>
      <c r="I806" s="1004" t="n">
        <f aca="false">'Смета Внутр'!H813</f>
        <v>0</v>
      </c>
      <c r="J806" s="1018" t="n">
        <f aca="false">'Смета Внутр'!I813</f>
        <v>0</v>
      </c>
    </row>
    <row r="807" customFormat="false" ht="15" hidden="false" customHeight="true" outlineLevel="0" collapsed="false">
      <c r="B807" s="1004" t="str">
        <f aca="false">'Смета Внутр'!B814</f>
        <v>Нет наждачной бумаги</v>
      </c>
      <c r="C807" s="1004" t="str">
        <f aca="false">'Смета Внутр'!C814</f>
        <v>м</v>
      </c>
      <c r="D807" s="1018" t="n">
        <f aca="false">'Смета Внутр'!D814</f>
        <v>0</v>
      </c>
      <c r="E807" s="1004" t="n">
        <f aca="false">'Смета Внутр'!E814</f>
        <v>0</v>
      </c>
      <c r="F807" s="1004" t="n">
        <f aca="false">'Смета Внутр'!F814</f>
        <v>0</v>
      </c>
      <c r="G807" s="1004" t="n">
        <f aca="false">IF(E807&gt;F807,E807,F807)</f>
        <v>0</v>
      </c>
      <c r="H807" s="1004" t="n">
        <f aca="false">'Смета Внутр'!G814</f>
        <v>0</v>
      </c>
      <c r="I807" s="1004" t="n">
        <f aca="false">'Смета Внутр'!H814</f>
        <v>0</v>
      </c>
      <c r="J807" s="1018" t="n">
        <f aca="false">'Смета Внутр'!I814</f>
        <v>0</v>
      </c>
    </row>
    <row r="808" customFormat="false" ht="15" hidden="false" customHeight="true" outlineLevel="0" collapsed="false">
      <c r="B808" s="1004" t="str">
        <f aca="false">'Смета Внутр'!B815</f>
        <v>Бумага наждачная № 63 F(30)</v>
      </c>
      <c r="C808" s="1004" t="str">
        <f aca="false">'Смета Внутр'!C815</f>
        <v>м</v>
      </c>
      <c r="D808" s="1018" t="n">
        <f aca="false">'Смета Внутр'!D815</f>
        <v>0</v>
      </c>
      <c r="E808" s="1004" t="n">
        <f aca="false">'Смета Внутр'!E815</f>
        <v>291</v>
      </c>
      <c r="F808" s="1004" t="n">
        <f aca="false">'Смета Внутр'!F815</f>
        <v>0</v>
      </c>
      <c r="G808" s="1004" t="n">
        <f aca="false">IF(E808&gt;F808,E808,F808)</f>
        <v>291</v>
      </c>
      <c r="H808" s="1004" t="n">
        <f aca="false">'Смета Внутр'!G815</f>
        <v>0</v>
      </c>
      <c r="I808" s="1004" t="n">
        <f aca="false">'Смета Внутр'!H815</f>
        <v>0</v>
      </c>
      <c r="J808" s="1018" t="n">
        <f aca="false">'Смета Внутр'!I815</f>
        <v>0</v>
      </c>
    </row>
    <row r="809" customFormat="false" ht="15" hidden="false" customHeight="true" outlineLevel="0" collapsed="false">
      <c r="B809" s="1004" t="str">
        <f aca="false">'Смета Внутр'!B816</f>
        <v>Бумага наждачная № 40</v>
      </c>
      <c r="C809" s="1004" t="str">
        <f aca="false">'Смета Внутр'!C816</f>
        <v>м</v>
      </c>
      <c r="D809" s="1018" t="n">
        <f aca="false">'Смета Внутр'!D816</f>
        <v>0</v>
      </c>
      <c r="E809" s="1004" t="n">
        <f aca="false">'Смета Внутр'!E816</f>
        <v>240</v>
      </c>
      <c r="F809" s="1004" t="n">
        <f aca="false">'Смета Внутр'!F816</f>
        <v>0</v>
      </c>
      <c r="G809" s="1004" t="n">
        <f aca="false">IF(E809&gt;F809,E809,F809)</f>
        <v>240</v>
      </c>
      <c r="H809" s="1004" t="n">
        <f aca="false">'Смета Внутр'!G816</f>
        <v>0</v>
      </c>
      <c r="I809" s="1004" t="n">
        <f aca="false">'Смета Внутр'!H816</f>
        <v>0</v>
      </c>
      <c r="J809" s="1018" t="n">
        <f aca="false">'Смета Внутр'!I816</f>
        <v>0</v>
      </c>
    </row>
    <row r="810" customFormat="false" ht="14.5" hidden="false" customHeight="false" outlineLevel="0" collapsed="false">
      <c r="B810" s="2927" t="str">
        <f aca="false">'Смета Внутр'!B817</f>
        <v>Итого материалы</v>
      </c>
      <c r="C810" s="2927"/>
      <c r="D810" s="2927"/>
      <c r="E810" s="2927"/>
      <c r="F810" s="2927"/>
      <c r="G810" s="2927"/>
      <c r="H810" s="1004" t="n">
        <f aca="false">'Смета Внутр'!G817</f>
        <v>0</v>
      </c>
      <c r="I810" s="1004" t="n">
        <f aca="false">'Смета Внутр'!H817</f>
        <v>0</v>
      </c>
      <c r="J810" s="1018" t="n">
        <f aca="false">'Смета Внутр'!I817</f>
        <v>0</v>
      </c>
    </row>
    <row r="811" customFormat="false" ht="15" hidden="false" customHeight="true" outlineLevel="0" collapsed="false">
      <c r="B811" s="2881" t="str">
        <f aca="false">'Смета Внутр'!B818</f>
        <v>Работы</v>
      </c>
      <c r="D811" s="919"/>
      <c r="H811" s="0" t="n">
        <f aca="false">'Смета Внутр'!G818</f>
        <v>0</v>
      </c>
      <c r="I811" s="0" t="n">
        <f aca="false">'Смета Внутр'!H818</f>
        <v>0</v>
      </c>
      <c r="J811" s="2926" t="n">
        <f aca="false">'Смета Внутр'!I818</f>
        <v>0</v>
      </c>
    </row>
    <row r="812" customFormat="false" ht="15" hidden="false" customHeight="true" outlineLevel="0" collapsed="false">
      <c r="B812" s="1004" t="str">
        <f aca="false">'Смета Внутр'!B819</f>
        <v>кладка Оцилиндрованного вревна</v>
      </c>
      <c r="C812" s="1004" t="str">
        <f aca="false">'Смета Внутр'!C819</f>
        <v>м3</v>
      </c>
      <c r="D812" s="1018" t="n">
        <f aca="false">'Смета Внутр'!D819</f>
        <v>28.018848</v>
      </c>
      <c r="E812" s="1004" t="n">
        <f aca="false">'Смета Внутр'!E819</f>
        <v>6000</v>
      </c>
      <c r="F812" s="1004" t="n">
        <f aca="false">'Смета Внутр'!F819</f>
        <v>0</v>
      </c>
      <c r="G812" s="1004" t="n">
        <f aca="false">IF(E812&gt;F812,E812,F812)</f>
        <v>6000</v>
      </c>
      <c r="H812" s="1004" t="n">
        <f aca="false">'Смета Внутр'!G819</f>
        <v>168113.088</v>
      </c>
      <c r="I812" s="1004" t="n">
        <f aca="false">'Смета Внутр'!H819</f>
        <v>0</v>
      </c>
      <c r="J812" s="1018" t="n">
        <f aca="false">'Смета Внутр'!I819</f>
        <v>0</v>
      </c>
    </row>
    <row r="813" customFormat="false" ht="15" hidden="false" customHeight="true" outlineLevel="0" collapsed="false">
      <c r="B813" s="1004" t="str">
        <f aca="false">'Смета Внутр'!B820</f>
        <v>окосячка проемов, м.п.</v>
      </c>
      <c r="C813" s="1004" t="str">
        <f aca="false">'Смета Внутр'!C820</f>
        <v>м.п.</v>
      </c>
      <c r="D813" s="1018" t="n">
        <f aca="false">'Смета Внутр'!D820</f>
        <v>0</v>
      </c>
      <c r="E813" s="1004" t="n">
        <f aca="false">'Смета Внутр'!E820</f>
        <v>150</v>
      </c>
      <c r="F813" s="1004" t="n">
        <f aca="false">'Смета Внутр'!F820</f>
        <v>0</v>
      </c>
      <c r="G813" s="1004" t="n">
        <f aca="false">IF(E813&gt;F813,E813,F813)</f>
        <v>150</v>
      </c>
      <c r="H813" s="1004" t="n">
        <f aca="false">'Смета Внутр'!G820</f>
        <v>0</v>
      </c>
      <c r="I813" s="1004" t="n">
        <f aca="false">'Смета Внутр'!H820</f>
        <v>0</v>
      </c>
      <c r="J813" s="1018" t="n">
        <f aca="false">'Смета Внутр'!I820</f>
        <v>0</v>
      </c>
    </row>
    <row r="814" customFormat="false" ht="15" hidden="false" customHeight="true" outlineLevel="0" collapsed="false">
      <c r="B814" s="1004" t="str">
        <f aca="false">'Смета Внутр'!B821</f>
        <v>обработка торцов на брусе</v>
      </c>
      <c r="C814" s="1004" t="str">
        <f aca="false">'Смета Внутр'!C821</f>
        <v>м.п.</v>
      </c>
      <c r="D814" s="1018" t="n">
        <f aca="false">'Смета Внутр'!D821</f>
        <v>14.4</v>
      </c>
      <c r="E814" s="1004" t="n">
        <f aca="false">'Смета Внутр'!E821</f>
        <v>250</v>
      </c>
      <c r="F814" s="1004" t="n">
        <f aca="false">'Смета Внутр'!F821</f>
        <v>0</v>
      </c>
      <c r="G814" s="1004" t="n">
        <f aca="false">IF(E814&gt;F814,E814,F814)</f>
        <v>250</v>
      </c>
      <c r="H814" s="1004" t="n">
        <f aca="false">'Смета Внутр'!G821</f>
        <v>3600</v>
      </c>
      <c r="I814" s="1004" t="n">
        <f aca="false">'Смета Внутр'!H821</f>
        <v>0</v>
      </c>
      <c r="J814" s="1018" t="n">
        <f aca="false">'Смета Внутр'!I821</f>
        <v>0</v>
      </c>
    </row>
    <row r="815" customFormat="false" ht="15" hidden="false" customHeight="true" outlineLevel="0" collapsed="false">
      <c r="B815" s="1004" t="str">
        <f aca="false">'Смета Внутр'!B822</f>
        <v>Обаботка огнебиозащитой</v>
      </c>
      <c r="C815" s="1004" t="str">
        <f aca="false">'Смета Внутр'!C822</f>
        <v>м.п.</v>
      </c>
      <c r="D815" s="1018" t="n">
        <f aca="false">'Смета Внутр'!D822</f>
        <v>28.018848</v>
      </c>
      <c r="E815" s="1004" t="n">
        <f aca="false">'Смета Внутр'!E822</f>
        <v>300</v>
      </c>
      <c r="F815" s="1004" t="n">
        <f aca="false">'Смета Внутр'!F822</f>
        <v>0</v>
      </c>
      <c r="G815" s="1004" t="n">
        <f aca="false">IF(E815&gt;F815,E815,F815)</f>
        <v>300</v>
      </c>
      <c r="H815" s="1004" t="n">
        <f aca="false">'Смета Внутр'!G822</f>
        <v>8405.6544</v>
      </c>
      <c r="I815" s="1004" t="n">
        <f aca="false">'Смета Внутр'!H822</f>
        <v>0</v>
      </c>
      <c r="J815" s="1018" t="n">
        <f aca="false">'Смета Внутр'!I822</f>
        <v>0</v>
      </c>
    </row>
    <row r="816" customFormat="false" ht="15" hidden="false" customHeight="true" outlineLevel="0" collapsed="false">
      <c r="B816" s="1004" t="str">
        <f aca="false">'Смета Внутр'!B823</f>
        <v>Пропитка стен внешних</v>
      </c>
      <c r="C816" s="1004" t="str">
        <f aca="false">'Смета Внутр'!C823</f>
        <v>м.п.</v>
      </c>
      <c r="D816" s="1018" t="n">
        <f aca="false">'Смета Внутр'!D823</f>
        <v>117.5616</v>
      </c>
      <c r="E816" s="1004" t="n">
        <f aca="false">'Смета Внутр'!E823</f>
        <v>100</v>
      </c>
      <c r="F816" s="1004" t="n">
        <f aca="false">'Смета Внутр'!F823</f>
        <v>0</v>
      </c>
      <c r="G816" s="1004" t="n">
        <f aca="false">IF(E816&gt;F816,E816,F816)</f>
        <v>100</v>
      </c>
      <c r="H816" s="1004" t="n">
        <f aca="false">'Смета Внутр'!G823</f>
        <v>11756.16</v>
      </c>
      <c r="I816" s="1004" t="n">
        <f aca="false">'Смета Внутр'!H823</f>
        <v>0</v>
      </c>
      <c r="J816" s="1018" t="n">
        <f aca="false">'Смета Внутр'!I823</f>
        <v>0</v>
      </c>
    </row>
    <row r="817" customFormat="false" ht="15" hidden="false" customHeight="true" outlineLevel="0" collapsed="false">
      <c r="B817" s="1004" t="str">
        <f aca="false">'Смета Внутр'!B824</f>
        <v>Пропитка внутенних стен</v>
      </c>
      <c r="C817" s="1004" t="str">
        <f aca="false">'Смета Внутр'!C824</f>
        <v>м.п.</v>
      </c>
      <c r="D817" s="1018" t="n">
        <f aca="false">'Смета Внутр'!D824</f>
        <v>117.5616</v>
      </c>
      <c r="E817" s="1004" t="n">
        <f aca="false">'Смета Внутр'!E824</f>
        <v>100</v>
      </c>
      <c r="F817" s="1004" t="n">
        <f aca="false">'Смета Внутр'!F824</f>
        <v>0</v>
      </c>
      <c r="G817" s="1004" t="n">
        <f aca="false">IF(E817&gt;F817,E817,F817)</f>
        <v>100</v>
      </c>
      <c r="H817" s="1004" t="n">
        <f aca="false">'Смета Внутр'!G824</f>
        <v>11756.16</v>
      </c>
      <c r="I817" s="1004" t="n">
        <f aca="false">'Смета Внутр'!H824</f>
        <v>0</v>
      </c>
      <c r="J817" s="1018" t="n">
        <f aca="false">'Смета Внутр'!I824</f>
        <v>0</v>
      </c>
    </row>
    <row r="818" customFormat="false" ht="15" hidden="false" customHeight="true" outlineLevel="0" collapsed="false">
      <c r="B818" s="1004" t="str">
        <f aca="false">'Смета Внутр'!B825</f>
        <v>Сверление стен для скрытой проводки</v>
      </c>
      <c r="C818" s="1004" t="str">
        <f aca="false">'Смета Внутр'!C825</f>
        <v>м.п.</v>
      </c>
      <c r="D818" s="1018" t="n">
        <f aca="false">'Смета Внутр'!D825</f>
        <v>180</v>
      </c>
      <c r="E818" s="1004" t="n">
        <f aca="false">'Смета Внутр'!E825</f>
        <v>300</v>
      </c>
      <c r="F818" s="1004" t="n">
        <f aca="false">'Смета Внутр'!F825</f>
        <v>0</v>
      </c>
      <c r="G818" s="1004" t="n">
        <f aca="false">IF(E818&gt;F818,E818,F818)</f>
        <v>300</v>
      </c>
      <c r="H818" s="1004" t="n">
        <f aca="false">'Смета Внутр'!G825</f>
        <v>54000</v>
      </c>
      <c r="I818" s="1004" t="n">
        <f aca="false">'Смета Внутр'!H825</f>
        <v>0</v>
      </c>
      <c r="J818" s="1018" t="n">
        <f aca="false">'Смета Внутр'!I825</f>
        <v>0</v>
      </c>
    </row>
    <row r="819" customFormat="false" ht="15" hidden="false" customHeight="true" outlineLevel="0" collapsed="false">
      <c r="B819" s="1004" t="str">
        <f aca="false">'Смета Внутр'!B826</f>
        <v>Монтаж наличника</v>
      </c>
      <c r="C819" s="1004" t="str">
        <f aca="false">'Смета Внутр'!C826</f>
        <v>м.п.</v>
      </c>
      <c r="D819" s="1018" t="n">
        <f aca="false">'Смета Внутр'!D826</f>
        <v>0</v>
      </c>
      <c r="E819" s="1004" t="n">
        <f aca="false">'Смета Внутр'!E826</f>
        <v>80</v>
      </c>
      <c r="F819" s="1004" t="n">
        <f aca="false">'Смета Внутр'!F826</f>
        <v>0</v>
      </c>
      <c r="G819" s="1004" t="n">
        <f aca="false">IF(E819&gt;F819,E819,F819)</f>
        <v>80</v>
      </c>
      <c r="H819" s="1004" t="n">
        <f aca="false">'Смета Внутр'!G826</f>
        <v>0</v>
      </c>
      <c r="I819" s="1004" t="n">
        <f aca="false">'Смета Внутр'!H826</f>
        <v>0</v>
      </c>
      <c r="J819" s="1018" t="n">
        <f aca="false">'Смета Внутр'!I826</f>
        <v>0</v>
      </c>
    </row>
    <row r="820" customFormat="false" ht="15" hidden="false" customHeight="true" outlineLevel="0" collapsed="false">
      <c r="B820" s="1004" t="str">
        <f aca="false">'Смета Внутр'!B827</f>
        <v>Шлифовка стен дома</v>
      </c>
      <c r="C820" s="1004" t="str">
        <f aca="false">'Смета Внутр'!C827</f>
        <v>м.п.</v>
      </c>
      <c r="D820" s="1018" t="n">
        <f aca="false">'Смета Внутр'!D827</f>
        <v>121.44</v>
      </c>
      <c r="E820" s="1004" t="n">
        <f aca="false">'Смета Внутр'!E827</f>
        <v>250</v>
      </c>
      <c r="F820" s="1004" t="n">
        <f aca="false">'Смета Внутр'!F827</f>
        <v>0</v>
      </c>
      <c r="G820" s="1004" t="n">
        <f aca="false">IF(E820&gt;F820,E820,F820)</f>
        <v>250</v>
      </c>
      <c r="H820" s="1004" t="n">
        <f aca="false">'Смета Внутр'!G827</f>
        <v>30360</v>
      </c>
      <c r="I820" s="1004" t="n">
        <f aca="false">'Смета Внутр'!H827</f>
        <v>0</v>
      </c>
      <c r="J820" s="1018" t="n">
        <f aca="false">'Смета Внутр'!I827</f>
        <v>0</v>
      </c>
    </row>
    <row r="821" customFormat="false" ht="15" hidden="false" customHeight="true" outlineLevel="0" collapsed="false">
      <c r="B821" s="2927" t="str">
        <f aca="false">'Смета Внутр'!B828</f>
        <v>Итого работы</v>
      </c>
      <c r="C821" s="2927"/>
      <c r="D821" s="2927"/>
      <c r="E821" s="2927"/>
      <c r="F821" s="2927"/>
      <c r="G821" s="2927"/>
      <c r="H821" s="1004" t="n">
        <f aca="false">'Смета Внутр'!G828</f>
        <v>0</v>
      </c>
      <c r="I821" s="1004" t="n">
        <f aca="false">'Смета Внутр'!H828</f>
        <v>0</v>
      </c>
      <c r="J821" s="1018" t="n">
        <f aca="false">'Смета Внутр'!I828</f>
        <v>0</v>
      </c>
    </row>
    <row r="822" customFormat="false" ht="15" hidden="false" customHeight="true" outlineLevel="0" collapsed="false">
      <c r="B822" s="2899" t="str">
        <f aca="false">'Смета Внутр'!B829</f>
        <v>Дом из Профилированного бруса</v>
      </c>
      <c r="C822" s="2899"/>
      <c r="D822" s="2899"/>
      <c r="H822" s="0" t="n">
        <f aca="false">'Смета Внутр'!G829</f>
        <v>0</v>
      </c>
      <c r="I822" s="0" t="n">
        <f aca="false">'Смета Внутр'!H829</f>
        <v>0</v>
      </c>
      <c r="J822" s="2893" t="n">
        <f aca="false">'Смета Внутр'!I829</f>
        <v>0</v>
      </c>
    </row>
    <row r="823" customFormat="false" ht="15" hidden="false" customHeight="true" outlineLevel="0" collapsed="false">
      <c r="B823" s="2881" t="str">
        <f aca="false">'Смета Внутр'!B830</f>
        <v>Материалы</v>
      </c>
      <c r="H823" s="0" t="n">
        <f aca="false">'Смета Внутр'!G830</f>
        <v>0</v>
      </c>
      <c r="I823" s="0" t="n">
        <f aca="false">'Смета Внутр'!H830</f>
        <v>0</v>
      </c>
      <c r="J823" s="2893" t="n">
        <f aca="false">'Смета Внутр'!I830</f>
        <v>0</v>
      </c>
    </row>
    <row r="824" customFormat="false" ht="15" hidden="false" customHeight="true" outlineLevel="0" collapsed="false">
      <c r="B824" s="2888" t="str">
        <f aca="false">'Смета Внутр'!B831</f>
        <v>Листв. влаж, 200*200мм</v>
      </c>
      <c r="C824" s="2888" t="str">
        <f aca="false">'Смета Внутр'!C831</f>
        <v>м3</v>
      </c>
      <c r="D824" s="2897" t="n">
        <f aca="false">'Смета Внутр'!D831</f>
        <v>2.552</v>
      </c>
      <c r="E824" s="1004" t="n">
        <f aca="false">'Смета Внутр'!E831</f>
        <v>9000</v>
      </c>
      <c r="F824" s="1004" t="n">
        <f aca="false">'Смета Внутр'!F831</f>
        <v>0</v>
      </c>
      <c r="G824" s="2888" t="n">
        <f aca="false">IF(E824&gt;F824,E824,F824)</f>
        <v>9000</v>
      </c>
      <c r="H824" s="1004" t="n">
        <f aca="false">'Смета Внутр'!G831</f>
        <v>22968</v>
      </c>
      <c r="I824" s="1004" t="n">
        <f aca="false">'Смета Внутр'!H831</f>
        <v>0</v>
      </c>
      <c r="J824" s="2897" t="n">
        <f aca="false">'Смета Внутр'!I831</f>
        <v>0</v>
      </c>
    </row>
    <row r="825" customFormat="false" ht="15" hidden="false" customHeight="true" outlineLevel="0" collapsed="false">
      <c r="B825" s="2888" t="str">
        <f aca="false">'Смета Внутр'!B832</f>
        <v>Сосна влаж, 200*200мм</v>
      </c>
      <c r="C825" s="2888" t="str">
        <f aca="false">'Смета Внутр'!C832</f>
        <v>м3</v>
      </c>
      <c r="D825" s="2897" t="n">
        <f aca="false">'Смета Внутр'!D832</f>
        <v>21.736</v>
      </c>
      <c r="E825" s="1004" t="n">
        <f aca="false">'Смета Внутр'!E832</f>
        <v>6500</v>
      </c>
      <c r="F825" s="1004" t="n">
        <f aca="false">'Смета Внутр'!F832</f>
        <v>0</v>
      </c>
      <c r="G825" s="2888" t="n">
        <f aca="false">IF(E825&gt;F825,E825,F825)</f>
        <v>6500</v>
      </c>
      <c r="H825" s="1004" t="n">
        <f aca="false">'Смета Внутр'!G832</f>
        <v>141284</v>
      </c>
      <c r="I825" s="1004" t="n">
        <f aca="false">'Смета Внутр'!H832</f>
        <v>0</v>
      </c>
      <c r="J825" s="2897" t="n">
        <f aca="false">'Смета Внутр'!I832</f>
        <v>0</v>
      </c>
    </row>
    <row r="826" customFormat="false" ht="15" hidden="false" customHeight="true" outlineLevel="0" collapsed="false">
      <c r="B826" s="2888" t="str">
        <f aca="false">'Смета Внутр'!B833</f>
        <v>Сосна влаж, 200*150мм</v>
      </c>
      <c r="C826" s="2888" t="str">
        <f aca="false">'Смета Внутр'!C833</f>
        <v>м3</v>
      </c>
      <c r="D826" s="2897" t="n">
        <f aca="false">'Смета Внутр'!D833</f>
        <v>0</v>
      </c>
      <c r="E826" s="1004" t="n">
        <f aca="false">'Смета Внутр'!E833</f>
        <v>6500</v>
      </c>
      <c r="F826" s="1004" t="n">
        <f aca="false">'Смета Внутр'!F833</f>
        <v>0</v>
      </c>
      <c r="G826" s="2888" t="n">
        <f aca="false">IF(E826&gt;F826,E826,F826)</f>
        <v>6500</v>
      </c>
      <c r="H826" s="1004" t="n">
        <f aca="false">'Смета Внутр'!G833</f>
        <v>0</v>
      </c>
      <c r="I826" s="1004" t="n">
        <f aca="false">'Смета Внутр'!H833</f>
        <v>0</v>
      </c>
      <c r="J826" s="2897" t="n">
        <f aca="false">'Смета Внутр'!I833</f>
        <v>0</v>
      </c>
    </row>
    <row r="827" customFormat="false" ht="15" hidden="false" customHeight="true" outlineLevel="0" collapsed="false">
      <c r="B827" s="2888" t="str">
        <f aca="false">'Смета Внутр'!B834</f>
        <v>Сосна влаж, 200*100мм</v>
      </c>
      <c r="C827" s="2888" t="str">
        <f aca="false">'Смета Внутр'!C834</f>
        <v>м2</v>
      </c>
      <c r="D827" s="2897" t="n">
        <f aca="false">'Смета Внутр'!D834</f>
        <v>0</v>
      </c>
      <c r="E827" s="1004" t="n">
        <f aca="false">'Смета Внутр'!E834</f>
        <v>6500</v>
      </c>
      <c r="F827" s="1004" t="n">
        <f aca="false">'Смета Внутр'!F834</f>
        <v>0</v>
      </c>
      <c r="G827" s="2888" t="n">
        <f aca="false">IF(E827&gt;F827,E827,F827)</f>
        <v>6500</v>
      </c>
      <c r="H827" s="1004" t="n">
        <f aca="false">'Смета Внутр'!G834</f>
        <v>0</v>
      </c>
      <c r="I827" s="1004" t="n">
        <f aca="false">'Смета Внутр'!H834</f>
        <v>0</v>
      </c>
      <c r="J827" s="2897" t="n">
        <f aca="false">'Смета Внутр'!I834</f>
        <v>0</v>
      </c>
    </row>
    <row r="828" customFormat="false" ht="15" hidden="false" customHeight="true" outlineLevel="0" collapsed="false">
      <c r="B828" s="2888" t="str">
        <f aca="false">'Смета Внутр'!B835</f>
        <v>Шкант</v>
      </c>
      <c r="C828" s="2888" t="str">
        <f aca="false">'Смета Внутр'!C835</f>
        <v>шт</v>
      </c>
      <c r="D828" s="2897" t="n">
        <f aca="false">'Смета Внутр'!D835</f>
        <v>535</v>
      </c>
      <c r="E828" s="1004" t="n">
        <f aca="false">'Смета Внутр'!E835</f>
        <v>6</v>
      </c>
      <c r="F828" s="1004" t="n">
        <f aca="false">'Смета Внутр'!F835</f>
        <v>0</v>
      </c>
      <c r="G828" s="2888" t="n">
        <f aca="false">IF(E828&gt;F828,E828,F828)</f>
        <v>6</v>
      </c>
      <c r="H828" s="1004" t="n">
        <f aca="false">'Смета Внутр'!G835</f>
        <v>3210</v>
      </c>
      <c r="I828" s="1004" t="n">
        <f aca="false">'Смета Внутр'!H835</f>
        <v>0</v>
      </c>
      <c r="J828" s="2897" t="n">
        <f aca="false">'Смета Внутр'!I835</f>
        <v>0</v>
      </c>
    </row>
    <row r="829" customFormat="false" ht="15" hidden="false" customHeight="true" outlineLevel="0" collapsed="false">
      <c r="B829" s="2888" t="str">
        <f aca="false">'Смета Внутр'!B836</f>
        <v>Лента уплотнения</v>
      </c>
      <c r="C829" s="2888" t="str">
        <f aca="false">'Смета Внутр'!C836</f>
        <v>шт</v>
      </c>
      <c r="D829" s="2897" t="n">
        <f aca="false">'Смета Внутр'!D836</f>
        <v>0</v>
      </c>
      <c r="E829" s="1004" t="n">
        <f aca="false">'Смета Внутр'!E836</f>
        <v>130</v>
      </c>
      <c r="F829" s="1004" t="n">
        <f aca="false">'Смета Внутр'!F836</f>
        <v>0</v>
      </c>
      <c r="G829" s="2888" t="n">
        <f aca="false">IF(E829&gt;F829,E829,F829)</f>
        <v>130</v>
      </c>
      <c r="H829" s="1004" t="n">
        <f aca="false">'Смета Внутр'!G836</f>
        <v>0</v>
      </c>
      <c r="I829" s="1004" t="n">
        <f aca="false">'Смета Внутр'!H836</f>
        <v>0</v>
      </c>
      <c r="J829" s="2897" t="n">
        <f aca="false">'Смета Внутр'!I836</f>
        <v>0</v>
      </c>
    </row>
    <row r="830" customFormat="false" ht="15" hidden="false" customHeight="true" outlineLevel="0" collapsed="false">
      <c r="B830" s="2888" t="str">
        <f aca="false">'Смета Внутр'!B837</f>
        <v>Гвозди строительные 3,5 x 90</v>
      </c>
      <c r="C830" s="2888" t="str">
        <f aca="false">'Смета Внутр'!C837</f>
        <v>шт</v>
      </c>
      <c r="D830" s="2897" t="n">
        <f aca="false">'Смета Внутр'!D837</f>
        <v>4.4</v>
      </c>
      <c r="E830" s="1004" t="n">
        <f aca="false">'Смета Внутр'!E837</f>
        <v>70</v>
      </c>
      <c r="F830" s="1004" t="n">
        <f aca="false">'Смета Внутр'!F837</f>
        <v>0</v>
      </c>
      <c r="G830" s="2888" t="n">
        <f aca="false">IF(E830&gt;F830,E830,F830)</f>
        <v>70</v>
      </c>
      <c r="H830" s="1004" t="n">
        <f aca="false">'Смета Внутр'!G837</f>
        <v>308</v>
      </c>
      <c r="I830" s="1004" t="n">
        <f aca="false">'Смета Внутр'!H837</f>
        <v>0</v>
      </c>
      <c r="J830" s="2897" t="n">
        <f aca="false">'Смета Внутр'!I837</f>
        <v>0</v>
      </c>
    </row>
    <row r="831" customFormat="false" ht="15" hidden="false" customHeight="true" outlineLevel="0" collapsed="false">
      <c r="B831" s="2888" t="str">
        <f aca="false">'Смета Внутр'!B838</f>
        <v>нет</v>
      </c>
      <c r="C831" s="2888" t="str">
        <f aca="false">'Смета Внутр'!C838</f>
        <v>м3</v>
      </c>
      <c r="D831" s="2897" t="n">
        <f aca="false">'Смета Внутр'!D838</f>
        <v>0</v>
      </c>
      <c r="E831" s="1004" t="n">
        <f aca="false">'Смета Внутр'!E838</f>
        <v>0</v>
      </c>
      <c r="F831" s="1004" t="n">
        <f aca="false">'Смета Внутр'!F838</f>
        <v>0</v>
      </c>
      <c r="G831" s="2888" t="n">
        <f aca="false">IF(E831&gt;F831,E831,F831)</f>
        <v>0</v>
      </c>
      <c r="H831" s="1004" t="n">
        <f aca="false">'Смета Внутр'!G838</f>
        <v>0</v>
      </c>
      <c r="I831" s="1004" t="n">
        <f aca="false">'Смета Внутр'!H838</f>
        <v>0</v>
      </c>
      <c r="J831" s="2897" t="n">
        <f aca="false">'Смета Внутр'!I838</f>
        <v>0</v>
      </c>
    </row>
    <row r="832" customFormat="false" ht="15" hidden="false" customHeight="true" outlineLevel="0" collapsed="false">
      <c r="B832" s="2888" t="str">
        <f aca="false">'Смета Внутр'!B839</f>
        <v>Доска сухая, 100*50мм</v>
      </c>
      <c r="C832" s="2888" t="str">
        <f aca="false">'Смета Внутр'!C839</f>
        <v>м3</v>
      </c>
      <c r="D832" s="2897" t="n">
        <f aca="false">'Смета Внутр'!D839</f>
        <v>0</v>
      </c>
      <c r="E832" s="1004" t="n">
        <f aca="false">'Смета Внутр'!E839</f>
        <v>9000</v>
      </c>
      <c r="F832" s="1004" t="n">
        <f aca="false">'Смета Внутр'!F839</f>
        <v>0</v>
      </c>
      <c r="G832" s="2888" t="n">
        <f aca="false">IF(E832&gt;F832,E832,F832)</f>
        <v>9000</v>
      </c>
      <c r="H832" s="1004" t="n">
        <f aca="false">'Смета Внутр'!G839</f>
        <v>0</v>
      </c>
      <c r="I832" s="1004" t="n">
        <f aca="false">'Смета Внутр'!H839</f>
        <v>0</v>
      </c>
      <c r="J832" s="2897" t="n">
        <f aca="false">'Смета Внутр'!I839</f>
        <v>0</v>
      </c>
    </row>
    <row r="833" customFormat="false" ht="15" hidden="false" customHeight="true" outlineLevel="0" collapsed="false">
      <c r="B833" s="1004" t="str">
        <f aca="false">'Смета Внутр'!B840</f>
        <v>Доска сухая калиброванная, 100*45мм</v>
      </c>
      <c r="C833" s="1004" t="str">
        <f aca="false">'Смета Внутр'!C840</f>
        <v>м3</v>
      </c>
      <c r="D833" s="1018" t="n">
        <f aca="false">'Смета Внутр'!D840</f>
        <v>0</v>
      </c>
      <c r="E833" s="1004" t="n">
        <f aca="false">'Смета Внутр'!E840</f>
        <v>12500</v>
      </c>
      <c r="F833" s="1004" t="n">
        <f aca="false">'Смета Внутр'!F840</f>
        <v>0</v>
      </c>
      <c r="G833" s="1004" t="n">
        <f aca="false">IF(E833&gt;F833,E833,F833)</f>
        <v>12500</v>
      </c>
      <c r="H833" s="1004" t="n">
        <f aca="false">'Смета Внутр'!G840</f>
        <v>0</v>
      </c>
      <c r="I833" s="1004" t="n">
        <f aca="false">'Смета Внутр'!H840</f>
        <v>0</v>
      </c>
      <c r="J833" s="1018" t="n">
        <f aca="false">'Смета Внутр'!I840</f>
        <v>0</v>
      </c>
    </row>
    <row r="834" customFormat="false" ht="15" hidden="false" customHeight="true" outlineLevel="0" collapsed="false">
      <c r="B834" s="1004" t="str">
        <f aca="false">'Смета Внутр'!B841</f>
        <v>Сосна влаж, 50*50мм</v>
      </c>
      <c r="C834" s="1004" t="str">
        <f aca="false">'Смета Внутр'!C841</f>
        <v>м.п.</v>
      </c>
      <c r="D834" s="1018" t="n">
        <f aca="false">'Смета Внутр'!D841</f>
        <v>0</v>
      </c>
      <c r="E834" s="1004" t="n">
        <f aca="false">'Смета Внутр'!E841</f>
        <v>16.25</v>
      </c>
      <c r="F834" s="1004" t="n">
        <f aca="false">'Смета Внутр'!F841</f>
        <v>0</v>
      </c>
      <c r="G834" s="1004" t="n">
        <f aca="false">IF(E834&gt;F834,E834,F834)</f>
        <v>16.25</v>
      </c>
      <c r="H834" s="1004" t="n">
        <f aca="false">'Смета Внутр'!G841</f>
        <v>0</v>
      </c>
      <c r="I834" s="1004" t="n">
        <f aca="false">'Смета Внутр'!H841</f>
        <v>0</v>
      </c>
      <c r="J834" s="1018" t="n">
        <f aca="false">'Смета Внутр'!I841</f>
        <v>0</v>
      </c>
    </row>
    <row r="835" customFormat="false" ht="15" hidden="false" customHeight="true" outlineLevel="0" collapsed="false">
      <c r="B835" s="2888" t="str">
        <f aca="false">'Смета Внутр'!B842</f>
        <v>Бензин для пилы</v>
      </c>
      <c r="C835" s="2888" t="str">
        <f aca="false">'Смета Внутр'!C842</f>
        <v>л</v>
      </c>
      <c r="D835" s="2897" t="n">
        <f aca="false">'Смета Внутр'!D842</f>
        <v>4.8576</v>
      </c>
      <c r="E835" s="1004" t="n">
        <f aca="false">'Смета Внутр'!E842</f>
        <v>40</v>
      </c>
      <c r="F835" s="1004" t="n">
        <f aca="false">'Смета Внутр'!F842</f>
        <v>0</v>
      </c>
      <c r="G835" s="2888" t="n">
        <f aca="false">IF(E835&gt;F835,E835,F835)</f>
        <v>40</v>
      </c>
      <c r="H835" s="1004" t="n">
        <f aca="false">'Смета Внутр'!G842</f>
        <v>194.304</v>
      </c>
      <c r="I835" s="1004" t="n">
        <f aca="false">'Смета Внутр'!H842</f>
        <v>0</v>
      </c>
      <c r="J835" s="2897" t="n">
        <f aca="false">'Смета Внутр'!I842</f>
        <v>0</v>
      </c>
    </row>
    <row r="836" customFormat="false" ht="15" hidden="false" customHeight="true" outlineLevel="0" collapsed="false">
      <c r="B836" s="2888" t="str">
        <f aca="false">'Смета Внутр'!B843</f>
        <v>Масло для пилы</v>
      </c>
      <c r="C836" s="2888" t="str">
        <f aca="false">'Смета Внутр'!C843</f>
        <v>л</v>
      </c>
      <c r="D836" s="2897" t="n">
        <f aca="false">'Смета Внутр'!D843</f>
        <v>0.24288</v>
      </c>
      <c r="E836" s="1004" t="n">
        <f aca="false">'Смета Внутр'!E843</f>
        <v>250</v>
      </c>
      <c r="F836" s="1004" t="n">
        <f aca="false">'Смета Внутр'!F843</f>
        <v>0</v>
      </c>
      <c r="G836" s="2888" t="n">
        <f aca="false">IF(E836&gt;F836,E836,F836)</f>
        <v>250</v>
      </c>
      <c r="H836" s="1004" t="n">
        <f aca="false">'Смета Внутр'!G843</f>
        <v>60.72</v>
      </c>
      <c r="I836" s="1004" t="n">
        <f aca="false">'Смета Внутр'!H843</f>
        <v>0</v>
      </c>
      <c r="J836" s="2897" t="n">
        <f aca="false">'Смета Внутр'!I843</f>
        <v>0</v>
      </c>
    </row>
    <row r="837" customFormat="false" ht="15" hidden="false" customHeight="true" outlineLevel="0" collapsed="false">
      <c r="B837" s="2888" t="str">
        <f aca="false">'Смета Внутр'!B844</f>
        <v>Цепь для пилы</v>
      </c>
      <c r="C837" s="2888" t="str">
        <f aca="false">'Смета Внутр'!C844</f>
        <v>шт</v>
      </c>
      <c r="D837" s="2897" t="n">
        <f aca="false">'Смета Внутр'!D844</f>
        <v>3</v>
      </c>
      <c r="E837" s="1004" t="n">
        <f aca="false">'Смета Внутр'!E844</f>
        <v>800</v>
      </c>
      <c r="F837" s="1004" t="n">
        <f aca="false">'Смета Внутр'!F844</f>
        <v>0</v>
      </c>
      <c r="G837" s="2888" t="n">
        <f aca="false">IF(E837&gt;F837,E837,F837)</f>
        <v>800</v>
      </c>
      <c r="H837" s="1004" t="n">
        <f aca="false">'Смета Внутр'!G844</f>
        <v>2400</v>
      </c>
      <c r="I837" s="1004" t="n">
        <f aca="false">'Смета Внутр'!H844</f>
        <v>0</v>
      </c>
      <c r="J837" s="2897" t="n">
        <f aca="false">'Смета Внутр'!I844</f>
        <v>0</v>
      </c>
    </row>
    <row r="838" customFormat="false" ht="15" hidden="false" customHeight="true" outlineLevel="0" collapsed="false">
      <c r="B838" s="1004" t="str">
        <f aca="false">'Смета Внутр'!B845</f>
        <v>"Профилюкс" Антисептик АНТИПЛЕСЕНЬ</v>
      </c>
      <c r="C838" s="1004" t="str">
        <f aca="false">'Смета Внутр'!C845</f>
        <v>л</v>
      </c>
      <c r="D838" s="1018" t="n">
        <f aca="false">'Смета Внутр'!D845</f>
        <v>0</v>
      </c>
      <c r="E838" s="1004" t="n">
        <f aca="false">'Смета Внутр'!E845</f>
        <v>108</v>
      </c>
      <c r="F838" s="1004" t="n">
        <f aca="false">'Смета Внутр'!F845</f>
        <v>0</v>
      </c>
      <c r="G838" s="1004" t="n">
        <f aca="false">IF(E838&gt;F838,E838,F838)</f>
        <v>108</v>
      </c>
      <c r="H838" s="1004" t="n">
        <f aca="false">'Смета Внутр'!G845</f>
        <v>0</v>
      </c>
      <c r="I838" s="1004" t="n">
        <f aca="false">'Смета Внутр'!H845</f>
        <v>0</v>
      </c>
      <c r="J838" s="1018" t="n">
        <f aca="false">'Смета Внутр'!I845</f>
        <v>0</v>
      </c>
    </row>
    <row r="839" customFormat="false" ht="15" hidden="false" customHeight="true" outlineLevel="0" collapsed="false">
      <c r="B839" s="1004" t="str">
        <f aca="false">'Смета Внутр'!B846</f>
        <v>"Тонерол" Антисептик  бесцветный  1л</v>
      </c>
      <c r="C839" s="1004" t="str">
        <f aca="false">'Смета Внутр'!C846</f>
        <v>л</v>
      </c>
      <c r="D839" s="1018" t="n">
        <f aca="false">'Смета Внутр'!D846</f>
        <v>0</v>
      </c>
      <c r="E839" s="1004" t="n">
        <f aca="false">'Смета Внутр'!E846</f>
        <v>305</v>
      </c>
      <c r="F839" s="1004" t="n">
        <f aca="false">'Смета Внутр'!F846</f>
        <v>0</v>
      </c>
      <c r="G839" s="1004" t="n">
        <f aca="false">IF(E839&gt;F839,E839,F839)</f>
        <v>305</v>
      </c>
      <c r="H839" s="1004" t="n">
        <f aca="false">'Смета Внутр'!G846</f>
        <v>0</v>
      </c>
      <c r="I839" s="1004" t="n">
        <f aca="false">'Смета Внутр'!H846</f>
        <v>0</v>
      </c>
      <c r="J839" s="1018" t="n">
        <f aca="false">'Смета Внутр'!I846</f>
        <v>0</v>
      </c>
    </row>
    <row r="840" customFormat="false" ht="15" hidden="false" customHeight="true" outlineLevel="0" collapsed="false">
      <c r="B840" s="1004" t="str">
        <f aca="false">'Смета Внутр'!B847</f>
        <v>"Тонерол" Антисептик  махагон  1л</v>
      </c>
      <c r="C840" s="1004" t="str">
        <f aca="false">'Смета Внутр'!C847</f>
        <v>л</v>
      </c>
      <c r="D840" s="1018" t="n">
        <f aca="false">'Смета Внутр'!D847</f>
        <v>0</v>
      </c>
      <c r="E840" s="1004" t="n">
        <f aca="false">'Смета Внутр'!E847</f>
        <v>305</v>
      </c>
      <c r="F840" s="1004" t="n">
        <f aca="false">'Смета Внутр'!F847</f>
        <v>0</v>
      </c>
      <c r="G840" s="1004" t="n">
        <f aca="false">IF(E840&gt;F840,E840,F840)</f>
        <v>305</v>
      </c>
      <c r="H840" s="1004" t="n">
        <f aca="false">'Смета Внутр'!G847</f>
        <v>0</v>
      </c>
      <c r="I840" s="1004" t="n">
        <f aca="false">'Смета Внутр'!H847</f>
        <v>0</v>
      </c>
      <c r="J840" s="1018" t="n">
        <f aca="false">'Смета Внутр'!I847</f>
        <v>0</v>
      </c>
    </row>
    <row r="841" customFormat="false" ht="15" hidden="false" customHeight="true" outlineLevel="0" collapsed="false">
      <c r="B841" s="1004" t="str">
        <f aca="false">'Смета Внутр'!B848</f>
        <v>Нет наличника</v>
      </c>
      <c r="C841" s="1004" t="str">
        <f aca="false">'Смета Внутр'!C848</f>
        <v>м.п.</v>
      </c>
      <c r="D841" s="1018" t="n">
        <f aca="false">'Смета Внутр'!D848</f>
        <v>3.57</v>
      </c>
      <c r="E841" s="1004" t="n">
        <f aca="false">'Смета Внутр'!E848</f>
        <v>0</v>
      </c>
      <c r="F841" s="1004" t="n">
        <f aca="false">'Смета Внутр'!F848</f>
        <v>0</v>
      </c>
      <c r="G841" s="1004" t="n">
        <f aca="false">IF(E841&gt;F841,E841,F841)</f>
        <v>0</v>
      </c>
      <c r="H841" s="1004" t="n">
        <f aca="false">'Смета Внутр'!G848</f>
        <v>0</v>
      </c>
      <c r="I841" s="1004" t="n">
        <f aca="false">'Смета Внутр'!H848</f>
        <v>0</v>
      </c>
      <c r="J841" s="1018" t="n">
        <f aca="false">'Смета Внутр'!I848</f>
        <v>0</v>
      </c>
    </row>
    <row r="842" customFormat="false" ht="15" hidden="false" customHeight="true" outlineLevel="0" collapsed="false">
      <c r="B842" s="1004" t="str">
        <f aca="false">'Смета Внутр'!B849</f>
        <v>Нет наличника</v>
      </c>
      <c r="C842" s="1004" t="str">
        <f aca="false">'Смета Внутр'!C849</f>
        <v>м.п.</v>
      </c>
      <c r="D842" s="1018" t="n">
        <f aca="false">'Смета Внутр'!D849</f>
        <v>3.57</v>
      </c>
      <c r="E842" s="1004" t="n">
        <f aca="false">'Смета Внутр'!E849</f>
        <v>0</v>
      </c>
      <c r="F842" s="1004" t="n">
        <f aca="false">'Смета Внутр'!F849</f>
        <v>0</v>
      </c>
      <c r="G842" s="1004" t="n">
        <f aca="false">IF(E842&gt;F842,E842,F842)</f>
        <v>0</v>
      </c>
      <c r="H842" s="1004" t="n">
        <f aca="false">'Смета Внутр'!G849</f>
        <v>0</v>
      </c>
      <c r="I842" s="1004" t="n">
        <f aca="false">'Смета Внутр'!H849</f>
        <v>0</v>
      </c>
      <c r="J842" s="1018" t="n">
        <f aca="false">'Смета Внутр'!I849</f>
        <v>0</v>
      </c>
    </row>
    <row r="843" customFormat="false" ht="15" hidden="false" customHeight="true" outlineLevel="0" collapsed="false">
      <c r="B843" s="1004" t="str">
        <f aca="false">'Смета Внутр'!B850</f>
        <v>Бумага наждачная № 63 F(30)</v>
      </c>
      <c r="C843" s="1004" t="str">
        <f aca="false">'Смета Внутр'!C850</f>
        <v>м</v>
      </c>
      <c r="D843" s="1018" t="n">
        <f aca="false">'Смета Внутр'!D850</f>
        <v>5</v>
      </c>
      <c r="E843" s="1004" t="n">
        <f aca="false">'Смета Внутр'!E850</f>
        <v>291</v>
      </c>
      <c r="F843" s="1004" t="n">
        <f aca="false">'Смета Внутр'!F850</f>
        <v>0</v>
      </c>
      <c r="G843" s="1004" t="n">
        <f aca="false">IF(E843&gt;F843,E843,F843)</f>
        <v>291</v>
      </c>
      <c r="H843" s="1004" t="n">
        <f aca="false">'Смета Внутр'!G850</f>
        <v>1455</v>
      </c>
      <c r="I843" s="1004" t="n">
        <f aca="false">'Смета Внутр'!H850</f>
        <v>0</v>
      </c>
      <c r="J843" s="1018" t="n">
        <f aca="false">'Смета Внутр'!I850</f>
        <v>0</v>
      </c>
    </row>
    <row r="844" customFormat="false" ht="15" hidden="false" customHeight="true" outlineLevel="0" collapsed="false">
      <c r="B844" s="1004" t="str">
        <f aca="false">'Смета Внутр'!B851</f>
        <v>Нет наждачной бумаги</v>
      </c>
      <c r="C844" s="1004" t="str">
        <f aca="false">'Смета Внутр'!C851</f>
        <v>м</v>
      </c>
      <c r="D844" s="1018" t="n">
        <f aca="false">'Смета Внутр'!D851</f>
        <v>0</v>
      </c>
      <c r="E844" s="1004" t="n">
        <f aca="false">'Смета Внутр'!E851</f>
        <v>0</v>
      </c>
      <c r="F844" s="1004" t="n">
        <f aca="false">'Смета Внутр'!F851</f>
        <v>0</v>
      </c>
      <c r="G844" s="1004" t="n">
        <f aca="false">IF(E844&gt;F844,E844,F844)</f>
        <v>0</v>
      </c>
      <c r="H844" s="1004" t="n">
        <f aca="false">'Смета Внутр'!G851</f>
        <v>0</v>
      </c>
      <c r="I844" s="1004" t="n">
        <f aca="false">'Смета Внутр'!H851</f>
        <v>0</v>
      </c>
      <c r="J844" s="1018" t="n">
        <f aca="false">'Смета Внутр'!I851</f>
        <v>0</v>
      </c>
    </row>
    <row r="845" customFormat="false" ht="15" hidden="false" customHeight="true" outlineLevel="0" collapsed="false">
      <c r="B845" s="1004" t="str">
        <f aca="false">'Смета Внутр'!B852</f>
        <v>Бумага наждачная № 63 F(30)</v>
      </c>
      <c r="C845" s="1004" t="str">
        <f aca="false">'Смета Внутр'!C852</f>
        <v>м</v>
      </c>
      <c r="D845" s="1018" t="n">
        <f aca="false">'Смета Внутр'!D852</f>
        <v>0</v>
      </c>
      <c r="E845" s="1004" t="n">
        <f aca="false">'Смета Внутр'!E852</f>
        <v>291</v>
      </c>
      <c r="F845" s="1004" t="n">
        <f aca="false">'Смета Внутр'!F852</f>
        <v>0</v>
      </c>
      <c r="G845" s="1004" t="n">
        <f aca="false">IF(E845&gt;F845,E845,F845)</f>
        <v>291</v>
      </c>
      <c r="H845" s="1004" t="n">
        <f aca="false">'Смета Внутр'!G852</f>
        <v>0</v>
      </c>
      <c r="I845" s="1004" t="n">
        <f aca="false">'Смета Внутр'!H852</f>
        <v>0</v>
      </c>
      <c r="J845" s="1018" t="n">
        <f aca="false">'Смета Внутр'!I852</f>
        <v>0</v>
      </c>
    </row>
    <row r="846" customFormat="false" ht="15" hidden="false" customHeight="true" outlineLevel="0" collapsed="false">
      <c r="B846" s="1004" t="str">
        <f aca="false">'Смета Внутр'!B853</f>
        <v>Бумага наждачная № 40</v>
      </c>
      <c r="C846" s="1004" t="str">
        <f aca="false">'Смета Внутр'!C853</f>
        <v>м</v>
      </c>
      <c r="D846" s="1018" t="n">
        <f aca="false">'Смета Внутр'!D853</f>
        <v>0</v>
      </c>
      <c r="E846" s="1004" t="n">
        <f aca="false">'Смета Внутр'!E853</f>
        <v>240</v>
      </c>
      <c r="F846" s="1004" t="n">
        <f aca="false">'Смета Внутр'!F853</f>
        <v>0</v>
      </c>
      <c r="G846" s="1004" t="n">
        <f aca="false">IF(E846&gt;F846,E846,F846)</f>
        <v>240</v>
      </c>
      <c r="H846" s="1004" t="n">
        <f aca="false">'Смета Внутр'!G853</f>
        <v>0</v>
      </c>
      <c r="I846" s="1004" t="n">
        <f aca="false">'Смета Внутр'!H853</f>
        <v>0</v>
      </c>
      <c r="J846" s="1018" t="n">
        <f aca="false">'Смета Внутр'!I853</f>
        <v>0</v>
      </c>
    </row>
    <row r="847" customFormat="false" ht="14.5" hidden="false" customHeight="false" outlineLevel="0" collapsed="false">
      <c r="B847" s="2896" t="str">
        <f aca="false">'Смета Внутр'!B854</f>
        <v>Итого материалы</v>
      </c>
      <c r="C847" s="2896"/>
      <c r="D847" s="2896"/>
      <c r="E847" s="2896"/>
      <c r="F847" s="2896"/>
      <c r="G847" s="2896"/>
      <c r="H847" s="1004" t="n">
        <f aca="false">'Смета Внутр'!G854</f>
        <v>0</v>
      </c>
      <c r="I847" s="1004" t="n">
        <f aca="false">'Смета Внутр'!H854</f>
        <v>0</v>
      </c>
      <c r="J847" s="2897" t="n">
        <f aca="false">'Смета Внутр'!I854</f>
        <v>0</v>
      </c>
    </row>
    <row r="848" customFormat="false" ht="15" hidden="false" customHeight="true" outlineLevel="0" collapsed="false">
      <c r="B848" s="2881" t="str">
        <f aca="false">'Смета Внутр'!B855</f>
        <v>Работы</v>
      </c>
      <c r="H848" s="0" t="n">
        <f aca="false">'Смета Внутр'!G855</f>
        <v>0</v>
      </c>
      <c r="I848" s="0" t="n">
        <f aca="false">'Смета Внутр'!H855</f>
        <v>0</v>
      </c>
      <c r="J848" s="2893" t="n">
        <f aca="false">'Смета Внутр'!I855</f>
        <v>0</v>
      </c>
    </row>
    <row r="849" customFormat="false" ht="15" hidden="false" customHeight="true" outlineLevel="0" collapsed="false">
      <c r="B849" s="2888" t="str">
        <f aca="false">'Смета Внутр'!B856</f>
        <v>кладка Профилированного бруса</v>
      </c>
      <c r="C849" s="2888" t="str">
        <f aca="false">'Смета Внутр'!C856</f>
        <v>м3</v>
      </c>
      <c r="D849" s="2897" t="n">
        <f aca="false">'Смета Внутр'!D856</f>
        <v>24.288</v>
      </c>
      <c r="E849" s="1004" t="n">
        <f aca="false">'Смета Внутр'!E856</f>
        <v>6000</v>
      </c>
      <c r="F849" s="1004" t="n">
        <f aca="false">'Смета Внутр'!F856</f>
        <v>0</v>
      </c>
      <c r="G849" s="2888" t="n">
        <f aca="false">IF(E849&gt;F849,E849,F849)</f>
        <v>6000</v>
      </c>
      <c r="H849" s="1004" t="n">
        <f aca="false">'Смета Внутр'!G856</f>
        <v>145728</v>
      </c>
      <c r="I849" s="1004" t="n">
        <f aca="false">'Смета Внутр'!H856</f>
        <v>0</v>
      </c>
      <c r="J849" s="2897" t="n">
        <f aca="false">'Смета Внутр'!I856</f>
        <v>0</v>
      </c>
    </row>
    <row r="850" customFormat="false" ht="15" hidden="false" customHeight="true" outlineLevel="0" collapsed="false">
      <c r="B850" s="2888" t="str">
        <f aca="false">'Смета Внутр'!B857</f>
        <v>окосячка проемов, м.п.</v>
      </c>
      <c r="C850" s="2888" t="str">
        <f aca="false">'Смета Внутр'!C857</f>
        <v>м.п.</v>
      </c>
      <c r="D850" s="2897" t="n">
        <f aca="false">'Смета Внутр'!D857</f>
        <v>0</v>
      </c>
      <c r="E850" s="1004" t="n">
        <f aca="false">'Смета Внутр'!E857</f>
        <v>150</v>
      </c>
      <c r="F850" s="1004" t="n">
        <f aca="false">'Смета Внутр'!F857</f>
        <v>0</v>
      </c>
      <c r="G850" s="2888" t="n">
        <f aca="false">IF(E850&gt;F850,E850,F850)</f>
        <v>150</v>
      </c>
      <c r="H850" s="1004" t="n">
        <f aca="false">'Смета Внутр'!G857</f>
        <v>0</v>
      </c>
      <c r="I850" s="1004" t="n">
        <f aca="false">'Смета Внутр'!H857</f>
        <v>0</v>
      </c>
      <c r="J850" s="2897" t="n">
        <f aca="false">'Смета Внутр'!I857</f>
        <v>0</v>
      </c>
    </row>
    <row r="851" customFormat="false" ht="15" hidden="false" customHeight="true" outlineLevel="0" collapsed="false">
      <c r="B851" s="2888" t="str">
        <f aca="false">'Смета Внутр'!B858</f>
        <v>обработка торцов на брусе</v>
      </c>
      <c r="C851" s="2888" t="str">
        <f aca="false">'Смета Внутр'!C858</f>
        <v>м.п.</v>
      </c>
      <c r="D851" s="2897" t="n">
        <f aca="false">'Смета Внутр'!D858</f>
        <v>14.4</v>
      </c>
      <c r="E851" s="1004" t="n">
        <f aca="false">'Смета Внутр'!E858</f>
        <v>250</v>
      </c>
      <c r="F851" s="1004" t="n">
        <f aca="false">'Смета Внутр'!F858</f>
        <v>0</v>
      </c>
      <c r="G851" s="2888" t="n">
        <f aca="false">IF(E851&gt;F851,E851,F851)</f>
        <v>250</v>
      </c>
      <c r="H851" s="1004" t="n">
        <f aca="false">'Смета Внутр'!G858</f>
        <v>3600</v>
      </c>
      <c r="I851" s="1004" t="n">
        <f aca="false">'Смета Внутр'!H858</f>
        <v>0</v>
      </c>
      <c r="J851" s="2897" t="n">
        <f aca="false">'Смета Внутр'!I858</f>
        <v>0</v>
      </c>
    </row>
    <row r="852" customFormat="false" ht="15" hidden="false" customHeight="true" outlineLevel="0" collapsed="false">
      <c r="B852" s="1004" t="str">
        <f aca="false">'Смета Внутр'!B859</f>
        <v>Обаботка огнебиозащитой</v>
      </c>
      <c r="C852" s="1004" t="str">
        <f aca="false">'Смета Внутр'!C859</f>
        <v>м.п.</v>
      </c>
      <c r="D852" s="1018" t="n">
        <f aca="false">'Смета Внутр'!D859</f>
        <v>24.288</v>
      </c>
      <c r="E852" s="1004" t="n">
        <f aca="false">'Смета Внутр'!E859</f>
        <v>300</v>
      </c>
      <c r="F852" s="1004" t="n">
        <f aca="false">'Смета Внутр'!F859</f>
        <v>0</v>
      </c>
      <c r="G852" s="1004" t="n">
        <f aca="false">IF(E852&gt;F852,E852,F852)</f>
        <v>300</v>
      </c>
      <c r="H852" s="1004" t="n">
        <f aca="false">'Смета Внутр'!G859</f>
        <v>7286.4</v>
      </c>
      <c r="I852" s="1004" t="n">
        <f aca="false">'Смета Внутр'!H859</f>
        <v>0</v>
      </c>
      <c r="J852" s="1018" t="n">
        <f aca="false">'Смета Внутр'!I859</f>
        <v>0</v>
      </c>
    </row>
    <row r="853" customFormat="false" ht="15" hidden="false" customHeight="true" outlineLevel="0" collapsed="false">
      <c r="B853" s="1004" t="str">
        <f aca="false">'Смета Внутр'!B860</f>
        <v>Пропитка стен внешних</v>
      </c>
      <c r="C853" s="1004" t="str">
        <f aca="false">'Смета Внутр'!C860</f>
        <v>м.п.</v>
      </c>
      <c r="D853" s="1018" t="n">
        <f aca="false">'Смета Внутр'!D860</f>
        <v>0</v>
      </c>
      <c r="E853" s="1004" t="n">
        <f aca="false">'Смета Внутр'!E860</f>
        <v>100</v>
      </c>
      <c r="F853" s="1004" t="n">
        <f aca="false">'Смета Внутр'!F860</f>
        <v>0</v>
      </c>
      <c r="G853" s="1004" t="n">
        <f aca="false">IF(E853&gt;F853,E853,F853)</f>
        <v>100</v>
      </c>
      <c r="H853" s="1004" t="n">
        <f aca="false">'Смета Внутр'!G860</f>
        <v>0</v>
      </c>
      <c r="I853" s="1004" t="n">
        <f aca="false">'Смета Внутр'!H860</f>
        <v>0</v>
      </c>
      <c r="J853" s="1018" t="n">
        <f aca="false">'Смета Внутр'!I860</f>
        <v>0</v>
      </c>
    </row>
    <row r="854" customFormat="false" ht="15" hidden="false" customHeight="true" outlineLevel="0" collapsed="false">
      <c r="B854" s="1004" t="str">
        <f aca="false">'Смета Внутр'!B861</f>
        <v>Пропитка внутенних стен</v>
      </c>
      <c r="C854" s="1004" t="str">
        <f aca="false">'Смета Внутр'!C861</f>
        <v>м.п.</v>
      </c>
      <c r="D854" s="1018" t="n">
        <f aca="false">'Смета Внутр'!D861</f>
        <v>0</v>
      </c>
      <c r="E854" s="1004" t="n">
        <f aca="false">'Смета Внутр'!E861</f>
        <v>100</v>
      </c>
      <c r="F854" s="1004" t="n">
        <f aca="false">'Смета Внутр'!F861</f>
        <v>0</v>
      </c>
      <c r="G854" s="1004" t="n">
        <f aca="false">IF(E854&gt;F854,E854,F854)</f>
        <v>100</v>
      </c>
      <c r="H854" s="1004" t="n">
        <f aca="false">'Смета Внутр'!G861</f>
        <v>0</v>
      </c>
      <c r="I854" s="1004" t="n">
        <f aca="false">'Смета Внутр'!H861</f>
        <v>0</v>
      </c>
      <c r="J854" s="1018" t="n">
        <f aca="false">'Смета Внутр'!I861</f>
        <v>0</v>
      </c>
    </row>
    <row r="855" customFormat="false" ht="15" hidden="false" customHeight="true" outlineLevel="0" collapsed="false">
      <c r="B855" s="1004" t="str">
        <f aca="false">'Смета Внутр'!B862</f>
        <v>Сверление стен для скрытой проводки</v>
      </c>
      <c r="C855" s="1004" t="str">
        <f aca="false">'Смета Внутр'!C862</f>
        <v>м.п.</v>
      </c>
      <c r="D855" s="1018" t="n">
        <f aca="false">'Смета Внутр'!D862</f>
        <v>180</v>
      </c>
      <c r="E855" s="1004" t="n">
        <f aca="false">'Смета Внутр'!E862</f>
        <v>300</v>
      </c>
      <c r="F855" s="1004" t="n">
        <f aca="false">'Смета Внутр'!F862</f>
        <v>0</v>
      </c>
      <c r="G855" s="1004" t="n">
        <f aca="false">IF(E855&gt;F855,E855,F855)</f>
        <v>300</v>
      </c>
      <c r="H855" s="1004" t="n">
        <f aca="false">'Смета Внутр'!G862</f>
        <v>54000</v>
      </c>
      <c r="I855" s="1004" t="n">
        <f aca="false">'Смета Внутр'!H862</f>
        <v>0</v>
      </c>
      <c r="J855" s="1018" t="n">
        <f aca="false">'Смета Внутр'!I862</f>
        <v>0</v>
      </c>
    </row>
    <row r="856" customFormat="false" ht="15" hidden="false" customHeight="true" outlineLevel="0" collapsed="false">
      <c r="B856" s="1004" t="str">
        <f aca="false">'Смета Внутр'!B863</f>
        <v>Монтаж наличника</v>
      </c>
      <c r="C856" s="1004" t="str">
        <f aca="false">'Смета Внутр'!C863</f>
        <v>м.п.</v>
      </c>
      <c r="D856" s="1018" t="n">
        <f aca="false">'Смета Внутр'!D863</f>
        <v>0</v>
      </c>
      <c r="E856" s="1004" t="n">
        <f aca="false">'Смета Внутр'!E863</f>
        <v>80</v>
      </c>
      <c r="F856" s="1004" t="n">
        <f aca="false">'Смета Внутр'!F863</f>
        <v>0</v>
      </c>
      <c r="G856" s="1004" t="n">
        <f aca="false">IF(E856&gt;F856,E856,F856)</f>
        <v>80</v>
      </c>
      <c r="H856" s="1004" t="n">
        <f aca="false">'Смета Внутр'!G863</f>
        <v>0</v>
      </c>
      <c r="I856" s="1004" t="n">
        <f aca="false">'Смета Внутр'!H863</f>
        <v>0</v>
      </c>
      <c r="J856" s="1018" t="n">
        <f aca="false">'Смета Внутр'!I863</f>
        <v>0</v>
      </c>
    </row>
    <row r="857" customFormat="false" ht="15" hidden="false" customHeight="true" outlineLevel="0" collapsed="false">
      <c r="B857" s="1004" t="str">
        <f aca="false">'Смета Внутр'!B864</f>
        <v>Шлифовка стен дома</v>
      </c>
      <c r="C857" s="1004" t="str">
        <f aca="false">'Смета Внутр'!C864</f>
        <v>м.п.</v>
      </c>
      <c r="D857" s="1018" t="n">
        <f aca="false">'Смета Внутр'!D864</f>
        <v>0</v>
      </c>
      <c r="E857" s="1004" t="n">
        <f aca="false">'Смета Внутр'!E864</f>
        <v>250</v>
      </c>
      <c r="F857" s="1004" t="n">
        <f aca="false">'Смета Внутр'!F864</f>
        <v>0</v>
      </c>
      <c r="G857" s="1004" t="n">
        <f aca="false">IF(E857&gt;F857,E857,F857)</f>
        <v>250</v>
      </c>
      <c r="H857" s="1004" t="n">
        <f aca="false">'Смета Внутр'!G864</f>
        <v>0</v>
      </c>
      <c r="I857" s="1004" t="n">
        <f aca="false">'Смета Внутр'!H864</f>
        <v>0</v>
      </c>
      <c r="J857" s="1018" t="n">
        <f aca="false">'Смета Внутр'!I864</f>
        <v>0</v>
      </c>
    </row>
    <row r="858" customFormat="false" ht="15" hidden="false" customHeight="true" outlineLevel="0" collapsed="false">
      <c r="B858" s="2896" t="str">
        <f aca="false">'Смета Внутр'!B865</f>
        <v>Итого работы</v>
      </c>
      <c r="C858" s="2896"/>
      <c r="D858" s="2896"/>
      <c r="E858" s="2896"/>
      <c r="F858" s="2896"/>
      <c r="G858" s="2896"/>
      <c r="H858" s="1004" t="n">
        <f aca="false">'Смета Внутр'!G865</f>
        <v>0</v>
      </c>
      <c r="I858" s="1004" t="n">
        <f aca="false">'Смета Внутр'!H865</f>
        <v>0</v>
      </c>
      <c r="J858" s="2897" t="n">
        <f aca="false">'Смета Внутр'!I865</f>
        <v>0</v>
      </c>
    </row>
    <row r="859" customFormat="false" ht="15" hidden="false" customHeight="true" outlineLevel="0" collapsed="false">
      <c r="B859" s="2925" t="str">
        <f aca="false">'Смета Внутр'!B866</f>
        <v>Дом из Клееного бруса</v>
      </c>
      <c r="C859" s="2925"/>
      <c r="D859" s="2925"/>
      <c r="H859" s="0" t="n">
        <f aca="false">'Смета Внутр'!G866</f>
        <v>0</v>
      </c>
      <c r="I859" s="0" t="n">
        <f aca="false">'Смета Внутр'!H866</f>
        <v>0</v>
      </c>
      <c r="J859" s="2926" t="n">
        <f aca="false">'Смета Внутр'!I866</f>
        <v>0</v>
      </c>
    </row>
    <row r="860" customFormat="false" ht="15" hidden="false" customHeight="true" outlineLevel="0" collapsed="false">
      <c r="B860" s="2881" t="str">
        <f aca="false">'Смета Внутр'!B867</f>
        <v>Материалы</v>
      </c>
      <c r="D860" s="919"/>
      <c r="H860" s="0" t="n">
        <f aca="false">'Смета Внутр'!G867</f>
        <v>0</v>
      </c>
      <c r="I860" s="0" t="n">
        <f aca="false">'Смета Внутр'!H867</f>
        <v>0</v>
      </c>
      <c r="J860" s="2926" t="n">
        <f aca="false">'Смета Внутр'!I867</f>
        <v>0</v>
      </c>
    </row>
    <row r="861" customFormat="false" ht="15" hidden="false" customHeight="true" outlineLevel="0" collapsed="false">
      <c r="B861" s="1004" t="str">
        <f aca="false">'Смета Внутр'!B868</f>
        <v>Листв. влаж, 200*200мм</v>
      </c>
      <c r="C861" s="1004" t="str">
        <f aca="false">'Смета Внутр'!C868</f>
        <v>м3</v>
      </c>
      <c r="D861" s="1018" t="n">
        <f aca="false">'Смета Внутр'!D868</f>
        <v>2.552</v>
      </c>
      <c r="E861" s="1004" t="n">
        <f aca="false">'Смета Внутр'!E868</f>
        <v>9000</v>
      </c>
      <c r="F861" s="1004" t="n">
        <f aca="false">'Смета Внутр'!F868</f>
        <v>0</v>
      </c>
      <c r="G861" s="1004" t="n">
        <f aca="false">IF(E861&gt;F861,E861,F861)</f>
        <v>9000</v>
      </c>
      <c r="H861" s="1004" t="n">
        <f aca="false">'Смета Внутр'!G868</f>
        <v>22968</v>
      </c>
      <c r="I861" s="1004" t="n">
        <f aca="false">'Смета Внутр'!H868</f>
        <v>0</v>
      </c>
      <c r="J861" s="1018" t="n">
        <f aca="false">'Смета Внутр'!I868</f>
        <v>0</v>
      </c>
    </row>
    <row r="862" customFormat="false" ht="15" hidden="false" customHeight="true" outlineLevel="0" collapsed="false">
      <c r="B862" s="1004" t="str">
        <f aca="false">'Смета Внутр'!B869</f>
        <v>Сосна влаж, 200*200мм</v>
      </c>
      <c r="C862" s="1004" t="str">
        <f aca="false">'Смета Внутр'!C869</f>
        <v>м3</v>
      </c>
      <c r="D862" s="1018" t="n">
        <f aca="false">'Смета Внутр'!D869</f>
        <v>21.736</v>
      </c>
      <c r="E862" s="1004" t="n">
        <f aca="false">'Смета Внутр'!E869</f>
        <v>6500</v>
      </c>
      <c r="F862" s="1004" t="n">
        <f aca="false">'Смета Внутр'!F869</f>
        <v>0</v>
      </c>
      <c r="G862" s="1004" t="n">
        <f aca="false">IF(E862&gt;F862,E862,F862)</f>
        <v>6500</v>
      </c>
      <c r="H862" s="1004" t="n">
        <f aca="false">'Смета Внутр'!G869</f>
        <v>141284</v>
      </c>
      <c r="I862" s="1004" t="n">
        <f aca="false">'Смета Внутр'!H869</f>
        <v>0</v>
      </c>
      <c r="J862" s="1018" t="n">
        <f aca="false">'Смета Внутр'!I869</f>
        <v>0</v>
      </c>
    </row>
    <row r="863" customFormat="false" ht="15" hidden="false" customHeight="true" outlineLevel="0" collapsed="false">
      <c r="B863" s="1004" t="str">
        <f aca="false">'Смета Внутр'!B870</f>
        <v>Сосна влаж, 200*150мм</v>
      </c>
      <c r="C863" s="1004" t="str">
        <f aca="false">'Смета Внутр'!C870</f>
        <v>м3</v>
      </c>
      <c r="D863" s="1018" t="n">
        <f aca="false">'Смета Внутр'!D870</f>
        <v>0</v>
      </c>
      <c r="E863" s="1004" t="n">
        <f aca="false">'Смета Внутр'!E870</f>
        <v>6500</v>
      </c>
      <c r="F863" s="1004" t="n">
        <f aca="false">'Смета Внутр'!F870</f>
        <v>0</v>
      </c>
      <c r="G863" s="1004" t="n">
        <f aca="false">IF(E863&gt;F863,E863,F863)</f>
        <v>6500</v>
      </c>
      <c r="H863" s="1004" t="n">
        <f aca="false">'Смета Внутр'!G870</f>
        <v>0</v>
      </c>
      <c r="I863" s="1004" t="n">
        <f aca="false">'Смета Внутр'!H870</f>
        <v>0</v>
      </c>
      <c r="J863" s="1018" t="n">
        <f aca="false">'Смета Внутр'!I870</f>
        <v>0</v>
      </c>
    </row>
    <row r="864" customFormat="false" ht="15" hidden="false" customHeight="true" outlineLevel="0" collapsed="false">
      <c r="B864" s="1004" t="str">
        <f aca="false">'Смета Внутр'!B871</f>
        <v>Сосна влаж, 200*100мм</v>
      </c>
      <c r="C864" s="1004" t="str">
        <f aca="false">'Смета Внутр'!C871</f>
        <v>м2</v>
      </c>
      <c r="D864" s="1018" t="n">
        <f aca="false">'Смета Внутр'!D871</f>
        <v>0</v>
      </c>
      <c r="E864" s="1004" t="n">
        <f aca="false">'Смета Внутр'!E871</f>
        <v>6500</v>
      </c>
      <c r="F864" s="1004" t="n">
        <f aca="false">'Смета Внутр'!F871</f>
        <v>0</v>
      </c>
      <c r="G864" s="1004" t="n">
        <f aca="false">IF(E864&gt;F864,E864,F864)</f>
        <v>6500</v>
      </c>
      <c r="H864" s="1004" t="n">
        <f aca="false">'Смета Внутр'!G871</f>
        <v>0</v>
      </c>
      <c r="I864" s="1004" t="n">
        <f aca="false">'Смета Внутр'!H871</f>
        <v>0</v>
      </c>
      <c r="J864" s="1018" t="n">
        <f aca="false">'Смета Внутр'!I871</f>
        <v>0</v>
      </c>
    </row>
    <row r="865" customFormat="false" ht="15" hidden="false" customHeight="true" outlineLevel="0" collapsed="false">
      <c r="B865" s="1004" t="str">
        <f aca="false">'Смета Внутр'!B872</f>
        <v>Шкант</v>
      </c>
      <c r="C865" s="1004" t="str">
        <f aca="false">'Смета Внутр'!C872</f>
        <v>шт</v>
      </c>
      <c r="D865" s="1018" t="n">
        <f aca="false">'Смета Внутр'!D872</f>
        <v>535</v>
      </c>
      <c r="E865" s="1004" t="n">
        <f aca="false">'Смета Внутр'!E872</f>
        <v>6</v>
      </c>
      <c r="F865" s="1004" t="n">
        <f aca="false">'Смета Внутр'!F872</f>
        <v>0</v>
      </c>
      <c r="G865" s="1004" t="n">
        <f aca="false">IF(E865&gt;F865,E865,F865)</f>
        <v>6</v>
      </c>
      <c r="H865" s="1004" t="n">
        <f aca="false">'Смета Внутр'!G872</f>
        <v>3210</v>
      </c>
      <c r="I865" s="1004" t="n">
        <f aca="false">'Смета Внутр'!H872</f>
        <v>0</v>
      </c>
      <c r="J865" s="1018" t="n">
        <f aca="false">'Смета Внутр'!I872</f>
        <v>0</v>
      </c>
    </row>
    <row r="866" customFormat="false" ht="15" hidden="false" customHeight="true" outlineLevel="0" collapsed="false">
      <c r="B866" s="1004" t="str">
        <f aca="false">'Смета Внутр'!B873</f>
        <v>Лента уплотнения</v>
      </c>
      <c r="C866" s="1004" t="str">
        <f aca="false">'Смета Внутр'!C873</f>
        <v>шт</v>
      </c>
      <c r="D866" s="1018" t="n">
        <f aca="false">'Смета Внутр'!D873</f>
        <v>0</v>
      </c>
      <c r="E866" s="1004" t="n">
        <f aca="false">'Смета Внутр'!E873</f>
        <v>130</v>
      </c>
      <c r="F866" s="1004" t="n">
        <f aca="false">'Смета Внутр'!F873</f>
        <v>0</v>
      </c>
      <c r="G866" s="1004" t="n">
        <f aca="false">IF(E866&gt;F866,E866,F866)</f>
        <v>130</v>
      </c>
      <c r="H866" s="1004" t="n">
        <f aca="false">'Смета Внутр'!G873</f>
        <v>0</v>
      </c>
      <c r="I866" s="1004" t="n">
        <f aca="false">'Смета Внутр'!H873</f>
        <v>0</v>
      </c>
      <c r="J866" s="1018" t="n">
        <f aca="false">'Смета Внутр'!I873</f>
        <v>0</v>
      </c>
    </row>
    <row r="867" customFormat="false" ht="15" hidden="false" customHeight="true" outlineLevel="0" collapsed="false">
      <c r="B867" s="1004" t="str">
        <f aca="false">'Смета Внутр'!B874</f>
        <v>Гвозди строительные 3,5 x 90</v>
      </c>
      <c r="C867" s="1004" t="str">
        <f aca="false">'Смета Внутр'!C874</f>
        <v>шт</v>
      </c>
      <c r="D867" s="1018" t="n">
        <f aca="false">'Смета Внутр'!D874</f>
        <v>4.4</v>
      </c>
      <c r="E867" s="1004" t="n">
        <f aca="false">'Смета Внутр'!E874</f>
        <v>70</v>
      </c>
      <c r="F867" s="1004" t="n">
        <f aca="false">'Смета Внутр'!F874</f>
        <v>0</v>
      </c>
      <c r="G867" s="1004" t="n">
        <f aca="false">IF(E867&gt;F867,E867,F867)</f>
        <v>70</v>
      </c>
      <c r="H867" s="1004" t="n">
        <f aca="false">'Смета Внутр'!G874</f>
        <v>308</v>
      </c>
      <c r="I867" s="1004" t="n">
        <f aca="false">'Смета Внутр'!H874</f>
        <v>0</v>
      </c>
      <c r="J867" s="1018" t="n">
        <f aca="false">'Смета Внутр'!I874</f>
        <v>0</v>
      </c>
    </row>
    <row r="868" customFormat="false" ht="15" hidden="false" customHeight="true" outlineLevel="0" collapsed="false">
      <c r="B868" s="1004" t="str">
        <f aca="false">'Смета Внутр'!B875</f>
        <v>нет</v>
      </c>
      <c r="C868" s="1004" t="str">
        <f aca="false">'Смета Внутр'!C875</f>
        <v>м3</v>
      </c>
      <c r="D868" s="1018" t="n">
        <f aca="false">'Смета Внутр'!D875</f>
        <v>0</v>
      </c>
      <c r="E868" s="1004" t="n">
        <f aca="false">'Смета Внутр'!E875</f>
        <v>0</v>
      </c>
      <c r="F868" s="1004" t="n">
        <f aca="false">'Смета Внутр'!F875</f>
        <v>0</v>
      </c>
      <c r="G868" s="1004" t="n">
        <f aca="false">IF(E868&gt;F868,E868,F868)</f>
        <v>0</v>
      </c>
      <c r="H868" s="1004" t="n">
        <f aca="false">'Смета Внутр'!G875</f>
        <v>0</v>
      </c>
      <c r="I868" s="1004" t="n">
        <f aca="false">'Смета Внутр'!H875</f>
        <v>0</v>
      </c>
      <c r="J868" s="1018" t="n">
        <f aca="false">'Смета Внутр'!I875</f>
        <v>0</v>
      </c>
    </row>
    <row r="869" customFormat="false" ht="15" hidden="false" customHeight="true" outlineLevel="0" collapsed="false">
      <c r="B869" s="1004" t="str">
        <f aca="false">'Смета Внутр'!B876</f>
        <v>Доска сухая, 100*50мм</v>
      </c>
      <c r="C869" s="1004" t="str">
        <f aca="false">'Смета Внутр'!C876</f>
        <v>м3</v>
      </c>
      <c r="D869" s="1018" t="n">
        <f aca="false">'Смета Внутр'!D876</f>
        <v>0</v>
      </c>
      <c r="E869" s="1004" t="n">
        <f aca="false">'Смета Внутр'!E876</f>
        <v>9000</v>
      </c>
      <c r="F869" s="1004" t="n">
        <f aca="false">'Смета Внутр'!F876</f>
        <v>0</v>
      </c>
      <c r="G869" s="1004" t="n">
        <f aca="false">IF(E869&gt;F869,E869,F869)</f>
        <v>9000</v>
      </c>
      <c r="H869" s="1004" t="n">
        <f aca="false">'Смета Внутр'!G876</f>
        <v>0</v>
      </c>
      <c r="I869" s="1004" t="n">
        <f aca="false">'Смета Внутр'!H876</f>
        <v>0</v>
      </c>
      <c r="J869" s="1018" t="n">
        <f aca="false">'Смета Внутр'!I876</f>
        <v>0</v>
      </c>
    </row>
    <row r="870" customFormat="false" ht="15" hidden="false" customHeight="true" outlineLevel="0" collapsed="false">
      <c r="B870" s="1004" t="str">
        <f aca="false">'Смета Внутр'!B877</f>
        <v>Доска сухая калиброванная, 100*45мм</v>
      </c>
      <c r="C870" s="1004" t="str">
        <f aca="false">'Смета Внутр'!C877</f>
        <v>м3</v>
      </c>
      <c r="D870" s="1018" t="n">
        <f aca="false">'Смета Внутр'!D877</f>
        <v>0</v>
      </c>
      <c r="E870" s="1004" t="n">
        <f aca="false">'Смета Внутр'!E877</f>
        <v>12500</v>
      </c>
      <c r="F870" s="1004" t="n">
        <f aca="false">'Смета Внутр'!F877</f>
        <v>0</v>
      </c>
      <c r="G870" s="1004" t="n">
        <f aca="false">IF(E870&gt;F870,E870,F870)</f>
        <v>12500</v>
      </c>
      <c r="H870" s="1004" t="n">
        <f aca="false">'Смета Внутр'!G877</f>
        <v>0</v>
      </c>
      <c r="I870" s="1004" t="n">
        <f aca="false">'Смета Внутр'!H877</f>
        <v>0</v>
      </c>
      <c r="J870" s="1018" t="n">
        <f aca="false">'Смета Внутр'!I877</f>
        <v>0</v>
      </c>
    </row>
    <row r="871" customFormat="false" ht="15" hidden="false" customHeight="true" outlineLevel="0" collapsed="false">
      <c r="B871" s="1004" t="str">
        <f aca="false">'Смета Внутр'!B878</f>
        <v>Сосна влаж, 50*50мм</v>
      </c>
      <c r="C871" s="1004" t="str">
        <f aca="false">'Смета Внутр'!C878</f>
        <v>м.п.</v>
      </c>
      <c r="D871" s="1018" t="n">
        <f aca="false">'Смета Внутр'!D878</f>
        <v>0</v>
      </c>
      <c r="E871" s="1004" t="n">
        <f aca="false">'Смета Внутр'!E878</f>
        <v>16.25</v>
      </c>
      <c r="F871" s="1004" t="n">
        <f aca="false">'Смета Внутр'!F878</f>
        <v>0</v>
      </c>
      <c r="G871" s="1004" t="n">
        <f aca="false">IF(E871&gt;F871,E871,F871)</f>
        <v>16.25</v>
      </c>
      <c r="H871" s="1004" t="n">
        <f aca="false">'Смета Внутр'!G878</f>
        <v>0</v>
      </c>
      <c r="I871" s="1004" t="n">
        <f aca="false">'Смета Внутр'!H878</f>
        <v>0</v>
      </c>
      <c r="J871" s="1018" t="n">
        <f aca="false">'Смета Внутр'!I878</f>
        <v>0</v>
      </c>
    </row>
    <row r="872" customFormat="false" ht="15" hidden="false" customHeight="true" outlineLevel="0" collapsed="false">
      <c r="B872" s="1004" t="str">
        <f aca="false">'Смета Внутр'!B879</f>
        <v>Бензин для пилы</v>
      </c>
      <c r="C872" s="1004" t="str">
        <f aca="false">'Смета Внутр'!C879</f>
        <v>л</v>
      </c>
      <c r="D872" s="1018" t="n">
        <f aca="false">'Смета Внутр'!D879</f>
        <v>4.8576</v>
      </c>
      <c r="E872" s="1004" t="n">
        <f aca="false">'Смета Внутр'!E879</f>
        <v>40</v>
      </c>
      <c r="F872" s="1004" t="n">
        <f aca="false">'Смета Внутр'!F879</f>
        <v>0</v>
      </c>
      <c r="G872" s="1004" t="n">
        <f aca="false">IF(E872&gt;F872,E872,F872)</f>
        <v>40</v>
      </c>
      <c r="H872" s="1004" t="n">
        <f aca="false">'Смета Внутр'!G879</f>
        <v>194.304</v>
      </c>
      <c r="I872" s="1004" t="n">
        <f aca="false">'Смета Внутр'!H879</f>
        <v>0</v>
      </c>
      <c r="J872" s="1018" t="n">
        <f aca="false">'Смета Внутр'!I879</f>
        <v>0</v>
      </c>
    </row>
    <row r="873" customFormat="false" ht="15" hidden="false" customHeight="true" outlineLevel="0" collapsed="false">
      <c r="B873" s="1004" t="str">
        <f aca="false">'Смета Внутр'!B880</f>
        <v>Масло для пилы</v>
      </c>
      <c r="C873" s="1004" t="str">
        <f aca="false">'Смета Внутр'!C880</f>
        <v>л</v>
      </c>
      <c r="D873" s="1018" t="n">
        <f aca="false">'Смета Внутр'!D880</f>
        <v>0.24288</v>
      </c>
      <c r="E873" s="1004" t="n">
        <f aca="false">'Смета Внутр'!E880</f>
        <v>250</v>
      </c>
      <c r="F873" s="1004" t="n">
        <f aca="false">'Смета Внутр'!F880</f>
        <v>0</v>
      </c>
      <c r="G873" s="1004" t="n">
        <f aca="false">IF(E873&gt;F873,E873,F873)</f>
        <v>250</v>
      </c>
      <c r="H873" s="1004" t="n">
        <f aca="false">'Смета Внутр'!G880</f>
        <v>60.72</v>
      </c>
      <c r="I873" s="1004" t="n">
        <f aca="false">'Смета Внутр'!H880</f>
        <v>0</v>
      </c>
      <c r="J873" s="1018" t="n">
        <f aca="false">'Смета Внутр'!I880</f>
        <v>0</v>
      </c>
    </row>
    <row r="874" customFormat="false" ht="15" hidden="false" customHeight="true" outlineLevel="0" collapsed="false">
      <c r="B874" s="1004" t="str">
        <f aca="false">'Смета Внутр'!B881</f>
        <v>Цепь для пилы</v>
      </c>
      <c r="C874" s="1004" t="str">
        <f aca="false">'Смета Внутр'!C881</f>
        <v>шт</v>
      </c>
      <c r="D874" s="1018" t="n">
        <f aca="false">'Смета Внутр'!D881</f>
        <v>3</v>
      </c>
      <c r="E874" s="1004" t="n">
        <f aca="false">'Смета Внутр'!E881</f>
        <v>800</v>
      </c>
      <c r="F874" s="1004" t="n">
        <f aca="false">'Смета Внутр'!F881</f>
        <v>0</v>
      </c>
      <c r="G874" s="1004" t="n">
        <f aca="false">IF(E874&gt;F874,E874,F874)</f>
        <v>800</v>
      </c>
      <c r="H874" s="1004" t="n">
        <f aca="false">'Смета Внутр'!G881</f>
        <v>2400</v>
      </c>
      <c r="I874" s="1004" t="n">
        <f aca="false">'Смета Внутр'!H881</f>
        <v>0</v>
      </c>
      <c r="J874" s="1018" t="n">
        <f aca="false">'Смета Внутр'!I881</f>
        <v>0</v>
      </c>
    </row>
    <row r="875" customFormat="false" ht="15" hidden="false" customHeight="true" outlineLevel="0" collapsed="false">
      <c r="B875" s="1004" t="str">
        <f aca="false">'Смета Внутр'!B882</f>
        <v>"Профилюкс" Антисептик АНТИПЛЕСЕНЬ</v>
      </c>
      <c r="C875" s="1004" t="str">
        <f aca="false">'Смета Внутр'!C882</f>
        <v>л</v>
      </c>
      <c r="D875" s="1018" t="n">
        <f aca="false">'Смета Внутр'!D882</f>
        <v>0</v>
      </c>
      <c r="E875" s="1004" t="n">
        <f aca="false">'Смета Внутр'!E882</f>
        <v>108</v>
      </c>
      <c r="F875" s="1004" t="n">
        <f aca="false">'Смета Внутр'!F882</f>
        <v>0</v>
      </c>
      <c r="G875" s="1004" t="n">
        <f aca="false">IF(E875&gt;F875,E875,F875)</f>
        <v>108</v>
      </c>
      <c r="H875" s="1004" t="n">
        <f aca="false">'Смета Внутр'!G882</f>
        <v>0</v>
      </c>
      <c r="I875" s="1004" t="n">
        <f aca="false">'Смета Внутр'!H882</f>
        <v>0</v>
      </c>
      <c r="J875" s="1018" t="n">
        <f aca="false">'Смета Внутр'!I882</f>
        <v>0</v>
      </c>
    </row>
    <row r="876" customFormat="false" ht="15" hidden="false" customHeight="true" outlineLevel="0" collapsed="false">
      <c r="B876" s="1004" t="str">
        <f aca="false">'Смета Внутр'!B883</f>
        <v>"Тонерол" Антисептик  бесцветный  1л</v>
      </c>
      <c r="C876" s="1004" t="str">
        <f aca="false">'Смета Внутр'!C883</f>
        <v>л</v>
      </c>
      <c r="D876" s="1018" t="n">
        <f aca="false">'Смета Внутр'!D883</f>
        <v>0</v>
      </c>
      <c r="E876" s="1004" t="n">
        <f aca="false">'Смета Внутр'!E883</f>
        <v>305</v>
      </c>
      <c r="F876" s="1004" t="n">
        <f aca="false">'Смета Внутр'!F883</f>
        <v>0</v>
      </c>
      <c r="G876" s="1004" t="n">
        <f aca="false">IF(E876&gt;F876,E876,F876)</f>
        <v>305</v>
      </c>
      <c r="H876" s="1004" t="n">
        <f aca="false">'Смета Внутр'!G883</f>
        <v>0</v>
      </c>
      <c r="I876" s="1004" t="n">
        <f aca="false">'Смета Внутр'!H883</f>
        <v>0</v>
      </c>
      <c r="J876" s="1018" t="n">
        <f aca="false">'Смета Внутр'!I883</f>
        <v>0</v>
      </c>
    </row>
    <row r="877" customFormat="false" ht="15" hidden="false" customHeight="true" outlineLevel="0" collapsed="false">
      <c r="B877" s="1004" t="str">
        <f aca="false">'Смета Внутр'!B884</f>
        <v>"Тонерол" Антисептик  махагон  1л</v>
      </c>
      <c r="C877" s="1004" t="str">
        <f aca="false">'Смета Внутр'!C884</f>
        <v>л</v>
      </c>
      <c r="D877" s="1018" t="n">
        <f aca="false">'Смета Внутр'!D884</f>
        <v>0</v>
      </c>
      <c r="E877" s="1004" t="n">
        <f aca="false">'Смета Внутр'!E884</f>
        <v>305</v>
      </c>
      <c r="F877" s="1004" t="n">
        <f aca="false">'Смета Внутр'!F884</f>
        <v>0</v>
      </c>
      <c r="G877" s="1004" t="n">
        <f aca="false">IF(E877&gt;F877,E877,F877)</f>
        <v>305</v>
      </c>
      <c r="H877" s="1004" t="n">
        <f aca="false">'Смета Внутр'!G884</f>
        <v>0</v>
      </c>
      <c r="I877" s="1004" t="n">
        <f aca="false">'Смета Внутр'!H884</f>
        <v>0</v>
      </c>
      <c r="J877" s="1018" t="n">
        <f aca="false">'Смета Внутр'!I884</f>
        <v>0</v>
      </c>
    </row>
    <row r="878" customFormat="false" ht="15" hidden="false" customHeight="true" outlineLevel="0" collapsed="false">
      <c r="B878" s="1004" t="str">
        <f aca="false">'Смета Внутр'!B885</f>
        <v>Нет наличника</v>
      </c>
      <c r="C878" s="1004" t="str">
        <f aca="false">'Смета Внутр'!C885</f>
        <v>м.п.</v>
      </c>
      <c r="D878" s="1018" t="n">
        <f aca="false">'Смета Внутр'!D885</f>
        <v>3.57</v>
      </c>
      <c r="E878" s="1004" t="n">
        <f aca="false">'Смета Внутр'!E885</f>
        <v>0</v>
      </c>
      <c r="F878" s="1004" t="n">
        <f aca="false">'Смета Внутр'!F885</f>
        <v>0</v>
      </c>
      <c r="G878" s="1004" t="n">
        <f aca="false">IF(E878&gt;F878,E878,F878)</f>
        <v>0</v>
      </c>
      <c r="H878" s="1004" t="n">
        <f aca="false">'Смета Внутр'!G885</f>
        <v>0</v>
      </c>
      <c r="I878" s="1004" t="n">
        <f aca="false">'Смета Внутр'!H885</f>
        <v>0</v>
      </c>
      <c r="J878" s="1018" t="n">
        <f aca="false">'Смета Внутр'!I885</f>
        <v>0</v>
      </c>
    </row>
    <row r="879" customFormat="false" ht="15" hidden="false" customHeight="true" outlineLevel="0" collapsed="false">
      <c r="B879" s="1004" t="str">
        <f aca="false">'Смета Внутр'!B886</f>
        <v>Нет наличника</v>
      </c>
      <c r="C879" s="1004" t="str">
        <f aca="false">'Смета Внутр'!C886</f>
        <v>м.п.</v>
      </c>
      <c r="D879" s="1018" t="n">
        <f aca="false">'Смета Внутр'!D886</f>
        <v>3.57</v>
      </c>
      <c r="E879" s="1004" t="n">
        <f aca="false">'Смета Внутр'!E886</f>
        <v>0</v>
      </c>
      <c r="F879" s="1004" t="n">
        <f aca="false">'Смета Внутр'!F886</f>
        <v>0</v>
      </c>
      <c r="G879" s="1004" t="n">
        <f aca="false">IF(E879&gt;F879,E879,F879)</f>
        <v>0</v>
      </c>
      <c r="H879" s="1004" t="n">
        <f aca="false">'Смета Внутр'!G886</f>
        <v>0</v>
      </c>
      <c r="I879" s="1004" t="n">
        <f aca="false">'Смета Внутр'!H886</f>
        <v>0</v>
      </c>
      <c r="J879" s="1018" t="n">
        <f aca="false">'Смета Внутр'!I886</f>
        <v>0</v>
      </c>
    </row>
    <row r="880" customFormat="false" ht="15" hidden="false" customHeight="true" outlineLevel="0" collapsed="false">
      <c r="B880" s="1004" t="str">
        <f aca="false">'Смета Внутр'!B887</f>
        <v>Бумага наждачная № 63 F(30)</v>
      </c>
      <c r="C880" s="1004" t="str">
        <f aca="false">'Смета Внутр'!C887</f>
        <v>м</v>
      </c>
      <c r="D880" s="1018" t="n">
        <f aca="false">'Смета Внутр'!D887</f>
        <v>5</v>
      </c>
      <c r="E880" s="1004" t="n">
        <f aca="false">'Смета Внутр'!E887</f>
        <v>291</v>
      </c>
      <c r="F880" s="1004" t="n">
        <f aca="false">'Смета Внутр'!F887</f>
        <v>0</v>
      </c>
      <c r="G880" s="1004" t="n">
        <f aca="false">IF(E880&gt;F880,E880,F880)</f>
        <v>291</v>
      </c>
      <c r="H880" s="1004" t="n">
        <f aca="false">'Смета Внутр'!G887</f>
        <v>1455</v>
      </c>
      <c r="I880" s="1004" t="n">
        <f aca="false">'Смета Внутр'!H887</f>
        <v>0</v>
      </c>
      <c r="J880" s="1018" t="n">
        <f aca="false">'Смета Внутр'!I887</f>
        <v>0</v>
      </c>
    </row>
    <row r="881" customFormat="false" ht="15" hidden="false" customHeight="true" outlineLevel="0" collapsed="false">
      <c r="B881" s="1004" t="str">
        <f aca="false">'Смета Внутр'!B888</f>
        <v>Нет наждачной бумаги</v>
      </c>
      <c r="C881" s="1004" t="str">
        <f aca="false">'Смета Внутр'!C888</f>
        <v>м</v>
      </c>
      <c r="D881" s="1018" t="n">
        <f aca="false">'Смета Внутр'!D888</f>
        <v>0</v>
      </c>
      <c r="E881" s="1004" t="n">
        <f aca="false">'Смета Внутр'!E888</f>
        <v>0</v>
      </c>
      <c r="F881" s="1004" t="n">
        <f aca="false">'Смета Внутр'!F888</f>
        <v>0</v>
      </c>
      <c r="G881" s="1004" t="n">
        <f aca="false">IF(E881&gt;F881,E881,F881)</f>
        <v>0</v>
      </c>
      <c r="H881" s="1004" t="n">
        <f aca="false">'Смета Внутр'!G888</f>
        <v>0</v>
      </c>
      <c r="I881" s="1004" t="n">
        <f aca="false">'Смета Внутр'!H888</f>
        <v>0</v>
      </c>
      <c r="J881" s="1018" t="n">
        <f aca="false">'Смета Внутр'!I888</f>
        <v>0</v>
      </c>
    </row>
    <row r="882" customFormat="false" ht="15" hidden="false" customHeight="true" outlineLevel="0" collapsed="false">
      <c r="B882" s="1004" t="str">
        <f aca="false">'Смета Внутр'!B889</f>
        <v>Бумага наждачная № 63 F(30)</v>
      </c>
      <c r="C882" s="1004" t="str">
        <f aca="false">'Смета Внутр'!C889</f>
        <v>м</v>
      </c>
      <c r="D882" s="1018" t="n">
        <f aca="false">'Смета Внутр'!D889</f>
        <v>0</v>
      </c>
      <c r="E882" s="1004" t="n">
        <f aca="false">'Смета Внутр'!E889</f>
        <v>291</v>
      </c>
      <c r="F882" s="1004" t="n">
        <f aca="false">'Смета Внутр'!F889</f>
        <v>0</v>
      </c>
      <c r="G882" s="1004" t="n">
        <f aca="false">IF(E882&gt;F882,E882,F882)</f>
        <v>291</v>
      </c>
      <c r="H882" s="1004" t="n">
        <f aca="false">'Смета Внутр'!G889</f>
        <v>0</v>
      </c>
      <c r="I882" s="1004" t="n">
        <f aca="false">'Смета Внутр'!H889</f>
        <v>0</v>
      </c>
      <c r="J882" s="1018" t="n">
        <f aca="false">'Смета Внутр'!I889</f>
        <v>0</v>
      </c>
    </row>
    <row r="883" customFormat="false" ht="15" hidden="false" customHeight="true" outlineLevel="0" collapsed="false">
      <c r="B883" s="1004" t="str">
        <f aca="false">'Смета Внутр'!B890</f>
        <v>Бумага наждачная № 40</v>
      </c>
      <c r="C883" s="1004" t="str">
        <f aca="false">'Смета Внутр'!C890</f>
        <v>м</v>
      </c>
      <c r="D883" s="1018" t="n">
        <f aca="false">'Смета Внутр'!D890</f>
        <v>0</v>
      </c>
      <c r="E883" s="1004" t="n">
        <f aca="false">'Смета Внутр'!E890</f>
        <v>240</v>
      </c>
      <c r="F883" s="1004" t="n">
        <f aca="false">'Смета Внутр'!F890</f>
        <v>0</v>
      </c>
      <c r="G883" s="1004" t="n">
        <f aca="false">IF(E883&gt;F883,E883,F883)</f>
        <v>240</v>
      </c>
      <c r="H883" s="1004" t="n">
        <f aca="false">'Смета Внутр'!G890</f>
        <v>0</v>
      </c>
      <c r="I883" s="1004" t="n">
        <f aca="false">'Смета Внутр'!H890</f>
        <v>0</v>
      </c>
      <c r="J883" s="1018" t="n">
        <f aca="false">'Смета Внутр'!I890</f>
        <v>0</v>
      </c>
    </row>
    <row r="884" customFormat="false" ht="14.5" hidden="false" customHeight="false" outlineLevel="0" collapsed="false">
      <c r="B884" s="2927" t="str">
        <f aca="false">'Смета Внутр'!B891</f>
        <v>Итого материалы</v>
      </c>
      <c r="C884" s="2927"/>
      <c r="D884" s="2927"/>
      <c r="E884" s="2927"/>
      <c r="F884" s="2927"/>
      <c r="G884" s="2927"/>
      <c r="H884" s="1004" t="n">
        <f aca="false">'Смета Внутр'!G891</f>
        <v>0</v>
      </c>
      <c r="I884" s="1004" t="n">
        <f aca="false">'Смета Внутр'!H891</f>
        <v>0</v>
      </c>
      <c r="J884" s="1018" t="n">
        <f aca="false">'Смета Внутр'!I891</f>
        <v>0</v>
      </c>
    </row>
    <row r="885" customFormat="false" ht="15" hidden="false" customHeight="true" outlineLevel="0" collapsed="false">
      <c r="B885" s="2881" t="str">
        <f aca="false">'Смета Внутр'!B892</f>
        <v>Работы</v>
      </c>
      <c r="D885" s="919"/>
      <c r="H885" s="0" t="n">
        <f aca="false">'Смета Внутр'!G892</f>
        <v>0</v>
      </c>
      <c r="I885" s="0" t="n">
        <f aca="false">'Смета Внутр'!H892</f>
        <v>0</v>
      </c>
      <c r="J885" s="2926" t="n">
        <f aca="false">'Смета Внутр'!I892</f>
        <v>0</v>
      </c>
    </row>
    <row r="886" customFormat="false" ht="15" hidden="false" customHeight="true" outlineLevel="0" collapsed="false">
      <c r="B886" s="1004" t="str">
        <f aca="false">'Смета Внутр'!B893</f>
        <v>кладка бруса</v>
      </c>
      <c r="C886" s="1004" t="str">
        <f aca="false">'Смета Внутр'!C893</f>
        <v>м3</v>
      </c>
      <c r="D886" s="1018" t="n">
        <f aca="false">'Смета Внутр'!D893</f>
        <v>24.288</v>
      </c>
      <c r="E886" s="1004" t="n">
        <f aca="false">'Смета Внутр'!E893</f>
        <v>6000</v>
      </c>
      <c r="F886" s="1004" t="n">
        <f aca="false">'Смета Внутр'!F893</f>
        <v>0</v>
      </c>
      <c r="G886" s="1004" t="n">
        <f aca="false">IF(E886&gt;F886,E886,F886)</f>
        <v>6000</v>
      </c>
      <c r="H886" s="1004" t="n">
        <f aca="false">'Смета Внутр'!G893</f>
        <v>145728</v>
      </c>
      <c r="I886" s="1004" t="n">
        <f aca="false">'Смета Внутр'!H893</f>
        <v>0</v>
      </c>
      <c r="J886" s="1018" t="n">
        <f aca="false">'Смета Внутр'!I893</f>
        <v>0</v>
      </c>
    </row>
    <row r="887" customFormat="false" ht="15" hidden="false" customHeight="true" outlineLevel="0" collapsed="false">
      <c r="B887" s="1004" t="str">
        <f aca="false">'Смета Внутр'!B894</f>
        <v>окосячка проемов, м.п.</v>
      </c>
      <c r="C887" s="1004" t="str">
        <f aca="false">'Смета Внутр'!C894</f>
        <v>м.п.</v>
      </c>
      <c r="D887" s="1018" t="n">
        <f aca="false">'Смета Внутр'!D894</f>
        <v>0</v>
      </c>
      <c r="E887" s="1004" t="n">
        <f aca="false">'Смета Внутр'!E894</f>
        <v>150</v>
      </c>
      <c r="F887" s="1004" t="n">
        <f aca="false">'Смета Внутр'!F894</f>
        <v>0</v>
      </c>
      <c r="G887" s="1004" t="n">
        <f aca="false">IF(E887&gt;F887,E887,F887)</f>
        <v>150</v>
      </c>
      <c r="H887" s="1004" t="n">
        <f aca="false">'Смета Внутр'!G894</f>
        <v>0</v>
      </c>
      <c r="I887" s="1004" t="n">
        <f aca="false">'Смета Внутр'!H894</f>
        <v>0</v>
      </c>
      <c r="J887" s="1018" t="n">
        <f aca="false">'Смета Внутр'!I894</f>
        <v>0</v>
      </c>
    </row>
    <row r="888" customFormat="false" ht="15" hidden="false" customHeight="true" outlineLevel="0" collapsed="false">
      <c r="B888" s="1004" t="str">
        <f aca="false">'Смета Внутр'!B895</f>
        <v>обработка торцов на брусе</v>
      </c>
      <c r="C888" s="1004" t="str">
        <f aca="false">'Смета Внутр'!C895</f>
        <v>м.п.</v>
      </c>
      <c r="D888" s="1018" t="n">
        <f aca="false">'Смета Внутр'!D895</f>
        <v>14.4</v>
      </c>
      <c r="E888" s="1004" t="n">
        <f aca="false">'Смета Внутр'!E895</f>
        <v>250</v>
      </c>
      <c r="F888" s="1004" t="n">
        <f aca="false">'Смета Внутр'!F895</f>
        <v>0</v>
      </c>
      <c r="G888" s="1004" t="n">
        <f aca="false">IF(E888&gt;F888,E888,F888)</f>
        <v>250</v>
      </c>
      <c r="H888" s="1004" t="n">
        <f aca="false">'Смета Внутр'!G895</f>
        <v>3600</v>
      </c>
      <c r="I888" s="1004" t="n">
        <f aca="false">'Смета Внутр'!H895</f>
        <v>0</v>
      </c>
      <c r="J888" s="1018" t="n">
        <f aca="false">'Смета Внутр'!I895</f>
        <v>0</v>
      </c>
    </row>
    <row r="889" customFormat="false" ht="15" hidden="false" customHeight="true" outlineLevel="0" collapsed="false">
      <c r="B889" s="1004" t="str">
        <f aca="false">'Смета Внутр'!B896</f>
        <v>Обаботка огнебиозащитой</v>
      </c>
      <c r="C889" s="1004" t="str">
        <f aca="false">'Смета Внутр'!C896</f>
        <v>м.п.</v>
      </c>
      <c r="D889" s="1018" t="n">
        <f aca="false">'Смета Внутр'!D896</f>
        <v>24.288</v>
      </c>
      <c r="E889" s="1004" t="n">
        <f aca="false">'Смета Внутр'!E896</f>
        <v>300</v>
      </c>
      <c r="F889" s="1004" t="n">
        <f aca="false">'Смета Внутр'!F896</f>
        <v>0</v>
      </c>
      <c r="G889" s="1004" t="n">
        <f aca="false">IF(E889&gt;F889,E889,F889)</f>
        <v>300</v>
      </c>
      <c r="H889" s="1004" t="n">
        <f aca="false">'Смета Внутр'!G896</f>
        <v>7286.4</v>
      </c>
      <c r="I889" s="1004" t="n">
        <f aca="false">'Смета Внутр'!H896</f>
        <v>0</v>
      </c>
      <c r="J889" s="1018" t="n">
        <f aca="false">'Смета Внутр'!I896</f>
        <v>0</v>
      </c>
    </row>
    <row r="890" customFormat="false" ht="15" hidden="false" customHeight="true" outlineLevel="0" collapsed="false">
      <c r="B890" s="1004" t="str">
        <f aca="false">'Смета Внутр'!B897</f>
        <v>Пропитка стен внешних</v>
      </c>
      <c r="C890" s="1004" t="str">
        <f aca="false">'Смета Внутр'!C897</f>
        <v>м.п.</v>
      </c>
      <c r="D890" s="1018" t="n">
        <f aca="false">'Смета Внутр'!D897</f>
        <v>0</v>
      </c>
      <c r="E890" s="1004" t="n">
        <f aca="false">'Смета Внутр'!E897</f>
        <v>100</v>
      </c>
      <c r="F890" s="1004" t="n">
        <f aca="false">'Смета Внутр'!F897</f>
        <v>0</v>
      </c>
      <c r="G890" s="1004" t="n">
        <f aca="false">IF(E890&gt;F890,E890,F890)</f>
        <v>100</v>
      </c>
      <c r="H890" s="1004" t="n">
        <f aca="false">'Смета Внутр'!G897</f>
        <v>0</v>
      </c>
      <c r="I890" s="1004" t="n">
        <f aca="false">'Смета Внутр'!H897</f>
        <v>0</v>
      </c>
      <c r="J890" s="1018" t="n">
        <f aca="false">'Смета Внутр'!I897</f>
        <v>0</v>
      </c>
    </row>
    <row r="891" customFormat="false" ht="15" hidden="false" customHeight="true" outlineLevel="0" collapsed="false">
      <c r="B891" s="1004" t="str">
        <f aca="false">'Смета Внутр'!B898</f>
        <v>Пропитка внутенних стен</v>
      </c>
      <c r="C891" s="1004" t="str">
        <f aca="false">'Смета Внутр'!C898</f>
        <v>м.п.</v>
      </c>
      <c r="D891" s="1018" t="n">
        <f aca="false">'Смета Внутр'!D898</f>
        <v>0</v>
      </c>
      <c r="E891" s="1004" t="n">
        <f aca="false">'Смета Внутр'!E898</f>
        <v>100</v>
      </c>
      <c r="F891" s="1004" t="n">
        <f aca="false">'Смета Внутр'!F898</f>
        <v>0</v>
      </c>
      <c r="G891" s="1004" t="n">
        <f aca="false">IF(E891&gt;F891,E891,F891)</f>
        <v>100</v>
      </c>
      <c r="H891" s="1004" t="n">
        <f aca="false">'Смета Внутр'!G898</f>
        <v>0</v>
      </c>
      <c r="I891" s="1004" t="n">
        <f aca="false">'Смета Внутр'!H898</f>
        <v>0</v>
      </c>
      <c r="J891" s="1018" t="n">
        <f aca="false">'Смета Внутр'!I898</f>
        <v>0</v>
      </c>
    </row>
    <row r="892" customFormat="false" ht="15" hidden="false" customHeight="true" outlineLevel="0" collapsed="false">
      <c r="B892" s="1004" t="str">
        <f aca="false">'Смета Внутр'!B899</f>
        <v>Сверление стен для скрытой проводки</v>
      </c>
      <c r="C892" s="1004" t="str">
        <f aca="false">'Смета Внутр'!C899</f>
        <v>м.п.</v>
      </c>
      <c r="D892" s="1018" t="n">
        <f aca="false">'Смета Внутр'!D899</f>
        <v>180</v>
      </c>
      <c r="E892" s="1004" t="n">
        <f aca="false">'Смета Внутр'!E899</f>
        <v>300</v>
      </c>
      <c r="F892" s="1004" t="n">
        <f aca="false">'Смета Внутр'!F899</f>
        <v>0</v>
      </c>
      <c r="G892" s="1004" t="n">
        <f aca="false">IF(E892&gt;F892,E892,F892)</f>
        <v>300</v>
      </c>
      <c r="H892" s="1004" t="n">
        <f aca="false">'Смета Внутр'!G899</f>
        <v>54000</v>
      </c>
      <c r="I892" s="1004" t="n">
        <f aca="false">'Смета Внутр'!H899</f>
        <v>0</v>
      </c>
      <c r="J892" s="1018" t="n">
        <f aca="false">'Смета Внутр'!I899</f>
        <v>0</v>
      </c>
    </row>
    <row r="893" customFormat="false" ht="15" hidden="false" customHeight="true" outlineLevel="0" collapsed="false">
      <c r="B893" s="1004" t="str">
        <f aca="false">'Смета Внутр'!B900</f>
        <v>Монтаж наличника</v>
      </c>
      <c r="C893" s="1004" t="str">
        <f aca="false">'Смета Внутр'!C900</f>
        <v>м.п.</v>
      </c>
      <c r="D893" s="1018" t="n">
        <f aca="false">'Смета Внутр'!D900</f>
        <v>0</v>
      </c>
      <c r="E893" s="1004" t="n">
        <f aca="false">'Смета Внутр'!E900</f>
        <v>80</v>
      </c>
      <c r="F893" s="1004" t="n">
        <f aca="false">'Смета Внутр'!F900</f>
        <v>0</v>
      </c>
      <c r="G893" s="1004" t="n">
        <f aca="false">IF(E893&gt;F893,E893,F893)</f>
        <v>80</v>
      </c>
      <c r="H893" s="1004" t="n">
        <f aca="false">'Смета Внутр'!G900</f>
        <v>0</v>
      </c>
      <c r="I893" s="1004" t="n">
        <f aca="false">'Смета Внутр'!H900</f>
        <v>0</v>
      </c>
      <c r="J893" s="1018" t="n">
        <f aca="false">'Смета Внутр'!I900</f>
        <v>0</v>
      </c>
    </row>
    <row r="894" customFormat="false" ht="15" hidden="false" customHeight="true" outlineLevel="0" collapsed="false">
      <c r="B894" s="1004" t="str">
        <f aca="false">'Смета Внутр'!B901</f>
        <v>Шлифовка стен дома</v>
      </c>
      <c r="C894" s="1004" t="str">
        <f aca="false">'Смета Внутр'!C901</f>
        <v>м.п.</v>
      </c>
      <c r="D894" s="1018" t="n">
        <f aca="false">'Смета Внутр'!D901</f>
        <v>0</v>
      </c>
      <c r="E894" s="1004" t="n">
        <f aca="false">'Смета Внутр'!E901</f>
        <v>250</v>
      </c>
      <c r="F894" s="1004" t="n">
        <f aca="false">'Смета Внутр'!F901</f>
        <v>0</v>
      </c>
      <c r="G894" s="1004" t="n">
        <f aca="false">IF(E894&gt;F894,E894,F894)</f>
        <v>250</v>
      </c>
      <c r="H894" s="1004" t="n">
        <f aca="false">'Смета Внутр'!G901</f>
        <v>0</v>
      </c>
      <c r="I894" s="1004" t="n">
        <f aca="false">'Смета Внутр'!H901</f>
        <v>0</v>
      </c>
      <c r="J894" s="1018" t="n">
        <f aca="false">'Смета Внутр'!I901</f>
        <v>0</v>
      </c>
    </row>
    <row r="895" customFormat="false" ht="15" hidden="false" customHeight="true" outlineLevel="0" collapsed="false">
      <c r="B895" s="2927" t="str">
        <f aca="false">'Смета Внутр'!B902</f>
        <v>Итого работы</v>
      </c>
      <c r="C895" s="2927"/>
      <c r="D895" s="2927"/>
      <c r="E895" s="2927"/>
      <c r="F895" s="2927"/>
      <c r="G895" s="2927"/>
      <c r="H895" s="1004" t="n">
        <f aca="false">'Смета Внутр'!G902</f>
        <v>0</v>
      </c>
      <c r="I895" s="1004" t="n">
        <f aca="false">'Смета Внутр'!H902</f>
        <v>0</v>
      </c>
      <c r="J895" s="1018" t="n">
        <f aca="false">'Смета Внутр'!I902</f>
        <v>0</v>
      </c>
    </row>
    <row r="896" customFormat="false" ht="15" hidden="false" customHeight="true" outlineLevel="0" collapsed="false">
      <c r="B896" s="2899" t="str">
        <f aca="false">'Смета Внутр'!B903</f>
        <v>Перекрытие 0-1-2 этажей</v>
      </c>
      <c r="C896" s="2899"/>
      <c r="D896" s="2899"/>
      <c r="H896" s="0" t="n">
        <f aca="false">'Смета Внутр'!G903</f>
        <v>0</v>
      </c>
      <c r="I896" s="0" t="n">
        <f aca="false">'Смета Внутр'!H903</f>
        <v>0</v>
      </c>
      <c r="J896" s="2893" t="n">
        <f aca="false">'Смета Внутр'!H903</f>
        <v>0</v>
      </c>
    </row>
    <row r="897" customFormat="false" ht="15" hidden="false" customHeight="true" outlineLevel="0" collapsed="false">
      <c r="B897" s="2881" t="str">
        <f aca="false">'Смета Внутр'!B904</f>
        <v>Материалы</v>
      </c>
      <c r="H897" s="0" t="n">
        <f aca="false">'Смета Внутр'!G904</f>
        <v>0</v>
      </c>
      <c r="I897" s="0" t="n">
        <f aca="false">'Смета Внутр'!H904</f>
        <v>0</v>
      </c>
      <c r="J897" s="2893" t="n">
        <f aca="false">J896</f>
        <v>0</v>
      </c>
    </row>
    <row r="898" customFormat="false" ht="15" hidden="false" customHeight="true" outlineLevel="0" collapsed="false">
      <c r="B898" s="1004" t="str">
        <f aca="false">'Смета Внутр'!B905</f>
        <v>Плиты перекрытия ЖБИ</v>
      </c>
      <c r="C898" s="1004" t="str">
        <f aca="false">'Смета Внутр'!C905</f>
        <v>м2</v>
      </c>
      <c r="D898" s="1018" t="n">
        <f aca="false">'Смета Внутр'!D905</f>
        <v>0</v>
      </c>
      <c r="E898" s="1004" t="n">
        <f aca="false">'Смета Внутр'!E905</f>
        <v>1400</v>
      </c>
      <c r="F898" s="1004" t="n">
        <f aca="false">'Смета Внутр'!F905</f>
        <v>0</v>
      </c>
      <c r="G898" s="1004" t="n">
        <f aca="false">IF(E898&gt;F898,E898,F898)</f>
        <v>1400</v>
      </c>
      <c r="H898" s="1004" t="n">
        <f aca="false">'Смета Внутр'!G905</f>
        <v>0</v>
      </c>
      <c r="I898" s="1004" t="n">
        <f aca="false">'Смета Внутр'!H905</f>
        <v>0</v>
      </c>
      <c r="J898" s="1018" t="n">
        <f aca="false">'Смета Внутр'!I905</f>
        <v>0</v>
      </c>
    </row>
    <row r="899" customFormat="false" ht="15" hidden="false" customHeight="true" outlineLevel="0" collapsed="false">
      <c r="B899" s="1004" t="str">
        <f aca="false">'Смета Внутр'!B906</f>
        <v>Раствор, м250</v>
      </c>
      <c r="C899" s="1004" t="str">
        <f aca="false">'Смета Внутр'!C906</f>
        <v>м3</v>
      </c>
      <c r="D899" s="1018" t="n">
        <f aca="false">'Смета Внутр'!D906</f>
        <v>0</v>
      </c>
      <c r="E899" s="1004" t="n">
        <f aca="false">'Смета Внутр'!E906</f>
        <v>2500</v>
      </c>
      <c r="F899" s="1004" t="n">
        <f aca="false">'Смета Внутр'!F906</f>
        <v>0</v>
      </c>
      <c r="G899" s="1004" t="n">
        <f aca="false">IF(E899&gt;F899,E899,F899)</f>
        <v>2500</v>
      </c>
      <c r="H899" s="1004" t="n">
        <f aca="false">'Смета Внутр'!G906</f>
        <v>0</v>
      </c>
      <c r="I899" s="1004" t="n">
        <f aca="false">'Смета Внутр'!H906</f>
        <v>0</v>
      </c>
      <c r="J899" s="1018" t="n">
        <f aca="false">'Смета Внутр'!I906</f>
        <v>0</v>
      </c>
    </row>
    <row r="900" customFormat="false" ht="15" hidden="false" customHeight="true" outlineLevel="0" collapsed="false">
      <c r="B900" s="1004" t="str">
        <f aca="false">'Смета Внутр'!B907</f>
        <v>Монолит, бетон, 300мм, 2 слоя</v>
      </c>
      <c r="C900" s="1004" t="str">
        <f aca="false">'Смета Внутр'!C907</f>
        <v>м2</v>
      </c>
      <c r="D900" s="1018" t="n">
        <f aca="false">'Смета Внутр'!D907</f>
        <v>0</v>
      </c>
      <c r="E900" s="1004" t="n">
        <f aca="false">'Смета Внутр'!E907</f>
        <v>1</v>
      </c>
      <c r="F900" s="1004" t="n">
        <f aca="false">'Смета Внутр'!F907</f>
        <v>0</v>
      </c>
      <c r="G900" s="1004" t="n">
        <f aca="false">IF(E900&gt;F900,E900,F900)</f>
        <v>1</v>
      </c>
      <c r="H900" s="1004" t="n">
        <f aca="false">'Смета Внутр'!G907</f>
        <v>0</v>
      </c>
      <c r="I900" s="1004" t="n">
        <f aca="false">'Смета Внутр'!H907</f>
        <v>0</v>
      </c>
      <c r="J900" s="1018" t="n">
        <f aca="false">'Смета Внутр'!I907</f>
        <v>0</v>
      </c>
    </row>
    <row r="901" customFormat="false" ht="15" hidden="false" customHeight="true" outlineLevel="0" collapsed="false">
      <c r="B901" s="1004" t="str">
        <f aca="false">'Смета Внутр'!B908</f>
        <v>Монолит, бетон, 300мм, 1 слой</v>
      </c>
      <c r="C901" s="1004" t="str">
        <f aca="false">'Смета Внутр'!C908</f>
        <v>м2</v>
      </c>
      <c r="D901" s="1018" t="n">
        <f aca="false">'Смета Внутр'!D908</f>
        <v>0</v>
      </c>
      <c r="E901" s="1004" t="n">
        <f aca="false">'Смета Внутр'!E908</f>
        <v>1</v>
      </c>
      <c r="F901" s="1004" t="n">
        <f aca="false">'Смета Внутр'!F908</f>
        <v>0</v>
      </c>
      <c r="G901" s="1004" t="n">
        <f aca="false">IF(E901&gt;F901,E901,F901)</f>
        <v>1</v>
      </c>
      <c r="H901" s="1004" t="n">
        <f aca="false">'Смета Внутр'!G908</f>
        <v>0</v>
      </c>
      <c r="I901" s="1004" t="n">
        <f aca="false">'Смета Внутр'!H908</f>
        <v>0</v>
      </c>
      <c r="J901" s="1018" t="n">
        <f aca="false">'Смета Внутр'!I908</f>
        <v>0</v>
      </c>
    </row>
    <row r="902" customFormat="false" ht="15" hidden="false" customHeight="true" outlineLevel="0" collapsed="false">
      <c r="B902" s="1004" t="str">
        <f aca="false">'Смета Внутр'!B909</f>
        <v>Монолит, бетон, 250мм, 2 слоя</v>
      </c>
      <c r="C902" s="1004" t="str">
        <f aca="false">'Смета Внутр'!C909</f>
        <v>м2</v>
      </c>
      <c r="D902" s="1018" t="n">
        <f aca="false">'Смета Внутр'!D909</f>
        <v>0</v>
      </c>
      <c r="E902" s="1004" t="n">
        <f aca="false">'Смета Внутр'!E909</f>
        <v>1</v>
      </c>
      <c r="F902" s="1004" t="n">
        <f aca="false">'Смета Внутр'!F909</f>
        <v>0</v>
      </c>
      <c r="G902" s="1004" t="n">
        <f aca="false">IF(E902&gt;F902,E902,F902)</f>
        <v>1</v>
      </c>
      <c r="H902" s="1004" t="n">
        <f aca="false">'Смета Внутр'!G909</f>
        <v>0</v>
      </c>
      <c r="I902" s="1004" t="n">
        <f aca="false">'Смета Внутр'!H909</f>
        <v>0</v>
      </c>
      <c r="J902" s="1018" t="n">
        <f aca="false">'Смета Внутр'!I909</f>
        <v>0</v>
      </c>
    </row>
    <row r="903" customFormat="false" ht="15" hidden="false" customHeight="true" outlineLevel="0" collapsed="false">
      <c r="B903" s="1004" t="str">
        <f aca="false">'Смета Внутр'!B910</f>
        <v>Монолит, бетон, 250мм, 1 слой</v>
      </c>
      <c r="C903" s="1004" t="str">
        <f aca="false">'Смета Внутр'!C910</f>
        <v>м2</v>
      </c>
      <c r="D903" s="1018" t="n">
        <f aca="false">'Смета Внутр'!D910</f>
        <v>0</v>
      </c>
      <c r="E903" s="1004" t="n">
        <f aca="false">'Смета Внутр'!E910</f>
        <v>1</v>
      </c>
      <c r="F903" s="1004" t="n">
        <f aca="false">'Смета Внутр'!F910</f>
        <v>0</v>
      </c>
      <c r="G903" s="1004" t="n">
        <f aca="false">IF(E903&gt;F903,E903,F903)</f>
        <v>1</v>
      </c>
      <c r="H903" s="1004" t="n">
        <f aca="false">'Смета Внутр'!G910</f>
        <v>0</v>
      </c>
      <c r="I903" s="1004" t="n">
        <f aca="false">'Смета Внутр'!H910</f>
        <v>0</v>
      </c>
      <c r="J903" s="1018" t="n">
        <f aca="false">'Смета Внутр'!I910</f>
        <v>0</v>
      </c>
    </row>
    <row r="904" customFormat="false" ht="15" hidden="false" customHeight="true" outlineLevel="0" collapsed="false">
      <c r="B904" s="1004" t="str">
        <f aca="false">'Смета Внутр'!B911</f>
        <v>Монолит, бетон, 200мм, 2 слоя</v>
      </c>
      <c r="C904" s="1004" t="str">
        <f aca="false">'Смета Внутр'!C911</f>
        <v>м2</v>
      </c>
      <c r="D904" s="1018" t="n">
        <f aca="false">'Смета Внутр'!D911</f>
        <v>0</v>
      </c>
      <c r="E904" s="1004" t="n">
        <f aca="false">'Смета Внутр'!E911</f>
        <v>1</v>
      </c>
      <c r="F904" s="1004" t="n">
        <f aca="false">'Смета Внутр'!F911</f>
        <v>0</v>
      </c>
      <c r="G904" s="1004" t="n">
        <f aca="false">IF(E904&gt;F904,E904,F904)</f>
        <v>1</v>
      </c>
      <c r="H904" s="1004" t="n">
        <f aca="false">'Смета Внутр'!G911</f>
        <v>0</v>
      </c>
      <c r="I904" s="1004" t="n">
        <f aca="false">'Смета Внутр'!H911</f>
        <v>0</v>
      </c>
      <c r="J904" s="1018" t="n">
        <f aca="false">'Смета Внутр'!I911</f>
        <v>0</v>
      </c>
    </row>
    <row r="905" customFormat="false" ht="15" hidden="false" customHeight="true" outlineLevel="0" collapsed="false">
      <c r="B905" s="1004" t="str">
        <f aca="false">'Смета Внутр'!B912</f>
        <v>Монолит, бетон, 200мм, 1 слой</v>
      </c>
      <c r="C905" s="1004" t="str">
        <f aca="false">'Смета Внутр'!C912</f>
        <v>м2</v>
      </c>
      <c r="D905" s="1018" t="n">
        <f aca="false">'Смета Внутр'!D912</f>
        <v>0</v>
      </c>
      <c r="E905" s="1004" t="n">
        <f aca="false">'Смета Внутр'!E912</f>
        <v>1</v>
      </c>
      <c r="F905" s="1004" t="n">
        <f aca="false">'Смета Внутр'!F912</f>
        <v>0</v>
      </c>
      <c r="G905" s="1004" t="n">
        <f aca="false">IF(E905&gt;F905,E905,F905)</f>
        <v>1</v>
      </c>
      <c r="H905" s="1004" t="n">
        <f aca="false">'Смета Внутр'!G912</f>
        <v>0</v>
      </c>
      <c r="I905" s="1004" t="n">
        <f aca="false">'Смета Внутр'!H912</f>
        <v>0</v>
      </c>
      <c r="J905" s="1018" t="n">
        <f aca="false">'Смета Внутр'!I912</f>
        <v>0</v>
      </c>
    </row>
    <row r="906" customFormat="false" ht="15" hidden="false" customHeight="true" outlineLevel="0" collapsed="false">
      <c r="B906" s="1004" t="str">
        <f aca="false">'Смета Внутр'!B913</f>
        <v>Монолит, бетон, 150мм, 2 слоя</v>
      </c>
      <c r="C906" s="1004" t="str">
        <f aca="false">'Смета Внутр'!C913</f>
        <v>м2</v>
      </c>
      <c r="D906" s="1018" t="n">
        <f aca="false">'Смета Внутр'!D913</f>
        <v>0</v>
      </c>
      <c r="E906" s="1004" t="n">
        <f aca="false">'Смета Внутр'!E913</f>
        <v>1</v>
      </c>
      <c r="F906" s="1004" t="n">
        <f aca="false">'Смета Внутр'!F913</f>
        <v>0</v>
      </c>
      <c r="G906" s="1004" t="n">
        <f aca="false">IF(E906&gt;F906,E906,F906)</f>
        <v>1</v>
      </c>
      <c r="H906" s="1004" t="n">
        <f aca="false">'Смета Внутр'!G913</f>
        <v>0</v>
      </c>
      <c r="I906" s="1004" t="n">
        <f aca="false">'Смета Внутр'!H913</f>
        <v>0</v>
      </c>
      <c r="J906" s="1018" t="n">
        <f aca="false">'Смета Внутр'!I913</f>
        <v>0</v>
      </c>
    </row>
    <row r="907" customFormat="false" ht="15" hidden="false" customHeight="true" outlineLevel="0" collapsed="false">
      <c r="B907" s="1004" t="str">
        <f aca="false">'Смета Внутр'!B914</f>
        <v>Монолит, бетон, 150мм, 1 слой</v>
      </c>
      <c r="C907" s="1004" t="str">
        <f aca="false">'Смета Внутр'!C914</f>
        <v>м2</v>
      </c>
      <c r="D907" s="1018" t="n">
        <f aca="false">'Смета Внутр'!D914</f>
        <v>0</v>
      </c>
      <c r="E907" s="1004" t="n">
        <f aca="false">'Смета Внутр'!E914</f>
        <v>1</v>
      </c>
      <c r="F907" s="1004" t="n">
        <f aca="false">'Смета Внутр'!F914</f>
        <v>0</v>
      </c>
      <c r="G907" s="1004" t="n">
        <f aca="false">IF(E907&gt;F907,E907,F907)</f>
        <v>1</v>
      </c>
      <c r="H907" s="1004" t="n">
        <f aca="false">'Смета Внутр'!G914</f>
        <v>0</v>
      </c>
      <c r="I907" s="1004" t="n">
        <f aca="false">'Смета Внутр'!H914</f>
        <v>0</v>
      </c>
      <c r="J907" s="1018" t="n">
        <f aca="false">'Смета Внутр'!I914</f>
        <v>0</v>
      </c>
    </row>
    <row r="908" customFormat="false" ht="15" hidden="false" customHeight="true" outlineLevel="0" collapsed="false">
      <c r="B908" s="1004" t="str">
        <f aca="false">'Смета Внутр'!B915</f>
        <v>доска для опалубки монолит перекрытий</v>
      </c>
      <c r="C908" s="1004" t="str">
        <f aca="false">'Смета Внутр'!C915</f>
        <v>м3</v>
      </c>
      <c r="D908" s="1018" t="n">
        <f aca="false">'Смета Внутр'!D915</f>
        <v>0</v>
      </c>
      <c r="E908" s="1004" t="n">
        <f aca="false">'Смета Внутр'!E915</f>
        <v>6500</v>
      </c>
      <c r="F908" s="1004" t="n">
        <f aca="false">'Смета Внутр'!F915</f>
        <v>0</v>
      </c>
      <c r="G908" s="1004" t="n">
        <f aca="false">IF(E908&gt;F908,E908,F908)</f>
        <v>6500</v>
      </c>
      <c r="H908" s="1004" t="n">
        <f aca="false">'Смета Внутр'!G915</f>
        <v>0</v>
      </c>
      <c r="I908" s="1004" t="n">
        <f aca="false">'Смета Внутр'!H915</f>
        <v>0</v>
      </c>
      <c r="J908" s="1018" t="n">
        <f aca="false">'Смета Внутр'!I915</f>
        <v>0</v>
      </c>
    </row>
    <row r="909" customFormat="false" ht="15" hidden="false" customHeight="true" outlineLevel="0" collapsed="false">
      <c r="B909" s="1004" t="str">
        <f aca="false">'Смета Внутр'!B916</f>
        <v>стойки под опалубку перекрытий</v>
      </c>
      <c r="C909" s="1004" t="str">
        <f aca="false">'Смета Внутр'!C916</f>
        <v>шт</v>
      </c>
      <c r="D909" s="1018" t="n">
        <f aca="false">'Смета Внутр'!D916</f>
        <v>0</v>
      </c>
      <c r="E909" s="1004" t="n">
        <f aca="false">'Смета Внутр'!E916</f>
        <v>0</v>
      </c>
      <c r="F909" s="1004" t="n">
        <f aca="false">'Смета Внутр'!F916</f>
        <v>0</v>
      </c>
      <c r="G909" s="1004" t="n">
        <f aca="false">IF(E909&gt;F909,E909,F909)</f>
        <v>0</v>
      </c>
      <c r="H909" s="1004" t="n">
        <f aca="false">'Смета Внутр'!G916</f>
        <v>0</v>
      </c>
      <c r="I909" s="1004" t="n">
        <f aca="false">'Смета Внутр'!H916</f>
        <v>0</v>
      </c>
      <c r="J909" s="1018" t="n">
        <f aca="false">'Смета Внутр'!I916</f>
        <v>0</v>
      </c>
    </row>
    <row r="910" customFormat="false" ht="15" hidden="false" customHeight="true" outlineLevel="0" collapsed="false">
      <c r="B910" s="1004" t="str">
        <f aca="false">'Смета Внутр'!B917</f>
        <v>Пленка гидроизоляционная</v>
      </c>
      <c r="C910" s="1004" t="str">
        <f aca="false">'Смета Внутр'!C917</f>
        <v>м2</v>
      </c>
      <c r="D910" s="1018" t="n">
        <f aca="false">'Смета Внутр'!D917</f>
        <v>0</v>
      </c>
      <c r="E910" s="1004" t="n">
        <f aca="false">'Смета Внутр'!E917</f>
        <v>15</v>
      </c>
      <c r="F910" s="1004" t="n">
        <f aca="false">'Смета Внутр'!F917</f>
        <v>0</v>
      </c>
      <c r="G910" s="1004" t="n">
        <f aca="false">IF(E910&gt;F910,E910,F910)</f>
        <v>15</v>
      </c>
      <c r="H910" s="1004" t="n">
        <f aca="false">'Смета Внутр'!G917</f>
        <v>0</v>
      </c>
      <c r="I910" s="1004" t="n">
        <f aca="false">'Смета Внутр'!H917</f>
        <v>0</v>
      </c>
      <c r="J910" s="1018" t="n">
        <f aca="false">'Смета Внутр'!I917</f>
        <v>0</v>
      </c>
    </row>
    <row r="911" customFormat="false" ht="15" hidden="false" customHeight="true" outlineLevel="0" collapsed="false">
      <c r="B911" s="1004" t="str">
        <f aca="false">'Смета Внутр'!B918</f>
        <v>Арматура М10</v>
      </c>
      <c r="C911" s="1004" t="str">
        <f aca="false">'Смета Внутр'!C918</f>
        <v>м.п.</v>
      </c>
      <c r="D911" s="1018" t="n">
        <f aca="false">'Смета Внутр'!D918</f>
        <v>0</v>
      </c>
      <c r="E911" s="1004" t="n">
        <f aca="false">'Смета Внутр'!E918</f>
        <v>21.0397</v>
      </c>
      <c r="F911" s="1004" t="n">
        <f aca="false">'Смета Внутр'!F918</f>
        <v>0</v>
      </c>
      <c r="G911" s="1004" t="n">
        <f aca="false">IF(E911&gt;F911,E911,F911)</f>
        <v>21.0397</v>
      </c>
      <c r="H911" s="1004" t="n">
        <f aca="false">'Смета Внутр'!G918</f>
        <v>0</v>
      </c>
      <c r="I911" s="1004" t="n">
        <f aca="false">'Смета Внутр'!H918</f>
        <v>0</v>
      </c>
      <c r="J911" s="1018" t="n">
        <f aca="false">'Смета Внутр'!I918</f>
        <v>0</v>
      </c>
    </row>
    <row r="912" customFormat="false" ht="15" hidden="false" customHeight="true" outlineLevel="0" collapsed="false">
      <c r="B912" s="1004" t="str">
        <f aca="false">'Смета Внутр'!B919</f>
        <v>Вязальная проволока</v>
      </c>
      <c r="C912" s="1004" t="str">
        <f aca="false">'Смета Внутр'!C919</f>
        <v>кг</v>
      </c>
      <c r="D912" s="1018" t="n">
        <f aca="false">'Смета Внутр'!D919</f>
        <v>0</v>
      </c>
      <c r="E912" s="1004" t="n">
        <f aca="false">'Смета Внутр'!E919</f>
        <v>80</v>
      </c>
      <c r="F912" s="1004" t="n">
        <f aca="false">'Смета Внутр'!F919</f>
        <v>0</v>
      </c>
      <c r="G912" s="1004" t="n">
        <f aca="false">IF(E912&gt;F912,E912,F912)</f>
        <v>80</v>
      </c>
      <c r="H912" s="1004" t="n">
        <f aca="false">'Смета Внутр'!G919</f>
        <v>0</v>
      </c>
      <c r="I912" s="1004" t="n">
        <f aca="false">'Смета Внутр'!H919</f>
        <v>0</v>
      </c>
      <c r="J912" s="1018" t="n">
        <f aca="false">'Смета Внутр'!I919</f>
        <v>0</v>
      </c>
    </row>
    <row r="913" customFormat="false" ht="15" hidden="false" customHeight="true" outlineLevel="0" collapsed="false">
      <c r="B913" s="1004" t="str">
        <f aca="false">'Смета Внутр'!B920</f>
        <v>Подставка под арматурный каркас</v>
      </c>
      <c r="C913" s="1004" t="str">
        <f aca="false">'Смета Внутр'!C920</f>
        <v>шт</v>
      </c>
      <c r="D913" s="1018" t="n">
        <f aca="false">'Смета Внутр'!D920</f>
        <v>0</v>
      </c>
      <c r="E913" s="1004" t="n">
        <f aca="false">'Смета Внутр'!E920</f>
        <v>5</v>
      </c>
      <c r="F913" s="1004" t="n">
        <f aca="false">'Смета Внутр'!F920</f>
        <v>0</v>
      </c>
      <c r="G913" s="1004" t="n">
        <f aca="false">IF(E913&gt;F913,E913,F913)</f>
        <v>5</v>
      </c>
      <c r="H913" s="1004" t="n">
        <f aca="false">'Смета Внутр'!G920</f>
        <v>0</v>
      </c>
      <c r="I913" s="1004" t="n">
        <f aca="false">'Смета Внутр'!H920</f>
        <v>0</v>
      </c>
      <c r="J913" s="1018" t="n">
        <f aca="false">'Смета Внутр'!I920</f>
        <v>0</v>
      </c>
    </row>
    <row r="914" customFormat="false" ht="15" hidden="false" customHeight="true" outlineLevel="0" collapsed="false">
      <c r="B914" s="1004" t="str">
        <f aca="false">'Смета Внутр'!B921</f>
        <v>бетон, м350</v>
      </c>
      <c r="C914" s="1004" t="str">
        <f aca="false">'Смета Внутр'!C921</f>
        <v>м3</v>
      </c>
      <c r="D914" s="1018" t="n">
        <f aca="false">'Смета Внутр'!D921</f>
        <v>0</v>
      </c>
      <c r="E914" s="1004" t="n">
        <f aca="false">'Смета Внутр'!E921</f>
        <v>3500</v>
      </c>
      <c r="F914" s="1004" t="n">
        <f aca="false">'Смета Внутр'!F921</f>
        <v>0</v>
      </c>
      <c r="G914" s="1004" t="n">
        <f aca="false">IF(E914&gt;F914,E914,F914)</f>
        <v>3500</v>
      </c>
      <c r="H914" s="1004" t="n">
        <f aca="false">'Смета Внутр'!G921</f>
        <v>0</v>
      </c>
      <c r="I914" s="1004" t="n">
        <f aca="false">'Смета Внутр'!H921</f>
        <v>0</v>
      </c>
      <c r="J914" s="1018" t="n">
        <f aca="false">'Смета Внутр'!I921</f>
        <v>0</v>
      </c>
    </row>
    <row r="915" customFormat="false" ht="15" hidden="false" customHeight="true" outlineLevel="0" collapsed="false">
      <c r="B915" s="1004" t="str">
        <f aca="false">'Смета Внутр'!B922</f>
        <v>Брус естественной влажности, 200*100мм</v>
      </c>
      <c r="C915" s="1004" t="str">
        <f aca="false">'Смета Внутр'!C922</f>
        <v>м3</v>
      </c>
      <c r="D915" s="1018" t="n">
        <f aca="false">'Смета Внутр'!D922</f>
        <v>0</v>
      </c>
      <c r="E915" s="1004" t="n">
        <f aca="false">'Смета Внутр'!E922</f>
        <v>6500</v>
      </c>
      <c r="F915" s="1004" t="n">
        <f aca="false">'Смета Внутр'!F922</f>
        <v>0</v>
      </c>
      <c r="G915" s="1004" t="n">
        <f aca="false">IF(E915&gt;F915,E915,F915)</f>
        <v>6500</v>
      </c>
      <c r="H915" s="1004" t="n">
        <f aca="false">'Смета Внутр'!G922</f>
        <v>0</v>
      </c>
      <c r="I915" s="1004" t="n">
        <f aca="false">'Смета Внутр'!H922</f>
        <v>0</v>
      </c>
      <c r="J915" s="1018" t="n">
        <f aca="false">'Смета Внутр'!I922</f>
        <v>0</v>
      </c>
    </row>
    <row r="916" customFormat="false" ht="15" hidden="false" customHeight="true" outlineLevel="0" collapsed="false">
      <c r="B916" s="1004" t="str">
        <f aca="false">'Смета Внутр'!B923</f>
        <v>Брус естественной влажности, 150*100мм</v>
      </c>
      <c r="C916" s="1004" t="str">
        <f aca="false">'Смета Внутр'!C923</f>
        <v>м3</v>
      </c>
      <c r="D916" s="1018" t="n">
        <f aca="false">'Смета Внутр'!D923</f>
        <v>0</v>
      </c>
      <c r="E916" s="1004" t="n">
        <f aca="false">'Смета Внутр'!E923</f>
        <v>6500</v>
      </c>
      <c r="F916" s="1004" t="n">
        <f aca="false">'Смета Внутр'!F923</f>
        <v>0</v>
      </c>
      <c r="G916" s="1004" t="n">
        <f aca="false">IF(E916&gt;F916,E916,F916)</f>
        <v>6500</v>
      </c>
      <c r="H916" s="1004" t="n">
        <f aca="false">'Смета Внутр'!G923</f>
        <v>0</v>
      </c>
      <c r="I916" s="1004" t="n">
        <f aca="false">'Смета Внутр'!H923</f>
        <v>0</v>
      </c>
      <c r="J916" s="1018" t="n">
        <f aca="false">'Смета Внутр'!I923</f>
        <v>0</v>
      </c>
    </row>
    <row r="917" customFormat="false" ht="15" hidden="false" customHeight="true" outlineLevel="0" collapsed="false">
      <c r="B917" s="1004" t="str">
        <f aca="false">'Смета Внутр'!B924</f>
        <v>Брус естественной влажности, 100*100мм</v>
      </c>
      <c r="C917" s="1004" t="str">
        <f aca="false">'Смета Внутр'!C924</f>
        <v>м3</v>
      </c>
      <c r="D917" s="1018" t="n">
        <f aca="false">'Смета Внутр'!D924</f>
        <v>0</v>
      </c>
      <c r="E917" s="1004" t="n">
        <f aca="false">'Смета Внутр'!E924</f>
        <v>6500</v>
      </c>
      <c r="F917" s="1004" t="n">
        <f aca="false">'Смета Внутр'!F924</f>
        <v>0</v>
      </c>
      <c r="G917" s="1004" t="n">
        <f aca="false">IF(E917&gt;F917,E917,F917)</f>
        <v>6500</v>
      </c>
      <c r="H917" s="1004" t="n">
        <f aca="false">'Смета Внутр'!G924</f>
        <v>0</v>
      </c>
      <c r="I917" s="1004" t="n">
        <f aca="false">'Смета Внутр'!H924</f>
        <v>0</v>
      </c>
      <c r="J917" s="1018" t="n">
        <f aca="false">'Смета Внутр'!I924</f>
        <v>0</v>
      </c>
    </row>
    <row r="918" customFormat="false" ht="15" hidden="false" customHeight="true" outlineLevel="0" collapsed="false">
      <c r="B918" s="1004" t="str">
        <f aca="false">'Смета Внутр'!B925</f>
        <v>Брус естественной влажности, 150*150мм</v>
      </c>
      <c r="C918" s="1004" t="str">
        <f aca="false">'Смета Внутр'!C925</f>
        <v>м3</v>
      </c>
      <c r="D918" s="1018" t="n">
        <f aca="false">'Смета Внутр'!D925</f>
        <v>0</v>
      </c>
      <c r="E918" s="1004" t="n">
        <f aca="false">'Смета Внутр'!E925</f>
        <v>6500</v>
      </c>
      <c r="F918" s="1004" t="n">
        <f aca="false">'Смета Внутр'!F925</f>
        <v>0</v>
      </c>
      <c r="G918" s="1004" t="n">
        <f aca="false">IF(E918&gt;F918,E918,F918)</f>
        <v>6500</v>
      </c>
      <c r="H918" s="1004" t="n">
        <f aca="false">'Смета Внутр'!G925</f>
        <v>0</v>
      </c>
      <c r="I918" s="1004" t="n">
        <f aca="false">'Смета Внутр'!H925</f>
        <v>0</v>
      </c>
      <c r="J918" s="1018" t="n">
        <f aca="false">'Смета Внутр'!I925</f>
        <v>0</v>
      </c>
    </row>
    <row r="919" customFormat="false" ht="15" hidden="false" customHeight="true" outlineLevel="0" collapsed="false">
      <c r="B919" s="1004" t="str">
        <f aca="false">'Смета Внутр'!B926</f>
        <v>Доска естественной влажности, 200*50мм</v>
      </c>
      <c r="C919" s="1004" t="str">
        <f aca="false">'Смета Внутр'!C926</f>
        <v>м3</v>
      </c>
      <c r="D919" s="1018" t="n">
        <f aca="false">'Смета Внутр'!D926</f>
        <v>0</v>
      </c>
      <c r="E919" s="1004" t="n">
        <f aca="false">'Смета Внутр'!E926</f>
        <v>6500</v>
      </c>
      <c r="F919" s="1004" t="n">
        <f aca="false">'Смета Внутр'!F926</f>
        <v>0</v>
      </c>
      <c r="G919" s="1004" t="n">
        <f aca="false">IF(E919&gt;F919,E919,F919)</f>
        <v>6500</v>
      </c>
      <c r="H919" s="1004" t="n">
        <f aca="false">'Смета Внутр'!G926</f>
        <v>0</v>
      </c>
      <c r="I919" s="1004" t="n">
        <f aca="false">'Смета Внутр'!H926</f>
        <v>0</v>
      </c>
      <c r="J919" s="1018" t="n">
        <f aca="false">'Смета Внутр'!I926</f>
        <v>0</v>
      </c>
    </row>
    <row r="920" customFormat="false" ht="15" hidden="false" customHeight="true" outlineLevel="0" collapsed="false">
      <c r="B920" s="1004" t="str">
        <f aca="false">'Смета Внутр'!B927</f>
        <v>Доска естественной влажности, 150*50мм</v>
      </c>
      <c r="C920" s="1004" t="str">
        <f aca="false">'Смета Внутр'!C927</f>
        <v>м3</v>
      </c>
      <c r="D920" s="1018" t="n">
        <f aca="false">'Смета Внутр'!D927</f>
        <v>0</v>
      </c>
      <c r="E920" s="1004" t="n">
        <f aca="false">'Смета Внутр'!E927</f>
        <v>6500</v>
      </c>
      <c r="F920" s="1004" t="n">
        <f aca="false">'Смета Внутр'!F927</f>
        <v>0</v>
      </c>
      <c r="G920" s="1004" t="n">
        <f aca="false">IF(E920&gt;F920,E920,F920)</f>
        <v>6500</v>
      </c>
      <c r="H920" s="1004" t="n">
        <f aca="false">'Смета Внутр'!G927</f>
        <v>0</v>
      </c>
      <c r="I920" s="1004" t="n">
        <f aca="false">'Смета Внутр'!H927</f>
        <v>0</v>
      </c>
      <c r="J920" s="1018" t="n">
        <f aca="false">'Смета Внутр'!I927</f>
        <v>0</v>
      </c>
    </row>
    <row r="921" customFormat="false" ht="15" hidden="false" customHeight="true" outlineLevel="0" collapsed="false">
      <c r="B921" s="1004" t="str">
        <f aca="false">'Смета Внутр'!B928</f>
        <v>Опора бруса</v>
      </c>
      <c r="C921" s="1004" t="str">
        <f aca="false">'Смета Внутр'!C928</f>
        <v>шт</v>
      </c>
      <c r="D921" s="1018" t="n">
        <f aca="false">'Смета Внутр'!D928</f>
        <v>0</v>
      </c>
      <c r="E921" s="1004" t="n">
        <f aca="false">'Смета Внутр'!E928</f>
        <v>50</v>
      </c>
      <c r="F921" s="1004" t="n">
        <f aca="false">'Смета Внутр'!F928</f>
        <v>0</v>
      </c>
      <c r="G921" s="1004" t="n">
        <f aca="false">IF(E921&gt;F921,E921,F921)</f>
        <v>50</v>
      </c>
      <c r="H921" s="1004" t="n">
        <f aca="false">'Смета Внутр'!G928</f>
        <v>0</v>
      </c>
      <c r="I921" s="1004" t="n">
        <f aca="false">'Смета Внутр'!H928</f>
        <v>0</v>
      </c>
      <c r="J921" s="1018" t="n">
        <f aca="false">'Смета Внутр'!I928</f>
        <v>0</v>
      </c>
    </row>
    <row r="922" customFormat="false" ht="15" hidden="false" customHeight="true" outlineLevel="0" collapsed="false">
      <c r="B922" s="1004" t="str">
        <f aca="false">'Смета Внутр'!B929</f>
        <v>Болты анкерные с гайкой 8,0 x 60</v>
      </c>
      <c r="C922" s="1004" t="str">
        <f aca="false">'Смета Внутр'!C929</f>
        <v>шт</v>
      </c>
      <c r="D922" s="1018" t="n">
        <f aca="false">'Смета Внутр'!D929</f>
        <v>0</v>
      </c>
      <c r="E922" s="1004" t="n">
        <f aca="false">'Смета Внутр'!E929</f>
        <v>4</v>
      </c>
      <c r="F922" s="1004" t="n">
        <f aca="false">'Смета Внутр'!F929</f>
        <v>0</v>
      </c>
      <c r="G922" s="1004" t="n">
        <f aca="false">IF(E922&gt;F922,E922,F922)</f>
        <v>4</v>
      </c>
      <c r="H922" s="1004" t="n">
        <f aca="false">'Смета Внутр'!G929</f>
        <v>0</v>
      </c>
      <c r="I922" s="1004" t="n">
        <f aca="false">'Смета Внутр'!H929</f>
        <v>0</v>
      </c>
      <c r="J922" s="1018" t="n">
        <f aca="false">'Смета Внутр'!I929</f>
        <v>0</v>
      </c>
    </row>
    <row r="923" customFormat="false" ht="15" hidden="false" customHeight="true" outlineLevel="0" collapsed="false">
      <c r="B923" s="1004" t="str">
        <f aca="false">'Смета Внутр'!B930</f>
        <v>Sip панель 2500*625*124мм</v>
      </c>
      <c r="C923" s="1004" t="str">
        <f aca="false">'Смета Внутр'!C930</f>
        <v>м2</v>
      </c>
      <c r="D923" s="1018" t="n">
        <f aca="false">'Смета Внутр'!D930</f>
        <v>0</v>
      </c>
      <c r="E923" s="1004" t="n">
        <f aca="false">'Смета Внутр'!E930</f>
        <v>800</v>
      </c>
      <c r="F923" s="1004" t="n">
        <f aca="false">'Смета Внутр'!F930</f>
        <v>0</v>
      </c>
      <c r="G923" s="1004" t="n">
        <f aca="false">IF(E923&gt;F923,E923,F923)</f>
        <v>800</v>
      </c>
      <c r="H923" s="1004" t="n">
        <f aca="false">'Смета Внутр'!G930</f>
        <v>0</v>
      </c>
      <c r="I923" s="1004" t="n">
        <f aca="false">'Смета Внутр'!H930</f>
        <v>0</v>
      </c>
      <c r="J923" s="1018" t="n">
        <f aca="false">'Смета Внутр'!I930</f>
        <v>0</v>
      </c>
    </row>
    <row r="924" customFormat="false" ht="15" hidden="false" customHeight="true" outlineLevel="0" collapsed="false">
      <c r="B924" s="1004" t="str">
        <f aca="false">'Смета Внутр'!B931</f>
        <v>Sip панель 2500*625*174мм</v>
      </c>
      <c r="C924" s="1004" t="str">
        <f aca="false">'Смета Внутр'!C931</f>
        <v>м2</v>
      </c>
      <c r="D924" s="1018" t="n">
        <f aca="false">'Смета Внутр'!D931</f>
        <v>0</v>
      </c>
      <c r="E924" s="1004" t="n">
        <f aca="false">'Смета Внутр'!E931</f>
        <v>1200</v>
      </c>
      <c r="F924" s="1004" t="n">
        <f aca="false">'Смета Внутр'!F931</f>
        <v>0</v>
      </c>
      <c r="G924" s="1004" t="n">
        <f aca="false">IF(E924&gt;F924,E924,F924)</f>
        <v>1200</v>
      </c>
      <c r="H924" s="1004" t="n">
        <f aca="false">'Смета Внутр'!G931</f>
        <v>0</v>
      </c>
      <c r="I924" s="1004" t="n">
        <f aca="false">'Смета Внутр'!H931</f>
        <v>0</v>
      </c>
      <c r="J924" s="1018" t="n">
        <f aca="false">'Смета Внутр'!I931</f>
        <v>0</v>
      </c>
    </row>
    <row r="925" customFormat="false" ht="15" hidden="false" customHeight="true" outlineLevel="0" collapsed="false">
      <c r="B925" s="1004" t="str">
        <f aca="false">'Смета Внутр'!B932</f>
        <v>Sip панель 2500*625*224мм</v>
      </c>
      <c r="C925" s="1004" t="str">
        <f aca="false">'Смета Внутр'!C932</f>
        <v>м2</v>
      </c>
      <c r="D925" s="1018" t="n">
        <f aca="false">'Смета Внутр'!D932</f>
        <v>0</v>
      </c>
      <c r="E925" s="1004" t="n">
        <f aca="false">'Смета Внутр'!E932</f>
        <v>1400</v>
      </c>
      <c r="F925" s="1004" t="n">
        <f aca="false">'Смета Внутр'!F932</f>
        <v>0</v>
      </c>
      <c r="G925" s="1004" t="n">
        <f aca="false">IF(E925&gt;F925,E925,F925)</f>
        <v>1400</v>
      </c>
      <c r="H925" s="1004" t="n">
        <f aca="false">'Смета Внутр'!G932</f>
        <v>0</v>
      </c>
      <c r="I925" s="1004" t="n">
        <f aca="false">'Смета Внутр'!H932</f>
        <v>0</v>
      </c>
      <c r="J925" s="1018" t="n">
        <f aca="false">'Смета Внутр'!I932</f>
        <v>0</v>
      </c>
    </row>
    <row r="926" customFormat="false" ht="15" hidden="false" customHeight="true" outlineLevel="0" collapsed="false">
      <c r="B926" s="1004" t="str">
        <f aca="false">'Смета Внутр'!B933</f>
        <v>Доска сухая, 100*50мм</v>
      </c>
      <c r="C926" s="1004" t="str">
        <f aca="false">'Смета Внутр'!C933</f>
        <v>м.п.</v>
      </c>
      <c r="D926" s="1018" t="n">
        <f aca="false">'Смета Внутр'!D933</f>
        <v>0</v>
      </c>
      <c r="E926" s="1004" t="n">
        <f aca="false">'Смета Внутр'!E933</f>
        <v>45</v>
      </c>
      <c r="F926" s="1004" t="n">
        <f aca="false">'Смета Внутр'!F933</f>
        <v>0</v>
      </c>
      <c r="G926" s="1004" t="n">
        <f aca="false">IF(E926&gt;F926,E926,F926)</f>
        <v>45</v>
      </c>
      <c r="H926" s="1004" t="n">
        <f aca="false">'Смета Внутр'!G933</f>
        <v>0</v>
      </c>
      <c r="I926" s="1004" t="n">
        <f aca="false">'Смета Внутр'!H933</f>
        <v>0</v>
      </c>
      <c r="J926" s="1018" t="n">
        <f aca="false">'Смета Внутр'!I933</f>
        <v>0</v>
      </c>
    </row>
    <row r="927" customFormat="false" ht="15" hidden="false" customHeight="true" outlineLevel="0" collapsed="false">
      <c r="B927" s="1004" t="str">
        <f aca="false">'Смета Внутр'!B934</f>
        <v>Доска сухая, 150*50мм</v>
      </c>
      <c r="C927" s="1004" t="str">
        <f aca="false">'Смета Внутр'!C934</f>
        <v>м.п.</v>
      </c>
      <c r="D927" s="1018" t="n">
        <f aca="false">'Смета Внутр'!D934</f>
        <v>0</v>
      </c>
      <c r="E927" s="1004" t="n">
        <f aca="false">'Смета Внутр'!E934</f>
        <v>67.5</v>
      </c>
      <c r="F927" s="1004" t="n">
        <f aca="false">'Смета Внутр'!F934</f>
        <v>0</v>
      </c>
      <c r="G927" s="1004" t="n">
        <f aca="false">IF(E927&gt;F927,E927,F927)</f>
        <v>67.5</v>
      </c>
      <c r="H927" s="1004" t="n">
        <f aca="false">'Смета Внутр'!G934</f>
        <v>0</v>
      </c>
      <c r="I927" s="1004" t="n">
        <f aca="false">'Смета Внутр'!H934</f>
        <v>0</v>
      </c>
      <c r="J927" s="1018" t="n">
        <f aca="false">'Смета Внутр'!I934</f>
        <v>0</v>
      </c>
    </row>
    <row r="928" customFormat="false" ht="15" hidden="false" customHeight="true" outlineLevel="0" collapsed="false">
      <c r="B928" s="1004" t="str">
        <f aca="false">'Смета Внутр'!B935</f>
        <v>Доска сухая, 200*50мм</v>
      </c>
      <c r="C928" s="1004" t="str">
        <f aca="false">'Смета Внутр'!C935</f>
        <v>м.п.</v>
      </c>
      <c r="D928" s="1018" t="n">
        <f aca="false">'Смета Внутр'!D935</f>
        <v>0</v>
      </c>
      <c r="E928" s="1004" t="n">
        <f aca="false">'Смета Внутр'!E935</f>
        <v>90</v>
      </c>
      <c r="F928" s="1004" t="n">
        <f aca="false">'Смета Внутр'!F935</f>
        <v>0</v>
      </c>
      <c r="G928" s="1004" t="n">
        <f aca="false">IF(E928&gt;F928,E928,F928)</f>
        <v>90</v>
      </c>
      <c r="H928" s="1004" t="n">
        <f aca="false">'Смета Внутр'!G935</f>
        <v>0</v>
      </c>
      <c r="I928" s="1004" t="n">
        <f aca="false">'Смета Внутр'!H935</f>
        <v>0</v>
      </c>
      <c r="J928" s="1018" t="n">
        <f aca="false">'Смета Внутр'!I935</f>
        <v>0</v>
      </c>
    </row>
    <row r="929" customFormat="false" ht="15" hidden="false" customHeight="true" outlineLevel="0" collapsed="false">
      <c r="B929" s="1004" t="str">
        <f aca="false">'Смета Внутр'!B936</f>
        <v>Пена монтажная, всесезонняя 800мл</v>
      </c>
      <c r="C929" s="1004" t="str">
        <f aca="false">'Смета Внутр'!C936</f>
        <v>шт</v>
      </c>
      <c r="D929" s="1018" t="n">
        <f aca="false">'Смета Внутр'!D936</f>
        <v>0</v>
      </c>
      <c r="E929" s="1004" t="n">
        <f aca="false">'Смета Внутр'!E936</f>
        <v>300</v>
      </c>
      <c r="F929" s="1004" t="n">
        <f aca="false">'Смета Внутр'!F936</f>
        <v>0</v>
      </c>
      <c r="G929" s="1004" t="n">
        <f aca="false">IF(E929&gt;F929,E929,F929)</f>
        <v>300</v>
      </c>
      <c r="H929" s="1004" t="n">
        <f aca="false">'Смета Внутр'!G936</f>
        <v>0</v>
      </c>
      <c r="I929" s="1004" t="n">
        <f aca="false">'Смета Внутр'!H936</f>
        <v>0</v>
      </c>
      <c r="J929" s="1018" t="n">
        <f aca="false">'Смета Внутр'!I936</f>
        <v>0</v>
      </c>
    </row>
    <row r="930" customFormat="false" ht="15" hidden="false" customHeight="true" outlineLevel="0" collapsed="false">
      <c r="B930" s="1004" t="str">
        <f aca="false">'Смета Внутр'!B937</f>
        <v>Гвозди строительные 3,5 x 90</v>
      </c>
      <c r="C930" s="1004" t="str">
        <f aca="false">'Смета Внутр'!C937</f>
        <v>шт</v>
      </c>
      <c r="D930" s="1018" t="n">
        <f aca="false">'Смета Внутр'!D937</f>
        <v>0</v>
      </c>
      <c r="E930" s="1004" t="n">
        <f aca="false">'Смета Внутр'!E937</f>
        <v>45</v>
      </c>
      <c r="F930" s="1004" t="n">
        <f aca="false">'Смета Внутр'!F937</f>
        <v>0</v>
      </c>
      <c r="G930" s="1004" t="n">
        <f aca="false">IF(E930&gt;F930,E930,F930)</f>
        <v>45</v>
      </c>
      <c r="H930" s="1004" t="n">
        <f aca="false">'Смета Внутр'!G937</f>
        <v>0</v>
      </c>
      <c r="I930" s="1004" t="n">
        <f aca="false">'Смета Внутр'!H937</f>
        <v>0</v>
      </c>
      <c r="J930" s="1018" t="n">
        <f aca="false">'Смета Внутр'!I937</f>
        <v>0</v>
      </c>
    </row>
    <row r="931" customFormat="false" ht="15" hidden="false" customHeight="true" outlineLevel="0" collapsed="false">
      <c r="B931" s="1004" t="str">
        <f aca="false">'Смета Внутр'!B938</f>
        <v>Саморезы 3,5 x 45</v>
      </c>
      <c r="C931" s="1004" t="str">
        <f aca="false">'Смета Внутр'!C938</f>
        <v>шт</v>
      </c>
      <c r="D931" s="1018" t="n">
        <f aca="false">'Смета Внутр'!D938</f>
        <v>0</v>
      </c>
      <c r="E931" s="1004" t="n">
        <f aca="false">'Смета Внутр'!E938</f>
        <v>0.25</v>
      </c>
      <c r="F931" s="1004" t="n">
        <f aca="false">'Смета Внутр'!F938</f>
        <v>0</v>
      </c>
      <c r="G931" s="1004" t="n">
        <f aca="false">IF(E931&gt;F931,E931,F931)</f>
        <v>0.25</v>
      </c>
      <c r="H931" s="1004" t="n">
        <f aca="false">'Смета Внутр'!G938</f>
        <v>0</v>
      </c>
      <c r="I931" s="1004" t="n">
        <f aca="false">'Смета Внутр'!H938</f>
        <v>0</v>
      </c>
      <c r="J931" s="1018" t="n">
        <f aca="false">'Смета Внутр'!I938</f>
        <v>0</v>
      </c>
    </row>
    <row r="932" customFormat="false" ht="15" hidden="false" customHeight="true" outlineLevel="0" collapsed="false">
      <c r="B932" s="1004" t="str">
        <f aca="false">'Смета Внутр'!B939</f>
        <v>Доска сухая, 200*50мм</v>
      </c>
      <c r="C932" s="1004" t="str">
        <f aca="false">'Смета Внутр'!C939</f>
        <v>м3</v>
      </c>
      <c r="D932" s="1018" t="n">
        <f aca="false">'Смета Внутр'!D939</f>
        <v>0</v>
      </c>
      <c r="E932" s="1004" t="n">
        <f aca="false">'Смета Внутр'!E939</f>
        <v>9000</v>
      </c>
      <c r="F932" s="1004" t="n">
        <f aca="false">'Смета Внутр'!F939</f>
        <v>0</v>
      </c>
      <c r="G932" s="1004" t="n">
        <f aca="false">IF(E932&gt;F932,E932,F932)</f>
        <v>9000</v>
      </c>
      <c r="H932" s="1004" t="n">
        <f aca="false">'Смета Внутр'!G939</f>
        <v>0</v>
      </c>
      <c r="I932" s="1004" t="n">
        <f aca="false">'Смета Внутр'!H939</f>
        <v>0</v>
      </c>
      <c r="J932" s="1018" t="n">
        <f aca="false">'Смета Внутр'!I939</f>
        <v>0</v>
      </c>
    </row>
    <row r="933" customFormat="false" ht="15" hidden="false" customHeight="true" outlineLevel="0" collapsed="false">
      <c r="B933" s="1004" t="str">
        <f aca="false">'Смета Внутр'!B940</f>
        <v>Доска сухая, 150*50мм</v>
      </c>
      <c r="C933" s="1004" t="str">
        <f aca="false">'Смета Внутр'!C940</f>
        <v>м3</v>
      </c>
      <c r="D933" s="1018" t="n">
        <f aca="false">'Смета Внутр'!D940</f>
        <v>0</v>
      </c>
      <c r="E933" s="1004" t="n">
        <f aca="false">'Смета Внутр'!E940</f>
        <v>9000</v>
      </c>
      <c r="F933" s="1004" t="n">
        <f aca="false">'Смета Внутр'!F940</f>
        <v>0</v>
      </c>
      <c r="G933" s="1004" t="n">
        <f aca="false">IF(E933&gt;F933,E933,F933)</f>
        <v>9000</v>
      </c>
      <c r="H933" s="1004" t="n">
        <f aca="false">'Смета Внутр'!G940</f>
        <v>0</v>
      </c>
      <c r="I933" s="1004" t="n">
        <f aca="false">'Смета Внутр'!H940</f>
        <v>0</v>
      </c>
      <c r="J933" s="1018" t="n">
        <f aca="false">'Смета Внутр'!I940</f>
        <v>0</v>
      </c>
    </row>
    <row r="934" customFormat="false" ht="15" hidden="false" customHeight="true" outlineLevel="0" collapsed="false">
      <c r="B934" s="1004" t="str">
        <f aca="false">'Смета Внутр'!B941</f>
        <v>Гвозди ершоные 2,8 х 90</v>
      </c>
      <c r="C934" s="1004" t="str">
        <f aca="false">'Смета Внутр'!C941</f>
        <v>кг</v>
      </c>
      <c r="D934" s="1018" t="n">
        <f aca="false">'Смета Внутр'!D941</f>
        <v>0</v>
      </c>
      <c r="E934" s="1004" t="n">
        <f aca="false">'Смета Внутр'!E941</f>
        <v>76.49</v>
      </c>
      <c r="F934" s="1004" t="n">
        <f aca="false">'Смета Внутр'!F941</f>
        <v>0</v>
      </c>
      <c r="G934" s="1004" t="n">
        <f aca="false">IF(E934&gt;F934,E934,F934)</f>
        <v>76.49</v>
      </c>
      <c r="H934" s="1004" t="n">
        <f aca="false">'Смета Внутр'!G941</f>
        <v>0</v>
      </c>
      <c r="I934" s="1004" t="n">
        <f aca="false">'Смета Внутр'!H941</f>
        <v>0</v>
      </c>
      <c r="J934" s="1018" t="n">
        <f aca="false">'Смета Внутр'!I941</f>
        <v>0</v>
      </c>
    </row>
    <row r="935" customFormat="false" ht="15" hidden="false" customHeight="true" outlineLevel="0" collapsed="false">
      <c r="B935" s="1004" t="str">
        <f aca="false">'Смета Внутр'!B942</f>
        <v>Доска сухая калиброванная, 190*45мм</v>
      </c>
      <c r="C935" s="1004" t="str">
        <f aca="false">'Смета Внутр'!C942</f>
        <v>м3</v>
      </c>
      <c r="D935" s="1018" t="n">
        <f aca="false">'Смета Внутр'!D942</f>
        <v>0</v>
      </c>
      <c r="E935" s="1004" t="n">
        <f aca="false">'Смета Внутр'!E942</f>
        <v>12500</v>
      </c>
      <c r="F935" s="1004" t="n">
        <f aca="false">'Смета Внутр'!F942</f>
        <v>0</v>
      </c>
      <c r="G935" s="1004" t="n">
        <f aca="false">IF(E935&gt;F935,E935,F935)</f>
        <v>12500</v>
      </c>
      <c r="H935" s="1004" t="n">
        <f aca="false">'Смета Внутр'!G942</f>
        <v>0</v>
      </c>
      <c r="I935" s="1004" t="n">
        <f aca="false">'Смета Внутр'!H942</f>
        <v>0</v>
      </c>
      <c r="J935" s="1018" t="n">
        <f aca="false">'Смета Внутр'!I942</f>
        <v>0</v>
      </c>
    </row>
    <row r="936" customFormat="false" ht="15" hidden="false" customHeight="true" outlineLevel="0" collapsed="false">
      <c r="B936" s="1004" t="str">
        <f aca="false">'Смета Внутр'!B943</f>
        <v>Доска сухая калиброванная, 145*45мм</v>
      </c>
      <c r="C936" s="1004" t="str">
        <f aca="false">'Смета Внутр'!C943</f>
        <v>м3</v>
      </c>
      <c r="D936" s="1018" t="n">
        <f aca="false">'Смета Внутр'!D943</f>
        <v>0</v>
      </c>
      <c r="E936" s="1004" t="n">
        <f aca="false">'Смета Внутр'!E943</f>
        <v>12500</v>
      </c>
      <c r="F936" s="1004" t="n">
        <f aca="false">'Смета Внутр'!F943</f>
        <v>0</v>
      </c>
      <c r="G936" s="1004" t="n">
        <f aca="false">IF(E936&gt;F936,E936,F936)</f>
        <v>12500</v>
      </c>
      <c r="H936" s="1004" t="n">
        <f aca="false">'Смета Внутр'!G943</f>
        <v>0</v>
      </c>
      <c r="I936" s="1004" t="n">
        <f aca="false">'Смета Внутр'!H943</f>
        <v>0</v>
      </c>
      <c r="J936" s="1018" t="n">
        <f aca="false">'Смета Внутр'!I943</f>
        <v>0</v>
      </c>
    </row>
    <row r="937" customFormat="false" ht="15" hidden="false" customHeight="true" outlineLevel="0" collapsed="false">
      <c r="B937" s="1004" t="str">
        <f aca="false">'Смета Внутр'!B944</f>
        <v>Гвозди ершоные 2,8 х 90</v>
      </c>
      <c r="C937" s="1004" t="str">
        <f aca="false">'Смета Внутр'!C944</f>
        <v>кг</v>
      </c>
      <c r="D937" s="1018" t="n">
        <f aca="false">'Смета Внутр'!D944</f>
        <v>0</v>
      </c>
      <c r="E937" s="1004" t="n">
        <f aca="false">'Смета Внутр'!E944</f>
        <v>76.49</v>
      </c>
      <c r="F937" s="1004" t="n">
        <f aca="false">'Смета Внутр'!F944</f>
        <v>0</v>
      </c>
      <c r="G937" s="1004" t="n">
        <f aca="false">IF(E937&gt;F937,E937,F937)</f>
        <v>76.49</v>
      </c>
      <c r="H937" s="1004" t="n">
        <f aca="false">'Смета Внутр'!G944</f>
        <v>0</v>
      </c>
      <c r="I937" s="1004" t="n">
        <f aca="false">'Смета Внутр'!H944</f>
        <v>0</v>
      </c>
      <c r="J937" s="1018" t="n">
        <f aca="false">'Смета Внутр'!I944</f>
        <v>0</v>
      </c>
    </row>
    <row r="938" customFormat="false" ht="15" hidden="false" customHeight="true" outlineLevel="0" collapsed="false">
      <c r="B938" s="1004" t="str">
        <f aca="false">'Смета Внутр'!B945</f>
        <v>Двутавровая деревянная балка, 400*65мм</v>
      </c>
      <c r="C938" s="1004" t="str">
        <f aca="false">'Смета Внутр'!C945</f>
        <v>м.п.</v>
      </c>
      <c r="D938" s="1018" t="n">
        <f aca="false">'Смета Внутр'!D945</f>
        <v>0</v>
      </c>
      <c r="E938" s="1004" t="n">
        <f aca="false">'Смета Внутр'!E945</f>
        <v>303</v>
      </c>
      <c r="F938" s="1004" t="n">
        <f aca="false">'Смета Внутр'!F945</f>
        <v>0</v>
      </c>
      <c r="G938" s="1004" t="n">
        <f aca="false">IF(E938&gt;F938,E938,F938)</f>
        <v>303</v>
      </c>
      <c r="H938" s="1004" t="n">
        <f aca="false">'Смета Внутр'!G945</f>
        <v>0</v>
      </c>
      <c r="I938" s="1004" t="n">
        <f aca="false">'Смета Внутр'!H945</f>
        <v>0</v>
      </c>
      <c r="J938" s="1018" t="n">
        <f aca="false">'Смета Внутр'!I945</f>
        <v>0</v>
      </c>
    </row>
    <row r="939" customFormat="false" ht="15" hidden="false" customHeight="true" outlineLevel="0" collapsed="false">
      <c r="B939" s="1004" t="str">
        <f aca="false">'Смета Внутр'!B946</f>
        <v>Двутавровая деревянная балка, 400*90мм</v>
      </c>
      <c r="C939" s="1004" t="str">
        <f aca="false">'Смета Внутр'!C946</f>
        <v>м.п.</v>
      </c>
      <c r="D939" s="1018" t="n">
        <f aca="false">'Смета Внутр'!D946</f>
        <v>0</v>
      </c>
      <c r="E939" s="1004" t="n">
        <f aca="false">'Смета Внутр'!E946</f>
        <v>355</v>
      </c>
      <c r="F939" s="1004" t="n">
        <f aca="false">'Смета Внутр'!F946</f>
        <v>0</v>
      </c>
      <c r="G939" s="1004" t="n">
        <f aca="false">IF(E939&gt;F939,E939,F939)</f>
        <v>355</v>
      </c>
      <c r="H939" s="1004" t="n">
        <f aca="false">'Смета Внутр'!G946</f>
        <v>0</v>
      </c>
      <c r="I939" s="1004" t="n">
        <f aca="false">'Смета Внутр'!H946</f>
        <v>0</v>
      </c>
      <c r="J939" s="1018" t="n">
        <f aca="false">'Смета Внутр'!I946</f>
        <v>0</v>
      </c>
    </row>
    <row r="940" customFormat="false" ht="15" hidden="false" customHeight="true" outlineLevel="0" collapsed="false">
      <c r="B940" s="1004" t="str">
        <f aca="false">'Смета Внутр'!B947</f>
        <v>Двутавровая деревянная балка, 350*65мм</v>
      </c>
      <c r="C940" s="1004" t="str">
        <f aca="false">'Смета Внутр'!C947</f>
        <v>м.п.</v>
      </c>
      <c r="D940" s="1018" t="n">
        <f aca="false">'Смета Внутр'!D947</f>
        <v>0</v>
      </c>
      <c r="E940" s="1004" t="n">
        <f aca="false">'Смета Внутр'!E947</f>
        <v>287</v>
      </c>
      <c r="F940" s="1004" t="n">
        <f aca="false">'Смета Внутр'!F947</f>
        <v>0</v>
      </c>
      <c r="G940" s="1004" t="n">
        <f aca="false">IF(E940&gt;F940,E940,F940)</f>
        <v>287</v>
      </c>
      <c r="H940" s="1004" t="n">
        <f aca="false">'Смета Внутр'!G947</f>
        <v>0</v>
      </c>
      <c r="I940" s="1004" t="n">
        <f aca="false">'Смета Внутр'!H947</f>
        <v>0</v>
      </c>
      <c r="J940" s="1018" t="n">
        <f aca="false">'Смета Внутр'!I947</f>
        <v>0</v>
      </c>
    </row>
    <row r="941" customFormat="false" ht="15" hidden="false" customHeight="true" outlineLevel="0" collapsed="false">
      <c r="B941" s="1004" t="str">
        <f aca="false">'Смета Внутр'!B948</f>
        <v>Двутавровая деревянная балка, 350*90мм</v>
      </c>
      <c r="C941" s="1004" t="str">
        <f aca="false">'Смета Внутр'!C948</f>
        <v>м.п.</v>
      </c>
      <c r="D941" s="1018" t="n">
        <f aca="false">'Смета Внутр'!D948</f>
        <v>0</v>
      </c>
      <c r="E941" s="1004" t="n">
        <f aca="false">'Смета Внутр'!E948</f>
        <v>315</v>
      </c>
      <c r="F941" s="1004" t="n">
        <f aca="false">'Смета Внутр'!F948</f>
        <v>0</v>
      </c>
      <c r="G941" s="1004" t="n">
        <f aca="false">IF(E941&gt;F941,E941,F941)</f>
        <v>315</v>
      </c>
      <c r="H941" s="1004" t="n">
        <f aca="false">'Смета Внутр'!G948</f>
        <v>0</v>
      </c>
      <c r="I941" s="1004" t="n">
        <f aca="false">'Смета Внутр'!H948</f>
        <v>0</v>
      </c>
      <c r="J941" s="1018" t="n">
        <f aca="false">'Смета Внутр'!I948</f>
        <v>0</v>
      </c>
    </row>
    <row r="942" customFormat="false" ht="15" hidden="false" customHeight="true" outlineLevel="0" collapsed="false">
      <c r="B942" s="1004" t="str">
        <f aca="false">'Смета Внутр'!B949</f>
        <v>Двутавровая деревянная балка, 300*65мм</v>
      </c>
      <c r="C942" s="1004" t="str">
        <f aca="false">'Смета Внутр'!C949</f>
        <v>м.п.</v>
      </c>
      <c r="D942" s="1018" t="n">
        <f aca="false">'Смета Внутр'!D949</f>
        <v>0</v>
      </c>
      <c r="E942" s="1004" t="n">
        <f aca="false">'Смета Внутр'!E949</f>
        <v>273</v>
      </c>
      <c r="F942" s="1004" t="n">
        <f aca="false">'Смета Внутр'!F949</f>
        <v>0</v>
      </c>
      <c r="G942" s="1004" t="n">
        <f aca="false">IF(E942&gt;F942,E942,F942)</f>
        <v>273</v>
      </c>
      <c r="H942" s="1004" t="n">
        <f aca="false">'Смета Внутр'!G949</f>
        <v>0</v>
      </c>
      <c r="I942" s="1004" t="n">
        <f aca="false">'Смета Внутр'!H949</f>
        <v>0</v>
      </c>
      <c r="J942" s="1018" t="n">
        <f aca="false">'Смета Внутр'!I949</f>
        <v>0</v>
      </c>
    </row>
    <row r="943" customFormat="false" ht="15" hidden="false" customHeight="true" outlineLevel="0" collapsed="false">
      <c r="B943" s="1004" t="str">
        <f aca="false">'Смета Внутр'!B950</f>
        <v>Двутавровая деревянная балка, 300*90мм</v>
      </c>
      <c r="C943" s="1004" t="str">
        <f aca="false">'Смета Внутр'!C950</f>
        <v>м.п.</v>
      </c>
      <c r="D943" s="1018" t="n">
        <f aca="false">'Смета Внутр'!D950</f>
        <v>0</v>
      </c>
      <c r="E943" s="1004" t="n">
        <f aca="false">'Смета Внутр'!E950</f>
        <v>315</v>
      </c>
      <c r="F943" s="1004" t="n">
        <f aca="false">'Смета Внутр'!F950</f>
        <v>0</v>
      </c>
      <c r="G943" s="1004" t="n">
        <f aca="false">IF(E943&gt;F943,E943,F943)</f>
        <v>315</v>
      </c>
      <c r="H943" s="1004" t="n">
        <f aca="false">'Смета Внутр'!G950</f>
        <v>0</v>
      </c>
      <c r="I943" s="1004" t="n">
        <f aca="false">'Смета Внутр'!H950</f>
        <v>0</v>
      </c>
      <c r="J943" s="1018" t="n">
        <f aca="false">'Смета Внутр'!I950</f>
        <v>0</v>
      </c>
    </row>
    <row r="944" customFormat="false" ht="15" hidden="false" customHeight="true" outlineLevel="0" collapsed="false">
      <c r="B944" s="1004" t="str">
        <f aca="false">'Смета Внутр'!B951</f>
        <v>Двутавровая деревянная балка, 240*65мм</v>
      </c>
      <c r="C944" s="1004" t="str">
        <f aca="false">'Смета Внутр'!C951</f>
        <v>м.п.</v>
      </c>
      <c r="D944" s="1018" t="n">
        <f aca="false">'Смета Внутр'!D951</f>
        <v>0</v>
      </c>
      <c r="E944" s="1004" t="n">
        <f aca="false">'Смета Внутр'!E951</f>
        <v>263</v>
      </c>
      <c r="F944" s="1004" t="n">
        <f aca="false">'Смета Внутр'!F951</f>
        <v>0</v>
      </c>
      <c r="G944" s="1004" t="n">
        <f aca="false">IF(E944&gt;F944,E944,F944)</f>
        <v>263</v>
      </c>
      <c r="H944" s="1004" t="n">
        <f aca="false">'Смета Внутр'!G951</f>
        <v>0</v>
      </c>
      <c r="I944" s="1004" t="n">
        <f aca="false">'Смета Внутр'!H951</f>
        <v>0</v>
      </c>
      <c r="J944" s="1018" t="n">
        <f aca="false">'Смета Внутр'!I951</f>
        <v>0</v>
      </c>
    </row>
    <row r="945" customFormat="false" ht="15" hidden="false" customHeight="true" outlineLevel="0" collapsed="false">
      <c r="B945" s="1004" t="str">
        <f aca="false">'Смета Внутр'!B952</f>
        <v>Двутавровая деревянная балка, 240*90мм</v>
      </c>
      <c r="C945" s="1004" t="str">
        <f aca="false">'Смета Внутр'!C952</f>
        <v>м.п.</v>
      </c>
      <c r="D945" s="1018" t="n">
        <f aca="false">'Смета Внутр'!D952</f>
        <v>0</v>
      </c>
      <c r="E945" s="1004" t="n">
        <f aca="false">'Смета Внутр'!E952</f>
        <v>291</v>
      </c>
      <c r="F945" s="1004" t="n">
        <f aca="false">'Смета Внутр'!F952</f>
        <v>0</v>
      </c>
      <c r="G945" s="1004" t="n">
        <f aca="false">IF(E945&gt;F945,E945,F945)</f>
        <v>291</v>
      </c>
      <c r="H945" s="1004" t="n">
        <f aca="false">'Смета Внутр'!G952</f>
        <v>0</v>
      </c>
      <c r="I945" s="1004" t="n">
        <f aca="false">'Смета Внутр'!H952</f>
        <v>0</v>
      </c>
      <c r="J945" s="1018" t="n">
        <f aca="false">'Смета Внутр'!I952</f>
        <v>0</v>
      </c>
    </row>
    <row r="946" customFormat="false" ht="15" hidden="false" customHeight="true" outlineLevel="0" collapsed="false">
      <c r="B946" s="1004" t="str">
        <f aca="false">'Смета Внутр'!B953</f>
        <v>Двутавровая деревянная балка, 200*65мм</v>
      </c>
      <c r="C946" s="1004" t="str">
        <f aca="false">'Смета Внутр'!C953</f>
        <v>м.п.</v>
      </c>
      <c r="D946" s="1018" t="n">
        <f aca="false">'Смета Внутр'!D953</f>
        <v>0</v>
      </c>
      <c r="E946" s="1004" t="n">
        <f aca="false">'Смета Внутр'!E953</f>
        <v>250</v>
      </c>
      <c r="F946" s="1004" t="n">
        <f aca="false">'Смета Внутр'!F953</f>
        <v>0</v>
      </c>
      <c r="G946" s="1004" t="n">
        <f aca="false">IF(E946&gt;F946,E946,F946)</f>
        <v>250</v>
      </c>
      <c r="H946" s="1004" t="n">
        <f aca="false">'Смета Внутр'!G953</f>
        <v>0</v>
      </c>
      <c r="I946" s="1004" t="n">
        <f aca="false">'Смета Внутр'!H953</f>
        <v>0</v>
      </c>
      <c r="J946" s="1018" t="n">
        <f aca="false">'Смета Внутр'!I953</f>
        <v>0</v>
      </c>
    </row>
    <row r="947" customFormat="false" ht="15" hidden="false" customHeight="true" outlineLevel="0" collapsed="false">
      <c r="B947" s="1004" t="str">
        <f aca="false">'Смета Внутр'!B954</f>
        <v>Двутавровая деревянная балка, 200*90мм</v>
      </c>
      <c r="C947" s="1004" t="str">
        <f aca="false">'Смета Внутр'!C954</f>
        <v>м.п.</v>
      </c>
      <c r="D947" s="1018" t="n">
        <f aca="false">'Смета Внутр'!D954</f>
        <v>0</v>
      </c>
      <c r="E947" s="1004" t="n">
        <f aca="false">'Смета Внутр'!E954</f>
        <v>280</v>
      </c>
      <c r="F947" s="1004" t="n">
        <f aca="false">'Смета Внутр'!F954</f>
        <v>0</v>
      </c>
      <c r="G947" s="1004" t="n">
        <f aca="false">IF(E947&gt;F947,E947,F947)</f>
        <v>280</v>
      </c>
      <c r="H947" s="1004" t="n">
        <f aca="false">'Смета Внутр'!G954</f>
        <v>0</v>
      </c>
      <c r="I947" s="1004" t="n">
        <f aca="false">'Смета Внутр'!H954</f>
        <v>0</v>
      </c>
      <c r="J947" s="1018" t="n">
        <f aca="false">'Смета Внутр'!I954</f>
        <v>0</v>
      </c>
    </row>
    <row r="948" customFormat="false" ht="15" hidden="false" customHeight="true" outlineLevel="0" collapsed="false">
      <c r="B948" s="1004" t="str">
        <f aca="false">'Смета Внутр'!B955</f>
        <v>Двутавровая деревянная балка, 150*65мм</v>
      </c>
      <c r="C948" s="1004" t="str">
        <f aca="false">'Смета Внутр'!C955</f>
        <v>м.п.</v>
      </c>
      <c r="D948" s="1018" t="n">
        <f aca="false">'Смета Внутр'!D955</f>
        <v>0</v>
      </c>
      <c r="E948" s="1004" t="n">
        <f aca="false">'Смета Внутр'!E955</f>
        <v>220</v>
      </c>
      <c r="F948" s="1004" t="n">
        <f aca="false">'Смета Внутр'!F955</f>
        <v>0</v>
      </c>
      <c r="G948" s="1004" t="n">
        <f aca="false">IF(E948&gt;F948,E948,F948)</f>
        <v>220</v>
      </c>
      <c r="H948" s="1004" t="n">
        <f aca="false">'Смета Внутр'!G955</f>
        <v>0</v>
      </c>
      <c r="I948" s="1004" t="n">
        <f aca="false">'Смета Внутр'!H955</f>
        <v>0</v>
      </c>
      <c r="J948" s="1018" t="n">
        <f aca="false">'Смета Внутр'!I955</f>
        <v>0</v>
      </c>
    </row>
    <row r="949" customFormat="false" ht="15" hidden="false" customHeight="true" outlineLevel="0" collapsed="false">
      <c r="B949" s="1004" t="str">
        <f aca="false">'Смета Внутр'!B956</f>
        <v>Двутавровая деревянная балка, 150*90мм</v>
      </c>
      <c r="C949" s="1004" t="str">
        <f aca="false">'Смета Внутр'!C956</f>
        <v>м.п.</v>
      </c>
      <c r="D949" s="1018" t="n">
        <f aca="false">'Смета Внутр'!D956</f>
        <v>0</v>
      </c>
      <c r="E949" s="1004" t="n">
        <f aca="false">'Смета Внутр'!E956</f>
        <v>250</v>
      </c>
      <c r="F949" s="1004" t="n">
        <f aca="false">'Смета Внутр'!F956</f>
        <v>0</v>
      </c>
      <c r="G949" s="1004" t="n">
        <f aca="false">IF(E949&gt;F949,E949,F949)</f>
        <v>250</v>
      </c>
      <c r="H949" s="1004" t="n">
        <f aca="false">'Смета Внутр'!G956</f>
        <v>0</v>
      </c>
      <c r="I949" s="1004" t="n">
        <f aca="false">'Смета Внутр'!H956</f>
        <v>0</v>
      </c>
      <c r="J949" s="1018" t="n">
        <f aca="false">'Смета Внутр'!I956</f>
        <v>0</v>
      </c>
    </row>
    <row r="950" customFormat="false" ht="15" hidden="false" customHeight="true" outlineLevel="0" collapsed="false">
      <c r="B950" s="1004" t="str">
        <f aca="false">'Смета Внутр'!B957</f>
        <v>Уголок усиленный 90х70х55х2,5</v>
      </c>
      <c r="C950" s="1004" t="str">
        <f aca="false">'Смета Внутр'!C957</f>
        <v>шт</v>
      </c>
      <c r="D950" s="1018" t="n">
        <f aca="false">'Смета Внутр'!D957</f>
        <v>0</v>
      </c>
      <c r="E950" s="1004" t="n">
        <f aca="false">'Смета Внутр'!E957</f>
        <v>30</v>
      </c>
      <c r="F950" s="1004" t="n">
        <f aca="false">'Смета Внутр'!F957</f>
        <v>0</v>
      </c>
      <c r="G950" s="1004" t="n">
        <f aca="false">IF(E950&gt;F950,E950,F950)</f>
        <v>30</v>
      </c>
      <c r="H950" s="1004" t="n">
        <f aca="false">'Смета Внутр'!G957</f>
        <v>0</v>
      </c>
      <c r="I950" s="1004" t="n">
        <f aca="false">'Смета Внутр'!H957</f>
        <v>0</v>
      </c>
      <c r="J950" s="1018" t="n">
        <f aca="false">'Смета Внутр'!I957</f>
        <v>0</v>
      </c>
    </row>
    <row r="951" customFormat="false" ht="15" hidden="false" customHeight="true" outlineLevel="0" collapsed="false">
      <c r="B951" s="1004" t="str">
        <f aca="false">'Смета Внутр'!B958</f>
        <v>Саморезы 3,5 x 55</v>
      </c>
      <c r="C951" s="1004" t="str">
        <f aca="false">'Смета Внутр'!C958</f>
        <v>шт</v>
      </c>
      <c r="D951" s="1018" t="n">
        <f aca="false">'Смета Внутр'!D958</f>
        <v>0</v>
      </c>
      <c r="E951" s="1004" t="n">
        <f aca="false">'Смета Внутр'!E958</f>
        <v>0.3</v>
      </c>
      <c r="F951" s="1004" t="n">
        <f aca="false">'Смета Внутр'!F958</f>
        <v>0</v>
      </c>
      <c r="G951" s="1004" t="n">
        <f aca="false">IF(E951&gt;F951,E951,F951)</f>
        <v>0.3</v>
      </c>
      <c r="H951" s="1004" t="n">
        <f aca="false">'Смета Внутр'!G958</f>
        <v>0</v>
      </c>
      <c r="I951" s="1004" t="n">
        <f aca="false">'Смета Внутр'!H958</f>
        <v>0</v>
      </c>
      <c r="J951" s="1018" t="n">
        <f aca="false">'Смета Внутр'!I958</f>
        <v>0</v>
      </c>
    </row>
    <row r="952" customFormat="false" ht="15" hidden="false" customHeight="true" outlineLevel="0" collapsed="false">
      <c r="B952" s="2888" t="str">
        <f aca="false">'Смета Внутр'!B959</f>
        <v>Нет</v>
      </c>
      <c r="C952" s="2888" t="str">
        <f aca="false">'Смета Внутр'!C959</f>
        <v>м3</v>
      </c>
      <c r="D952" s="2897" t="n">
        <f aca="false">'Смета Внутр'!D959</f>
        <v>0</v>
      </c>
      <c r="E952" s="1004" t="n">
        <f aca="false">'Смета Внутр'!E959</f>
        <v>0</v>
      </c>
      <c r="F952" s="1004" t="n">
        <f aca="false">'Смета Внутр'!F959</f>
        <v>0</v>
      </c>
      <c r="G952" s="2888" t="n">
        <f aca="false">IF(E952&gt;F952,E952,F952)</f>
        <v>0</v>
      </c>
      <c r="H952" s="1004" t="n">
        <f aca="false">'Смета Внутр'!G959</f>
        <v>0</v>
      </c>
      <c r="I952" s="1004" t="n">
        <f aca="false">'Смета Внутр'!H959</f>
        <v>0</v>
      </c>
      <c r="J952" s="2897" t="n">
        <f aca="false">'Смета Внутр'!I959</f>
        <v>0</v>
      </c>
    </row>
    <row r="953" customFormat="false" ht="15" hidden="false" customHeight="true" outlineLevel="0" collapsed="false">
      <c r="B953" s="2888" t="str">
        <f aca="false">'Смета Внутр'!B960</f>
        <v>нет ветроизоляции</v>
      </c>
      <c r="C953" s="2888" t="str">
        <f aca="false">'Смета Внутр'!C960</f>
        <v>м2</v>
      </c>
      <c r="D953" s="2897" t="n">
        <f aca="false">'Смета Внутр'!D960</f>
        <v>100</v>
      </c>
      <c r="E953" s="1004" t="n">
        <f aca="false">'Смета Внутр'!E960</f>
        <v>0</v>
      </c>
      <c r="F953" s="1004" t="n">
        <f aca="false">'Смета Внутр'!F960</f>
        <v>0</v>
      </c>
      <c r="G953" s="2888" t="n">
        <f aca="false">IF(E953&gt;F953,E953,F953)</f>
        <v>0</v>
      </c>
      <c r="H953" s="1004" t="n">
        <f aca="false">'Смета Внутр'!G960</f>
        <v>0</v>
      </c>
      <c r="I953" s="1004" t="n">
        <f aca="false">'Смета Внутр'!H960</f>
        <v>0</v>
      </c>
      <c r="J953" s="2897" t="n">
        <f aca="false">'Смета Внутр'!I960</f>
        <v>0</v>
      </c>
    </row>
    <row r="954" customFormat="false" ht="15" hidden="false" customHeight="true" outlineLevel="0" collapsed="false">
      <c r="B954" s="2888" t="str">
        <f aca="false">'Смета Внутр'!B961</f>
        <v>нет пароизоляции</v>
      </c>
      <c r="C954" s="2888" t="str">
        <f aca="false">'Смета Внутр'!C961</f>
        <v>м2</v>
      </c>
      <c r="D954" s="2897" t="n">
        <f aca="false">'Смета Внутр'!D961</f>
        <v>100</v>
      </c>
      <c r="E954" s="1004" t="n">
        <f aca="false">'Смета Внутр'!E961</f>
        <v>0</v>
      </c>
      <c r="F954" s="1004" t="n">
        <f aca="false">'Смета Внутр'!F961</f>
        <v>0</v>
      </c>
      <c r="G954" s="2888" t="n">
        <f aca="false">IF(E954&gt;F954,E954,F954)</f>
        <v>0</v>
      </c>
      <c r="H954" s="1004" t="n">
        <f aca="false">'Смета Внутр'!G961</f>
        <v>0</v>
      </c>
      <c r="I954" s="1004" t="n">
        <f aca="false">'Смета Внутр'!H961</f>
        <v>0</v>
      </c>
      <c r="J954" s="2897" t="n">
        <f aca="false">'Смета Внутр'!I961</f>
        <v>0</v>
      </c>
    </row>
    <row r="955" customFormat="false" ht="15" hidden="false" customHeight="true" outlineLevel="0" collapsed="false">
      <c r="B955" s="1004" t="str">
        <f aca="false">'Смета Внутр'!B962</f>
        <v>Плита перекрытия ЖБИ</v>
      </c>
      <c r="C955" s="1004" t="str">
        <f aca="false">'Смета Внутр'!C962</f>
        <v>м2</v>
      </c>
      <c r="D955" s="1018" t="n">
        <f aca="false">'Смета Внутр'!D962</f>
        <v>0</v>
      </c>
      <c r="E955" s="1004" t="n">
        <f aca="false">'Смета Внутр'!E962</f>
        <v>1400</v>
      </c>
      <c r="F955" s="1004" t="n">
        <f aca="false">'Смета Внутр'!F962</f>
        <v>0</v>
      </c>
      <c r="G955" s="1004" t="n">
        <f aca="false">IF(E955&gt;F955,E955,F955)</f>
        <v>1400</v>
      </c>
      <c r="H955" s="1004" t="n">
        <f aca="false">'Смета Внутр'!G962</f>
        <v>0</v>
      </c>
      <c r="I955" s="1004" t="n">
        <f aca="false">'Смета Внутр'!H962</f>
        <v>0</v>
      </c>
      <c r="J955" s="1018" t="n">
        <f aca="false">'Смета Внутр'!I962</f>
        <v>0</v>
      </c>
    </row>
    <row r="956" customFormat="false" ht="15" hidden="false" customHeight="true" outlineLevel="0" collapsed="false">
      <c r="B956" s="1004" t="str">
        <f aca="false">'Смета Внутр'!B963</f>
        <v>Раствор, м250</v>
      </c>
      <c r="C956" s="1004" t="str">
        <f aca="false">'Смета Внутр'!C963</f>
        <v>м3</v>
      </c>
      <c r="D956" s="1018" t="n">
        <f aca="false">'Смета Внутр'!D963</f>
        <v>0</v>
      </c>
      <c r="E956" s="1004" t="n">
        <f aca="false">'Смета Внутр'!E963</f>
        <v>2500</v>
      </c>
      <c r="F956" s="1004" t="n">
        <f aca="false">'Смета Внутр'!F963</f>
        <v>0</v>
      </c>
      <c r="G956" s="1004" t="n">
        <f aca="false">IF(E956&gt;F956,E956,F956)</f>
        <v>2500</v>
      </c>
      <c r="H956" s="1004" t="n">
        <f aca="false">'Смета Внутр'!G963</f>
        <v>0</v>
      </c>
      <c r="I956" s="1004" t="n">
        <f aca="false">'Смета Внутр'!H963</f>
        <v>0</v>
      </c>
      <c r="J956" s="1018" t="n">
        <f aca="false">'Смета Внутр'!I963</f>
        <v>0</v>
      </c>
    </row>
    <row r="957" customFormat="false" ht="15" hidden="false" customHeight="true" outlineLevel="0" collapsed="false">
      <c r="B957" s="1004" t="str">
        <f aca="false">'Смета Внутр'!B964</f>
        <v>Монолит, бетон, 300мм, 2 слоя</v>
      </c>
      <c r="C957" s="1004" t="str">
        <f aca="false">'Смета Внутр'!C964</f>
        <v>м2</v>
      </c>
      <c r="D957" s="1018" t="n">
        <f aca="false">'Смета Внутр'!D964</f>
        <v>0</v>
      </c>
      <c r="E957" s="1004" t="n">
        <f aca="false">'Смета Внутр'!E964</f>
        <v>1</v>
      </c>
      <c r="F957" s="1004" t="n">
        <f aca="false">'Смета Внутр'!F964</f>
        <v>0</v>
      </c>
      <c r="G957" s="1004" t="n">
        <f aca="false">IF(E957&gt;F957,E957,F957)</f>
        <v>1</v>
      </c>
      <c r="H957" s="1004" t="n">
        <f aca="false">'Смета Внутр'!G964</f>
        <v>0</v>
      </c>
      <c r="I957" s="1004" t="n">
        <f aca="false">'Смета Внутр'!H964</f>
        <v>0</v>
      </c>
      <c r="J957" s="1018" t="n">
        <f aca="false">'Смета Внутр'!I964</f>
        <v>0</v>
      </c>
    </row>
    <row r="958" customFormat="false" ht="15" hidden="false" customHeight="true" outlineLevel="0" collapsed="false">
      <c r="B958" s="1004" t="str">
        <f aca="false">'Смета Внутр'!B965</f>
        <v>Монолит, бетон, 300мм, 1 слой</v>
      </c>
      <c r="C958" s="1004" t="str">
        <f aca="false">'Смета Внутр'!C965</f>
        <v>м2</v>
      </c>
      <c r="D958" s="1018" t="n">
        <f aca="false">'Смета Внутр'!D965</f>
        <v>0</v>
      </c>
      <c r="E958" s="1004" t="n">
        <f aca="false">'Смета Внутр'!E965</f>
        <v>1</v>
      </c>
      <c r="F958" s="1004" t="n">
        <f aca="false">'Смета Внутр'!F965</f>
        <v>0</v>
      </c>
      <c r="G958" s="1004" t="n">
        <f aca="false">IF(E958&gt;F958,E958,F958)</f>
        <v>1</v>
      </c>
      <c r="H958" s="1004" t="n">
        <f aca="false">'Смета Внутр'!G965</f>
        <v>0</v>
      </c>
      <c r="I958" s="1004" t="n">
        <f aca="false">'Смета Внутр'!H965</f>
        <v>0</v>
      </c>
      <c r="J958" s="1018" t="n">
        <f aca="false">'Смета Внутр'!I965</f>
        <v>0</v>
      </c>
    </row>
    <row r="959" customFormat="false" ht="15" hidden="false" customHeight="true" outlineLevel="0" collapsed="false">
      <c r="B959" s="1004" t="str">
        <f aca="false">'Смета Внутр'!B966</f>
        <v>Монолит, бетон, 250мм, 2 слоя</v>
      </c>
      <c r="C959" s="1004" t="str">
        <f aca="false">'Смета Внутр'!C966</f>
        <v>м2</v>
      </c>
      <c r="D959" s="1018" t="n">
        <f aca="false">'Смета Внутр'!D966</f>
        <v>0</v>
      </c>
      <c r="E959" s="1004" t="n">
        <f aca="false">'Смета Внутр'!E966</f>
        <v>1</v>
      </c>
      <c r="F959" s="1004" t="n">
        <f aca="false">'Смета Внутр'!F966</f>
        <v>0</v>
      </c>
      <c r="G959" s="1004" t="n">
        <f aca="false">IF(E959&gt;F959,E959,F959)</f>
        <v>1</v>
      </c>
      <c r="H959" s="1004" t="n">
        <f aca="false">'Смета Внутр'!G966</f>
        <v>0</v>
      </c>
      <c r="I959" s="1004" t="n">
        <f aca="false">'Смета Внутр'!H966</f>
        <v>0</v>
      </c>
      <c r="J959" s="1018" t="n">
        <f aca="false">'Смета Внутр'!I966</f>
        <v>0</v>
      </c>
    </row>
    <row r="960" customFormat="false" ht="15" hidden="false" customHeight="true" outlineLevel="0" collapsed="false">
      <c r="B960" s="1004" t="str">
        <f aca="false">'Смета Внутр'!B967</f>
        <v>Монолит, бетон, 250мм, 1 слой</v>
      </c>
      <c r="C960" s="1004" t="str">
        <f aca="false">'Смета Внутр'!C967</f>
        <v>м2</v>
      </c>
      <c r="D960" s="1018" t="n">
        <f aca="false">'Смета Внутр'!D967</f>
        <v>0</v>
      </c>
      <c r="E960" s="1004" t="n">
        <f aca="false">'Смета Внутр'!E967</f>
        <v>1</v>
      </c>
      <c r="F960" s="1004" t="n">
        <f aca="false">'Смета Внутр'!F967</f>
        <v>0</v>
      </c>
      <c r="G960" s="1004" t="n">
        <f aca="false">IF(E960&gt;F960,E960,F960)</f>
        <v>1</v>
      </c>
      <c r="H960" s="1004" t="n">
        <f aca="false">'Смета Внутр'!G967</f>
        <v>0</v>
      </c>
      <c r="I960" s="1004" t="n">
        <f aca="false">'Смета Внутр'!H967</f>
        <v>0</v>
      </c>
      <c r="J960" s="1018" t="n">
        <f aca="false">'Смета Внутр'!I967</f>
        <v>0</v>
      </c>
    </row>
    <row r="961" customFormat="false" ht="15" hidden="false" customHeight="true" outlineLevel="0" collapsed="false">
      <c r="B961" s="1004" t="str">
        <f aca="false">'Смета Внутр'!B968</f>
        <v>Монолит, бетон, 200мм, 2 слоя</v>
      </c>
      <c r="C961" s="1004" t="str">
        <f aca="false">'Смета Внутр'!C968</f>
        <v>м2</v>
      </c>
      <c r="D961" s="1018" t="n">
        <f aca="false">'Смета Внутр'!D968</f>
        <v>0</v>
      </c>
      <c r="E961" s="1004" t="n">
        <f aca="false">'Смета Внутр'!E968</f>
        <v>1</v>
      </c>
      <c r="F961" s="1004" t="n">
        <f aca="false">'Смета Внутр'!F968</f>
        <v>0</v>
      </c>
      <c r="G961" s="1004" t="n">
        <f aca="false">IF(E961&gt;F961,E961,F961)</f>
        <v>1</v>
      </c>
      <c r="H961" s="1004" t="n">
        <f aca="false">'Смета Внутр'!G968</f>
        <v>0</v>
      </c>
      <c r="I961" s="1004" t="n">
        <f aca="false">'Смета Внутр'!H968</f>
        <v>0</v>
      </c>
      <c r="J961" s="1018" t="n">
        <f aca="false">'Смета Внутр'!I968</f>
        <v>0</v>
      </c>
    </row>
    <row r="962" customFormat="false" ht="15" hidden="false" customHeight="true" outlineLevel="0" collapsed="false">
      <c r="B962" s="1004" t="str">
        <f aca="false">'Смета Внутр'!B969</f>
        <v>Монолит, бетон, 200мм, 1 слой</v>
      </c>
      <c r="C962" s="1004" t="str">
        <f aca="false">'Смета Внутр'!C969</f>
        <v>м2</v>
      </c>
      <c r="D962" s="1018" t="n">
        <f aca="false">'Смета Внутр'!D969</f>
        <v>0</v>
      </c>
      <c r="E962" s="1004" t="n">
        <f aca="false">'Смета Внутр'!E969</f>
        <v>1</v>
      </c>
      <c r="F962" s="1004" t="n">
        <f aca="false">'Смета Внутр'!F969</f>
        <v>0</v>
      </c>
      <c r="G962" s="1004" t="n">
        <f aca="false">IF(E962&gt;F962,E962,F962)</f>
        <v>1</v>
      </c>
      <c r="H962" s="1004" t="n">
        <f aca="false">'Смета Внутр'!G969</f>
        <v>0</v>
      </c>
      <c r="I962" s="1004" t="n">
        <f aca="false">'Смета Внутр'!H969</f>
        <v>0</v>
      </c>
      <c r="J962" s="1018" t="n">
        <f aca="false">'Смета Внутр'!I969</f>
        <v>0</v>
      </c>
    </row>
    <row r="963" customFormat="false" ht="15" hidden="false" customHeight="true" outlineLevel="0" collapsed="false">
      <c r="B963" s="1004" t="str">
        <f aca="false">'Смета Внутр'!B970</f>
        <v>Монолит, бетон, 150мм, 2 слоя</v>
      </c>
      <c r="C963" s="1004" t="str">
        <f aca="false">'Смета Внутр'!C970</f>
        <v>м2</v>
      </c>
      <c r="D963" s="1018" t="n">
        <f aca="false">'Смета Внутр'!D970</f>
        <v>0</v>
      </c>
      <c r="E963" s="1004" t="n">
        <f aca="false">'Смета Внутр'!E970</f>
        <v>1</v>
      </c>
      <c r="F963" s="1004" t="n">
        <f aca="false">'Смета Внутр'!F970</f>
        <v>0</v>
      </c>
      <c r="G963" s="1004" t="n">
        <f aca="false">IF(E963&gt;F963,E963,F963)</f>
        <v>1</v>
      </c>
      <c r="H963" s="1004" t="n">
        <f aca="false">'Смета Внутр'!G970</f>
        <v>0</v>
      </c>
      <c r="I963" s="1004" t="n">
        <f aca="false">'Смета Внутр'!H970</f>
        <v>0</v>
      </c>
      <c r="J963" s="1018" t="n">
        <f aca="false">'Смета Внутр'!I970</f>
        <v>0</v>
      </c>
    </row>
    <row r="964" customFormat="false" ht="15" hidden="false" customHeight="true" outlineLevel="0" collapsed="false">
      <c r="B964" s="1004" t="str">
        <f aca="false">'Смета Внутр'!B971</f>
        <v>Монолит, бетон, 150мм, 1 слой</v>
      </c>
      <c r="C964" s="1004" t="str">
        <f aca="false">'Смета Внутр'!C971</f>
        <v>м2</v>
      </c>
      <c r="D964" s="1018" t="n">
        <f aca="false">'Смета Внутр'!D971</f>
        <v>0</v>
      </c>
      <c r="E964" s="1004" t="n">
        <f aca="false">'Смета Внутр'!E971</f>
        <v>1</v>
      </c>
      <c r="F964" s="1004" t="n">
        <f aca="false">'Смета Внутр'!F971</f>
        <v>0</v>
      </c>
      <c r="G964" s="1004" t="n">
        <f aca="false">IF(E964&gt;F964,E964,F964)</f>
        <v>1</v>
      </c>
      <c r="H964" s="1004" t="n">
        <f aca="false">'Смета Внутр'!G971</f>
        <v>0</v>
      </c>
      <c r="I964" s="1004" t="n">
        <f aca="false">'Смета Внутр'!H971</f>
        <v>0</v>
      </c>
      <c r="J964" s="1018" t="n">
        <f aca="false">'Смета Внутр'!I971</f>
        <v>0</v>
      </c>
    </row>
    <row r="965" customFormat="false" ht="15" hidden="false" customHeight="true" outlineLevel="0" collapsed="false">
      <c r="B965" s="1004" t="str">
        <f aca="false">'Смета Внутр'!B972</f>
        <v>доска для опалубки монолит перекрытий</v>
      </c>
      <c r="C965" s="1004" t="str">
        <f aca="false">'Смета Внутр'!C972</f>
        <v>м3</v>
      </c>
      <c r="D965" s="1018" t="n">
        <f aca="false">'Смета Внутр'!D972</f>
        <v>0</v>
      </c>
      <c r="E965" s="1004" t="n">
        <f aca="false">'Смета Внутр'!E972</f>
        <v>6500</v>
      </c>
      <c r="F965" s="1004" t="n">
        <f aca="false">'Смета Внутр'!F972</f>
        <v>0</v>
      </c>
      <c r="G965" s="1004" t="n">
        <f aca="false">IF(E965&gt;F965,E965,F965)</f>
        <v>6500</v>
      </c>
      <c r="H965" s="1004" t="n">
        <f aca="false">'Смета Внутр'!G972</f>
        <v>0</v>
      </c>
      <c r="I965" s="1004" t="n">
        <f aca="false">'Смета Внутр'!H972</f>
        <v>0</v>
      </c>
      <c r="J965" s="1018" t="n">
        <f aca="false">'Смета Внутр'!I972</f>
        <v>0</v>
      </c>
    </row>
    <row r="966" customFormat="false" ht="15" hidden="false" customHeight="true" outlineLevel="0" collapsed="false">
      <c r="B966" s="1004" t="str">
        <f aca="false">'Смета Внутр'!B973</f>
        <v>стойки под опалубку перекрытий</v>
      </c>
      <c r="C966" s="1004" t="str">
        <f aca="false">'Смета Внутр'!C973</f>
        <v>шт</v>
      </c>
      <c r="D966" s="1018" t="n">
        <f aca="false">'Смета Внутр'!D973</f>
        <v>0</v>
      </c>
      <c r="E966" s="1004" t="n">
        <f aca="false">'Смета Внутр'!E973</f>
        <v>0</v>
      </c>
      <c r="F966" s="1004" t="n">
        <f aca="false">'Смета Внутр'!F973</f>
        <v>0</v>
      </c>
      <c r="G966" s="1004" t="n">
        <f aca="false">IF(E966&gt;F966,E966,F966)</f>
        <v>0</v>
      </c>
      <c r="H966" s="1004" t="n">
        <f aca="false">'Смета Внутр'!G973</f>
        <v>0</v>
      </c>
      <c r="I966" s="1004" t="n">
        <f aca="false">'Смета Внутр'!H973</f>
        <v>0</v>
      </c>
      <c r="J966" s="1018" t="n">
        <f aca="false">'Смета Внутр'!I973</f>
        <v>0</v>
      </c>
    </row>
    <row r="967" customFormat="false" ht="15" hidden="false" customHeight="true" outlineLevel="0" collapsed="false">
      <c r="B967" s="1004" t="str">
        <f aca="false">'Смета Внутр'!B974</f>
        <v>Пленка гидроизоляционная</v>
      </c>
      <c r="C967" s="1004" t="str">
        <f aca="false">'Смета Внутр'!C974</f>
        <v>м2</v>
      </c>
      <c r="D967" s="1018" t="n">
        <f aca="false">'Смета Внутр'!D974</f>
        <v>0</v>
      </c>
      <c r="E967" s="1004" t="n">
        <f aca="false">'Смета Внутр'!E974</f>
        <v>15</v>
      </c>
      <c r="F967" s="1004" t="n">
        <f aca="false">'Смета Внутр'!F974</f>
        <v>0</v>
      </c>
      <c r="G967" s="1004" t="n">
        <f aca="false">IF(E967&gt;F967,E967,F967)</f>
        <v>15</v>
      </c>
      <c r="H967" s="1004" t="n">
        <f aca="false">'Смета Внутр'!G974</f>
        <v>0</v>
      </c>
      <c r="I967" s="1004" t="n">
        <f aca="false">'Смета Внутр'!H974</f>
        <v>0</v>
      </c>
      <c r="J967" s="1018" t="n">
        <f aca="false">'Смета Внутр'!I974</f>
        <v>0</v>
      </c>
    </row>
    <row r="968" customFormat="false" ht="15" hidden="false" customHeight="true" outlineLevel="0" collapsed="false">
      <c r="B968" s="1004" t="str">
        <f aca="false">'Смета Внутр'!B975</f>
        <v>Арматура М10</v>
      </c>
      <c r="C968" s="1004" t="str">
        <f aca="false">'Смета Внутр'!C975</f>
        <v>м.п.</v>
      </c>
      <c r="D968" s="1018" t="n">
        <f aca="false">'Смета Внутр'!D975</f>
        <v>0</v>
      </c>
      <c r="E968" s="1004" t="n">
        <f aca="false">'Смета Внутр'!E975</f>
        <v>21.0397</v>
      </c>
      <c r="F968" s="1004" t="n">
        <f aca="false">'Смета Внутр'!F975</f>
        <v>0</v>
      </c>
      <c r="G968" s="1004" t="n">
        <f aca="false">IF(E968&gt;F968,E968,F968)</f>
        <v>21.0397</v>
      </c>
      <c r="H968" s="1004" t="n">
        <f aca="false">'Смета Внутр'!G975</f>
        <v>0</v>
      </c>
      <c r="I968" s="1004" t="n">
        <f aca="false">'Смета Внутр'!H975</f>
        <v>0</v>
      </c>
      <c r="J968" s="1018" t="n">
        <f aca="false">'Смета Внутр'!I975</f>
        <v>0</v>
      </c>
    </row>
    <row r="969" customFormat="false" ht="15" hidden="false" customHeight="true" outlineLevel="0" collapsed="false">
      <c r="B969" s="1004" t="str">
        <f aca="false">'Смета Внутр'!B976</f>
        <v>Вязальная проволока</v>
      </c>
      <c r="C969" s="1004" t="str">
        <f aca="false">'Смета Внутр'!C976</f>
        <v>кг</v>
      </c>
      <c r="D969" s="1018" t="n">
        <f aca="false">'Смета Внутр'!D976</f>
        <v>0</v>
      </c>
      <c r="E969" s="1004" t="n">
        <f aca="false">'Смета Внутр'!E976</f>
        <v>80</v>
      </c>
      <c r="F969" s="1004" t="n">
        <f aca="false">'Смета Внутр'!F976</f>
        <v>0</v>
      </c>
      <c r="G969" s="1004" t="n">
        <f aca="false">IF(E969&gt;F969,E969,F969)</f>
        <v>80</v>
      </c>
      <c r="H969" s="1004" t="n">
        <f aca="false">'Смета Внутр'!G976</f>
        <v>0</v>
      </c>
      <c r="I969" s="1004" t="n">
        <f aca="false">'Смета Внутр'!H976</f>
        <v>0</v>
      </c>
      <c r="J969" s="1018" t="n">
        <f aca="false">'Смета Внутр'!I976</f>
        <v>0</v>
      </c>
    </row>
    <row r="970" customFormat="false" ht="15" hidden="false" customHeight="true" outlineLevel="0" collapsed="false">
      <c r="B970" s="1004" t="str">
        <f aca="false">'Смета Внутр'!B977</f>
        <v>Подставка под арматурный каркас</v>
      </c>
      <c r="C970" s="1004" t="str">
        <f aca="false">'Смета Внутр'!C977</f>
        <v>шт</v>
      </c>
      <c r="D970" s="1018" t="n">
        <f aca="false">'Смета Внутр'!D977</f>
        <v>0</v>
      </c>
      <c r="E970" s="1004" t="n">
        <f aca="false">'Смета Внутр'!E977</f>
        <v>5</v>
      </c>
      <c r="F970" s="1004" t="n">
        <f aca="false">'Смета Внутр'!F977</f>
        <v>0</v>
      </c>
      <c r="G970" s="1004" t="n">
        <f aca="false">IF(E970&gt;F970,E970,F970)</f>
        <v>5</v>
      </c>
      <c r="H970" s="1004" t="n">
        <f aca="false">'Смета Внутр'!G977</f>
        <v>0</v>
      </c>
      <c r="I970" s="1004" t="n">
        <f aca="false">'Смета Внутр'!H977</f>
        <v>0</v>
      </c>
      <c r="J970" s="1018" t="n">
        <f aca="false">'Смета Внутр'!I977</f>
        <v>0</v>
      </c>
    </row>
    <row r="971" customFormat="false" ht="15" hidden="false" customHeight="true" outlineLevel="0" collapsed="false">
      <c r="B971" s="1004" t="str">
        <f aca="false">'Смета Внутр'!B978</f>
        <v>бетон, м350</v>
      </c>
      <c r="C971" s="1004" t="str">
        <f aca="false">'Смета Внутр'!C978</f>
        <v>м3</v>
      </c>
      <c r="D971" s="1018" t="n">
        <f aca="false">'Смета Внутр'!D978</f>
        <v>0</v>
      </c>
      <c r="E971" s="1004" t="n">
        <f aca="false">'Смета Внутр'!E978</f>
        <v>3500</v>
      </c>
      <c r="F971" s="1004" t="n">
        <f aca="false">'Смета Внутр'!F978</f>
        <v>0</v>
      </c>
      <c r="G971" s="1004" t="n">
        <f aca="false">IF(E971&gt;F971,E971,F971)</f>
        <v>3500</v>
      </c>
      <c r="H971" s="1004" t="n">
        <f aca="false">'Смета Внутр'!G978</f>
        <v>0</v>
      </c>
      <c r="I971" s="1004" t="n">
        <f aca="false">'Смета Внутр'!H978</f>
        <v>0</v>
      </c>
      <c r="J971" s="1018" t="n">
        <f aca="false">'Смета Внутр'!I978</f>
        <v>0</v>
      </c>
    </row>
    <row r="972" customFormat="false" ht="15" hidden="false" customHeight="true" outlineLevel="0" collapsed="false">
      <c r="B972" s="1004" t="str">
        <f aca="false">'Смета Внутр'!B979</f>
        <v>Брус естественной влажности, 200*100мм</v>
      </c>
      <c r="C972" s="1004" t="str">
        <f aca="false">'Смета Внутр'!C979</f>
        <v>м3</v>
      </c>
      <c r="D972" s="1018" t="n">
        <f aca="false">'Смета Внутр'!D979</f>
        <v>0</v>
      </c>
      <c r="E972" s="1004" t="n">
        <f aca="false">'Смета Внутр'!E979</f>
        <v>6500</v>
      </c>
      <c r="F972" s="1004" t="n">
        <f aca="false">'Смета Внутр'!F979</f>
        <v>0</v>
      </c>
      <c r="G972" s="1004" t="n">
        <f aca="false">IF(E972&gt;F972,E972,F972)</f>
        <v>6500</v>
      </c>
      <c r="H972" s="1004" t="n">
        <f aca="false">'Смета Внутр'!G979</f>
        <v>0</v>
      </c>
      <c r="I972" s="1004" t="n">
        <f aca="false">'Смета Внутр'!H979</f>
        <v>0</v>
      </c>
      <c r="J972" s="1018" t="n">
        <f aca="false">'Смета Внутр'!I979</f>
        <v>0</v>
      </c>
    </row>
    <row r="973" customFormat="false" ht="15" hidden="false" customHeight="true" outlineLevel="0" collapsed="false">
      <c r="B973" s="1004" t="str">
        <f aca="false">'Смета Внутр'!B980</f>
        <v>Брус естественной влажности, 150*100мм</v>
      </c>
      <c r="C973" s="1004" t="str">
        <f aca="false">'Смета Внутр'!C980</f>
        <v>м3</v>
      </c>
      <c r="D973" s="1018" t="n">
        <f aca="false">'Смета Внутр'!D980</f>
        <v>0</v>
      </c>
      <c r="E973" s="1004" t="n">
        <f aca="false">'Смета Внутр'!E980</f>
        <v>6500</v>
      </c>
      <c r="F973" s="1004" t="n">
        <f aca="false">'Смета Внутр'!F980</f>
        <v>0</v>
      </c>
      <c r="G973" s="1004" t="n">
        <f aca="false">IF(E973&gt;F973,E973,F973)</f>
        <v>6500</v>
      </c>
      <c r="H973" s="1004" t="n">
        <f aca="false">'Смета Внутр'!G980</f>
        <v>0</v>
      </c>
      <c r="I973" s="1004" t="n">
        <f aca="false">'Смета Внутр'!H980</f>
        <v>0</v>
      </c>
      <c r="J973" s="1018" t="n">
        <f aca="false">'Смета Внутр'!I980</f>
        <v>0</v>
      </c>
    </row>
    <row r="974" customFormat="false" ht="15" hidden="false" customHeight="true" outlineLevel="0" collapsed="false">
      <c r="B974" s="1004" t="str">
        <f aca="false">'Смета Внутр'!B981</f>
        <v>Брус естественной влажности, 100*100мм</v>
      </c>
      <c r="C974" s="1004" t="str">
        <f aca="false">'Смета Внутр'!C981</f>
        <v>м3</v>
      </c>
      <c r="D974" s="1018" t="n">
        <f aca="false">'Смета Внутр'!D981</f>
        <v>0</v>
      </c>
      <c r="E974" s="1004" t="n">
        <f aca="false">'Смета Внутр'!E981</f>
        <v>6500</v>
      </c>
      <c r="F974" s="1004" t="n">
        <f aca="false">'Смета Внутр'!F981</f>
        <v>0</v>
      </c>
      <c r="G974" s="1004" t="n">
        <f aca="false">IF(E974&gt;F974,E974,F974)</f>
        <v>6500</v>
      </c>
      <c r="H974" s="1004" t="n">
        <f aca="false">'Смета Внутр'!G981</f>
        <v>0</v>
      </c>
      <c r="I974" s="1004" t="n">
        <f aca="false">'Смета Внутр'!H981</f>
        <v>0</v>
      </c>
      <c r="J974" s="1018" t="n">
        <f aca="false">'Смета Внутр'!I981</f>
        <v>0</v>
      </c>
    </row>
    <row r="975" customFormat="false" ht="15" hidden="false" customHeight="true" outlineLevel="0" collapsed="false">
      <c r="B975" s="1004" t="str">
        <f aca="false">'Смета Внутр'!B982</f>
        <v>Брус естественной влажности, 150*150мм</v>
      </c>
      <c r="C975" s="1004" t="str">
        <f aca="false">'Смета Внутр'!C982</f>
        <v>м3</v>
      </c>
      <c r="D975" s="1018" t="n">
        <f aca="false">'Смета Внутр'!D982</f>
        <v>0</v>
      </c>
      <c r="E975" s="1004" t="n">
        <f aca="false">'Смета Внутр'!E982</f>
        <v>6500</v>
      </c>
      <c r="F975" s="1004" t="n">
        <f aca="false">'Смета Внутр'!F982</f>
        <v>0</v>
      </c>
      <c r="G975" s="1004" t="n">
        <f aca="false">IF(E975&gt;F975,E975,F975)</f>
        <v>6500</v>
      </c>
      <c r="H975" s="1004" t="n">
        <f aca="false">'Смета Внутр'!G982</f>
        <v>0</v>
      </c>
      <c r="I975" s="1004" t="n">
        <f aca="false">'Смета Внутр'!H982</f>
        <v>0</v>
      </c>
      <c r="J975" s="1018" t="n">
        <f aca="false">'Смета Внутр'!I982</f>
        <v>0</v>
      </c>
    </row>
    <row r="976" customFormat="false" ht="15" hidden="false" customHeight="true" outlineLevel="0" collapsed="false">
      <c r="B976" s="1004" t="str">
        <f aca="false">'Смета Внутр'!B983</f>
        <v>Доска естественной влажности, 200*50мм</v>
      </c>
      <c r="C976" s="1004" t="str">
        <f aca="false">'Смета Внутр'!C983</f>
        <v>м3</v>
      </c>
      <c r="D976" s="1018" t="n">
        <f aca="false">'Смета Внутр'!D983</f>
        <v>0</v>
      </c>
      <c r="E976" s="1004" t="n">
        <f aca="false">'Смета Внутр'!E983</f>
        <v>6500</v>
      </c>
      <c r="F976" s="1004" t="n">
        <f aca="false">'Смета Внутр'!F983</f>
        <v>0</v>
      </c>
      <c r="G976" s="1004" t="n">
        <f aca="false">IF(E976&gt;F976,E976,F976)</f>
        <v>6500</v>
      </c>
      <c r="H976" s="1004" t="n">
        <f aca="false">'Смета Внутр'!G983</f>
        <v>0</v>
      </c>
      <c r="I976" s="1004" t="n">
        <f aca="false">'Смета Внутр'!H983</f>
        <v>0</v>
      </c>
      <c r="J976" s="1018" t="n">
        <f aca="false">'Смета Внутр'!I983</f>
        <v>0</v>
      </c>
    </row>
    <row r="977" customFormat="false" ht="15" hidden="false" customHeight="true" outlineLevel="0" collapsed="false">
      <c r="B977" s="1004" t="str">
        <f aca="false">'Смета Внутр'!B984</f>
        <v>Доска естественной влажности, 150*50мм</v>
      </c>
      <c r="C977" s="1004" t="str">
        <f aca="false">'Смета Внутр'!C984</f>
        <v>м3</v>
      </c>
      <c r="D977" s="1018" t="n">
        <f aca="false">'Смета Внутр'!D984</f>
        <v>0</v>
      </c>
      <c r="E977" s="1004" t="n">
        <f aca="false">'Смета Внутр'!E984</f>
        <v>6500</v>
      </c>
      <c r="F977" s="1004" t="n">
        <f aca="false">'Смета Внутр'!F984</f>
        <v>0</v>
      </c>
      <c r="G977" s="1004" t="n">
        <f aca="false">IF(E977&gt;F977,E977,F977)</f>
        <v>6500</v>
      </c>
      <c r="H977" s="1004" t="n">
        <f aca="false">'Смета Внутр'!G984</f>
        <v>0</v>
      </c>
      <c r="I977" s="1004" t="n">
        <f aca="false">'Смета Внутр'!H984</f>
        <v>0</v>
      </c>
      <c r="J977" s="1018" t="n">
        <f aca="false">'Смета Внутр'!I984</f>
        <v>0</v>
      </c>
    </row>
    <row r="978" customFormat="false" ht="15" hidden="false" customHeight="true" outlineLevel="0" collapsed="false">
      <c r="B978" s="1004" t="str">
        <f aca="false">'Смета Внутр'!B985</f>
        <v>Опора бруса</v>
      </c>
      <c r="C978" s="1004" t="str">
        <f aca="false">'Смета Внутр'!C985</f>
        <v>шт</v>
      </c>
      <c r="D978" s="1018" t="n">
        <f aca="false">'Смета Внутр'!D985</f>
        <v>0</v>
      </c>
      <c r="E978" s="1004" t="n">
        <f aca="false">'Смета Внутр'!E985</f>
        <v>50</v>
      </c>
      <c r="F978" s="1004" t="n">
        <f aca="false">'Смета Внутр'!F985</f>
        <v>0</v>
      </c>
      <c r="G978" s="1004" t="n">
        <f aca="false">IF(E978&gt;F978,E978,F978)</f>
        <v>50</v>
      </c>
      <c r="H978" s="1004" t="n">
        <f aca="false">'Смета Внутр'!G985</f>
        <v>0</v>
      </c>
      <c r="I978" s="1004" t="n">
        <f aca="false">'Смета Внутр'!H985</f>
        <v>0</v>
      </c>
      <c r="J978" s="1018" t="n">
        <f aca="false">'Смета Внутр'!I985</f>
        <v>0</v>
      </c>
    </row>
    <row r="979" customFormat="false" ht="15" hidden="false" customHeight="true" outlineLevel="0" collapsed="false">
      <c r="B979" s="1004" t="str">
        <f aca="false">'Смета Внутр'!B986</f>
        <v>Болты анкерные с гайкой 8,0 x 60</v>
      </c>
      <c r="C979" s="1004" t="str">
        <f aca="false">'Смета Внутр'!C986</f>
        <v>шт</v>
      </c>
      <c r="D979" s="1018" t="n">
        <f aca="false">'Смета Внутр'!D986</f>
        <v>0</v>
      </c>
      <c r="E979" s="1004" t="n">
        <f aca="false">'Смета Внутр'!E986</f>
        <v>4</v>
      </c>
      <c r="F979" s="1004" t="n">
        <f aca="false">'Смета Внутр'!F986</f>
        <v>0</v>
      </c>
      <c r="G979" s="1004" t="n">
        <f aca="false">IF(E979&gt;F979,E979,F979)</f>
        <v>4</v>
      </c>
      <c r="H979" s="1004" t="n">
        <f aca="false">'Смета Внутр'!G986</f>
        <v>0</v>
      </c>
      <c r="I979" s="1004" t="n">
        <f aca="false">'Смета Внутр'!H986</f>
        <v>0</v>
      </c>
      <c r="J979" s="1018" t="n">
        <f aca="false">'Смета Внутр'!I986</f>
        <v>0</v>
      </c>
    </row>
    <row r="980" customFormat="false" ht="15" hidden="false" customHeight="true" outlineLevel="0" collapsed="false">
      <c r="B980" s="1004" t="str">
        <f aca="false">'Смета Внутр'!B987</f>
        <v>Sip панель 2500*625*124мм</v>
      </c>
      <c r="C980" s="1004" t="str">
        <f aca="false">'Смета Внутр'!C987</f>
        <v>м2</v>
      </c>
      <c r="D980" s="1018" t="n">
        <f aca="false">'Смета Внутр'!D987</f>
        <v>0</v>
      </c>
      <c r="E980" s="1004" t="n">
        <f aca="false">'Смета Внутр'!E987</f>
        <v>800</v>
      </c>
      <c r="F980" s="1004" t="n">
        <f aca="false">'Смета Внутр'!F987</f>
        <v>0</v>
      </c>
      <c r="G980" s="1004" t="n">
        <f aca="false">IF(E980&gt;F980,E980,F980)</f>
        <v>800</v>
      </c>
      <c r="H980" s="1004" t="n">
        <f aca="false">'Смета Внутр'!G987</f>
        <v>0</v>
      </c>
      <c r="I980" s="1004" t="n">
        <f aca="false">'Смета Внутр'!H987</f>
        <v>0</v>
      </c>
      <c r="J980" s="1018" t="n">
        <f aca="false">'Смета Внутр'!I987</f>
        <v>0</v>
      </c>
    </row>
    <row r="981" customFormat="false" ht="15" hidden="false" customHeight="true" outlineLevel="0" collapsed="false">
      <c r="B981" s="1004" t="str">
        <f aca="false">'Смета Внутр'!B988</f>
        <v>Sip панель 2500*625*174мм</v>
      </c>
      <c r="C981" s="1004" t="str">
        <f aca="false">'Смета Внутр'!C988</f>
        <v>м2</v>
      </c>
      <c r="D981" s="1018" t="n">
        <f aca="false">'Смета Внутр'!D988</f>
        <v>0</v>
      </c>
      <c r="E981" s="1004" t="n">
        <f aca="false">'Смета Внутр'!E988</f>
        <v>1200</v>
      </c>
      <c r="F981" s="1004" t="n">
        <f aca="false">'Смета Внутр'!F988</f>
        <v>0</v>
      </c>
      <c r="G981" s="1004" t="n">
        <f aca="false">IF(E981&gt;F981,E981,F981)</f>
        <v>1200</v>
      </c>
      <c r="H981" s="1004" t="n">
        <f aca="false">'Смета Внутр'!G988</f>
        <v>0</v>
      </c>
      <c r="I981" s="1004" t="n">
        <f aca="false">'Смета Внутр'!H988</f>
        <v>0</v>
      </c>
      <c r="J981" s="1018" t="n">
        <f aca="false">'Смета Внутр'!I988</f>
        <v>0</v>
      </c>
    </row>
    <row r="982" customFormat="false" ht="15" hidden="false" customHeight="true" outlineLevel="0" collapsed="false">
      <c r="B982" s="1004" t="str">
        <f aca="false">'Смета Внутр'!B989</f>
        <v>Sip панель 2500*625*224мм</v>
      </c>
      <c r="C982" s="1004" t="str">
        <f aca="false">'Смета Внутр'!C989</f>
        <v>м2</v>
      </c>
      <c r="D982" s="1018" t="n">
        <f aca="false">'Смета Внутр'!D989</f>
        <v>0</v>
      </c>
      <c r="E982" s="1004" t="n">
        <f aca="false">'Смета Внутр'!E989</f>
        <v>1400</v>
      </c>
      <c r="F982" s="1004" t="n">
        <f aca="false">'Смета Внутр'!F989</f>
        <v>0</v>
      </c>
      <c r="G982" s="1004" t="n">
        <f aca="false">IF(E982&gt;F982,E982,F982)</f>
        <v>1400</v>
      </c>
      <c r="H982" s="1004" t="n">
        <f aca="false">'Смета Внутр'!G989</f>
        <v>0</v>
      </c>
      <c r="I982" s="1004" t="n">
        <f aca="false">'Смета Внутр'!H989</f>
        <v>0</v>
      </c>
      <c r="J982" s="1018" t="n">
        <f aca="false">'Смета Внутр'!I989</f>
        <v>0</v>
      </c>
    </row>
    <row r="983" customFormat="false" ht="15" hidden="false" customHeight="true" outlineLevel="0" collapsed="false">
      <c r="B983" s="1004" t="str">
        <f aca="false">'Смета Внутр'!B990</f>
        <v>Доска сухая, 100*50мм</v>
      </c>
      <c r="C983" s="1004" t="str">
        <f aca="false">'Смета Внутр'!C990</f>
        <v>м.п.</v>
      </c>
      <c r="D983" s="1018" t="n">
        <f aca="false">'Смета Внутр'!D990</f>
        <v>0</v>
      </c>
      <c r="E983" s="1004" t="n">
        <f aca="false">'Смета Внутр'!E990</f>
        <v>45</v>
      </c>
      <c r="F983" s="1004" t="n">
        <f aca="false">'Смета Внутр'!F990</f>
        <v>0</v>
      </c>
      <c r="G983" s="1004" t="n">
        <f aca="false">IF(E983&gt;F983,E983,F983)</f>
        <v>45</v>
      </c>
      <c r="H983" s="1004" t="n">
        <f aca="false">'Смета Внутр'!G990</f>
        <v>0</v>
      </c>
      <c r="I983" s="1004" t="n">
        <f aca="false">'Смета Внутр'!H990</f>
        <v>0</v>
      </c>
      <c r="J983" s="1018" t="n">
        <f aca="false">'Смета Внутр'!I990</f>
        <v>0</v>
      </c>
    </row>
    <row r="984" customFormat="false" ht="15" hidden="false" customHeight="true" outlineLevel="0" collapsed="false">
      <c r="B984" s="1004" t="str">
        <f aca="false">'Смета Внутр'!B991</f>
        <v>Доска сухая, 150*50мм</v>
      </c>
      <c r="C984" s="1004" t="str">
        <f aca="false">'Смета Внутр'!C991</f>
        <v>м.п.</v>
      </c>
      <c r="D984" s="1018" t="n">
        <f aca="false">'Смета Внутр'!D991</f>
        <v>0</v>
      </c>
      <c r="E984" s="1004" t="n">
        <f aca="false">'Смета Внутр'!E991</f>
        <v>67.5</v>
      </c>
      <c r="F984" s="1004" t="n">
        <f aca="false">'Смета Внутр'!F991</f>
        <v>0</v>
      </c>
      <c r="G984" s="1004" t="n">
        <f aca="false">IF(E984&gt;F984,E984,F984)</f>
        <v>67.5</v>
      </c>
      <c r="H984" s="1004" t="n">
        <f aca="false">'Смета Внутр'!G991</f>
        <v>0</v>
      </c>
      <c r="I984" s="1004" t="n">
        <f aca="false">'Смета Внутр'!H991</f>
        <v>0</v>
      </c>
      <c r="J984" s="1018" t="n">
        <f aca="false">'Смета Внутр'!I991</f>
        <v>0</v>
      </c>
    </row>
    <row r="985" customFormat="false" ht="15" hidden="false" customHeight="true" outlineLevel="0" collapsed="false">
      <c r="B985" s="1004" t="str">
        <f aca="false">'Смета Внутр'!B992</f>
        <v>Доска сухая, 200*50мм</v>
      </c>
      <c r="C985" s="1004" t="str">
        <f aca="false">'Смета Внутр'!C992</f>
        <v>м.п.</v>
      </c>
      <c r="D985" s="1018" t="n">
        <f aca="false">'Смета Внутр'!D992</f>
        <v>0</v>
      </c>
      <c r="E985" s="1004" t="n">
        <f aca="false">'Смета Внутр'!E992</f>
        <v>90</v>
      </c>
      <c r="F985" s="1004" t="n">
        <f aca="false">'Смета Внутр'!F992</f>
        <v>0</v>
      </c>
      <c r="G985" s="1004" t="n">
        <f aca="false">IF(E985&gt;F985,E985,F985)</f>
        <v>90</v>
      </c>
      <c r="H985" s="1004" t="n">
        <f aca="false">'Смета Внутр'!G992</f>
        <v>0</v>
      </c>
      <c r="I985" s="1004" t="n">
        <f aca="false">'Смета Внутр'!H992</f>
        <v>0</v>
      </c>
      <c r="J985" s="1018" t="n">
        <f aca="false">'Смета Внутр'!I992</f>
        <v>0</v>
      </c>
    </row>
    <row r="986" customFormat="false" ht="15" hidden="false" customHeight="true" outlineLevel="0" collapsed="false">
      <c r="B986" s="1004" t="str">
        <f aca="false">'Смета Внутр'!B993</f>
        <v>Пена монтажная, всесезонняя 800мл</v>
      </c>
      <c r="C986" s="1004" t="str">
        <f aca="false">'Смета Внутр'!C993</f>
        <v>шт</v>
      </c>
      <c r="D986" s="1018" t="n">
        <f aca="false">'Смета Внутр'!D993</f>
        <v>0</v>
      </c>
      <c r="E986" s="1004" t="n">
        <f aca="false">'Смета Внутр'!E993</f>
        <v>300</v>
      </c>
      <c r="F986" s="1004" t="n">
        <f aca="false">'Смета Внутр'!F993</f>
        <v>0</v>
      </c>
      <c r="G986" s="1004" t="n">
        <f aca="false">IF(E986&gt;F986,E986,F986)</f>
        <v>300</v>
      </c>
      <c r="H986" s="1004" t="n">
        <f aca="false">'Смета Внутр'!G993</f>
        <v>0</v>
      </c>
      <c r="I986" s="1004" t="n">
        <f aca="false">'Смета Внутр'!H993</f>
        <v>0</v>
      </c>
      <c r="J986" s="1018" t="n">
        <f aca="false">'Смета Внутр'!I993</f>
        <v>0</v>
      </c>
    </row>
    <row r="987" customFormat="false" ht="15" hidden="false" customHeight="true" outlineLevel="0" collapsed="false">
      <c r="B987" s="1004" t="str">
        <f aca="false">'Смета Внутр'!B994</f>
        <v>Гвозди строительные 3,5 x 90</v>
      </c>
      <c r="C987" s="1004" t="str">
        <f aca="false">'Смета Внутр'!C994</f>
        <v>шт</v>
      </c>
      <c r="D987" s="1018" t="n">
        <f aca="false">'Смета Внутр'!D994</f>
        <v>0</v>
      </c>
      <c r="E987" s="1004" t="n">
        <f aca="false">'Смета Внутр'!E994</f>
        <v>45</v>
      </c>
      <c r="F987" s="1004" t="n">
        <f aca="false">'Смета Внутр'!F994</f>
        <v>0</v>
      </c>
      <c r="G987" s="1004" t="n">
        <f aca="false">IF(E987&gt;F987,E987,F987)</f>
        <v>45</v>
      </c>
      <c r="H987" s="1004" t="n">
        <f aca="false">'Смета Внутр'!G994</f>
        <v>0</v>
      </c>
      <c r="I987" s="1004" t="n">
        <f aca="false">'Смета Внутр'!H994</f>
        <v>0</v>
      </c>
      <c r="J987" s="1018" t="n">
        <f aca="false">'Смета Внутр'!I994</f>
        <v>0</v>
      </c>
    </row>
    <row r="988" customFormat="false" ht="15" hidden="false" customHeight="true" outlineLevel="0" collapsed="false">
      <c r="B988" s="1004" t="str">
        <f aca="false">'Смета Внутр'!B995</f>
        <v>Саморезы 3,5 x 45</v>
      </c>
      <c r="C988" s="1004" t="str">
        <f aca="false">'Смета Внутр'!C995</f>
        <v>шт</v>
      </c>
      <c r="D988" s="1018" t="n">
        <f aca="false">'Смета Внутр'!D995</f>
        <v>0</v>
      </c>
      <c r="E988" s="1004" t="n">
        <f aca="false">'Смета Внутр'!E995</f>
        <v>0.25</v>
      </c>
      <c r="F988" s="1004" t="n">
        <f aca="false">'Смета Внутр'!F995</f>
        <v>0</v>
      </c>
      <c r="G988" s="1004" t="n">
        <f aca="false">IF(E988&gt;F988,E988,F988)</f>
        <v>0.25</v>
      </c>
      <c r="H988" s="1004" t="n">
        <f aca="false">'Смета Внутр'!G995</f>
        <v>0</v>
      </c>
      <c r="I988" s="1004" t="n">
        <f aca="false">'Смета Внутр'!H995</f>
        <v>0</v>
      </c>
      <c r="J988" s="1018" t="n">
        <f aca="false">'Смета Внутр'!I995</f>
        <v>0</v>
      </c>
    </row>
    <row r="989" customFormat="false" ht="15" hidden="false" customHeight="true" outlineLevel="0" collapsed="false">
      <c r="B989" s="1004" t="str">
        <f aca="false">'Смета Внутр'!B996</f>
        <v>Доска сухая, 200*50мм</v>
      </c>
      <c r="C989" s="1004" t="str">
        <f aca="false">'Смета Внутр'!C996</f>
        <v>м3</v>
      </c>
      <c r="D989" s="1018" t="n">
        <f aca="false">'Смета Внутр'!D996</f>
        <v>0</v>
      </c>
      <c r="E989" s="1004" t="n">
        <f aca="false">'Смета Внутр'!E996</f>
        <v>9000</v>
      </c>
      <c r="F989" s="1004" t="n">
        <f aca="false">'Смета Внутр'!F996</f>
        <v>0</v>
      </c>
      <c r="G989" s="1004" t="n">
        <f aca="false">IF(E989&gt;F989,E989,F989)</f>
        <v>9000</v>
      </c>
      <c r="H989" s="1004" t="n">
        <f aca="false">'Смета Внутр'!G996</f>
        <v>0</v>
      </c>
      <c r="I989" s="1004" t="n">
        <f aca="false">'Смета Внутр'!H996</f>
        <v>0</v>
      </c>
      <c r="J989" s="1018" t="n">
        <f aca="false">'Смета Внутр'!I996</f>
        <v>0</v>
      </c>
    </row>
    <row r="990" customFormat="false" ht="15" hidden="false" customHeight="true" outlineLevel="0" collapsed="false">
      <c r="B990" s="1004" t="str">
        <f aca="false">'Смета Внутр'!B997</f>
        <v>Доска сухая, 150*50мм</v>
      </c>
      <c r="C990" s="1004" t="str">
        <f aca="false">'Смета Внутр'!C997</f>
        <v>м3</v>
      </c>
      <c r="D990" s="1018" t="n">
        <f aca="false">'Смета Внутр'!D997</f>
        <v>0</v>
      </c>
      <c r="E990" s="1004" t="n">
        <f aca="false">'Смета Внутр'!E997</f>
        <v>9000</v>
      </c>
      <c r="F990" s="1004" t="n">
        <f aca="false">'Смета Внутр'!F997</f>
        <v>0</v>
      </c>
      <c r="G990" s="1004" t="n">
        <f aca="false">IF(E990&gt;F990,E990,F990)</f>
        <v>9000</v>
      </c>
      <c r="H990" s="1004" t="n">
        <f aca="false">'Смета Внутр'!G997</f>
        <v>0</v>
      </c>
      <c r="I990" s="1004" t="n">
        <f aca="false">'Смета Внутр'!H997</f>
        <v>0</v>
      </c>
      <c r="J990" s="1018" t="n">
        <f aca="false">'Смета Внутр'!I997</f>
        <v>0</v>
      </c>
    </row>
    <row r="991" customFormat="false" ht="15" hidden="false" customHeight="true" outlineLevel="0" collapsed="false">
      <c r="B991" s="1004" t="str">
        <f aca="false">'Смета Внутр'!B998</f>
        <v>Гвозди ершоные 2,8 х 90</v>
      </c>
      <c r="C991" s="1004" t="str">
        <f aca="false">'Смета Внутр'!C998</f>
        <v>кг</v>
      </c>
      <c r="D991" s="1018" t="n">
        <f aca="false">'Смета Внутр'!D998</f>
        <v>0</v>
      </c>
      <c r="E991" s="1004" t="n">
        <f aca="false">'Смета Внутр'!E998</f>
        <v>76.49</v>
      </c>
      <c r="F991" s="1004" t="n">
        <f aca="false">'Смета Внутр'!F998</f>
        <v>0</v>
      </c>
      <c r="G991" s="1004" t="n">
        <f aca="false">IF(E991&gt;F991,E991,F991)</f>
        <v>76.49</v>
      </c>
      <c r="H991" s="1004" t="n">
        <f aca="false">'Смета Внутр'!G998</f>
        <v>0</v>
      </c>
      <c r="I991" s="1004" t="n">
        <f aca="false">'Смета Внутр'!H998</f>
        <v>0</v>
      </c>
      <c r="J991" s="1018" t="n">
        <f aca="false">'Смета Внутр'!I998</f>
        <v>0</v>
      </c>
    </row>
    <row r="992" customFormat="false" ht="15" hidden="false" customHeight="true" outlineLevel="0" collapsed="false">
      <c r="B992" s="1004" t="str">
        <f aca="false">'Смета Внутр'!B999</f>
        <v>Доска сухая калиброванная, 190*45мм</v>
      </c>
      <c r="C992" s="1004" t="str">
        <f aca="false">'Смета Внутр'!C999</f>
        <v>м3</v>
      </c>
      <c r="D992" s="1018" t="n">
        <f aca="false">'Смета Внутр'!D999</f>
        <v>0</v>
      </c>
      <c r="E992" s="1004" t="n">
        <f aca="false">'Смета Внутр'!E999</f>
        <v>12500</v>
      </c>
      <c r="F992" s="1004" t="n">
        <f aca="false">'Смета Внутр'!F999</f>
        <v>0</v>
      </c>
      <c r="G992" s="1004" t="n">
        <f aca="false">IF(E992&gt;F992,E992,F992)</f>
        <v>12500</v>
      </c>
      <c r="H992" s="1004" t="n">
        <f aca="false">'Смета Внутр'!G999</f>
        <v>0</v>
      </c>
      <c r="I992" s="1004" t="n">
        <f aca="false">'Смета Внутр'!H999</f>
        <v>0</v>
      </c>
      <c r="J992" s="1018" t="n">
        <f aca="false">'Смета Внутр'!I999</f>
        <v>0</v>
      </c>
    </row>
    <row r="993" customFormat="false" ht="15" hidden="false" customHeight="true" outlineLevel="0" collapsed="false">
      <c r="B993" s="1004" t="str">
        <f aca="false">'Смета Внутр'!B1000</f>
        <v>Доска сухая калиброванная, 145*45мм</v>
      </c>
      <c r="C993" s="1004" t="str">
        <f aca="false">'Смета Внутр'!C1000</f>
        <v>м3</v>
      </c>
      <c r="D993" s="1018" t="n">
        <f aca="false">'Смета Внутр'!D1000</f>
        <v>0</v>
      </c>
      <c r="E993" s="1004" t="n">
        <f aca="false">'Смета Внутр'!E1000</f>
        <v>12500</v>
      </c>
      <c r="F993" s="1004" t="n">
        <f aca="false">'Смета Внутр'!F1000</f>
        <v>0</v>
      </c>
      <c r="G993" s="1004" t="n">
        <f aca="false">IF(E993&gt;F993,E993,F993)</f>
        <v>12500</v>
      </c>
      <c r="H993" s="1004" t="n">
        <f aca="false">'Смета Внутр'!G1000</f>
        <v>0</v>
      </c>
      <c r="I993" s="1004" t="n">
        <f aca="false">'Смета Внутр'!H1000</f>
        <v>0</v>
      </c>
      <c r="J993" s="1018" t="n">
        <f aca="false">'Смета Внутр'!I1000</f>
        <v>0</v>
      </c>
    </row>
    <row r="994" customFormat="false" ht="15" hidden="false" customHeight="true" outlineLevel="0" collapsed="false">
      <c r="B994" s="1004" t="str">
        <f aca="false">'Смета Внутр'!B1001</f>
        <v>Гвозди ершоные 2,8 х 90</v>
      </c>
      <c r="C994" s="1004" t="str">
        <f aca="false">'Смета Внутр'!C1001</f>
        <v>кг</v>
      </c>
      <c r="D994" s="1018" t="n">
        <f aca="false">'Смета Внутр'!D1001</f>
        <v>0</v>
      </c>
      <c r="E994" s="1004" t="n">
        <f aca="false">'Смета Внутр'!E1001</f>
        <v>76.49</v>
      </c>
      <c r="F994" s="1004" t="n">
        <f aca="false">'Смета Внутр'!F1001</f>
        <v>0</v>
      </c>
      <c r="G994" s="1004" t="n">
        <f aca="false">IF(E994&gt;F994,E994,F994)</f>
        <v>76.49</v>
      </c>
      <c r="H994" s="1004" t="n">
        <f aca="false">'Смета Внутр'!G1001</f>
        <v>0</v>
      </c>
      <c r="I994" s="1004" t="n">
        <f aca="false">'Смета Внутр'!H1001</f>
        <v>0</v>
      </c>
      <c r="J994" s="1018" t="n">
        <f aca="false">'Смета Внутр'!I1001</f>
        <v>0</v>
      </c>
    </row>
    <row r="995" customFormat="false" ht="15" hidden="false" customHeight="true" outlineLevel="0" collapsed="false">
      <c r="B995" s="1004" t="str">
        <f aca="false">'Смета Внутр'!B1002</f>
        <v>Двутавровая деревянная балка, 400*65мм</v>
      </c>
      <c r="C995" s="1004" t="str">
        <f aca="false">'Смета Внутр'!C1002</f>
        <v>м.п.</v>
      </c>
      <c r="D995" s="1018" t="n">
        <f aca="false">'Смета Внутр'!D1002</f>
        <v>0</v>
      </c>
      <c r="E995" s="1004" t="n">
        <f aca="false">'Смета Внутр'!E1002</f>
        <v>303</v>
      </c>
      <c r="F995" s="1004" t="n">
        <f aca="false">'Смета Внутр'!F1002</f>
        <v>0</v>
      </c>
      <c r="G995" s="1004" t="n">
        <f aca="false">IF(E995&gt;F995,E995,F995)</f>
        <v>303</v>
      </c>
      <c r="H995" s="1004" t="n">
        <f aca="false">'Смета Внутр'!G1002</f>
        <v>0</v>
      </c>
      <c r="I995" s="1004" t="n">
        <f aca="false">'Смета Внутр'!H1002</f>
        <v>0</v>
      </c>
      <c r="J995" s="1018" t="n">
        <f aca="false">'Смета Внутр'!I1002</f>
        <v>0</v>
      </c>
    </row>
    <row r="996" customFormat="false" ht="15" hidden="false" customHeight="true" outlineLevel="0" collapsed="false">
      <c r="B996" s="1004" t="str">
        <f aca="false">'Смета Внутр'!B1003</f>
        <v>Двутавровая деревянная балка, 400*90мм</v>
      </c>
      <c r="C996" s="1004" t="str">
        <f aca="false">'Смета Внутр'!C1003</f>
        <v>м.п.</v>
      </c>
      <c r="D996" s="1018" t="n">
        <f aca="false">'Смета Внутр'!D1003</f>
        <v>0</v>
      </c>
      <c r="E996" s="1004" t="n">
        <f aca="false">'Смета Внутр'!E1003</f>
        <v>355</v>
      </c>
      <c r="F996" s="1004" t="n">
        <f aca="false">'Смета Внутр'!F1003</f>
        <v>0</v>
      </c>
      <c r="G996" s="1004" t="n">
        <f aca="false">IF(E996&gt;F996,E996,F996)</f>
        <v>355</v>
      </c>
      <c r="H996" s="1004" t="n">
        <f aca="false">'Смета Внутр'!G1003</f>
        <v>0</v>
      </c>
      <c r="I996" s="1004" t="n">
        <f aca="false">'Смета Внутр'!H1003</f>
        <v>0</v>
      </c>
      <c r="J996" s="1018" t="n">
        <f aca="false">'Смета Внутр'!I1003</f>
        <v>0</v>
      </c>
    </row>
    <row r="997" customFormat="false" ht="15" hidden="false" customHeight="true" outlineLevel="0" collapsed="false">
      <c r="B997" s="1004" t="str">
        <f aca="false">'Смета Внутр'!B1004</f>
        <v>Двутавровая деревянная балка, 350*65мм</v>
      </c>
      <c r="C997" s="1004" t="str">
        <f aca="false">'Смета Внутр'!C1004</f>
        <v>м.п.</v>
      </c>
      <c r="D997" s="1018" t="n">
        <f aca="false">'Смета Внутр'!D1004</f>
        <v>0</v>
      </c>
      <c r="E997" s="1004" t="n">
        <f aca="false">'Смета Внутр'!E1004</f>
        <v>287</v>
      </c>
      <c r="F997" s="1004" t="n">
        <f aca="false">'Смета Внутр'!F1004</f>
        <v>0</v>
      </c>
      <c r="G997" s="1004" t="n">
        <f aca="false">IF(E997&gt;F997,E997,F997)</f>
        <v>287</v>
      </c>
      <c r="H997" s="1004" t="n">
        <f aca="false">'Смета Внутр'!G1004</f>
        <v>0</v>
      </c>
      <c r="I997" s="1004" t="n">
        <f aca="false">'Смета Внутр'!H1004</f>
        <v>0</v>
      </c>
      <c r="J997" s="1018" t="n">
        <f aca="false">'Смета Внутр'!I1004</f>
        <v>0</v>
      </c>
    </row>
    <row r="998" customFormat="false" ht="15" hidden="false" customHeight="true" outlineLevel="0" collapsed="false">
      <c r="B998" s="1004" t="str">
        <f aca="false">'Смета Внутр'!B1005</f>
        <v>Двутавровая деревянная балка, 350*90мм</v>
      </c>
      <c r="C998" s="1004" t="str">
        <f aca="false">'Смета Внутр'!C1005</f>
        <v>м.п.</v>
      </c>
      <c r="D998" s="1018" t="n">
        <f aca="false">'Смета Внутр'!D1005</f>
        <v>0</v>
      </c>
      <c r="E998" s="1004" t="n">
        <f aca="false">'Смета Внутр'!E1005</f>
        <v>315</v>
      </c>
      <c r="F998" s="1004" t="n">
        <f aca="false">'Смета Внутр'!F1005</f>
        <v>0</v>
      </c>
      <c r="G998" s="1004" t="n">
        <f aca="false">IF(E998&gt;F998,E998,F998)</f>
        <v>315</v>
      </c>
      <c r="H998" s="1004" t="n">
        <f aca="false">'Смета Внутр'!G1005</f>
        <v>0</v>
      </c>
      <c r="I998" s="1004" t="n">
        <f aca="false">'Смета Внутр'!H1005</f>
        <v>0</v>
      </c>
      <c r="J998" s="1018" t="n">
        <f aca="false">'Смета Внутр'!I1005</f>
        <v>0</v>
      </c>
    </row>
    <row r="999" customFormat="false" ht="15" hidden="false" customHeight="true" outlineLevel="0" collapsed="false">
      <c r="B999" s="1004" t="str">
        <f aca="false">'Смета Внутр'!B1006</f>
        <v>Двутавровая деревянная балка, 300*65мм</v>
      </c>
      <c r="C999" s="1004" t="str">
        <f aca="false">'Смета Внутр'!C1006</f>
        <v>м.п.</v>
      </c>
      <c r="D999" s="1018" t="n">
        <f aca="false">'Смета Внутр'!D1006</f>
        <v>0</v>
      </c>
      <c r="E999" s="1004" t="n">
        <f aca="false">'Смета Внутр'!E1006</f>
        <v>273</v>
      </c>
      <c r="F999" s="1004" t="n">
        <f aca="false">'Смета Внутр'!F1006</f>
        <v>0</v>
      </c>
      <c r="G999" s="1004" t="n">
        <f aca="false">IF(E999&gt;F999,E999,F999)</f>
        <v>273</v>
      </c>
      <c r="H999" s="1004" t="n">
        <f aca="false">'Смета Внутр'!G1006</f>
        <v>0</v>
      </c>
      <c r="I999" s="1004" t="n">
        <f aca="false">'Смета Внутр'!H1006</f>
        <v>0</v>
      </c>
      <c r="J999" s="1018" t="n">
        <f aca="false">'Смета Внутр'!I1006</f>
        <v>0</v>
      </c>
    </row>
    <row r="1000" customFormat="false" ht="15" hidden="false" customHeight="true" outlineLevel="0" collapsed="false">
      <c r="B1000" s="1004" t="str">
        <f aca="false">'Смета Внутр'!B1007</f>
        <v>Двутавровая деревянная балка, 300*90мм</v>
      </c>
      <c r="C1000" s="1004" t="str">
        <f aca="false">'Смета Внутр'!C1007</f>
        <v>м.п.</v>
      </c>
      <c r="D1000" s="1018" t="n">
        <f aca="false">'Смета Внутр'!D1007</f>
        <v>0</v>
      </c>
      <c r="E1000" s="1004" t="n">
        <f aca="false">'Смета Внутр'!E1007</f>
        <v>315</v>
      </c>
      <c r="F1000" s="1004" t="n">
        <f aca="false">'Смета Внутр'!F1007</f>
        <v>0</v>
      </c>
      <c r="G1000" s="1004" t="n">
        <f aca="false">IF(E1000&gt;F1000,E1000,F1000)</f>
        <v>315</v>
      </c>
      <c r="H1000" s="1004" t="n">
        <f aca="false">'Смета Внутр'!G1007</f>
        <v>0</v>
      </c>
      <c r="I1000" s="1004" t="n">
        <f aca="false">'Смета Внутр'!H1007</f>
        <v>0</v>
      </c>
      <c r="J1000" s="1018" t="n">
        <f aca="false">'Смета Внутр'!I1007</f>
        <v>0</v>
      </c>
    </row>
    <row r="1001" customFormat="false" ht="15" hidden="false" customHeight="true" outlineLevel="0" collapsed="false">
      <c r="B1001" s="1004" t="str">
        <f aca="false">'Смета Внутр'!B1008</f>
        <v>Двутавровая деревянная балка, 240*65мм</v>
      </c>
      <c r="C1001" s="1004" t="str">
        <f aca="false">'Смета Внутр'!C1008</f>
        <v>м.п.</v>
      </c>
      <c r="D1001" s="1018" t="n">
        <f aca="false">'Смета Внутр'!D1008</f>
        <v>0</v>
      </c>
      <c r="E1001" s="1004" t="n">
        <f aca="false">'Смета Внутр'!E1008</f>
        <v>263</v>
      </c>
      <c r="F1001" s="1004" t="n">
        <f aca="false">'Смета Внутр'!F1008</f>
        <v>0</v>
      </c>
      <c r="G1001" s="1004" t="n">
        <f aca="false">IF(E1001&gt;F1001,E1001,F1001)</f>
        <v>263</v>
      </c>
      <c r="H1001" s="1004" t="n">
        <f aca="false">'Смета Внутр'!G1008</f>
        <v>0</v>
      </c>
      <c r="I1001" s="1004" t="n">
        <f aca="false">'Смета Внутр'!H1008</f>
        <v>0</v>
      </c>
      <c r="J1001" s="1018" t="n">
        <f aca="false">'Смета Внутр'!I1008</f>
        <v>0</v>
      </c>
    </row>
    <row r="1002" customFormat="false" ht="15" hidden="false" customHeight="true" outlineLevel="0" collapsed="false">
      <c r="B1002" s="1004" t="str">
        <f aca="false">'Смета Внутр'!B1009</f>
        <v>Двутавровая деревянная балка, 240*90мм</v>
      </c>
      <c r="C1002" s="1004" t="str">
        <f aca="false">'Смета Внутр'!C1009</f>
        <v>м.п.</v>
      </c>
      <c r="D1002" s="1018" t="n">
        <f aca="false">'Смета Внутр'!D1009</f>
        <v>0</v>
      </c>
      <c r="E1002" s="1004" t="n">
        <f aca="false">'Смета Внутр'!E1009</f>
        <v>291</v>
      </c>
      <c r="F1002" s="1004" t="n">
        <f aca="false">'Смета Внутр'!F1009</f>
        <v>0</v>
      </c>
      <c r="G1002" s="1004" t="n">
        <f aca="false">IF(E1002&gt;F1002,E1002,F1002)</f>
        <v>291</v>
      </c>
      <c r="H1002" s="1004" t="n">
        <f aca="false">'Смета Внутр'!G1009</f>
        <v>0</v>
      </c>
      <c r="I1002" s="1004" t="n">
        <f aca="false">'Смета Внутр'!H1009</f>
        <v>0</v>
      </c>
      <c r="J1002" s="1018" t="n">
        <f aca="false">'Смета Внутр'!I1009</f>
        <v>0</v>
      </c>
    </row>
    <row r="1003" customFormat="false" ht="15" hidden="false" customHeight="true" outlineLevel="0" collapsed="false">
      <c r="B1003" s="1004" t="str">
        <f aca="false">'Смета Внутр'!B1010</f>
        <v>Двутавровая деревянная балка, 200*65мм</v>
      </c>
      <c r="C1003" s="1004" t="str">
        <f aca="false">'Смета Внутр'!C1010</f>
        <v>м.п.</v>
      </c>
      <c r="D1003" s="1018" t="n">
        <f aca="false">'Смета Внутр'!D1010</f>
        <v>0</v>
      </c>
      <c r="E1003" s="1004" t="n">
        <f aca="false">'Смета Внутр'!E1010</f>
        <v>250</v>
      </c>
      <c r="F1003" s="1004" t="n">
        <f aca="false">'Смета Внутр'!F1010</f>
        <v>0</v>
      </c>
      <c r="G1003" s="1004" t="n">
        <f aca="false">IF(E1003&gt;F1003,E1003,F1003)</f>
        <v>250</v>
      </c>
      <c r="H1003" s="1004" t="n">
        <f aca="false">'Смета Внутр'!G1010</f>
        <v>0</v>
      </c>
      <c r="I1003" s="1004" t="n">
        <f aca="false">'Смета Внутр'!H1010</f>
        <v>0</v>
      </c>
      <c r="J1003" s="1018" t="n">
        <f aca="false">'Смета Внутр'!I1010</f>
        <v>0</v>
      </c>
    </row>
    <row r="1004" customFormat="false" ht="15" hidden="false" customHeight="true" outlineLevel="0" collapsed="false">
      <c r="B1004" s="1004" t="str">
        <f aca="false">'Смета Внутр'!B1011</f>
        <v>Двутавровая деревянная балка, 200*90мм</v>
      </c>
      <c r="C1004" s="1004" t="str">
        <f aca="false">'Смета Внутр'!C1011</f>
        <v>м.п.</v>
      </c>
      <c r="D1004" s="1018" t="n">
        <f aca="false">'Смета Внутр'!D1011</f>
        <v>0</v>
      </c>
      <c r="E1004" s="1004" t="n">
        <f aca="false">'Смета Внутр'!E1011</f>
        <v>280</v>
      </c>
      <c r="F1004" s="1004" t="n">
        <f aca="false">'Смета Внутр'!F1011</f>
        <v>0</v>
      </c>
      <c r="G1004" s="1004" t="n">
        <f aca="false">IF(E1004&gt;F1004,E1004,F1004)</f>
        <v>280</v>
      </c>
      <c r="H1004" s="1004" t="n">
        <f aca="false">'Смета Внутр'!G1011</f>
        <v>0</v>
      </c>
      <c r="I1004" s="1004" t="n">
        <f aca="false">'Смета Внутр'!H1011</f>
        <v>0</v>
      </c>
      <c r="J1004" s="1018" t="n">
        <f aca="false">'Смета Внутр'!I1011</f>
        <v>0</v>
      </c>
    </row>
    <row r="1005" customFormat="false" ht="15" hidden="false" customHeight="true" outlineLevel="0" collapsed="false">
      <c r="B1005" s="1004" t="str">
        <f aca="false">'Смета Внутр'!B1012</f>
        <v>Двутавровая деревянная балка, 150*65мм</v>
      </c>
      <c r="C1005" s="1004" t="str">
        <f aca="false">'Смета Внутр'!C1012</f>
        <v>м.п.</v>
      </c>
      <c r="D1005" s="1018" t="n">
        <f aca="false">'Смета Внутр'!D1012</f>
        <v>0</v>
      </c>
      <c r="E1005" s="1004" t="n">
        <f aca="false">'Смета Внутр'!E1012</f>
        <v>220</v>
      </c>
      <c r="F1005" s="1004" t="n">
        <f aca="false">'Смета Внутр'!F1012</f>
        <v>0</v>
      </c>
      <c r="G1005" s="1004" t="n">
        <f aca="false">IF(E1005&gt;F1005,E1005,F1005)</f>
        <v>220</v>
      </c>
      <c r="H1005" s="1004" t="n">
        <f aca="false">'Смета Внутр'!G1012</f>
        <v>0</v>
      </c>
      <c r="I1005" s="1004" t="n">
        <f aca="false">'Смета Внутр'!H1012</f>
        <v>0</v>
      </c>
      <c r="J1005" s="1018" t="n">
        <f aca="false">'Смета Внутр'!I1012</f>
        <v>0</v>
      </c>
    </row>
    <row r="1006" customFormat="false" ht="15" hidden="false" customHeight="true" outlineLevel="0" collapsed="false">
      <c r="B1006" s="1004" t="str">
        <f aca="false">'Смета Внутр'!B1013</f>
        <v>Двутавровая деревянная балка, 150*90мм</v>
      </c>
      <c r="C1006" s="1004" t="str">
        <f aca="false">'Смета Внутр'!C1013</f>
        <v>м.п.</v>
      </c>
      <c r="D1006" s="1018" t="n">
        <f aca="false">'Смета Внутр'!D1013</f>
        <v>0</v>
      </c>
      <c r="E1006" s="1004" t="n">
        <f aca="false">'Смета Внутр'!E1013</f>
        <v>250</v>
      </c>
      <c r="F1006" s="1004" t="n">
        <f aca="false">'Смета Внутр'!F1013</f>
        <v>0</v>
      </c>
      <c r="G1006" s="1004" t="n">
        <f aca="false">IF(E1006&gt;F1006,E1006,F1006)</f>
        <v>250</v>
      </c>
      <c r="H1006" s="1004" t="n">
        <f aca="false">'Смета Внутр'!G1013</f>
        <v>0</v>
      </c>
      <c r="I1006" s="1004" t="n">
        <f aca="false">'Смета Внутр'!H1013</f>
        <v>0</v>
      </c>
      <c r="J1006" s="1018" t="n">
        <f aca="false">'Смета Внутр'!I1013</f>
        <v>0</v>
      </c>
    </row>
    <row r="1007" customFormat="false" ht="15" hidden="false" customHeight="true" outlineLevel="0" collapsed="false">
      <c r="B1007" s="1004" t="str">
        <f aca="false">'Смета Внутр'!B1014</f>
        <v>Уголок усиленный 90х70х55х2,5</v>
      </c>
      <c r="C1007" s="1004" t="str">
        <f aca="false">'Смета Внутр'!C1014</f>
        <v>шт</v>
      </c>
      <c r="D1007" s="1018" t="n">
        <f aca="false">'Смета Внутр'!D1014</f>
        <v>0</v>
      </c>
      <c r="E1007" s="1004" t="n">
        <f aca="false">'Смета Внутр'!E1014</f>
        <v>30</v>
      </c>
      <c r="F1007" s="1004" t="n">
        <f aca="false">'Смета Внутр'!F1014</f>
        <v>0</v>
      </c>
      <c r="G1007" s="1004" t="n">
        <f aca="false">IF(E1007&gt;F1007,E1007,F1007)</f>
        <v>30</v>
      </c>
      <c r="H1007" s="1004" t="n">
        <f aca="false">'Смета Внутр'!G1014</f>
        <v>0</v>
      </c>
      <c r="I1007" s="1004" t="n">
        <f aca="false">'Смета Внутр'!H1014</f>
        <v>0</v>
      </c>
      <c r="J1007" s="1018" t="n">
        <f aca="false">'Смета Внутр'!I1014</f>
        <v>0</v>
      </c>
    </row>
    <row r="1008" customFormat="false" ht="15" hidden="false" customHeight="true" outlineLevel="0" collapsed="false">
      <c r="B1008" s="1004" t="str">
        <f aca="false">'Смета Внутр'!B1015</f>
        <v>Саморезы 3,5 x 55</v>
      </c>
      <c r="C1008" s="1004" t="str">
        <f aca="false">'Смета Внутр'!C1015</f>
        <v>шт</v>
      </c>
      <c r="D1008" s="1018" t="n">
        <f aca="false">'Смета Внутр'!D1015</f>
        <v>0</v>
      </c>
      <c r="E1008" s="1004" t="n">
        <f aca="false">'Смета Внутр'!E1015</f>
        <v>0.3</v>
      </c>
      <c r="F1008" s="1004" t="n">
        <f aca="false">'Смета Внутр'!F1015</f>
        <v>0</v>
      </c>
      <c r="G1008" s="1004" t="n">
        <f aca="false">IF(E1008&gt;F1008,E1008,F1008)</f>
        <v>0.3</v>
      </c>
      <c r="H1008" s="1004" t="n">
        <f aca="false">'Смета Внутр'!G1015</f>
        <v>0</v>
      </c>
      <c r="I1008" s="1004" t="n">
        <f aca="false">'Смета Внутр'!H1015</f>
        <v>0</v>
      </c>
      <c r="J1008" s="1018" t="n">
        <f aca="false">'Смета Внутр'!I1015</f>
        <v>0</v>
      </c>
    </row>
    <row r="1009" customFormat="false" ht="15" hidden="false" customHeight="true" outlineLevel="0" collapsed="false">
      <c r="B1009" s="2888" t="str">
        <f aca="false">'Смета Внутр'!B1016</f>
        <v>Пенопласт ПСБ-С-35, 100мм</v>
      </c>
      <c r="C1009" s="2888" t="str">
        <f aca="false">'Смета Внутр'!C1016</f>
        <v>м3</v>
      </c>
      <c r="D1009" s="2897" t="n">
        <f aca="false">'Смета Внутр'!D1016</f>
        <v>10</v>
      </c>
      <c r="E1009" s="1004" t="n">
        <f aca="false">'Смета Внутр'!E1016</f>
        <v>3400</v>
      </c>
      <c r="F1009" s="1004" t="n">
        <f aca="false">'Смета Внутр'!F1016</f>
        <v>0</v>
      </c>
      <c r="G1009" s="2888" t="n">
        <f aca="false">IF(E1009&gt;F1009,E1009,F1009)</f>
        <v>3400</v>
      </c>
      <c r="H1009" s="1004" t="n">
        <f aca="false">'Смета Внутр'!G1016</f>
        <v>34000</v>
      </c>
      <c r="I1009" s="1004" t="n">
        <f aca="false">'Смета Внутр'!H1016</f>
        <v>0</v>
      </c>
      <c r="J1009" s="2897" t="n">
        <f aca="false">'Смета Внутр'!I1016</f>
        <v>0</v>
      </c>
    </row>
    <row r="1010" customFormat="false" ht="15" hidden="false" customHeight="true" outlineLevel="0" collapsed="false">
      <c r="B1010" s="2888" t="str">
        <f aca="false">'Смета Внутр'!B1017</f>
        <v>нет ветроизоляции</v>
      </c>
      <c r="C1010" s="2888" t="str">
        <f aca="false">'Смета Внутр'!C1017</f>
        <v>м2</v>
      </c>
      <c r="D1010" s="2897" t="n">
        <f aca="false">'Смета Внутр'!D1017</f>
        <v>100</v>
      </c>
      <c r="E1010" s="1004" t="n">
        <f aca="false">'Смета Внутр'!E1017</f>
        <v>0</v>
      </c>
      <c r="F1010" s="1004" t="n">
        <f aca="false">'Смета Внутр'!F1017</f>
        <v>0</v>
      </c>
      <c r="G1010" s="2888" t="n">
        <f aca="false">IF(E1010&gt;F1010,E1010,F1010)</f>
        <v>0</v>
      </c>
      <c r="H1010" s="1004" t="n">
        <f aca="false">'Смета Внутр'!G1017</f>
        <v>0</v>
      </c>
      <c r="I1010" s="1004" t="n">
        <f aca="false">'Смета Внутр'!H1017</f>
        <v>0</v>
      </c>
      <c r="J1010" s="2897" t="n">
        <f aca="false">'Смета Внутр'!I1017</f>
        <v>0</v>
      </c>
    </row>
    <row r="1011" customFormat="false" ht="15" hidden="false" customHeight="true" outlineLevel="0" collapsed="false">
      <c r="B1011" s="2888" t="str">
        <f aca="false">'Смета Внутр'!B1018</f>
        <v>нет пароизоляции</v>
      </c>
      <c r="C1011" s="2888" t="str">
        <f aca="false">'Смета Внутр'!C1018</f>
        <v>м2</v>
      </c>
      <c r="D1011" s="2897" t="n">
        <f aca="false">'Смета Внутр'!D1018</f>
        <v>100</v>
      </c>
      <c r="E1011" s="1004" t="n">
        <f aca="false">'Смета Внутр'!E1018</f>
        <v>0</v>
      </c>
      <c r="F1011" s="1004" t="n">
        <f aca="false">'Смета Внутр'!F1018</f>
        <v>0</v>
      </c>
      <c r="G1011" s="2888" t="n">
        <f aca="false">IF(E1011&gt;F1011,E1011,F1011)</f>
        <v>0</v>
      </c>
      <c r="H1011" s="1004" t="n">
        <f aca="false">'Смета Внутр'!G1018</f>
        <v>0</v>
      </c>
      <c r="I1011" s="1004" t="n">
        <f aca="false">'Смета Внутр'!H1018</f>
        <v>0</v>
      </c>
      <c r="J1011" s="2897" t="n">
        <f aca="false">'Смета Внутр'!I1018</f>
        <v>0</v>
      </c>
    </row>
    <row r="1012" customFormat="false" ht="15" hidden="false" customHeight="true" outlineLevel="0" collapsed="false">
      <c r="B1012" s="1004" t="str">
        <f aca="false">'Смета Внутр'!B1019</f>
        <v>Плита перекрытия  ЖБИ</v>
      </c>
      <c r="C1012" s="1004" t="str">
        <f aca="false">'Смета Внутр'!C1019</f>
        <v>м2</v>
      </c>
      <c r="D1012" s="1018" t="n">
        <f aca="false">'Смета Внутр'!D1019</f>
        <v>0</v>
      </c>
      <c r="E1012" s="1004" t="n">
        <f aca="false">'Смета Внутр'!E1019</f>
        <v>1400</v>
      </c>
      <c r="F1012" s="1004" t="n">
        <f aca="false">'Смета Внутр'!F1019</f>
        <v>0</v>
      </c>
      <c r="G1012" s="1004" t="n">
        <f aca="false">IF(E1012&gt;F1012,E1012,F1012)</f>
        <v>1400</v>
      </c>
      <c r="H1012" s="1004" t="n">
        <f aca="false">'Смета Внутр'!G1019</f>
        <v>0</v>
      </c>
      <c r="I1012" s="1004" t="n">
        <f aca="false">'Смета Внутр'!H1019</f>
        <v>0</v>
      </c>
      <c r="J1012" s="1018" t="n">
        <f aca="false">'Смета Внутр'!I1019</f>
        <v>0</v>
      </c>
    </row>
    <row r="1013" customFormat="false" ht="15" hidden="false" customHeight="true" outlineLevel="0" collapsed="false">
      <c r="B1013" s="1004" t="str">
        <f aca="false">'Смета Внутр'!B1020</f>
        <v>Раствор, м250</v>
      </c>
      <c r="C1013" s="1004" t="str">
        <f aca="false">'Смета Внутр'!C1020</f>
        <v>м3</v>
      </c>
      <c r="D1013" s="1018" t="n">
        <f aca="false">'Смета Внутр'!D1020</f>
        <v>0</v>
      </c>
      <c r="E1013" s="1004" t="n">
        <f aca="false">'Смета Внутр'!E1020</f>
        <v>2500</v>
      </c>
      <c r="F1013" s="1004" t="n">
        <f aca="false">'Смета Внутр'!F1020</f>
        <v>0</v>
      </c>
      <c r="G1013" s="1004" t="n">
        <f aca="false">IF(E1013&gt;F1013,E1013,F1013)</f>
        <v>2500</v>
      </c>
      <c r="H1013" s="1004" t="n">
        <f aca="false">'Смета Внутр'!G1020</f>
        <v>0</v>
      </c>
      <c r="I1013" s="1004" t="n">
        <f aca="false">'Смета Внутр'!H1020</f>
        <v>0</v>
      </c>
      <c r="J1013" s="1018" t="n">
        <f aca="false">'Смета Внутр'!I1020</f>
        <v>0</v>
      </c>
    </row>
    <row r="1014" customFormat="false" ht="15" hidden="false" customHeight="true" outlineLevel="0" collapsed="false">
      <c r="B1014" s="1004" t="str">
        <f aca="false">'Смета Внутр'!B1021</f>
        <v>Монолит, бетон, 300мм, 2 слоя</v>
      </c>
      <c r="C1014" s="1004" t="str">
        <f aca="false">'Смета Внутр'!C1021</f>
        <v>м2</v>
      </c>
      <c r="D1014" s="1018" t="n">
        <f aca="false">'Смета Внутр'!D1021</f>
        <v>0</v>
      </c>
      <c r="E1014" s="1004" t="n">
        <f aca="false">'Смета Внутр'!E1021</f>
        <v>1</v>
      </c>
      <c r="F1014" s="1004" t="n">
        <f aca="false">'Смета Внутр'!F1021</f>
        <v>0</v>
      </c>
      <c r="G1014" s="1004" t="n">
        <f aca="false">IF(E1014&gt;F1014,E1014,F1014)</f>
        <v>1</v>
      </c>
      <c r="H1014" s="1004" t="n">
        <f aca="false">'Смета Внутр'!G1021</f>
        <v>0</v>
      </c>
      <c r="I1014" s="1004" t="n">
        <f aca="false">'Смета Внутр'!H1021</f>
        <v>0</v>
      </c>
      <c r="J1014" s="1018" t="n">
        <f aca="false">'Смета Внутр'!I1021</f>
        <v>0</v>
      </c>
    </row>
    <row r="1015" customFormat="false" ht="15" hidden="false" customHeight="true" outlineLevel="0" collapsed="false">
      <c r="B1015" s="1004" t="str">
        <f aca="false">'Смета Внутр'!B1022</f>
        <v>Монолит, бетон, 300мм, 1 слой</v>
      </c>
      <c r="C1015" s="1004" t="str">
        <f aca="false">'Смета Внутр'!C1022</f>
        <v>м2</v>
      </c>
      <c r="D1015" s="1018" t="n">
        <f aca="false">'Смета Внутр'!D1022</f>
        <v>0</v>
      </c>
      <c r="E1015" s="1004" t="n">
        <f aca="false">'Смета Внутр'!E1022</f>
        <v>1</v>
      </c>
      <c r="F1015" s="1004" t="n">
        <f aca="false">'Смета Внутр'!F1022</f>
        <v>0</v>
      </c>
      <c r="G1015" s="1004" t="n">
        <f aca="false">IF(E1015&gt;F1015,E1015,F1015)</f>
        <v>1</v>
      </c>
      <c r="H1015" s="1004" t="n">
        <f aca="false">'Смета Внутр'!G1022</f>
        <v>0</v>
      </c>
      <c r="I1015" s="1004" t="n">
        <f aca="false">'Смета Внутр'!H1022</f>
        <v>0</v>
      </c>
      <c r="J1015" s="1018" t="n">
        <f aca="false">'Смета Внутр'!I1022</f>
        <v>0</v>
      </c>
    </row>
    <row r="1016" customFormat="false" ht="15" hidden="false" customHeight="true" outlineLevel="0" collapsed="false">
      <c r="B1016" s="1004" t="str">
        <f aca="false">'Смета Внутр'!B1023</f>
        <v>Монолит, бетон, 250мм, 2 слоя</v>
      </c>
      <c r="C1016" s="1004" t="str">
        <f aca="false">'Смета Внутр'!C1023</f>
        <v>м2</v>
      </c>
      <c r="D1016" s="1018" t="n">
        <f aca="false">'Смета Внутр'!D1023</f>
        <v>0</v>
      </c>
      <c r="E1016" s="1004" t="n">
        <f aca="false">'Смета Внутр'!E1023</f>
        <v>1</v>
      </c>
      <c r="F1016" s="1004" t="n">
        <f aca="false">'Смета Внутр'!F1023</f>
        <v>0</v>
      </c>
      <c r="G1016" s="1004" t="n">
        <f aca="false">IF(E1016&gt;F1016,E1016,F1016)</f>
        <v>1</v>
      </c>
      <c r="H1016" s="1004" t="n">
        <f aca="false">'Смета Внутр'!G1023</f>
        <v>0</v>
      </c>
      <c r="I1016" s="1004" t="n">
        <f aca="false">'Смета Внутр'!H1023</f>
        <v>0</v>
      </c>
      <c r="J1016" s="1018" t="n">
        <f aca="false">'Смета Внутр'!I1023</f>
        <v>0</v>
      </c>
    </row>
    <row r="1017" customFormat="false" ht="15" hidden="false" customHeight="true" outlineLevel="0" collapsed="false">
      <c r="B1017" s="1004" t="str">
        <f aca="false">'Смета Внутр'!B1024</f>
        <v>Монолит, бетон, 250мм, 1 слой</v>
      </c>
      <c r="C1017" s="1004" t="str">
        <f aca="false">'Смета Внутр'!C1024</f>
        <v>м2</v>
      </c>
      <c r="D1017" s="1018" t="n">
        <f aca="false">'Смета Внутр'!D1024</f>
        <v>0</v>
      </c>
      <c r="E1017" s="1004" t="n">
        <f aca="false">'Смета Внутр'!E1024</f>
        <v>1</v>
      </c>
      <c r="F1017" s="1004" t="n">
        <f aca="false">'Смета Внутр'!F1024</f>
        <v>0</v>
      </c>
      <c r="G1017" s="1004" t="n">
        <f aca="false">IF(E1017&gt;F1017,E1017,F1017)</f>
        <v>1</v>
      </c>
      <c r="H1017" s="1004" t="n">
        <f aca="false">'Смета Внутр'!G1024</f>
        <v>0</v>
      </c>
      <c r="I1017" s="1004" t="n">
        <f aca="false">'Смета Внутр'!H1024</f>
        <v>0</v>
      </c>
      <c r="J1017" s="1018" t="n">
        <f aca="false">'Смета Внутр'!I1024</f>
        <v>0</v>
      </c>
    </row>
    <row r="1018" customFormat="false" ht="15" hidden="false" customHeight="true" outlineLevel="0" collapsed="false">
      <c r="B1018" s="1004" t="str">
        <f aca="false">'Смета Внутр'!B1025</f>
        <v>Монолит, бетон, 200мм, 2 слоя</v>
      </c>
      <c r="C1018" s="1004" t="str">
        <f aca="false">'Смета Внутр'!C1025</f>
        <v>м2</v>
      </c>
      <c r="D1018" s="1018" t="n">
        <f aca="false">'Смета Внутр'!D1025</f>
        <v>0</v>
      </c>
      <c r="E1018" s="1004" t="n">
        <f aca="false">'Смета Внутр'!E1025</f>
        <v>1</v>
      </c>
      <c r="F1018" s="1004" t="n">
        <f aca="false">'Смета Внутр'!F1025</f>
        <v>0</v>
      </c>
      <c r="G1018" s="1004" t="n">
        <f aca="false">IF(E1018&gt;F1018,E1018,F1018)</f>
        <v>1</v>
      </c>
      <c r="H1018" s="1004" t="n">
        <f aca="false">'Смета Внутр'!G1025</f>
        <v>0</v>
      </c>
      <c r="I1018" s="1004" t="n">
        <f aca="false">'Смета Внутр'!H1025</f>
        <v>0</v>
      </c>
      <c r="J1018" s="1018" t="n">
        <f aca="false">'Смета Внутр'!I1025</f>
        <v>0</v>
      </c>
    </row>
    <row r="1019" customFormat="false" ht="15" hidden="false" customHeight="true" outlineLevel="0" collapsed="false">
      <c r="B1019" s="1004" t="str">
        <f aca="false">'Смета Внутр'!B1026</f>
        <v>Монолит, бетон, 200мм, 1 слой</v>
      </c>
      <c r="C1019" s="1004" t="str">
        <f aca="false">'Смета Внутр'!C1026</f>
        <v>м2</v>
      </c>
      <c r="D1019" s="1018" t="n">
        <f aca="false">'Смета Внутр'!D1026</f>
        <v>0</v>
      </c>
      <c r="E1019" s="1004" t="n">
        <f aca="false">'Смета Внутр'!E1026</f>
        <v>1</v>
      </c>
      <c r="F1019" s="1004" t="n">
        <f aca="false">'Смета Внутр'!F1026</f>
        <v>0</v>
      </c>
      <c r="G1019" s="1004" t="n">
        <f aca="false">IF(E1019&gt;F1019,E1019,F1019)</f>
        <v>1</v>
      </c>
      <c r="H1019" s="1004" t="n">
        <f aca="false">'Смета Внутр'!G1026</f>
        <v>0</v>
      </c>
      <c r="I1019" s="1004" t="n">
        <f aca="false">'Смета Внутр'!H1026</f>
        <v>0</v>
      </c>
      <c r="J1019" s="1018" t="n">
        <f aca="false">'Смета Внутр'!I1026</f>
        <v>0</v>
      </c>
    </row>
    <row r="1020" customFormat="false" ht="15" hidden="false" customHeight="true" outlineLevel="0" collapsed="false">
      <c r="B1020" s="1004" t="str">
        <f aca="false">'Смета Внутр'!B1027</f>
        <v>Монолит, бетон, 150мм, 2 слоя</v>
      </c>
      <c r="C1020" s="1004" t="str">
        <f aca="false">'Смета Внутр'!C1027</f>
        <v>м2</v>
      </c>
      <c r="D1020" s="1018" t="n">
        <f aca="false">'Смета Внутр'!D1027</f>
        <v>0</v>
      </c>
      <c r="E1020" s="1004" t="n">
        <f aca="false">'Смета Внутр'!E1027</f>
        <v>1</v>
      </c>
      <c r="F1020" s="1004" t="n">
        <f aca="false">'Смета Внутр'!F1027</f>
        <v>0</v>
      </c>
      <c r="G1020" s="1004" t="n">
        <f aca="false">IF(E1020&gt;F1020,E1020,F1020)</f>
        <v>1</v>
      </c>
      <c r="H1020" s="1004" t="n">
        <f aca="false">'Смета Внутр'!G1027</f>
        <v>0</v>
      </c>
      <c r="I1020" s="1004" t="n">
        <f aca="false">'Смета Внутр'!H1027</f>
        <v>0</v>
      </c>
      <c r="J1020" s="1018" t="n">
        <f aca="false">'Смета Внутр'!I1027</f>
        <v>0</v>
      </c>
    </row>
    <row r="1021" customFormat="false" ht="15" hidden="false" customHeight="true" outlineLevel="0" collapsed="false">
      <c r="B1021" s="1004" t="str">
        <f aca="false">'Смета Внутр'!B1028</f>
        <v>Монолит, бетон, 150мм, 1 слой</v>
      </c>
      <c r="C1021" s="1004" t="str">
        <f aca="false">'Смета Внутр'!C1028</f>
        <v>м2</v>
      </c>
      <c r="D1021" s="1018" t="n">
        <f aca="false">'Смета Внутр'!D1028</f>
        <v>0</v>
      </c>
      <c r="E1021" s="1004" t="n">
        <f aca="false">'Смета Внутр'!E1028</f>
        <v>1</v>
      </c>
      <c r="F1021" s="1004" t="n">
        <f aca="false">'Смета Внутр'!F1028</f>
        <v>0</v>
      </c>
      <c r="G1021" s="1004" t="n">
        <f aca="false">IF(E1021&gt;F1021,E1021,F1021)</f>
        <v>1</v>
      </c>
      <c r="H1021" s="1004" t="n">
        <f aca="false">'Смета Внутр'!G1028</f>
        <v>0</v>
      </c>
      <c r="I1021" s="1004" t="n">
        <f aca="false">'Смета Внутр'!H1028</f>
        <v>0</v>
      </c>
      <c r="J1021" s="1018" t="n">
        <f aca="false">'Смета Внутр'!I1028</f>
        <v>0</v>
      </c>
    </row>
    <row r="1022" customFormat="false" ht="15" hidden="false" customHeight="true" outlineLevel="0" collapsed="false">
      <c r="B1022" s="1004" t="str">
        <f aca="false">'Смета Внутр'!B1029</f>
        <v>доска для опалубки монолит перекрытий</v>
      </c>
      <c r="C1022" s="1004" t="str">
        <f aca="false">'Смета Внутр'!C1029</f>
        <v>м3</v>
      </c>
      <c r="D1022" s="1018" t="n">
        <f aca="false">'Смета Внутр'!D1029</f>
        <v>0</v>
      </c>
      <c r="E1022" s="1004" t="n">
        <f aca="false">'Смета Внутр'!E1029</f>
        <v>6500</v>
      </c>
      <c r="F1022" s="1004" t="n">
        <f aca="false">'Смета Внутр'!F1029</f>
        <v>0</v>
      </c>
      <c r="G1022" s="1004" t="n">
        <f aca="false">IF(E1022&gt;F1022,E1022,F1022)</f>
        <v>6500</v>
      </c>
      <c r="H1022" s="1004" t="n">
        <f aca="false">'Смета Внутр'!G1029</f>
        <v>0</v>
      </c>
      <c r="I1022" s="1004" t="n">
        <f aca="false">'Смета Внутр'!H1029</f>
        <v>0</v>
      </c>
      <c r="J1022" s="1018" t="n">
        <f aca="false">'Смета Внутр'!I1029</f>
        <v>0</v>
      </c>
    </row>
    <row r="1023" customFormat="false" ht="15" hidden="false" customHeight="true" outlineLevel="0" collapsed="false">
      <c r="B1023" s="1004" t="str">
        <f aca="false">'Смета Внутр'!B1030</f>
        <v>стойки под опалубку перекрытий</v>
      </c>
      <c r="C1023" s="1004" t="str">
        <f aca="false">'Смета Внутр'!C1030</f>
        <v>шт</v>
      </c>
      <c r="D1023" s="1018" t="n">
        <f aca="false">'Смета Внутр'!D1030</f>
        <v>0</v>
      </c>
      <c r="E1023" s="1004" t="n">
        <f aca="false">'Смета Внутр'!E1030</f>
        <v>0</v>
      </c>
      <c r="F1023" s="1004" t="n">
        <f aca="false">'Смета Внутр'!F1030</f>
        <v>0</v>
      </c>
      <c r="G1023" s="1004" t="n">
        <f aca="false">IF(E1023&gt;F1023,E1023,F1023)</f>
        <v>0</v>
      </c>
      <c r="H1023" s="1004" t="n">
        <f aca="false">'Смета Внутр'!G1030</f>
        <v>0</v>
      </c>
      <c r="I1023" s="1004" t="n">
        <f aca="false">'Смета Внутр'!H1030</f>
        <v>0</v>
      </c>
      <c r="J1023" s="1018" t="n">
        <f aca="false">'Смета Внутр'!I1030</f>
        <v>0</v>
      </c>
    </row>
    <row r="1024" customFormat="false" ht="15" hidden="false" customHeight="true" outlineLevel="0" collapsed="false">
      <c r="B1024" s="1004" t="str">
        <f aca="false">'Смета Внутр'!B1031</f>
        <v>Пленка гидроизоляционная</v>
      </c>
      <c r="C1024" s="1004" t="str">
        <f aca="false">'Смета Внутр'!C1031</f>
        <v>м2</v>
      </c>
      <c r="D1024" s="1018" t="n">
        <f aca="false">'Смета Внутр'!D1031</f>
        <v>0</v>
      </c>
      <c r="E1024" s="1004" t="n">
        <f aca="false">'Смета Внутр'!E1031</f>
        <v>15</v>
      </c>
      <c r="F1024" s="1004" t="n">
        <f aca="false">'Смета Внутр'!F1031</f>
        <v>0</v>
      </c>
      <c r="G1024" s="1004" t="n">
        <f aca="false">IF(E1024&gt;F1024,E1024,F1024)</f>
        <v>15</v>
      </c>
      <c r="H1024" s="1004" t="n">
        <f aca="false">'Смета Внутр'!G1031</f>
        <v>0</v>
      </c>
      <c r="I1024" s="1004" t="n">
        <f aca="false">'Смета Внутр'!H1031</f>
        <v>0</v>
      </c>
      <c r="J1024" s="1018" t="n">
        <f aca="false">'Смета Внутр'!I1031</f>
        <v>0</v>
      </c>
    </row>
    <row r="1025" customFormat="false" ht="15" hidden="false" customHeight="true" outlineLevel="0" collapsed="false">
      <c r="B1025" s="1004" t="str">
        <f aca="false">'Смета Внутр'!B1032</f>
        <v>Арматура М12</v>
      </c>
      <c r="C1025" s="1004" t="str">
        <f aca="false">'Смета Внутр'!C1032</f>
        <v>м.п.</v>
      </c>
      <c r="D1025" s="1018" t="n">
        <f aca="false">'Смета Внутр'!D1032</f>
        <v>0</v>
      </c>
      <c r="E1025" s="1004" t="n">
        <f aca="false">'Смета Внутр'!E1032</f>
        <v>29.2152</v>
      </c>
      <c r="F1025" s="1004" t="n">
        <f aca="false">'Смета Внутр'!F1032</f>
        <v>0</v>
      </c>
      <c r="G1025" s="1004" t="n">
        <f aca="false">IF(E1025&gt;F1025,E1025,F1025)</f>
        <v>29.2152</v>
      </c>
      <c r="H1025" s="1004" t="n">
        <f aca="false">'Смета Внутр'!G1032</f>
        <v>0</v>
      </c>
      <c r="I1025" s="1004" t="n">
        <f aca="false">'Смета Внутр'!H1032</f>
        <v>0</v>
      </c>
      <c r="J1025" s="1018" t="n">
        <f aca="false">'Смета Внутр'!I1032</f>
        <v>0</v>
      </c>
    </row>
    <row r="1026" customFormat="false" ht="15" hidden="false" customHeight="true" outlineLevel="0" collapsed="false">
      <c r="B1026" s="1004" t="str">
        <f aca="false">'Смета Внутр'!B1033</f>
        <v>Вязальная проволока</v>
      </c>
      <c r="C1026" s="1004" t="str">
        <f aca="false">'Смета Внутр'!C1033</f>
        <v>кг</v>
      </c>
      <c r="D1026" s="1018" t="n">
        <f aca="false">'Смета Внутр'!D1033</f>
        <v>0</v>
      </c>
      <c r="E1026" s="1004" t="n">
        <f aca="false">'Смета Внутр'!E1033</f>
        <v>80</v>
      </c>
      <c r="F1026" s="1004" t="n">
        <f aca="false">'Смета Внутр'!F1033</f>
        <v>0</v>
      </c>
      <c r="G1026" s="1004" t="n">
        <f aca="false">IF(E1026&gt;F1026,E1026,F1026)</f>
        <v>80</v>
      </c>
      <c r="H1026" s="1004" t="n">
        <f aca="false">'Смета Внутр'!G1033</f>
        <v>0</v>
      </c>
      <c r="I1026" s="1004" t="n">
        <f aca="false">'Смета Внутр'!H1033</f>
        <v>0</v>
      </c>
      <c r="J1026" s="1018" t="n">
        <f aca="false">'Смета Внутр'!I1033</f>
        <v>0</v>
      </c>
    </row>
    <row r="1027" customFormat="false" ht="15" hidden="false" customHeight="true" outlineLevel="0" collapsed="false">
      <c r="B1027" s="1004" t="str">
        <f aca="false">'Смета Внутр'!B1034</f>
        <v>Подставка под арматурный каркас</v>
      </c>
      <c r="C1027" s="1004" t="str">
        <f aca="false">'Смета Внутр'!C1034</f>
        <v>шт</v>
      </c>
      <c r="D1027" s="1018" t="n">
        <f aca="false">'Смета Внутр'!D1034</f>
        <v>0</v>
      </c>
      <c r="E1027" s="1004" t="n">
        <f aca="false">'Смета Внутр'!E1034</f>
        <v>5</v>
      </c>
      <c r="F1027" s="1004" t="n">
        <f aca="false">'Смета Внутр'!F1034</f>
        <v>0</v>
      </c>
      <c r="G1027" s="1004" t="n">
        <f aca="false">IF(E1027&gt;F1027,E1027,F1027)</f>
        <v>5</v>
      </c>
      <c r="H1027" s="1004" t="n">
        <f aca="false">'Смета Внутр'!G1034</f>
        <v>0</v>
      </c>
      <c r="I1027" s="1004" t="n">
        <f aca="false">'Смета Внутр'!H1034</f>
        <v>0</v>
      </c>
      <c r="J1027" s="1018" t="n">
        <f aca="false">'Смета Внутр'!I1034</f>
        <v>0</v>
      </c>
    </row>
    <row r="1028" customFormat="false" ht="15" hidden="false" customHeight="true" outlineLevel="0" collapsed="false">
      <c r="B1028" s="1004" t="str">
        <f aca="false">'Смета Внутр'!B1035</f>
        <v>бетон, м350</v>
      </c>
      <c r="C1028" s="1004" t="str">
        <f aca="false">'Смета Внутр'!C1035</f>
        <v>м3</v>
      </c>
      <c r="D1028" s="1018" t="n">
        <f aca="false">'Смета Внутр'!D1035</f>
        <v>0</v>
      </c>
      <c r="E1028" s="1004" t="n">
        <f aca="false">'Смета Внутр'!E1035</f>
        <v>3500</v>
      </c>
      <c r="F1028" s="1004" t="n">
        <f aca="false">'Смета Внутр'!F1035</f>
        <v>0</v>
      </c>
      <c r="G1028" s="1004" t="n">
        <f aca="false">IF(E1028&gt;F1028,E1028,F1028)</f>
        <v>3500</v>
      </c>
      <c r="H1028" s="1004" t="n">
        <f aca="false">'Смета Внутр'!G1035</f>
        <v>0</v>
      </c>
      <c r="I1028" s="1004" t="n">
        <f aca="false">'Смета Внутр'!H1035</f>
        <v>0</v>
      </c>
      <c r="J1028" s="1018" t="n">
        <f aca="false">'Смета Внутр'!I1035</f>
        <v>0</v>
      </c>
    </row>
    <row r="1029" customFormat="false" ht="15" hidden="false" customHeight="true" outlineLevel="0" collapsed="false">
      <c r="B1029" s="1004" t="str">
        <f aca="false">'Смета Внутр'!B1036</f>
        <v>Брус естественной влажности, 200*100мм</v>
      </c>
      <c r="C1029" s="1004" t="str">
        <f aca="false">'Смета Внутр'!C1036</f>
        <v>м3</v>
      </c>
      <c r="D1029" s="1018" t="n">
        <f aca="false">'Смета Внутр'!D1036</f>
        <v>0</v>
      </c>
      <c r="E1029" s="1004" t="n">
        <f aca="false">'Смета Внутр'!E1036</f>
        <v>6500</v>
      </c>
      <c r="F1029" s="1004" t="n">
        <f aca="false">'Смета Внутр'!F1036</f>
        <v>0</v>
      </c>
      <c r="G1029" s="1004" t="n">
        <f aca="false">IF(E1029&gt;F1029,E1029,F1029)</f>
        <v>6500</v>
      </c>
      <c r="H1029" s="1004" t="n">
        <f aca="false">'Смета Внутр'!G1036</f>
        <v>0</v>
      </c>
      <c r="I1029" s="1004" t="n">
        <f aca="false">'Смета Внутр'!H1036</f>
        <v>0</v>
      </c>
      <c r="J1029" s="1018" t="n">
        <f aca="false">'Смета Внутр'!I1036</f>
        <v>0</v>
      </c>
    </row>
    <row r="1030" customFormat="false" ht="15" hidden="false" customHeight="true" outlineLevel="0" collapsed="false">
      <c r="B1030" s="1004" t="str">
        <f aca="false">'Смета Внутр'!B1037</f>
        <v>Брус естественной влажности, 150*100мм</v>
      </c>
      <c r="C1030" s="1004" t="str">
        <f aca="false">'Смета Внутр'!C1037</f>
        <v>м3</v>
      </c>
      <c r="D1030" s="1018" t="n">
        <f aca="false">'Смета Внутр'!D1037</f>
        <v>0</v>
      </c>
      <c r="E1030" s="1004" t="n">
        <f aca="false">'Смета Внутр'!E1037</f>
        <v>6500</v>
      </c>
      <c r="F1030" s="1004" t="n">
        <f aca="false">'Смета Внутр'!F1037</f>
        <v>0</v>
      </c>
      <c r="G1030" s="1004" t="n">
        <f aca="false">IF(E1030&gt;F1030,E1030,F1030)</f>
        <v>6500</v>
      </c>
      <c r="H1030" s="1004" t="n">
        <f aca="false">'Смета Внутр'!G1037</f>
        <v>0</v>
      </c>
      <c r="I1030" s="1004" t="n">
        <f aca="false">'Смета Внутр'!H1037</f>
        <v>0</v>
      </c>
      <c r="J1030" s="1018" t="n">
        <f aca="false">'Смета Внутр'!I1037</f>
        <v>0</v>
      </c>
    </row>
    <row r="1031" customFormat="false" ht="15" hidden="false" customHeight="true" outlineLevel="0" collapsed="false">
      <c r="B1031" s="1004" t="str">
        <f aca="false">'Смета Внутр'!B1038</f>
        <v>Брус естественной влажности, 100*100мм</v>
      </c>
      <c r="C1031" s="1004" t="str">
        <f aca="false">'Смета Внутр'!C1038</f>
        <v>м3</v>
      </c>
      <c r="D1031" s="1018" t="n">
        <f aca="false">'Смета Внутр'!D1038</f>
        <v>0</v>
      </c>
      <c r="E1031" s="1004" t="n">
        <f aca="false">'Смета Внутр'!E1038</f>
        <v>6500</v>
      </c>
      <c r="F1031" s="1004" t="n">
        <f aca="false">'Смета Внутр'!F1038</f>
        <v>0</v>
      </c>
      <c r="G1031" s="1004" t="n">
        <f aca="false">IF(E1031&gt;F1031,E1031,F1031)</f>
        <v>6500</v>
      </c>
      <c r="H1031" s="1004" t="n">
        <f aca="false">'Смета Внутр'!G1038</f>
        <v>0</v>
      </c>
      <c r="I1031" s="1004" t="n">
        <f aca="false">'Смета Внутр'!H1038</f>
        <v>0</v>
      </c>
      <c r="J1031" s="1018" t="n">
        <f aca="false">'Смета Внутр'!I1038</f>
        <v>0</v>
      </c>
    </row>
    <row r="1032" customFormat="false" ht="15" hidden="false" customHeight="true" outlineLevel="0" collapsed="false">
      <c r="B1032" s="1004" t="str">
        <f aca="false">'Смета Внутр'!B1039</f>
        <v>Брус естественной влажности, 150*150мм</v>
      </c>
      <c r="C1032" s="1004" t="str">
        <f aca="false">'Смета Внутр'!C1039</f>
        <v>м3</v>
      </c>
      <c r="D1032" s="1018" t="n">
        <f aca="false">'Смета Внутр'!D1039</f>
        <v>0</v>
      </c>
      <c r="E1032" s="1004" t="n">
        <f aca="false">'Смета Внутр'!E1039</f>
        <v>6500</v>
      </c>
      <c r="F1032" s="1004" t="n">
        <f aca="false">'Смета Внутр'!F1039</f>
        <v>0</v>
      </c>
      <c r="G1032" s="1004" t="n">
        <f aca="false">IF(E1032&gt;F1032,E1032,F1032)</f>
        <v>6500</v>
      </c>
      <c r="H1032" s="1004" t="n">
        <f aca="false">'Смета Внутр'!G1039</f>
        <v>0</v>
      </c>
      <c r="I1032" s="1004" t="n">
        <f aca="false">'Смета Внутр'!H1039</f>
        <v>0</v>
      </c>
      <c r="J1032" s="1018" t="n">
        <f aca="false">'Смета Внутр'!I1039</f>
        <v>0</v>
      </c>
    </row>
    <row r="1033" customFormat="false" ht="15" hidden="false" customHeight="true" outlineLevel="0" collapsed="false">
      <c r="B1033" s="1004" t="str">
        <f aca="false">'Смета Внутр'!B1040</f>
        <v>Доска естественной влажности, 200*50мм</v>
      </c>
      <c r="C1033" s="1004" t="str">
        <f aca="false">'Смета Внутр'!C1040</f>
        <v>м3</v>
      </c>
      <c r="D1033" s="1018" t="n">
        <f aca="false">'Смета Внутр'!D1040</f>
        <v>0</v>
      </c>
      <c r="E1033" s="1004" t="n">
        <f aca="false">'Смета Внутр'!E1040</f>
        <v>6500</v>
      </c>
      <c r="F1033" s="1004" t="n">
        <f aca="false">'Смета Внутр'!F1040</f>
        <v>0</v>
      </c>
      <c r="G1033" s="1004" t="n">
        <f aca="false">IF(E1033&gt;F1033,E1033,F1033)</f>
        <v>6500</v>
      </c>
      <c r="H1033" s="1004" t="n">
        <f aca="false">'Смета Внутр'!G1040</f>
        <v>0</v>
      </c>
      <c r="I1033" s="1004" t="n">
        <f aca="false">'Смета Внутр'!H1040</f>
        <v>0</v>
      </c>
      <c r="J1033" s="1018" t="n">
        <f aca="false">'Смета Внутр'!I1040</f>
        <v>0</v>
      </c>
    </row>
    <row r="1034" customFormat="false" ht="15" hidden="false" customHeight="true" outlineLevel="0" collapsed="false">
      <c r="B1034" s="1004" t="str">
        <f aca="false">'Смета Внутр'!B1041</f>
        <v>Доска естественной влажности, 150*50мм</v>
      </c>
      <c r="C1034" s="1004" t="str">
        <f aca="false">'Смета Внутр'!C1041</f>
        <v>м3</v>
      </c>
      <c r="D1034" s="1018" t="n">
        <f aca="false">'Смета Внутр'!D1041</f>
        <v>0</v>
      </c>
      <c r="E1034" s="1004" t="n">
        <f aca="false">'Смета Внутр'!E1041</f>
        <v>6500</v>
      </c>
      <c r="F1034" s="1004" t="n">
        <f aca="false">'Смета Внутр'!F1041</f>
        <v>0</v>
      </c>
      <c r="G1034" s="1004" t="n">
        <f aca="false">IF(E1034&gt;F1034,E1034,F1034)</f>
        <v>6500</v>
      </c>
      <c r="H1034" s="1004" t="n">
        <f aca="false">'Смета Внутр'!G1041</f>
        <v>0</v>
      </c>
      <c r="I1034" s="1004" t="n">
        <f aca="false">'Смета Внутр'!H1041</f>
        <v>0</v>
      </c>
      <c r="J1034" s="1018" t="n">
        <f aca="false">'Смета Внутр'!I1041</f>
        <v>0</v>
      </c>
    </row>
    <row r="1035" customFormat="false" ht="15" hidden="false" customHeight="true" outlineLevel="0" collapsed="false">
      <c r="B1035" s="1004" t="str">
        <f aca="false">'Смета Внутр'!B1042</f>
        <v>Опора бруса</v>
      </c>
      <c r="C1035" s="1004" t="str">
        <f aca="false">'Смета Внутр'!C1042</f>
        <v>шт</v>
      </c>
      <c r="D1035" s="1018" t="n">
        <f aca="false">'Смета Внутр'!D1042</f>
        <v>0</v>
      </c>
      <c r="E1035" s="1004" t="n">
        <f aca="false">'Смета Внутр'!E1042</f>
        <v>50</v>
      </c>
      <c r="F1035" s="1004" t="n">
        <f aca="false">'Смета Внутр'!F1042</f>
        <v>0</v>
      </c>
      <c r="G1035" s="1004" t="n">
        <f aca="false">IF(E1035&gt;F1035,E1035,F1035)</f>
        <v>50</v>
      </c>
      <c r="H1035" s="1004" t="n">
        <f aca="false">'Смета Внутр'!G1042</f>
        <v>0</v>
      </c>
      <c r="I1035" s="1004" t="n">
        <f aca="false">'Смета Внутр'!H1042</f>
        <v>0</v>
      </c>
      <c r="J1035" s="1018" t="n">
        <f aca="false">'Смета Внутр'!I1042</f>
        <v>0</v>
      </c>
    </row>
    <row r="1036" customFormat="false" ht="15" hidden="false" customHeight="true" outlineLevel="0" collapsed="false">
      <c r="B1036" s="1004" t="str">
        <f aca="false">'Смета Внутр'!B1043</f>
        <v>Болты анкерные с гайкой 8,0 x 60</v>
      </c>
      <c r="C1036" s="1004" t="str">
        <f aca="false">'Смета Внутр'!C1043</f>
        <v>шт</v>
      </c>
      <c r="D1036" s="1018" t="n">
        <f aca="false">'Смета Внутр'!D1043</f>
        <v>0</v>
      </c>
      <c r="E1036" s="1004" t="n">
        <f aca="false">'Смета Внутр'!E1043</f>
        <v>4</v>
      </c>
      <c r="F1036" s="1004" t="n">
        <f aca="false">'Смета Внутр'!F1043</f>
        <v>0</v>
      </c>
      <c r="G1036" s="1004" t="n">
        <f aca="false">IF(E1036&gt;F1036,E1036,F1036)</f>
        <v>4</v>
      </c>
      <c r="H1036" s="1004" t="n">
        <f aca="false">'Смета Внутр'!G1043</f>
        <v>0</v>
      </c>
      <c r="I1036" s="1004" t="n">
        <f aca="false">'Смета Внутр'!H1043</f>
        <v>0</v>
      </c>
      <c r="J1036" s="1018" t="n">
        <f aca="false">'Смета Внутр'!I1043</f>
        <v>0</v>
      </c>
    </row>
    <row r="1037" customFormat="false" ht="15" hidden="false" customHeight="true" outlineLevel="0" collapsed="false">
      <c r="B1037" s="1004" t="str">
        <f aca="false">'Смета Внутр'!B1044</f>
        <v>Нет перекрестного пола</v>
      </c>
      <c r="C1037" s="1004" t="str">
        <f aca="false">'Смета Внутр'!C1044</f>
        <v>м3</v>
      </c>
      <c r="D1037" s="1018" t="n">
        <f aca="false">'Смета Внутр'!D1044</f>
        <v>0</v>
      </c>
      <c r="E1037" s="1004" t="n">
        <f aca="false">'Смета Внутр'!E1044</f>
        <v>0</v>
      </c>
      <c r="F1037" s="1004" t="n">
        <f aca="false">'Смета Внутр'!F1044</f>
        <v>0</v>
      </c>
      <c r="G1037" s="1004" t="n">
        <f aca="false">IF(E1037&gt;F1037,E1037,F1037)</f>
        <v>0</v>
      </c>
      <c r="H1037" s="1004" t="n">
        <f aca="false">'Смета Внутр'!G1044</f>
        <v>0</v>
      </c>
      <c r="I1037" s="1004" t="n">
        <f aca="false">'Смета Внутр'!H1044</f>
        <v>0</v>
      </c>
      <c r="J1037" s="1018" t="n">
        <f aca="false">'Смета Внутр'!I1044</f>
        <v>0</v>
      </c>
    </row>
    <row r="1038" customFormat="false" ht="15" hidden="false" customHeight="true" outlineLevel="0" collapsed="false">
      <c r="B1038" s="1004" t="str">
        <f aca="false">'Смета Внутр'!B1045</f>
        <v>Гвозди строительные 3,5 x 90</v>
      </c>
      <c r="C1038" s="1004" t="str">
        <f aca="false">'Смета Внутр'!C1045</f>
        <v>кг</v>
      </c>
      <c r="D1038" s="1018" t="n">
        <f aca="false">'Смета Внутр'!D1045</f>
        <v>0</v>
      </c>
      <c r="E1038" s="1004" t="n">
        <f aca="false">'Смета Внутр'!E1045</f>
        <v>70</v>
      </c>
      <c r="F1038" s="1004" t="n">
        <f aca="false">'Смета Внутр'!F1045</f>
        <v>0</v>
      </c>
      <c r="G1038" s="1004" t="n">
        <f aca="false">IF(E1038&gt;F1038,E1038,F1038)</f>
        <v>70</v>
      </c>
      <c r="H1038" s="1004" t="n">
        <f aca="false">'Смета Внутр'!G1045</f>
        <v>0</v>
      </c>
      <c r="I1038" s="1004" t="n">
        <f aca="false">'Смета Внутр'!H1045</f>
        <v>0</v>
      </c>
      <c r="J1038" s="1018" t="n">
        <f aca="false">'Смета Внутр'!I1045</f>
        <v>0</v>
      </c>
    </row>
    <row r="1039" customFormat="false" ht="15" hidden="false" customHeight="true" outlineLevel="0" collapsed="false">
      <c r="B1039" s="1004" t="str">
        <f aca="false">'Смета Внутр'!B1046</f>
        <v>Sip панель 2500*625*124мм</v>
      </c>
      <c r="C1039" s="1004" t="str">
        <f aca="false">'Смета Внутр'!C1046</f>
        <v>м2</v>
      </c>
      <c r="D1039" s="1018" t="n">
        <f aca="false">'Смета Внутр'!D1046</f>
        <v>0</v>
      </c>
      <c r="E1039" s="1004" t="n">
        <f aca="false">'Смета Внутр'!E1046</f>
        <v>800</v>
      </c>
      <c r="F1039" s="1004" t="n">
        <f aca="false">'Смета Внутр'!F1046</f>
        <v>0</v>
      </c>
      <c r="G1039" s="1004" t="n">
        <f aca="false">IF(E1039&gt;F1039,E1039,F1039)</f>
        <v>800</v>
      </c>
      <c r="H1039" s="1004" t="n">
        <f aca="false">'Смета Внутр'!G1046</f>
        <v>0</v>
      </c>
      <c r="I1039" s="1004" t="n">
        <f aca="false">'Смета Внутр'!H1046</f>
        <v>0</v>
      </c>
      <c r="J1039" s="1018" t="n">
        <f aca="false">'Смета Внутр'!I1046</f>
        <v>0</v>
      </c>
    </row>
    <row r="1040" customFormat="false" ht="15" hidden="false" customHeight="true" outlineLevel="0" collapsed="false">
      <c r="B1040" s="1004" t="str">
        <f aca="false">'Смета Внутр'!B1047</f>
        <v>Sip панель 2500*625*174мм</v>
      </c>
      <c r="C1040" s="1004" t="str">
        <f aca="false">'Смета Внутр'!C1047</f>
        <v>м2</v>
      </c>
      <c r="D1040" s="1018" t="n">
        <f aca="false">'Смета Внутр'!D1047</f>
        <v>0</v>
      </c>
      <c r="E1040" s="1004" t="n">
        <f aca="false">'Смета Внутр'!E1047</f>
        <v>1200</v>
      </c>
      <c r="F1040" s="1004" t="n">
        <f aca="false">'Смета Внутр'!F1047</f>
        <v>0</v>
      </c>
      <c r="G1040" s="1004" t="n">
        <f aca="false">IF(E1040&gt;F1040,E1040,F1040)</f>
        <v>1200</v>
      </c>
      <c r="H1040" s="1004" t="n">
        <f aca="false">'Смета Внутр'!G1047</f>
        <v>0</v>
      </c>
      <c r="I1040" s="1004" t="n">
        <f aca="false">'Смета Внутр'!H1047</f>
        <v>0</v>
      </c>
      <c r="J1040" s="1018" t="n">
        <f aca="false">'Смета Внутр'!I1047</f>
        <v>0</v>
      </c>
    </row>
    <row r="1041" customFormat="false" ht="15" hidden="false" customHeight="true" outlineLevel="0" collapsed="false">
      <c r="B1041" s="1004" t="str">
        <f aca="false">'Смета Внутр'!B1048</f>
        <v>Sip панель 2500*625*224мм</v>
      </c>
      <c r="C1041" s="1004" t="str">
        <f aca="false">'Смета Внутр'!C1048</f>
        <v>м2</v>
      </c>
      <c r="D1041" s="1018" t="n">
        <f aca="false">'Смета Внутр'!D1048</f>
        <v>0</v>
      </c>
      <c r="E1041" s="1004" t="n">
        <f aca="false">'Смета Внутр'!E1048</f>
        <v>1400</v>
      </c>
      <c r="F1041" s="1004" t="n">
        <f aca="false">'Смета Внутр'!F1048</f>
        <v>0</v>
      </c>
      <c r="G1041" s="1004" t="n">
        <f aca="false">IF(E1041&gt;F1041,E1041,F1041)</f>
        <v>1400</v>
      </c>
      <c r="H1041" s="1004" t="n">
        <f aca="false">'Смета Внутр'!G1048</f>
        <v>0</v>
      </c>
      <c r="I1041" s="1004" t="n">
        <f aca="false">'Смета Внутр'!H1048</f>
        <v>0</v>
      </c>
      <c r="J1041" s="1018" t="n">
        <f aca="false">'Смета Внутр'!I1048</f>
        <v>0</v>
      </c>
    </row>
    <row r="1042" customFormat="false" ht="15" hidden="false" customHeight="true" outlineLevel="0" collapsed="false">
      <c r="B1042" s="1004" t="str">
        <f aca="false">'Смета Внутр'!B1049</f>
        <v>Доска сухая, 100*50мм</v>
      </c>
      <c r="C1042" s="1004" t="str">
        <f aca="false">'Смета Внутр'!C1049</f>
        <v>м.п.</v>
      </c>
      <c r="D1042" s="1018" t="n">
        <f aca="false">'Смета Внутр'!D1049</f>
        <v>0</v>
      </c>
      <c r="E1042" s="1004" t="n">
        <f aca="false">'Смета Внутр'!E1049</f>
        <v>45</v>
      </c>
      <c r="F1042" s="1004" t="n">
        <f aca="false">'Смета Внутр'!F1049</f>
        <v>0</v>
      </c>
      <c r="G1042" s="1004" t="n">
        <f aca="false">IF(E1042&gt;F1042,E1042,F1042)</f>
        <v>45</v>
      </c>
      <c r="H1042" s="1004" t="n">
        <f aca="false">'Смета Внутр'!G1049</f>
        <v>0</v>
      </c>
      <c r="I1042" s="1004" t="n">
        <f aca="false">'Смета Внутр'!H1049</f>
        <v>0</v>
      </c>
      <c r="J1042" s="1018" t="n">
        <f aca="false">'Смета Внутр'!I1049</f>
        <v>0</v>
      </c>
    </row>
    <row r="1043" customFormat="false" ht="15" hidden="false" customHeight="true" outlineLevel="0" collapsed="false">
      <c r="B1043" s="1004" t="str">
        <f aca="false">'Смета Внутр'!B1050</f>
        <v>Доска сухая, 150*50мм</v>
      </c>
      <c r="C1043" s="1004" t="str">
        <f aca="false">'Смета Внутр'!C1050</f>
        <v>м.п.</v>
      </c>
      <c r="D1043" s="1018" t="n">
        <f aca="false">'Смета Внутр'!D1050</f>
        <v>0</v>
      </c>
      <c r="E1043" s="1004" t="n">
        <f aca="false">'Смета Внутр'!E1050</f>
        <v>67.5</v>
      </c>
      <c r="F1043" s="1004" t="n">
        <f aca="false">'Смета Внутр'!F1050</f>
        <v>0</v>
      </c>
      <c r="G1043" s="1004" t="n">
        <f aca="false">IF(E1043&gt;F1043,E1043,F1043)</f>
        <v>67.5</v>
      </c>
      <c r="H1043" s="1004" t="n">
        <f aca="false">'Смета Внутр'!G1050</f>
        <v>0</v>
      </c>
      <c r="I1043" s="1004" t="n">
        <f aca="false">'Смета Внутр'!H1050</f>
        <v>0</v>
      </c>
      <c r="J1043" s="1018" t="n">
        <f aca="false">'Смета Внутр'!I1050</f>
        <v>0</v>
      </c>
    </row>
    <row r="1044" customFormat="false" ht="15" hidden="false" customHeight="true" outlineLevel="0" collapsed="false">
      <c r="B1044" s="1004" t="str">
        <f aca="false">'Смета Внутр'!B1051</f>
        <v>Доска сухая, 200*50мм</v>
      </c>
      <c r="C1044" s="1004" t="str">
        <f aca="false">'Смета Внутр'!C1051</f>
        <v>м.п.</v>
      </c>
      <c r="D1044" s="1018" t="n">
        <f aca="false">'Смета Внутр'!D1051</f>
        <v>0</v>
      </c>
      <c r="E1044" s="1004" t="n">
        <f aca="false">'Смета Внутр'!E1051</f>
        <v>90</v>
      </c>
      <c r="F1044" s="1004" t="n">
        <f aca="false">'Смета Внутр'!F1051</f>
        <v>0</v>
      </c>
      <c r="G1044" s="1004" t="n">
        <f aca="false">IF(E1044&gt;F1044,E1044,F1044)</f>
        <v>90</v>
      </c>
      <c r="H1044" s="1004" t="n">
        <f aca="false">'Смета Внутр'!G1051</f>
        <v>0</v>
      </c>
      <c r="I1044" s="1004" t="n">
        <f aca="false">'Смета Внутр'!H1051</f>
        <v>0</v>
      </c>
      <c r="J1044" s="1018" t="n">
        <f aca="false">'Смета Внутр'!I1051</f>
        <v>0</v>
      </c>
    </row>
    <row r="1045" customFormat="false" ht="15" hidden="false" customHeight="true" outlineLevel="0" collapsed="false">
      <c r="B1045" s="1004" t="str">
        <f aca="false">'Смета Внутр'!B1052</f>
        <v>Пена монтажная, всесезонняя 800мл</v>
      </c>
      <c r="C1045" s="1004" t="str">
        <f aca="false">'Смета Внутр'!C1052</f>
        <v>шт</v>
      </c>
      <c r="D1045" s="1018" t="n">
        <f aca="false">'Смета Внутр'!D1052</f>
        <v>0</v>
      </c>
      <c r="E1045" s="1004" t="n">
        <f aca="false">'Смета Внутр'!E1052</f>
        <v>300</v>
      </c>
      <c r="F1045" s="1004" t="n">
        <f aca="false">'Смета Внутр'!F1052</f>
        <v>0</v>
      </c>
      <c r="G1045" s="1004" t="n">
        <f aca="false">IF(E1045&gt;F1045,E1045,F1045)</f>
        <v>300</v>
      </c>
      <c r="H1045" s="1004" t="n">
        <f aca="false">'Смета Внутр'!G1052</f>
        <v>0</v>
      </c>
      <c r="I1045" s="1004" t="n">
        <f aca="false">'Смета Внутр'!H1052</f>
        <v>0</v>
      </c>
      <c r="J1045" s="1018" t="n">
        <f aca="false">'Смета Внутр'!I1052</f>
        <v>0</v>
      </c>
    </row>
    <row r="1046" customFormat="false" ht="15" hidden="false" customHeight="true" outlineLevel="0" collapsed="false">
      <c r="B1046" s="1004" t="str">
        <f aca="false">'Смета Внутр'!B1053</f>
        <v>Гвозди строительные 3,5 x 90</v>
      </c>
      <c r="C1046" s="1004" t="str">
        <f aca="false">'Смета Внутр'!C1053</f>
        <v>шт</v>
      </c>
      <c r="D1046" s="1018" t="n">
        <f aca="false">'Смета Внутр'!D1053</f>
        <v>0</v>
      </c>
      <c r="E1046" s="1004" t="n">
        <f aca="false">'Смета Внутр'!E1053</f>
        <v>45</v>
      </c>
      <c r="F1046" s="1004" t="n">
        <f aca="false">'Смета Внутр'!F1053</f>
        <v>0</v>
      </c>
      <c r="G1046" s="1004" t="n">
        <f aca="false">IF(E1046&gt;F1046,E1046,F1046)</f>
        <v>45</v>
      </c>
      <c r="H1046" s="1004" t="n">
        <f aca="false">'Смета Внутр'!G1053</f>
        <v>0</v>
      </c>
      <c r="I1046" s="1004" t="n">
        <f aca="false">'Смета Внутр'!H1053</f>
        <v>0</v>
      </c>
      <c r="J1046" s="1018" t="n">
        <f aca="false">'Смета Внутр'!I1053</f>
        <v>0</v>
      </c>
    </row>
    <row r="1047" customFormat="false" ht="15" hidden="false" customHeight="true" outlineLevel="0" collapsed="false">
      <c r="B1047" s="1004" t="str">
        <f aca="false">'Смета Внутр'!B1054</f>
        <v>Саморезы 3,5 x 45</v>
      </c>
      <c r="C1047" s="1004" t="str">
        <f aca="false">'Смета Внутр'!C1054</f>
        <v>шт</v>
      </c>
      <c r="D1047" s="1018" t="n">
        <f aca="false">'Смета Внутр'!D1054</f>
        <v>0</v>
      </c>
      <c r="E1047" s="1004" t="n">
        <f aca="false">'Смета Внутр'!E1054</f>
        <v>0.25</v>
      </c>
      <c r="F1047" s="1004" t="n">
        <f aca="false">'Смета Внутр'!F1054</f>
        <v>0</v>
      </c>
      <c r="G1047" s="1004" t="n">
        <f aca="false">IF(E1047&gt;F1047,E1047,F1047)</f>
        <v>0.25</v>
      </c>
      <c r="H1047" s="1004" t="n">
        <f aca="false">'Смета Внутр'!G1054</f>
        <v>0</v>
      </c>
      <c r="I1047" s="1004" t="n">
        <f aca="false">'Смета Внутр'!H1054</f>
        <v>0</v>
      </c>
      <c r="J1047" s="1018" t="n">
        <f aca="false">'Смета Внутр'!I1054</f>
        <v>0</v>
      </c>
    </row>
    <row r="1048" customFormat="false" ht="15" hidden="false" customHeight="true" outlineLevel="0" collapsed="false">
      <c r="B1048" s="1004" t="str">
        <f aca="false">'Смета Внутр'!B1055</f>
        <v>Доска сухая, 200*50мм</v>
      </c>
      <c r="C1048" s="1004" t="str">
        <f aca="false">'Смета Внутр'!C1055</f>
        <v>м3</v>
      </c>
      <c r="D1048" s="1018" t="n">
        <f aca="false">'Смета Внутр'!D1055</f>
        <v>0</v>
      </c>
      <c r="E1048" s="1004" t="n">
        <f aca="false">'Смета Внутр'!E1055</f>
        <v>9000</v>
      </c>
      <c r="F1048" s="1004" t="n">
        <f aca="false">'Смета Внутр'!F1055</f>
        <v>0</v>
      </c>
      <c r="G1048" s="1004" t="n">
        <f aca="false">IF(E1048&gt;F1048,E1048,F1048)</f>
        <v>9000</v>
      </c>
      <c r="H1048" s="1004" t="n">
        <f aca="false">'Смета Внутр'!G1055</f>
        <v>0</v>
      </c>
      <c r="I1048" s="1004" t="n">
        <f aca="false">'Смета Внутр'!H1055</f>
        <v>0</v>
      </c>
      <c r="J1048" s="1018" t="n">
        <f aca="false">'Смета Внутр'!I1055</f>
        <v>0</v>
      </c>
    </row>
    <row r="1049" customFormat="false" ht="15" hidden="false" customHeight="true" outlineLevel="0" collapsed="false">
      <c r="B1049" s="1004" t="str">
        <f aca="false">'Смета Внутр'!B1056</f>
        <v>Доска сухая, 150*50мм</v>
      </c>
      <c r="C1049" s="1004" t="str">
        <f aca="false">'Смета Внутр'!C1056</f>
        <v>м3</v>
      </c>
      <c r="D1049" s="1018" t="n">
        <f aca="false">'Смета Внутр'!D1056</f>
        <v>0</v>
      </c>
      <c r="E1049" s="1004" t="n">
        <f aca="false">'Смета Внутр'!E1056</f>
        <v>9000</v>
      </c>
      <c r="F1049" s="1004" t="n">
        <f aca="false">'Смета Внутр'!F1056</f>
        <v>0</v>
      </c>
      <c r="G1049" s="1004" t="n">
        <f aca="false">IF(E1049&gt;F1049,E1049,F1049)</f>
        <v>9000</v>
      </c>
      <c r="H1049" s="1004" t="n">
        <f aca="false">'Смета Внутр'!G1056</f>
        <v>0</v>
      </c>
      <c r="I1049" s="1004" t="n">
        <f aca="false">'Смета Внутр'!H1056</f>
        <v>0</v>
      </c>
      <c r="J1049" s="1018" t="n">
        <f aca="false">'Смета Внутр'!I1056</f>
        <v>0</v>
      </c>
    </row>
    <row r="1050" customFormat="false" ht="15" hidden="false" customHeight="true" outlineLevel="0" collapsed="false">
      <c r="B1050" s="1004" t="str">
        <f aca="false">'Смета Внутр'!B1057</f>
        <v>Гвозди ершоные 2,8 х 90</v>
      </c>
      <c r="C1050" s="1004" t="str">
        <f aca="false">'Смета Внутр'!C1057</f>
        <v>кг</v>
      </c>
      <c r="D1050" s="1018" t="n">
        <f aca="false">'Смета Внутр'!D1057</f>
        <v>0</v>
      </c>
      <c r="E1050" s="1004" t="n">
        <f aca="false">'Смета Внутр'!E1057</f>
        <v>76.49</v>
      </c>
      <c r="F1050" s="1004" t="n">
        <f aca="false">'Смета Внутр'!F1057</f>
        <v>0</v>
      </c>
      <c r="G1050" s="1004" t="n">
        <f aca="false">IF(E1050&gt;F1050,E1050,F1050)</f>
        <v>76.49</v>
      </c>
      <c r="H1050" s="1004" t="n">
        <f aca="false">'Смета Внутр'!G1057</f>
        <v>0</v>
      </c>
      <c r="I1050" s="1004" t="n">
        <f aca="false">'Смета Внутр'!H1057</f>
        <v>0</v>
      </c>
      <c r="J1050" s="1018" t="n">
        <f aca="false">'Смета Внутр'!I1057</f>
        <v>0</v>
      </c>
    </row>
    <row r="1051" customFormat="false" ht="15" hidden="false" customHeight="true" outlineLevel="0" collapsed="false">
      <c r="B1051" s="1004" t="str">
        <f aca="false">'Смета Внутр'!B1058</f>
        <v>Доска сухая калиброванная, 190*45мм</v>
      </c>
      <c r="C1051" s="1004" t="str">
        <f aca="false">'Смета Внутр'!C1058</f>
        <v>м3</v>
      </c>
      <c r="D1051" s="1018" t="n">
        <f aca="false">'Смета Внутр'!D1058</f>
        <v>0</v>
      </c>
      <c r="E1051" s="1004" t="n">
        <f aca="false">'Смета Внутр'!E1058</f>
        <v>12500</v>
      </c>
      <c r="F1051" s="1004" t="n">
        <f aca="false">'Смета Внутр'!F1058</f>
        <v>0</v>
      </c>
      <c r="G1051" s="1004" t="n">
        <f aca="false">IF(E1051&gt;F1051,E1051,F1051)</f>
        <v>12500</v>
      </c>
      <c r="H1051" s="1004" t="n">
        <f aca="false">'Смета Внутр'!G1058</f>
        <v>0</v>
      </c>
      <c r="I1051" s="1004" t="n">
        <f aca="false">'Смета Внутр'!H1058</f>
        <v>0</v>
      </c>
      <c r="J1051" s="1018" t="n">
        <f aca="false">'Смета Внутр'!I1058</f>
        <v>0</v>
      </c>
    </row>
    <row r="1052" customFormat="false" ht="15" hidden="false" customHeight="true" outlineLevel="0" collapsed="false">
      <c r="B1052" s="1004" t="str">
        <f aca="false">'Смета Внутр'!B1059</f>
        <v>Доска сухая калиброванная, 145*45мм</v>
      </c>
      <c r="C1052" s="1004" t="str">
        <f aca="false">'Смета Внутр'!C1059</f>
        <v>м3</v>
      </c>
      <c r="D1052" s="1018" t="n">
        <f aca="false">'Смета Внутр'!D1059</f>
        <v>0</v>
      </c>
      <c r="E1052" s="1004" t="n">
        <f aca="false">'Смета Внутр'!E1059</f>
        <v>12500</v>
      </c>
      <c r="F1052" s="1004" t="n">
        <f aca="false">'Смета Внутр'!F1059</f>
        <v>0</v>
      </c>
      <c r="G1052" s="1004" t="n">
        <f aca="false">IF(E1052&gt;F1052,E1052,F1052)</f>
        <v>12500</v>
      </c>
      <c r="H1052" s="1004" t="n">
        <f aca="false">'Смета Внутр'!G1059</f>
        <v>0</v>
      </c>
      <c r="I1052" s="1004" t="n">
        <f aca="false">'Смета Внутр'!H1059</f>
        <v>0</v>
      </c>
      <c r="J1052" s="1018" t="n">
        <f aca="false">'Смета Внутр'!I1059</f>
        <v>0</v>
      </c>
    </row>
    <row r="1053" customFormat="false" ht="15" hidden="false" customHeight="true" outlineLevel="0" collapsed="false">
      <c r="B1053" s="1004" t="str">
        <f aca="false">'Смета Внутр'!B1060</f>
        <v>Гвозди ершоные 2,8 х 90</v>
      </c>
      <c r="C1053" s="1004" t="str">
        <f aca="false">'Смета Внутр'!C1060</f>
        <v>кг</v>
      </c>
      <c r="D1053" s="1018" t="n">
        <f aca="false">'Смета Внутр'!D1060</f>
        <v>0</v>
      </c>
      <c r="E1053" s="1004" t="n">
        <f aca="false">'Смета Внутр'!E1060</f>
        <v>76.49</v>
      </c>
      <c r="F1053" s="1004" t="n">
        <f aca="false">'Смета Внутр'!F1060</f>
        <v>0</v>
      </c>
      <c r="G1053" s="1004" t="n">
        <f aca="false">IF(E1053&gt;F1053,E1053,F1053)</f>
        <v>76.49</v>
      </c>
      <c r="H1053" s="1004" t="n">
        <f aca="false">'Смета Внутр'!G1060</f>
        <v>0</v>
      </c>
      <c r="I1053" s="1004" t="n">
        <f aca="false">'Смета Внутр'!H1060</f>
        <v>0</v>
      </c>
      <c r="J1053" s="1018" t="n">
        <f aca="false">'Смета Внутр'!I1060</f>
        <v>0</v>
      </c>
    </row>
    <row r="1054" customFormat="false" ht="15" hidden="false" customHeight="true" outlineLevel="0" collapsed="false">
      <c r="B1054" s="1004" t="str">
        <f aca="false">'Смета Внутр'!B1061</f>
        <v>Двутавровая деревянная балка, 400*65мм</v>
      </c>
      <c r="C1054" s="1004" t="str">
        <f aca="false">'Смета Внутр'!C1061</f>
        <v>м.п.</v>
      </c>
      <c r="D1054" s="1018" t="n">
        <f aca="false">'Смета Внутр'!D1061</f>
        <v>0</v>
      </c>
      <c r="E1054" s="1004" t="n">
        <f aca="false">'Смета Внутр'!E1061</f>
        <v>303</v>
      </c>
      <c r="F1054" s="1004" t="n">
        <f aca="false">'Смета Внутр'!F1061</f>
        <v>0</v>
      </c>
      <c r="G1054" s="1004" t="n">
        <f aca="false">IF(E1054&gt;F1054,E1054,F1054)</f>
        <v>303</v>
      </c>
      <c r="H1054" s="1004" t="n">
        <f aca="false">'Смета Внутр'!G1061</f>
        <v>0</v>
      </c>
      <c r="I1054" s="1004" t="n">
        <f aca="false">'Смета Внутр'!H1061</f>
        <v>0</v>
      </c>
      <c r="J1054" s="1018" t="n">
        <f aca="false">'Смета Внутр'!I1061</f>
        <v>0</v>
      </c>
    </row>
    <row r="1055" customFormat="false" ht="15" hidden="false" customHeight="true" outlineLevel="0" collapsed="false">
      <c r="B1055" s="1004" t="str">
        <f aca="false">'Смета Внутр'!B1062</f>
        <v>Двутавровая деревянная балка, 400*90мм</v>
      </c>
      <c r="C1055" s="1004" t="str">
        <f aca="false">'Смета Внутр'!C1062</f>
        <v>м.п.</v>
      </c>
      <c r="D1055" s="1018" t="n">
        <f aca="false">'Смета Внутр'!D1062</f>
        <v>0</v>
      </c>
      <c r="E1055" s="1004" t="n">
        <f aca="false">'Смета Внутр'!E1062</f>
        <v>355</v>
      </c>
      <c r="F1055" s="1004" t="n">
        <f aca="false">'Смета Внутр'!F1062</f>
        <v>0</v>
      </c>
      <c r="G1055" s="1004" t="n">
        <f aca="false">IF(E1055&gt;F1055,E1055,F1055)</f>
        <v>355</v>
      </c>
      <c r="H1055" s="1004" t="n">
        <f aca="false">'Смета Внутр'!G1062</f>
        <v>0</v>
      </c>
      <c r="I1055" s="1004" t="n">
        <f aca="false">'Смета Внутр'!H1062</f>
        <v>0</v>
      </c>
      <c r="J1055" s="1018" t="n">
        <f aca="false">'Смета Внутр'!I1062</f>
        <v>0</v>
      </c>
    </row>
    <row r="1056" customFormat="false" ht="15" hidden="false" customHeight="true" outlineLevel="0" collapsed="false">
      <c r="B1056" s="1004" t="str">
        <f aca="false">'Смета Внутр'!B1063</f>
        <v>Двутавровая деревянная балка, 350*65мм</v>
      </c>
      <c r="C1056" s="1004" t="str">
        <f aca="false">'Смета Внутр'!C1063</f>
        <v>м.п.</v>
      </c>
      <c r="D1056" s="1018" t="n">
        <f aca="false">'Смета Внутр'!D1063</f>
        <v>0</v>
      </c>
      <c r="E1056" s="1004" t="n">
        <f aca="false">'Смета Внутр'!E1063</f>
        <v>287</v>
      </c>
      <c r="F1056" s="1004" t="n">
        <f aca="false">'Смета Внутр'!F1063</f>
        <v>0</v>
      </c>
      <c r="G1056" s="1004" t="n">
        <f aca="false">IF(E1056&gt;F1056,E1056,F1056)</f>
        <v>287</v>
      </c>
      <c r="H1056" s="1004" t="n">
        <f aca="false">'Смета Внутр'!G1063</f>
        <v>0</v>
      </c>
      <c r="I1056" s="1004" t="n">
        <f aca="false">'Смета Внутр'!H1063</f>
        <v>0</v>
      </c>
      <c r="J1056" s="1018" t="n">
        <f aca="false">'Смета Внутр'!I1063</f>
        <v>0</v>
      </c>
    </row>
    <row r="1057" customFormat="false" ht="15" hidden="false" customHeight="true" outlineLevel="0" collapsed="false">
      <c r="B1057" s="1004" t="str">
        <f aca="false">'Смета Внутр'!B1064</f>
        <v>Двутавровая деревянная балка, 350*90мм</v>
      </c>
      <c r="C1057" s="1004" t="str">
        <f aca="false">'Смета Внутр'!C1064</f>
        <v>м.п.</v>
      </c>
      <c r="D1057" s="1018" t="n">
        <f aca="false">'Смета Внутр'!D1064</f>
        <v>0</v>
      </c>
      <c r="E1057" s="1004" t="n">
        <f aca="false">'Смета Внутр'!E1064</f>
        <v>315</v>
      </c>
      <c r="F1057" s="1004" t="n">
        <f aca="false">'Смета Внутр'!F1064</f>
        <v>0</v>
      </c>
      <c r="G1057" s="1004" t="n">
        <f aca="false">IF(E1057&gt;F1057,E1057,F1057)</f>
        <v>315</v>
      </c>
      <c r="H1057" s="1004" t="n">
        <f aca="false">'Смета Внутр'!G1064</f>
        <v>0</v>
      </c>
      <c r="I1057" s="1004" t="n">
        <f aca="false">'Смета Внутр'!H1064</f>
        <v>0</v>
      </c>
      <c r="J1057" s="1018" t="n">
        <f aca="false">'Смета Внутр'!I1064</f>
        <v>0</v>
      </c>
    </row>
    <row r="1058" customFormat="false" ht="15" hidden="false" customHeight="true" outlineLevel="0" collapsed="false">
      <c r="B1058" s="1004" t="str">
        <f aca="false">'Смета Внутр'!B1065</f>
        <v>Двутавровая деревянная балка, 300*65мм</v>
      </c>
      <c r="C1058" s="1004" t="str">
        <f aca="false">'Смета Внутр'!C1065</f>
        <v>м.п.</v>
      </c>
      <c r="D1058" s="1018" t="n">
        <f aca="false">'Смета Внутр'!D1065</f>
        <v>0</v>
      </c>
      <c r="E1058" s="1004" t="n">
        <f aca="false">'Смета Внутр'!E1065</f>
        <v>273</v>
      </c>
      <c r="F1058" s="1004" t="n">
        <f aca="false">'Смета Внутр'!F1065</f>
        <v>0</v>
      </c>
      <c r="G1058" s="1004" t="n">
        <f aca="false">IF(E1058&gt;F1058,E1058,F1058)</f>
        <v>273</v>
      </c>
      <c r="H1058" s="1004" t="n">
        <f aca="false">'Смета Внутр'!G1065</f>
        <v>0</v>
      </c>
      <c r="I1058" s="1004" t="n">
        <f aca="false">'Смета Внутр'!H1065</f>
        <v>0</v>
      </c>
      <c r="J1058" s="1018" t="n">
        <f aca="false">'Смета Внутр'!I1065</f>
        <v>0</v>
      </c>
    </row>
    <row r="1059" customFormat="false" ht="15" hidden="false" customHeight="true" outlineLevel="0" collapsed="false">
      <c r="B1059" s="1004" t="str">
        <f aca="false">'Смета Внутр'!B1066</f>
        <v>Двутавровая деревянная балка, 300*90мм</v>
      </c>
      <c r="C1059" s="1004" t="str">
        <f aca="false">'Смета Внутр'!C1066</f>
        <v>м.п.</v>
      </c>
      <c r="D1059" s="1018" t="n">
        <f aca="false">'Смета Внутр'!D1066</f>
        <v>0</v>
      </c>
      <c r="E1059" s="1004" t="n">
        <f aca="false">'Смета Внутр'!E1066</f>
        <v>315</v>
      </c>
      <c r="F1059" s="1004" t="n">
        <f aca="false">'Смета Внутр'!F1066</f>
        <v>0</v>
      </c>
      <c r="G1059" s="1004" t="n">
        <f aca="false">IF(E1059&gt;F1059,E1059,F1059)</f>
        <v>315</v>
      </c>
      <c r="H1059" s="1004" t="n">
        <f aca="false">'Смета Внутр'!G1066</f>
        <v>0</v>
      </c>
      <c r="I1059" s="1004" t="n">
        <f aca="false">'Смета Внутр'!H1066</f>
        <v>0</v>
      </c>
      <c r="J1059" s="1018" t="n">
        <f aca="false">'Смета Внутр'!I1066</f>
        <v>0</v>
      </c>
    </row>
    <row r="1060" customFormat="false" ht="15" hidden="false" customHeight="true" outlineLevel="0" collapsed="false">
      <c r="B1060" s="1004" t="str">
        <f aca="false">'Смета Внутр'!B1067</f>
        <v>Двутавровая деревянная балка, 240*65мм</v>
      </c>
      <c r="C1060" s="1004" t="str">
        <f aca="false">'Смета Внутр'!C1067</f>
        <v>м.п.</v>
      </c>
      <c r="D1060" s="1018" t="n">
        <f aca="false">'Смета Внутр'!D1067</f>
        <v>0</v>
      </c>
      <c r="E1060" s="1004" t="n">
        <f aca="false">'Смета Внутр'!E1067</f>
        <v>263</v>
      </c>
      <c r="F1060" s="1004" t="n">
        <f aca="false">'Смета Внутр'!F1067</f>
        <v>0</v>
      </c>
      <c r="G1060" s="1004" t="n">
        <f aca="false">IF(E1060&gt;F1060,E1060,F1060)</f>
        <v>263</v>
      </c>
      <c r="H1060" s="1004" t="n">
        <f aca="false">'Смета Внутр'!G1067</f>
        <v>0</v>
      </c>
      <c r="I1060" s="1004" t="n">
        <f aca="false">'Смета Внутр'!H1067</f>
        <v>0</v>
      </c>
      <c r="J1060" s="1018" t="n">
        <f aca="false">'Смета Внутр'!I1067</f>
        <v>0</v>
      </c>
    </row>
    <row r="1061" customFormat="false" ht="15" hidden="false" customHeight="true" outlineLevel="0" collapsed="false">
      <c r="B1061" s="1004" t="str">
        <f aca="false">'Смета Внутр'!B1068</f>
        <v>Двутавровая деревянная балка, 240*90мм</v>
      </c>
      <c r="C1061" s="1004" t="str">
        <f aca="false">'Смета Внутр'!C1068</f>
        <v>м.п.</v>
      </c>
      <c r="D1061" s="1018" t="n">
        <f aca="false">'Смета Внутр'!D1068</f>
        <v>0</v>
      </c>
      <c r="E1061" s="1004" t="n">
        <f aca="false">'Смета Внутр'!E1068</f>
        <v>291</v>
      </c>
      <c r="F1061" s="1004" t="n">
        <f aca="false">'Смета Внутр'!F1068</f>
        <v>0</v>
      </c>
      <c r="G1061" s="1004" t="n">
        <f aca="false">IF(E1061&gt;F1061,E1061,F1061)</f>
        <v>291</v>
      </c>
      <c r="H1061" s="1004" t="n">
        <f aca="false">'Смета Внутр'!G1068</f>
        <v>0</v>
      </c>
      <c r="I1061" s="1004" t="n">
        <f aca="false">'Смета Внутр'!H1068</f>
        <v>0</v>
      </c>
      <c r="J1061" s="1018" t="n">
        <f aca="false">'Смета Внутр'!I1068</f>
        <v>0</v>
      </c>
    </row>
    <row r="1062" customFormat="false" ht="15" hidden="false" customHeight="true" outlineLevel="0" collapsed="false">
      <c r="B1062" s="1004" t="str">
        <f aca="false">'Смета Внутр'!B1069</f>
        <v>Двутавровая деревянная балка, 200*65мм</v>
      </c>
      <c r="C1062" s="1004" t="str">
        <f aca="false">'Смета Внутр'!C1069</f>
        <v>м.п.</v>
      </c>
      <c r="D1062" s="1018" t="n">
        <f aca="false">'Смета Внутр'!D1069</f>
        <v>0</v>
      </c>
      <c r="E1062" s="1004" t="n">
        <f aca="false">'Смета Внутр'!E1069</f>
        <v>250</v>
      </c>
      <c r="F1062" s="1004" t="n">
        <f aca="false">'Смета Внутр'!F1069</f>
        <v>0</v>
      </c>
      <c r="G1062" s="1004" t="n">
        <f aca="false">IF(E1062&gt;F1062,E1062,F1062)</f>
        <v>250</v>
      </c>
      <c r="H1062" s="1004" t="n">
        <f aca="false">'Смета Внутр'!G1069</f>
        <v>0</v>
      </c>
      <c r="I1062" s="1004" t="n">
        <f aca="false">'Смета Внутр'!H1069</f>
        <v>0</v>
      </c>
      <c r="J1062" s="1018" t="n">
        <f aca="false">'Смета Внутр'!I1069</f>
        <v>0</v>
      </c>
    </row>
    <row r="1063" customFormat="false" ht="15" hidden="false" customHeight="true" outlineLevel="0" collapsed="false">
      <c r="B1063" s="1004" t="str">
        <f aca="false">'Смета Внутр'!B1070</f>
        <v>Двутавровая деревянная балка, 200*90мм</v>
      </c>
      <c r="C1063" s="1004" t="str">
        <f aca="false">'Смета Внутр'!C1070</f>
        <v>м.п.</v>
      </c>
      <c r="D1063" s="1018" t="n">
        <f aca="false">'Смета Внутр'!D1070</f>
        <v>0</v>
      </c>
      <c r="E1063" s="1004" t="n">
        <f aca="false">'Смета Внутр'!E1070</f>
        <v>280</v>
      </c>
      <c r="F1063" s="1004" t="n">
        <f aca="false">'Смета Внутр'!F1070</f>
        <v>0</v>
      </c>
      <c r="G1063" s="1004" t="n">
        <f aca="false">IF(E1063&gt;F1063,E1063,F1063)</f>
        <v>280</v>
      </c>
      <c r="H1063" s="1004" t="n">
        <f aca="false">'Смета Внутр'!G1070</f>
        <v>0</v>
      </c>
      <c r="I1063" s="1004" t="n">
        <f aca="false">'Смета Внутр'!H1070</f>
        <v>0</v>
      </c>
      <c r="J1063" s="1018" t="n">
        <f aca="false">'Смета Внутр'!I1070</f>
        <v>0</v>
      </c>
    </row>
    <row r="1064" customFormat="false" ht="15" hidden="false" customHeight="true" outlineLevel="0" collapsed="false">
      <c r="B1064" s="1004" t="str">
        <f aca="false">'Смета Внутр'!B1071</f>
        <v>Двутавровая деревянная балка, 150*65мм</v>
      </c>
      <c r="C1064" s="1004" t="str">
        <f aca="false">'Смета Внутр'!C1071</f>
        <v>м.п.</v>
      </c>
      <c r="D1064" s="1018" t="n">
        <f aca="false">'Смета Внутр'!D1071</f>
        <v>0</v>
      </c>
      <c r="E1064" s="1004" t="n">
        <f aca="false">'Смета Внутр'!E1071</f>
        <v>220</v>
      </c>
      <c r="F1064" s="1004" t="n">
        <f aca="false">'Смета Внутр'!F1071</f>
        <v>0</v>
      </c>
      <c r="G1064" s="1004" t="n">
        <f aca="false">IF(E1064&gt;F1064,E1064,F1064)</f>
        <v>220</v>
      </c>
      <c r="H1064" s="1004" t="n">
        <f aca="false">'Смета Внутр'!G1071</f>
        <v>0</v>
      </c>
      <c r="I1064" s="1004" t="n">
        <f aca="false">'Смета Внутр'!H1071</f>
        <v>0</v>
      </c>
      <c r="J1064" s="1018" t="n">
        <f aca="false">'Смета Внутр'!I1071</f>
        <v>0</v>
      </c>
    </row>
    <row r="1065" customFormat="false" ht="15" hidden="false" customHeight="true" outlineLevel="0" collapsed="false">
      <c r="B1065" s="1004" t="str">
        <f aca="false">'Смета Внутр'!B1072</f>
        <v>Двутавровая деревянная балка, 150*90мм</v>
      </c>
      <c r="C1065" s="1004" t="str">
        <f aca="false">'Смета Внутр'!C1072</f>
        <v>м.п.</v>
      </c>
      <c r="D1065" s="1018" t="n">
        <f aca="false">'Смета Внутр'!D1072</f>
        <v>0</v>
      </c>
      <c r="E1065" s="1004" t="n">
        <f aca="false">'Смета Внутр'!E1072</f>
        <v>250</v>
      </c>
      <c r="F1065" s="1004" t="n">
        <f aca="false">'Смета Внутр'!F1072</f>
        <v>0</v>
      </c>
      <c r="G1065" s="1004" t="n">
        <f aca="false">IF(E1065&gt;F1065,E1065,F1065)</f>
        <v>250</v>
      </c>
      <c r="H1065" s="1004" t="n">
        <f aca="false">'Смета Внутр'!G1072</f>
        <v>0</v>
      </c>
      <c r="I1065" s="1004" t="n">
        <f aca="false">'Смета Внутр'!H1072</f>
        <v>0</v>
      </c>
      <c r="J1065" s="1018" t="n">
        <f aca="false">'Смета Внутр'!I1072</f>
        <v>0</v>
      </c>
    </row>
    <row r="1066" customFormat="false" ht="15" hidden="false" customHeight="true" outlineLevel="0" collapsed="false">
      <c r="B1066" s="1004" t="str">
        <f aca="false">'Смета Внутр'!B1073</f>
        <v>Уголок усиленный 90х70х55х2,5</v>
      </c>
      <c r="C1066" s="1004" t="str">
        <f aca="false">'Смета Внутр'!C1073</f>
        <v>шт</v>
      </c>
      <c r="D1066" s="1018" t="n">
        <f aca="false">'Смета Внутр'!D1073</f>
        <v>0</v>
      </c>
      <c r="E1066" s="1004" t="n">
        <f aca="false">'Смета Внутр'!E1073</f>
        <v>30</v>
      </c>
      <c r="F1066" s="1004" t="n">
        <f aca="false">'Смета Внутр'!F1073</f>
        <v>0</v>
      </c>
      <c r="G1066" s="1004" t="n">
        <f aca="false">IF(E1066&gt;F1066,E1066,F1066)</f>
        <v>30</v>
      </c>
      <c r="H1066" s="1004" t="n">
        <f aca="false">'Смета Внутр'!G1073</f>
        <v>0</v>
      </c>
      <c r="I1066" s="1004" t="n">
        <f aca="false">'Смета Внутр'!H1073</f>
        <v>0</v>
      </c>
      <c r="J1066" s="1018" t="n">
        <f aca="false">'Смета Внутр'!I1073</f>
        <v>0</v>
      </c>
    </row>
    <row r="1067" customFormat="false" ht="15" hidden="false" customHeight="true" outlineLevel="0" collapsed="false">
      <c r="B1067" s="1004" t="str">
        <f aca="false">'Смета Внутр'!B1074</f>
        <v>Саморезы 3,5 x 55</v>
      </c>
      <c r="C1067" s="1004" t="str">
        <f aca="false">'Смета Внутр'!C1074</f>
        <v>шт</v>
      </c>
      <c r="D1067" s="1018" t="n">
        <f aca="false">'Смета Внутр'!D1074</f>
        <v>0</v>
      </c>
      <c r="E1067" s="1004" t="n">
        <f aca="false">'Смета Внутр'!E1074</f>
        <v>0.3</v>
      </c>
      <c r="F1067" s="1004" t="n">
        <f aca="false">'Смета Внутр'!F1074</f>
        <v>0</v>
      </c>
      <c r="G1067" s="1004" t="n">
        <f aca="false">IF(E1067&gt;F1067,E1067,F1067)</f>
        <v>0.3</v>
      </c>
      <c r="H1067" s="1004" t="n">
        <f aca="false">'Смета Внутр'!G1074</f>
        <v>0</v>
      </c>
      <c r="I1067" s="1004" t="n">
        <f aca="false">'Смета Внутр'!H1074</f>
        <v>0</v>
      </c>
      <c r="J1067" s="1018" t="n">
        <f aca="false">'Смета Внутр'!I1074</f>
        <v>0</v>
      </c>
    </row>
    <row r="1068" customFormat="false" ht="15" hidden="false" customHeight="true" outlineLevel="0" collapsed="false">
      <c r="B1068" s="1004" t="str">
        <f aca="false">'Смета Внутр'!B1075</f>
        <v>Плитный,28кг/м3, технониколь, 200мм</v>
      </c>
      <c r="C1068" s="1004" t="str">
        <f aca="false">'Смета Внутр'!C1075</f>
        <v>м3</v>
      </c>
      <c r="D1068" s="1018" t="n">
        <f aca="false">'Смета Внутр'!D1075</f>
        <v>0</v>
      </c>
      <c r="E1068" s="1004" t="n">
        <f aca="false">'Смета Внутр'!E1075</f>
        <v>1700</v>
      </c>
      <c r="F1068" s="1004" t="n">
        <f aca="false">'Смета Внутр'!F1075</f>
        <v>0</v>
      </c>
      <c r="G1068" s="1004" t="n">
        <f aca="false">IF(E1068&gt;F1068,E1068,F1068)</f>
        <v>1700</v>
      </c>
      <c r="H1068" s="1004" t="n">
        <f aca="false">'Смета Внутр'!G1075</f>
        <v>0</v>
      </c>
      <c r="I1068" s="1004" t="n">
        <f aca="false">'Смета Внутр'!H1075</f>
        <v>0</v>
      </c>
      <c r="J1068" s="1018" t="n">
        <f aca="false">'Смета Внутр'!I1075</f>
        <v>0</v>
      </c>
    </row>
    <row r="1069" customFormat="false" ht="15" hidden="false" customHeight="true" outlineLevel="0" collapsed="false">
      <c r="B1069" s="1004" t="str">
        <f aca="false">'Смета Внутр'!B1076</f>
        <v>Мембрана Folder Classic</v>
      </c>
      <c r="C1069" s="1004" t="str">
        <f aca="false">'Смета Внутр'!C1076</f>
        <v>м2</v>
      </c>
      <c r="D1069" s="1018" t="n">
        <f aca="false">'Смета Внутр'!D1076</f>
        <v>0</v>
      </c>
      <c r="E1069" s="1004" t="n">
        <f aca="false">'Смета Внутр'!E1076</f>
        <v>71</v>
      </c>
      <c r="F1069" s="1004" t="n">
        <f aca="false">'Смета Внутр'!F1076</f>
        <v>0</v>
      </c>
      <c r="G1069" s="1004" t="n">
        <f aca="false">IF(E1069&gt;F1069,E1069,F1069)</f>
        <v>71</v>
      </c>
      <c r="H1069" s="1004" t="n">
        <f aca="false">'Смета Внутр'!G1076</f>
        <v>0</v>
      </c>
      <c r="I1069" s="1004" t="n">
        <f aca="false">'Смета Внутр'!H1076</f>
        <v>0</v>
      </c>
      <c r="J1069" s="1018" t="n">
        <f aca="false">'Смета Внутр'!I1076</f>
        <v>0</v>
      </c>
    </row>
    <row r="1070" customFormat="false" ht="15" hidden="false" customHeight="true" outlineLevel="0" collapsed="false">
      <c r="B1070" s="1004" t="str">
        <f aca="false">'Смета Внутр'!B1077</f>
        <v>Пленка Delta-Reflex</v>
      </c>
      <c r="C1070" s="1004" t="str">
        <f aca="false">'Смета Внутр'!C1077</f>
        <v>м2</v>
      </c>
      <c r="D1070" s="1018" t="n">
        <f aca="false">'Смета Внутр'!D1077</f>
        <v>0</v>
      </c>
      <c r="E1070" s="1004" t="n">
        <f aca="false">'Смета Внутр'!E1077</f>
        <v>156</v>
      </c>
      <c r="F1070" s="1004" t="n">
        <f aca="false">'Смета Внутр'!F1077</f>
        <v>0</v>
      </c>
      <c r="G1070" s="1004" t="n">
        <f aca="false">IF(E1070&gt;F1070,E1070,F1070)</f>
        <v>156</v>
      </c>
      <c r="H1070" s="1004" t="n">
        <f aca="false">'Смета Внутр'!G1077</f>
        <v>0</v>
      </c>
      <c r="I1070" s="1004" t="n">
        <f aca="false">'Смета Внутр'!H1077</f>
        <v>0</v>
      </c>
      <c r="J1070" s="1018" t="n">
        <f aca="false">'Смета Внутр'!I1077</f>
        <v>0</v>
      </c>
    </row>
    <row r="1071" customFormat="false" ht="15" hidden="false" customHeight="true" outlineLevel="0" collapsed="false">
      <c r="B1071" s="2888" t="str">
        <f aca="false">'Смета Внутр'!B1078</f>
        <v>нет</v>
      </c>
      <c r="C1071" s="2888" t="str">
        <f aca="false">'Смета Внутр'!C1078</f>
        <v>м3</v>
      </c>
      <c r="D1071" s="2897" t="n">
        <f aca="false">'Смета Внутр'!D1078</f>
        <v>0</v>
      </c>
      <c r="E1071" s="1004" t="n">
        <f aca="false">'Смета Внутр'!E1078</f>
        <v>0</v>
      </c>
      <c r="F1071" s="1004" t="n">
        <f aca="false">'Смета Внутр'!F1078</f>
        <v>0</v>
      </c>
      <c r="G1071" s="2888" t="n">
        <f aca="false">IF(E1071&gt;F1071,E1071,F1071)</f>
        <v>0</v>
      </c>
      <c r="H1071" s="1004" t="n">
        <f aca="false">'Смета Внутр'!G1078</f>
        <v>0</v>
      </c>
      <c r="I1071" s="1004" t="n">
        <f aca="false">'Смета Внутр'!H1078</f>
        <v>0</v>
      </c>
      <c r="J1071" s="2897" t="n">
        <f aca="false">'Смета Внутр'!I1078</f>
        <v>0</v>
      </c>
    </row>
    <row r="1072" customFormat="false" ht="15" hidden="false" customHeight="true" outlineLevel="0" collapsed="false">
      <c r="B1072" s="2888" t="str">
        <f aca="false">'Смета Внутр'!B1079</f>
        <v>нет</v>
      </c>
      <c r="C1072" s="2888" t="str">
        <f aca="false">'Смета Внутр'!C1079</f>
        <v>м3</v>
      </c>
      <c r="D1072" s="2897" t="n">
        <f aca="false">'Смета Внутр'!D1079</f>
        <v>0</v>
      </c>
      <c r="E1072" s="1004" t="n">
        <f aca="false">'Смета Внутр'!E1079</f>
        <v>0</v>
      </c>
      <c r="F1072" s="1004" t="n">
        <f aca="false">'Смета Внутр'!F1079</f>
        <v>0</v>
      </c>
      <c r="G1072" s="2888" t="n">
        <f aca="false">IF(E1072&gt;F1072,E1072,F1072)</f>
        <v>0</v>
      </c>
      <c r="H1072" s="1004" t="n">
        <f aca="false">'Смета Внутр'!G1079</f>
        <v>0</v>
      </c>
      <c r="I1072" s="1004" t="n">
        <f aca="false">'Смета Внутр'!H1079</f>
        <v>0</v>
      </c>
      <c r="J1072" s="2897" t="n">
        <f aca="false">'Смета Внутр'!I1079</f>
        <v>0</v>
      </c>
    </row>
    <row r="1073" customFormat="false" ht="15" hidden="false" customHeight="true" outlineLevel="0" collapsed="false">
      <c r="B1073" s="2888" t="str">
        <f aca="false">'Смета Внутр'!B1080</f>
        <v>нет</v>
      </c>
      <c r="C1073" s="2888" t="str">
        <f aca="false">'Смета Внутр'!C1080</f>
        <v>м3</v>
      </c>
      <c r="D1073" s="2897" t="n">
        <f aca="false">'Смета Внутр'!D1080</f>
        <v>0</v>
      </c>
      <c r="E1073" s="1004" t="n">
        <f aca="false">'Смета Внутр'!E1080</f>
        <v>0</v>
      </c>
      <c r="F1073" s="1004" t="n">
        <f aca="false">'Смета Внутр'!F1080</f>
        <v>0</v>
      </c>
      <c r="G1073" s="2888" t="n">
        <f aca="false">IF(E1073&gt;F1073,E1073,F1073)</f>
        <v>0</v>
      </c>
      <c r="H1073" s="1004" t="n">
        <f aca="false">'Смета Внутр'!G1080</f>
        <v>0</v>
      </c>
      <c r="I1073" s="1004" t="n">
        <f aca="false">'Смета Внутр'!H1080</f>
        <v>0</v>
      </c>
      <c r="J1073" s="2897" t="n">
        <f aca="false">'Смета Внутр'!I1080</f>
        <v>0</v>
      </c>
    </row>
    <row r="1074" customFormat="false" ht="15" hidden="false" customHeight="true" outlineLevel="0" collapsed="false">
      <c r="B1074" s="2888" t="str">
        <f aca="false">'Смета Внутр'!B1081</f>
        <v>нет</v>
      </c>
      <c r="C1074" s="2888" t="str">
        <f aca="false">'Смета Внутр'!C1081</f>
        <v>м3</v>
      </c>
      <c r="D1074" s="2897" t="n">
        <f aca="false">'Смета Внутр'!D1081</f>
        <v>0</v>
      </c>
      <c r="E1074" s="1004" t="n">
        <f aca="false">'Смета Внутр'!E1081</f>
        <v>0</v>
      </c>
      <c r="F1074" s="1004" t="n">
        <f aca="false">'Смета Внутр'!F1081</f>
        <v>0</v>
      </c>
      <c r="G1074" s="2888" t="n">
        <f aca="false">IF(E1074&gt;F1074,E1074,F1074)</f>
        <v>0</v>
      </c>
      <c r="H1074" s="1004" t="n">
        <f aca="false">'Смета Внутр'!G1081</f>
        <v>0</v>
      </c>
      <c r="I1074" s="1004" t="n">
        <f aca="false">'Смета Внутр'!H1081</f>
        <v>0</v>
      </c>
      <c r="J1074" s="2897" t="n">
        <f aca="false">'Смета Внутр'!I1081</f>
        <v>0</v>
      </c>
    </row>
    <row r="1075" customFormat="false" ht="15" hidden="false" customHeight="true" outlineLevel="0" collapsed="false">
      <c r="B1075" s="1004" t="str">
        <f aca="false">'Смета Внутр'!B1082</f>
        <v>нет</v>
      </c>
      <c r="C1075" s="1004" t="str">
        <f aca="false">'Смета Внутр'!C1082</f>
        <v>м3</v>
      </c>
      <c r="D1075" s="1018" t="n">
        <f aca="false">'Смета Внутр'!D1082</f>
        <v>0</v>
      </c>
      <c r="E1075" s="1004" t="n">
        <f aca="false">'Смета Внутр'!E1082</f>
        <v>0</v>
      </c>
      <c r="F1075" s="1004" t="n">
        <f aca="false">'Смета Внутр'!F1082</f>
        <v>0</v>
      </c>
      <c r="G1075" s="1004" t="n">
        <f aca="false">IF(E1075&gt;F1075,E1075,F1075)</f>
        <v>0</v>
      </c>
      <c r="H1075" s="1004" t="n">
        <f aca="false">'Смета Внутр'!G1082</f>
        <v>0</v>
      </c>
      <c r="I1075" s="1004" t="n">
        <f aca="false">'Смета Внутр'!H1082</f>
        <v>0</v>
      </c>
      <c r="J1075" s="1018" t="n">
        <f aca="false">'Смета Внутр'!I1082</f>
        <v>0</v>
      </c>
    </row>
    <row r="1076" customFormat="false" ht="15" hidden="false" customHeight="true" outlineLevel="0" collapsed="false">
      <c r="B1076" s="1004" t="str">
        <f aca="false">'Смета Внутр'!B1083</f>
        <v>Сосна влаж, 50*50мм</v>
      </c>
      <c r="C1076" s="1004" t="str">
        <f aca="false">'Смета Внутр'!C1083</f>
        <v>м3</v>
      </c>
      <c r="D1076" s="1018" t="n">
        <f aca="false">'Смета Внутр'!D1083</f>
        <v>0</v>
      </c>
      <c r="E1076" s="1004" t="n">
        <f aca="false">'Смета Внутр'!E1083</f>
        <v>6500</v>
      </c>
      <c r="F1076" s="1004" t="n">
        <f aca="false">'Смета Внутр'!F1083</f>
        <v>0</v>
      </c>
      <c r="G1076" s="1004" t="n">
        <f aca="false">IF(E1076&gt;F1076,E1076,F1076)</f>
        <v>6500</v>
      </c>
      <c r="H1076" s="1004" t="n">
        <f aca="false">'Смета Внутр'!G1083</f>
        <v>0</v>
      </c>
      <c r="I1076" s="1004" t="n">
        <f aca="false">'Смета Внутр'!H1083</f>
        <v>0</v>
      </c>
      <c r="J1076" s="1018" t="n">
        <f aca="false">'Смета Внутр'!I1083</f>
        <v>0</v>
      </c>
    </row>
    <row r="1077" customFormat="false" ht="15" hidden="false" customHeight="true" outlineLevel="0" collapsed="false">
      <c r="B1077" s="2888" t="str">
        <f aca="false">'Смета Внутр'!B1084</f>
        <v>Гвозди ершоные 2,8 х 90</v>
      </c>
      <c r="C1077" s="2888" t="str">
        <f aca="false">'Смета Внутр'!C1084</f>
        <v>кг</v>
      </c>
      <c r="D1077" s="2897" t="n">
        <f aca="false">'Смета Внутр'!D1084</f>
        <v>0</v>
      </c>
      <c r="E1077" s="1004" t="n">
        <f aca="false">'Смета Внутр'!E1084</f>
        <v>76.49</v>
      </c>
      <c r="F1077" s="1004" t="n">
        <f aca="false">'Смета Внутр'!F1084</f>
        <v>0</v>
      </c>
      <c r="G1077" s="2888" t="n">
        <f aca="false">IF(E1077&gt;F1077,E1077,F1077)</f>
        <v>76.49</v>
      </c>
      <c r="H1077" s="1004" t="n">
        <f aca="false">'Смета Внутр'!G1084</f>
        <v>0</v>
      </c>
      <c r="I1077" s="1004" t="n">
        <f aca="false">'Смета Внутр'!H1084</f>
        <v>0</v>
      </c>
      <c r="J1077" s="2897" t="n">
        <f aca="false">'Смета Внутр'!I1084</f>
        <v>0</v>
      </c>
    </row>
    <row r="1078" customFormat="false" ht="15" hidden="false" customHeight="true" outlineLevel="0" collapsed="false">
      <c r="B1078" s="2888" t="str">
        <f aca="false">'Смета Внутр'!B1085</f>
        <v>ГПС 100х50-1,2</v>
      </c>
      <c r="C1078" s="2888" t="str">
        <f aca="false">'Смета Внутр'!C1085</f>
        <v>м.п.</v>
      </c>
      <c r="D1078" s="2897" t="n">
        <f aca="false">'Смета Внутр'!D1085</f>
        <v>0</v>
      </c>
      <c r="E1078" s="1004" t="n">
        <f aca="false">'Смета Внутр'!E1085</f>
        <v>163</v>
      </c>
      <c r="F1078" s="1004" t="n">
        <f aca="false">'Смета Внутр'!F1085</f>
        <v>0</v>
      </c>
      <c r="G1078" s="2888" t="n">
        <f aca="false">IF(E1078&gt;F1078,E1078,F1078)</f>
        <v>163</v>
      </c>
      <c r="H1078" s="1004" t="n">
        <f aca="false">'Смета Внутр'!G1085</f>
        <v>0</v>
      </c>
      <c r="I1078" s="1004" t="n">
        <f aca="false">'Смета Внутр'!H1085</f>
        <v>0</v>
      </c>
      <c r="J1078" s="2897" t="n">
        <f aca="false">'Смета Внутр'!I1085</f>
        <v>0</v>
      </c>
    </row>
    <row r="1079" customFormat="false" ht="15" hidden="false" customHeight="true" outlineLevel="0" collapsed="false">
      <c r="B1079" s="2888" t="str">
        <f aca="false">'Смета Внутр'!B1086</f>
        <v>ГПС 100х50-1,5</v>
      </c>
      <c r="C1079" s="2888" t="str">
        <f aca="false">'Смета Внутр'!C1086</f>
        <v>м.п.</v>
      </c>
      <c r="D1079" s="2897" t="n">
        <f aca="false">'Смета Внутр'!D1086</f>
        <v>0</v>
      </c>
      <c r="E1079" s="1004" t="n">
        <f aca="false">'Смета Внутр'!E1086</f>
        <v>204</v>
      </c>
      <c r="F1079" s="1004" t="n">
        <f aca="false">'Смета Внутр'!F1086</f>
        <v>0</v>
      </c>
      <c r="G1079" s="2888" t="n">
        <f aca="false">IF(E1079&gt;F1079,E1079,F1079)</f>
        <v>204</v>
      </c>
      <c r="H1079" s="1004" t="n">
        <f aca="false">'Смета Внутр'!G1086</f>
        <v>0</v>
      </c>
      <c r="I1079" s="1004" t="n">
        <f aca="false">'Смета Внутр'!H1086</f>
        <v>0</v>
      </c>
      <c r="J1079" s="2897" t="n">
        <f aca="false">'Смета Внутр'!I1086</f>
        <v>0</v>
      </c>
    </row>
    <row r="1080" customFormat="false" ht="15" hidden="false" customHeight="true" outlineLevel="0" collapsed="false">
      <c r="B1080" s="2888" t="str">
        <f aca="false">'Смета Внутр'!B1087</f>
        <v>ГПС 120х50-1,5</v>
      </c>
      <c r="C1080" s="2888" t="str">
        <f aca="false">'Смета Внутр'!C1087</f>
        <v>м.п.</v>
      </c>
      <c r="D1080" s="2897" t="n">
        <f aca="false">'Смета Внутр'!D1087</f>
        <v>0</v>
      </c>
      <c r="E1080" s="1004" t="n">
        <f aca="false">'Смета Внутр'!E1087</f>
        <v>272</v>
      </c>
      <c r="F1080" s="1004" t="n">
        <f aca="false">'Смета Внутр'!F1087</f>
        <v>0</v>
      </c>
      <c r="G1080" s="2888" t="n">
        <f aca="false">IF(E1080&gt;F1080,E1080,F1080)</f>
        <v>272</v>
      </c>
      <c r="H1080" s="1004" t="n">
        <f aca="false">'Смета Внутр'!G1087</f>
        <v>0</v>
      </c>
      <c r="I1080" s="1004" t="n">
        <f aca="false">'Смета Внутр'!H1087</f>
        <v>0</v>
      </c>
      <c r="J1080" s="2897" t="n">
        <f aca="false">'Смета Внутр'!I1087</f>
        <v>0</v>
      </c>
    </row>
    <row r="1081" customFormat="false" ht="15" hidden="false" customHeight="true" outlineLevel="0" collapsed="false">
      <c r="B1081" s="2888" t="str">
        <f aca="false">'Смета Внутр'!B1088</f>
        <v>ГПС 120х50-2,0</v>
      </c>
      <c r="C1081" s="2888" t="str">
        <f aca="false">'Смета Внутр'!C1088</f>
        <v>м.п.</v>
      </c>
      <c r="D1081" s="2897" t="n">
        <f aca="false">'Смета Внутр'!D1088</f>
        <v>0</v>
      </c>
      <c r="E1081" s="1004" t="n">
        <f aca="false">'Смета Внутр'!E1088</f>
        <v>179</v>
      </c>
      <c r="F1081" s="1004" t="n">
        <f aca="false">'Смета Внутр'!F1088</f>
        <v>0</v>
      </c>
      <c r="G1081" s="2888" t="n">
        <f aca="false">IF(E1081&gt;F1081,E1081,F1081)</f>
        <v>179</v>
      </c>
      <c r="H1081" s="1004" t="n">
        <f aca="false">'Смета Внутр'!G1088</f>
        <v>0</v>
      </c>
      <c r="I1081" s="1004" t="n">
        <f aca="false">'Смета Внутр'!H1088</f>
        <v>0</v>
      </c>
      <c r="J1081" s="2897" t="n">
        <f aca="false">'Смета Внутр'!I1088</f>
        <v>0</v>
      </c>
    </row>
    <row r="1082" customFormat="false" ht="15" hidden="false" customHeight="true" outlineLevel="0" collapsed="false">
      <c r="B1082" s="2888" t="str">
        <f aca="false">'Смета Внутр'!B1089</f>
        <v>ГПС 150х50-1,2</v>
      </c>
      <c r="C1082" s="2888" t="str">
        <f aca="false">'Смета Внутр'!C1089</f>
        <v>м.п.</v>
      </c>
      <c r="D1082" s="2897" t="n">
        <f aca="false">'Смета Внутр'!D1089</f>
        <v>0</v>
      </c>
      <c r="E1082" s="1004" t="n">
        <f aca="false">'Смета Внутр'!E1089</f>
        <v>224</v>
      </c>
      <c r="F1082" s="1004" t="n">
        <f aca="false">'Смета Внутр'!F1089</f>
        <v>0</v>
      </c>
      <c r="G1082" s="2888" t="n">
        <f aca="false">IF(E1082&gt;F1082,E1082,F1082)</f>
        <v>224</v>
      </c>
      <c r="H1082" s="1004" t="n">
        <f aca="false">'Смета Внутр'!G1089</f>
        <v>0</v>
      </c>
      <c r="I1082" s="1004" t="n">
        <f aca="false">'Смета Внутр'!H1089</f>
        <v>0</v>
      </c>
      <c r="J1082" s="2897" t="n">
        <f aca="false">'Смета Внутр'!I1089</f>
        <v>0</v>
      </c>
    </row>
    <row r="1083" customFormat="false" ht="15" hidden="false" customHeight="true" outlineLevel="0" collapsed="false">
      <c r="B1083" s="2888" t="str">
        <f aca="false">'Смета Внутр'!B1090</f>
        <v>ГПС 150х50-1,5</v>
      </c>
      <c r="C1083" s="2888" t="str">
        <f aca="false">'Смета Внутр'!C1090</f>
        <v>м.п.</v>
      </c>
      <c r="D1083" s="2897" t="n">
        <f aca="false">'Смета Внутр'!D1090</f>
        <v>0</v>
      </c>
      <c r="E1083" s="1004" t="n">
        <f aca="false">'Смета Внутр'!E1090</f>
        <v>299</v>
      </c>
      <c r="F1083" s="1004" t="n">
        <f aca="false">'Смета Внутр'!F1090</f>
        <v>0</v>
      </c>
      <c r="G1083" s="2888" t="n">
        <f aca="false">IF(E1083&gt;F1083,E1083,F1083)</f>
        <v>299</v>
      </c>
      <c r="H1083" s="1004" t="n">
        <f aca="false">'Смета Внутр'!G1090</f>
        <v>0</v>
      </c>
      <c r="I1083" s="1004" t="n">
        <f aca="false">'Смета Внутр'!H1090</f>
        <v>0</v>
      </c>
      <c r="J1083" s="2897" t="n">
        <f aca="false">'Смета Внутр'!I1090</f>
        <v>0</v>
      </c>
    </row>
    <row r="1084" customFormat="false" ht="15" hidden="false" customHeight="true" outlineLevel="0" collapsed="false">
      <c r="B1084" s="2888" t="str">
        <f aca="false">'Смета Внутр'!B1091</f>
        <v>ГПС 150х50-2,0</v>
      </c>
      <c r="C1084" s="2888" t="str">
        <f aca="false">'Смета Внутр'!C1091</f>
        <v>м.п.</v>
      </c>
      <c r="D1084" s="2897" t="n">
        <f aca="false">'Смета Внутр'!D1091</f>
        <v>0</v>
      </c>
      <c r="E1084" s="1004" t="n">
        <f aca="false">'Смета Внутр'!E1091</f>
        <v>201</v>
      </c>
      <c r="F1084" s="1004" t="n">
        <f aca="false">'Смета Внутр'!F1091</f>
        <v>0</v>
      </c>
      <c r="G1084" s="2888" t="n">
        <f aca="false">IF(E1084&gt;F1084,E1084,F1084)</f>
        <v>201</v>
      </c>
      <c r="H1084" s="1004" t="n">
        <f aca="false">'Смета Внутр'!G1091</f>
        <v>0</v>
      </c>
      <c r="I1084" s="1004" t="n">
        <f aca="false">'Смета Внутр'!H1091</f>
        <v>0</v>
      </c>
      <c r="J1084" s="2897" t="n">
        <f aca="false">'Смета Внутр'!I1091</f>
        <v>0</v>
      </c>
    </row>
    <row r="1085" customFormat="false" ht="15" hidden="false" customHeight="true" outlineLevel="0" collapsed="false">
      <c r="B1085" s="2888" t="str">
        <f aca="false">'Смета Внутр'!B1092</f>
        <v>ГПС 170х50-1,2</v>
      </c>
      <c r="C1085" s="2888" t="str">
        <f aca="false">'Смета Внутр'!C1092</f>
        <v>м.п.</v>
      </c>
      <c r="D1085" s="2897" t="n">
        <f aca="false">'Смета Внутр'!D1092</f>
        <v>0</v>
      </c>
      <c r="E1085" s="1004" t="n">
        <f aca="false">'Смета Внутр'!E1092</f>
        <v>252</v>
      </c>
      <c r="F1085" s="1004" t="n">
        <f aca="false">'Смета Внутр'!F1092</f>
        <v>0</v>
      </c>
      <c r="G1085" s="2888" t="n">
        <f aca="false">IF(E1085&gt;F1085,E1085,F1085)</f>
        <v>252</v>
      </c>
      <c r="H1085" s="1004" t="n">
        <f aca="false">'Смета Внутр'!G1092</f>
        <v>0</v>
      </c>
      <c r="I1085" s="1004" t="n">
        <f aca="false">'Смета Внутр'!H1092</f>
        <v>0</v>
      </c>
      <c r="J1085" s="2897" t="n">
        <f aca="false">'Смета Внутр'!I1092</f>
        <v>0</v>
      </c>
    </row>
    <row r="1086" customFormat="false" ht="15" hidden="false" customHeight="true" outlineLevel="0" collapsed="false">
      <c r="B1086" s="2888" t="str">
        <f aca="false">'Смета Внутр'!B1093</f>
        <v>ГПС 170х50-1,5</v>
      </c>
      <c r="C1086" s="2888" t="str">
        <f aca="false">'Смета Внутр'!C1093</f>
        <v>м.п.</v>
      </c>
      <c r="D1086" s="2897" t="n">
        <f aca="false">'Смета Внутр'!D1093</f>
        <v>0</v>
      </c>
      <c r="E1086" s="1004" t="n">
        <f aca="false">'Смета Внутр'!E1093</f>
        <v>330</v>
      </c>
      <c r="F1086" s="1004" t="n">
        <f aca="false">'Смета Внутр'!F1093</f>
        <v>0</v>
      </c>
      <c r="G1086" s="2888" t="n">
        <f aca="false">IF(E1086&gt;F1086,E1086,F1086)</f>
        <v>330</v>
      </c>
      <c r="H1086" s="1004" t="n">
        <f aca="false">'Смета Внутр'!G1093</f>
        <v>0</v>
      </c>
      <c r="I1086" s="1004" t="n">
        <f aca="false">'Смета Внутр'!H1093</f>
        <v>0</v>
      </c>
      <c r="J1086" s="2897" t="n">
        <f aca="false">'Смета Внутр'!I1093</f>
        <v>0</v>
      </c>
    </row>
    <row r="1087" customFormat="false" ht="15" hidden="false" customHeight="true" outlineLevel="0" collapsed="false">
      <c r="B1087" s="2888" t="str">
        <f aca="false">'Смета Внутр'!B1094</f>
        <v>ГПС 170х50-2,0</v>
      </c>
      <c r="C1087" s="2888" t="str">
        <f aca="false">'Смета Внутр'!C1094</f>
        <v>м.п.</v>
      </c>
      <c r="D1087" s="2897" t="n">
        <f aca="false">'Смета Внутр'!D1094</f>
        <v>0</v>
      </c>
      <c r="E1087" s="1004" t="n">
        <f aca="false">'Смета Внутр'!E1094</f>
        <v>215</v>
      </c>
      <c r="F1087" s="1004" t="n">
        <f aca="false">'Смета Внутр'!F1094</f>
        <v>0</v>
      </c>
      <c r="G1087" s="2888" t="n">
        <f aca="false">IF(E1087&gt;F1087,E1087,F1087)</f>
        <v>215</v>
      </c>
      <c r="H1087" s="1004" t="n">
        <f aca="false">'Смета Внутр'!G1094</f>
        <v>0</v>
      </c>
      <c r="I1087" s="1004" t="n">
        <f aca="false">'Смета Внутр'!H1094</f>
        <v>0</v>
      </c>
      <c r="J1087" s="2897" t="n">
        <f aca="false">'Смета Внутр'!I1094</f>
        <v>0</v>
      </c>
    </row>
    <row r="1088" customFormat="false" ht="15" hidden="false" customHeight="true" outlineLevel="0" collapsed="false">
      <c r="B1088" s="2888" t="str">
        <f aca="false">'Смета Внутр'!B1095</f>
        <v>ГПС 200х50-1,2</v>
      </c>
      <c r="C1088" s="2888" t="str">
        <f aca="false">'Смета Внутр'!C1095</f>
        <v>м.п.</v>
      </c>
      <c r="D1088" s="2897" t="n">
        <f aca="false">'Смета Внутр'!D1095</f>
        <v>0</v>
      </c>
      <c r="E1088" s="1004" t="n">
        <f aca="false">'Смета Внутр'!E1095</f>
        <v>269</v>
      </c>
      <c r="F1088" s="1004" t="n">
        <f aca="false">'Смета Внутр'!F1095</f>
        <v>0</v>
      </c>
      <c r="G1088" s="2888" t="n">
        <f aca="false">IF(E1088&gt;F1088,E1088,F1088)</f>
        <v>269</v>
      </c>
      <c r="H1088" s="1004" t="n">
        <f aca="false">'Смета Внутр'!G1095</f>
        <v>0</v>
      </c>
      <c r="I1088" s="1004" t="n">
        <f aca="false">'Смета Внутр'!H1095</f>
        <v>0</v>
      </c>
      <c r="J1088" s="2897" t="n">
        <f aca="false">'Смета Внутр'!I1095</f>
        <v>0</v>
      </c>
    </row>
    <row r="1089" customFormat="false" ht="15" hidden="false" customHeight="true" outlineLevel="0" collapsed="false">
      <c r="B1089" s="2888" t="str">
        <f aca="false">'Смета Внутр'!B1096</f>
        <v>ГПС 200х50-1,5</v>
      </c>
      <c r="C1089" s="2888" t="str">
        <f aca="false">'Смета Внутр'!C1096</f>
        <v>м.п.</v>
      </c>
      <c r="D1089" s="2897" t="n">
        <f aca="false">'Смета Внутр'!D1096</f>
        <v>0</v>
      </c>
      <c r="E1089" s="1004" t="n">
        <f aca="false">'Смета Внутр'!E1096</f>
        <v>358</v>
      </c>
      <c r="F1089" s="1004" t="n">
        <f aca="false">'Смета Внутр'!F1096</f>
        <v>0</v>
      </c>
      <c r="G1089" s="2888" t="n">
        <f aca="false">IF(E1089&gt;F1089,E1089,F1089)</f>
        <v>358</v>
      </c>
      <c r="H1089" s="1004" t="n">
        <f aca="false">'Смета Внутр'!G1096</f>
        <v>0</v>
      </c>
      <c r="I1089" s="1004" t="n">
        <f aca="false">'Смета Внутр'!H1096</f>
        <v>0</v>
      </c>
      <c r="J1089" s="2897" t="n">
        <f aca="false">'Смета Внутр'!I1096</f>
        <v>0</v>
      </c>
    </row>
    <row r="1090" customFormat="false" ht="15" hidden="false" customHeight="true" outlineLevel="0" collapsed="false">
      <c r="B1090" s="2888" t="str">
        <f aca="false">'Смета Внутр'!B1097</f>
        <v>ГПС 200х50-2,0</v>
      </c>
      <c r="C1090" s="2888" t="str">
        <f aca="false">'Смета Внутр'!C1097</f>
        <v>м.п.</v>
      </c>
      <c r="D1090" s="2897" t="n">
        <f aca="false">'Смета Внутр'!D1097</f>
        <v>0</v>
      </c>
      <c r="E1090" s="1004" t="n">
        <f aca="false">'Смета Внутр'!E1097</f>
        <v>239</v>
      </c>
      <c r="F1090" s="1004" t="n">
        <f aca="false">'Смета Внутр'!F1097</f>
        <v>0</v>
      </c>
      <c r="G1090" s="2888" t="n">
        <f aca="false">IF(E1090&gt;F1090,E1090,F1090)</f>
        <v>239</v>
      </c>
      <c r="H1090" s="1004" t="n">
        <f aca="false">'Смета Внутр'!G1097</f>
        <v>0</v>
      </c>
      <c r="I1090" s="1004" t="n">
        <f aca="false">'Смета Внутр'!H1097</f>
        <v>0</v>
      </c>
      <c r="J1090" s="2897" t="n">
        <f aca="false">'Смета Внутр'!I1097</f>
        <v>0</v>
      </c>
    </row>
    <row r="1091" customFormat="false" ht="15" hidden="false" customHeight="true" outlineLevel="0" collapsed="false">
      <c r="B1091" s="2888" t="str">
        <f aca="false">'Смета Внутр'!B1098</f>
        <v>ГПС 250х50-1,2</v>
      </c>
      <c r="C1091" s="2888" t="str">
        <f aca="false">'Смета Внутр'!C1098</f>
        <v>м.п.</v>
      </c>
      <c r="D1091" s="2897" t="n">
        <f aca="false">'Смета Внутр'!D1098</f>
        <v>0</v>
      </c>
      <c r="E1091" s="1004" t="n">
        <f aca="false">'Смета Внутр'!E1098</f>
        <v>299</v>
      </c>
      <c r="F1091" s="1004" t="n">
        <f aca="false">'Смета Внутр'!F1098</f>
        <v>0</v>
      </c>
      <c r="G1091" s="2888" t="n">
        <f aca="false">IF(E1091&gt;F1091,E1091,F1091)</f>
        <v>299</v>
      </c>
      <c r="H1091" s="1004" t="n">
        <f aca="false">'Смета Внутр'!G1098</f>
        <v>0</v>
      </c>
      <c r="I1091" s="1004" t="n">
        <f aca="false">'Смета Внутр'!H1098</f>
        <v>0</v>
      </c>
      <c r="J1091" s="2897" t="n">
        <f aca="false">'Смета Внутр'!I1098</f>
        <v>0</v>
      </c>
    </row>
    <row r="1092" customFormat="false" ht="15" hidden="false" customHeight="true" outlineLevel="0" collapsed="false">
      <c r="B1092" s="2888" t="str">
        <f aca="false">'Смета Внутр'!B1099</f>
        <v>ГПС 250х50-1,5</v>
      </c>
      <c r="C1092" s="2888" t="str">
        <f aca="false">'Смета Внутр'!C1099</f>
        <v>м.п.</v>
      </c>
      <c r="D1092" s="2897" t="n">
        <f aca="false">'Смета Внутр'!D1099</f>
        <v>0</v>
      </c>
      <c r="E1092" s="1004" t="n">
        <f aca="false">'Смета Внутр'!E1099</f>
        <v>397</v>
      </c>
      <c r="F1092" s="1004" t="n">
        <f aca="false">'Смета Внутр'!F1099</f>
        <v>0</v>
      </c>
      <c r="G1092" s="2888" t="n">
        <f aca="false">IF(E1092&gt;F1092,E1092,F1092)</f>
        <v>397</v>
      </c>
      <c r="H1092" s="1004" t="n">
        <f aca="false">'Смета Внутр'!G1099</f>
        <v>0</v>
      </c>
      <c r="I1092" s="1004" t="n">
        <f aca="false">'Смета Внутр'!H1099</f>
        <v>0</v>
      </c>
      <c r="J1092" s="2897" t="n">
        <f aca="false">'Смета Внутр'!I1099</f>
        <v>0</v>
      </c>
    </row>
    <row r="1093" customFormat="false" ht="15" hidden="false" customHeight="true" outlineLevel="0" collapsed="false">
      <c r="B1093" s="2888" t="str">
        <f aca="false">'Смета Внутр'!B1100</f>
        <v>ГПС 250х50-2,0</v>
      </c>
      <c r="C1093" s="2888" t="str">
        <f aca="false">'Смета Внутр'!C1100</f>
        <v>м.п.</v>
      </c>
      <c r="D1093" s="2897" t="n">
        <f aca="false">'Смета Внутр'!D1100</f>
        <v>0</v>
      </c>
      <c r="E1093" s="1004" t="n">
        <f aca="false">'Смета Внутр'!E1100</f>
        <v>274</v>
      </c>
      <c r="F1093" s="1004" t="n">
        <f aca="false">'Смета Внутр'!F1100</f>
        <v>0</v>
      </c>
      <c r="G1093" s="2888" t="n">
        <f aca="false">IF(E1093&gt;F1093,E1093,F1093)</f>
        <v>274</v>
      </c>
      <c r="H1093" s="1004" t="n">
        <f aca="false">'Смета Внутр'!G1100</f>
        <v>0</v>
      </c>
      <c r="I1093" s="1004" t="n">
        <f aca="false">'Смета Внутр'!H1100</f>
        <v>0</v>
      </c>
      <c r="J1093" s="2897" t="n">
        <f aca="false">'Смета Внутр'!I1100</f>
        <v>0</v>
      </c>
    </row>
    <row r="1094" customFormat="false" ht="15" hidden="false" customHeight="true" outlineLevel="0" collapsed="false">
      <c r="B1094" s="2888" t="str">
        <f aca="false">'Смета Внутр'!B1101</f>
        <v>ГПС 280х50-1,2</v>
      </c>
      <c r="C1094" s="2888" t="str">
        <f aca="false">'Смета Внутр'!C1101</f>
        <v>м.п.</v>
      </c>
      <c r="D1094" s="2897" t="n">
        <f aca="false">'Смета Внутр'!D1101</f>
        <v>0</v>
      </c>
      <c r="E1094" s="1004" t="n">
        <f aca="false">'Смета Внутр'!E1101</f>
        <v>344</v>
      </c>
      <c r="F1094" s="1004" t="n">
        <f aca="false">'Смета Внутр'!F1101</f>
        <v>0</v>
      </c>
      <c r="G1094" s="2888" t="n">
        <f aca="false">IF(E1094&gt;F1094,E1094,F1094)</f>
        <v>344</v>
      </c>
      <c r="H1094" s="1004" t="n">
        <f aca="false">'Смета Внутр'!G1101</f>
        <v>0</v>
      </c>
      <c r="I1094" s="1004" t="n">
        <f aca="false">'Смета Внутр'!H1101</f>
        <v>0</v>
      </c>
      <c r="J1094" s="2897" t="n">
        <f aca="false">'Смета Внутр'!I1101</f>
        <v>0</v>
      </c>
    </row>
    <row r="1095" customFormat="false" ht="15" hidden="false" customHeight="true" outlineLevel="0" collapsed="false">
      <c r="B1095" s="2888" t="str">
        <f aca="false">'Смета Внутр'!B1102</f>
        <v>ГПС 280х50-1,5</v>
      </c>
      <c r="C1095" s="2888" t="str">
        <f aca="false">'Смета Внутр'!C1102</f>
        <v>м.п.</v>
      </c>
      <c r="D1095" s="2897" t="n">
        <f aca="false">'Смета Внутр'!D1102</f>
        <v>0</v>
      </c>
      <c r="E1095" s="1004" t="n">
        <f aca="false">'Смета Внутр'!E1102</f>
        <v>450</v>
      </c>
      <c r="F1095" s="1004" t="n">
        <f aca="false">'Смета Внутр'!F1102</f>
        <v>0</v>
      </c>
      <c r="G1095" s="2888" t="n">
        <f aca="false">IF(E1095&gt;F1095,E1095,F1095)</f>
        <v>450</v>
      </c>
      <c r="H1095" s="1004" t="n">
        <f aca="false">'Смета Внутр'!G1102</f>
        <v>0</v>
      </c>
      <c r="I1095" s="1004" t="n">
        <f aca="false">'Смета Внутр'!H1102</f>
        <v>0</v>
      </c>
      <c r="J1095" s="2897" t="n">
        <f aca="false">'Смета Внутр'!I1102</f>
        <v>0</v>
      </c>
    </row>
    <row r="1096" customFormat="false" ht="15" hidden="false" customHeight="true" outlineLevel="0" collapsed="false">
      <c r="B1096" s="2888" t="str">
        <f aca="false">'Смета Внутр'!B1103</f>
        <v>ГПС 280х50-2,0</v>
      </c>
      <c r="C1096" s="2888" t="str">
        <f aca="false">'Смета Внутр'!C1103</f>
        <v>м.п.</v>
      </c>
      <c r="D1096" s="2897" t="n">
        <f aca="false">'Смета Внутр'!D1103</f>
        <v>0</v>
      </c>
      <c r="E1096" s="1004" t="n">
        <f aca="false">'Смета Внутр'!E1103</f>
        <v>293</v>
      </c>
      <c r="F1096" s="1004" t="n">
        <f aca="false">'Смета Внутр'!F1103</f>
        <v>0</v>
      </c>
      <c r="G1096" s="2888" t="n">
        <f aca="false">IF(E1096&gt;F1096,E1096,F1096)</f>
        <v>293</v>
      </c>
      <c r="H1096" s="1004" t="n">
        <f aca="false">'Смета Внутр'!G1103</f>
        <v>0</v>
      </c>
      <c r="I1096" s="1004" t="n">
        <f aca="false">'Смета Внутр'!H1103</f>
        <v>0</v>
      </c>
      <c r="J1096" s="2897" t="n">
        <f aca="false">'Смета Внутр'!I1103</f>
        <v>0</v>
      </c>
    </row>
    <row r="1097" customFormat="false" ht="15" hidden="false" customHeight="true" outlineLevel="0" collapsed="false">
      <c r="B1097" s="2888" t="str">
        <f aca="false">'Смета Внутр'!B1104</f>
        <v>ГПН 102х35-1,2</v>
      </c>
      <c r="C1097" s="2888" t="str">
        <f aca="false">'Смета Внутр'!C1104</f>
        <v>м.п.</v>
      </c>
      <c r="D1097" s="2897" t="n">
        <f aca="false">'Смета Внутр'!D1104</f>
        <v>0</v>
      </c>
      <c r="E1097" s="1004" t="n">
        <f aca="false">'Смета Внутр'!E1104</f>
        <v>127</v>
      </c>
      <c r="F1097" s="1004" t="n">
        <f aca="false">'Смета Внутр'!F1104</f>
        <v>0</v>
      </c>
      <c r="G1097" s="2888" t="n">
        <f aca="false">IF(E1097&gt;F1097,E1097,F1097)</f>
        <v>127</v>
      </c>
      <c r="H1097" s="1004" t="n">
        <f aca="false">'Смета Внутр'!G1104</f>
        <v>0</v>
      </c>
      <c r="I1097" s="1004" t="n">
        <f aca="false">'Смета Внутр'!H1104</f>
        <v>0</v>
      </c>
      <c r="J1097" s="2897" t="n">
        <f aca="false">'Смета Внутр'!I1104</f>
        <v>0</v>
      </c>
    </row>
    <row r="1098" customFormat="false" ht="15" hidden="false" customHeight="true" outlineLevel="0" collapsed="false">
      <c r="B1098" s="2888" t="str">
        <f aca="false">'Смета Внутр'!B1105</f>
        <v>ГПН 102х35-1,5</v>
      </c>
      <c r="C1098" s="2888" t="str">
        <f aca="false">'Смета Внутр'!C1105</f>
        <v>м.п.</v>
      </c>
      <c r="D1098" s="2897" t="n">
        <f aca="false">'Смета Внутр'!D1105</f>
        <v>0</v>
      </c>
      <c r="E1098" s="1004" t="n">
        <f aca="false">'Смета Внутр'!E1105</f>
        <v>158</v>
      </c>
      <c r="F1098" s="1004" t="n">
        <f aca="false">'Смета Внутр'!F1105</f>
        <v>0</v>
      </c>
      <c r="G1098" s="2888" t="n">
        <f aca="false">IF(E1098&gt;F1098,E1098,F1098)</f>
        <v>158</v>
      </c>
      <c r="H1098" s="1004" t="n">
        <f aca="false">'Смета Внутр'!G1105</f>
        <v>0</v>
      </c>
      <c r="I1098" s="1004" t="n">
        <f aca="false">'Смета Внутр'!H1105</f>
        <v>0</v>
      </c>
      <c r="J1098" s="2897" t="n">
        <f aca="false">'Смета Внутр'!I1105</f>
        <v>0</v>
      </c>
    </row>
    <row r="1099" customFormat="false" ht="15" hidden="false" customHeight="true" outlineLevel="0" collapsed="false">
      <c r="B1099" s="2888" t="str">
        <f aca="false">'Смета Внутр'!B1106</f>
        <v>ГПН 102х35-2,0</v>
      </c>
      <c r="C1099" s="2888" t="str">
        <f aca="false">'Смета Внутр'!C1106</f>
        <v>м.п.</v>
      </c>
      <c r="D1099" s="2897" t="n">
        <f aca="false">'Смета Внутр'!D1106</f>
        <v>0</v>
      </c>
      <c r="E1099" s="1004" t="n">
        <f aca="false">'Смета Внутр'!E1106</f>
        <v>199</v>
      </c>
      <c r="F1099" s="1004" t="n">
        <f aca="false">'Смета Внутр'!F1106</f>
        <v>0</v>
      </c>
      <c r="G1099" s="2888" t="n">
        <f aca="false">IF(E1099&gt;F1099,E1099,F1099)</f>
        <v>199</v>
      </c>
      <c r="H1099" s="1004" t="n">
        <f aca="false">'Смета Внутр'!G1106</f>
        <v>0</v>
      </c>
      <c r="I1099" s="1004" t="n">
        <f aca="false">'Смета Внутр'!H1106</f>
        <v>0</v>
      </c>
      <c r="J1099" s="2897" t="n">
        <f aca="false">'Смета Внутр'!I1106</f>
        <v>0</v>
      </c>
    </row>
    <row r="1100" customFormat="false" ht="15" hidden="false" customHeight="true" outlineLevel="0" collapsed="false">
      <c r="B1100" s="2888" t="str">
        <f aca="false">'Смета Внутр'!B1107</f>
        <v>ГПН 122х35-1,2</v>
      </c>
      <c r="C1100" s="2888" t="str">
        <f aca="false">'Смета Внутр'!C1107</f>
        <v>м.п.</v>
      </c>
      <c r="D1100" s="2897" t="n">
        <f aca="false">'Смета Внутр'!D1107</f>
        <v>0</v>
      </c>
      <c r="E1100" s="1004" t="n">
        <f aca="false">'Смета Внутр'!E1107</f>
        <v>131</v>
      </c>
      <c r="F1100" s="1004" t="n">
        <f aca="false">'Смета Внутр'!F1107</f>
        <v>0</v>
      </c>
      <c r="G1100" s="2888" t="n">
        <f aca="false">IF(E1100&gt;F1100,E1100,F1100)</f>
        <v>131</v>
      </c>
      <c r="H1100" s="1004" t="n">
        <f aca="false">'Смета Внутр'!G1107</f>
        <v>0</v>
      </c>
      <c r="I1100" s="1004" t="n">
        <f aca="false">'Смета Внутр'!H1107</f>
        <v>0</v>
      </c>
      <c r="J1100" s="2897" t="n">
        <f aca="false">'Смета Внутр'!I1107</f>
        <v>0</v>
      </c>
    </row>
    <row r="1101" customFormat="false" ht="15" hidden="false" customHeight="true" outlineLevel="0" collapsed="false">
      <c r="B1101" s="2888" t="str">
        <f aca="false">'Смета Внутр'!B1108</f>
        <v>ГПН 122х35-1,5</v>
      </c>
      <c r="C1101" s="2888" t="str">
        <f aca="false">'Смета Внутр'!C1108</f>
        <v>м.п.</v>
      </c>
      <c r="D1101" s="2897" t="n">
        <f aca="false">'Смета Внутр'!D1108</f>
        <v>0</v>
      </c>
      <c r="E1101" s="1004" t="n">
        <f aca="false">'Смета Внутр'!E1108</f>
        <v>163</v>
      </c>
      <c r="F1101" s="1004" t="n">
        <f aca="false">'Смета Внутр'!F1108</f>
        <v>0</v>
      </c>
      <c r="G1101" s="2888" t="n">
        <f aca="false">IF(E1101&gt;F1101,E1101,F1101)</f>
        <v>163</v>
      </c>
      <c r="H1101" s="1004" t="n">
        <f aca="false">'Смета Внутр'!G1108</f>
        <v>0</v>
      </c>
      <c r="I1101" s="1004" t="n">
        <f aca="false">'Смета Внутр'!H1108</f>
        <v>0</v>
      </c>
      <c r="J1101" s="2897" t="n">
        <f aca="false">'Смета Внутр'!I1108</f>
        <v>0</v>
      </c>
    </row>
    <row r="1102" customFormat="false" ht="15" hidden="false" customHeight="true" outlineLevel="0" collapsed="false">
      <c r="B1102" s="2888" t="str">
        <f aca="false">'Смета Внутр'!B1109</f>
        <v>ГПН 122х35-2,0</v>
      </c>
      <c r="C1102" s="2888" t="str">
        <f aca="false">'Смета Внутр'!C1109</f>
        <v>м.п.</v>
      </c>
      <c r="D1102" s="2897" t="n">
        <f aca="false">'Смета Внутр'!D1109</f>
        <v>0</v>
      </c>
      <c r="E1102" s="1004" t="n">
        <f aca="false">'Смета Внутр'!E1109</f>
        <v>216</v>
      </c>
      <c r="F1102" s="1004" t="n">
        <f aca="false">'Смета Внутр'!F1109</f>
        <v>0</v>
      </c>
      <c r="G1102" s="2888" t="n">
        <f aca="false">IF(E1102&gt;F1102,E1102,F1102)</f>
        <v>216</v>
      </c>
      <c r="H1102" s="1004" t="n">
        <f aca="false">'Смета Внутр'!G1109</f>
        <v>0</v>
      </c>
      <c r="I1102" s="1004" t="n">
        <f aca="false">'Смета Внутр'!H1109</f>
        <v>0</v>
      </c>
      <c r="J1102" s="2897" t="n">
        <f aca="false">'Смета Внутр'!I1109</f>
        <v>0</v>
      </c>
    </row>
    <row r="1103" customFormat="false" ht="15" hidden="false" customHeight="true" outlineLevel="0" collapsed="false">
      <c r="B1103" s="2888" t="str">
        <f aca="false">'Смета Внутр'!B1110</f>
        <v>ГПН 152х35-1,2</v>
      </c>
      <c r="C1103" s="2888" t="str">
        <f aca="false">'Смета Внутр'!C1110</f>
        <v>м.п.</v>
      </c>
      <c r="D1103" s="2897" t="n">
        <f aca="false">'Смета Внутр'!D1110</f>
        <v>0</v>
      </c>
      <c r="E1103" s="1004" t="n">
        <f aca="false">'Смета Внутр'!E1110</f>
        <v>163</v>
      </c>
      <c r="F1103" s="1004" t="n">
        <f aca="false">'Смета Внутр'!F1110</f>
        <v>0</v>
      </c>
      <c r="G1103" s="2888" t="n">
        <f aca="false">IF(E1103&gt;F1103,E1103,F1103)</f>
        <v>163</v>
      </c>
      <c r="H1103" s="1004" t="n">
        <f aca="false">'Смета Внутр'!G1110</f>
        <v>0</v>
      </c>
      <c r="I1103" s="1004" t="n">
        <f aca="false">'Смета Внутр'!H1110</f>
        <v>0</v>
      </c>
      <c r="J1103" s="2897" t="n">
        <f aca="false">'Смета Внутр'!I1110</f>
        <v>0</v>
      </c>
    </row>
    <row r="1104" customFormat="false" ht="15" hidden="false" customHeight="true" outlineLevel="0" collapsed="false">
      <c r="B1104" s="2888" t="str">
        <f aca="false">'Смета Внутр'!B1111</f>
        <v>ГПН 152х35-1,5</v>
      </c>
      <c r="C1104" s="2888" t="str">
        <f aca="false">'Смета Внутр'!C1111</f>
        <v>м.п.</v>
      </c>
      <c r="D1104" s="2897" t="n">
        <f aca="false">'Смета Внутр'!D1111</f>
        <v>0</v>
      </c>
      <c r="E1104" s="1004" t="n">
        <f aca="false">'Смета Внутр'!E1111</f>
        <v>203</v>
      </c>
      <c r="F1104" s="1004" t="n">
        <f aca="false">'Смета Внутр'!F1111</f>
        <v>0</v>
      </c>
      <c r="G1104" s="2888" t="n">
        <f aca="false">IF(E1104&gt;F1104,E1104,F1104)</f>
        <v>203</v>
      </c>
      <c r="H1104" s="1004" t="n">
        <f aca="false">'Смета Внутр'!G1111</f>
        <v>0</v>
      </c>
      <c r="I1104" s="1004" t="n">
        <f aca="false">'Смета Внутр'!H1111</f>
        <v>0</v>
      </c>
      <c r="J1104" s="2897" t="n">
        <f aca="false">'Смета Внутр'!I1111</f>
        <v>0</v>
      </c>
    </row>
    <row r="1105" customFormat="false" ht="15" hidden="false" customHeight="true" outlineLevel="0" collapsed="false">
      <c r="B1105" s="2888" t="str">
        <f aca="false">'Смета Внутр'!B1112</f>
        <v>ГПН 152х35-2,0</v>
      </c>
      <c r="C1105" s="2888" t="str">
        <f aca="false">'Смета Внутр'!C1112</f>
        <v>м.п.</v>
      </c>
      <c r="D1105" s="2897" t="n">
        <f aca="false">'Смета Внутр'!D1112</f>
        <v>0</v>
      </c>
      <c r="E1105" s="1004" t="n">
        <f aca="false">'Смета Внутр'!E1112</f>
        <v>259</v>
      </c>
      <c r="F1105" s="1004" t="n">
        <f aca="false">'Смета Внутр'!F1112</f>
        <v>0</v>
      </c>
      <c r="G1105" s="2888" t="n">
        <f aca="false">IF(E1105&gt;F1105,E1105,F1105)</f>
        <v>259</v>
      </c>
      <c r="H1105" s="1004" t="n">
        <f aca="false">'Смета Внутр'!G1112</f>
        <v>0</v>
      </c>
      <c r="I1105" s="1004" t="n">
        <f aca="false">'Смета Внутр'!H1112</f>
        <v>0</v>
      </c>
      <c r="J1105" s="2897" t="n">
        <f aca="false">'Смета Внутр'!I1112</f>
        <v>0</v>
      </c>
    </row>
    <row r="1106" customFormat="false" ht="15" hidden="false" customHeight="true" outlineLevel="0" collapsed="false">
      <c r="B1106" s="2888" t="str">
        <f aca="false">'Смета Внутр'!B1113</f>
        <v>ГПН 172х35-1,2</v>
      </c>
      <c r="C1106" s="2888" t="str">
        <f aca="false">'Смета Внутр'!C1113</f>
        <v>м.п.</v>
      </c>
      <c r="D1106" s="2897" t="n">
        <f aca="false">'Смета Внутр'!D1113</f>
        <v>0</v>
      </c>
      <c r="E1106" s="1004" t="n">
        <f aca="false">'Смета Внутр'!E1113</f>
        <v>166</v>
      </c>
      <c r="F1106" s="1004" t="n">
        <f aca="false">'Смета Внутр'!F1113</f>
        <v>0</v>
      </c>
      <c r="G1106" s="2888" t="n">
        <f aca="false">IF(E1106&gt;F1106,E1106,F1106)</f>
        <v>166</v>
      </c>
      <c r="H1106" s="1004" t="n">
        <f aca="false">'Смета Внутр'!G1113</f>
        <v>0</v>
      </c>
      <c r="I1106" s="1004" t="n">
        <f aca="false">'Смета Внутр'!H1113</f>
        <v>0</v>
      </c>
      <c r="J1106" s="2897" t="n">
        <f aca="false">'Смета Внутр'!I1113</f>
        <v>0</v>
      </c>
    </row>
    <row r="1107" customFormat="false" ht="15" hidden="false" customHeight="true" outlineLevel="0" collapsed="false">
      <c r="B1107" s="2888" t="str">
        <f aca="false">'Смета Внутр'!B1114</f>
        <v>ГПН 172х35-1,5</v>
      </c>
      <c r="C1107" s="2888" t="str">
        <f aca="false">'Смета Внутр'!C1114</f>
        <v>м.п.</v>
      </c>
      <c r="D1107" s="2897" t="n">
        <f aca="false">'Смета Внутр'!D1114</f>
        <v>0</v>
      </c>
      <c r="E1107" s="1004" t="n">
        <f aca="false">'Смета Внутр'!E1114</f>
        <v>207</v>
      </c>
      <c r="F1107" s="1004" t="n">
        <f aca="false">'Смета Внутр'!F1114</f>
        <v>0</v>
      </c>
      <c r="G1107" s="2888" t="n">
        <f aca="false">IF(E1107&gt;F1107,E1107,F1107)</f>
        <v>207</v>
      </c>
      <c r="H1107" s="1004" t="n">
        <f aca="false">'Смета Внутр'!G1114</f>
        <v>0</v>
      </c>
      <c r="I1107" s="1004" t="n">
        <f aca="false">'Смета Внутр'!H1114</f>
        <v>0</v>
      </c>
      <c r="J1107" s="2897" t="n">
        <f aca="false">'Смета Внутр'!I1114</f>
        <v>0</v>
      </c>
    </row>
    <row r="1108" customFormat="false" ht="15" hidden="false" customHeight="true" outlineLevel="0" collapsed="false">
      <c r="B1108" s="2888" t="str">
        <f aca="false">'Смета Внутр'!B1115</f>
        <v>ГПН 172х35-2,0</v>
      </c>
      <c r="C1108" s="2888" t="str">
        <f aca="false">'Смета Внутр'!C1115</f>
        <v>м.п.</v>
      </c>
      <c r="D1108" s="2897" t="n">
        <f aca="false">'Смета Внутр'!D1115</f>
        <v>0</v>
      </c>
      <c r="E1108" s="1004" t="n">
        <f aca="false">'Смета Внутр'!E1115</f>
        <v>274</v>
      </c>
      <c r="F1108" s="1004" t="n">
        <f aca="false">'Смета Внутр'!F1115</f>
        <v>0</v>
      </c>
      <c r="G1108" s="2888" t="n">
        <f aca="false">IF(E1108&gt;F1108,E1108,F1108)</f>
        <v>274</v>
      </c>
      <c r="H1108" s="1004" t="n">
        <f aca="false">'Смета Внутр'!G1115</f>
        <v>0</v>
      </c>
      <c r="I1108" s="1004" t="n">
        <f aca="false">'Смета Внутр'!H1115</f>
        <v>0</v>
      </c>
      <c r="J1108" s="2897" t="n">
        <f aca="false">'Смета Внутр'!I1115</f>
        <v>0</v>
      </c>
    </row>
    <row r="1109" customFormat="false" ht="15" hidden="false" customHeight="true" outlineLevel="0" collapsed="false">
      <c r="B1109" s="2888" t="str">
        <f aca="false">'Смета Внутр'!B1116</f>
        <v>ГПН 202х35-1,2</v>
      </c>
      <c r="C1109" s="2888" t="str">
        <f aca="false">'Смета Внутр'!C1116</f>
        <v>м.п.</v>
      </c>
      <c r="D1109" s="2897" t="n">
        <f aca="false">'Смета Внутр'!D1116</f>
        <v>0</v>
      </c>
      <c r="E1109" s="1004" t="n">
        <f aca="false">'Смета Внутр'!E1116</f>
        <v>201</v>
      </c>
      <c r="F1109" s="1004" t="n">
        <f aca="false">'Смета Внутр'!F1116</f>
        <v>0</v>
      </c>
      <c r="G1109" s="2888" t="n">
        <f aca="false">IF(E1109&gt;F1109,E1109,F1109)</f>
        <v>201</v>
      </c>
      <c r="H1109" s="1004" t="n">
        <f aca="false">'Смета Внутр'!G1116</f>
        <v>0</v>
      </c>
      <c r="I1109" s="1004" t="n">
        <f aca="false">'Смета Внутр'!H1116</f>
        <v>0</v>
      </c>
      <c r="J1109" s="2897" t="n">
        <f aca="false">'Смета Внутр'!I1116</f>
        <v>0</v>
      </c>
    </row>
    <row r="1110" customFormat="false" ht="15" hidden="false" customHeight="true" outlineLevel="0" collapsed="false">
      <c r="B1110" s="2888" t="str">
        <f aca="false">'Смета Внутр'!B1117</f>
        <v>ГПН 202х35-1,5</v>
      </c>
      <c r="C1110" s="2888" t="str">
        <f aca="false">'Смета Внутр'!C1117</f>
        <v>м.п.</v>
      </c>
      <c r="D1110" s="2897" t="n">
        <f aca="false">'Смета Внутр'!D1117</f>
        <v>0</v>
      </c>
      <c r="E1110" s="1004" t="n">
        <f aca="false">'Смета Внутр'!E1117</f>
        <v>252</v>
      </c>
      <c r="F1110" s="1004" t="n">
        <f aca="false">'Смета Внутр'!F1117</f>
        <v>0</v>
      </c>
      <c r="G1110" s="2888" t="n">
        <f aca="false">IF(E1110&gt;F1110,E1110,F1110)</f>
        <v>252</v>
      </c>
      <c r="H1110" s="1004" t="n">
        <f aca="false">'Смета Внутр'!G1117</f>
        <v>0</v>
      </c>
      <c r="I1110" s="1004" t="n">
        <f aca="false">'Смета Внутр'!H1117</f>
        <v>0</v>
      </c>
      <c r="J1110" s="2897" t="n">
        <f aca="false">'Смета Внутр'!I1117</f>
        <v>0</v>
      </c>
    </row>
    <row r="1111" customFormat="false" ht="15" hidden="false" customHeight="true" outlineLevel="0" collapsed="false">
      <c r="B1111" s="2888" t="str">
        <f aca="false">'Смета Внутр'!B1118</f>
        <v>ГПН 202х35-2,0</v>
      </c>
      <c r="C1111" s="2888" t="str">
        <f aca="false">'Смета Внутр'!C1118</f>
        <v>м.п.</v>
      </c>
      <c r="D1111" s="2897" t="n">
        <f aca="false">'Смета Внутр'!D1118</f>
        <v>0</v>
      </c>
      <c r="E1111" s="1004" t="n">
        <f aca="false">'Смета Внутр'!E1118</f>
        <v>318</v>
      </c>
      <c r="F1111" s="1004" t="n">
        <f aca="false">'Смета Внутр'!F1118</f>
        <v>0</v>
      </c>
      <c r="G1111" s="2888" t="n">
        <f aca="false">IF(E1111&gt;F1111,E1111,F1111)</f>
        <v>318</v>
      </c>
      <c r="H1111" s="1004" t="n">
        <f aca="false">'Смета Внутр'!G1118</f>
        <v>0</v>
      </c>
      <c r="I1111" s="1004" t="n">
        <f aca="false">'Смета Внутр'!H1118</f>
        <v>0</v>
      </c>
      <c r="J1111" s="2897" t="n">
        <f aca="false">'Смета Внутр'!I1118</f>
        <v>0</v>
      </c>
    </row>
    <row r="1112" customFormat="false" ht="15" hidden="false" customHeight="true" outlineLevel="0" collapsed="false">
      <c r="B1112" s="2888" t="str">
        <f aca="false">'Смета Внутр'!B1119</f>
        <v>ГПН 252х35-1,2</v>
      </c>
      <c r="C1112" s="2888" t="str">
        <f aca="false">'Смета Внутр'!C1119</f>
        <v>м.п.</v>
      </c>
      <c r="D1112" s="2897" t="n">
        <f aca="false">'Смета Внутр'!D1119</f>
        <v>0</v>
      </c>
      <c r="E1112" s="1004" t="n">
        <f aca="false">'Смета Внутр'!E1119</f>
        <v>226</v>
      </c>
      <c r="F1112" s="1004" t="n">
        <f aca="false">'Смета Внутр'!F1119</f>
        <v>0</v>
      </c>
      <c r="G1112" s="2888" t="n">
        <f aca="false">IF(E1112&gt;F1112,E1112,F1112)</f>
        <v>226</v>
      </c>
      <c r="H1112" s="1004" t="n">
        <f aca="false">'Смета Внутр'!G1119</f>
        <v>0</v>
      </c>
      <c r="I1112" s="1004" t="n">
        <f aca="false">'Смета Внутр'!H1119</f>
        <v>0</v>
      </c>
      <c r="J1112" s="2897" t="n">
        <f aca="false">'Смета Внутр'!I1119</f>
        <v>0</v>
      </c>
    </row>
    <row r="1113" customFormat="false" ht="15" hidden="false" customHeight="true" outlineLevel="0" collapsed="false">
      <c r="B1113" s="2888" t="str">
        <f aca="false">'Смета Внутр'!B1120</f>
        <v>ГПН 252х35-1,5</v>
      </c>
      <c r="C1113" s="2888" t="str">
        <f aca="false">'Смета Внутр'!C1120</f>
        <v>м.п.</v>
      </c>
      <c r="D1113" s="2897" t="n">
        <f aca="false">'Смета Внутр'!D1120</f>
        <v>0</v>
      </c>
      <c r="E1113" s="1004" t="n">
        <f aca="false">'Смета Внутр'!E1120</f>
        <v>283</v>
      </c>
      <c r="F1113" s="1004" t="n">
        <f aca="false">'Смета Внутр'!F1120</f>
        <v>0</v>
      </c>
      <c r="G1113" s="2888" t="n">
        <f aca="false">IF(E1113&gt;F1113,E1113,F1113)</f>
        <v>283</v>
      </c>
      <c r="H1113" s="1004" t="n">
        <f aca="false">'Смета Внутр'!G1120</f>
        <v>0</v>
      </c>
      <c r="I1113" s="1004" t="n">
        <f aca="false">'Смета Внутр'!H1120</f>
        <v>0</v>
      </c>
      <c r="J1113" s="2897" t="n">
        <f aca="false">'Смета Внутр'!I1120</f>
        <v>0</v>
      </c>
    </row>
    <row r="1114" customFormat="false" ht="15" hidden="false" customHeight="true" outlineLevel="0" collapsed="false">
      <c r="B1114" s="2888" t="str">
        <f aca="false">'Смета Внутр'!B1121</f>
        <v>ГПН 252х35-2,0</v>
      </c>
      <c r="C1114" s="2888" t="str">
        <f aca="false">'Смета Внутр'!C1121</f>
        <v>м.п.</v>
      </c>
      <c r="D1114" s="2897" t="n">
        <f aca="false">'Смета Внутр'!D1121</f>
        <v>0</v>
      </c>
      <c r="E1114" s="1004" t="n">
        <f aca="false">'Смета Внутр'!E1121</f>
        <v>378</v>
      </c>
      <c r="F1114" s="1004" t="n">
        <f aca="false">'Смета Внутр'!F1121</f>
        <v>0</v>
      </c>
      <c r="G1114" s="2888" t="n">
        <f aca="false">IF(E1114&gt;F1114,E1114,F1114)</f>
        <v>378</v>
      </c>
      <c r="H1114" s="1004" t="n">
        <f aca="false">'Смета Внутр'!G1121</f>
        <v>0</v>
      </c>
      <c r="I1114" s="1004" t="n">
        <f aca="false">'Смета Внутр'!H1121</f>
        <v>0</v>
      </c>
      <c r="J1114" s="2897" t="n">
        <f aca="false">'Смета Внутр'!I1121</f>
        <v>0</v>
      </c>
    </row>
    <row r="1115" customFormat="false" ht="15" hidden="false" customHeight="true" outlineLevel="0" collapsed="false">
      <c r="B1115" s="2888" t="str">
        <f aca="false">'Смета Внутр'!B1122</f>
        <v>ГПН 282х35-1,2</v>
      </c>
      <c r="C1115" s="2888" t="str">
        <f aca="false">'Смета Внутр'!C1122</f>
        <v>м.п.</v>
      </c>
      <c r="D1115" s="2897" t="n">
        <f aca="false">'Смета Внутр'!D1122</f>
        <v>0</v>
      </c>
      <c r="E1115" s="1004" t="n">
        <f aca="false">'Смета Внутр'!E1122</f>
        <v>275</v>
      </c>
      <c r="F1115" s="1004" t="n">
        <f aca="false">'Смета Внутр'!F1122</f>
        <v>0</v>
      </c>
      <c r="G1115" s="2888" t="n">
        <f aca="false">IF(E1115&gt;F1115,E1115,F1115)</f>
        <v>275</v>
      </c>
      <c r="H1115" s="1004" t="n">
        <f aca="false">'Смета Внутр'!G1122</f>
        <v>0</v>
      </c>
      <c r="I1115" s="1004" t="n">
        <f aca="false">'Смета Внутр'!H1122</f>
        <v>0</v>
      </c>
      <c r="J1115" s="2897" t="n">
        <f aca="false">'Смета Внутр'!I1122</f>
        <v>0</v>
      </c>
    </row>
    <row r="1116" customFormat="false" ht="15" hidden="false" customHeight="true" outlineLevel="0" collapsed="false">
      <c r="B1116" s="2888" t="str">
        <f aca="false">'Смета Внутр'!B1123</f>
        <v>Саморез 5,5 х 25</v>
      </c>
      <c r="C1116" s="2888" t="n">
        <f aca="false">'Смета Внутр'!C1123</f>
        <v>0</v>
      </c>
      <c r="D1116" s="2897" t="n">
        <f aca="false">'Смета Внутр'!D1123</f>
        <v>0</v>
      </c>
      <c r="E1116" s="1004" t="n">
        <f aca="false">'Смета Внутр'!E1123</f>
        <v>2.5</v>
      </c>
      <c r="F1116" s="1004" t="n">
        <f aca="false">'Смета Внутр'!F1123</f>
        <v>0</v>
      </c>
      <c r="G1116" s="2888" t="n">
        <f aca="false">IF(E1116&gt;F1116,E1116,F1116)</f>
        <v>2.5</v>
      </c>
      <c r="H1116" s="1004" t="n">
        <f aca="false">'Смета Внутр'!G1123</f>
        <v>0</v>
      </c>
      <c r="I1116" s="1004" t="n">
        <f aca="false">'Смета Внутр'!H1123</f>
        <v>0</v>
      </c>
      <c r="J1116" s="2897" t="n">
        <f aca="false">'Смета Внутр'!I1123</f>
        <v>0</v>
      </c>
    </row>
    <row r="1117" customFormat="false" ht="15" hidden="false" customHeight="true" outlineLevel="0" collapsed="false">
      <c r="B1117" s="2888" t="str">
        <f aca="false">'Смета Внутр'!B1124</f>
        <v>ГПС 100х50-1,2</v>
      </c>
      <c r="C1117" s="2888" t="str">
        <f aca="false">'Смета Внутр'!C1124</f>
        <v>м.п.</v>
      </c>
      <c r="D1117" s="2897" t="n">
        <f aca="false">'Смета Внутр'!D1124</f>
        <v>0</v>
      </c>
      <c r="E1117" s="1004" t="n">
        <f aca="false">'Смета Внутр'!E1124</f>
        <v>163</v>
      </c>
      <c r="F1117" s="1004" t="n">
        <f aca="false">'Смета Внутр'!F1124</f>
        <v>0</v>
      </c>
      <c r="G1117" s="2888" t="n">
        <f aca="false">IF(E1117&gt;F1117,E1117,F1117)</f>
        <v>163</v>
      </c>
      <c r="H1117" s="1004" t="n">
        <f aca="false">'Смета Внутр'!G1124</f>
        <v>0</v>
      </c>
      <c r="I1117" s="1004" t="n">
        <f aca="false">'Смета Внутр'!H1124</f>
        <v>0</v>
      </c>
      <c r="J1117" s="2897" t="n">
        <f aca="false">'Смета Внутр'!I1124</f>
        <v>0</v>
      </c>
    </row>
    <row r="1118" customFormat="false" ht="15" hidden="false" customHeight="true" outlineLevel="0" collapsed="false">
      <c r="B1118" s="2888" t="str">
        <f aca="false">'Смета Внутр'!B1125</f>
        <v>ГПС 100х50-1,5</v>
      </c>
      <c r="C1118" s="2888" t="str">
        <f aca="false">'Смета Внутр'!C1125</f>
        <v>м.п.</v>
      </c>
      <c r="D1118" s="2897" t="n">
        <f aca="false">'Смета Внутр'!D1125</f>
        <v>0</v>
      </c>
      <c r="E1118" s="1004" t="n">
        <f aca="false">'Смета Внутр'!E1125</f>
        <v>204</v>
      </c>
      <c r="F1118" s="1004" t="n">
        <f aca="false">'Смета Внутр'!F1125</f>
        <v>0</v>
      </c>
      <c r="G1118" s="2888" t="n">
        <f aca="false">IF(E1118&gt;F1118,E1118,F1118)</f>
        <v>204</v>
      </c>
      <c r="H1118" s="1004" t="n">
        <f aca="false">'Смета Внутр'!G1125</f>
        <v>0</v>
      </c>
      <c r="I1118" s="1004" t="n">
        <f aca="false">'Смета Внутр'!H1125</f>
        <v>0</v>
      </c>
      <c r="J1118" s="2897" t="n">
        <f aca="false">'Смета Внутр'!I1125</f>
        <v>0</v>
      </c>
    </row>
    <row r="1119" customFormat="false" ht="15" hidden="false" customHeight="true" outlineLevel="0" collapsed="false">
      <c r="B1119" s="2888" t="str">
        <f aca="false">'Смета Внутр'!B1126</f>
        <v>ГПС 120х50-1,5</v>
      </c>
      <c r="C1119" s="2888" t="str">
        <f aca="false">'Смета Внутр'!C1126</f>
        <v>м.п.</v>
      </c>
      <c r="D1119" s="2897" t="n">
        <f aca="false">'Смета Внутр'!D1126</f>
        <v>0</v>
      </c>
      <c r="E1119" s="1004" t="n">
        <f aca="false">'Смета Внутр'!E1126</f>
        <v>272</v>
      </c>
      <c r="F1119" s="1004" t="n">
        <f aca="false">'Смета Внутр'!F1126</f>
        <v>0</v>
      </c>
      <c r="G1119" s="2888" t="n">
        <f aca="false">IF(E1119&gt;F1119,E1119,F1119)</f>
        <v>272</v>
      </c>
      <c r="H1119" s="1004" t="n">
        <f aca="false">'Смета Внутр'!G1126</f>
        <v>0</v>
      </c>
      <c r="I1119" s="1004" t="n">
        <f aca="false">'Смета Внутр'!H1126</f>
        <v>0</v>
      </c>
      <c r="J1119" s="2897" t="n">
        <f aca="false">'Смета Внутр'!I1126</f>
        <v>0</v>
      </c>
    </row>
    <row r="1120" customFormat="false" ht="15" hidden="false" customHeight="true" outlineLevel="0" collapsed="false">
      <c r="B1120" s="2888" t="str">
        <f aca="false">'Смета Внутр'!B1127</f>
        <v>ГПС 120х50-2,0</v>
      </c>
      <c r="C1120" s="2888" t="str">
        <f aca="false">'Смета Внутр'!C1127</f>
        <v>м.п.</v>
      </c>
      <c r="D1120" s="2897" t="n">
        <f aca="false">'Смета Внутр'!D1127</f>
        <v>0</v>
      </c>
      <c r="E1120" s="1004" t="n">
        <f aca="false">'Смета Внутр'!E1127</f>
        <v>179</v>
      </c>
      <c r="F1120" s="1004" t="n">
        <f aca="false">'Смета Внутр'!F1127</f>
        <v>0</v>
      </c>
      <c r="G1120" s="2888" t="n">
        <f aca="false">IF(E1120&gt;F1120,E1120,F1120)</f>
        <v>179</v>
      </c>
      <c r="H1120" s="1004" t="n">
        <f aca="false">'Смета Внутр'!G1127</f>
        <v>0</v>
      </c>
      <c r="I1120" s="1004" t="n">
        <f aca="false">'Смета Внутр'!H1127</f>
        <v>0</v>
      </c>
      <c r="J1120" s="2897" t="n">
        <f aca="false">'Смета Внутр'!I1127</f>
        <v>0</v>
      </c>
    </row>
    <row r="1121" customFormat="false" ht="15" hidden="false" customHeight="true" outlineLevel="0" collapsed="false">
      <c r="B1121" s="2888" t="str">
        <f aca="false">'Смета Внутр'!B1128</f>
        <v>ГПС 150х50-1,2</v>
      </c>
      <c r="C1121" s="2888" t="str">
        <f aca="false">'Смета Внутр'!C1128</f>
        <v>м.п.</v>
      </c>
      <c r="D1121" s="2897" t="n">
        <f aca="false">'Смета Внутр'!D1128</f>
        <v>0</v>
      </c>
      <c r="E1121" s="1004" t="n">
        <f aca="false">'Смета Внутр'!E1128</f>
        <v>224</v>
      </c>
      <c r="F1121" s="1004" t="n">
        <f aca="false">'Смета Внутр'!F1128</f>
        <v>0</v>
      </c>
      <c r="G1121" s="2888" t="n">
        <f aca="false">IF(E1121&gt;F1121,E1121,F1121)</f>
        <v>224</v>
      </c>
      <c r="H1121" s="1004" t="n">
        <f aca="false">'Смета Внутр'!G1128</f>
        <v>0</v>
      </c>
      <c r="I1121" s="1004" t="n">
        <f aca="false">'Смета Внутр'!H1128</f>
        <v>0</v>
      </c>
      <c r="J1121" s="2897" t="n">
        <f aca="false">'Смета Внутр'!I1128</f>
        <v>0</v>
      </c>
    </row>
    <row r="1122" customFormat="false" ht="15" hidden="false" customHeight="true" outlineLevel="0" collapsed="false">
      <c r="B1122" s="2888" t="str">
        <f aca="false">'Смета Внутр'!B1129</f>
        <v>ГПС 150х50-1,5</v>
      </c>
      <c r="C1122" s="2888" t="str">
        <f aca="false">'Смета Внутр'!C1129</f>
        <v>м.п.</v>
      </c>
      <c r="D1122" s="2897" t="n">
        <f aca="false">'Смета Внутр'!D1129</f>
        <v>0</v>
      </c>
      <c r="E1122" s="1004" t="n">
        <f aca="false">'Смета Внутр'!E1129</f>
        <v>299</v>
      </c>
      <c r="F1122" s="1004" t="n">
        <f aca="false">'Смета Внутр'!F1129</f>
        <v>0</v>
      </c>
      <c r="G1122" s="2888" t="n">
        <f aca="false">IF(E1122&gt;F1122,E1122,F1122)</f>
        <v>299</v>
      </c>
      <c r="H1122" s="1004" t="n">
        <f aca="false">'Смета Внутр'!G1129</f>
        <v>0</v>
      </c>
      <c r="I1122" s="1004" t="n">
        <f aca="false">'Смета Внутр'!H1129</f>
        <v>0</v>
      </c>
      <c r="J1122" s="2897" t="n">
        <f aca="false">'Смета Внутр'!I1129</f>
        <v>0</v>
      </c>
    </row>
    <row r="1123" customFormat="false" ht="15" hidden="false" customHeight="true" outlineLevel="0" collapsed="false">
      <c r="B1123" s="2888" t="str">
        <f aca="false">'Смета Внутр'!B1130</f>
        <v>ГПС 150х50-2,0</v>
      </c>
      <c r="C1123" s="2888" t="str">
        <f aca="false">'Смета Внутр'!C1130</f>
        <v>м.п.</v>
      </c>
      <c r="D1123" s="2897" t="n">
        <f aca="false">'Смета Внутр'!D1130</f>
        <v>0</v>
      </c>
      <c r="E1123" s="1004" t="n">
        <f aca="false">'Смета Внутр'!E1130</f>
        <v>201</v>
      </c>
      <c r="F1123" s="1004" t="n">
        <f aca="false">'Смета Внутр'!F1130</f>
        <v>0</v>
      </c>
      <c r="G1123" s="2888" t="n">
        <f aca="false">IF(E1123&gt;F1123,E1123,F1123)</f>
        <v>201</v>
      </c>
      <c r="H1123" s="1004" t="n">
        <f aca="false">'Смета Внутр'!G1130</f>
        <v>0</v>
      </c>
      <c r="I1123" s="1004" t="n">
        <f aca="false">'Смета Внутр'!H1130</f>
        <v>0</v>
      </c>
      <c r="J1123" s="2897" t="n">
        <f aca="false">'Смета Внутр'!I1130</f>
        <v>0</v>
      </c>
    </row>
    <row r="1124" customFormat="false" ht="15" hidden="false" customHeight="true" outlineLevel="0" collapsed="false">
      <c r="B1124" s="2888" t="str">
        <f aca="false">'Смета Внутр'!B1131</f>
        <v>ГПС 170х50-1,2</v>
      </c>
      <c r="C1124" s="2888" t="str">
        <f aca="false">'Смета Внутр'!C1131</f>
        <v>м.п.</v>
      </c>
      <c r="D1124" s="2897" t="n">
        <f aca="false">'Смета Внутр'!D1131</f>
        <v>0</v>
      </c>
      <c r="E1124" s="1004" t="n">
        <f aca="false">'Смета Внутр'!E1131</f>
        <v>252</v>
      </c>
      <c r="F1124" s="1004" t="n">
        <f aca="false">'Смета Внутр'!F1131</f>
        <v>0</v>
      </c>
      <c r="G1124" s="2888" t="n">
        <f aca="false">IF(E1124&gt;F1124,E1124,F1124)</f>
        <v>252</v>
      </c>
      <c r="H1124" s="1004" t="n">
        <f aca="false">'Смета Внутр'!G1131</f>
        <v>0</v>
      </c>
      <c r="I1124" s="1004" t="n">
        <f aca="false">'Смета Внутр'!H1131</f>
        <v>0</v>
      </c>
      <c r="J1124" s="2897" t="n">
        <f aca="false">'Смета Внутр'!I1131</f>
        <v>0</v>
      </c>
    </row>
    <row r="1125" customFormat="false" ht="15" hidden="false" customHeight="true" outlineLevel="0" collapsed="false">
      <c r="B1125" s="2888" t="str">
        <f aca="false">'Смета Внутр'!B1132</f>
        <v>ГПС 170х50-1,5</v>
      </c>
      <c r="C1125" s="2888" t="str">
        <f aca="false">'Смета Внутр'!C1132</f>
        <v>м.п.</v>
      </c>
      <c r="D1125" s="2897" t="n">
        <f aca="false">'Смета Внутр'!D1132</f>
        <v>0</v>
      </c>
      <c r="E1125" s="1004" t="n">
        <f aca="false">'Смета Внутр'!E1132</f>
        <v>330</v>
      </c>
      <c r="F1125" s="1004" t="n">
        <f aca="false">'Смета Внутр'!F1132</f>
        <v>0</v>
      </c>
      <c r="G1125" s="2888" t="n">
        <f aca="false">IF(E1125&gt;F1125,E1125,F1125)</f>
        <v>330</v>
      </c>
      <c r="H1125" s="1004" t="n">
        <f aca="false">'Смета Внутр'!G1132</f>
        <v>0</v>
      </c>
      <c r="I1125" s="1004" t="n">
        <f aca="false">'Смета Внутр'!H1132</f>
        <v>0</v>
      </c>
      <c r="J1125" s="2897" t="n">
        <f aca="false">'Смета Внутр'!I1132</f>
        <v>0</v>
      </c>
    </row>
    <row r="1126" customFormat="false" ht="15" hidden="false" customHeight="true" outlineLevel="0" collapsed="false">
      <c r="B1126" s="2888" t="str">
        <f aca="false">'Смета Внутр'!B1133</f>
        <v>ГПС 170х50-2,0</v>
      </c>
      <c r="C1126" s="2888" t="str">
        <f aca="false">'Смета Внутр'!C1133</f>
        <v>м.п.</v>
      </c>
      <c r="D1126" s="2897" t="n">
        <f aca="false">'Смета Внутр'!D1133</f>
        <v>0</v>
      </c>
      <c r="E1126" s="1004" t="n">
        <f aca="false">'Смета Внутр'!E1133</f>
        <v>215</v>
      </c>
      <c r="F1126" s="1004" t="n">
        <f aca="false">'Смета Внутр'!F1133</f>
        <v>0</v>
      </c>
      <c r="G1126" s="2888" t="n">
        <f aca="false">IF(E1126&gt;F1126,E1126,F1126)</f>
        <v>215</v>
      </c>
      <c r="H1126" s="1004" t="n">
        <f aca="false">'Смета Внутр'!G1133</f>
        <v>0</v>
      </c>
      <c r="I1126" s="1004" t="n">
        <f aca="false">'Смета Внутр'!H1133</f>
        <v>0</v>
      </c>
      <c r="J1126" s="2897" t="n">
        <f aca="false">'Смета Внутр'!I1133</f>
        <v>0</v>
      </c>
    </row>
    <row r="1127" customFormat="false" ht="15" hidden="false" customHeight="true" outlineLevel="0" collapsed="false">
      <c r="B1127" s="2888" t="str">
        <f aca="false">'Смета Внутр'!B1134</f>
        <v>ГПС 200х50-1,2</v>
      </c>
      <c r="C1127" s="2888" t="str">
        <f aca="false">'Смета Внутр'!C1134</f>
        <v>м.п.</v>
      </c>
      <c r="D1127" s="2897" t="n">
        <f aca="false">'Смета Внутр'!D1134</f>
        <v>0</v>
      </c>
      <c r="E1127" s="1004" t="n">
        <f aca="false">'Смета Внутр'!E1134</f>
        <v>269</v>
      </c>
      <c r="F1127" s="1004" t="n">
        <f aca="false">'Смета Внутр'!F1134</f>
        <v>0</v>
      </c>
      <c r="G1127" s="2888" t="n">
        <f aca="false">IF(E1127&gt;F1127,E1127,F1127)</f>
        <v>269</v>
      </c>
      <c r="H1127" s="1004" t="n">
        <f aca="false">'Смета Внутр'!G1134</f>
        <v>0</v>
      </c>
      <c r="I1127" s="1004" t="n">
        <f aca="false">'Смета Внутр'!H1134</f>
        <v>0</v>
      </c>
      <c r="J1127" s="2897" t="n">
        <f aca="false">'Смета Внутр'!I1134</f>
        <v>0</v>
      </c>
    </row>
    <row r="1128" customFormat="false" ht="15" hidden="false" customHeight="true" outlineLevel="0" collapsed="false">
      <c r="B1128" s="2888" t="str">
        <f aca="false">'Смета Внутр'!B1135</f>
        <v>ГПС 200х50-1,5</v>
      </c>
      <c r="C1128" s="2888" t="str">
        <f aca="false">'Смета Внутр'!C1135</f>
        <v>м.п.</v>
      </c>
      <c r="D1128" s="2897" t="n">
        <f aca="false">'Смета Внутр'!D1135</f>
        <v>0</v>
      </c>
      <c r="E1128" s="1004" t="n">
        <f aca="false">'Смета Внутр'!E1135</f>
        <v>358</v>
      </c>
      <c r="F1128" s="1004" t="n">
        <f aca="false">'Смета Внутр'!F1135</f>
        <v>0</v>
      </c>
      <c r="G1128" s="2888" t="n">
        <f aca="false">IF(E1128&gt;F1128,E1128,F1128)</f>
        <v>358</v>
      </c>
      <c r="H1128" s="1004" t="n">
        <f aca="false">'Смета Внутр'!G1135</f>
        <v>0</v>
      </c>
      <c r="I1128" s="1004" t="n">
        <f aca="false">'Смета Внутр'!H1135</f>
        <v>0</v>
      </c>
      <c r="J1128" s="2897" t="n">
        <f aca="false">'Смета Внутр'!I1135</f>
        <v>0</v>
      </c>
    </row>
    <row r="1129" customFormat="false" ht="15" hidden="false" customHeight="true" outlineLevel="0" collapsed="false">
      <c r="B1129" s="2888" t="str">
        <f aca="false">'Смета Внутр'!B1136</f>
        <v>ГПС 200х50-2,0</v>
      </c>
      <c r="C1129" s="2888" t="str">
        <f aca="false">'Смета Внутр'!C1136</f>
        <v>м.п.</v>
      </c>
      <c r="D1129" s="2897" t="n">
        <f aca="false">'Смета Внутр'!D1136</f>
        <v>0</v>
      </c>
      <c r="E1129" s="1004" t="n">
        <f aca="false">'Смета Внутр'!E1136</f>
        <v>239</v>
      </c>
      <c r="F1129" s="1004" t="n">
        <f aca="false">'Смета Внутр'!F1136</f>
        <v>0</v>
      </c>
      <c r="G1129" s="2888" t="n">
        <f aca="false">IF(E1129&gt;F1129,E1129,F1129)</f>
        <v>239</v>
      </c>
      <c r="H1129" s="1004" t="n">
        <f aca="false">'Смета Внутр'!G1136</f>
        <v>0</v>
      </c>
      <c r="I1129" s="1004" t="n">
        <f aca="false">'Смета Внутр'!H1136</f>
        <v>0</v>
      </c>
      <c r="J1129" s="2897" t="n">
        <f aca="false">'Смета Внутр'!I1136</f>
        <v>0</v>
      </c>
    </row>
    <row r="1130" customFormat="false" ht="15" hidden="false" customHeight="true" outlineLevel="0" collapsed="false">
      <c r="B1130" s="2888" t="str">
        <f aca="false">'Смета Внутр'!B1137</f>
        <v>ГПС 250х50-1,2</v>
      </c>
      <c r="C1130" s="2888" t="str">
        <f aca="false">'Смета Внутр'!C1137</f>
        <v>м.п.</v>
      </c>
      <c r="D1130" s="2897" t="n">
        <f aca="false">'Смета Внутр'!D1137</f>
        <v>0</v>
      </c>
      <c r="E1130" s="1004" t="n">
        <f aca="false">'Смета Внутр'!E1137</f>
        <v>299</v>
      </c>
      <c r="F1130" s="1004" t="n">
        <f aca="false">'Смета Внутр'!F1137</f>
        <v>0</v>
      </c>
      <c r="G1130" s="2888" t="n">
        <f aca="false">IF(E1130&gt;F1130,E1130,F1130)</f>
        <v>299</v>
      </c>
      <c r="H1130" s="1004" t="n">
        <f aca="false">'Смета Внутр'!G1137</f>
        <v>0</v>
      </c>
      <c r="I1130" s="1004" t="n">
        <f aca="false">'Смета Внутр'!H1137</f>
        <v>0</v>
      </c>
      <c r="J1130" s="2897" t="n">
        <f aca="false">'Смета Внутр'!I1137</f>
        <v>0</v>
      </c>
    </row>
    <row r="1131" customFormat="false" ht="15" hidden="false" customHeight="true" outlineLevel="0" collapsed="false">
      <c r="B1131" s="2888" t="str">
        <f aca="false">'Смета Внутр'!B1138</f>
        <v>ГПС 250х50-1,5</v>
      </c>
      <c r="C1131" s="2888" t="str">
        <f aca="false">'Смета Внутр'!C1138</f>
        <v>м.п.</v>
      </c>
      <c r="D1131" s="2897" t="n">
        <f aca="false">'Смета Внутр'!D1138</f>
        <v>0</v>
      </c>
      <c r="E1131" s="1004" t="n">
        <f aca="false">'Смета Внутр'!E1138</f>
        <v>397</v>
      </c>
      <c r="F1131" s="1004" t="n">
        <f aca="false">'Смета Внутр'!F1138</f>
        <v>0</v>
      </c>
      <c r="G1131" s="2888" t="n">
        <f aca="false">IF(E1131&gt;F1131,E1131,F1131)</f>
        <v>397</v>
      </c>
      <c r="H1131" s="1004" t="n">
        <f aca="false">'Смета Внутр'!G1138</f>
        <v>0</v>
      </c>
      <c r="I1131" s="1004" t="n">
        <f aca="false">'Смета Внутр'!H1138</f>
        <v>0</v>
      </c>
      <c r="J1131" s="2897" t="n">
        <f aca="false">'Смета Внутр'!I1138</f>
        <v>0</v>
      </c>
    </row>
    <row r="1132" customFormat="false" ht="15" hidden="false" customHeight="true" outlineLevel="0" collapsed="false">
      <c r="B1132" s="2888" t="str">
        <f aca="false">'Смета Внутр'!B1139</f>
        <v>ГПС 250х50-2,0</v>
      </c>
      <c r="C1132" s="2888" t="str">
        <f aca="false">'Смета Внутр'!C1139</f>
        <v>м.п.</v>
      </c>
      <c r="D1132" s="2897" t="n">
        <f aca="false">'Смета Внутр'!D1139</f>
        <v>0</v>
      </c>
      <c r="E1132" s="1004" t="n">
        <f aca="false">'Смета Внутр'!E1139</f>
        <v>274</v>
      </c>
      <c r="F1132" s="1004" t="n">
        <f aca="false">'Смета Внутр'!F1139</f>
        <v>0</v>
      </c>
      <c r="G1132" s="2888" t="n">
        <f aca="false">IF(E1132&gt;F1132,E1132,F1132)</f>
        <v>274</v>
      </c>
      <c r="H1132" s="1004" t="n">
        <f aca="false">'Смета Внутр'!G1139</f>
        <v>0</v>
      </c>
      <c r="I1132" s="1004" t="n">
        <f aca="false">'Смета Внутр'!H1139</f>
        <v>0</v>
      </c>
      <c r="J1132" s="2897" t="n">
        <f aca="false">'Смета Внутр'!I1139</f>
        <v>0</v>
      </c>
    </row>
    <row r="1133" customFormat="false" ht="15" hidden="false" customHeight="true" outlineLevel="0" collapsed="false">
      <c r="B1133" s="2888" t="str">
        <f aca="false">'Смета Внутр'!B1140</f>
        <v>ГПС 280х50-1,2</v>
      </c>
      <c r="C1133" s="2888" t="str">
        <f aca="false">'Смета Внутр'!C1140</f>
        <v>м.п.</v>
      </c>
      <c r="D1133" s="2897" t="n">
        <f aca="false">'Смета Внутр'!D1140</f>
        <v>0</v>
      </c>
      <c r="E1133" s="1004" t="n">
        <f aca="false">'Смета Внутр'!E1140</f>
        <v>344</v>
      </c>
      <c r="F1133" s="1004" t="n">
        <f aca="false">'Смета Внутр'!F1140</f>
        <v>0</v>
      </c>
      <c r="G1133" s="2888" t="n">
        <f aca="false">IF(E1133&gt;F1133,E1133,F1133)</f>
        <v>344</v>
      </c>
      <c r="H1133" s="1004" t="n">
        <f aca="false">'Смета Внутр'!G1140</f>
        <v>0</v>
      </c>
      <c r="I1133" s="1004" t="n">
        <f aca="false">'Смета Внутр'!H1140</f>
        <v>0</v>
      </c>
      <c r="J1133" s="2897" t="n">
        <f aca="false">'Смета Внутр'!I1140</f>
        <v>0</v>
      </c>
    </row>
    <row r="1134" customFormat="false" ht="15" hidden="false" customHeight="true" outlineLevel="0" collapsed="false">
      <c r="B1134" s="2888" t="str">
        <f aca="false">'Смета Внутр'!B1141</f>
        <v>ГПС 280х50-1,5</v>
      </c>
      <c r="C1134" s="2888" t="str">
        <f aca="false">'Смета Внутр'!C1141</f>
        <v>м.п.</v>
      </c>
      <c r="D1134" s="2897" t="n">
        <f aca="false">'Смета Внутр'!D1141</f>
        <v>0</v>
      </c>
      <c r="E1134" s="1004" t="n">
        <f aca="false">'Смета Внутр'!E1141</f>
        <v>450</v>
      </c>
      <c r="F1134" s="1004" t="n">
        <f aca="false">'Смета Внутр'!F1141</f>
        <v>0</v>
      </c>
      <c r="G1134" s="2888" t="n">
        <f aca="false">IF(E1134&gt;F1134,E1134,F1134)</f>
        <v>450</v>
      </c>
      <c r="H1134" s="1004" t="n">
        <f aca="false">'Смета Внутр'!G1141</f>
        <v>0</v>
      </c>
      <c r="I1134" s="1004" t="n">
        <f aca="false">'Смета Внутр'!H1141</f>
        <v>0</v>
      </c>
      <c r="J1134" s="2897" t="n">
        <f aca="false">'Смета Внутр'!I1141</f>
        <v>0</v>
      </c>
    </row>
    <row r="1135" customFormat="false" ht="15" hidden="false" customHeight="true" outlineLevel="0" collapsed="false">
      <c r="B1135" s="2888" t="str">
        <f aca="false">'Смета Внутр'!B1142</f>
        <v>ГПС 280х50-2,0</v>
      </c>
      <c r="C1135" s="2888" t="str">
        <f aca="false">'Смета Внутр'!C1142</f>
        <v>м.п.</v>
      </c>
      <c r="D1135" s="2897" t="n">
        <f aca="false">'Смета Внутр'!D1142</f>
        <v>0</v>
      </c>
      <c r="E1135" s="1004" t="n">
        <f aca="false">'Смета Внутр'!E1142</f>
        <v>293</v>
      </c>
      <c r="F1135" s="1004" t="n">
        <f aca="false">'Смета Внутр'!F1142</f>
        <v>0</v>
      </c>
      <c r="G1135" s="2888" t="n">
        <f aca="false">IF(E1135&gt;F1135,E1135,F1135)</f>
        <v>293</v>
      </c>
      <c r="H1135" s="1004" t="n">
        <f aca="false">'Смета Внутр'!G1142</f>
        <v>0</v>
      </c>
      <c r="I1135" s="1004" t="n">
        <f aca="false">'Смета Внутр'!H1142</f>
        <v>0</v>
      </c>
      <c r="J1135" s="2897" t="n">
        <f aca="false">'Смета Внутр'!I1142</f>
        <v>0</v>
      </c>
    </row>
    <row r="1136" customFormat="false" ht="15" hidden="false" customHeight="true" outlineLevel="0" collapsed="false">
      <c r="B1136" s="2888" t="str">
        <f aca="false">'Смета Внутр'!B1143</f>
        <v>ГПН 102х35-1,2</v>
      </c>
      <c r="C1136" s="2888" t="str">
        <f aca="false">'Смета Внутр'!C1143</f>
        <v>м.п.</v>
      </c>
      <c r="D1136" s="2897" t="n">
        <f aca="false">'Смета Внутр'!D1143</f>
        <v>0</v>
      </c>
      <c r="E1136" s="1004" t="n">
        <f aca="false">'Смета Внутр'!E1143</f>
        <v>127</v>
      </c>
      <c r="F1136" s="1004" t="n">
        <f aca="false">'Смета Внутр'!F1143</f>
        <v>0</v>
      </c>
      <c r="G1136" s="2888" t="n">
        <f aca="false">IF(E1136&gt;F1136,E1136,F1136)</f>
        <v>127</v>
      </c>
      <c r="H1136" s="1004" t="n">
        <f aca="false">'Смета Внутр'!G1143</f>
        <v>0</v>
      </c>
      <c r="I1136" s="1004" t="n">
        <f aca="false">'Смета Внутр'!H1143</f>
        <v>0</v>
      </c>
      <c r="J1136" s="2897" t="n">
        <f aca="false">'Смета Внутр'!I1143</f>
        <v>0</v>
      </c>
    </row>
    <row r="1137" customFormat="false" ht="15" hidden="false" customHeight="true" outlineLevel="0" collapsed="false">
      <c r="B1137" s="2888" t="str">
        <f aca="false">'Смета Внутр'!B1144</f>
        <v>ГПН 102х35-1,5</v>
      </c>
      <c r="C1137" s="2888" t="str">
        <f aca="false">'Смета Внутр'!C1144</f>
        <v>м.п.</v>
      </c>
      <c r="D1137" s="2897" t="n">
        <f aca="false">'Смета Внутр'!D1144</f>
        <v>0</v>
      </c>
      <c r="E1137" s="1004" t="n">
        <f aca="false">'Смета Внутр'!E1144</f>
        <v>158</v>
      </c>
      <c r="F1137" s="1004" t="n">
        <f aca="false">'Смета Внутр'!F1144</f>
        <v>0</v>
      </c>
      <c r="G1137" s="2888" t="n">
        <f aca="false">IF(E1137&gt;F1137,E1137,F1137)</f>
        <v>158</v>
      </c>
      <c r="H1137" s="1004" t="n">
        <f aca="false">'Смета Внутр'!G1144</f>
        <v>0</v>
      </c>
      <c r="I1137" s="1004" t="n">
        <f aca="false">'Смета Внутр'!H1144</f>
        <v>0</v>
      </c>
      <c r="J1137" s="2897" t="n">
        <f aca="false">'Смета Внутр'!I1144</f>
        <v>0</v>
      </c>
    </row>
    <row r="1138" customFormat="false" ht="15" hidden="false" customHeight="true" outlineLevel="0" collapsed="false">
      <c r="B1138" s="2888" t="str">
        <f aca="false">'Смета Внутр'!B1145</f>
        <v>ГПН 102х35-2,0</v>
      </c>
      <c r="C1138" s="2888" t="str">
        <f aca="false">'Смета Внутр'!C1145</f>
        <v>м.п.</v>
      </c>
      <c r="D1138" s="2897" t="n">
        <f aca="false">'Смета Внутр'!D1145</f>
        <v>0</v>
      </c>
      <c r="E1138" s="1004" t="n">
        <f aca="false">'Смета Внутр'!E1145</f>
        <v>199</v>
      </c>
      <c r="F1138" s="1004" t="n">
        <f aca="false">'Смета Внутр'!F1145</f>
        <v>0</v>
      </c>
      <c r="G1138" s="2888" t="n">
        <f aca="false">IF(E1138&gt;F1138,E1138,F1138)</f>
        <v>199</v>
      </c>
      <c r="H1138" s="1004" t="n">
        <f aca="false">'Смета Внутр'!G1145</f>
        <v>0</v>
      </c>
      <c r="I1138" s="1004" t="n">
        <f aca="false">'Смета Внутр'!H1145</f>
        <v>0</v>
      </c>
      <c r="J1138" s="2897" t="n">
        <f aca="false">'Смета Внутр'!I1145</f>
        <v>0</v>
      </c>
    </row>
    <row r="1139" customFormat="false" ht="15" hidden="false" customHeight="true" outlineLevel="0" collapsed="false">
      <c r="B1139" s="2888" t="str">
        <f aca="false">'Смета Внутр'!B1146</f>
        <v>ГПН 122х35-1,2</v>
      </c>
      <c r="C1139" s="2888" t="str">
        <f aca="false">'Смета Внутр'!C1146</f>
        <v>м.п.</v>
      </c>
      <c r="D1139" s="2897" t="n">
        <f aca="false">'Смета Внутр'!D1146</f>
        <v>0</v>
      </c>
      <c r="E1139" s="1004" t="n">
        <f aca="false">'Смета Внутр'!E1146</f>
        <v>131</v>
      </c>
      <c r="F1139" s="1004" t="n">
        <f aca="false">'Смета Внутр'!F1146</f>
        <v>0</v>
      </c>
      <c r="G1139" s="2888" t="n">
        <f aca="false">IF(E1139&gt;F1139,E1139,F1139)</f>
        <v>131</v>
      </c>
      <c r="H1139" s="1004" t="n">
        <f aca="false">'Смета Внутр'!G1146</f>
        <v>0</v>
      </c>
      <c r="I1139" s="1004" t="n">
        <f aca="false">'Смета Внутр'!H1146</f>
        <v>0</v>
      </c>
      <c r="J1139" s="2897" t="n">
        <f aca="false">'Смета Внутр'!I1146</f>
        <v>0</v>
      </c>
    </row>
    <row r="1140" customFormat="false" ht="15" hidden="false" customHeight="true" outlineLevel="0" collapsed="false">
      <c r="B1140" s="2888" t="str">
        <f aca="false">'Смета Внутр'!B1147</f>
        <v>ГПН 122х35-1,5</v>
      </c>
      <c r="C1140" s="2888" t="str">
        <f aca="false">'Смета Внутр'!C1147</f>
        <v>м.п.</v>
      </c>
      <c r="D1140" s="2897" t="n">
        <f aca="false">'Смета Внутр'!D1147</f>
        <v>0</v>
      </c>
      <c r="E1140" s="1004" t="n">
        <f aca="false">'Смета Внутр'!E1147</f>
        <v>163</v>
      </c>
      <c r="F1140" s="1004" t="n">
        <f aca="false">'Смета Внутр'!F1147</f>
        <v>0</v>
      </c>
      <c r="G1140" s="2888" t="n">
        <f aca="false">IF(E1140&gt;F1140,E1140,F1140)</f>
        <v>163</v>
      </c>
      <c r="H1140" s="1004" t="n">
        <f aca="false">'Смета Внутр'!G1147</f>
        <v>0</v>
      </c>
      <c r="I1140" s="1004" t="n">
        <f aca="false">'Смета Внутр'!H1147</f>
        <v>0</v>
      </c>
      <c r="J1140" s="2897" t="n">
        <f aca="false">'Смета Внутр'!I1147</f>
        <v>0</v>
      </c>
    </row>
    <row r="1141" customFormat="false" ht="15" hidden="false" customHeight="true" outlineLevel="0" collapsed="false">
      <c r="B1141" s="2888" t="str">
        <f aca="false">'Смета Внутр'!B1148</f>
        <v>ГПН 122х35-2,0</v>
      </c>
      <c r="C1141" s="2888" t="str">
        <f aca="false">'Смета Внутр'!C1148</f>
        <v>м.п.</v>
      </c>
      <c r="D1141" s="2897" t="n">
        <f aca="false">'Смета Внутр'!D1148</f>
        <v>0</v>
      </c>
      <c r="E1141" s="1004" t="n">
        <f aca="false">'Смета Внутр'!E1148</f>
        <v>216</v>
      </c>
      <c r="F1141" s="1004" t="n">
        <f aca="false">'Смета Внутр'!F1148</f>
        <v>0</v>
      </c>
      <c r="G1141" s="2888" t="n">
        <f aca="false">IF(E1141&gt;F1141,E1141,F1141)</f>
        <v>216</v>
      </c>
      <c r="H1141" s="1004" t="n">
        <f aca="false">'Смета Внутр'!G1148</f>
        <v>0</v>
      </c>
      <c r="I1141" s="1004" t="n">
        <f aca="false">'Смета Внутр'!H1148</f>
        <v>0</v>
      </c>
      <c r="J1141" s="2897" t="n">
        <f aca="false">'Смета Внутр'!I1148</f>
        <v>0</v>
      </c>
    </row>
    <row r="1142" customFormat="false" ht="15" hidden="false" customHeight="true" outlineLevel="0" collapsed="false">
      <c r="B1142" s="2888" t="str">
        <f aca="false">'Смета Внутр'!B1149</f>
        <v>ГПН 152х35-1,2</v>
      </c>
      <c r="C1142" s="2888" t="str">
        <f aca="false">'Смета Внутр'!C1149</f>
        <v>м.п.</v>
      </c>
      <c r="D1142" s="2897" t="n">
        <f aca="false">'Смета Внутр'!D1149</f>
        <v>0</v>
      </c>
      <c r="E1142" s="1004" t="n">
        <f aca="false">'Смета Внутр'!E1149</f>
        <v>163</v>
      </c>
      <c r="F1142" s="1004" t="n">
        <f aca="false">'Смета Внутр'!F1149</f>
        <v>0</v>
      </c>
      <c r="G1142" s="2888" t="n">
        <f aca="false">IF(E1142&gt;F1142,E1142,F1142)</f>
        <v>163</v>
      </c>
      <c r="H1142" s="1004" t="n">
        <f aca="false">'Смета Внутр'!G1149</f>
        <v>0</v>
      </c>
      <c r="I1142" s="1004" t="n">
        <f aca="false">'Смета Внутр'!H1149</f>
        <v>0</v>
      </c>
      <c r="J1142" s="2897" t="n">
        <f aca="false">'Смета Внутр'!I1149</f>
        <v>0</v>
      </c>
    </row>
    <row r="1143" customFormat="false" ht="15" hidden="false" customHeight="true" outlineLevel="0" collapsed="false">
      <c r="B1143" s="2888" t="str">
        <f aca="false">'Смета Внутр'!B1150</f>
        <v>ГПН 152х35-1,5</v>
      </c>
      <c r="C1143" s="2888" t="str">
        <f aca="false">'Смета Внутр'!C1150</f>
        <v>м.п.</v>
      </c>
      <c r="D1143" s="2897" t="n">
        <f aca="false">'Смета Внутр'!D1150</f>
        <v>0</v>
      </c>
      <c r="E1143" s="1004" t="n">
        <f aca="false">'Смета Внутр'!E1150</f>
        <v>203</v>
      </c>
      <c r="F1143" s="1004" t="n">
        <f aca="false">'Смета Внутр'!F1150</f>
        <v>0</v>
      </c>
      <c r="G1143" s="2888" t="n">
        <f aca="false">IF(E1143&gt;F1143,E1143,F1143)</f>
        <v>203</v>
      </c>
      <c r="H1143" s="1004" t="n">
        <f aca="false">'Смета Внутр'!G1150</f>
        <v>0</v>
      </c>
      <c r="I1143" s="1004" t="n">
        <f aca="false">'Смета Внутр'!H1150</f>
        <v>0</v>
      </c>
      <c r="J1143" s="2897" t="n">
        <f aca="false">'Смета Внутр'!I1150</f>
        <v>0</v>
      </c>
    </row>
    <row r="1144" customFormat="false" ht="15" hidden="false" customHeight="true" outlineLevel="0" collapsed="false">
      <c r="B1144" s="2888" t="str">
        <f aca="false">'Смета Внутр'!B1151</f>
        <v>ГПН 152х35-2,0</v>
      </c>
      <c r="C1144" s="2888" t="str">
        <f aca="false">'Смета Внутр'!C1151</f>
        <v>м.п.</v>
      </c>
      <c r="D1144" s="2897" t="n">
        <f aca="false">'Смета Внутр'!D1151</f>
        <v>0</v>
      </c>
      <c r="E1144" s="1004" t="n">
        <f aca="false">'Смета Внутр'!E1151</f>
        <v>259</v>
      </c>
      <c r="F1144" s="1004" t="n">
        <f aca="false">'Смета Внутр'!F1151</f>
        <v>0</v>
      </c>
      <c r="G1144" s="2888" t="n">
        <f aca="false">IF(E1144&gt;F1144,E1144,F1144)</f>
        <v>259</v>
      </c>
      <c r="H1144" s="1004" t="n">
        <f aca="false">'Смета Внутр'!G1151</f>
        <v>0</v>
      </c>
      <c r="I1144" s="1004" t="n">
        <f aca="false">'Смета Внутр'!H1151</f>
        <v>0</v>
      </c>
      <c r="J1144" s="2897" t="n">
        <f aca="false">'Смета Внутр'!I1151</f>
        <v>0</v>
      </c>
    </row>
    <row r="1145" customFormat="false" ht="15" hidden="false" customHeight="true" outlineLevel="0" collapsed="false">
      <c r="B1145" s="2888" t="str">
        <f aca="false">'Смета Внутр'!B1152</f>
        <v>ГПН 172х35-1,2</v>
      </c>
      <c r="C1145" s="2888" t="str">
        <f aca="false">'Смета Внутр'!C1152</f>
        <v>м.п.</v>
      </c>
      <c r="D1145" s="2897" t="n">
        <f aca="false">'Смета Внутр'!D1152</f>
        <v>0</v>
      </c>
      <c r="E1145" s="1004" t="n">
        <f aca="false">'Смета Внутр'!E1152</f>
        <v>166</v>
      </c>
      <c r="F1145" s="1004" t="n">
        <f aca="false">'Смета Внутр'!F1152</f>
        <v>0</v>
      </c>
      <c r="G1145" s="2888" t="n">
        <f aca="false">IF(E1145&gt;F1145,E1145,F1145)</f>
        <v>166</v>
      </c>
      <c r="H1145" s="1004" t="n">
        <f aca="false">'Смета Внутр'!G1152</f>
        <v>0</v>
      </c>
      <c r="I1145" s="1004" t="n">
        <f aca="false">'Смета Внутр'!H1152</f>
        <v>0</v>
      </c>
      <c r="J1145" s="2897" t="n">
        <f aca="false">'Смета Внутр'!I1152</f>
        <v>0</v>
      </c>
    </row>
    <row r="1146" customFormat="false" ht="15" hidden="false" customHeight="true" outlineLevel="0" collapsed="false">
      <c r="B1146" s="2888" t="str">
        <f aca="false">'Смета Внутр'!B1153</f>
        <v>ГПН 172х35-1,5</v>
      </c>
      <c r="C1146" s="2888" t="str">
        <f aca="false">'Смета Внутр'!C1153</f>
        <v>м.п.</v>
      </c>
      <c r="D1146" s="2897" t="n">
        <f aca="false">'Смета Внутр'!D1153</f>
        <v>0</v>
      </c>
      <c r="E1146" s="1004" t="n">
        <f aca="false">'Смета Внутр'!E1153</f>
        <v>207</v>
      </c>
      <c r="F1146" s="1004" t="n">
        <f aca="false">'Смета Внутр'!F1153</f>
        <v>0</v>
      </c>
      <c r="G1146" s="2888" t="n">
        <f aca="false">IF(E1146&gt;F1146,E1146,F1146)</f>
        <v>207</v>
      </c>
      <c r="H1146" s="1004" t="n">
        <f aca="false">'Смета Внутр'!G1153</f>
        <v>0</v>
      </c>
      <c r="I1146" s="1004" t="n">
        <f aca="false">'Смета Внутр'!H1153</f>
        <v>0</v>
      </c>
      <c r="J1146" s="2897" t="n">
        <f aca="false">'Смета Внутр'!I1153</f>
        <v>0</v>
      </c>
    </row>
    <row r="1147" customFormat="false" ht="15" hidden="false" customHeight="true" outlineLevel="0" collapsed="false">
      <c r="B1147" s="2888" t="str">
        <f aca="false">'Смета Внутр'!B1154</f>
        <v>ГПН 172х35-2,0</v>
      </c>
      <c r="C1147" s="2888" t="str">
        <f aca="false">'Смета Внутр'!C1154</f>
        <v>м.п.</v>
      </c>
      <c r="D1147" s="2897" t="n">
        <f aca="false">'Смета Внутр'!D1154</f>
        <v>0</v>
      </c>
      <c r="E1147" s="1004" t="n">
        <f aca="false">'Смета Внутр'!E1154</f>
        <v>274</v>
      </c>
      <c r="F1147" s="1004" t="n">
        <f aca="false">'Смета Внутр'!F1154</f>
        <v>0</v>
      </c>
      <c r="G1147" s="2888" t="n">
        <f aca="false">IF(E1147&gt;F1147,E1147,F1147)</f>
        <v>274</v>
      </c>
      <c r="H1147" s="1004" t="n">
        <f aca="false">'Смета Внутр'!G1154</f>
        <v>0</v>
      </c>
      <c r="I1147" s="1004" t="n">
        <f aca="false">'Смета Внутр'!H1154</f>
        <v>0</v>
      </c>
      <c r="J1147" s="2897" t="n">
        <f aca="false">'Смета Внутр'!I1154</f>
        <v>0</v>
      </c>
    </row>
    <row r="1148" customFormat="false" ht="15" hidden="false" customHeight="true" outlineLevel="0" collapsed="false">
      <c r="B1148" s="2888" t="str">
        <f aca="false">'Смета Внутр'!B1155</f>
        <v>ГПН 202х35-1,2</v>
      </c>
      <c r="C1148" s="2888" t="str">
        <f aca="false">'Смета Внутр'!C1155</f>
        <v>м.п.</v>
      </c>
      <c r="D1148" s="2897" t="n">
        <f aca="false">'Смета Внутр'!D1155</f>
        <v>0</v>
      </c>
      <c r="E1148" s="1004" t="n">
        <f aca="false">'Смета Внутр'!E1155</f>
        <v>201</v>
      </c>
      <c r="F1148" s="1004" t="n">
        <f aca="false">'Смета Внутр'!F1155</f>
        <v>0</v>
      </c>
      <c r="G1148" s="2888" t="n">
        <f aca="false">IF(E1148&gt;F1148,E1148,F1148)</f>
        <v>201</v>
      </c>
      <c r="H1148" s="1004" t="n">
        <f aca="false">'Смета Внутр'!G1155</f>
        <v>0</v>
      </c>
      <c r="I1148" s="1004" t="n">
        <f aca="false">'Смета Внутр'!H1155</f>
        <v>0</v>
      </c>
      <c r="J1148" s="2897" t="n">
        <f aca="false">'Смета Внутр'!I1155</f>
        <v>0</v>
      </c>
    </row>
    <row r="1149" customFormat="false" ht="15" hidden="false" customHeight="true" outlineLevel="0" collapsed="false">
      <c r="B1149" s="2888" t="str">
        <f aca="false">'Смета Внутр'!B1156</f>
        <v>ГПН 202х35-1,5</v>
      </c>
      <c r="C1149" s="2888" t="str">
        <f aca="false">'Смета Внутр'!C1156</f>
        <v>м.п.</v>
      </c>
      <c r="D1149" s="2897" t="n">
        <f aca="false">'Смета Внутр'!D1156</f>
        <v>0</v>
      </c>
      <c r="E1149" s="1004" t="n">
        <f aca="false">'Смета Внутр'!E1156</f>
        <v>252</v>
      </c>
      <c r="F1149" s="1004" t="n">
        <f aca="false">'Смета Внутр'!F1156</f>
        <v>0</v>
      </c>
      <c r="G1149" s="2888" t="n">
        <f aca="false">IF(E1149&gt;F1149,E1149,F1149)</f>
        <v>252</v>
      </c>
      <c r="H1149" s="1004" t="n">
        <f aca="false">'Смета Внутр'!G1156</f>
        <v>0</v>
      </c>
      <c r="I1149" s="1004" t="n">
        <f aca="false">'Смета Внутр'!H1156</f>
        <v>0</v>
      </c>
      <c r="J1149" s="2897" t="n">
        <f aca="false">'Смета Внутр'!I1156</f>
        <v>0</v>
      </c>
    </row>
    <row r="1150" customFormat="false" ht="15" hidden="false" customHeight="true" outlineLevel="0" collapsed="false">
      <c r="B1150" s="2888" t="str">
        <f aca="false">'Смета Внутр'!B1157</f>
        <v>ГПН 202х35-2,0</v>
      </c>
      <c r="C1150" s="2888" t="str">
        <f aca="false">'Смета Внутр'!C1157</f>
        <v>м.п.</v>
      </c>
      <c r="D1150" s="2897" t="n">
        <f aca="false">'Смета Внутр'!D1157</f>
        <v>0</v>
      </c>
      <c r="E1150" s="1004" t="n">
        <f aca="false">'Смета Внутр'!E1157</f>
        <v>318</v>
      </c>
      <c r="F1150" s="1004" t="n">
        <f aca="false">'Смета Внутр'!F1157</f>
        <v>0</v>
      </c>
      <c r="G1150" s="2888" t="n">
        <f aca="false">IF(E1150&gt;F1150,E1150,F1150)</f>
        <v>318</v>
      </c>
      <c r="H1150" s="1004" t="n">
        <f aca="false">'Смета Внутр'!G1157</f>
        <v>0</v>
      </c>
      <c r="I1150" s="1004" t="n">
        <f aca="false">'Смета Внутр'!H1157</f>
        <v>0</v>
      </c>
      <c r="J1150" s="2897" t="n">
        <f aca="false">'Смета Внутр'!I1157</f>
        <v>0</v>
      </c>
    </row>
    <row r="1151" customFormat="false" ht="15" hidden="false" customHeight="true" outlineLevel="0" collapsed="false">
      <c r="B1151" s="2888" t="str">
        <f aca="false">'Смета Внутр'!B1158</f>
        <v>ГПН 252х35-1,2</v>
      </c>
      <c r="C1151" s="2888" t="str">
        <f aca="false">'Смета Внутр'!C1158</f>
        <v>м.п.</v>
      </c>
      <c r="D1151" s="2897" t="n">
        <f aca="false">'Смета Внутр'!D1158</f>
        <v>0</v>
      </c>
      <c r="E1151" s="1004" t="n">
        <f aca="false">'Смета Внутр'!E1158</f>
        <v>226</v>
      </c>
      <c r="F1151" s="1004" t="n">
        <f aca="false">'Смета Внутр'!F1158</f>
        <v>0</v>
      </c>
      <c r="G1151" s="2888" t="n">
        <f aca="false">IF(E1151&gt;F1151,E1151,F1151)</f>
        <v>226</v>
      </c>
      <c r="H1151" s="1004" t="n">
        <f aca="false">'Смета Внутр'!G1158</f>
        <v>0</v>
      </c>
      <c r="I1151" s="1004" t="n">
        <f aca="false">'Смета Внутр'!H1158</f>
        <v>0</v>
      </c>
      <c r="J1151" s="2897" t="n">
        <f aca="false">'Смета Внутр'!I1158</f>
        <v>0</v>
      </c>
    </row>
    <row r="1152" customFormat="false" ht="15" hidden="false" customHeight="true" outlineLevel="0" collapsed="false">
      <c r="B1152" s="2888" t="str">
        <f aca="false">'Смета Внутр'!B1159</f>
        <v>ГПН 252х35-1,5</v>
      </c>
      <c r="C1152" s="2888" t="str">
        <f aca="false">'Смета Внутр'!C1159</f>
        <v>м.п.</v>
      </c>
      <c r="D1152" s="2897" t="n">
        <f aca="false">'Смета Внутр'!D1159</f>
        <v>0</v>
      </c>
      <c r="E1152" s="1004" t="n">
        <f aca="false">'Смета Внутр'!E1159</f>
        <v>283</v>
      </c>
      <c r="F1152" s="1004" t="n">
        <f aca="false">'Смета Внутр'!F1159</f>
        <v>0</v>
      </c>
      <c r="G1152" s="2888" t="n">
        <f aca="false">IF(E1152&gt;F1152,E1152,F1152)</f>
        <v>283</v>
      </c>
      <c r="H1152" s="1004" t="n">
        <f aca="false">'Смета Внутр'!G1159</f>
        <v>0</v>
      </c>
      <c r="I1152" s="1004" t="n">
        <f aca="false">'Смета Внутр'!H1159</f>
        <v>0</v>
      </c>
      <c r="J1152" s="2897" t="n">
        <f aca="false">'Смета Внутр'!I1159</f>
        <v>0</v>
      </c>
    </row>
    <row r="1153" customFormat="false" ht="15" hidden="false" customHeight="true" outlineLevel="0" collapsed="false">
      <c r="B1153" s="2888" t="str">
        <f aca="false">'Смета Внутр'!B1160</f>
        <v>ГПН 252х35-2,0</v>
      </c>
      <c r="C1153" s="2888" t="str">
        <f aca="false">'Смета Внутр'!C1160</f>
        <v>м.п.</v>
      </c>
      <c r="D1153" s="2897" t="n">
        <f aca="false">'Смета Внутр'!D1160</f>
        <v>0</v>
      </c>
      <c r="E1153" s="1004" t="n">
        <f aca="false">'Смета Внутр'!E1160</f>
        <v>378</v>
      </c>
      <c r="F1153" s="1004" t="n">
        <f aca="false">'Смета Внутр'!F1160</f>
        <v>0</v>
      </c>
      <c r="G1153" s="2888" t="n">
        <f aca="false">IF(E1153&gt;F1153,E1153,F1153)</f>
        <v>378</v>
      </c>
      <c r="H1153" s="1004" t="n">
        <f aca="false">'Смета Внутр'!G1160</f>
        <v>0</v>
      </c>
      <c r="I1153" s="1004" t="n">
        <f aca="false">'Смета Внутр'!H1160</f>
        <v>0</v>
      </c>
      <c r="J1153" s="2897" t="n">
        <f aca="false">'Смета Внутр'!I1160</f>
        <v>0</v>
      </c>
    </row>
    <row r="1154" customFormat="false" ht="15" hidden="false" customHeight="true" outlineLevel="0" collapsed="false">
      <c r="B1154" s="2888" t="str">
        <f aca="false">'Смета Внутр'!B1161</f>
        <v>ГПН 282х35-1,2</v>
      </c>
      <c r="C1154" s="2888" t="str">
        <f aca="false">'Смета Внутр'!C1161</f>
        <v>м.п.</v>
      </c>
      <c r="D1154" s="2897" t="n">
        <f aca="false">'Смета Внутр'!D1161</f>
        <v>0</v>
      </c>
      <c r="E1154" s="1004" t="n">
        <f aca="false">'Смета Внутр'!E1161</f>
        <v>275</v>
      </c>
      <c r="F1154" s="1004" t="n">
        <f aca="false">'Смета Внутр'!F1161</f>
        <v>0</v>
      </c>
      <c r="G1154" s="2888" t="n">
        <f aca="false">IF(E1154&gt;F1154,E1154,F1154)</f>
        <v>275</v>
      </c>
      <c r="H1154" s="1004" t="n">
        <f aca="false">'Смета Внутр'!G1161</f>
        <v>0</v>
      </c>
      <c r="I1154" s="1004" t="n">
        <f aca="false">'Смета Внутр'!H1161</f>
        <v>0</v>
      </c>
      <c r="J1154" s="2897" t="n">
        <f aca="false">'Смета Внутр'!I1161</f>
        <v>0</v>
      </c>
    </row>
    <row r="1155" customFormat="false" ht="15" hidden="false" customHeight="true" outlineLevel="0" collapsed="false">
      <c r="B1155" s="2888" t="str">
        <f aca="false">'Смета Внутр'!B1162</f>
        <v>Саморез 5,5 х 25</v>
      </c>
      <c r="C1155" s="2888" t="n">
        <f aca="false">'Смета Внутр'!C1162</f>
        <v>0</v>
      </c>
      <c r="D1155" s="2897" t="n">
        <f aca="false">'Смета Внутр'!D1162</f>
        <v>0</v>
      </c>
      <c r="E1155" s="1004" t="n">
        <f aca="false">'Смета Внутр'!E1162</f>
        <v>2.5</v>
      </c>
      <c r="F1155" s="1004" t="n">
        <f aca="false">'Смета Внутр'!F1162</f>
        <v>0</v>
      </c>
      <c r="G1155" s="2888" t="n">
        <f aca="false">IF(E1155&gt;F1155,E1155,F1155)</f>
        <v>2.5</v>
      </c>
      <c r="H1155" s="1004" t="n">
        <f aca="false">'Смета Внутр'!G1162</f>
        <v>0</v>
      </c>
      <c r="I1155" s="1004" t="n">
        <f aca="false">'Смета Внутр'!H1162</f>
        <v>0</v>
      </c>
      <c r="J1155" s="2897" t="n">
        <f aca="false">'Смета Внутр'!I1162</f>
        <v>0</v>
      </c>
    </row>
    <row r="1156" customFormat="false" ht="15" hidden="false" customHeight="true" outlineLevel="0" collapsed="false">
      <c r="B1156" s="2888" t="str">
        <f aca="false">'Смета Внутр'!B1163</f>
        <v>ГПС 100х50-1,2</v>
      </c>
      <c r="C1156" s="2888" t="str">
        <f aca="false">'Смета Внутр'!C1163</f>
        <v>м.п.</v>
      </c>
      <c r="D1156" s="2897" t="n">
        <f aca="false">'Смета Внутр'!D1163</f>
        <v>0</v>
      </c>
      <c r="E1156" s="1004" t="n">
        <f aca="false">'Смета Внутр'!E1163</f>
        <v>163</v>
      </c>
      <c r="F1156" s="1004" t="n">
        <f aca="false">'Смета Внутр'!F1163</f>
        <v>0</v>
      </c>
      <c r="G1156" s="2888" t="n">
        <f aca="false">IF(E1156&gt;F1156,E1156,F1156)</f>
        <v>163</v>
      </c>
      <c r="H1156" s="1004" t="n">
        <f aca="false">'Смета Внутр'!G1163</f>
        <v>0</v>
      </c>
      <c r="I1156" s="1004" t="n">
        <f aca="false">'Смета Внутр'!H1163</f>
        <v>0</v>
      </c>
      <c r="J1156" s="2897" t="n">
        <f aca="false">'Смета Внутр'!I1163</f>
        <v>0</v>
      </c>
    </row>
    <row r="1157" customFormat="false" ht="15" hidden="false" customHeight="true" outlineLevel="0" collapsed="false">
      <c r="B1157" s="2888" t="str">
        <f aca="false">'Смета Внутр'!B1164</f>
        <v>ГПС 100х50-1,5</v>
      </c>
      <c r="C1157" s="2888" t="str">
        <f aca="false">'Смета Внутр'!C1164</f>
        <v>м.п.</v>
      </c>
      <c r="D1157" s="2897" t="n">
        <f aca="false">'Смета Внутр'!D1164</f>
        <v>0</v>
      </c>
      <c r="E1157" s="1004" t="n">
        <f aca="false">'Смета Внутр'!E1164</f>
        <v>204</v>
      </c>
      <c r="F1157" s="1004" t="n">
        <f aca="false">'Смета Внутр'!F1164</f>
        <v>0</v>
      </c>
      <c r="G1157" s="2888" t="n">
        <f aca="false">IF(E1157&gt;F1157,E1157,F1157)</f>
        <v>204</v>
      </c>
      <c r="H1157" s="1004" t="n">
        <f aca="false">'Смета Внутр'!G1164</f>
        <v>0</v>
      </c>
      <c r="I1157" s="1004" t="n">
        <f aca="false">'Смета Внутр'!H1164</f>
        <v>0</v>
      </c>
      <c r="J1157" s="2897" t="n">
        <f aca="false">'Смета Внутр'!I1164</f>
        <v>0</v>
      </c>
    </row>
    <row r="1158" customFormat="false" ht="15" hidden="false" customHeight="true" outlineLevel="0" collapsed="false">
      <c r="B1158" s="2888" t="str">
        <f aca="false">'Смета Внутр'!B1165</f>
        <v>ГПС 120х50-1,5</v>
      </c>
      <c r="C1158" s="2888" t="str">
        <f aca="false">'Смета Внутр'!C1165</f>
        <v>м.п.</v>
      </c>
      <c r="D1158" s="2897" t="n">
        <f aca="false">'Смета Внутр'!D1165</f>
        <v>0</v>
      </c>
      <c r="E1158" s="1004" t="n">
        <f aca="false">'Смета Внутр'!E1165</f>
        <v>272</v>
      </c>
      <c r="F1158" s="1004" t="n">
        <f aca="false">'Смета Внутр'!F1165</f>
        <v>0</v>
      </c>
      <c r="G1158" s="2888" t="n">
        <f aca="false">IF(E1158&gt;F1158,E1158,F1158)</f>
        <v>272</v>
      </c>
      <c r="H1158" s="1004" t="n">
        <f aca="false">'Смета Внутр'!G1165</f>
        <v>0</v>
      </c>
      <c r="I1158" s="1004" t="n">
        <f aca="false">'Смета Внутр'!H1165</f>
        <v>0</v>
      </c>
      <c r="J1158" s="2897" t="n">
        <f aca="false">'Смета Внутр'!I1165</f>
        <v>0</v>
      </c>
    </row>
    <row r="1159" customFormat="false" ht="15" hidden="false" customHeight="true" outlineLevel="0" collapsed="false">
      <c r="B1159" s="2888" t="str">
        <f aca="false">'Смета Внутр'!B1166</f>
        <v>ГПС 120х50-2,0</v>
      </c>
      <c r="C1159" s="2888" t="str">
        <f aca="false">'Смета Внутр'!C1166</f>
        <v>м.п.</v>
      </c>
      <c r="D1159" s="2897" t="n">
        <f aca="false">'Смета Внутр'!D1166</f>
        <v>0</v>
      </c>
      <c r="E1159" s="1004" t="n">
        <f aca="false">'Смета Внутр'!E1166</f>
        <v>179</v>
      </c>
      <c r="F1159" s="1004" t="n">
        <f aca="false">'Смета Внутр'!F1166</f>
        <v>0</v>
      </c>
      <c r="G1159" s="2888" t="n">
        <f aca="false">IF(E1159&gt;F1159,E1159,F1159)</f>
        <v>179</v>
      </c>
      <c r="H1159" s="1004" t="n">
        <f aca="false">'Смета Внутр'!G1166</f>
        <v>0</v>
      </c>
      <c r="I1159" s="1004" t="n">
        <f aca="false">'Смета Внутр'!H1166</f>
        <v>0</v>
      </c>
      <c r="J1159" s="2897" t="n">
        <f aca="false">'Смета Внутр'!I1166</f>
        <v>0</v>
      </c>
    </row>
    <row r="1160" customFormat="false" ht="15" hidden="false" customHeight="true" outlineLevel="0" collapsed="false">
      <c r="B1160" s="2888" t="str">
        <f aca="false">'Смета Внутр'!B1167</f>
        <v>ГПС 150х50-1,2</v>
      </c>
      <c r="C1160" s="2888" t="str">
        <f aca="false">'Смета Внутр'!C1167</f>
        <v>м.п.</v>
      </c>
      <c r="D1160" s="2897" t="n">
        <f aca="false">'Смета Внутр'!D1167</f>
        <v>0</v>
      </c>
      <c r="E1160" s="1004" t="n">
        <f aca="false">'Смета Внутр'!E1167</f>
        <v>224</v>
      </c>
      <c r="F1160" s="1004" t="n">
        <f aca="false">'Смета Внутр'!F1167</f>
        <v>0</v>
      </c>
      <c r="G1160" s="2888" t="n">
        <f aca="false">IF(E1160&gt;F1160,E1160,F1160)</f>
        <v>224</v>
      </c>
      <c r="H1160" s="1004" t="n">
        <f aca="false">'Смета Внутр'!G1167</f>
        <v>0</v>
      </c>
      <c r="I1160" s="1004" t="n">
        <f aca="false">'Смета Внутр'!H1167</f>
        <v>0</v>
      </c>
      <c r="J1160" s="2897" t="n">
        <f aca="false">'Смета Внутр'!I1167</f>
        <v>0</v>
      </c>
    </row>
    <row r="1161" customFormat="false" ht="15" hidden="false" customHeight="true" outlineLevel="0" collapsed="false">
      <c r="B1161" s="2888" t="str">
        <f aca="false">'Смета Внутр'!B1168</f>
        <v>ГПС 150х50-1,5</v>
      </c>
      <c r="C1161" s="2888" t="str">
        <f aca="false">'Смета Внутр'!C1168</f>
        <v>м.п.</v>
      </c>
      <c r="D1161" s="2897" t="n">
        <f aca="false">'Смета Внутр'!D1168</f>
        <v>0</v>
      </c>
      <c r="E1161" s="1004" t="n">
        <f aca="false">'Смета Внутр'!E1168</f>
        <v>299</v>
      </c>
      <c r="F1161" s="1004" t="n">
        <f aca="false">'Смета Внутр'!F1168</f>
        <v>0</v>
      </c>
      <c r="G1161" s="2888" t="n">
        <f aca="false">IF(E1161&gt;F1161,E1161,F1161)</f>
        <v>299</v>
      </c>
      <c r="H1161" s="1004" t="n">
        <f aca="false">'Смета Внутр'!G1168</f>
        <v>0</v>
      </c>
      <c r="I1161" s="1004" t="n">
        <f aca="false">'Смета Внутр'!H1168</f>
        <v>0</v>
      </c>
      <c r="J1161" s="2897" t="n">
        <f aca="false">'Смета Внутр'!I1168</f>
        <v>0</v>
      </c>
    </row>
    <row r="1162" customFormat="false" ht="15" hidden="false" customHeight="true" outlineLevel="0" collapsed="false">
      <c r="B1162" s="2888" t="str">
        <f aca="false">'Смета Внутр'!B1169</f>
        <v>ГПС 150х50-2,0</v>
      </c>
      <c r="C1162" s="2888" t="str">
        <f aca="false">'Смета Внутр'!C1169</f>
        <v>м.п.</v>
      </c>
      <c r="D1162" s="2897" t="n">
        <f aca="false">'Смета Внутр'!D1169</f>
        <v>0</v>
      </c>
      <c r="E1162" s="1004" t="n">
        <f aca="false">'Смета Внутр'!E1169</f>
        <v>201</v>
      </c>
      <c r="F1162" s="1004" t="n">
        <f aca="false">'Смета Внутр'!F1169</f>
        <v>0</v>
      </c>
      <c r="G1162" s="2888" t="n">
        <f aca="false">IF(E1162&gt;F1162,E1162,F1162)</f>
        <v>201</v>
      </c>
      <c r="H1162" s="1004" t="n">
        <f aca="false">'Смета Внутр'!G1169</f>
        <v>0</v>
      </c>
      <c r="I1162" s="1004" t="n">
        <f aca="false">'Смета Внутр'!H1169</f>
        <v>0</v>
      </c>
      <c r="J1162" s="2897" t="n">
        <f aca="false">'Смета Внутр'!I1169</f>
        <v>0</v>
      </c>
    </row>
    <row r="1163" customFormat="false" ht="15" hidden="false" customHeight="true" outlineLevel="0" collapsed="false">
      <c r="B1163" s="2888" t="str">
        <f aca="false">'Смета Внутр'!B1170</f>
        <v>ГПС 170х50-1,2</v>
      </c>
      <c r="C1163" s="2888" t="str">
        <f aca="false">'Смета Внутр'!C1170</f>
        <v>м.п.</v>
      </c>
      <c r="D1163" s="2897" t="n">
        <f aca="false">'Смета Внутр'!D1170</f>
        <v>0</v>
      </c>
      <c r="E1163" s="1004" t="n">
        <f aca="false">'Смета Внутр'!E1170</f>
        <v>252</v>
      </c>
      <c r="F1163" s="1004" t="n">
        <f aca="false">'Смета Внутр'!F1170</f>
        <v>0</v>
      </c>
      <c r="G1163" s="2888" t="n">
        <f aca="false">IF(E1163&gt;F1163,E1163,F1163)</f>
        <v>252</v>
      </c>
      <c r="H1163" s="1004" t="n">
        <f aca="false">'Смета Внутр'!G1170</f>
        <v>0</v>
      </c>
      <c r="I1163" s="1004" t="n">
        <f aca="false">'Смета Внутр'!H1170</f>
        <v>0</v>
      </c>
      <c r="J1163" s="2897" t="n">
        <f aca="false">'Смета Внутр'!I1170</f>
        <v>0</v>
      </c>
    </row>
    <row r="1164" customFormat="false" ht="15" hidden="false" customHeight="true" outlineLevel="0" collapsed="false">
      <c r="B1164" s="2888" t="str">
        <f aca="false">'Смета Внутр'!B1171</f>
        <v>ГПС 170х50-1,5</v>
      </c>
      <c r="C1164" s="2888" t="str">
        <f aca="false">'Смета Внутр'!C1171</f>
        <v>м.п.</v>
      </c>
      <c r="D1164" s="2897" t="n">
        <f aca="false">'Смета Внутр'!D1171</f>
        <v>0</v>
      </c>
      <c r="E1164" s="1004" t="n">
        <f aca="false">'Смета Внутр'!E1171</f>
        <v>330</v>
      </c>
      <c r="F1164" s="1004" t="n">
        <f aca="false">'Смета Внутр'!F1171</f>
        <v>0</v>
      </c>
      <c r="G1164" s="2888" t="n">
        <f aca="false">IF(E1164&gt;F1164,E1164,F1164)</f>
        <v>330</v>
      </c>
      <c r="H1164" s="1004" t="n">
        <f aca="false">'Смета Внутр'!G1171</f>
        <v>0</v>
      </c>
      <c r="I1164" s="1004" t="n">
        <f aca="false">'Смета Внутр'!H1171</f>
        <v>0</v>
      </c>
      <c r="J1164" s="2897" t="n">
        <f aca="false">'Смета Внутр'!I1171</f>
        <v>0</v>
      </c>
    </row>
    <row r="1165" customFormat="false" ht="15" hidden="false" customHeight="true" outlineLevel="0" collapsed="false">
      <c r="B1165" s="2888" t="str">
        <f aca="false">'Смета Внутр'!B1172</f>
        <v>ГПС 170х50-2,0</v>
      </c>
      <c r="C1165" s="2888" t="str">
        <f aca="false">'Смета Внутр'!C1172</f>
        <v>м.п.</v>
      </c>
      <c r="D1165" s="2897" t="n">
        <f aca="false">'Смета Внутр'!D1172</f>
        <v>0</v>
      </c>
      <c r="E1165" s="1004" t="n">
        <f aca="false">'Смета Внутр'!E1172</f>
        <v>215</v>
      </c>
      <c r="F1165" s="1004" t="n">
        <f aca="false">'Смета Внутр'!F1172</f>
        <v>0</v>
      </c>
      <c r="G1165" s="2888" t="n">
        <f aca="false">IF(E1165&gt;F1165,E1165,F1165)</f>
        <v>215</v>
      </c>
      <c r="H1165" s="1004" t="n">
        <f aca="false">'Смета Внутр'!G1172</f>
        <v>0</v>
      </c>
      <c r="I1165" s="1004" t="n">
        <f aca="false">'Смета Внутр'!H1172</f>
        <v>0</v>
      </c>
      <c r="J1165" s="2897" t="n">
        <f aca="false">'Смета Внутр'!I1172</f>
        <v>0</v>
      </c>
    </row>
    <row r="1166" customFormat="false" ht="15" hidden="false" customHeight="true" outlineLevel="0" collapsed="false">
      <c r="B1166" s="2888" t="str">
        <f aca="false">'Смета Внутр'!B1173</f>
        <v>ГПС 200х50-1,2</v>
      </c>
      <c r="C1166" s="2888" t="str">
        <f aca="false">'Смета Внутр'!C1173</f>
        <v>м.п.</v>
      </c>
      <c r="D1166" s="2897" t="n">
        <f aca="false">'Смета Внутр'!D1173</f>
        <v>0</v>
      </c>
      <c r="E1166" s="1004" t="n">
        <f aca="false">'Смета Внутр'!E1173</f>
        <v>269</v>
      </c>
      <c r="F1166" s="1004" t="n">
        <f aca="false">'Смета Внутр'!F1173</f>
        <v>0</v>
      </c>
      <c r="G1166" s="2888" t="n">
        <f aca="false">IF(E1166&gt;F1166,E1166,F1166)</f>
        <v>269</v>
      </c>
      <c r="H1166" s="1004" t="n">
        <f aca="false">'Смета Внутр'!G1173</f>
        <v>0</v>
      </c>
      <c r="I1166" s="1004" t="n">
        <f aca="false">'Смета Внутр'!H1173</f>
        <v>0</v>
      </c>
      <c r="J1166" s="2897" t="n">
        <f aca="false">'Смета Внутр'!I1173</f>
        <v>0</v>
      </c>
    </row>
    <row r="1167" customFormat="false" ht="15" hidden="false" customHeight="true" outlineLevel="0" collapsed="false">
      <c r="B1167" s="2888" t="str">
        <f aca="false">'Смета Внутр'!B1174</f>
        <v>ГПС 200х50-1,5</v>
      </c>
      <c r="C1167" s="2888" t="str">
        <f aca="false">'Смета Внутр'!C1174</f>
        <v>м.п.</v>
      </c>
      <c r="D1167" s="2897" t="n">
        <f aca="false">'Смета Внутр'!D1174</f>
        <v>0</v>
      </c>
      <c r="E1167" s="1004" t="n">
        <f aca="false">'Смета Внутр'!E1174</f>
        <v>358</v>
      </c>
      <c r="F1167" s="1004" t="n">
        <f aca="false">'Смета Внутр'!F1174</f>
        <v>0</v>
      </c>
      <c r="G1167" s="2888" t="n">
        <f aca="false">IF(E1167&gt;F1167,E1167,F1167)</f>
        <v>358</v>
      </c>
      <c r="H1167" s="1004" t="n">
        <f aca="false">'Смета Внутр'!G1174</f>
        <v>0</v>
      </c>
      <c r="I1167" s="1004" t="n">
        <f aca="false">'Смета Внутр'!H1174</f>
        <v>0</v>
      </c>
      <c r="J1167" s="2897" t="n">
        <f aca="false">'Смета Внутр'!I1174</f>
        <v>0</v>
      </c>
    </row>
    <row r="1168" customFormat="false" ht="15" hidden="false" customHeight="true" outlineLevel="0" collapsed="false">
      <c r="B1168" s="2888" t="str">
        <f aca="false">'Смета Внутр'!B1175</f>
        <v>ГПС 200х50-2,0</v>
      </c>
      <c r="C1168" s="2888" t="str">
        <f aca="false">'Смета Внутр'!C1175</f>
        <v>м.п.</v>
      </c>
      <c r="D1168" s="2897" t="n">
        <f aca="false">'Смета Внутр'!D1175</f>
        <v>0</v>
      </c>
      <c r="E1168" s="1004" t="n">
        <f aca="false">'Смета Внутр'!E1175</f>
        <v>239</v>
      </c>
      <c r="F1168" s="1004" t="n">
        <f aca="false">'Смета Внутр'!F1175</f>
        <v>0</v>
      </c>
      <c r="G1168" s="2888" t="n">
        <f aca="false">IF(E1168&gt;F1168,E1168,F1168)</f>
        <v>239</v>
      </c>
      <c r="H1168" s="1004" t="n">
        <f aca="false">'Смета Внутр'!G1175</f>
        <v>0</v>
      </c>
      <c r="I1168" s="1004" t="n">
        <f aca="false">'Смета Внутр'!H1175</f>
        <v>0</v>
      </c>
      <c r="J1168" s="2897" t="n">
        <f aca="false">'Смета Внутр'!I1175</f>
        <v>0</v>
      </c>
    </row>
    <row r="1169" customFormat="false" ht="15" hidden="false" customHeight="true" outlineLevel="0" collapsed="false">
      <c r="B1169" s="2888" t="str">
        <f aca="false">'Смета Внутр'!B1176</f>
        <v>ГПС 250х50-1,2</v>
      </c>
      <c r="C1169" s="2888" t="str">
        <f aca="false">'Смета Внутр'!C1176</f>
        <v>м.п.</v>
      </c>
      <c r="D1169" s="2897" t="n">
        <f aca="false">'Смета Внутр'!D1176</f>
        <v>0</v>
      </c>
      <c r="E1169" s="1004" t="n">
        <f aca="false">'Смета Внутр'!E1176</f>
        <v>299</v>
      </c>
      <c r="F1169" s="1004" t="n">
        <f aca="false">'Смета Внутр'!F1176</f>
        <v>0</v>
      </c>
      <c r="G1169" s="2888" t="n">
        <f aca="false">IF(E1169&gt;F1169,E1169,F1169)</f>
        <v>299</v>
      </c>
      <c r="H1169" s="1004" t="n">
        <f aca="false">'Смета Внутр'!G1176</f>
        <v>0</v>
      </c>
      <c r="I1169" s="1004" t="n">
        <f aca="false">'Смета Внутр'!H1176</f>
        <v>0</v>
      </c>
      <c r="J1169" s="2897" t="n">
        <f aca="false">'Смета Внутр'!I1176</f>
        <v>0</v>
      </c>
    </row>
    <row r="1170" customFormat="false" ht="15" hidden="false" customHeight="true" outlineLevel="0" collapsed="false">
      <c r="B1170" s="2888" t="str">
        <f aca="false">'Смета Внутр'!B1177</f>
        <v>ГПС 250х50-1,5</v>
      </c>
      <c r="C1170" s="2888" t="str">
        <f aca="false">'Смета Внутр'!C1177</f>
        <v>м.п.</v>
      </c>
      <c r="D1170" s="2897" t="n">
        <f aca="false">'Смета Внутр'!D1177</f>
        <v>0</v>
      </c>
      <c r="E1170" s="1004" t="n">
        <f aca="false">'Смета Внутр'!E1177</f>
        <v>397</v>
      </c>
      <c r="F1170" s="1004" t="n">
        <f aca="false">'Смета Внутр'!F1177</f>
        <v>0</v>
      </c>
      <c r="G1170" s="2888" t="n">
        <f aca="false">IF(E1170&gt;F1170,E1170,F1170)</f>
        <v>397</v>
      </c>
      <c r="H1170" s="1004" t="n">
        <f aca="false">'Смета Внутр'!G1177</f>
        <v>0</v>
      </c>
      <c r="I1170" s="1004" t="n">
        <f aca="false">'Смета Внутр'!H1177</f>
        <v>0</v>
      </c>
      <c r="J1170" s="2897" t="n">
        <f aca="false">'Смета Внутр'!I1177</f>
        <v>0</v>
      </c>
    </row>
    <row r="1171" customFormat="false" ht="15" hidden="false" customHeight="true" outlineLevel="0" collapsed="false">
      <c r="B1171" s="2888" t="str">
        <f aca="false">'Смета Внутр'!B1178</f>
        <v>ГПС 250х50-2,0</v>
      </c>
      <c r="C1171" s="2888" t="str">
        <f aca="false">'Смета Внутр'!C1178</f>
        <v>м.п.</v>
      </c>
      <c r="D1171" s="2897" t="n">
        <f aca="false">'Смета Внутр'!D1178</f>
        <v>0</v>
      </c>
      <c r="E1171" s="1004" t="n">
        <f aca="false">'Смета Внутр'!E1178</f>
        <v>274</v>
      </c>
      <c r="F1171" s="1004" t="n">
        <f aca="false">'Смета Внутр'!F1178</f>
        <v>0</v>
      </c>
      <c r="G1171" s="2888" t="n">
        <f aca="false">IF(E1171&gt;F1171,E1171,F1171)</f>
        <v>274</v>
      </c>
      <c r="H1171" s="1004" t="n">
        <f aca="false">'Смета Внутр'!G1178</f>
        <v>0</v>
      </c>
      <c r="I1171" s="1004" t="n">
        <f aca="false">'Смета Внутр'!H1178</f>
        <v>0</v>
      </c>
      <c r="J1171" s="2897" t="n">
        <f aca="false">'Смета Внутр'!I1178</f>
        <v>0</v>
      </c>
    </row>
    <row r="1172" customFormat="false" ht="15" hidden="false" customHeight="true" outlineLevel="0" collapsed="false">
      <c r="B1172" s="2888" t="str">
        <f aca="false">'Смета Внутр'!B1179</f>
        <v>ГПС 280х50-1,2</v>
      </c>
      <c r="C1172" s="2888" t="str">
        <f aca="false">'Смета Внутр'!C1179</f>
        <v>м.п.</v>
      </c>
      <c r="D1172" s="2897" t="n">
        <f aca="false">'Смета Внутр'!D1179</f>
        <v>0</v>
      </c>
      <c r="E1172" s="1004" t="n">
        <f aca="false">'Смета Внутр'!E1179</f>
        <v>344</v>
      </c>
      <c r="F1172" s="1004" t="n">
        <f aca="false">'Смета Внутр'!F1179</f>
        <v>0</v>
      </c>
      <c r="G1172" s="2888" t="n">
        <f aca="false">IF(E1172&gt;F1172,E1172,F1172)</f>
        <v>344</v>
      </c>
      <c r="H1172" s="1004" t="n">
        <f aca="false">'Смета Внутр'!G1179</f>
        <v>0</v>
      </c>
      <c r="I1172" s="1004" t="n">
        <f aca="false">'Смета Внутр'!H1179</f>
        <v>0</v>
      </c>
      <c r="J1172" s="2897" t="n">
        <f aca="false">'Смета Внутр'!I1179</f>
        <v>0</v>
      </c>
    </row>
    <row r="1173" customFormat="false" ht="15" hidden="false" customHeight="true" outlineLevel="0" collapsed="false">
      <c r="B1173" s="2888" t="str">
        <f aca="false">'Смета Внутр'!B1180</f>
        <v>ГПС 280х50-1,5</v>
      </c>
      <c r="C1173" s="2888" t="str">
        <f aca="false">'Смета Внутр'!C1180</f>
        <v>м.п.</v>
      </c>
      <c r="D1173" s="2897" t="n">
        <f aca="false">'Смета Внутр'!D1180</f>
        <v>0</v>
      </c>
      <c r="E1173" s="1004" t="n">
        <f aca="false">'Смета Внутр'!E1180</f>
        <v>450</v>
      </c>
      <c r="F1173" s="1004" t="n">
        <f aca="false">'Смета Внутр'!F1180</f>
        <v>0</v>
      </c>
      <c r="G1173" s="2888" t="n">
        <f aca="false">IF(E1173&gt;F1173,E1173,F1173)</f>
        <v>450</v>
      </c>
      <c r="H1173" s="1004" t="n">
        <f aca="false">'Смета Внутр'!G1180</f>
        <v>0</v>
      </c>
      <c r="I1173" s="1004" t="n">
        <f aca="false">'Смета Внутр'!H1180</f>
        <v>0</v>
      </c>
      <c r="J1173" s="2897" t="n">
        <f aca="false">'Смета Внутр'!I1180</f>
        <v>0</v>
      </c>
    </row>
    <row r="1174" customFormat="false" ht="15" hidden="false" customHeight="true" outlineLevel="0" collapsed="false">
      <c r="B1174" s="2888" t="str">
        <f aca="false">'Смета Внутр'!B1181</f>
        <v>ГПС 280х50-2,0</v>
      </c>
      <c r="C1174" s="2888" t="str">
        <f aca="false">'Смета Внутр'!C1181</f>
        <v>м.п.</v>
      </c>
      <c r="D1174" s="2897" t="n">
        <f aca="false">'Смета Внутр'!D1181</f>
        <v>0</v>
      </c>
      <c r="E1174" s="1004" t="n">
        <f aca="false">'Смета Внутр'!E1181</f>
        <v>293</v>
      </c>
      <c r="F1174" s="1004" t="n">
        <f aca="false">'Смета Внутр'!F1181</f>
        <v>0</v>
      </c>
      <c r="G1174" s="2888" t="n">
        <f aca="false">IF(E1174&gt;F1174,E1174,F1174)</f>
        <v>293</v>
      </c>
      <c r="H1174" s="1004" t="n">
        <f aca="false">'Смета Внутр'!G1181</f>
        <v>0</v>
      </c>
      <c r="I1174" s="1004" t="n">
        <f aca="false">'Смета Внутр'!H1181</f>
        <v>0</v>
      </c>
      <c r="J1174" s="2897" t="n">
        <f aca="false">'Смета Внутр'!I1181</f>
        <v>0</v>
      </c>
    </row>
    <row r="1175" customFormat="false" ht="15" hidden="false" customHeight="true" outlineLevel="0" collapsed="false">
      <c r="B1175" s="2888" t="str">
        <f aca="false">'Смета Внутр'!B1182</f>
        <v>ГПН 102х35-1,2</v>
      </c>
      <c r="C1175" s="2888" t="str">
        <f aca="false">'Смета Внутр'!C1182</f>
        <v>м.п.</v>
      </c>
      <c r="D1175" s="2897" t="n">
        <f aca="false">'Смета Внутр'!D1182</f>
        <v>0</v>
      </c>
      <c r="E1175" s="1004" t="n">
        <f aca="false">'Смета Внутр'!E1182</f>
        <v>127</v>
      </c>
      <c r="F1175" s="1004" t="n">
        <f aca="false">'Смета Внутр'!F1182</f>
        <v>0</v>
      </c>
      <c r="G1175" s="2888" t="n">
        <f aca="false">IF(E1175&gt;F1175,E1175,F1175)</f>
        <v>127</v>
      </c>
      <c r="H1175" s="1004" t="n">
        <f aca="false">'Смета Внутр'!G1182</f>
        <v>0</v>
      </c>
      <c r="I1175" s="1004" t="n">
        <f aca="false">'Смета Внутр'!H1182</f>
        <v>0</v>
      </c>
      <c r="J1175" s="2897" t="n">
        <f aca="false">'Смета Внутр'!I1182</f>
        <v>0</v>
      </c>
    </row>
    <row r="1176" customFormat="false" ht="15" hidden="false" customHeight="true" outlineLevel="0" collapsed="false">
      <c r="B1176" s="2888" t="str">
        <f aca="false">'Смета Внутр'!B1183</f>
        <v>ГПН 102х35-1,5</v>
      </c>
      <c r="C1176" s="2888" t="str">
        <f aca="false">'Смета Внутр'!C1183</f>
        <v>м.п.</v>
      </c>
      <c r="D1176" s="2897" t="n">
        <f aca="false">'Смета Внутр'!D1183</f>
        <v>0</v>
      </c>
      <c r="E1176" s="1004" t="n">
        <f aca="false">'Смета Внутр'!E1183</f>
        <v>158</v>
      </c>
      <c r="F1176" s="1004" t="n">
        <f aca="false">'Смета Внутр'!F1183</f>
        <v>0</v>
      </c>
      <c r="G1176" s="2888" t="n">
        <f aca="false">IF(E1176&gt;F1176,E1176,F1176)</f>
        <v>158</v>
      </c>
      <c r="H1176" s="1004" t="n">
        <f aca="false">'Смета Внутр'!G1183</f>
        <v>0</v>
      </c>
      <c r="I1176" s="1004" t="n">
        <f aca="false">'Смета Внутр'!H1183</f>
        <v>0</v>
      </c>
      <c r="J1176" s="2897" t="n">
        <f aca="false">'Смета Внутр'!I1183</f>
        <v>0</v>
      </c>
    </row>
    <row r="1177" customFormat="false" ht="15" hidden="false" customHeight="true" outlineLevel="0" collapsed="false">
      <c r="B1177" s="2888" t="str">
        <f aca="false">'Смета Внутр'!B1184</f>
        <v>ГПН 102х35-2,0</v>
      </c>
      <c r="C1177" s="2888" t="str">
        <f aca="false">'Смета Внутр'!C1184</f>
        <v>м.п.</v>
      </c>
      <c r="D1177" s="2897" t="n">
        <f aca="false">'Смета Внутр'!D1184</f>
        <v>0</v>
      </c>
      <c r="E1177" s="1004" t="n">
        <f aca="false">'Смета Внутр'!E1184</f>
        <v>199</v>
      </c>
      <c r="F1177" s="1004" t="n">
        <f aca="false">'Смета Внутр'!F1184</f>
        <v>0</v>
      </c>
      <c r="G1177" s="2888" t="n">
        <f aca="false">IF(E1177&gt;F1177,E1177,F1177)</f>
        <v>199</v>
      </c>
      <c r="H1177" s="1004" t="n">
        <f aca="false">'Смета Внутр'!G1184</f>
        <v>0</v>
      </c>
      <c r="I1177" s="1004" t="n">
        <f aca="false">'Смета Внутр'!H1184</f>
        <v>0</v>
      </c>
      <c r="J1177" s="2897" t="n">
        <f aca="false">'Смета Внутр'!I1184</f>
        <v>0</v>
      </c>
    </row>
    <row r="1178" customFormat="false" ht="15" hidden="false" customHeight="true" outlineLevel="0" collapsed="false">
      <c r="B1178" s="2888" t="str">
        <f aca="false">'Смета Внутр'!B1185</f>
        <v>ГПН 122х35-1,2</v>
      </c>
      <c r="C1178" s="2888" t="str">
        <f aca="false">'Смета Внутр'!C1185</f>
        <v>м.п.</v>
      </c>
      <c r="D1178" s="2897" t="n">
        <f aca="false">'Смета Внутр'!D1185</f>
        <v>0</v>
      </c>
      <c r="E1178" s="1004" t="n">
        <f aca="false">'Смета Внутр'!E1185</f>
        <v>131</v>
      </c>
      <c r="F1178" s="1004" t="n">
        <f aca="false">'Смета Внутр'!F1185</f>
        <v>0</v>
      </c>
      <c r="G1178" s="2888" t="n">
        <f aca="false">IF(E1178&gt;F1178,E1178,F1178)</f>
        <v>131</v>
      </c>
      <c r="H1178" s="1004" t="n">
        <f aca="false">'Смета Внутр'!G1185</f>
        <v>0</v>
      </c>
      <c r="I1178" s="1004" t="n">
        <f aca="false">'Смета Внутр'!H1185</f>
        <v>0</v>
      </c>
      <c r="J1178" s="2897" t="n">
        <f aca="false">'Смета Внутр'!I1185</f>
        <v>0</v>
      </c>
    </row>
    <row r="1179" customFormat="false" ht="15" hidden="false" customHeight="true" outlineLevel="0" collapsed="false">
      <c r="B1179" s="2888" t="str">
        <f aca="false">'Смета Внутр'!B1186</f>
        <v>ГПН 122х35-1,5</v>
      </c>
      <c r="C1179" s="2888" t="str">
        <f aca="false">'Смета Внутр'!C1186</f>
        <v>м.п.</v>
      </c>
      <c r="D1179" s="2897" t="n">
        <f aca="false">'Смета Внутр'!D1186</f>
        <v>0</v>
      </c>
      <c r="E1179" s="1004" t="n">
        <f aca="false">'Смета Внутр'!E1186</f>
        <v>163</v>
      </c>
      <c r="F1179" s="1004" t="n">
        <f aca="false">'Смета Внутр'!F1186</f>
        <v>0</v>
      </c>
      <c r="G1179" s="2888" t="n">
        <f aca="false">IF(E1179&gt;F1179,E1179,F1179)</f>
        <v>163</v>
      </c>
      <c r="H1179" s="1004" t="n">
        <f aca="false">'Смета Внутр'!G1186</f>
        <v>0</v>
      </c>
      <c r="I1179" s="1004" t="n">
        <f aca="false">'Смета Внутр'!H1186</f>
        <v>0</v>
      </c>
      <c r="J1179" s="2897" t="n">
        <f aca="false">'Смета Внутр'!I1186</f>
        <v>0</v>
      </c>
    </row>
    <row r="1180" customFormat="false" ht="15" hidden="false" customHeight="true" outlineLevel="0" collapsed="false">
      <c r="B1180" s="2888" t="str">
        <f aca="false">'Смета Внутр'!B1187</f>
        <v>ГПН 122х35-2,0</v>
      </c>
      <c r="C1180" s="2888" t="str">
        <f aca="false">'Смета Внутр'!C1187</f>
        <v>м.п.</v>
      </c>
      <c r="D1180" s="2897" t="n">
        <f aca="false">'Смета Внутр'!D1187</f>
        <v>0</v>
      </c>
      <c r="E1180" s="1004" t="n">
        <f aca="false">'Смета Внутр'!E1187</f>
        <v>216</v>
      </c>
      <c r="F1180" s="1004" t="n">
        <f aca="false">'Смета Внутр'!F1187</f>
        <v>0</v>
      </c>
      <c r="G1180" s="2888" t="n">
        <f aca="false">IF(E1180&gt;F1180,E1180,F1180)</f>
        <v>216</v>
      </c>
      <c r="H1180" s="1004" t="n">
        <f aca="false">'Смета Внутр'!G1187</f>
        <v>0</v>
      </c>
      <c r="I1180" s="1004" t="n">
        <f aca="false">'Смета Внутр'!H1187</f>
        <v>0</v>
      </c>
      <c r="J1180" s="2897" t="n">
        <f aca="false">'Смета Внутр'!I1187</f>
        <v>0</v>
      </c>
    </row>
    <row r="1181" customFormat="false" ht="15" hidden="false" customHeight="true" outlineLevel="0" collapsed="false">
      <c r="B1181" s="2888" t="str">
        <f aca="false">'Смета Внутр'!B1188</f>
        <v>ГПН 152х35-1,2</v>
      </c>
      <c r="C1181" s="2888" t="str">
        <f aca="false">'Смета Внутр'!C1188</f>
        <v>м.п.</v>
      </c>
      <c r="D1181" s="2897" t="n">
        <f aca="false">'Смета Внутр'!D1188</f>
        <v>0</v>
      </c>
      <c r="E1181" s="1004" t="n">
        <f aca="false">'Смета Внутр'!E1188</f>
        <v>163</v>
      </c>
      <c r="F1181" s="1004" t="n">
        <f aca="false">'Смета Внутр'!F1188</f>
        <v>0</v>
      </c>
      <c r="G1181" s="2888" t="n">
        <f aca="false">IF(E1181&gt;F1181,E1181,F1181)</f>
        <v>163</v>
      </c>
      <c r="H1181" s="1004" t="n">
        <f aca="false">'Смета Внутр'!G1188</f>
        <v>0</v>
      </c>
      <c r="I1181" s="1004" t="n">
        <f aca="false">'Смета Внутр'!H1188</f>
        <v>0</v>
      </c>
      <c r="J1181" s="2897" t="n">
        <f aca="false">'Смета Внутр'!I1188</f>
        <v>0</v>
      </c>
    </row>
    <row r="1182" customFormat="false" ht="15" hidden="false" customHeight="true" outlineLevel="0" collapsed="false">
      <c r="B1182" s="2888" t="str">
        <f aca="false">'Смета Внутр'!B1189</f>
        <v>ГПН 152х35-1,5</v>
      </c>
      <c r="C1182" s="2888" t="str">
        <f aca="false">'Смета Внутр'!C1189</f>
        <v>м.п.</v>
      </c>
      <c r="D1182" s="2897" t="n">
        <f aca="false">'Смета Внутр'!D1189</f>
        <v>0</v>
      </c>
      <c r="E1182" s="1004" t="n">
        <f aca="false">'Смета Внутр'!E1189</f>
        <v>203</v>
      </c>
      <c r="F1182" s="1004" t="n">
        <f aca="false">'Смета Внутр'!F1189</f>
        <v>0</v>
      </c>
      <c r="G1182" s="2888" t="n">
        <f aca="false">IF(E1182&gt;F1182,E1182,F1182)</f>
        <v>203</v>
      </c>
      <c r="H1182" s="1004" t="n">
        <f aca="false">'Смета Внутр'!G1189</f>
        <v>0</v>
      </c>
      <c r="I1182" s="1004" t="n">
        <f aca="false">'Смета Внутр'!H1189</f>
        <v>0</v>
      </c>
      <c r="J1182" s="2897" t="n">
        <f aca="false">'Смета Внутр'!I1189</f>
        <v>0</v>
      </c>
    </row>
    <row r="1183" customFormat="false" ht="15" hidden="false" customHeight="true" outlineLevel="0" collapsed="false">
      <c r="B1183" s="2888" t="str">
        <f aca="false">'Смета Внутр'!B1190</f>
        <v>ГПН 152х35-2,0</v>
      </c>
      <c r="C1183" s="2888" t="str">
        <f aca="false">'Смета Внутр'!C1190</f>
        <v>м.п.</v>
      </c>
      <c r="D1183" s="2897" t="n">
        <f aca="false">'Смета Внутр'!D1190</f>
        <v>0</v>
      </c>
      <c r="E1183" s="1004" t="n">
        <f aca="false">'Смета Внутр'!E1190</f>
        <v>259</v>
      </c>
      <c r="F1183" s="1004" t="n">
        <f aca="false">'Смета Внутр'!F1190</f>
        <v>0</v>
      </c>
      <c r="G1183" s="2888" t="n">
        <f aca="false">IF(E1183&gt;F1183,E1183,F1183)</f>
        <v>259</v>
      </c>
      <c r="H1183" s="1004" t="n">
        <f aca="false">'Смета Внутр'!G1190</f>
        <v>0</v>
      </c>
      <c r="I1183" s="1004" t="n">
        <f aca="false">'Смета Внутр'!H1190</f>
        <v>0</v>
      </c>
      <c r="J1183" s="2897" t="n">
        <f aca="false">'Смета Внутр'!I1190</f>
        <v>0</v>
      </c>
    </row>
    <row r="1184" customFormat="false" ht="15" hidden="false" customHeight="true" outlineLevel="0" collapsed="false">
      <c r="B1184" s="2888" t="str">
        <f aca="false">'Смета Внутр'!B1191</f>
        <v>ГПН 172х35-1,2</v>
      </c>
      <c r="C1184" s="2888" t="str">
        <f aca="false">'Смета Внутр'!C1191</f>
        <v>м.п.</v>
      </c>
      <c r="D1184" s="2897" t="n">
        <f aca="false">'Смета Внутр'!D1191</f>
        <v>0</v>
      </c>
      <c r="E1184" s="1004" t="n">
        <f aca="false">'Смета Внутр'!E1191</f>
        <v>166</v>
      </c>
      <c r="F1184" s="1004" t="n">
        <f aca="false">'Смета Внутр'!F1191</f>
        <v>0</v>
      </c>
      <c r="G1184" s="2888" t="n">
        <f aca="false">IF(E1184&gt;F1184,E1184,F1184)</f>
        <v>166</v>
      </c>
      <c r="H1184" s="1004" t="n">
        <f aca="false">'Смета Внутр'!G1191</f>
        <v>0</v>
      </c>
      <c r="I1184" s="1004" t="n">
        <f aca="false">'Смета Внутр'!H1191</f>
        <v>0</v>
      </c>
      <c r="J1184" s="2897" t="n">
        <f aca="false">'Смета Внутр'!I1191</f>
        <v>0</v>
      </c>
    </row>
    <row r="1185" customFormat="false" ht="15" hidden="false" customHeight="true" outlineLevel="0" collapsed="false">
      <c r="B1185" s="2888" t="str">
        <f aca="false">'Смета Внутр'!B1192</f>
        <v>ГПН 172х35-1,5</v>
      </c>
      <c r="C1185" s="2888" t="str">
        <f aca="false">'Смета Внутр'!C1192</f>
        <v>м.п.</v>
      </c>
      <c r="D1185" s="2897" t="n">
        <f aca="false">'Смета Внутр'!D1192</f>
        <v>0</v>
      </c>
      <c r="E1185" s="1004" t="n">
        <f aca="false">'Смета Внутр'!E1192</f>
        <v>207</v>
      </c>
      <c r="F1185" s="1004" t="n">
        <f aca="false">'Смета Внутр'!F1192</f>
        <v>0</v>
      </c>
      <c r="G1185" s="2888" t="n">
        <f aca="false">IF(E1185&gt;F1185,E1185,F1185)</f>
        <v>207</v>
      </c>
      <c r="H1185" s="1004" t="n">
        <f aca="false">'Смета Внутр'!G1192</f>
        <v>0</v>
      </c>
      <c r="I1185" s="1004" t="n">
        <f aca="false">'Смета Внутр'!H1192</f>
        <v>0</v>
      </c>
      <c r="J1185" s="2897" t="n">
        <f aca="false">'Смета Внутр'!I1192</f>
        <v>0</v>
      </c>
    </row>
    <row r="1186" customFormat="false" ht="15" hidden="false" customHeight="true" outlineLevel="0" collapsed="false">
      <c r="B1186" s="2888" t="str">
        <f aca="false">'Смета Внутр'!B1193</f>
        <v>ГПН 172х35-2,0</v>
      </c>
      <c r="C1186" s="2888" t="str">
        <f aca="false">'Смета Внутр'!C1193</f>
        <v>м.п.</v>
      </c>
      <c r="D1186" s="2897" t="n">
        <f aca="false">'Смета Внутр'!D1193</f>
        <v>0</v>
      </c>
      <c r="E1186" s="1004" t="n">
        <f aca="false">'Смета Внутр'!E1193</f>
        <v>274</v>
      </c>
      <c r="F1186" s="1004" t="n">
        <f aca="false">'Смета Внутр'!F1193</f>
        <v>0</v>
      </c>
      <c r="G1186" s="2888" t="n">
        <f aca="false">IF(E1186&gt;F1186,E1186,F1186)</f>
        <v>274</v>
      </c>
      <c r="H1186" s="1004" t="n">
        <f aca="false">'Смета Внутр'!G1193</f>
        <v>0</v>
      </c>
      <c r="I1186" s="1004" t="n">
        <f aca="false">'Смета Внутр'!H1193</f>
        <v>0</v>
      </c>
      <c r="J1186" s="2897" t="n">
        <f aca="false">'Смета Внутр'!I1193</f>
        <v>0</v>
      </c>
    </row>
    <row r="1187" customFormat="false" ht="15" hidden="false" customHeight="true" outlineLevel="0" collapsed="false">
      <c r="B1187" s="2888" t="str">
        <f aca="false">'Смета Внутр'!B1194</f>
        <v>ГПН 202х35-1,2</v>
      </c>
      <c r="C1187" s="2888" t="str">
        <f aca="false">'Смета Внутр'!C1194</f>
        <v>м.п.</v>
      </c>
      <c r="D1187" s="2897" t="n">
        <f aca="false">'Смета Внутр'!D1194</f>
        <v>0</v>
      </c>
      <c r="E1187" s="1004" t="n">
        <f aca="false">'Смета Внутр'!E1194</f>
        <v>201</v>
      </c>
      <c r="F1187" s="1004" t="n">
        <f aca="false">'Смета Внутр'!F1194</f>
        <v>0</v>
      </c>
      <c r="G1187" s="2888" t="n">
        <f aca="false">IF(E1187&gt;F1187,E1187,F1187)</f>
        <v>201</v>
      </c>
      <c r="H1187" s="1004" t="n">
        <f aca="false">'Смета Внутр'!G1194</f>
        <v>0</v>
      </c>
      <c r="I1187" s="1004" t="n">
        <f aca="false">'Смета Внутр'!H1194</f>
        <v>0</v>
      </c>
      <c r="J1187" s="2897" t="n">
        <f aca="false">'Смета Внутр'!I1194</f>
        <v>0</v>
      </c>
    </row>
    <row r="1188" customFormat="false" ht="15" hidden="false" customHeight="true" outlineLevel="0" collapsed="false">
      <c r="B1188" s="2888" t="str">
        <f aca="false">'Смета Внутр'!B1195</f>
        <v>ГПН 202х35-1,5</v>
      </c>
      <c r="C1188" s="2888" t="str">
        <f aca="false">'Смета Внутр'!C1195</f>
        <v>м.п.</v>
      </c>
      <c r="D1188" s="2897" t="n">
        <f aca="false">'Смета Внутр'!D1195</f>
        <v>0</v>
      </c>
      <c r="E1188" s="1004" t="n">
        <f aca="false">'Смета Внутр'!E1195</f>
        <v>252</v>
      </c>
      <c r="F1188" s="1004" t="n">
        <f aca="false">'Смета Внутр'!F1195</f>
        <v>0</v>
      </c>
      <c r="G1188" s="2888" t="n">
        <f aca="false">IF(E1188&gt;F1188,E1188,F1188)</f>
        <v>252</v>
      </c>
      <c r="H1188" s="1004" t="n">
        <f aca="false">'Смета Внутр'!G1195</f>
        <v>0</v>
      </c>
      <c r="I1188" s="1004" t="n">
        <f aca="false">'Смета Внутр'!H1195</f>
        <v>0</v>
      </c>
      <c r="J1188" s="2897" t="n">
        <f aca="false">'Смета Внутр'!I1195</f>
        <v>0</v>
      </c>
    </row>
    <row r="1189" customFormat="false" ht="15" hidden="false" customHeight="true" outlineLevel="0" collapsed="false">
      <c r="B1189" s="2888" t="str">
        <f aca="false">'Смета Внутр'!B1196</f>
        <v>ГПН 202х35-2,0</v>
      </c>
      <c r="C1189" s="2888" t="str">
        <f aca="false">'Смета Внутр'!C1196</f>
        <v>м.п.</v>
      </c>
      <c r="D1189" s="2897" t="n">
        <f aca="false">'Смета Внутр'!D1196</f>
        <v>0</v>
      </c>
      <c r="E1189" s="1004" t="n">
        <f aca="false">'Смета Внутр'!E1196</f>
        <v>318</v>
      </c>
      <c r="F1189" s="1004" t="n">
        <f aca="false">'Смета Внутр'!F1196</f>
        <v>0</v>
      </c>
      <c r="G1189" s="2888" t="n">
        <f aca="false">IF(E1189&gt;F1189,E1189,F1189)</f>
        <v>318</v>
      </c>
      <c r="H1189" s="1004" t="n">
        <f aca="false">'Смета Внутр'!G1196</f>
        <v>0</v>
      </c>
      <c r="I1189" s="1004" t="n">
        <f aca="false">'Смета Внутр'!H1196</f>
        <v>0</v>
      </c>
      <c r="J1189" s="2897" t="n">
        <f aca="false">'Смета Внутр'!I1196</f>
        <v>0</v>
      </c>
    </row>
    <row r="1190" customFormat="false" ht="15" hidden="false" customHeight="true" outlineLevel="0" collapsed="false">
      <c r="B1190" s="2888" t="str">
        <f aca="false">'Смета Внутр'!B1197</f>
        <v>ГПН 252х35-1,2</v>
      </c>
      <c r="C1190" s="2888" t="str">
        <f aca="false">'Смета Внутр'!C1197</f>
        <v>м.п.</v>
      </c>
      <c r="D1190" s="2897" t="n">
        <f aca="false">'Смета Внутр'!D1197</f>
        <v>0</v>
      </c>
      <c r="E1190" s="1004" t="n">
        <f aca="false">'Смета Внутр'!E1197</f>
        <v>226</v>
      </c>
      <c r="F1190" s="1004" t="n">
        <f aca="false">'Смета Внутр'!F1197</f>
        <v>0</v>
      </c>
      <c r="G1190" s="2888" t="n">
        <f aca="false">IF(E1190&gt;F1190,E1190,F1190)</f>
        <v>226</v>
      </c>
      <c r="H1190" s="1004" t="n">
        <f aca="false">'Смета Внутр'!G1197</f>
        <v>0</v>
      </c>
      <c r="I1190" s="1004" t="n">
        <f aca="false">'Смета Внутр'!H1197</f>
        <v>0</v>
      </c>
      <c r="J1190" s="2897" t="n">
        <f aca="false">'Смета Внутр'!I1197</f>
        <v>0</v>
      </c>
    </row>
    <row r="1191" customFormat="false" ht="15" hidden="false" customHeight="true" outlineLevel="0" collapsed="false">
      <c r="B1191" s="2888" t="str">
        <f aca="false">'Смета Внутр'!B1198</f>
        <v>ГПН 252х35-1,5</v>
      </c>
      <c r="C1191" s="2888" t="str">
        <f aca="false">'Смета Внутр'!C1198</f>
        <v>м.п.</v>
      </c>
      <c r="D1191" s="2897" t="n">
        <f aca="false">'Смета Внутр'!D1198</f>
        <v>0</v>
      </c>
      <c r="E1191" s="1004" t="n">
        <f aca="false">'Смета Внутр'!E1198</f>
        <v>283</v>
      </c>
      <c r="F1191" s="1004" t="n">
        <f aca="false">'Смета Внутр'!F1198</f>
        <v>0</v>
      </c>
      <c r="G1191" s="2888" t="n">
        <f aca="false">IF(E1191&gt;F1191,E1191,F1191)</f>
        <v>283</v>
      </c>
      <c r="H1191" s="1004" t="n">
        <f aca="false">'Смета Внутр'!G1198</f>
        <v>0</v>
      </c>
      <c r="I1191" s="1004" t="n">
        <f aca="false">'Смета Внутр'!H1198</f>
        <v>0</v>
      </c>
      <c r="J1191" s="2897" t="n">
        <f aca="false">'Смета Внутр'!I1198</f>
        <v>0</v>
      </c>
    </row>
    <row r="1192" customFormat="false" ht="15" hidden="false" customHeight="true" outlineLevel="0" collapsed="false">
      <c r="B1192" s="2888" t="str">
        <f aca="false">'Смета Внутр'!B1199</f>
        <v>ГПН 252х35-2,0</v>
      </c>
      <c r="C1192" s="2888" t="str">
        <f aca="false">'Смета Внутр'!C1199</f>
        <v>м.п.</v>
      </c>
      <c r="D1192" s="2897" t="n">
        <f aca="false">'Смета Внутр'!D1199</f>
        <v>0</v>
      </c>
      <c r="E1192" s="1004" t="n">
        <f aca="false">'Смета Внутр'!E1199</f>
        <v>378</v>
      </c>
      <c r="F1192" s="1004" t="n">
        <f aca="false">'Смета Внутр'!F1199</f>
        <v>0</v>
      </c>
      <c r="G1192" s="2888" t="n">
        <f aca="false">IF(E1192&gt;F1192,E1192,F1192)</f>
        <v>378</v>
      </c>
      <c r="H1192" s="1004" t="n">
        <f aca="false">'Смета Внутр'!G1199</f>
        <v>0</v>
      </c>
      <c r="I1192" s="1004" t="n">
        <f aca="false">'Смета Внутр'!H1199</f>
        <v>0</v>
      </c>
      <c r="J1192" s="2897" t="n">
        <f aca="false">'Смета Внутр'!I1199</f>
        <v>0</v>
      </c>
    </row>
    <row r="1193" customFormat="false" ht="15" hidden="false" customHeight="true" outlineLevel="0" collapsed="false">
      <c r="B1193" s="2888" t="str">
        <f aca="false">'Смета Внутр'!B1200</f>
        <v>ГПН 282х35-1,2</v>
      </c>
      <c r="C1193" s="2888" t="str">
        <f aca="false">'Смета Внутр'!C1200</f>
        <v>м.п.</v>
      </c>
      <c r="D1193" s="2897" t="n">
        <f aca="false">'Смета Внутр'!D1200</f>
        <v>0</v>
      </c>
      <c r="E1193" s="1004" t="n">
        <f aca="false">'Смета Внутр'!E1200</f>
        <v>275</v>
      </c>
      <c r="F1193" s="1004" t="n">
        <f aca="false">'Смета Внутр'!F1200</f>
        <v>0</v>
      </c>
      <c r="G1193" s="2888" t="n">
        <f aca="false">IF(E1193&gt;F1193,E1193,F1193)</f>
        <v>275</v>
      </c>
      <c r="H1193" s="1004" t="n">
        <f aca="false">'Смета Внутр'!G1200</f>
        <v>0</v>
      </c>
      <c r="I1193" s="1004" t="n">
        <f aca="false">'Смета Внутр'!H1200</f>
        <v>0</v>
      </c>
      <c r="J1193" s="2897" t="n">
        <f aca="false">'Смета Внутр'!I1200</f>
        <v>0</v>
      </c>
    </row>
    <row r="1194" customFormat="false" ht="15" hidden="false" customHeight="true" outlineLevel="0" collapsed="false">
      <c r="B1194" s="2888" t="str">
        <f aca="false">'Смета Внутр'!B1201</f>
        <v>Саморез 5,5 х 25</v>
      </c>
      <c r="C1194" s="2888" t="n">
        <f aca="false">'Смета Внутр'!C1201</f>
        <v>0</v>
      </c>
      <c r="D1194" s="2897" t="n">
        <f aca="false">'Смета Внутр'!D1201</f>
        <v>0</v>
      </c>
      <c r="E1194" s="1004" t="n">
        <f aca="false">'Смета Внутр'!E1201</f>
        <v>2.5</v>
      </c>
      <c r="F1194" s="1004" t="n">
        <f aca="false">'Смета Внутр'!F1201</f>
        <v>0</v>
      </c>
      <c r="G1194" s="2888" t="n">
        <f aca="false">IF(E1194&gt;F1194,E1194,F1194)</f>
        <v>2.5</v>
      </c>
      <c r="H1194" s="1004" t="n">
        <f aca="false">'Смета Внутр'!G1201</f>
        <v>0</v>
      </c>
      <c r="I1194" s="1004" t="n">
        <f aca="false">'Смета Внутр'!H1201</f>
        <v>0</v>
      </c>
      <c r="J1194" s="2897" t="n">
        <f aca="false">'Смета Внутр'!I1201</f>
        <v>0</v>
      </c>
    </row>
    <row r="1195" customFormat="false" ht="14.5" hidden="false" customHeight="false" outlineLevel="0" collapsed="false">
      <c r="B1195" s="2896" t="str">
        <f aca="false">'Смета Внутр'!B1202</f>
        <v>Итого материалы</v>
      </c>
      <c r="C1195" s="2896"/>
      <c r="D1195" s="2896"/>
      <c r="E1195" s="2896"/>
      <c r="F1195" s="2896"/>
      <c r="G1195" s="2896"/>
      <c r="H1195" s="1004" t="n">
        <f aca="false">'Смета Внутр'!G1202</f>
        <v>0</v>
      </c>
      <c r="I1195" s="1004" t="n">
        <f aca="false">'Смета Внутр'!H1202</f>
        <v>0</v>
      </c>
      <c r="J1195" s="2897" t="n">
        <f aca="false">SUM(J898:J1077)*J896</f>
        <v>0</v>
      </c>
    </row>
    <row r="1196" customFormat="false" ht="15" hidden="false" customHeight="true" outlineLevel="0" collapsed="false">
      <c r="B1196" s="2881" t="str">
        <f aca="false">'Смета Внутр'!B1203</f>
        <v>Работы</v>
      </c>
      <c r="D1196" s="919"/>
      <c r="H1196" s="0" t="n">
        <f aca="false">'Смета Внутр'!G1203</f>
        <v>0</v>
      </c>
      <c r="I1196" s="0" t="n">
        <f aca="false">'Смета Внутр'!H1203</f>
        <v>0</v>
      </c>
      <c r="J1196" s="2926" t="n">
        <f aca="false">J896</f>
        <v>0</v>
      </c>
    </row>
    <row r="1197" customFormat="false" ht="15" hidden="false" customHeight="true" outlineLevel="0" collapsed="false">
      <c r="B1197" s="1004" t="str">
        <f aca="false">'Смета Внутр'!B1204</f>
        <v>Монтаж плит ЖБИ</v>
      </c>
      <c r="C1197" s="1004" t="str">
        <f aca="false">'Смета Внутр'!C1204</f>
        <v>м2</v>
      </c>
      <c r="D1197" s="1018" t="n">
        <f aca="false">'Смета Внутр'!D1204</f>
        <v>0</v>
      </c>
      <c r="E1197" s="1004" t="n">
        <f aca="false">'Смета Внутр'!E1204</f>
        <v>200</v>
      </c>
      <c r="F1197" s="1004" t="n">
        <f aca="false">'Смета Внутр'!F1204</f>
        <v>0</v>
      </c>
      <c r="G1197" s="1004" t="n">
        <f aca="false">IF(E1197&gt;F1197,E1197,F1197)</f>
        <v>200</v>
      </c>
      <c r="H1197" s="1004" t="n">
        <f aca="false">'Смета Внутр'!G1204</f>
        <v>0</v>
      </c>
      <c r="I1197" s="1004" t="n">
        <f aca="false">'Смета Внутр'!H1204</f>
        <v>0</v>
      </c>
      <c r="J1197" s="1018" t="n">
        <f aca="false">'Смета Внутр'!I1204</f>
        <v>0</v>
      </c>
    </row>
    <row r="1198" customFormat="false" ht="15" hidden="false" customHeight="true" outlineLevel="0" collapsed="false">
      <c r="B1198" s="1004" t="str">
        <f aca="false">'Смета Внутр'!B1205</f>
        <v>Монтаж опалубки</v>
      </c>
      <c r="C1198" s="1004" t="str">
        <f aca="false">'Смета Внутр'!C1205</f>
        <v>м2</v>
      </c>
      <c r="D1198" s="1018" t="n">
        <f aca="false">'Смета Внутр'!D1205</f>
        <v>0</v>
      </c>
      <c r="E1198" s="1004" t="n">
        <f aca="false">'Смета Внутр'!E1205</f>
        <v>200</v>
      </c>
      <c r="F1198" s="1004" t="n">
        <f aca="false">'Смета Внутр'!F1205</f>
        <v>0</v>
      </c>
      <c r="G1198" s="1004" t="n">
        <f aca="false">IF(E1198&gt;F1198,E1198,F1198)</f>
        <v>200</v>
      </c>
      <c r="H1198" s="1004" t="n">
        <f aca="false">'Смета Внутр'!G1205</f>
        <v>0</v>
      </c>
      <c r="I1198" s="1004" t="n">
        <f aca="false">'Смета Внутр'!H1205</f>
        <v>0</v>
      </c>
      <c r="J1198" s="1018" t="n">
        <f aca="false">'Смета Внутр'!I1205</f>
        <v>0</v>
      </c>
    </row>
    <row r="1199" customFormat="false" ht="15" hidden="false" customHeight="true" outlineLevel="0" collapsed="false">
      <c r="B1199" s="1004" t="str">
        <f aca="false">'Смета Внутр'!B1206</f>
        <v>Укладка пленки гидроизоляционной</v>
      </c>
      <c r="C1199" s="1004" t="str">
        <f aca="false">'Смета Внутр'!C1206</f>
        <v>м2</v>
      </c>
      <c r="D1199" s="1018" t="n">
        <f aca="false">'Смета Внутр'!D1206</f>
        <v>0</v>
      </c>
      <c r="E1199" s="1004" t="n">
        <f aca="false">'Смета Внутр'!E1206</f>
        <v>40</v>
      </c>
      <c r="F1199" s="1004" t="n">
        <f aca="false">'Смета Внутр'!F1206</f>
        <v>0</v>
      </c>
      <c r="G1199" s="1004" t="n">
        <f aca="false">IF(E1199&gt;F1199,E1199,F1199)</f>
        <v>40</v>
      </c>
      <c r="H1199" s="1004" t="n">
        <f aca="false">'Смета Внутр'!G1206</f>
        <v>0</v>
      </c>
      <c r="I1199" s="1004" t="n">
        <f aca="false">'Смета Внутр'!H1206</f>
        <v>0</v>
      </c>
      <c r="J1199" s="1018" t="n">
        <f aca="false">'Смета Внутр'!I1206</f>
        <v>0</v>
      </c>
    </row>
    <row r="1200" customFormat="false" ht="15" hidden="false" customHeight="true" outlineLevel="0" collapsed="false">
      <c r="B1200" s="1004" t="str">
        <f aca="false">'Смета Внутр'!B1207</f>
        <v>Армирование перекрытия/плиты</v>
      </c>
      <c r="C1200" s="1004" t="str">
        <f aca="false">'Смета Внутр'!C1207</f>
        <v>м2</v>
      </c>
      <c r="D1200" s="1018" t="n">
        <f aca="false">'Смета Внутр'!D1207</f>
        <v>0</v>
      </c>
      <c r="E1200" s="1004" t="n">
        <f aca="false">'Смета Внутр'!E1207</f>
        <v>300</v>
      </c>
      <c r="F1200" s="1004" t="n">
        <f aca="false">'Смета Внутр'!F1207</f>
        <v>0</v>
      </c>
      <c r="G1200" s="1004" t="n">
        <f aca="false">IF(E1200&gt;F1200,E1200,F1200)</f>
        <v>300</v>
      </c>
      <c r="H1200" s="1004" t="n">
        <f aca="false">'Смета Внутр'!G1207</f>
        <v>0</v>
      </c>
      <c r="I1200" s="1004" t="n">
        <f aca="false">'Смета Внутр'!H1207</f>
        <v>0</v>
      </c>
      <c r="J1200" s="1018" t="n">
        <f aca="false">'Смета Внутр'!I1207</f>
        <v>0</v>
      </c>
    </row>
    <row r="1201" customFormat="false" ht="15" hidden="false" customHeight="true" outlineLevel="0" collapsed="false">
      <c r="B1201" s="1004" t="str">
        <f aca="false">'Смета Внутр'!B1208</f>
        <v>Заливка бетоном перекрытия/плиты</v>
      </c>
      <c r="C1201" s="1004" t="str">
        <f aca="false">'Смета Внутр'!C1208</f>
        <v>м2</v>
      </c>
      <c r="D1201" s="1018" t="n">
        <f aca="false">'Смета Внутр'!D1208</f>
        <v>0</v>
      </c>
      <c r="E1201" s="1004" t="n">
        <f aca="false">'Смета Внутр'!E1208</f>
        <v>350</v>
      </c>
      <c r="F1201" s="1004" t="n">
        <f aca="false">'Смета Внутр'!F1208</f>
        <v>0</v>
      </c>
      <c r="G1201" s="1004" t="n">
        <f aca="false">IF(E1201&gt;F1201,E1201,F1201)</f>
        <v>350</v>
      </c>
      <c r="H1201" s="1004" t="n">
        <f aca="false">'Смета Внутр'!G1208</f>
        <v>0</v>
      </c>
      <c r="I1201" s="1004" t="n">
        <f aca="false">'Смета Внутр'!H1208</f>
        <v>0</v>
      </c>
      <c r="J1201" s="1018" t="n">
        <f aca="false">'Смета Внутр'!I1208</f>
        <v>0</v>
      </c>
    </row>
    <row r="1202" customFormat="false" ht="15" hidden="false" customHeight="true" outlineLevel="0" collapsed="false">
      <c r="B1202" s="1004" t="str">
        <f aca="false">'Смета Внутр'!B1209</f>
        <v>Монтаж перекрытий из бруса</v>
      </c>
      <c r="C1202" s="1004" t="str">
        <f aca="false">'Смета Внутр'!C1209</f>
        <v>м2</v>
      </c>
      <c r="D1202" s="1018" t="n">
        <f aca="false">'Смета Внутр'!D1209</f>
        <v>0</v>
      </c>
      <c r="E1202" s="1004" t="n">
        <f aca="false">'Смета Внутр'!E1209</f>
        <v>300</v>
      </c>
      <c r="F1202" s="1004" t="n">
        <f aca="false">'Смета Внутр'!F1209</f>
        <v>0</v>
      </c>
      <c r="G1202" s="1004" t="n">
        <f aca="false">IF(E1202&gt;F1202,E1202,F1202)</f>
        <v>300</v>
      </c>
      <c r="H1202" s="1004" t="n">
        <f aca="false">'Смета Внутр'!G1209</f>
        <v>0</v>
      </c>
      <c r="I1202" s="1004" t="n">
        <f aca="false">'Смета Внутр'!H1209</f>
        <v>0</v>
      </c>
      <c r="J1202" s="1018" t="n">
        <f aca="false">'Смета Внутр'!I1209</f>
        <v>0</v>
      </c>
    </row>
    <row r="1203" customFormat="false" ht="15" hidden="false" customHeight="true" outlineLevel="0" collapsed="false">
      <c r="B1203" s="1004" t="str">
        <f aca="false">'Смета Внутр'!B1210</f>
        <v>Монтаж перекрытий Сип-панели</v>
      </c>
      <c r="C1203" s="1004" t="str">
        <f aca="false">'Смета Внутр'!C1210</f>
        <v>м2</v>
      </c>
      <c r="D1203" s="1018" t="n">
        <f aca="false">'Смета Внутр'!D1210</f>
        <v>0</v>
      </c>
      <c r="E1203" s="1004" t="n">
        <f aca="false">'Смета Внутр'!E1210</f>
        <v>400</v>
      </c>
      <c r="F1203" s="1004" t="n">
        <f aca="false">'Смета Внутр'!F1210</f>
        <v>0</v>
      </c>
      <c r="G1203" s="1004" t="n">
        <f aca="false">IF(E1203&gt;F1203,E1203,F1203)</f>
        <v>400</v>
      </c>
      <c r="H1203" s="1004" t="n">
        <f aca="false">'Смета Внутр'!G1210</f>
        <v>0</v>
      </c>
      <c r="I1203" s="1004" t="n">
        <f aca="false">'Смета Внутр'!H1210</f>
        <v>0</v>
      </c>
      <c r="J1203" s="1018" t="n">
        <f aca="false">'Смета Внутр'!I1210</f>
        <v>0</v>
      </c>
    </row>
    <row r="1204" customFormat="false" ht="15" hidden="false" customHeight="true" outlineLevel="0" collapsed="false">
      <c r="B1204" s="1004" t="str">
        <f aca="false">'Смета Внутр'!B1211</f>
        <v>Монтаж перекрытий из сухой доски</v>
      </c>
      <c r="C1204" s="1004" t="str">
        <f aca="false">'Смета Внутр'!C1211</f>
        <v>м2</v>
      </c>
      <c r="D1204" s="1018" t="n">
        <f aca="false">'Смета Внутр'!D1211</f>
        <v>0</v>
      </c>
      <c r="E1204" s="1004" t="n">
        <f aca="false">'Смета Внутр'!E1211</f>
        <v>250</v>
      </c>
      <c r="F1204" s="1004" t="n">
        <f aca="false">'Смета Внутр'!F1211</f>
        <v>0</v>
      </c>
      <c r="G1204" s="1004" t="n">
        <f aca="false">IF(E1204&gt;F1204,E1204,F1204)</f>
        <v>250</v>
      </c>
      <c r="H1204" s="1004" t="n">
        <f aca="false">'Смета Внутр'!G1211</f>
        <v>0</v>
      </c>
      <c r="I1204" s="1004" t="n">
        <f aca="false">'Смета Внутр'!H1211</f>
        <v>0</v>
      </c>
      <c r="J1204" s="1018" t="n">
        <f aca="false">'Смета Внутр'!I1211</f>
        <v>0</v>
      </c>
    </row>
    <row r="1205" customFormat="false" ht="15" hidden="false" customHeight="true" outlineLevel="0" collapsed="false">
      <c r="B1205" s="1004" t="str">
        <f aca="false">'Смета Внутр'!B1212</f>
        <v>Монтаж перекрытий из двутавровой балки</v>
      </c>
      <c r="C1205" s="1004" t="str">
        <f aca="false">'Смета Внутр'!C1212</f>
        <v>м2</v>
      </c>
      <c r="D1205" s="1018" t="n">
        <f aca="false">'Смета Внутр'!D1212</f>
        <v>0</v>
      </c>
      <c r="E1205" s="1004" t="n">
        <f aca="false">'Смета Внутр'!E1212</f>
        <v>300</v>
      </c>
      <c r="F1205" s="1004" t="n">
        <f aca="false">'Смета Внутр'!F1212</f>
        <v>0</v>
      </c>
      <c r="G1205" s="1004" t="n">
        <f aca="false">IF(E1205&gt;F1205,E1205,F1205)</f>
        <v>300</v>
      </c>
      <c r="H1205" s="1004" t="n">
        <f aca="false">'Смета Внутр'!G1212</f>
        <v>0</v>
      </c>
      <c r="I1205" s="1004" t="n">
        <f aca="false">'Смета Внутр'!H1212</f>
        <v>0</v>
      </c>
      <c r="J1205" s="1018" t="n">
        <f aca="false">'Смета Внутр'!I1212</f>
        <v>0</v>
      </c>
    </row>
    <row r="1206" customFormat="false" ht="15" hidden="false" customHeight="true" outlineLevel="0" collapsed="false">
      <c r="B1206" s="1004" t="str">
        <f aca="false">'Смета Внутр'!B1213</f>
        <v>Монтаж перекрестного пола</v>
      </c>
      <c r="C1206" s="1004" t="str">
        <f aca="false">'Смета Внутр'!C1213</f>
        <v>м2</v>
      </c>
      <c r="D1206" s="1018" t="n">
        <f aca="false">'Смета Внутр'!D1213</f>
        <v>0</v>
      </c>
      <c r="E1206" s="1004" t="n">
        <f aca="false">'Смета Внутр'!E1213</f>
        <v>200</v>
      </c>
      <c r="F1206" s="1004" t="n">
        <f aca="false">'Смета Внутр'!F1213</f>
        <v>0</v>
      </c>
      <c r="G1206" s="1004" t="n">
        <f aca="false">IF(E1206&gt;F1206,E1206,F1206)</f>
        <v>200</v>
      </c>
      <c r="H1206" s="1004" t="n">
        <f aca="false">'Смета Внутр'!G1213</f>
        <v>0</v>
      </c>
      <c r="I1206" s="1004" t="n">
        <f aca="false">'Смета Внутр'!H1213</f>
        <v>0</v>
      </c>
      <c r="J1206" s="1018" t="n">
        <f aca="false">'Смета Внутр'!I1213</f>
        <v>0</v>
      </c>
    </row>
    <row r="1207" customFormat="false" ht="15" hidden="false" customHeight="true" outlineLevel="0" collapsed="false">
      <c r="B1207" s="2888" t="str">
        <f aca="false">'Смета Внутр'!B1214</f>
        <v>Монтаж утеплителя перекрытия</v>
      </c>
      <c r="C1207" s="2888" t="str">
        <f aca="false">'Смета Внутр'!C1214</f>
        <v>м2</v>
      </c>
      <c r="D1207" s="2897" t="n">
        <f aca="false">'Смета Внутр'!D1214</f>
        <v>100</v>
      </c>
      <c r="E1207" s="1004" t="n">
        <f aca="false">'Смета Внутр'!E1214</f>
        <v>200</v>
      </c>
      <c r="F1207" s="1004" t="n">
        <f aca="false">'Смета Внутр'!F1214</f>
        <v>0</v>
      </c>
      <c r="G1207" s="2888" t="n">
        <f aca="false">IF(E1207&gt;F1207,E1207,F1207)</f>
        <v>200</v>
      </c>
      <c r="H1207" s="1004" t="n">
        <f aca="false">'Смета Внутр'!G1214</f>
        <v>20000</v>
      </c>
      <c r="I1207" s="1004" t="n">
        <f aca="false">'Смета Внутр'!H1214</f>
        <v>0</v>
      </c>
      <c r="J1207" s="2897" t="n">
        <f aca="false">'Смета Внутр'!I1214</f>
        <v>0</v>
      </c>
    </row>
    <row r="1208" customFormat="false" ht="15" hidden="false" customHeight="true" outlineLevel="0" collapsed="false">
      <c r="B1208" s="2888" t="str">
        <f aca="false">'Смета Внутр'!B1215</f>
        <v>Монтаж ветроизоляции перекрытий</v>
      </c>
      <c r="C1208" s="2888" t="str">
        <f aca="false">'Смета Внутр'!C1215</f>
        <v>м2</v>
      </c>
      <c r="D1208" s="2897" t="n">
        <f aca="false">'Смета Внутр'!D1215</f>
        <v>0</v>
      </c>
      <c r="E1208" s="1004" t="n">
        <f aca="false">'Смета Внутр'!E1215</f>
        <v>100</v>
      </c>
      <c r="F1208" s="1004" t="n">
        <f aca="false">'Смета Внутр'!F1215</f>
        <v>0</v>
      </c>
      <c r="G1208" s="2888" t="n">
        <f aca="false">IF(E1208&gt;F1208,E1208,F1208)</f>
        <v>100</v>
      </c>
      <c r="H1208" s="1004" t="n">
        <f aca="false">'Смета Внутр'!G1215</f>
        <v>0</v>
      </c>
      <c r="I1208" s="1004" t="n">
        <f aca="false">'Смета Внутр'!H1215</f>
        <v>0</v>
      </c>
      <c r="J1208" s="2897" t="n">
        <f aca="false">'Смета Внутр'!I1215</f>
        <v>0</v>
      </c>
    </row>
    <row r="1209" customFormat="false" ht="15" hidden="false" customHeight="true" outlineLevel="0" collapsed="false">
      <c r="B1209" s="2888" t="str">
        <f aca="false">'Смета Внутр'!B1216</f>
        <v>Монтаж пароизоляции перекрытий</v>
      </c>
      <c r="C1209" s="2888" t="str">
        <f aca="false">'Смета Внутр'!C1216</f>
        <v>м2</v>
      </c>
      <c r="D1209" s="2897" t="n">
        <f aca="false">'Смета Внутр'!D1216</f>
        <v>0</v>
      </c>
      <c r="E1209" s="1004" t="n">
        <f aca="false">'Смета Внутр'!E1216</f>
        <v>100</v>
      </c>
      <c r="F1209" s="1004" t="n">
        <f aca="false">'Смета Внутр'!F1216</f>
        <v>0</v>
      </c>
      <c r="G1209" s="2888" t="n">
        <f aca="false">IF(E1209&gt;F1209,E1209,F1209)</f>
        <v>100</v>
      </c>
      <c r="H1209" s="1004" t="n">
        <f aca="false">'Смета Внутр'!G1216</f>
        <v>0</v>
      </c>
      <c r="I1209" s="1004" t="n">
        <f aca="false">'Смета Внутр'!H1216</f>
        <v>0</v>
      </c>
      <c r="J1209" s="2897" t="n">
        <f aca="false">'Смета Внутр'!I1216</f>
        <v>0</v>
      </c>
    </row>
    <row r="1210" customFormat="false" ht="15" hidden="false" customHeight="true" outlineLevel="0" collapsed="false">
      <c r="B1210" s="1004" t="str">
        <f aca="false">'Смета Внутр'!B1217</f>
        <v>Монтаж плит ЖБИ</v>
      </c>
      <c r="C1210" s="1004" t="str">
        <f aca="false">'Смета Внутр'!C1217</f>
        <v>м2</v>
      </c>
      <c r="D1210" s="1018" t="n">
        <f aca="false">'Смета Внутр'!D1217</f>
        <v>0</v>
      </c>
      <c r="E1210" s="1004" t="n">
        <f aca="false">'Смета Внутр'!E1217</f>
        <v>200</v>
      </c>
      <c r="F1210" s="1004" t="n">
        <f aca="false">'Смета Внутр'!F1217</f>
        <v>0</v>
      </c>
      <c r="G1210" s="1004" t="n">
        <f aca="false">IF(E1210&gt;F1210,E1210,F1210)</f>
        <v>200</v>
      </c>
      <c r="H1210" s="1004" t="n">
        <f aca="false">'Смета Внутр'!G1217</f>
        <v>0</v>
      </c>
      <c r="I1210" s="1004" t="n">
        <f aca="false">'Смета Внутр'!H1217</f>
        <v>0</v>
      </c>
      <c r="J1210" s="1018" t="n">
        <f aca="false">'Смета Внутр'!I1217</f>
        <v>0</v>
      </c>
    </row>
    <row r="1211" customFormat="false" ht="15" hidden="false" customHeight="true" outlineLevel="0" collapsed="false">
      <c r="B1211" s="1004" t="str">
        <f aca="false">'Смета Внутр'!B1218</f>
        <v>Монтаж опалубки</v>
      </c>
      <c r="C1211" s="1004" t="str">
        <f aca="false">'Смета Внутр'!C1218</f>
        <v>м2</v>
      </c>
      <c r="D1211" s="1018" t="n">
        <f aca="false">'Смета Внутр'!D1218</f>
        <v>0</v>
      </c>
      <c r="E1211" s="1004" t="n">
        <f aca="false">'Смета Внутр'!E1218</f>
        <v>200</v>
      </c>
      <c r="F1211" s="1004" t="n">
        <f aca="false">'Смета Внутр'!F1218</f>
        <v>0</v>
      </c>
      <c r="G1211" s="1004" t="n">
        <f aca="false">IF(E1211&gt;F1211,E1211,F1211)</f>
        <v>200</v>
      </c>
      <c r="H1211" s="1004" t="n">
        <f aca="false">'Смета Внутр'!G1218</f>
        <v>0</v>
      </c>
      <c r="I1211" s="1004" t="n">
        <f aca="false">'Смета Внутр'!H1218</f>
        <v>0</v>
      </c>
      <c r="J1211" s="1018" t="n">
        <f aca="false">'Смета Внутр'!I1218</f>
        <v>0</v>
      </c>
    </row>
    <row r="1212" customFormat="false" ht="15" hidden="false" customHeight="true" outlineLevel="0" collapsed="false">
      <c r="B1212" s="1004" t="str">
        <f aca="false">'Смета Внутр'!B1219</f>
        <v>Укладка пленки гидроизоляционной</v>
      </c>
      <c r="C1212" s="1004" t="str">
        <f aca="false">'Смета Внутр'!C1219</f>
        <v>м2</v>
      </c>
      <c r="D1212" s="1018" t="n">
        <f aca="false">'Смета Внутр'!D1219</f>
        <v>0</v>
      </c>
      <c r="E1212" s="1004" t="n">
        <f aca="false">'Смета Внутр'!E1219</f>
        <v>40</v>
      </c>
      <c r="F1212" s="1004" t="n">
        <f aca="false">'Смета Внутр'!F1219</f>
        <v>0</v>
      </c>
      <c r="G1212" s="1004" t="n">
        <f aca="false">IF(E1212&gt;F1212,E1212,F1212)</f>
        <v>40</v>
      </c>
      <c r="H1212" s="1004" t="n">
        <f aca="false">'Смета Внутр'!G1219</f>
        <v>0</v>
      </c>
      <c r="I1212" s="1004" t="n">
        <f aca="false">'Смета Внутр'!H1219</f>
        <v>0</v>
      </c>
      <c r="J1212" s="1018" t="n">
        <f aca="false">'Смета Внутр'!I1219</f>
        <v>0</v>
      </c>
    </row>
    <row r="1213" customFormat="false" ht="15" hidden="false" customHeight="true" outlineLevel="0" collapsed="false">
      <c r="B1213" s="1004" t="str">
        <f aca="false">'Смета Внутр'!B1220</f>
        <v>Армирование перекрытия/плиты</v>
      </c>
      <c r="C1213" s="1004" t="str">
        <f aca="false">'Смета Внутр'!C1220</f>
        <v>м2</v>
      </c>
      <c r="D1213" s="1018" t="n">
        <f aca="false">'Смета Внутр'!D1220</f>
        <v>0</v>
      </c>
      <c r="E1213" s="1004" t="n">
        <f aca="false">'Смета Внутр'!E1220</f>
        <v>300</v>
      </c>
      <c r="F1213" s="1004" t="n">
        <f aca="false">'Смета Внутр'!F1220</f>
        <v>0</v>
      </c>
      <c r="G1213" s="1004" t="n">
        <f aca="false">IF(E1213&gt;F1213,E1213,F1213)</f>
        <v>300</v>
      </c>
      <c r="H1213" s="1004" t="n">
        <f aca="false">'Смета Внутр'!G1220</f>
        <v>0</v>
      </c>
      <c r="I1213" s="1004" t="n">
        <f aca="false">'Смета Внутр'!H1220</f>
        <v>0</v>
      </c>
      <c r="J1213" s="1018" t="n">
        <f aca="false">'Смета Внутр'!I1220</f>
        <v>0</v>
      </c>
    </row>
    <row r="1214" customFormat="false" ht="15" hidden="false" customHeight="true" outlineLevel="0" collapsed="false">
      <c r="B1214" s="1004" t="str">
        <f aca="false">'Смета Внутр'!B1221</f>
        <v>Заливка бетоном перекрытия/плиты</v>
      </c>
      <c r="C1214" s="1004" t="str">
        <f aca="false">'Смета Внутр'!C1221</f>
        <v>м2</v>
      </c>
      <c r="D1214" s="1018" t="n">
        <f aca="false">'Смета Внутр'!D1221</f>
        <v>0</v>
      </c>
      <c r="E1214" s="1004" t="n">
        <f aca="false">'Смета Внутр'!E1221</f>
        <v>350</v>
      </c>
      <c r="F1214" s="1004" t="n">
        <f aca="false">'Смета Внутр'!F1221</f>
        <v>0</v>
      </c>
      <c r="G1214" s="1004" t="n">
        <f aca="false">IF(E1214&gt;F1214,E1214,F1214)</f>
        <v>350</v>
      </c>
      <c r="H1214" s="1004" t="n">
        <f aca="false">'Смета Внутр'!G1221</f>
        <v>0</v>
      </c>
      <c r="I1214" s="1004" t="n">
        <f aca="false">'Смета Внутр'!H1221</f>
        <v>0</v>
      </c>
      <c r="J1214" s="1018" t="n">
        <f aca="false">'Смета Внутр'!I1221</f>
        <v>0</v>
      </c>
    </row>
    <row r="1215" customFormat="false" ht="15" hidden="false" customHeight="true" outlineLevel="0" collapsed="false">
      <c r="B1215" s="1004" t="str">
        <f aca="false">'Смета Внутр'!B1222</f>
        <v>Монтаж перекрытий из бруса</v>
      </c>
      <c r="C1215" s="1004" t="str">
        <f aca="false">'Смета Внутр'!C1222</f>
        <v>м2</v>
      </c>
      <c r="D1215" s="1018" t="n">
        <f aca="false">'Смета Внутр'!D1222</f>
        <v>0</v>
      </c>
      <c r="E1215" s="1004" t="n">
        <f aca="false">'Смета Внутр'!E1222</f>
        <v>300</v>
      </c>
      <c r="F1215" s="1004" t="n">
        <f aca="false">'Смета Внутр'!F1222</f>
        <v>0</v>
      </c>
      <c r="G1215" s="1004" t="n">
        <f aca="false">IF(E1215&gt;F1215,E1215,F1215)</f>
        <v>300</v>
      </c>
      <c r="H1215" s="1004" t="n">
        <f aca="false">'Смета Внутр'!G1222</f>
        <v>0</v>
      </c>
      <c r="I1215" s="1004" t="n">
        <f aca="false">'Смета Внутр'!H1222</f>
        <v>0</v>
      </c>
      <c r="J1215" s="1018" t="n">
        <f aca="false">'Смета Внутр'!I1222</f>
        <v>0</v>
      </c>
    </row>
    <row r="1216" customFormat="false" ht="15" hidden="false" customHeight="true" outlineLevel="0" collapsed="false">
      <c r="B1216" s="1004" t="str">
        <f aca="false">'Смета Внутр'!B1223</f>
        <v>Монтаж перекрытий Сип-панели</v>
      </c>
      <c r="C1216" s="1004" t="str">
        <f aca="false">'Смета Внутр'!C1223</f>
        <v>м2</v>
      </c>
      <c r="D1216" s="1018" t="n">
        <f aca="false">'Смета Внутр'!D1223</f>
        <v>0</v>
      </c>
      <c r="E1216" s="1004" t="n">
        <f aca="false">'Смета Внутр'!E1223</f>
        <v>400</v>
      </c>
      <c r="F1216" s="1004" t="n">
        <f aca="false">'Смета Внутр'!F1223</f>
        <v>0</v>
      </c>
      <c r="G1216" s="1004" t="n">
        <f aca="false">IF(E1216&gt;F1216,E1216,F1216)</f>
        <v>400</v>
      </c>
      <c r="H1216" s="1004" t="n">
        <f aca="false">'Смета Внутр'!G1223</f>
        <v>0</v>
      </c>
      <c r="I1216" s="1004" t="n">
        <f aca="false">'Смета Внутр'!H1223</f>
        <v>0</v>
      </c>
      <c r="J1216" s="1018" t="n">
        <f aca="false">'Смета Внутр'!I1223</f>
        <v>0</v>
      </c>
    </row>
    <row r="1217" customFormat="false" ht="15" hidden="false" customHeight="true" outlineLevel="0" collapsed="false">
      <c r="B1217" s="1004" t="str">
        <f aca="false">'Смета Внутр'!B1224</f>
        <v>Монтаж перекрытий из сухой доски</v>
      </c>
      <c r="C1217" s="1004" t="str">
        <f aca="false">'Смета Внутр'!C1224</f>
        <v>м2</v>
      </c>
      <c r="D1217" s="1018" t="n">
        <f aca="false">'Смета Внутр'!D1224</f>
        <v>0</v>
      </c>
      <c r="E1217" s="1004" t="n">
        <f aca="false">'Смета Внутр'!E1224</f>
        <v>250</v>
      </c>
      <c r="F1217" s="1004" t="n">
        <f aca="false">'Смета Внутр'!F1224</f>
        <v>0</v>
      </c>
      <c r="G1217" s="1004" t="n">
        <f aca="false">IF(E1217&gt;F1217,E1217,F1217)</f>
        <v>250</v>
      </c>
      <c r="H1217" s="1004" t="n">
        <f aca="false">'Смета Внутр'!G1224</f>
        <v>0</v>
      </c>
      <c r="I1217" s="1004" t="n">
        <f aca="false">'Смета Внутр'!H1224</f>
        <v>0</v>
      </c>
      <c r="J1217" s="1018" t="n">
        <f aca="false">'Смета Внутр'!I1224</f>
        <v>0</v>
      </c>
    </row>
    <row r="1218" customFormat="false" ht="15" hidden="false" customHeight="true" outlineLevel="0" collapsed="false">
      <c r="B1218" s="1004" t="str">
        <f aca="false">'Смета Внутр'!B1225</f>
        <v>Монтаж перекрытий из двутавровой балки</v>
      </c>
      <c r="C1218" s="1004" t="str">
        <f aca="false">'Смета Внутр'!C1225</f>
        <v>м2</v>
      </c>
      <c r="D1218" s="1018" t="n">
        <f aca="false">'Смета Внутр'!D1225</f>
        <v>0</v>
      </c>
      <c r="E1218" s="1004" t="n">
        <f aca="false">'Смета Внутр'!E1225</f>
        <v>300</v>
      </c>
      <c r="F1218" s="1004" t="n">
        <f aca="false">'Смета Внутр'!F1225</f>
        <v>0</v>
      </c>
      <c r="G1218" s="1004" t="n">
        <f aca="false">IF(E1218&gt;F1218,E1218,F1218)</f>
        <v>300</v>
      </c>
      <c r="H1218" s="1004" t="n">
        <f aca="false">'Смета Внутр'!G1225</f>
        <v>0</v>
      </c>
      <c r="I1218" s="1004" t="n">
        <f aca="false">'Смета Внутр'!H1225</f>
        <v>0</v>
      </c>
      <c r="J1218" s="1018" t="n">
        <f aca="false">'Смета Внутр'!I1225</f>
        <v>0</v>
      </c>
    </row>
    <row r="1219" customFormat="false" ht="15" hidden="false" customHeight="true" outlineLevel="0" collapsed="false">
      <c r="B1219" s="2888" t="str">
        <f aca="false">'Смета Внутр'!B1226</f>
        <v>Монтаж утеплителя перекрытия</v>
      </c>
      <c r="C1219" s="2888" t="str">
        <f aca="false">'Смета Внутр'!C1226</f>
        <v>м2</v>
      </c>
      <c r="D1219" s="2897" t="n">
        <f aca="false">'Смета Внутр'!D1226</f>
        <v>100</v>
      </c>
      <c r="E1219" s="1004" t="n">
        <f aca="false">'Смета Внутр'!E1226</f>
        <v>200</v>
      </c>
      <c r="F1219" s="1004" t="n">
        <f aca="false">'Смета Внутр'!F1226</f>
        <v>0</v>
      </c>
      <c r="G1219" s="2888" t="n">
        <f aca="false">IF(E1219&gt;F1219,E1219,F1219)</f>
        <v>200</v>
      </c>
      <c r="H1219" s="1004" t="n">
        <f aca="false">'Смета Внутр'!G1226</f>
        <v>20000</v>
      </c>
      <c r="I1219" s="1004" t="n">
        <f aca="false">'Смета Внутр'!H1226</f>
        <v>0</v>
      </c>
      <c r="J1219" s="2897" t="n">
        <f aca="false">'Смета Внутр'!I1226</f>
        <v>0</v>
      </c>
    </row>
    <row r="1220" customFormat="false" ht="15" hidden="false" customHeight="true" outlineLevel="0" collapsed="false">
      <c r="B1220" s="2888" t="str">
        <f aca="false">'Смета Внутр'!B1227</f>
        <v>Монтаж ветроизоляции перекрытий</v>
      </c>
      <c r="C1220" s="2888" t="str">
        <f aca="false">'Смета Внутр'!C1227</f>
        <v>м2</v>
      </c>
      <c r="D1220" s="2897" t="n">
        <f aca="false">'Смета Внутр'!D1227</f>
        <v>0</v>
      </c>
      <c r="E1220" s="1004" t="n">
        <f aca="false">'Смета Внутр'!E1227</f>
        <v>100</v>
      </c>
      <c r="F1220" s="1004" t="n">
        <f aca="false">'Смета Внутр'!F1227</f>
        <v>0</v>
      </c>
      <c r="G1220" s="2888" t="n">
        <f aca="false">IF(E1220&gt;F1220,E1220,F1220)</f>
        <v>100</v>
      </c>
      <c r="H1220" s="1004" t="n">
        <f aca="false">'Смета Внутр'!G1227</f>
        <v>0</v>
      </c>
      <c r="I1220" s="1004" t="n">
        <f aca="false">'Смета Внутр'!H1227</f>
        <v>0</v>
      </c>
      <c r="J1220" s="2897" t="n">
        <f aca="false">'Смета Внутр'!I1227</f>
        <v>0</v>
      </c>
    </row>
    <row r="1221" customFormat="false" ht="15" hidden="false" customHeight="true" outlineLevel="0" collapsed="false">
      <c r="B1221" s="2888" t="str">
        <f aca="false">'Смета Внутр'!B1228</f>
        <v>Монтаж пароизоляции перекрытий</v>
      </c>
      <c r="C1221" s="2888" t="str">
        <f aca="false">'Смета Внутр'!C1228</f>
        <v>м2</v>
      </c>
      <c r="D1221" s="2897" t="n">
        <f aca="false">'Смета Внутр'!D1228</f>
        <v>0</v>
      </c>
      <c r="E1221" s="1004" t="n">
        <f aca="false">'Смета Внутр'!E1228</f>
        <v>100</v>
      </c>
      <c r="F1221" s="1004" t="n">
        <f aca="false">'Смета Внутр'!F1228</f>
        <v>0</v>
      </c>
      <c r="G1221" s="2888" t="n">
        <f aca="false">IF(E1221&gt;F1221,E1221,F1221)</f>
        <v>100</v>
      </c>
      <c r="H1221" s="1004" t="n">
        <f aca="false">'Смета Внутр'!G1228</f>
        <v>0</v>
      </c>
      <c r="I1221" s="1004" t="n">
        <f aca="false">'Смета Внутр'!H1228</f>
        <v>0</v>
      </c>
      <c r="J1221" s="2897" t="n">
        <f aca="false">'Смета Внутр'!I1228</f>
        <v>0</v>
      </c>
    </row>
    <row r="1222" customFormat="false" ht="15" hidden="false" customHeight="true" outlineLevel="0" collapsed="false">
      <c r="B1222" s="1004" t="str">
        <f aca="false">'Смета Внутр'!B1229</f>
        <v>Монтаж плит ЖБИ</v>
      </c>
      <c r="C1222" s="1004" t="str">
        <f aca="false">'Смета Внутр'!C1229</f>
        <v>м2</v>
      </c>
      <c r="D1222" s="1018" t="n">
        <f aca="false">'Смета Внутр'!D1229</f>
        <v>0</v>
      </c>
      <c r="E1222" s="1004" t="n">
        <f aca="false">'Смета Внутр'!E1229</f>
        <v>200</v>
      </c>
      <c r="F1222" s="1004" t="n">
        <f aca="false">'Смета Внутр'!F1229</f>
        <v>0</v>
      </c>
      <c r="G1222" s="1004" t="n">
        <f aca="false">IF(E1222&gt;F1222,E1222,F1222)</f>
        <v>200</v>
      </c>
      <c r="H1222" s="1004" t="n">
        <f aca="false">'Смета Внутр'!G1229</f>
        <v>0</v>
      </c>
      <c r="I1222" s="1004" t="n">
        <f aca="false">'Смета Внутр'!H1229</f>
        <v>0</v>
      </c>
      <c r="J1222" s="1018" t="n">
        <f aca="false">'Смета Внутр'!I1229</f>
        <v>0</v>
      </c>
    </row>
    <row r="1223" customFormat="false" ht="15" hidden="false" customHeight="true" outlineLevel="0" collapsed="false">
      <c r="B1223" s="1004" t="str">
        <f aca="false">'Смета Внутр'!B1230</f>
        <v>Монтаж опалубки</v>
      </c>
      <c r="C1223" s="1004" t="str">
        <f aca="false">'Смета Внутр'!C1230</f>
        <v>м2</v>
      </c>
      <c r="D1223" s="1018" t="n">
        <f aca="false">'Смета Внутр'!D1230</f>
        <v>0</v>
      </c>
      <c r="E1223" s="1004" t="n">
        <f aca="false">'Смета Внутр'!E1230</f>
        <v>200</v>
      </c>
      <c r="F1223" s="1004" t="n">
        <f aca="false">'Смета Внутр'!F1230</f>
        <v>0</v>
      </c>
      <c r="G1223" s="1004" t="n">
        <f aca="false">IF(E1223&gt;F1223,E1223,F1223)</f>
        <v>200</v>
      </c>
      <c r="H1223" s="1004" t="n">
        <f aca="false">'Смета Внутр'!G1230</f>
        <v>0</v>
      </c>
      <c r="I1223" s="1004" t="n">
        <f aca="false">'Смета Внутр'!H1230</f>
        <v>0</v>
      </c>
      <c r="J1223" s="1018" t="n">
        <f aca="false">'Смета Внутр'!I1230</f>
        <v>0</v>
      </c>
    </row>
    <row r="1224" customFormat="false" ht="15" hidden="false" customHeight="true" outlineLevel="0" collapsed="false">
      <c r="B1224" s="1004" t="str">
        <f aca="false">'Смета Внутр'!B1231</f>
        <v>Укладка пленки гидроизоляционной</v>
      </c>
      <c r="C1224" s="1004" t="str">
        <f aca="false">'Смета Внутр'!C1231</f>
        <v>м2</v>
      </c>
      <c r="D1224" s="1018" t="n">
        <f aca="false">'Смета Внутр'!D1231</f>
        <v>0</v>
      </c>
      <c r="E1224" s="1004" t="n">
        <f aca="false">'Смета Внутр'!E1231</f>
        <v>40</v>
      </c>
      <c r="F1224" s="1004" t="n">
        <f aca="false">'Смета Внутр'!F1231</f>
        <v>0</v>
      </c>
      <c r="G1224" s="1004" t="n">
        <f aca="false">IF(E1224&gt;F1224,E1224,F1224)</f>
        <v>40</v>
      </c>
      <c r="H1224" s="1004" t="n">
        <f aca="false">'Смета Внутр'!G1231</f>
        <v>0</v>
      </c>
      <c r="I1224" s="1004" t="n">
        <f aca="false">'Смета Внутр'!H1231</f>
        <v>0</v>
      </c>
      <c r="J1224" s="1018" t="n">
        <f aca="false">'Смета Внутр'!I1231</f>
        <v>0</v>
      </c>
    </row>
    <row r="1225" customFormat="false" ht="15" hidden="false" customHeight="true" outlineLevel="0" collapsed="false">
      <c r="B1225" s="1004" t="str">
        <f aca="false">'Смета Внутр'!B1232</f>
        <v>Армирование перекрытия/плиты</v>
      </c>
      <c r="C1225" s="1004" t="str">
        <f aca="false">'Смета Внутр'!C1232</f>
        <v>м2</v>
      </c>
      <c r="D1225" s="1018" t="n">
        <f aca="false">'Смета Внутр'!D1232</f>
        <v>0</v>
      </c>
      <c r="E1225" s="1004" t="n">
        <f aca="false">'Смета Внутр'!E1232</f>
        <v>300</v>
      </c>
      <c r="F1225" s="1004" t="n">
        <f aca="false">'Смета Внутр'!F1232</f>
        <v>0</v>
      </c>
      <c r="G1225" s="1004" t="n">
        <f aca="false">IF(E1225&gt;F1225,E1225,F1225)</f>
        <v>300</v>
      </c>
      <c r="H1225" s="1004" t="n">
        <f aca="false">'Смета Внутр'!G1232</f>
        <v>0</v>
      </c>
      <c r="I1225" s="1004" t="n">
        <f aca="false">'Смета Внутр'!H1232</f>
        <v>0</v>
      </c>
      <c r="J1225" s="1018" t="n">
        <f aca="false">'Смета Внутр'!I1232</f>
        <v>0</v>
      </c>
    </row>
    <row r="1226" customFormat="false" ht="15" hidden="false" customHeight="true" outlineLevel="0" collapsed="false">
      <c r="B1226" s="1004" t="str">
        <f aca="false">'Смета Внутр'!B1233</f>
        <v>Заливка бетоном перекрытия/плиты</v>
      </c>
      <c r="C1226" s="1004" t="str">
        <f aca="false">'Смета Внутр'!C1233</f>
        <v>м2</v>
      </c>
      <c r="D1226" s="1018" t="n">
        <f aca="false">'Смета Внутр'!D1233</f>
        <v>0</v>
      </c>
      <c r="E1226" s="1004" t="n">
        <f aca="false">'Смета Внутр'!E1233</f>
        <v>350</v>
      </c>
      <c r="F1226" s="1004" t="n">
        <f aca="false">'Смета Внутр'!F1233</f>
        <v>0</v>
      </c>
      <c r="G1226" s="1004" t="n">
        <f aca="false">IF(E1226&gt;F1226,E1226,F1226)</f>
        <v>350</v>
      </c>
      <c r="H1226" s="1004" t="n">
        <f aca="false">'Смета Внутр'!G1233</f>
        <v>0</v>
      </c>
      <c r="I1226" s="1004" t="n">
        <f aca="false">'Смета Внутр'!H1233</f>
        <v>0</v>
      </c>
      <c r="J1226" s="1018" t="n">
        <f aca="false">'Смета Внутр'!I1233</f>
        <v>0</v>
      </c>
    </row>
    <row r="1227" customFormat="false" ht="15" hidden="false" customHeight="true" outlineLevel="0" collapsed="false">
      <c r="B1227" s="1004" t="str">
        <f aca="false">'Смета Внутр'!B1234</f>
        <v>Монтаж перекрытий из бруса</v>
      </c>
      <c r="C1227" s="1004" t="str">
        <f aca="false">'Смета Внутр'!C1234</f>
        <v>м2</v>
      </c>
      <c r="D1227" s="1018" t="n">
        <f aca="false">'Смета Внутр'!D1234</f>
        <v>0</v>
      </c>
      <c r="E1227" s="1004" t="n">
        <f aca="false">'Смета Внутр'!E1234</f>
        <v>300</v>
      </c>
      <c r="F1227" s="1004" t="n">
        <f aca="false">'Смета Внутр'!F1234</f>
        <v>0</v>
      </c>
      <c r="G1227" s="1004" t="n">
        <f aca="false">IF(E1227&gt;F1227,E1227,F1227)</f>
        <v>300</v>
      </c>
      <c r="H1227" s="1004" t="n">
        <f aca="false">'Смета Внутр'!G1234</f>
        <v>0</v>
      </c>
      <c r="I1227" s="1004" t="n">
        <f aca="false">'Смета Внутр'!H1234</f>
        <v>0</v>
      </c>
      <c r="J1227" s="1018" t="n">
        <f aca="false">'Смета Внутр'!I1234</f>
        <v>0</v>
      </c>
    </row>
    <row r="1228" customFormat="false" ht="15" hidden="false" customHeight="true" outlineLevel="0" collapsed="false">
      <c r="B1228" s="1004" t="str">
        <f aca="false">'Смета Внутр'!B1235</f>
        <v>Монтаж перекрытий Сип-панели</v>
      </c>
      <c r="C1228" s="1004" t="str">
        <f aca="false">'Смета Внутр'!C1235</f>
        <v>м2</v>
      </c>
      <c r="D1228" s="1018" t="n">
        <f aca="false">'Смета Внутр'!D1235</f>
        <v>0</v>
      </c>
      <c r="E1228" s="1004" t="n">
        <f aca="false">'Смета Внутр'!E1235</f>
        <v>400</v>
      </c>
      <c r="F1228" s="1004" t="n">
        <f aca="false">'Смета Внутр'!F1235</f>
        <v>0</v>
      </c>
      <c r="G1228" s="1004" t="n">
        <f aca="false">IF(E1228&gt;F1228,E1228,F1228)</f>
        <v>400</v>
      </c>
      <c r="H1228" s="1004" t="n">
        <f aca="false">'Смета Внутр'!G1235</f>
        <v>0</v>
      </c>
      <c r="I1228" s="1004" t="n">
        <f aca="false">'Смета Внутр'!H1235</f>
        <v>0</v>
      </c>
      <c r="J1228" s="1018" t="n">
        <f aca="false">'Смета Внутр'!I1235</f>
        <v>0</v>
      </c>
    </row>
    <row r="1229" customFormat="false" ht="15" hidden="false" customHeight="true" outlineLevel="0" collapsed="false">
      <c r="B1229" s="1004" t="str">
        <f aca="false">'Смета Внутр'!B1236</f>
        <v>Монтаж перекрытий из сухой доски</v>
      </c>
      <c r="C1229" s="1004" t="str">
        <f aca="false">'Смета Внутр'!C1236</f>
        <v>м2</v>
      </c>
      <c r="D1229" s="1018" t="n">
        <f aca="false">'Смета Внутр'!D1236</f>
        <v>0</v>
      </c>
      <c r="E1229" s="1004" t="n">
        <f aca="false">'Смета Внутр'!E1236</f>
        <v>250</v>
      </c>
      <c r="F1229" s="1004" t="n">
        <f aca="false">'Смета Внутр'!F1236</f>
        <v>0</v>
      </c>
      <c r="G1229" s="1004" t="n">
        <f aca="false">IF(E1229&gt;F1229,E1229,F1229)</f>
        <v>250</v>
      </c>
      <c r="H1229" s="1004" t="n">
        <f aca="false">'Смета Внутр'!G1236</f>
        <v>0</v>
      </c>
      <c r="I1229" s="1004" t="n">
        <f aca="false">'Смета Внутр'!H1236</f>
        <v>0</v>
      </c>
      <c r="J1229" s="1018" t="n">
        <f aca="false">'Смета Внутр'!I1236</f>
        <v>0</v>
      </c>
    </row>
    <row r="1230" customFormat="false" ht="15" hidden="false" customHeight="true" outlineLevel="0" collapsed="false">
      <c r="B1230" s="1004" t="str">
        <f aca="false">'Смета Внутр'!B1237</f>
        <v>Монтаж перекрытий из двутавровой балки</v>
      </c>
      <c r="C1230" s="1004" t="str">
        <f aca="false">'Смета Внутр'!C1237</f>
        <v>м2</v>
      </c>
      <c r="D1230" s="1018" t="n">
        <f aca="false">'Смета Внутр'!D1237</f>
        <v>0</v>
      </c>
      <c r="E1230" s="1004" t="n">
        <f aca="false">'Смета Внутр'!E1237</f>
        <v>300</v>
      </c>
      <c r="F1230" s="1004" t="n">
        <f aca="false">'Смета Внутр'!F1237</f>
        <v>0</v>
      </c>
      <c r="G1230" s="1004" t="n">
        <f aca="false">IF(E1230&gt;F1230,E1230,F1230)</f>
        <v>300</v>
      </c>
      <c r="H1230" s="1004" t="n">
        <f aca="false">'Смета Внутр'!G1237</f>
        <v>0</v>
      </c>
      <c r="I1230" s="1004" t="n">
        <f aca="false">'Смета Внутр'!H1237</f>
        <v>0</v>
      </c>
      <c r="J1230" s="1018" t="n">
        <f aca="false">'Смета Внутр'!I1237</f>
        <v>0</v>
      </c>
    </row>
    <row r="1231" customFormat="false" ht="15" hidden="false" customHeight="true" outlineLevel="0" collapsed="false">
      <c r="B1231" s="1004" t="str">
        <f aca="false">'Смета Внутр'!B1238</f>
        <v>Монтаж утеплителя перекрытия</v>
      </c>
      <c r="C1231" s="1004" t="str">
        <f aca="false">'Смета Внутр'!C1238</f>
        <v>м2</v>
      </c>
      <c r="D1231" s="1018" t="n">
        <f aca="false">'Смета Внутр'!D1238</f>
        <v>0</v>
      </c>
      <c r="E1231" s="1004" t="n">
        <f aca="false">'Смета Внутр'!E1238</f>
        <v>200</v>
      </c>
      <c r="F1231" s="1004" t="n">
        <f aca="false">'Смета Внутр'!F1238</f>
        <v>0</v>
      </c>
      <c r="G1231" s="1004" t="n">
        <f aca="false">IF(E1231&gt;F1231,E1231,F1231)</f>
        <v>200</v>
      </c>
      <c r="H1231" s="1004" t="n">
        <f aca="false">'Смета Внутр'!G1238</f>
        <v>0</v>
      </c>
      <c r="I1231" s="1004" t="n">
        <f aca="false">'Смета Внутр'!H1238</f>
        <v>0</v>
      </c>
      <c r="J1231" s="1018" t="n">
        <f aca="false">'Смета Внутр'!I1238</f>
        <v>0</v>
      </c>
    </row>
    <row r="1232" customFormat="false" ht="15" hidden="false" customHeight="true" outlineLevel="0" collapsed="false">
      <c r="B1232" s="1004" t="str">
        <f aca="false">'Смета Внутр'!B1239</f>
        <v>Монтаж ветроизоляции перекрытий</v>
      </c>
      <c r="C1232" s="1004" t="str">
        <f aca="false">'Смета Внутр'!C1239</f>
        <v>м2</v>
      </c>
      <c r="D1232" s="1018" t="n">
        <f aca="false">'Смета Внутр'!D1239</f>
        <v>0</v>
      </c>
      <c r="E1232" s="1004" t="n">
        <f aca="false">'Смета Внутр'!E1239</f>
        <v>100</v>
      </c>
      <c r="F1232" s="1004" t="n">
        <f aca="false">'Смета Внутр'!F1239</f>
        <v>0</v>
      </c>
      <c r="G1232" s="1004" t="n">
        <f aca="false">IF(E1232&gt;F1232,E1232,F1232)</f>
        <v>100</v>
      </c>
      <c r="H1232" s="1004" t="n">
        <f aca="false">'Смета Внутр'!G1239</f>
        <v>0</v>
      </c>
      <c r="I1232" s="1004" t="n">
        <f aca="false">'Смета Внутр'!H1239</f>
        <v>0</v>
      </c>
      <c r="J1232" s="1018" t="n">
        <f aca="false">'Смета Внутр'!I1239</f>
        <v>0</v>
      </c>
    </row>
    <row r="1233" customFormat="false" ht="15" hidden="false" customHeight="true" outlineLevel="0" collapsed="false">
      <c r="B1233" s="1004" t="str">
        <f aca="false">'Смета Внутр'!B1240</f>
        <v>Монтаж пароизоляции перекрытий</v>
      </c>
      <c r="C1233" s="1004" t="str">
        <f aca="false">'Смета Внутр'!C1240</f>
        <v>м2</v>
      </c>
      <c r="D1233" s="1018" t="n">
        <f aca="false">'Смета Внутр'!D1240</f>
        <v>0</v>
      </c>
      <c r="E1233" s="1004" t="n">
        <f aca="false">'Смета Внутр'!E1240</f>
        <v>100</v>
      </c>
      <c r="F1233" s="1004" t="n">
        <f aca="false">'Смета Внутр'!F1240</f>
        <v>0</v>
      </c>
      <c r="G1233" s="1004" t="n">
        <f aca="false">IF(E1233&gt;F1233,E1233,F1233)</f>
        <v>100</v>
      </c>
      <c r="H1233" s="1004" t="n">
        <f aca="false">'Смета Внутр'!G1240</f>
        <v>0</v>
      </c>
      <c r="I1233" s="1004" t="n">
        <f aca="false">'Смета Внутр'!H1240</f>
        <v>0</v>
      </c>
      <c r="J1233" s="1018" t="n">
        <f aca="false">'Смета Внутр'!I1240</f>
        <v>0</v>
      </c>
    </row>
    <row r="1234" customFormat="false" ht="15" hidden="false" customHeight="true" outlineLevel="0" collapsed="false">
      <c r="B1234" s="1004" t="str">
        <f aca="false">'Смета Внутр'!B1241</f>
        <v>Монтаж перекрестного пола</v>
      </c>
      <c r="C1234" s="1004" t="str">
        <f aca="false">'Смета Внутр'!C1241</f>
        <v>м2</v>
      </c>
      <c r="D1234" s="1018" t="n">
        <f aca="false">'Смета Внутр'!D1241</f>
        <v>0</v>
      </c>
      <c r="E1234" s="1004" t="n">
        <f aca="false">'Смета Внутр'!E1241</f>
        <v>200</v>
      </c>
      <c r="F1234" s="1004" t="n">
        <f aca="false">'Смета Внутр'!F1241</f>
        <v>0</v>
      </c>
      <c r="G1234" s="1004" t="n">
        <f aca="false">IF(E1234&gt;F1234,E1234,F1234)</f>
        <v>200</v>
      </c>
      <c r="H1234" s="1004" t="n">
        <f aca="false">'Смета Внутр'!G1241</f>
        <v>0</v>
      </c>
      <c r="I1234" s="1004" t="n">
        <f aca="false">'Смета Внутр'!H1241</f>
        <v>0</v>
      </c>
      <c r="J1234" s="1018" t="n">
        <f aca="false">'Смета Внутр'!I1241</f>
        <v>0</v>
      </c>
    </row>
    <row r="1235" customFormat="false" ht="15" hidden="false" customHeight="true" outlineLevel="0" collapsed="false">
      <c r="B1235" s="2888" t="str">
        <f aca="false">'Смета Внутр'!B1242</f>
        <v>Монтаж чернового пола 0 этажа</v>
      </c>
      <c r="C1235" s="2888" t="str">
        <f aca="false">'Смета Внутр'!C1242</f>
        <v>м2</v>
      </c>
      <c r="D1235" s="2897" t="n">
        <f aca="false">'Смета Внутр'!D1242</f>
        <v>0</v>
      </c>
      <c r="E1235" s="1004" t="n">
        <f aca="false">'Смета Внутр'!E1242</f>
        <v>150</v>
      </c>
      <c r="F1235" s="1004" t="n">
        <f aca="false">'Смета Внутр'!F1242</f>
        <v>0</v>
      </c>
      <c r="G1235" s="2888" t="n">
        <f aca="false">IF(E1235&gt;F1235,E1235,F1235)</f>
        <v>150</v>
      </c>
      <c r="H1235" s="1004" t="n">
        <f aca="false">'Смета Внутр'!G1242</f>
        <v>0</v>
      </c>
      <c r="I1235" s="1004" t="n">
        <f aca="false">'Смета Внутр'!H1242</f>
        <v>0</v>
      </c>
      <c r="J1235" s="2897" t="n">
        <f aca="false">'Смета Внутр'!I1242</f>
        <v>0</v>
      </c>
    </row>
    <row r="1236" customFormat="false" ht="15" hidden="false" customHeight="true" outlineLevel="0" collapsed="false">
      <c r="B1236" s="2888" t="str">
        <f aca="false">'Смета Внутр'!B1243</f>
        <v>Монтаж чернового пола 1 этажа</v>
      </c>
      <c r="C1236" s="2888" t="str">
        <f aca="false">'Смета Внутр'!C1243</f>
        <v>м2</v>
      </c>
      <c r="D1236" s="2897" t="n">
        <f aca="false">'Смета Внутр'!D1243</f>
        <v>0</v>
      </c>
      <c r="E1236" s="1004" t="n">
        <f aca="false">'Смета Внутр'!E1243</f>
        <v>150</v>
      </c>
      <c r="F1236" s="1004" t="n">
        <f aca="false">'Смета Внутр'!F1243</f>
        <v>0</v>
      </c>
      <c r="G1236" s="2888" t="n">
        <f aca="false">IF(E1236&gt;F1236,E1236,F1236)</f>
        <v>150</v>
      </c>
      <c r="H1236" s="1004" t="n">
        <f aca="false">'Смета Внутр'!G1243</f>
        <v>0</v>
      </c>
      <c r="I1236" s="1004" t="n">
        <f aca="false">'Смета Внутр'!H1243</f>
        <v>0</v>
      </c>
      <c r="J1236" s="2897" t="n">
        <f aca="false">'Смета Внутр'!I1243</f>
        <v>0</v>
      </c>
    </row>
    <row r="1237" customFormat="false" ht="15" hidden="false" customHeight="true" outlineLevel="0" collapsed="false">
      <c r="B1237" s="1004" t="str">
        <f aca="false">'Смета Внутр'!B1244</f>
        <v>Монтаж чернового пола 2 этажа</v>
      </c>
      <c r="C1237" s="1004" t="str">
        <f aca="false">'Смета Внутр'!C1244</f>
        <v>м2</v>
      </c>
      <c r="D1237" s="1018" t="n">
        <f aca="false">'Смета Внутр'!D1244</f>
        <v>0</v>
      </c>
      <c r="E1237" s="1004" t="n">
        <f aca="false">'Смета Внутр'!E1244</f>
        <v>150</v>
      </c>
      <c r="F1237" s="1004" t="n">
        <f aca="false">'Смета Внутр'!F1244</f>
        <v>0</v>
      </c>
      <c r="G1237" s="1004" t="n">
        <f aca="false">IF(E1237&gt;F1237,E1237,F1237)</f>
        <v>150</v>
      </c>
      <c r="H1237" s="1004" t="n">
        <f aca="false">'Смета Внутр'!G1244</f>
        <v>0</v>
      </c>
      <c r="I1237" s="1004" t="n">
        <f aca="false">'Смета Внутр'!H1244</f>
        <v>0</v>
      </c>
      <c r="J1237" s="1018" t="n">
        <f aca="false">'Смета Внутр'!I1244</f>
        <v>0</v>
      </c>
    </row>
    <row r="1238" customFormat="false" ht="15" hidden="false" customHeight="true" outlineLevel="0" collapsed="false">
      <c r="B1238" s="1004" t="str">
        <f aca="false">'Смета Внутр'!B1245</f>
        <v>Монтаж перекрытий ЛСТК</v>
      </c>
      <c r="C1238" s="1004" t="n">
        <f aca="false">'Смета Внутр'!C1245</f>
        <v>0</v>
      </c>
      <c r="D1238" s="1018" t="n">
        <f aca="false">'Смета Внутр'!D1245</f>
        <v>0</v>
      </c>
      <c r="E1238" s="1004" t="n">
        <f aca="false">'Смета Внутр'!E1245</f>
        <v>500</v>
      </c>
      <c r="F1238" s="1004" t="n">
        <f aca="false">'Смета Внутр'!F1245</f>
        <v>0</v>
      </c>
      <c r="G1238" s="1004" t="n">
        <f aca="false">IF(E1238&gt;F1238,E1238,F1238)</f>
        <v>500</v>
      </c>
      <c r="H1238" s="1004" t="n">
        <f aca="false">'Смета Внутр'!G1245</f>
        <v>0</v>
      </c>
      <c r="I1238" s="1004" t="n">
        <f aca="false">'Смета Внутр'!H1245</f>
        <v>0</v>
      </c>
      <c r="J1238" s="1018" t="n">
        <f aca="false">'Смета Внутр'!I1245</f>
        <v>0</v>
      </c>
    </row>
    <row r="1239" customFormat="false" ht="15" hidden="false" customHeight="true" outlineLevel="0" collapsed="false">
      <c r="B1239" s="1004" t="str">
        <f aca="false">'Смета Внутр'!B1246</f>
        <v>Монтаж перекрытий ЛСТК</v>
      </c>
      <c r="C1239" s="1004" t="n">
        <f aca="false">'Смета Внутр'!C1246</f>
        <v>0</v>
      </c>
      <c r="D1239" s="1018" t="n">
        <f aca="false">'Смета Внутр'!D1246</f>
        <v>0</v>
      </c>
      <c r="E1239" s="1004" t="n">
        <f aca="false">'Смета Внутр'!E1246</f>
        <v>500</v>
      </c>
      <c r="F1239" s="1004" t="n">
        <f aca="false">'Смета Внутр'!F1246</f>
        <v>0</v>
      </c>
      <c r="G1239" s="1004" t="n">
        <f aca="false">IF(E1239&gt;F1239,E1239,F1239)</f>
        <v>500</v>
      </c>
      <c r="H1239" s="1004" t="n">
        <f aca="false">'Смета Внутр'!G1246</f>
        <v>0</v>
      </c>
      <c r="I1239" s="1004" t="n">
        <f aca="false">'Смета Внутр'!H1246</f>
        <v>0</v>
      </c>
      <c r="J1239" s="1018" t="n">
        <f aca="false">'Смета Внутр'!I1246</f>
        <v>0</v>
      </c>
    </row>
    <row r="1240" customFormat="false" ht="15" hidden="false" customHeight="true" outlineLevel="0" collapsed="false">
      <c r="B1240" s="1004" t="str">
        <f aca="false">'Смета Внутр'!B1247</f>
        <v>Монтаж перекрытий ЛСТК</v>
      </c>
      <c r="C1240" s="1004" t="n">
        <f aca="false">'Смета Внутр'!C1247</f>
        <v>0</v>
      </c>
      <c r="D1240" s="1018" t="n">
        <f aca="false">'Смета Внутр'!D1247</f>
        <v>0</v>
      </c>
      <c r="E1240" s="1004" t="n">
        <f aca="false">'Смета Внутр'!E1247</f>
        <v>500</v>
      </c>
      <c r="F1240" s="1004" t="n">
        <f aca="false">'Смета Внутр'!F1247</f>
        <v>0</v>
      </c>
      <c r="G1240" s="1004" t="n">
        <f aca="false">IF(E1240&gt;F1240,E1240,F1240)</f>
        <v>500</v>
      </c>
      <c r="H1240" s="1004" t="n">
        <f aca="false">'Смета Внутр'!G1247</f>
        <v>0</v>
      </c>
      <c r="I1240" s="1004" t="n">
        <f aca="false">'Смета Внутр'!H1247</f>
        <v>0</v>
      </c>
      <c r="J1240" s="1018" t="n">
        <f aca="false">'Смета Внутр'!I1247</f>
        <v>0</v>
      </c>
    </row>
    <row r="1241" customFormat="false" ht="15" hidden="false" customHeight="true" outlineLevel="0" collapsed="false">
      <c r="B1241" s="2896" t="str">
        <f aca="false">'Смета Внутр'!B1248</f>
        <v>Итого работы</v>
      </c>
      <c r="C1241" s="2896"/>
      <c r="D1241" s="2896"/>
      <c r="E1241" s="2896"/>
      <c r="F1241" s="2896"/>
      <c r="G1241" s="2896"/>
      <c r="H1241" s="1004" t="n">
        <f aca="false">'Смета Внутр'!G1248</f>
        <v>0</v>
      </c>
      <c r="I1241" s="1004" t="n">
        <f aca="false">'Смета Внутр'!H1248</f>
        <v>0</v>
      </c>
      <c r="J1241" s="2897" t="n">
        <f aca="false">'Смета Внутр'!I1248</f>
        <v>0</v>
      </c>
    </row>
    <row r="1242" customFormat="false" ht="15" hidden="false" customHeight="true" outlineLevel="0" collapsed="false">
      <c r="B1242" s="2925" t="str">
        <f aca="false">'Смета Внутр'!B1249</f>
        <v>Веранда/терасса деревянная</v>
      </c>
      <c r="C1242" s="2925"/>
      <c r="D1242" s="2925"/>
      <c r="H1242" s="0" t="n">
        <f aca="false">'Смета Внутр'!G1249</f>
        <v>0</v>
      </c>
      <c r="I1242" s="0" t="n">
        <f aca="false">'Смета Внутр'!H1249</f>
        <v>0</v>
      </c>
      <c r="J1242" s="2926" t="n">
        <f aca="false">'Смета Внутр'!I1249</f>
        <v>0</v>
      </c>
    </row>
    <row r="1243" customFormat="false" ht="15" hidden="false" customHeight="true" outlineLevel="0" collapsed="false">
      <c r="B1243" s="2881" t="str">
        <f aca="false">'Смета Внутр'!B1250</f>
        <v>Материалы</v>
      </c>
      <c r="D1243" s="919"/>
      <c r="H1243" s="0" t="n">
        <f aca="false">'Смета Внутр'!G1250</f>
        <v>0</v>
      </c>
      <c r="I1243" s="0" t="n">
        <f aca="false">'Смета Внутр'!H1250</f>
        <v>0</v>
      </c>
      <c r="J1243" s="2926" t="n">
        <f aca="false">'Смета Внутр'!I1250</f>
        <v>0</v>
      </c>
    </row>
    <row r="1244" customFormat="false" ht="15" hidden="false" customHeight="true" outlineLevel="0" collapsed="false">
      <c r="B1244" s="1004" t="str">
        <f aca="false">'Смета Внутр'!B1251</f>
        <v>Листв. влаж, 200*200мм</v>
      </c>
      <c r="C1244" s="1004" t="str">
        <f aca="false">'Смета Внутр'!C1251</f>
        <v>м3</v>
      </c>
      <c r="D1244" s="1018" t="n">
        <f aca="false">'Смета Внутр'!D1251</f>
        <v>0</v>
      </c>
      <c r="E1244" s="1004" t="n">
        <f aca="false">'Смета Внутр'!E1251</f>
        <v>9000</v>
      </c>
      <c r="F1244" s="1004" t="n">
        <f aca="false">'Смета Внутр'!F1251</f>
        <v>0</v>
      </c>
      <c r="G1244" s="1004" t="n">
        <f aca="false">IF(E1244&gt;F1244,E1244,F1244)</f>
        <v>9000</v>
      </c>
      <c r="H1244" s="1004" t="n">
        <f aca="false">'Смета Внутр'!G1251</f>
        <v>0</v>
      </c>
      <c r="I1244" s="1004" t="n">
        <f aca="false">'Смета Внутр'!H1251</f>
        <v>0</v>
      </c>
      <c r="J1244" s="1018" t="n">
        <f aca="false">'Смета Внутр'!I1251</f>
        <v>0</v>
      </c>
    </row>
    <row r="1245" customFormat="false" ht="15" hidden="false" customHeight="true" outlineLevel="0" collapsed="false">
      <c r="B1245" s="1004" t="str">
        <f aca="false">'Смета Внутр'!B1252</f>
        <v>Листв. влаж, 200*150мм</v>
      </c>
      <c r="C1245" s="1004" t="str">
        <f aca="false">'Смета Внутр'!C1252</f>
        <v>м3</v>
      </c>
      <c r="D1245" s="1018" t="n">
        <f aca="false">'Смета Внутр'!D1252</f>
        <v>0.54</v>
      </c>
      <c r="E1245" s="1004" t="n">
        <f aca="false">'Смета Внутр'!E1252</f>
        <v>8500</v>
      </c>
      <c r="F1245" s="1004" t="n">
        <f aca="false">'Смета Внутр'!F1252</f>
        <v>0</v>
      </c>
      <c r="G1245" s="1004" t="n">
        <f aca="false">IF(E1245&gt;F1245,E1245,F1245)</f>
        <v>8500</v>
      </c>
      <c r="H1245" s="1004" t="n">
        <f aca="false">'Смета Внутр'!G1252</f>
        <v>4590</v>
      </c>
      <c r="I1245" s="1004" t="n">
        <f aca="false">'Смета Внутр'!H1252</f>
        <v>0</v>
      </c>
      <c r="J1245" s="1018" t="n">
        <f aca="false">'Смета Внутр'!I1252</f>
        <v>0</v>
      </c>
    </row>
    <row r="1246" customFormat="false" ht="15" hidden="false" customHeight="true" outlineLevel="0" collapsed="false">
      <c r="B1246" s="1004" t="str">
        <f aca="false">'Смета Внутр'!B1253</f>
        <v>Рубероид</v>
      </c>
      <c r="C1246" s="1004" t="str">
        <f aca="false">'Смета Внутр'!C1253</f>
        <v>м.п.</v>
      </c>
      <c r="D1246" s="1018" t="n">
        <f aca="false">'Смета Внутр'!D1253</f>
        <v>0</v>
      </c>
      <c r="E1246" s="1004" t="n">
        <f aca="false">'Смета Внутр'!E1253</f>
        <v>30</v>
      </c>
      <c r="F1246" s="1004" t="n">
        <f aca="false">'Смета Внутр'!F1253</f>
        <v>0</v>
      </c>
      <c r="G1246" s="1004" t="n">
        <f aca="false">IF(E1246&gt;F1246,E1246,F1246)</f>
        <v>30</v>
      </c>
      <c r="H1246" s="1004" t="n">
        <f aca="false">'Смета Внутр'!G1253</f>
        <v>0</v>
      </c>
      <c r="I1246" s="1004" t="n">
        <f aca="false">'Смета Внутр'!H1253</f>
        <v>0</v>
      </c>
      <c r="J1246" s="1018" t="n">
        <f aca="false">'Смета Внутр'!I1253</f>
        <v>0</v>
      </c>
    </row>
    <row r="1247" customFormat="false" ht="15" hidden="false" customHeight="true" outlineLevel="0" collapsed="false">
      <c r="B1247" s="1004" t="str">
        <f aca="false">'Смета Внутр'!B1254</f>
        <v>Листв. влаж, 200*150мм</v>
      </c>
      <c r="C1247" s="1004" t="str">
        <f aca="false">'Смета Внутр'!C1254</f>
        <v>м3</v>
      </c>
      <c r="D1247" s="1018" t="n">
        <f aca="false">'Смета Внутр'!D1254</f>
        <v>0</v>
      </c>
      <c r="E1247" s="1004" t="n">
        <f aca="false">'Смета Внутр'!E1254</f>
        <v>8500</v>
      </c>
      <c r="F1247" s="1004" t="n">
        <f aca="false">'Смета Внутр'!F1254</f>
        <v>0</v>
      </c>
      <c r="G1247" s="1004" t="n">
        <f aca="false">IF(E1247&gt;F1247,E1247,F1247)</f>
        <v>8500</v>
      </c>
      <c r="H1247" s="1004" t="n">
        <f aca="false">'Смета Внутр'!G1254</f>
        <v>0</v>
      </c>
      <c r="I1247" s="1004" t="n">
        <f aca="false">'Смета Внутр'!H1254</f>
        <v>0</v>
      </c>
      <c r="J1247" s="1018" t="n">
        <f aca="false">'Смета Внутр'!I1254</f>
        <v>0</v>
      </c>
    </row>
    <row r="1248" customFormat="false" ht="15" hidden="false" customHeight="true" outlineLevel="0" collapsed="false">
      <c r="B1248" s="1004" t="str">
        <f aca="false">'Смета Внутр'!B1255</f>
        <v>Проф.брус вл. 200*150мм</v>
      </c>
      <c r="C1248" s="1004" t="str">
        <f aca="false">'Смета Внутр'!C1255</f>
        <v>м3</v>
      </c>
      <c r="D1248" s="1018" t="n">
        <f aca="false">'Смета Внутр'!D1255</f>
        <v>0.5265</v>
      </c>
      <c r="E1248" s="1004" t="n">
        <f aca="false">'Смета Внутр'!E1255</f>
        <v>9300</v>
      </c>
      <c r="F1248" s="1004" t="n">
        <f aca="false">'Смета Внутр'!F1255</f>
        <v>0</v>
      </c>
      <c r="G1248" s="1004" t="n">
        <f aca="false">IF(E1248&gt;F1248,E1248,F1248)</f>
        <v>9300</v>
      </c>
      <c r="H1248" s="1004" t="n">
        <f aca="false">'Смета Внутр'!G1255</f>
        <v>4896.45</v>
      </c>
      <c r="I1248" s="1004" t="n">
        <f aca="false">'Смета Внутр'!H1255</f>
        <v>0</v>
      </c>
      <c r="J1248" s="1018" t="n">
        <f aca="false">'Смета Внутр'!I1255</f>
        <v>0</v>
      </c>
    </row>
    <row r="1249" customFormat="false" ht="15" hidden="false" customHeight="true" outlineLevel="0" collapsed="false">
      <c r="B1249" s="1004" t="str">
        <f aca="false">'Смета Внутр'!B1256</f>
        <v>Брус клееный проф 2 ламель кедр Шир. 240 выс. 140</v>
      </c>
      <c r="C1249" s="1004" t="str">
        <f aca="false">'Смета Внутр'!C1256</f>
        <v>м3</v>
      </c>
      <c r="D1249" s="1018" t="n">
        <f aca="false">'Смета Внутр'!D1256</f>
        <v>0.3024</v>
      </c>
      <c r="E1249" s="1004" t="n">
        <f aca="false">'Смета Внутр'!E1256</f>
        <v>24000</v>
      </c>
      <c r="F1249" s="1004" t="n">
        <f aca="false">'Смета Внутр'!F1256</f>
        <v>0</v>
      </c>
      <c r="G1249" s="1004" t="n">
        <f aca="false">IF(E1249&gt;F1249,E1249,F1249)</f>
        <v>24000</v>
      </c>
      <c r="H1249" s="1004" t="n">
        <f aca="false">'Смета Внутр'!G1256</f>
        <v>7257.6</v>
      </c>
      <c r="I1249" s="1004" t="n">
        <f aca="false">'Смета Внутр'!H1256</f>
        <v>0</v>
      </c>
      <c r="J1249" s="1018" t="n">
        <f aca="false">'Смета Внутр'!I1256</f>
        <v>0</v>
      </c>
    </row>
    <row r="1250" customFormat="false" ht="15" hidden="false" customHeight="true" outlineLevel="0" collapsed="false">
      <c r="B1250" s="1004" t="str">
        <f aca="false">'Смета Внутр'!B1257</f>
        <v>Брус клееный проф 1 ламель кедр Шир. 240 выс. 140</v>
      </c>
      <c r="C1250" s="1004" t="str">
        <f aca="false">'Смета Внутр'!C1257</f>
        <v>м3</v>
      </c>
      <c r="D1250" s="1018" t="n">
        <f aca="false">'Смета Внутр'!D1257</f>
        <v>1.008</v>
      </c>
      <c r="E1250" s="1004" t="n">
        <f aca="false">'Смета Внутр'!E1257</f>
        <v>24000</v>
      </c>
      <c r="F1250" s="1004" t="n">
        <f aca="false">'Смета Внутр'!F1257</f>
        <v>0</v>
      </c>
      <c r="G1250" s="1004" t="n">
        <f aca="false">IF(E1250&gt;F1250,E1250,F1250)</f>
        <v>24000</v>
      </c>
      <c r="H1250" s="1004" t="n">
        <f aca="false">'Смета Внутр'!G1257</f>
        <v>24192</v>
      </c>
      <c r="I1250" s="1004" t="n">
        <f aca="false">'Смета Внутр'!H1257</f>
        <v>0</v>
      </c>
      <c r="J1250" s="1018" t="n">
        <f aca="false">'Смета Внутр'!I1257</f>
        <v>0</v>
      </c>
    </row>
    <row r="1251" customFormat="false" ht="15" hidden="false" customHeight="true" outlineLevel="0" collapsed="false">
      <c r="B1251" s="1004" t="str">
        <f aca="false">'Смета Внутр'!B1258</f>
        <v>Проф.брус вл. 200*180мм</v>
      </c>
      <c r="C1251" s="1004" t="str">
        <f aca="false">'Смета Внутр'!C1258</f>
        <v>м3</v>
      </c>
      <c r="D1251" s="1018" t="n">
        <f aca="false">'Смета Внутр'!D1258</f>
        <v>0.504</v>
      </c>
      <c r="E1251" s="1004" t="n">
        <f aca="false">'Смета Внутр'!E1258</f>
        <v>9300</v>
      </c>
      <c r="F1251" s="1004" t="n">
        <f aca="false">'Смета Внутр'!F1258</f>
        <v>0</v>
      </c>
      <c r="G1251" s="1004" t="n">
        <f aca="false">IF(E1251&gt;F1251,E1251,F1251)</f>
        <v>9300</v>
      </c>
      <c r="H1251" s="1004" t="n">
        <f aca="false">'Смета Внутр'!G1258</f>
        <v>4687.2</v>
      </c>
      <c r="I1251" s="1004" t="n">
        <f aca="false">'Смета Внутр'!H1258</f>
        <v>0</v>
      </c>
      <c r="J1251" s="1018" t="n">
        <f aca="false">'Смета Внутр'!I1258</f>
        <v>0</v>
      </c>
    </row>
    <row r="1252" customFormat="false" ht="15" hidden="false" customHeight="true" outlineLevel="0" collapsed="false">
      <c r="B1252" s="1004" t="str">
        <f aca="false">'Смета Внутр'!B1259</f>
        <v>Нет накладки</v>
      </c>
      <c r="C1252" s="1004" t="str">
        <f aca="false">'Смета Внутр'!C1259</f>
        <v>м.п.</v>
      </c>
      <c r="D1252" s="1018" t="n">
        <f aca="false">'Смета Внутр'!D1259</f>
        <v>9</v>
      </c>
      <c r="E1252" s="1004" t="n">
        <f aca="false">'Смета Внутр'!E1259</f>
        <v>0</v>
      </c>
      <c r="F1252" s="1004" t="n">
        <f aca="false">'Смета Внутр'!F1259</f>
        <v>0</v>
      </c>
      <c r="G1252" s="1004" t="n">
        <f aca="false">IF(E1252&gt;F1252,E1252,F1252)</f>
        <v>0</v>
      </c>
      <c r="H1252" s="1004" t="n">
        <f aca="false">'Смета Внутр'!G1259</f>
        <v>0</v>
      </c>
      <c r="I1252" s="1004" t="n">
        <f aca="false">'Смета Внутр'!H1259</f>
        <v>0</v>
      </c>
      <c r="J1252" s="1018" t="n">
        <f aca="false">'Смета Внутр'!I1259</f>
        <v>0</v>
      </c>
    </row>
    <row r="1253" customFormat="false" ht="15" hidden="false" customHeight="true" outlineLevel="0" collapsed="false">
      <c r="B1253" s="1004" t="str">
        <f aca="false">'Смета Внутр'!B1260</f>
        <v>Гидрокомпенсатор</v>
      </c>
      <c r="C1253" s="1004" t="str">
        <f aca="false">'Смета Внутр'!C1260</f>
        <v>шт</v>
      </c>
      <c r="D1253" s="1018" t="n">
        <f aca="false">'Смета Внутр'!D1260</f>
        <v>9</v>
      </c>
      <c r="E1253" s="1004" t="n">
        <f aca="false">'Смета Внутр'!E1260</f>
        <v>450</v>
      </c>
      <c r="F1253" s="1004" t="n">
        <f aca="false">'Смета Внутр'!F1260</f>
        <v>0</v>
      </c>
      <c r="G1253" s="1004" t="n">
        <f aca="false">IF(E1253&gt;F1253,E1253,F1253)</f>
        <v>450</v>
      </c>
      <c r="H1253" s="1004" t="n">
        <f aca="false">'Смета Внутр'!G1260</f>
        <v>4050</v>
      </c>
      <c r="I1253" s="1004" t="n">
        <f aca="false">'Смета Внутр'!H1260</f>
        <v>0</v>
      </c>
      <c r="J1253" s="1018" t="n">
        <f aca="false">'Смета Внутр'!I1260</f>
        <v>0</v>
      </c>
    </row>
    <row r="1254" customFormat="false" ht="15" hidden="false" customHeight="true" outlineLevel="0" collapsed="false">
      <c r="B1254" s="1004" t="str">
        <f aca="false">'Смета Внутр'!B1261</f>
        <v>Уголок усиленный 90х70х55х2,5</v>
      </c>
      <c r="C1254" s="1004" t="str">
        <f aca="false">'Смета Внутр'!C1261</f>
        <v>шт</v>
      </c>
      <c r="D1254" s="1018" t="n">
        <f aca="false">'Смета Внутр'!D1261</f>
        <v>0</v>
      </c>
      <c r="E1254" s="1004" t="n">
        <f aca="false">'Смета Внутр'!E1261</f>
        <v>30</v>
      </c>
      <c r="F1254" s="1004" t="n">
        <f aca="false">'Смета Внутр'!F1261</f>
        <v>0</v>
      </c>
      <c r="G1254" s="1004" t="n">
        <f aca="false">IF(E1254&gt;F1254,E1254,F1254)</f>
        <v>30</v>
      </c>
      <c r="H1254" s="1004" t="n">
        <f aca="false">'Смета Внутр'!G1261</f>
        <v>0</v>
      </c>
      <c r="I1254" s="1004" t="n">
        <f aca="false">'Смета Внутр'!H1261</f>
        <v>0</v>
      </c>
      <c r="J1254" s="1018" t="n">
        <f aca="false">'Смета Внутр'!I1261</f>
        <v>0</v>
      </c>
    </row>
    <row r="1255" customFormat="false" ht="15" hidden="false" customHeight="true" outlineLevel="0" collapsed="false">
      <c r="B1255" s="1004" t="str">
        <f aca="false">'Смета Внутр'!B1262</f>
        <v>Нет уголков</v>
      </c>
      <c r="C1255" s="1004" t="str">
        <f aca="false">'Смета Внутр'!C1262</f>
        <v>шт</v>
      </c>
      <c r="D1255" s="1018" t="n">
        <f aca="false">'Смета Внутр'!D1262</f>
        <v>0</v>
      </c>
      <c r="E1255" s="1004" t="n">
        <f aca="false">'Смета Внутр'!E1262</f>
        <v>0</v>
      </c>
      <c r="F1255" s="1004" t="n">
        <f aca="false">'Смета Внутр'!F1262</f>
        <v>0</v>
      </c>
      <c r="G1255" s="1004" t="n">
        <f aca="false">IF(E1255&gt;F1255,E1255,F1255)</f>
        <v>0</v>
      </c>
      <c r="H1255" s="1004" t="n">
        <f aca="false">'Смета Внутр'!G1262</f>
        <v>0</v>
      </c>
      <c r="I1255" s="1004" t="n">
        <f aca="false">'Смета Внутр'!H1262</f>
        <v>0</v>
      </c>
      <c r="J1255" s="1018" t="n">
        <f aca="false">'Смета Внутр'!I1262</f>
        <v>0</v>
      </c>
    </row>
    <row r="1256" customFormat="false" ht="15" hidden="false" customHeight="true" outlineLevel="0" collapsed="false">
      <c r="B1256" s="1004" t="str">
        <f aca="false">'Смета Внутр'!B1263</f>
        <v>Пластина соеденительная 100х240х2</v>
      </c>
      <c r="C1256" s="1004" t="str">
        <f aca="false">'Смета Внутр'!C1263</f>
        <v>шт</v>
      </c>
      <c r="D1256" s="1018" t="n">
        <f aca="false">'Смета Внутр'!D1263</f>
        <v>0</v>
      </c>
      <c r="E1256" s="1004" t="n">
        <f aca="false">'Смета Внутр'!E1263</f>
        <v>31.54</v>
      </c>
      <c r="F1256" s="1004" t="n">
        <f aca="false">'Смета Внутр'!F1263</f>
        <v>0</v>
      </c>
      <c r="G1256" s="1004" t="n">
        <f aca="false">IF(E1256&gt;F1256,E1256,F1256)</f>
        <v>31.54</v>
      </c>
      <c r="H1256" s="1004" t="n">
        <f aca="false">'Смета Внутр'!G1263</f>
        <v>0</v>
      </c>
      <c r="I1256" s="1004" t="n">
        <f aca="false">'Смета Внутр'!H1263</f>
        <v>0</v>
      </c>
      <c r="J1256" s="1018" t="n">
        <f aca="false">'Смета Внутр'!I1263</f>
        <v>0</v>
      </c>
    </row>
    <row r="1257" customFormat="false" ht="15" hidden="false" customHeight="true" outlineLevel="0" collapsed="false">
      <c r="B1257" s="1004" t="str">
        <f aca="false">'Смета Внутр'!B1264</f>
        <v>Нет пластин</v>
      </c>
      <c r="C1257" s="1004" t="str">
        <f aca="false">'Смета Внутр'!C1264</f>
        <v>шт</v>
      </c>
      <c r="D1257" s="1018" t="n">
        <f aca="false">'Смета Внутр'!D1264</f>
        <v>0</v>
      </c>
      <c r="E1257" s="1004" t="n">
        <f aca="false">'Смета Внутр'!E1264</f>
        <v>0</v>
      </c>
      <c r="F1257" s="1004" t="n">
        <f aca="false">'Смета Внутр'!F1264</f>
        <v>0</v>
      </c>
      <c r="G1257" s="1004" t="n">
        <f aca="false">IF(E1257&gt;F1257,E1257,F1257)</f>
        <v>0</v>
      </c>
      <c r="H1257" s="1004" t="n">
        <f aca="false">'Смета Внутр'!G1264</f>
        <v>0</v>
      </c>
      <c r="I1257" s="1004" t="n">
        <f aca="false">'Смета Внутр'!H1264</f>
        <v>0</v>
      </c>
      <c r="J1257" s="1018" t="n">
        <f aca="false">'Смета Внутр'!I1264</f>
        <v>0</v>
      </c>
    </row>
    <row r="1258" customFormat="false" ht="15" hidden="false" customHeight="true" outlineLevel="0" collapsed="false">
      <c r="B1258" s="1004" t="str">
        <f aca="false">'Смета Внутр'!B1265</f>
        <v>Болты анкерные с гайкой 12,0 x 100</v>
      </c>
      <c r="C1258" s="1004" t="str">
        <f aca="false">'Смета Внутр'!C1265</f>
        <v>шт</v>
      </c>
      <c r="D1258" s="1018" t="n">
        <f aca="false">'Смета Внутр'!D1265</f>
        <v>0</v>
      </c>
      <c r="E1258" s="1004" t="n">
        <f aca="false">'Смета Внутр'!E1265</f>
        <v>11.2</v>
      </c>
      <c r="F1258" s="1004" t="n">
        <f aca="false">'Смета Внутр'!F1265</f>
        <v>0</v>
      </c>
      <c r="G1258" s="1004" t="n">
        <f aca="false">IF(E1258&gt;F1258,E1258,F1258)</f>
        <v>11.2</v>
      </c>
      <c r="H1258" s="1004" t="n">
        <f aca="false">'Смета Внутр'!G1265</f>
        <v>0</v>
      </c>
      <c r="I1258" s="1004" t="n">
        <f aca="false">'Смета Внутр'!H1265</f>
        <v>0</v>
      </c>
      <c r="J1258" s="1018" t="n">
        <f aca="false">'Смета Внутр'!I1265</f>
        <v>0</v>
      </c>
    </row>
    <row r="1259" customFormat="false" ht="15" hidden="false" customHeight="true" outlineLevel="0" collapsed="false">
      <c r="B1259" s="1004" t="str">
        <f aca="false">'Смета Внутр'!B1266</f>
        <v>Нет анкерных болтов</v>
      </c>
      <c r="C1259" s="1004" t="str">
        <f aca="false">'Смета Внутр'!C1266</f>
        <v>шт</v>
      </c>
      <c r="D1259" s="1018" t="n">
        <f aca="false">'Смета Внутр'!D1266</f>
        <v>0</v>
      </c>
      <c r="E1259" s="1004" t="n">
        <f aca="false">'Смета Внутр'!E1266</f>
        <v>0</v>
      </c>
      <c r="F1259" s="1004" t="n">
        <f aca="false">'Смета Внутр'!F1266</f>
        <v>0</v>
      </c>
      <c r="G1259" s="1004" t="n">
        <f aca="false">IF(E1259&gt;F1259,E1259,F1259)</f>
        <v>0</v>
      </c>
      <c r="H1259" s="1004" t="n">
        <f aca="false">'Смета Внутр'!G1266</f>
        <v>0</v>
      </c>
      <c r="I1259" s="1004" t="n">
        <f aca="false">'Смета Внутр'!H1266</f>
        <v>0</v>
      </c>
      <c r="J1259" s="1018" t="n">
        <f aca="false">'Смета Внутр'!I1266</f>
        <v>0</v>
      </c>
    </row>
    <row r="1260" customFormat="false" ht="15" hidden="false" customHeight="true" outlineLevel="0" collapsed="false">
      <c r="B1260" s="1004" t="str">
        <f aca="false">'Смета Внутр'!B1267</f>
        <v>Саморезы 3,5 x 45</v>
      </c>
      <c r="C1260" s="1004" t="str">
        <f aca="false">'Смета Внутр'!C1267</f>
        <v>кг</v>
      </c>
      <c r="D1260" s="1018" t="n">
        <f aca="false">'Смета Внутр'!D1267</f>
        <v>0</v>
      </c>
      <c r="E1260" s="1004" t="n">
        <f aca="false">'Смета Внутр'!E1267</f>
        <v>105.62</v>
      </c>
      <c r="F1260" s="1004" t="n">
        <f aca="false">'Смета Внутр'!F1267</f>
        <v>0</v>
      </c>
      <c r="G1260" s="1004" t="n">
        <f aca="false">IF(E1260&gt;F1260,E1260,F1260)</f>
        <v>105.62</v>
      </c>
      <c r="H1260" s="1004" t="n">
        <f aca="false">'Смета Внутр'!G1267</f>
        <v>0</v>
      </c>
      <c r="I1260" s="1004" t="n">
        <f aca="false">'Смета Внутр'!H1267</f>
        <v>0</v>
      </c>
      <c r="J1260" s="1018" t="n">
        <f aca="false">'Смета Внутр'!I1267</f>
        <v>0</v>
      </c>
    </row>
    <row r="1261" customFormat="false" ht="15" hidden="false" customHeight="true" outlineLevel="0" collapsed="false">
      <c r="B1261" s="1004" t="str">
        <f aca="false">'Смета Внутр'!B1268</f>
        <v>Нет саморезов</v>
      </c>
      <c r="C1261" s="1004" t="str">
        <f aca="false">'Смета Внутр'!C1268</f>
        <v>кг</v>
      </c>
      <c r="D1261" s="1018" t="n">
        <f aca="false">'Смета Внутр'!D1268</f>
        <v>0</v>
      </c>
      <c r="E1261" s="1004" t="n">
        <f aca="false">'Смета Внутр'!E1268</f>
        <v>0</v>
      </c>
      <c r="F1261" s="1004" t="n">
        <f aca="false">'Смета Внутр'!F1268</f>
        <v>0</v>
      </c>
      <c r="G1261" s="1004" t="n">
        <f aca="false">IF(E1261&gt;F1261,E1261,F1261)</f>
        <v>0</v>
      </c>
      <c r="H1261" s="1004" t="n">
        <f aca="false">'Смета Внутр'!G1268</f>
        <v>0</v>
      </c>
      <c r="I1261" s="1004" t="n">
        <f aca="false">'Смета Внутр'!H1268</f>
        <v>0</v>
      </c>
      <c r="J1261" s="1018" t="n">
        <f aca="false">'Смета Внутр'!I1268</f>
        <v>0</v>
      </c>
    </row>
    <row r="1262" customFormat="false" ht="15" hidden="false" customHeight="true" outlineLevel="0" collapsed="false">
      <c r="B1262" s="1004" t="str">
        <f aca="false">'Смета Внутр'!B1269</f>
        <v>Гвозди строительные 2,5 x 60</v>
      </c>
      <c r="C1262" s="1004" t="str">
        <f aca="false">'Смета Внутр'!C1269</f>
        <v>кг</v>
      </c>
      <c r="D1262" s="1018" t="n">
        <f aca="false">'Смета Внутр'!D1269</f>
        <v>0</v>
      </c>
      <c r="E1262" s="1004" t="n">
        <f aca="false">'Смета Внутр'!E1269</f>
        <v>70</v>
      </c>
      <c r="F1262" s="1004" t="n">
        <f aca="false">'Смета Внутр'!F1269</f>
        <v>0</v>
      </c>
      <c r="G1262" s="1004" t="n">
        <f aca="false">IF(E1262&gt;F1262,E1262,F1262)</f>
        <v>70</v>
      </c>
      <c r="H1262" s="1004" t="n">
        <f aca="false">'Смета Внутр'!G1269</f>
        <v>0</v>
      </c>
      <c r="I1262" s="1004" t="n">
        <f aca="false">'Смета Внутр'!H1269</f>
        <v>0</v>
      </c>
      <c r="J1262" s="1018" t="n">
        <f aca="false">'Смета Внутр'!I1269</f>
        <v>0</v>
      </c>
    </row>
    <row r="1263" customFormat="false" ht="15" hidden="false" customHeight="true" outlineLevel="0" collapsed="false">
      <c r="B1263" s="1004" t="str">
        <f aca="false">'Смета Внутр'!B1270</f>
        <v>Гвозди ершоные 3,4 x 60</v>
      </c>
      <c r="C1263" s="1004" t="str">
        <f aca="false">'Смета Внутр'!C1270</f>
        <v>кг</v>
      </c>
      <c r="D1263" s="1018" t="n">
        <f aca="false">'Смета Внутр'!D1270</f>
        <v>0</v>
      </c>
      <c r="E1263" s="1004" t="n">
        <f aca="false">'Смета Внутр'!E1270</f>
        <v>75.51</v>
      </c>
      <c r="F1263" s="1004" t="n">
        <f aca="false">'Смета Внутр'!F1270</f>
        <v>0</v>
      </c>
      <c r="G1263" s="1004" t="n">
        <f aca="false">IF(E1263&gt;F1263,E1263,F1263)</f>
        <v>75.51</v>
      </c>
      <c r="H1263" s="1004" t="n">
        <f aca="false">'Смета Внутр'!G1270</f>
        <v>0</v>
      </c>
      <c r="I1263" s="1004" t="n">
        <f aca="false">'Смета Внутр'!H1270</f>
        <v>0</v>
      </c>
      <c r="J1263" s="1018" t="n">
        <f aca="false">'Смета Внутр'!I1270</f>
        <v>0</v>
      </c>
    </row>
    <row r="1264" customFormat="false" ht="15" hidden="false" customHeight="true" outlineLevel="0" collapsed="false">
      <c r="B1264" s="1004" t="str">
        <f aca="false">'Смета Внутр'!B1271</f>
        <v>Гидроизоляция жидкая резина 1</v>
      </c>
      <c r="C1264" s="1004" t="str">
        <f aca="false">'Смета Внутр'!C1271</f>
        <v>кг</v>
      </c>
      <c r="D1264" s="1018" t="n">
        <f aca="false">'Смета Внутр'!D1271</f>
        <v>0</v>
      </c>
      <c r="E1264" s="1004" t="n">
        <f aca="false">'Смета Внутр'!E1271</f>
        <v>150</v>
      </c>
      <c r="F1264" s="1004" t="n">
        <f aca="false">'Смета Внутр'!F1271</f>
        <v>0</v>
      </c>
      <c r="G1264" s="1004" t="n">
        <f aca="false">IF(E1264&gt;F1264,E1264,F1264)</f>
        <v>150</v>
      </c>
      <c r="H1264" s="1004" t="n">
        <f aca="false">'Смета Внутр'!G1271</f>
        <v>0</v>
      </c>
      <c r="I1264" s="1004" t="n">
        <f aca="false">'Смета Внутр'!H1271</f>
        <v>0</v>
      </c>
      <c r="J1264" s="1018" t="n">
        <f aca="false">'Смета Внутр'!I1271</f>
        <v>0</v>
      </c>
    </row>
    <row r="1265" customFormat="false" ht="15" hidden="false" customHeight="true" outlineLevel="0" collapsed="false">
      <c r="B1265" s="1004" t="str">
        <f aca="false">'Смета Внутр'!B1272</f>
        <v>Kronospan - OSB-3, 22мм</v>
      </c>
      <c r="C1265" s="1004" t="str">
        <f aca="false">'Смета Внутр'!C1272</f>
        <v>м2</v>
      </c>
      <c r="D1265" s="1018" t="n">
        <f aca="false">'Смета Внутр'!D1272</f>
        <v>0</v>
      </c>
      <c r="E1265" s="1004" t="n">
        <f aca="false">'Смета Внутр'!E1272</f>
        <v>526.666666666667</v>
      </c>
      <c r="F1265" s="1004" t="n">
        <f aca="false">'Смета Внутр'!F1272</f>
        <v>0</v>
      </c>
      <c r="G1265" s="1004" t="n">
        <f aca="false">IF(E1265&gt;F1265,E1265,F1265)</f>
        <v>526.666666666667</v>
      </c>
      <c r="H1265" s="1004" t="n">
        <f aca="false">'Смета Внутр'!G1272</f>
        <v>0</v>
      </c>
      <c r="I1265" s="1004" t="n">
        <f aca="false">'Смета Внутр'!H1272</f>
        <v>0</v>
      </c>
      <c r="J1265" s="1018" t="n">
        <f aca="false">'Смета Внутр'!I1272</f>
        <v>0</v>
      </c>
    </row>
    <row r="1266" customFormat="false" ht="15" hidden="false" customHeight="true" outlineLevel="0" collapsed="false">
      <c r="B1266" s="1004" t="str">
        <f aca="false">'Смета Внутр'!B1273</f>
        <v>Проф.брус вл. 200*150мм</v>
      </c>
      <c r="C1266" s="1004" t="str">
        <f aca="false">'Смета Внутр'!C1273</f>
        <v>м3</v>
      </c>
      <c r="D1266" s="1018" t="n">
        <f aca="false">'Смета Внутр'!D1273</f>
        <v>0.09</v>
      </c>
      <c r="E1266" s="1004" t="n">
        <f aca="false">'Смета Внутр'!E1273</f>
        <v>9300</v>
      </c>
      <c r="F1266" s="1004" t="n">
        <f aca="false">'Смета Внутр'!F1273</f>
        <v>0</v>
      </c>
      <c r="G1266" s="1004" t="n">
        <f aca="false">IF(E1266&gt;F1266,E1266,F1266)</f>
        <v>9300</v>
      </c>
      <c r="H1266" s="1004" t="n">
        <f aca="false">'Смета Внутр'!G1273</f>
        <v>837</v>
      </c>
      <c r="I1266" s="1004" t="n">
        <f aca="false">'Смета Внутр'!H1273</f>
        <v>0</v>
      </c>
      <c r="J1266" s="1018" t="n">
        <f aca="false">'Смета Внутр'!I1273</f>
        <v>0</v>
      </c>
    </row>
    <row r="1267" customFormat="false" ht="15" hidden="false" customHeight="true" outlineLevel="0" collapsed="false">
      <c r="B1267" s="1004" t="str">
        <f aca="false">'Смета Внутр'!B1274</f>
        <v>Брус клееный проф 2 ламель кедр Шир. 240 выс. 140</v>
      </c>
      <c r="C1267" s="1004" t="str">
        <f aca="false">'Смета Внутр'!C1274</f>
        <v>м3</v>
      </c>
      <c r="D1267" s="1018" t="n">
        <f aca="false">'Смета Внутр'!D1274</f>
        <v>0.12096</v>
      </c>
      <c r="E1267" s="1004" t="n">
        <f aca="false">'Смета Внутр'!E1274</f>
        <v>24000</v>
      </c>
      <c r="F1267" s="1004" t="n">
        <f aca="false">'Смета Внутр'!F1274</f>
        <v>0</v>
      </c>
      <c r="G1267" s="1004" t="n">
        <f aca="false">IF(E1267&gt;F1267,E1267,F1267)</f>
        <v>24000</v>
      </c>
      <c r="H1267" s="1004" t="n">
        <f aca="false">'Смета Внутр'!G1274</f>
        <v>2903.04</v>
      </c>
      <c r="I1267" s="1004" t="n">
        <f aca="false">'Смета Внутр'!H1274</f>
        <v>0</v>
      </c>
      <c r="J1267" s="1018" t="n">
        <f aca="false">'Смета Внутр'!I1274</f>
        <v>0</v>
      </c>
    </row>
    <row r="1268" customFormat="false" ht="15" hidden="false" customHeight="true" outlineLevel="0" collapsed="false">
      <c r="B1268" s="1004" t="str">
        <f aca="false">'Смета Внутр'!B1275</f>
        <v>Брус клееный проф 1 ламель кедр Шир. 240 выс. 140</v>
      </c>
      <c r="C1268" s="1004" t="str">
        <f aca="false">'Смета Внутр'!C1275</f>
        <v>м3</v>
      </c>
      <c r="D1268" s="1018" t="n">
        <f aca="false">'Смета Внутр'!D1275</f>
        <v>0.4368</v>
      </c>
      <c r="E1268" s="1004" t="n">
        <f aca="false">'Смета Внутр'!E1275</f>
        <v>24000</v>
      </c>
      <c r="F1268" s="1004" t="n">
        <f aca="false">'Смета Внутр'!F1275</f>
        <v>0</v>
      </c>
      <c r="G1268" s="1004" t="n">
        <f aca="false">IF(E1268&gt;F1268,E1268,F1268)</f>
        <v>24000</v>
      </c>
      <c r="H1268" s="1004" t="n">
        <f aca="false">'Смета Внутр'!G1275</f>
        <v>10483.2</v>
      </c>
      <c r="I1268" s="1004" t="n">
        <f aca="false">'Смета Внутр'!H1275</f>
        <v>0</v>
      </c>
      <c r="J1268" s="1018" t="n">
        <f aca="false">'Смета Внутр'!I1275</f>
        <v>0</v>
      </c>
    </row>
    <row r="1269" customFormat="false" ht="15" hidden="false" customHeight="true" outlineLevel="0" collapsed="false">
      <c r="B1269" s="1004" t="str">
        <f aca="false">'Смета Внутр'!B1276</f>
        <v>Клееная накладка на перила шир 240мм</v>
      </c>
      <c r="C1269" s="1004" t="str">
        <f aca="false">'Смета Внутр'!C1276</f>
        <v>м.п.</v>
      </c>
      <c r="D1269" s="1018" t="n">
        <f aca="false">'Смета Внутр'!D1276</f>
        <v>3.6</v>
      </c>
      <c r="E1269" s="1004" t="n">
        <f aca="false">'Смета Внутр'!E1276</f>
        <v>400</v>
      </c>
      <c r="F1269" s="1004" t="n">
        <f aca="false">'Смета Внутр'!F1276</f>
        <v>0</v>
      </c>
      <c r="G1269" s="1004" t="n">
        <f aca="false">IF(E1269&gt;F1269,E1269,F1269)</f>
        <v>400</v>
      </c>
      <c r="H1269" s="1004" t="n">
        <f aca="false">'Смета Внутр'!G1276</f>
        <v>1440</v>
      </c>
      <c r="I1269" s="1004" t="n">
        <f aca="false">'Смета Внутр'!H1276</f>
        <v>0</v>
      </c>
      <c r="J1269" s="1018" t="n">
        <f aca="false">'Смета Внутр'!I1276</f>
        <v>0</v>
      </c>
    </row>
    <row r="1270" customFormat="false" ht="14.5" hidden="false" customHeight="false" outlineLevel="0" collapsed="false">
      <c r="B1270" s="2927" t="str">
        <f aca="false">'Смета Внутр'!B1277</f>
        <v>Итого материалы</v>
      </c>
      <c r="C1270" s="2927"/>
      <c r="D1270" s="2927"/>
      <c r="E1270" s="2927"/>
      <c r="F1270" s="2927"/>
      <c r="G1270" s="2927"/>
      <c r="H1270" s="1004" t="n">
        <f aca="false">'Смета Внутр'!G1277</f>
        <v>0</v>
      </c>
      <c r="I1270" s="1004" t="n">
        <f aca="false">'Смета Внутр'!H1277</f>
        <v>0</v>
      </c>
      <c r="J1270" s="1018" t="n">
        <f aca="false">'Смета Внутр'!I1277</f>
        <v>0</v>
      </c>
    </row>
    <row r="1271" customFormat="false" ht="15" hidden="false" customHeight="true" outlineLevel="0" collapsed="false">
      <c r="B1271" s="2881" t="str">
        <f aca="false">'Смета Внутр'!B1278</f>
        <v>Работы</v>
      </c>
      <c r="D1271" s="919"/>
      <c r="H1271" s="0" t="n">
        <f aca="false">'Смета Внутр'!G1278</f>
        <v>0</v>
      </c>
      <c r="I1271" s="0" t="n">
        <f aca="false">'Смета Внутр'!H1278</f>
        <v>0</v>
      </c>
      <c r="J1271" s="2926" t="n">
        <f aca="false">'Смета Внутр'!I1278</f>
        <v>0</v>
      </c>
    </row>
    <row r="1272" customFormat="false" ht="15" hidden="false" customHeight="true" outlineLevel="0" collapsed="false">
      <c r="B1272" s="1004" t="str">
        <f aca="false">'Смета Внутр'!B1279</f>
        <v>монтаж веранды</v>
      </c>
      <c r="C1272" s="1004" t="str">
        <f aca="false">'Смета Внутр'!C1279</f>
        <v>м2</v>
      </c>
      <c r="D1272" s="1018" t="n">
        <f aca="false">'Смета Внутр'!D1279</f>
        <v>9</v>
      </c>
      <c r="E1272" s="1004" t="n">
        <f aca="false">'Смета Внутр'!E1279</f>
        <v>1500</v>
      </c>
      <c r="F1272" s="1004" t="n">
        <f aca="false">'Смета Внутр'!F1279</f>
        <v>0</v>
      </c>
      <c r="G1272" s="1004" t="n">
        <f aca="false">IF(E1272&gt;F1272,E1272,F1272)</f>
        <v>1500</v>
      </c>
      <c r="H1272" s="1004" t="n">
        <f aca="false">'Смета Внутр'!G1279</f>
        <v>13500</v>
      </c>
      <c r="I1272" s="1004" t="n">
        <f aca="false">'Смета Внутр'!H1279</f>
        <v>0</v>
      </c>
      <c r="J1272" s="1018" t="n">
        <f aca="false">'Смета Внутр'!I1279</f>
        <v>0</v>
      </c>
    </row>
    <row r="1273" customFormat="false" ht="15" hidden="false" customHeight="true" outlineLevel="0" collapsed="false">
      <c r="B1273" s="1004" t="str">
        <f aca="false">'Смета Внутр'!B1280</f>
        <v>монтаж лаги, перекрытия</v>
      </c>
      <c r="C1273" s="1004" t="str">
        <f aca="false">'Смета Внутр'!C1280</f>
        <v>м2</v>
      </c>
      <c r="D1273" s="1018" t="n">
        <f aca="false">'Смета Внутр'!D1280</f>
        <v>9</v>
      </c>
      <c r="E1273" s="1004" t="n">
        <f aca="false">'Смета Внутр'!E1280</f>
        <v>300</v>
      </c>
      <c r="F1273" s="1004" t="n">
        <f aca="false">'Смета Внутр'!F1280</f>
        <v>0</v>
      </c>
      <c r="G1273" s="1004" t="n">
        <f aca="false">IF(E1273&gt;F1273,E1273,F1273)</f>
        <v>300</v>
      </c>
      <c r="H1273" s="1004" t="n">
        <f aca="false">'Смета Внутр'!G1280</f>
        <v>2700</v>
      </c>
      <c r="I1273" s="1004" t="n">
        <f aca="false">'Смета Внутр'!H1280</f>
        <v>0</v>
      </c>
      <c r="J1273" s="1018" t="n">
        <f aca="false">'Смета Внутр'!I1280</f>
        <v>0</v>
      </c>
    </row>
    <row r="1274" customFormat="false" ht="15" hidden="false" customHeight="true" outlineLevel="0" collapsed="false">
      <c r="B1274" s="1004" t="str">
        <f aca="false">'Смета Внутр'!B1281</f>
        <v>Монтаж накладки на перила</v>
      </c>
      <c r="C1274" s="1004" t="str">
        <f aca="false">'Смета Внутр'!C1281</f>
        <v>м.п.</v>
      </c>
      <c r="D1274" s="1018" t="n">
        <f aca="false">'Смета Внутр'!D1281</f>
        <v>9</v>
      </c>
      <c r="E1274" s="1004" t="n">
        <f aca="false">'Смета Внутр'!E1281</f>
        <v>0</v>
      </c>
      <c r="F1274" s="1004" t="n">
        <f aca="false">'Смета Внутр'!F1281</f>
        <v>0</v>
      </c>
      <c r="G1274" s="1004" t="n">
        <f aca="false">IF(E1274&gt;F1274,E1274,F1274)</f>
        <v>0</v>
      </c>
      <c r="H1274" s="1004" t="n">
        <f aca="false">'Смета Внутр'!G1281</f>
        <v>0</v>
      </c>
      <c r="I1274" s="1004" t="n">
        <f aca="false">'Смета Внутр'!H1281</f>
        <v>0</v>
      </c>
      <c r="J1274" s="1018" t="n">
        <f aca="false">'Смета Внутр'!I1281</f>
        <v>0</v>
      </c>
    </row>
    <row r="1275" customFormat="false" ht="15" hidden="false" customHeight="true" outlineLevel="0" collapsed="false">
      <c r="B1275" s="1004" t="str">
        <f aca="false">'Смета Внутр'!B1282</f>
        <v>Монтаж перил</v>
      </c>
      <c r="C1275" s="1004" t="str">
        <f aca="false">'Смета Внутр'!C1282</f>
        <v>м.п.</v>
      </c>
      <c r="D1275" s="1018" t="n">
        <f aca="false">'Смета Внутр'!D1282</f>
        <v>9</v>
      </c>
      <c r="E1275" s="1004" t="n">
        <f aca="false">'Смета Внутр'!E1282</f>
        <v>500</v>
      </c>
      <c r="F1275" s="1004" t="n">
        <f aca="false">'Смета Внутр'!F1282</f>
        <v>0</v>
      </c>
      <c r="G1275" s="1004" t="n">
        <f aca="false">IF(E1275&gt;F1275,E1275,F1275)</f>
        <v>500</v>
      </c>
      <c r="H1275" s="1004" t="n">
        <f aca="false">'Смета Внутр'!G1282</f>
        <v>4500</v>
      </c>
      <c r="I1275" s="1004" t="n">
        <f aca="false">'Смета Внутр'!H1282</f>
        <v>0</v>
      </c>
      <c r="J1275" s="1018" t="n">
        <f aca="false">'Смета Внутр'!I1282</f>
        <v>0</v>
      </c>
    </row>
    <row r="1276" customFormat="false" ht="15" hidden="false" customHeight="true" outlineLevel="0" collapsed="false">
      <c r="B1276" s="1004" t="str">
        <f aca="false">'Смета Внутр'!B1283</f>
        <v>Гидроизоляция рулонная</v>
      </c>
      <c r="C1276" s="1004" t="str">
        <f aca="false">'Смета Внутр'!C1283</f>
        <v>м2</v>
      </c>
      <c r="D1276" s="1018" t="n">
        <f aca="false">'Смета Внутр'!D1283</f>
        <v>0</v>
      </c>
      <c r="E1276" s="1004" t="n">
        <f aca="false">'Смета Внутр'!E1283</f>
        <v>250</v>
      </c>
      <c r="F1276" s="1004" t="n">
        <f aca="false">'Смета Внутр'!F1283</f>
        <v>0</v>
      </c>
      <c r="G1276" s="1004" t="n">
        <f aca="false">IF(E1276&gt;F1276,E1276,F1276)</f>
        <v>250</v>
      </c>
      <c r="H1276" s="1004" t="n">
        <f aca="false">'Смета Внутр'!G1283</f>
        <v>0</v>
      </c>
      <c r="I1276" s="1004" t="n">
        <f aca="false">'Смета Внутр'!H1283</f>
        <v>0</v>
      </c>
      <c r="J1276" s="1018" t="n">
        <f aca="false">'Смета Внутр'!I1283</f>
        <v>0</v>
      </c>
    </row>
    <row r="1277" customFormat="false" ht="15" hidden="false" customHeight="true" outlineLevel="0" collapsed="false">
      <c r="B1277" s="1004" t="str">
        <f aca="false">'Смета Внутр'!B1284</f>
        <v>монтаж OSB пол</v>
      </c>
      <c r="C1277" s="1004" t="str">
        <f aca="false">'Смета Внутр'!C1284</f>
        <v>м2</v>
      </c>
      <c r="D1277" s="1018" t="n">
        <f aca="false">'Смета Внутр'!D1284</f>
        <v>0</v>
      </c>
      <c r="E1277" s="1004" t="n">
        <f aca="false">'Смета Внутр'!E1284</f>
        <v>250</v>
      </c>
      <c r="F1277" s="1004" t="n">
        <f aca="false">'Смета Внутр'!F1284</f>
        <v>0</v>
      </c>
      <c r="G1277" s="1004" t="n">
        <f aca="false">IF(E1277&gt;F1277,E1277,F1277)</f>
        <v>250</v>
      </c>
      <c r="H1277" s="1004" t="n">
        <f aca="false">'Смета Внутр'!G1284</f>
        <v>0</v>
      </c>
      <c r="I1277" s="1004" t="n">
        <f aca="false">'Смета Внутр'!H1284</f>
        <v>0</v>
      </c>
      <c r="J1277" s="1018" t="n">
        <f aca="false">'Смета Внутр'!I1284</f>
        <v>0</v>
      </c>
    </row>
    <row r="1278" customFormat="false" ht="15" hidden="false" customHeight="true" outlineLevel="0" collapsed="false">
      <c r="B1278" s="1004" t="str">
        <f aca="false">'Смета Внутр'!B1285</f>
        <v>Монтаж перил</v>
      </c>
      <c r="C1278" s="1004" t="str">
        <f aca="false">'Смета Внутр'!C1285</f>
        <v>м.п.</v>
      </c>
      <c r="D1278" s="1018" t="n">
        <f aca="false">'Смета Внутр'!D1285</f>
        <v>3.6</v>
      </c>
      <c r="E1278" s="1004" t="n">
        <f aca="false">'Смета Внутр'!E1285</f>
        <v>500</v>
      </c>
      <c r="F1278" s="1004" t="n">
        <f aca="false">'Смета Внутр'!F1285</f>
        <v>0</v>
      </c>
      <c r="G1278" s="1004" t="n">
        <f aca="false">IF(E1278&gt;F1278,E1278,F1278)</f>
        <v>500</v>
      </c>
      <c r="H1278" s="1004" t="n">
        <f aca="false">'Смета Внутр'!G1285</f>
        <v>1800</v>
      </c>
      <c r="I1278" s="1004" t="n">
        <f aca="false">'Смета Внутр'!H1285</f>
        <v>0</v>
      </c>
      <c r="J1278" s="1018" t="n">
        <f aca="false">'Смета Внутр'!I1285</f>
        <v>0</v>
      </c>
    </row>
    <row r="1279" customFormat="false" ht="15" hidden="false" customHeight="true" outlineLevel="0" collapsed="false">
      <c r="B1279" s="1004" t="str">
        <f aca="false">'Смета Внутр'!B1286</f>
        <v>Монтаж накладки на перила</v>
      </c>
      <c r="C1279" s="1004" t="str">
        <f aca="false">'Смета Внутр'!C1286</f>
        <v>м.п.</v>
      </c>
      <c r="D1279" s="1018" t="n">
        <f aca="false">'Смета Внутр'!D1286</f>
        <v>3.6</v>
      </c>
      <c r="E1279" s="1004" t="n">
        <f aca="false">'Смета Внутр'!E1286</f>
        <v>0</v>
      </c>
      <c r="F1279" s="1004" t="n">
        <f aca="false">'Смета Внутр'!F1286</f>
        <v>0</v>
      </c>
      <c r="G1279" s="1004" t="n">
        <f aca="false">IF(E1279&gt;F1279,E1279,F1279)</f>
        <v>0</v>
      </c>
      <c r="H1279" s="1004" t="n">
        <f aca="false">'Смета Внутр'!G1286</f>
        <v>0</v>
      </c>
      <c r="I1279" s="1004" t="n">
        <f aca="false">'Смета Внутр'!H1286</f>
        <v>0</v>
      </c>
      <c r="J1279" s="1018" t="n">
        <f aca="false">'Смета Внутр'!I1286</f>
        <v>0</v>
      </c>
    </row>
    <row r="1280" customFormat="false" ht="15" hidden="false" customHeight="true" outlineLevel="0" collapsed="false">
      <c r="B1280" s="1004" t="str">
        <f aca="false">'Смета Внутр'!B1287</f>
        <v>монтаж веранды/крыльцо</v>
      </c>
      <c r="C1280" s="1004" t="str">
        <f aca="false">'Смета Внутр'!C1287</f>
        <v>м2</v>
      </c>
      <c r="D1280" s="1018" t="n">
        <f aca="false">'Смета Внутр'!D1287</f>
        <v>0</v>
      </c>
      <c r="E1280" s="1004" t="n">
        <f aca="false">'Смета Внутр'!E1287</f>
        <v>1500</v>
      </c>
      <c r="F1280" s="1004" t="n">
        <f aca="false">'Смета Внутр'!F1287</f>
        <v>0</v>
      </c>
      <c r="G1280" s="1004" t="n">
        <f aca="false">IF(E1280&gt;F1280,E1280,F1280)</f>
        <v>1500</v>
      </c>
      <c r="H1280" s="1004" t="n">
        <f aca="false">'Смета Внутр'!G1287</f>
        <v>0</v>
      </c>
      <c r="I1280" s="1004" t="n">
        <f aca="false">'Смета Внутр'!H1287</f>
        <v>0</v>
      </c>
      <c r="J1280" s="1018" t="n">
        <f aca="false">'Смета Внутр'!I1287</f>
        <v>0</v>
      </c>
    </row>
    <row r="1281" customFormat="false" ht="15" hidden="false" customHeight="true" outlineLevel="0" collapsed="false">
      <c r="B1281" s="2927" t="str">
        <f aca="false">'Смета Внутр'!B1288</f>
        <v>Итого работы</v>
      </c>
      <c r="C1281" s="2927"/>
      <c r="D1281" s="2927"/>
      <c r="E1281" s="2927"/>
      <c r="F1281" s="2927"/>
      <c r="G1281" s="2927"/>
      <c r="H1281" s="1004" t="n">
        <f aca="false">'Смета Внутр'!G1288</f>
        <v>0</v>
      </c>
      <c r="I1281" s="1004" t="n">
        <f aca="false">'Смета Внутр'!H1288</f>
        <v>0</v>
      </c>
      <c r="J1281" s="1018" t="n">
        <f aca="false">'Смета Внутр'!I1288</f>
        <v>0</v>
      </c>
    </row>
    <row r="1282" customFormat="false" ht="15" hidden="false" customHeight="true" outlineLevel="0" collapsed="false">
      <c r="B1282" s="2899" t="str">
        <f aca="false">'Смета Внутр'!B1289</f>
        <v>Крыльцо</v>
      </c>
      <c r="C1282" s="2899"/>
      <c r="D1282" s="2899"/>
      <c r="H1282" s="0" t="n">
        <f aca="false">'Смета Внутр'!G1289</f>
        <v>0</v>
      </c>
      <c r="I1282" s="0" t="n">
        <f aca="false">'Смета Внутр'!H1289</f>
        <v>0</v>
      </c>
      <c r="J1282" s="2893" t="n">
        <f aca="false">'Смета Внутр'!I1289</f>
        <v>0</v>
      </c>
    </row>
    <row r="1283" customFormat="false" ht="15" hidden="false" customHeight="true" outlineLevel="0" collapsed="false">
      <c r="B1283" s="2881" t="str">
        <f aca="false">'Смета Внутр'!B1290</f>
        <v>Материалы</v>
      </c>
      <c r="H1283" s="0" t="n">
        <f aca="false">'Смета Внутр'!G1290</f>
        <v>0</v>
      </c>
      <c r="I1283" s="0" t="n">
        <f aca="false">'Смета Внутр'!H1290</f>
        <v>0</v>
      </c>
      <c r="J1283" s="2893" t="n">
        <f aca="false">'Смета Внутр'!I1290</f>
        <v>0</v>
      </c>
    </row>
    <row r="1284" customFormat="false" ht="15" hidden="false" customHeight="true" outlineLevel="0" collapsed="false">
      <c r="B1284" s="2888" t="str">
        <f aca="false">'Смета Внутр'!B1291</f>
        <v>Листв. влаж, 150*150мм</v>
      </c>
      <c r="C1284" s="2888" t="str">
        <f aca="false">'Смета Внутр'!C1291</f>
        <v>м3</v>
      </c>
      <c r="D1284" s="2897" t="n">
        <f aca="false">'Смета Внутр'!D1291</f>
        <v>0.084</v>
      </c>
      <c r="E1284" s="1004" t="n">
        <f aca="false">'Смета Внутр'!E1291</f>
        <v>8500</v>
      </c>
      <c r="F1284" s="1004" t="n">
        <f aca="false">'Смета Внутр'!F1291</f>
        <v>0</v>
      </c>
      <c r="G1284" s="2888" t="n">
        <f aca="false">IF(E1284&gt;F1284,E1284,F1284)</f>
        <v>8500</v>
      </c>
      <c r="H1284" s="1004" t="n">
        <f aca="false">'Смета Внутр'!G1291</f>
        <v>714</v>
      </c>
      <c r="I1284" s="1004" t="n">
        <f aca="false">'Смета Внутр'!H1291</f>
        <v>0</v>
      </c>
      <c r="J1284" s="2897" t="n">
        <f aca="false">'Смета Внутр'!I1291</f>
        <v>0</v>
      </c>
    </row>
    <row r="1285" customFormat="false" ht="15" hidden="false" customHeight="true" outlineLevel="0" collapsed="false">
      <c r="B1285" s="2888" t="str">
        <f aca="false">'Смета Внутр'!B1292</f>
        <v>Листв. влаж, 150*100мм</v>
      </c>
      <c r="C1285" s="2888" t="str">
        <f aca="false">'Смета Внутр'!C1292</f>
        <v>м3</v>
      </c>
      <c r="D1285" s="2897" t="n">
        <f aca="false">'Смета Внутр'!D1292</f>
        <v>0.09</v>
      </c>
      <c r="E1285" s="1004" t="n">
        <f aca="false">'Смета Внутр'!E1292</f>
        <v>8500</v>
      </c>
      <c r="F1285" s="1004" t="n">
        <f aca="false">'Смета Внутр'!F1292</f>
        <v>0</v>
      </c>
      <c r="G1285" s="2888" t="n">
        <f aca="false">IF(E1285&gt;F1285,E1285,F1285)</f>
        <v>8500</v>
      </c>
      <c r="H1285" s="1004" t="n">
        <f aca="false">'Смета Внутр'!G1292</f>
        <v>765</v>
      </c>
      <c r="I1285" s="1004" t="n">
        <f aca="false">'Смета Внутр'!H1292</f>
        <v>0</v>
      </c>
      <c r="J1285" s="2897" t="n">
        <f aca="false">'Смета Внутр'!I1292</f>
        <v>0</v>
      </c>
    </row>
    <row r="1286" customFormat="false" ht="15" hidden="false" customHeight="true" outlineLevel="0" collapsed="false">
      <c r="B1286" s="2888" t="str">
        <f aca="false">'Смета Внутр'!B1293</f>
        <v>Сосна влаж, 150*100мм</v>
      </c>
      <c r="C1286" s="2888" t="str">
        <f aca="false">'Смета Внутр'!C1293</f>
        <v>м3</v>
      </c>
      <c r="D1286" s="2897" t="n">
        <f aca="false">'Смета Внутр'!D1293</f>
        <v>0.075</v>
      </c>
      <c r="E1286" s="1004" t="n">
        <f aca="false">'Смета Внутр'!E1293</f>
        <v>6500</v>
      </c>
      <c r="F1286" s="1004" t="n">
        <f aca="false">'Смета Внутр'!F1293</f>
        <v>0</v>
      </c>
      <c r="G1286" s="2888" t="n">
        <f aca="false">IF(E1286&gt;F1286,E1286,F1286)</f>
        <v>6500</v>
      </c>
      <c r="H1286" s="1004" t="n">
        <f aca="false">'Смета Внутр'!G1293</f>
        <v>487.5</v>
      </c>
      <c r="I1286" s="1004" t="n">
        <f aca="false">'Смета Внутр'!H1293</f>
        <v>0</v>
      </c>
      <c r="J1286" s="2897" t="n">
        <f aca="false">'Смета Внутр'!I1293</f>
        <v>0</v>
      </c>
    </row>
    <row r="1287" customFormat="false" ht="15" hidden="false" customHeight="true" outlineLevel="0" collapsed="false">
      <c r="B1287" s="2888" t="str">
        <f aca="false">'Смета Внутр'!B1294</f>
        <v>Нет</v>
      </c>
      <c r="C1287" s="2888" t="str">
        <f aca="false">'Смета Внутр'!C1294</f>
        <v>м3</v>
      </c>
      <c r="D1287" s="2897" t="n">
        <f aca="false">'Смета Внутр'!D1294</f>
        <v>11.5</v>
      </c>
      <c r="E1287" s="1004" t="n">
        <f aca="false">'Смета Внутр'!E1294</f>
        <v>0</v>
      </c>
      <c r="F1287" s="1004" t="n">
        <f aca="false">'Смета Внутр'!F1294</f>
        <v>0</v>
      </c>
      <c r="G1287" s="2888" t="n">
        <f aca="false">IF(E1287&gt;F1287,E1287,F1287)</f>
        <v>0</v>
      </c>
      <c r="H1287" s="1004" t="n">
        <f aca="false">'Смета Внутр'!G1294</f>
        <v>0</v>
      </c>
      <c r="I1287" s="1004" t="n">
        <f aca="false">'Смета Внутр'!H1294</f>
        <v>0</v>
      </c>
      <c r="J1287" s="2897" t="n">
        <f aca="false">'Смета Внутр'!I1294</f>
        <v>0</v>
      </c>
    </row>
    <row r="1288" customFormat="false" ht="15" hidden="false" customHeight="true" outlineLevel="0" collapsed="false">
      <c r="B1288" s="2888" t="str">
        <f aca="false">'Смета Внутр'!B1295</f>
        <v>Брус клееный проф 2 ламель кедр Шир. 240 выс. 140</v>
      </c>
      <c r="C1288" s="2888" t="str">
        <f aca="false">'Смета Внутр'!C1295</f>
        <v>м3</v>
      </c>
      <c r="D1288" s="2897" t="n">
        <f aca="false">'Смета Внутр'!D1295</f>
        <v>0.168</v>
      </c>
      <c r="E1288" s="1004" t="n">
        <f aca="false">'Смета Внутр'!E1295</f>
        <v>24000</v>
      </c>
      <c r="F1288" s="1004" t="n">
        <f aca="false">'Смета Внутр'!F1295</f>
        <v>0</v>
      </c>
      <c r="G1288" s="2888" t="n">
        <f aca="false">IF(E1288&gt;F1288,E1288,F1288)</f>
        <v>24000</v>
      </c>
      <c r="H1288" s="1004" t="n">
        <f aca="false">'Смета Внутр'!G1295</f>
        <v>4032</v>
      </c>
      <c r="I1288" s="1004" t="n">
        <f aca="false">'Смета Внутр'!H1295</f>
        <v>0</v>
      </c>
      <c r="J1288" s="2897" t="n">
        <f aca="false">'Смета Внутр'!I1295</f>
        <v>0</v>
      </c>
    </row>
    <row r="1289" customFormat="false" ht="15" hidden="false" customHeight="true" outlineLevel="0" collapsed="false">
      <c r="B1289" s="2888" t="str">
        <f aca="false">'Смета Внутр'!B1296</f>
        <v>Брус клееный проф 1 ламель кедр Шир. 240 выс. 140</v>
      </c>
      <c r="C1289" s="2888" t="str">
        <f aca="false">'Смета Внутр'!C1296</f>
        <v>м3</v>
      </c>
      <c r="D1289" s="2897" t="n">
        <f aca="false">'Смета Внутр'!D1296</f>
        <v>0.336</v>
      </c>
      <c r="E1289" s="1004" t="n">
        <f aca="false">'Смета Внутр'!E1296</f>
        <v>24000</v>
      </c>
      <c r="F1289" s="1004" t="n">
        <f aca="false">'Смета Внутр'!F1296</f>
        <v>0</v>
      </c>
      <c r="G1289" s="2888" t="n">
        <f aca="false">IF(E1289&gt;F1289,E1289,F1289)</f>
        <v>24000</v>
      </c>
      <c r="H1289" s="1004" t="n">
        <f aca="false">'Смета Внутр'!G1296</f>
        <v>8064</v>
      </c>
      <c r="I1289" s="1004" t="n">
        <f aca="false">'Смета Внутр'!H1296</f>
        <v>0</v>
      </c>
      <c r="J1289" s="2897" t="n">
        <f aca="false">'Смета Внутр'!I1296</f>
        <v>0</v>
      </c>
    </row>
    <row r="1290" customFormat="false" ht="15" hidden="false" customHeight="true" outlineLevel="0" collapsed="false">
      <c r="B1290" s="2888" t="str">
        <f aca="false">'Смета Внутр'!B1297</f>
        <v>Нет накладки</v>
      </c>
      <c r="C1290" s="2888" t="str">
        <f aca="false">'Смета Внутр'!C1297</f>
        <v>м.п.</v>
      </c>
      <c r="D1290" s="2897" t="n">
        <f aca="false">'Смета Внутр'!D1297</f>
        <v>5</v>
      </c>
      <c r="E1290" s="1004" t="n">
        <f aca="false">'Смета Внутр'!E1297</f>
        <v>0</v>
      </c>
      <c r="F1290" s="1004" t="n">
        <f aca="false">'Смета Внутр'!F1297</f>
        <v>0</v>
      </c>
      <c r="G1290" s="2888" t="n">
        <f aca="false">IF(E1290&gt;F1290,E1290,F1290)</f>
        <v>0</v>
      </c>
      <c r="H1290" s="1004" t="n">
        <f aca="false">'Смета Внутр'!G1297</f>
        <v>0</v>
      </c>
      <c r="I1290" s="1004" t="n">
        <f aca="false">'Смета Внутр'!H1297</f>
        <v>0</v>
      </c>
      <c r="J1290" s="2897" t="n">
        <f aca="false">'Смета Внутр'!I1297</f>
        <v>0</v>
      </c>
    </row>
    <row r="1291" customFormat="false" ht="15" hidden="false" customHeight="true" outlineLevel="0" collapsed="false">
      <c r="B1291" s="2888" t="str">
        <f aca="false">'Смета Внутр'!B1298</f>
        <v>Листв. влаж, 200*200мм</v>
      </c>
      <c r="C1291" s="2888" t="str">
        <f aca="false">'Смета Внутр'!C1298</f>
        <v>м3</v>
      </c>
      <c r="D1291" s="2897" t="n">
        <f aca="false">'Смета Внутр'!D1298</f>
        <v>0.32</v>
      </c>
      <c r="E1291" s="1004" t="n">
        <f aca="false">'Смета Внутр'!E1298</f>
        <v>9000</v>
      </c>
      <c r="F1291" s="1004" t="n">
        <f aca="false">'Смета Внутр'!F1298</f>
        <v>0</v>
      </c>
      <c r="G1291" s="2888" t="n">
        <f aca="false">IF(E1291&gt;F1291,E1291,F1291)</f>
        <v>9000</v>
      </c>
      <c r="H1291" s="1004" t="n">
        <f aca="false">'Смета Внутр'!G1298</f>
        <v>2880</v>
      </c>
      <c r="I1291" s="1004" t="n">
        <f aca="false">'Смета Внутр'!H1298</f>
        <v>0</v>
      </c>
      <c r="J1291" s="2897" t="n">
        <f aca="false">'Смета Внутр'!I1298</f>
        <v>0</v>
      </c>
    </row>
    <row r="1292" customFormat="false" ht="15" hidden="false" customHeight="true" outlineLevel="0" collapsed="false">
      <c r="B1292" s="2888" t="str">
        <f aca="false">'Смета Внутр'!B1299</f>
        <v>Уголок усиленный 90х70х55х2,5</v>
      </c>
      <c r="C1292" s="2888" t="str">
        <f aca="false">'Смета Внутр'!C1299</f>
        <v>шт</v>
      </c>
      <c r="D1292" s="2897" t="n">
        <f aca="false">'Смета Внутр'!D1299</f>
        <v>6</v>
      </c>
      <c r="E1292" s="1004" t="n">
        <f aca="false">'Смета Внутр'!E1299</f>
        <v>30</v>
      </c>
      <c r="F1292" s="1004" t="n">
        <f aca="false">'Смета Внутр'!F1299</f>
        <v>0</v>
      </c>
      <c r="G1292" s="2888" t="n">
        <f aca="false">IF(E1292&gt;F1292,E1292,F1292)</f>
        <v>30</v>
      </c>
      <c r="H1292" s="1004" t="n">
        <f aca="false">'Смета Внутр'!G1299</f>
        <v>180</v>
      </c>
      <c r="I1292" s="1004" t="n">
        <f aca="false">'Смета Внутр'!H1299</f>
        <v>0</v>
      </c>
      <c r="J1292" s="2897" t="n">
        <f aca="false">'Смета Внутр'!I1299</f>
        <v>0</v>
      </c>
    </row>
    <row r="1293" customFormat="false" ht="15" hidden="false" customHeight="true" outlineLevel="0" collapsed="false">
      <c r="B1293" s="1004" t="str">
        <f aca="false">'Смета Внутр'!B1300</f>
        <v>Нет уголков</v>
      </c>
      <c r="C1293" s="1004" t="str">
        <f aca="false">'Смета Внутр'!C1300</f>
        <v>шт</v>
      </c>
      <c r="D1293" s="1018" t="n">
        <f aca="false">'Смета Внутр'!D1300</f>
        <v>0</v>
      </c>
      <c r="E1293" s="1004" t="n">
        <f aca="false">'Смета Внутр'!E1300</f>
        <v>0</v>
      </c>
      <c r="F1293" s="1004" t="n">
        <f aca="false">'Смета Внутр'!F1300</f>
        <v>0</v>
      </c>
      <c r="G1293" s="1004" t="n">
        <f aca="false">IF(E1293&gt;F1293,E1293,F1293)</f>
        <v>0</v>
      </c>
      <c r="H1293" s="1004" t="n">
        <f aca="false">'Смета Внутр'!G1300</f>
        <v>0</v>
      </c>
      <c r="I1293" s="1004" t="n">
        <f aca="false">'Смета Внутр'!H1300</f>
        <v>0</v>
      </c>
      <c r="J1293" s="1018" t="n">
        <f aca="false">'Смета Внутр'!I1300</f>
        <v>0</v>
      </c>
    </row>
    <row r="1294" customFormat="false" ht="15" hidden="false" customHeight="true" outlineLevel="0" collapsed="false">
      <c r="B1294" s="2888" t="str">
        <f aca="false">'Смета Внутр'!B1301</f>
        <v>Пластина соеденительная 100х240х2</v>
      </c>
      <c r="C1294" s="2888" t="str">
        <f aca="false">'Смета Внутр'!C1301</f>
        <v>шт</v>
      </c>
      <c r="D1294" s="2897" t="n">
        <f aca="false">'Смета Внутр'!D1301</f>
        <v>2</v>
      </c>
      <c r="E1294" s="1004" t="n">
        <f aca="false">'Смета Внутр'!E1301</f>
        <v>31.54</v>
      </c>
      <c r="F1294" s="1004" t="n">
        <f aca="false">'Смета Внутр'!F1301</f>
        <v>0</v>
      </c>
      <c r="G1294" s="2888" t="n">
        <f aca="false">IF(E1294&gt;F1294,E1294,F1294)</f>
        <v>31.54</v>
      </c>
      <c r="H1294" s="1004" t="n">
        <f aca="false">'Смета Внутр'!G1301</f>
        <v>63.08</v>
      </c>
      <c r="I1294" s="1004" t="n">
        <f aca="false">'Смета Внутр'!H1301</f>
        <v>0</v>
      </c>
      <c r="J1294" s="2897" t="n">
        <f aca="false">'Смета Внутр'!I1301</f>
        <v>0</v>
      </c>
    </row>
    <row r="1295" customFormat="false" ht="15" hidden="false" customHeight="true" outlineLevel="0" collapsed="false">
      <c r="B1295" s="1004" t="str">
        <f aca="false">'Смета Внутр'!B1302</f>
        <v>Нет пластин</v>
      </c>
      <c r="C1295" s="1004" t="str">
        <f aca="false">'Смета Внутр'!C1302</f>
        <v>шт</v>
      </c>
      <c r="D1295" s="1018" t="n">
        <f aca="false">'Смета Внутр'!D1302</f>
        <v>0</v>
      </c>
      <c r="E1295" s="1004" t="n">
        <f aca="false">'Смета Внутр'!E1302</f>
        <v>0</v>
      </c>
      <c r="F1295" s="1004" t="n">
        <f aca="false">'Смета Внутр'!F1302</f>
        <v>0</v>
      </c>
      <c r="G1295" s="1004" t="n">
        <f aca="false">IF(E1295&gt;F1295,E1295,F1295)</f>
        <v>0</v>
      </c>
      <c r="H1295" s="1004" t="n">
        <f aca="false">'Смета Внутр'!G1302</f>
        <v>0</v>
      </c>
      <c r="I1295" s="1004" t="n">
        <f aca="false">'Смета Внутр'!H1302</f>
        <v>0</v>
      </c>
      <c r="J1295" s="1018" t="n">
        <f aca="false">'Смета Внутр'!I1302</f>
        <v>0</v>
      </c>
    </row>
    <row r="1296" customFormat="false" ht="15" hidden="false" customHeight="true" outlineLevel="0" collapsed="false">
      <c r="B1296" s="2888" t="str">
        <f aca="false">'Смета Внутр'!B1303</f>
        <v>Болты анкерные с гайкой 12,0 x 100</v>
      </c>
      <c r="C1296" s="2888" t="str">
        <f aca="false">'Смета Внутр'!C1303</f>
        <v>шт</v>
      </c>
      <c r="D1296" s="2897" t="n">
        <f aca="false">'Смета Внутр'!D1303</f>
        <v>6</v>
      </c>
      <c r="E1296" s="1004" t="n">
        <f aca="false">'Смета Внутр'!E1303</f>
        <v>11.2</v>
      </c>
      <c r="F1296" s="1004" t="n">
        <f aca="false">'Смета Внутр'!F1303</f>
        <v>0</v>
      </c>
      <c r="G1296" s="2888" t="n">
        <f aca="false">IF(E1296&gt;F1296,E1296,F1296)</f>
        <v>11.2</v>
      </c>
      <c r="H1296" s="1004" t="n">
        <f aca="false">'Смета Внутр'!G1303</f>
        <v>67.2</v>
      </c>
      <c r="I1296" s="1004" t="n">
        <f aca="false">'Смета Внутр'!H1303</f>
        <v>0</v>
      </c>
      <c r="J1296" s="2897" t="n">
        <f aca="false">'Смета Внутр'!I1303</f>
        <v>0</v>
      </c>
    </row>
    <row r="1297" customFormat="false" ht="15" hidden="false" customHeight="true" outlineLevel="0" collapsed="false">
      <c r="B1297" s="1004" t="str">
        <f aca="false">'Смета Внутр'!B1304</f>
        <v>Нет анкерных болтов</v>
      </c>
      <c r="C1297" s="1004" t="str">
        <f aca="false">'Смета Внутр'!C1304</f>
        <v>шт</v>
      </c>
      <c r="D1297" s="1018" t="n">
        <f aca="false">'Смета Внутр'!D1304</f>
        <v>0</v>
      </c>
      <c r="E1297" s="1004" t="n">
        <f aca="false">'Смета Внутр'!E1304</f>
        <v>0</v>
      </c>
      <c r="F1297" s="1004" t="n">
        <f aca="false">'Смета Внутр'!F1304</f>
        <v>0</v>
      </c>
      <c r="G1297" s="1004" t="n">
        <f aca="false">IF(E1297&gt;F1297,E1297,F1297)</f>
        <v>0</v>
      </c>
      <c r="H1297" s="1004" t="n">
        <f aca="false">'Смета Внутр'!G1304</f>
        <v>0</v>
      </c>
      <c r="I1297" s="1004" t="n">
        <f aca="false">'Смета Внутр'!H1304</f>
        <v>0</v>
      </c>
      <c r="J1297" s="1018" t="n">
        <f aca="false">'Смета Внутр'!I1304</f>
        <v>0</v>
      </c>
    </row>
    <row r="1298" customFormat="false" ht="15" hidden="false" customHeight="true" outlineLevel="0" collapsed="false">
      <c r="B1298" s="1004" t="str">
        <f aca="false">'Смета Внутр'!B1305</f>
        <v>Саморезы 3,5 x 45</v>
      </c>
      <c r="C1298" s="1004" t="str">
        <f aca="false">'Смета Внутр'!C1305</f>
        <v>кг</v>
      </c>
      <c r="D1298" s="1018" t="n">
        <f aca="false">'Смета Внутр'!D1305</f>
        <v>0</v>
      </c>
      <c r="E1298" s="1004" t="n">
        <f aca="false">'Смета Внутр'!E1305</f>
        <v>105.62</v>
      </c>
      <c r="F1298" s="1004" t="n">
        <f aca="false">'Смета Внутр'!F1305</f>
        <v>0</v>
      </c>
      <c r="G1298" s="1004" t="n">
        <f aca="false">IF(E1298&gt;F1298,E1298,F1298)</f>
        <v>105.62</v>
      </c>
      <c r="H1298" s="1004" t="n">
        <f aca="false">'Смета Внутр'!G1305</f>
        <v>0</v>
      </c>
      <c r="I1298" s="1004" t="n">
        <f aca="false">'Смета Внутр'!H1305</f>
        <v>0</v>
      </c>
      <c r="J1298" s="1018" t="n">
        <f aca="false">'Смета Внутр'!I1305</f>
        <v>0</v>
      </c>
    </row>
    <row r="1299" customFormat="false" ht="15" hidden="false" customHeight="true" outlineLevel="0" collapsed="false">
      <c r="B1299" s="1004" t="str">
        <f aca="false">'Смета Внутр'!B1306</f>
        <v>Нет саморезов</v>
      </c>
      <c r="C1299" s="1004" t="str">
        <f aca="false">'Смета Внутр'!C1306</f>
        <v>кг</v>
      </c>
      <c r="D1299" s="1018" t="n">
        <f aca="false">'Смета Внутр'!D1306</f>
        <v>0</v>
      </c>
      <c r="E1299" s="1004" t="n">
        <f aca="false">'Смета Внутр'!E1306</f>
        <v>0</v>
      </c>
      <c r="F1299" s="1004" t="n">
        <f aca="false">'Смета Внутр'!F1306</f>
        <v>0</v>
      </c>
      <c r="G1299" s="1004" t="n">
        <f aca="false">IF(E1299&gt;F1299,E1299,F1299)</f>
        <v>0</v>
      </c>
      <c r="H1299" s="1004" t="n">
        <f aca="false">'Смета Внутр'!G1306</f>
        <v>0</v>
      </c>
      <c r="I1299" s="1004" t="n">
        <f aca="false">'Смета Внутр'!H1306</f>
        <v>0</v>
      </c>
      <c r="J1299" s="1018" t="n">
        <f aca="false">'Смета Внутр'!I1306</f>
        <v>0</v>
      </c>
    </row>
    <row r="1300" customFormat="false" ht="15" hidden="false" customHeight="true" outlineLevel="0" collapsed="false">
      <c r="B1300" s="2888" t="str">
        <f aca="false">'Смета Внутр'!B1307</f>
        <v>Гвозди строительные 2,5 x 60</v>
      </c>
      <c r="C1300" s="2888" t="str">
        <f aca="false">'Смета Внутр'!C1307</f>
        <v>кг</v>
      </c>
      <c r="D1300" s="2897" t="n">
        <f aca="false">'Смета Внутр'!D1307</f>
        <v>1</v>
      </c>
      <c r="E1300" s="1004" t="n">
        <f aca="false">'Смета Внутр'!E1307</f>
        <v>70</v>
      </c>
      <c r="F1300" s="1004" t="n">
        <f aca="false">'Смета Внутр'!F1307</f>
        <v>0</v>
      </c>
      <c r="G1300" s="2888" t="n">
        <f aca="false">IF(E1300&gt;F1300,E1300,F1300)</f>
        <v>70</v>
      </c>
      <c r="H1300" s="1004" t="n">
        <f aca="false">'Смета Внутр'!G1307</f>
        <v>70</v>
      </c>
      <c r="I1300" s="1004" t="n">
        <f aca="false">'Смета Внутр'!H1307</f>
        <v>0</v>
      </c>
      <c r="J1300" s="2897" t="n">
        <f aca="false">'Смета Внутр'!I1307</f>
        <v>0</v>
      </c>
    </row>
    <row r="1301" customFormat="false" ht="15" hidden="false" customHeight="true" outlineLevel="0" collapsed="false">
      <c r="B1301" s="2888" t="str">
        <f aca="false">'Смета Внутр'!B1308</f>
        <v>Гвозди ершоные 3,4 x 60</v>
      </c>
      <c r="C1301" s="2888" t="str">
        <f aca="false">'Смета Внутр'!C1308</f>
        <v>кг</v>
      </c>
      <c r="D1301" s="2897" t="n">
        <f aca="false">'Смета Внутр'!D1308</f>
        <v>1</v>
      </c>
      <c r="E1301" s="1004" t="n">
        <f aca="false">'Смета Внутр'!E1308</f>
        <v>75.51</v>
      </c>
      <c r="F1301" s="1004" t="n">
        <f aca="false">'Смета Внутр'!F1308</f>
        <v>0</v>
      </c>
      <c r="G1301" s="2888" t="n">
        <f aca="false">IF(E1301&gt;F1301,E1301,F1301)</f>
        <v>75.51</v>
      </c>
      <c r="H1301" s="1004" t="n">
        <f aca="false">'Смета Внутр'!G1308</f>
        <v>75.51</v>
      </c>
      <c r="I1301" s="1004" t="n">
        <f aca="false">'Смета Внутр'!H1308</f>
        <v>0</v>
      </c>
      <c r="J1301" s="2897" t="n">
        <f aca="false">'Смета Внутр'!I1308</f>
        <v>0</v>
      </c>
    </row>
    <row r="1302" customFormat="false" ht="14.5" hidden="false" customHeight="false" outlineLevel="0" collapsed="false">
      <c r="B1302" s="2896" t="str">
        <f aca="false">'Смета Внутр'!B1309</f>
        <v>Итого материалы</v>
      </c>
      <c r="C1302" s="2896"/>
      <c r="D1302" s="2896"/>
      <c r="E1302" s="2896"/>
      <c r="F1302" s="2896"/>
      <c r="G1302" s="2896"/>
      <c r="H1302" s="1004" t="n">
        <f aca="false">'Смета Внутр'!G1309</f>
        <v>0</v>
      </c>
      <c r="I1302" s="1004" t="n">
        <f aca="false">'Смета Внутр'!H1309</f>
        <v>0</v>
      </c>
      <c r="J1302" s="2897" t="n">
        <f aca="false">'Смета Внутр'!I1309</f>
        <v>0</v>
      </c>
    </row>
    <row r="1303" customFormat="false" ht="15" hidden="false" customHeight="true" outlineLevel="0" collapsed="false">
      <c r="B1303" s="2881" t="str">
        <f aca="false">'Смета Внутр'!B1310</f>
        <v>Работы</v>
      </c>
      <c r="H1303" s="0" t="n">
        <f aca="false">'Смета Внутр'!G1310</f>
        <v>0</v>
      </c>
      <c r="I1303" s="0" t="n">
        <f aca="false">'Смета Внутр'!H1310</f>
        <v>0</v>
      </c>
      <c r="J1303" s="2893" t="n">
        <f aca="false">'Смета Внутр'!I1310</f>
        <v>0</v>
      </c>
    </row>
    <row r="1304" customFormat="false" ht="15" hidden="false" customHeight="true" outlineLevel="0" collapsed="false">
      <c r="B1304" s="2888" t="str">
        <f aca="false">'Смета Внутр'!B1311</f>
        <v>монтаж веранды/крыльцо</v>
      </c>
      <c r="C1304" s="2888" t="str">
        <f aca="false">'Смета Внутр'!C1311</f>
        <v>м2</v>
      </c>
      <c r="D1304" s="2897" t="n">
        <f aca="false">'Смета Внутр'!D1311</f>
        <v>3</v>
      </c>
      <c r="E1304" s="1004" t="n">
        <f aca="false">'Смета Внутр'!E1311</f>
        <v>1500</v>
      </c>
      <c r="F1304" s="1004" t="n">
        <f aca="false">'Смета Внутр'!F1311</f>
        <v>0</v>
      </c>
      <c r="G1304" s="2888" t="n">
        <f aca="false">IF(E1304&gt;F1304,E1304,F1304)</f>
        <v>1500</v>
      </c>
      <c r="H1304" s="1004" t="n">
        <f aca="false">'Смета Внутр'!G1311</f>
        <v>4500</v>
      </c>
      <c r="I1304" s="1004" t="n">
        <f aca="false">'Смета Внутр'!H1311</f>
        <v>0</v>
      </c>
      <c r="J1304" s="2897" t="n">
        <f aca="false">'Смета Внутр'!I1311</f>
        <v>0</v>
      </c>
    </row>
    <row r="1305" customFormat="false" ht="15" hidden="false" customHeight="true" outlineLevel="0" collapsed="false">
      <c r="B1305" s="2896" t="str">
        <f aca="false">'Смета Внутр'!B1312</f>
        <v>Итого, работы</v>
      </c>
      <c r="C1305" s="2896"/>
      <c r="D1305" s="2896"/>
      <c r="E1305" s="2896"/>
      <c r="F1305" s="2896"/>
      <c r="G1305" s="2896"/>
      <c r="H1305" s="1004" t="n">
        <f aca="false">'Смета Внутр'!G1312</f>
        <v>0</v>
      </c>
      <c r="I1305" s="1004" t="n">
        <f aca="false">'Смета Внутр'!H1312</f>
        <v>0</v>
      </c>
      <c r="J1305" s="2897" t="n">
        <f aca="false">'Смета Внутр'!I1312</f>
        <v>0</v>
      </c>
    </row>
    <row r="1306" customFormat="false" ht="15" hidden="false" customHeight="true" outlineLevel="0" collapsed="false">
      <c r="B1306" s="2925" t="str">
        <f aca="false">'Смета Внутр'!B1313</f>
        <v>Балкон</v>
      </c>
      <c r="C1306" s="2925"/>
      <c r="D1306" s="2925"/>
      <c r="H1306" s="0" t="n">
        <f aca="false">'Смета Внутр'!G1313</f>
        <v>0</v>
      </c>
      <c r="I1306" s="0" t="n">
        <f aca="false">'Смета Внутр'!H1313</f>
        <v>0</v>
      </c>
      <c r="J1306" s="2926" t="n">
        <f aca="false">'Смета Внутр'!I1313</f>
        <v>0</v>
      </c>
    </row>
    <row r="1307" customFormat="false" ht="15" hidden="false" customHeight="true" outlineLevel="0" collapsed="false">
      <c r="B1307" s="2881" t="str">
        <f aca="false">'Смета Внутр'!B1314</f>
        <v>Материалы</v>
      </c>
      <c r="D1307" s="919"/>
      <c r="H1307" s="0" t="n">
        <f aca="false">'Смета Внутр'!G1314</f>
        <v>0</v>
      </c>
      <c r="I1307" s="0" t="n">
        <f aca="false">'Смета Внутр'!H1314</f>
        <v>0</v>
      </c>
      <c r="J1307" s="2926" t="n">
        <f aca="false">'Смета Внутр'!I1314</f>
        <v>0</v>
      </c>
    </row>
    <row r="1308" customFormat="false" ht="15" hidden="false" customHeight="true" outlineLevel="0" collapsed="false">
      <c r="B1308" s="1004" t="str">
        <f aca="false">'Смета Внутр'!B1315</f>
        <v>Оцилиндрованное бревно сосна 260мм</v>
      </c>
      <c r="C1308" s="1004" t="str">
        <f aca="false">'Смета Внутр'!C1315</f>
        <v>м3</v>
      </c>
      <c r="D1308" s="1018" t="n">
        <f aca="false">'Смета Внутр'!D1315</f>
        <v>1.17</v>
      </c>
      <c r="E1308" s="1004" t="n">
        <f aca="false">'Смета Внутр'!E1315</f>
        <v>8500</v>
      </c>
      <c r="F1308" s="1004" t="n">
        <f aca="false">'Смета Внутр'!F1315</f>
        <v>0</v>
      </c>
      <c r="G1308" s="1004" t="n">
        <f aca="false">IF(E1308&gt;F1308,E1308,F1308)</f>
        <v>8500</v>
      </c>
      <c r="H1308" s="1004" t="n">
        <f aca="false">'Смета Внутр'!G1315</f>
        <v>9945</v>
      </c>
      <c r="I1308" s="1004" t="n">
        <f aca="false">'Смета Внутр'!H1315</f>
        <v>0</v>
      </c>
      <c r="J1308" s="1018" t="n">
        <f aca="false">'Смета Внутр'!I1315</f>
        <v>0</v>
      </c>
    </row>
    <row r="1309" customFormat="false" ht="15" hidden="false" customHeight="true" outlineLevel="0" collapsed="false">
      <c r="B1309" s="1004" t="str">
        <f aca="false">'Смета Внутр'!B1316</f>
        <v>Доска естественной влажности, 200*50мм</v>
      </c>
      <c r="C1309" s="1004" t="str">
        <f aca="false">'Смета Внутр'!C1316</f>
        <v>м3</v>
      </c>
      <c r="D1309" s="1018" t="n">
        <f aca="false">'Смета Внутр'!D1316</f>
        <v>0.09</v>
      </c>
      <c r="E1309" s="1004" t="n">
        <f aca="false">'Смета Внутр'!E1316</f>
        <v>6500</v>
      </c>
      <c r="F1309" s="1004" t="n">
        <f aca="false">'Смета Внутр'!F1316</f>
        <v>0</v>
      </c>
      <c r="G1309" s="1004" t="n">
        <f aca="false">IF(E1309&gt;F1309,E1309,F1309)</f>
        <v>6500</v>
      </c>
      <c r="H1309" s="1004" t="n">
        <f aca="false">'Смета Внутр'!G1316</f>
        <v>585</v>
      </c>
      <c r="I1309" s="1004" t="n">
        <f aca="false">'Смета Внутр'!H1316</f>
        <v>0</v>
      </c>
      <c r="J1309" s="1018" t="n">
        <f aca="false">'Смета Внутр'!I1316</f>
        <v>0</v>
      </c>
    </row>
    <row r="1310" customFormat="false" ht="15" hidden="false" customHeight="true" outlineLevel="0" collapsed="false">
      <c r="B1310" s="1004" t="str">
        <f aca="false">'Смета Внутр'!B1317</f>
        <v>Бензин для пилы</v>
      </c>
      <c r="C1310" s="1004" t="str">
        <f aca="false">'Смета Внутр'!C1317</f>
        <v>л</v>
      </c>
      <c r="D1310" s="1018" t="n">
        <f aca="false">'Смета Внутр'!D1317</f>
        <v>0.63</v>
      </c>
      <c r="E1310" s="1004" t="n">
        <f aca="false">'Смета Внутр'!E1317</f>
        <v>40</v>
      </c>
      <c r="F1310" s="1004" t="n">
        <f aca="false">'Смета Внутр'!F1317</f>
        <v>0</v>
      </c>
      <c r="G1310" s="1004" t="n">
        <f aca="false">IF(E1310&gt;F1310,E1310,F1310)</f>
        <v>40</v>
      </c>
      <c r="H1310" s="1004" t="n">
        <f aca="false">'Смета Внутр'!G1317</f>
        <v>25.2</v>
      </c>
      <c r="I1310" s="1004" t="n">
        <f aca="false">'Смета Внутр'!H1317</f>
        <v>0</v>
      </c>
      <c r="J1310" s="1018" t="n">
        <f aca="false">'Смета Внутр'!I1317</f>
        <v>0</v>
      </c>
    </row>
    <row r="1311" customFormat="false" ht="15" hidden="false" customHeight="true" outlineLevel="0" collapsed="false">
      <c r="B1311" s="1004" t="str">
        <f aca="false">'Смета Внутр'!B1318</f>
        <v>Масло для пилы</v>
      </c>
      <c r="C1311" s="1004" t="str">
        <f aca="false">'Смета Внутр'!C1318</f>
        <v>л</v>
      </c>
      <c r="D1311" s="1018" t="n">
        <f aca="false">'Смета Внутр'!D1318</f>
        <v>0.0525</v>
      </c>
      <c r="E1311" s="1004" t="n">
        <f aca="false">'Смета Внутр'!E1318</f>
        <v>250</v>
      </c>
      <c r="F1311" s="1004" t="n">
        <f aca="false">'Смета Внутр'!F1318</f>
        <v>0</v>
      </c>
      <c r="G1311" s="1004" t="n">
        <f aca="false">IF(E1311&gt;F1311,E1311,F1311)</f>
        <v>250</v>
      </c>
      <c r="H1311" s="1004" t="n">
        <f aca="false">'Смета Внутр'!G1318</f>
        <v>13.125</v>
      </c>
      <c r="I1311" s="1004" t="n">
        <f aca="false">'Смета Внутр'!H1318</f>
        <v>0</v>
      </c>
      <c r="J1311" s="1018" t="n">
        <f aca="false">'Смета Внутр'!I1318</f>
        <v>0</v>
      </c>
    </row>
    <row r="1312" customFormat="false" ht="15" hidden="false" customHeight="true" outlineLevel="0" collapsed="false">
      <c r="B1312" s="1004" t="str">
        <f aca="false">'Смета Внутр'!B1319</f>
        <v>Цепь для пилы</v>
      </c>
      <c r="C1312" s="1004" t="str">
        <f aca="false">'Смета Внутр'!C1319</f>
        <v>л</v>
      </c>
      <c r="D1312" s="1018" t="n">
        <f aca="false">'Смета Внутр'!D1319</f>
        <v>1</v>
      </c>
      <c r="E1312" s="1004" t="n">
        <f aca="false">'Смета Внутр'!E1319</f>
        <v>800</v>
      </c>
      <c r="F1312" s="1004" t="n">
        <f aca="false">'Смета Внутр'!F1319</f>
        <v>0</v>
      </c>
      <c r="G1312" s="1004" t="n">
        <f aca="false">IF(E1312&gt;F1312,E1312,F1312)</f>
        <v>800</v>
      </c>
      <c r="H1312" s="1004" t="n">
        <f aca="false">'Смета Внутр'!G1319</f>
        <v>800</v>
      </c>
      <c r="I1312" s="1004" t="n">
        <f aca="false">'Смета Внутр'!H1319</f>
        <v>0</v>
      </c>
      <c r="J1312" s="1018" t="n">
        <f aca="false">'Смета Внутр'!I1319</f>
        <v>0</v>
      </c>
    </row>
    <row r="1313" customFormat="false" ht="15" hidden="false" customHeight="true" outlineLevel="0" collapsed="false">
      <c r="B1313" s="1004" t="str">
        <f aca="false">'Смета Внутр'!B1320</f>
        <v>Гидроизоляция жидкая резина 1</v>
      </c>
      <c r="C1313" s="1004" t="str">
        <f aca="false">'Смета Внутр'!C1320</f>
        <v>кг</v>
      </c>
      <c r="D1313" s="1018" t="n">
        <f aca="false">'Смета Внутр'!D1320</f>
        <v>0</v>
      </c>
      <c r="E1313" s="1004" t="n">
        <f aca="false">'Смета Внутр'!E1320</f>
        <v>150</v>
      </c>
      <c r="F1313" s="1004" t="n">
        <f aca="false">'Смета Внутр'!F1320</f>
        <v>0</v>
      </c>
      <c r="G1313" s="1004" t="n">
        <f aca="false">IF(E1313&gt;F1313,E1313,F1313)</f>
        <v>150</v>
      </c>
      <c r="H1313" s="1004" t="n">
        <f aca="false">'Смета Внутр'!G1320</f>
        <v>0</v>
      </c>
      <c r="I1313" s="1004" t="n">
        <f aca="false">'Смета Внутр'!H1320</f>
        <v>0</v>
      </c>
      <c r="J1313" s="1018" t="n">
        <f aca="false">'Смета Внутр'!I1320</f>
        <v>0</v>
      </c>
    </row>
    <row r="1314" customFormat="false" ht="15" hidden="false" customHeight="true" outlineLevel="0" collapsed="false">
      <c r="B1314" s="1004" t="str">
        <f aca="false">'Смета Внутр'!B1321</f>
        <v>Kronospan - OSB-3, 22мм</v>
      </c>
      <c r="C1314" s="1004" t="str">
        <f aca="false">'Смета Внутр'!C1321</f>
        <v>м2</v>
      </c>
      <c r="D1314" s="1018" t="n">
        <f aca="false">'Смета Внутр'!D1321</f>
        <v>0</v>
      </c>
      <c r="E1314" s="1004" t="n">
        <f aca="false">'Смета Внутр'!E1321</f>
        <v>526.666666666667</v>
      </c>
      <c r="F1314" s="1004" t="n">
        <f aca="false">'Смета Внутр'!F1321</f>
        <v>0</v>
      </c>
      <c r="G1314" s="1004" t="n">
        <f aca="false">IF(E1314&gt;F1314,E1314,F1314)</f>
        <v>526.666666666667</v>
      </c>
      <c r="H1314" s="1004" t="n">
        <f aca="false">'Смета Внутр'!G1321</f>
        <v>0</v>
      </c>
      <c r="I1314" s="1004" t="n">
        <f aca="false">'Смета Внутр'!H1321</f>
        <v>0</v>
      </c>
      <c r="J1314" s="1018" t="n">
        <f aca="false">'Смета Внутр'!I1321</f>
        <v>0</v>
      </c>
    </row>
    <row r="1315" customFormat="false" ht="15" hidden="false" customHeight="true" outlineLevel="0" collapsed="false">
      <c r="B1315" s="1004" t="str">
        <f aca="false">'Смета Внутр'!B1322</f>
        <v>Проф.брус вл. 200*150мм</v>
      </c>
      <c r="C1315" s="1004" t="str">
        <f aca="false">'Смета Внутр'!C1322</f>
        <v>м3</v>
      </c>
      <c r="D1315" s="1018" t="n">
        <f aca="false">'Смета Внутр'!D1322</f>
        <v>0</v>
      </c>
      <c r="E1315" s="1004" t="n">
        <f aca="false">'Смета Внутр'!E1322</f>
        <v>9300</v>
      </c>
      <c r="F1315" s="1004" t="n">
        <f aca="false">'Смета Внутр'!F1322</f>
        <v>0</v>
      </c>
      <c r="G1315" s="1004" t="n">
        <f aca="false">IF(E1315&gt;F1315,E1315,F1315)</f>
        <v>9300</v>
      </c>
      <c r="H1315" s="1004" t="n">
        <f aca="false">'Смета Внутр'!G1322</f>
        <v>0</v>
      </c>
      <c r="I1315" s="1004" t="n">
        <f aca="false">'Смета Внутр'!H1322</f>
        <v>0</v>
      </c>
      <c r="J1315" s="1018" t="n">
        <f aca="false">'Смета Внутр'!I1322</f>
        <v>0</v>
      </c>
    </row>
    <row r="1316" customFormat="false" ht="15" hidden="false" customHeight="true" outlineLevel="0" collapsed="false">
      <c r="B1316" s="1004" t="str">
        <f aca="false">'Смета Внутр'!B1323</f>
        <v>Брус клееный проф 2 ламель кедр Шир. 240 выс. 140</v>
      </c>
      <c r="C1316" s="1004" t="str">
        <f aca="false">'Смета Внутр'!C1323</f>
        <v>м3</v>
      </c>
      <c r="D1316" s="1018" t="n">
        <f aca="false">'Смета Внутр'!D1323</f>
        <v>0</v>
      </c>
      <c r="E1316" s="1004" t="n">
        <f aca="false">'Смета Внутр'!E1323</f>
        <v>24000</v>
      </c>
      <c r="F1316" s="1004" t="n">
        <f aca="false">'Смета Внутр'!F1323</f>
        <v>0</v>
      </c>
      <c r="G1316" s="1004" t="n">
        <f aca="false">IF(E1316&gt;F1316,E1316,F1316)</f>
        <v>24000</v>
      </c>
      <c r="H1316" s="1004" t="n">
        <f aca="false">'Смета Внутр'!G1323</f>
        <v>0</v>
      </c>
      <c r="I1316" s="1004" t="n">
        <f aca="false">'Смета Внутр'!H1323</f>
        <v>0</v>
      </c>
      <c r="J1316" s="1018" t="n">
        <f aca="false">'Смета Внутр'!I1323</f>
        <v>0</v>
      </c>
    </row>
    <row r="1317" customFormat="false" ht="15" hidden="false" customHeight="true" outlineLevel="0" collapsed="false">
      <c r="B1317" s="1004" t="str">
        <f aca="false">'Смета Внутр'!B1324</f>
        <v>Брус клееный проф 1 ламель кедр Шир. 240 выс. 140</v>
      </c>
      <c r="C1317" s="1004" t="str">
        <f aca="false">'Смета Внутр'!C1324</f>
        <v>м3</v>
      </c>
      <c r="D1317" s="1018" t="n">
        <f aca="false">'Смета Внутр'!D1324</f>
        <v>0</v>
      </c>
      <c r="E1317" s="1004" t="n">
        <f aca="false">'Смета Внутр'!E1324</f>
        <v>24000</v>
      </c>
      <c r="F1317" s="1004" t="n">
        <f aca="false">'Смета Внутр'!F1324</f>
        <v>0</v>
      </c>
      <c r="G1317" s="1004" t="n">
        <f aca="false">IF(E1317&gt;F1317,E1317,F1317)</f>
        <v>24000</v>
      </c>
      <c r="H1317" s="1004" t="n">
        <f aca="false">'Смета Внутр'!G1324</f>
        <v>0</v>
      </c>
      <c r="I1317" s="1004" t="n">
        <f aca="false">'Смета Внутр'!H1324</f>
        <v>0</v>
      </c>
      <c r="J1317" s="1018" t="n">
        <f aca="false">'Смета Внутр'!I1324</f>
        <v>0</v>
      </c>
    </row>
    <row r="1318" customFormat="false" ht="15" hidden="false" customHeight="true" outlineLevel="0" collapsed="false">
      <c r="B1318" s="1004" t="str">
        <f aca="false">'Смета Внутр'!B1325</f>
        <v>Клееная накладка на перила шир 240мм</v>
      </c>
      <c r="C1318" s="1004" t="str">
        <f aca="false">'Смета Внутр'!C1325</f>
        <v>м.п.</v>
      </c>
      <c r="D1318" s="1018" t="n">
        <f aca="false">'Смета Внутр'!D1325</f>
        <v>0</v>
      </c>
      <c r="E1318" s="1004" t="n">
        <f aca="false">'Смета Внутр'!E1325</f>
        <v>400</v>
      </c>
      <c r="F1318" s="1004" t="n">
        <f aca="false">'Смета Внутр'!F1325</f>
        <v>0</v>
      </c>
      <c r="G1318" s="1004" t="n">
        <f aca="false">IF(E1318&gt;F1318,E1318,F1318)</f>
        <v>400</v>
      </c>
      <c r="H1318" s="1004" t="n">
        <f aca="false">'Смета Внутр'!G1325</f>
        <v>0</v>
      </c>
      <c r="I1318" s="1004" t="n">
        <f aca="false">'Смета Внутр'!H1325</f>
        <v>0</v>
      </c>
      <c r="J1318" s="1018" t="n">
        <f aca="false">'Смета Внутр'!I1325</f>
        <v>0</v>
      </c>
    </row>
    <row r="1319" customFormat="false" ht="14.5" hidden="false" customHeight="false" outlineLevel="0" collapsed="false">
      <c r="B1319" s="2927" t="str">
        <f aca="false">'Смета Внутр'!B1326</f>
        <v>Итого материалы</v>
      </c>
      <c r="C1319" s="2927"/>
      <c r="D1319" s="2927"/>
      <c r="E1319" s="2927"/>
      <c r="F1319" s="2927"/>
      <c r="G1319" s="2927"/>
      <c r="H1319" s="1004" t="n">
        <f aca="false">'Смета Внутр'!G1326</f>
        <v>0</v>
      </c>
      <c r="I1319" s="1004" t="n">
        <f aca="false">'Смета Внутр'!H1326</f>
        <v>0</v>
      </c>
      <c r="J1319" s="1018" t="n">
        <f aca="false">'Смета Внутр'!I1326</f>
        <v>0</v>
      </c>
    </row>
    <row r="1320" customFormat="false" ht="15" hidden="false" customHeight="true" outlineLevel="0" collapsed="false">
      <c r="B1320" s="2881" t="str">
        <f aca="false">'Смета Внутр'!B1327</f>
        <v>Работы</v>
      </c>
      <c r="D1320" s="919"/>
      <c r="H1320" s="0" t="n">
        <f aca="false">'Смета Внутр'!G1327</f>
        <v>0</v>
      </c>
      <c r="I1320" s="0" t="n">
        <f aca="false">'Смета Внутр'!H1327</f>
        <v>0</v>
      </c>
      <c r="J1320" s="2926" t="n">
        <f aca="false">'Смета Внутр'!I1327</f>
        <v>0</v>
      </c>
    </row>
    <row r="1321" customFormat="false" ht="15" hidden="false" customHeight="true" outlineLevel="0" collapsed="false">
      <c r="B1321" s="1004" t="str">
        <f aca="false">'Смета Внутр'!B1328</f>
        <v>кладка бруса</v>
      </c>
      <c r="C1321" s="1004" t="str">
        <f aca="false">'Смета Внутр'!C1328</f>
        <v>м3</v>
      </c>
      <c r="D1321" s="1018" t="n">
        <f aca="false">'Смета Внутр'!D1328</f>
        <v>1.17</v>
      </c>
      <c r="E1321" s="1004" t="n">
        <f aca="false">'Смета Внутр'!E1328</f>
        <v>4000</v>
      </c>
      <c r="F1321" s="1004" t="n">
        <f aca="false">'Смета Внутр'!F1328</f>
        <v>0</v>
      </c>
      <c r="G1321" s="1004" t="n">
        <f aca="false">IF(E1321&gt;F1321,E1321,F1321)</f>
        <v>4000</v>
      </c>
      <c r="H1321" s="1004" t="n">
        <f aca="false">'Смета Внутр'!G1328</f>
        <v>4680</v>
      </c>
      <c r="I1321" s="1004" t="n">
        <f aca="false">'Смета Внутр'!H1328</f>
        <v>0</v>
      </c>
      <c r="J1321" s="1018" t="n">
        <f aca="false">'Смета Внутр'!I1328</f>
        <v>0</v>
      </c>
    </row>
    <row r="1322" customFormat="false" ht="15" hidden="false" customHeight="true" outlineLevel="0" collapsed="false">
      <c r="B1322" s="1004" t="str">
        <f aca="false">'Смета Внутр'!B1329</f>
        <v>Монтаж перекрытий из бруса</v>
      </c>
      <c r="C1322" s="1004" t="str">
        <f aca="false">'Смета Внутр'!C1329</f>
        <v>м2</v>
      </c>
      <c r="D1322" s="1018" t="n">
        <f aca="false">'Смета Внутр'!D1329</f>
        <v>3</v>
      </c>
      <c r="E1322" s="1004" t="n">
        <f aca="false">'Смета Внутр'!E1329</f>
        <v>300</v>
      </c>
      <c r="F1322" s="1004" t="n">
        <f aca="false">'Смета Внутр'!F1329</f>
        <v>0</v>
      </c>
      <c r="G1322" s="1004" t="n">
        <f aca="false">IF(E1322&gt;F1322,E1322,F1322)</f>
        <v>300</v>
      </c>
      <c r="H1322" s="1004" t="n">
        <f aca="false">'Смета Внутр'!G1329</f>
        <v>900</v>
      </c>
      <c r="I1322" s="1004" t="n">
        <f aca="false">'Смета Внутр'!H1329</f>
        <v>0</v>
      </c>
      <c r="J1322" s="1018" t="n">
        <f aca="false">'Смета Внутр'!I1329</f>
        <v>0</v>
      </c>
    </row>
    <row r="1323" customFormat="false" ht="15" hidden="false" customHeight="true" outlineLevel="0" collapsed="false">
      <c r="B1323" s="1004" t="str">
        <f aca="false">'Смета Внутр'!B1330</f>
        <v>Гидроизоляция рулонная</v>
      </c>
      <c r="C1323" s="1004" t="str">
        <f aca="false">'Смета Внутр'!C1330</f>
        <v>м2</v>
      </c>
      <c r="D1323" s="1018" t="n">
        <f aca="false">'Смета Внутр'!D1330</f>
        <v>0</v>
      </c>
      <c r="E1323" s="1004" t="n">
        <f aca="false">'Смета Внутр'!E1330</f>
        <v>250</v>
      </c>
      <c r="F1323" s="1004" t="n">
        <f aca="false">'Смета Внутр'!F1330</f>
        <v>0</v>
      </c>
      <c r="G1323" s="1004" t="n">
        <f aca="false">IF(E1323&gt;F1323,E1323,F1323)</f>
        <v>250</v>
      </c>
      <c r="H1323" s="1004" t="n">
        <f aca="false">'Смета Внутр'!G1330</f>
        <v>0</v>
      </c>
      <c r="I1323" s="1004" t="n">
        <f aca="false">'Смета Внутр'!H1330</f>
        <v>0</v>
      </c>
      <c r="J1323" s="1018" t="n">
        <f aca="false">'Смета Внутр'!I1330</f>
        <v>0</v>
      </c>
    </row>
    <row r="1324" customFormat="false" ht="15" hidden="false" customHeight="true" outlineLevel="0" collapsed="false">
      <c r="B1324" s="1004" t="str">
        <f aca="false">'Смета Внутр'!B1331</f>
        <v>монтаж OSB пол</v>
      </c>
      <c r="C1324" s="1004" t="str">
        <f aca="false">'Смета Внутр'!C1331</f>
        <v>м2</v>
      </c>
      <c r="D1324" s="1018" t="n">
        <f aca="false">'Смета Внутр'!D1331</f>
        <v>0</v>
      </c>
      <c r="E1324" s="1004" t="n">
        <f aca="false">'Смета Внутр'!E1331</f>
        <v>250</v>
      </c>
      <c r="F1324" s="1004" t="n">
        <f aca="false">'Смета Внутр'!F1331</f>
        <v>0</v>
      </c>
      <c r="G1324" s="1004" t="n">
        <f aca="false">IF(E1324&gt;F1324,E1324,F1324)</f>
        <v>250</v>
      </c>
      <c r="H1324" s="1004" t="n">
        <f aca="false">'Смета Внутр'!G1331</f>
        <v>0</v>
      </c>
      <c r="I1324" s="1004" t="n">
        <f aca="false">'Смета Внутр'!H1331</f>
        <v>0</v>
      </c>
      <c r="J1324" s="1018" t="n">
        <f aca="false">'Смета Внутр'!I1331</f>
        <v>0</v>
      </c>
    </row>
    <row r="1325" customFormat="false" ht="15" hidden="false" customHeight="true" outlineLevel="0" collapsed="false">
      <c r="B1325" s="1004" t="str">
        <f aca="false">'Смета Внутр'!B1332</f>
        <v>Монтаж перил</v>
      </c>
      <c r="C1325" s="1004" t="str">
        <f aca="false">'Смета Внутр'!C1332</f>
        <v>м.п.</v>
      </c>
      <c r="D1325" s="1018" t="n">
        <f aca="false">'Смета Внутр'!D1332</f>
        <v>0</v>
      </c>
      <c r="E1325" s="1004" t="n">
        <f aca="false">'Смета Внутр'!E1332</f>
        <v>500</v>
      </c>
      <c r="F1325" s="1004" t="n">
        <f aca="false">'Смета Внутр'!F1332</f>
        <v>0</v>
      </c>
      <c r="G1325" s="1004" t="n">
        <f aca="false">IF(E1325&gt;F1325,E1325,F1325)</f>
        <v>500</v>
      </c>
      <c r="H1325" s="1004" t="n">
        <f aca="false">'Смета Внутр'!G1332</f>
        <v>0</v>
      </c>
      <c r="I1325" s="1004" t="n">
        <f aca="false">'Смета Внутр'!H1332</f>
        <v>0</v>
      </c>
      <c r="J1325" s="1018" t="n">
        <f aca="false">'Смета Внутр'!I1332</f>
        <v>0</v>
      </c>
    </row>
    <row r="1326" customFormat="false" ht="15" hidden="false" customHeight="true" outlineLevel="0" collapsed="false">
      <c r="B1326" s="1004" t="str">
        <f aca="false">'Смета Внутр'!B1333</f>
        <v>Монтаж накладки на перила</v>
      </c>
      <c r="C1326" s="1004" t="str">
        <f aca="false">'Смета Внутр'!C1333</f>
        <v>м.п.</v>
      </c>
      <c r="D1326" s="1018" t="n">
        <f aca="false">'Смета Внутр'!D1333</f>
        <v>0</v>
      </c>
      <c r="E1326" s="1004" t="n">
        <f aca="false">'Смета Внутр'!E1333</f>
        <v>0</v>
      </c>
      <c r="F1326" s="1004" t="n">
        <f aca="false">'Смета Внутр'!F1333</f>
        <v>0</v>
      </c>
      <c r="G1326" s="1004" t="n">
        <f aca="false">IF(E1326&gt;F1326,E1326,F1326)</f>
        <v>0</v>
      </c>
      <c r="H1326" s="1004" t="n">
        <f aca="false">'Смета Внутр'!G1333</f>
        <v>0</v>
      </c>
      <c r="I1326" s="1004" t="n">
        <f aca="false">'Смета Внутр'!H1333</f>
        <v>0</v>
      </c>
      <c r="J1326" s="1018" t="n">
        <f aca="false">'Смета Внутр'!I1333</f>
        <v>0</v>
      </c>
    </row>
    <row r="1327" customFormat="false" ht="15" hidden="false" customHeight="true" outlineLevel="0" collapsed="false">
      <c r="B1327" s="2927" t="str">
        <f aca="false">'Смета Внутр'!B1334</f>
        <v>Итого работы</v>
      </c>
      <c r="C1327" s="2927"/>
      <c r="D1327" s="2927"/>
      <c r="E1327" s="2927"/>
      <c r="F1327" s="2927"/>
      <c r="G1327" s="2927"/>
      <c r="H1327" s="1004" t="n">
        <f aca="false">'Смета Внутр'!G1334</f>
        <v>0</v>
      </c>
      <c r="I1327" s="1004" t="n">
        <f aca="false">'Смета Внутр'!H1334</f>
        <v>0</v>
      </c>
      <c r="J1327" s="1018" t="n">
        <f aca="false">'Смета Внутр'!I1334</f>
        <v>0</v>
      </c>
    </row>
    <row r="1328" customFormat="false" ht="15" hidden="false" customHeight="true" outlineLevel="0" collapsed="false">
      <c r="B1328" s="2925" t="str">
        <f aca="false">'Смета Внутр'!B1335</f>
        <v>Кровля односкатная</v>
      </c>
      <c r="C1328" s="2925"/>
      <c r="D1328" s="2925"/>
      <c r="H1328" s="0" t="n">
        <f aca="false">'Смета Внутр'!G1335</f>
        <v>0</v>
      </c>
      <c r="I1328" s="0" t="n">
        <f aca="false">'Смета Внутр'!H1335</f>
        <v>0</v>
      </c>
      <c r="J1328" s="2926" t="n">
        <f aca="false">'Смета Внутр'!I1335</f>
        <v>0</v>
      </c>
    </row>
    <row r="1329" customFormat="false" ht="15" hidden="false" customHeight="true" outlineLevel="0" collapsed="false">
      <c r="B1329" s="2881" t="str">
        <f aca="false">'Смета Внутр'!B1336</f>
        <v>Материалы</v>
      </c>
      <c r="D1329" s="919"/>
      <c r="H1329" s="0" t="n">
        <f aca="false">'Смета Внутр'!G1336</f>
        <v>0</v>
      </c>
      <c r="I1329" s="0" t="n">
        <f aca="false">'Смета Внутр'!H1336</f>
        <v>0</v>
      </c>
      <c r="J1329" s="2926" t="n">
        <f aca="false">'Смета Внутр'!I1336</f>
        <v>0</v>
      </c>
    </row>
    <row r="1330" customFormat="false" ht="15" hidden="false" customHeight="true" outlineLevel="0" collapsed="false">
      <c r="B1330" s="1004" t="str">
        <f aca="false">'Смета Внутр'!B1337</f>
        <v>нет</v>
      </c>
      <c r="C1330" s="1004" t="str">
        <f aca="false">'Смета Внутр'!C1337</f>
        <v>м3</v>
      </c>
      <c r="D1330" s="1018" t="n">
        <f aca="false">'Смета Внутр'!D1337</f>
        <v>0</v>
      </c>
      <c r="E1330" s="1004" t="n">
        <f aca="false">'Смета Внутр'!E1337</f>
        <v>0</v>
      </c>
      <c r="F1330" s="1004" t="n">
        <f aca="false">'Смета Внутр'!F1337</f>
        <v>0</v>
      </c>
      <c r="G1330" s="1004" t="n">
        <f aca="false">IF(E1330&gt;F1330,E1330,F1330)</f>
        <v>0</v>
      </c>
      <c r="H1330" s="1004" t="n">
        <f aca="false">'Смета Внутр'!G1337</f>
        <v>0</v>
      </c>
      <c r="I1330" s="1004" t="n">
        <f aca="false">'Смета Внутр'!H1337</f>
        <v>0</v>
      </c>
      <c r="J1330" s="1018" t="n">
        <f aca="false">'Смета Внутр'!I1337</f>
        <v>0</v>
      </c>
    </row>
    <row r="1331" customFormat="false" ht="15" hidden="false" customHeight="true" outlineLevel="0" collapsed="false">
      <c r="B1331" s="1004" t="str">
        <f aca="false">'Смета Внутр'!B1338</f>
        <v>Болты анкерные с гайкой 12,0 х 280</v>
      </c>
      <c r="C1331" s="1004" t="str">
        <f aca="false">'Смета Внутр'!C1338</f>
        <v>шт</v>
      </c>
      <c r="D1331" s="1018" t="n">
        <f aca="false">'Смета Внутр'!D1338</f>
        <v>48.2842712474619</v>
      </c>
      <c r="E1331" s="1004" t="n">
        <f aca="false">'Смета Внутр'!E1338</f>
        <v>27.1</v>
      </c>
      <c r="F1331" s="1004" t="n">
        <f aca="false">'Смета Внутр'!F1338</f>
        <v>0</v>
      </c>
      <c r="G1331" s="1004" t="n">
        <f aca="false">IF(E1331&gt;F1331,E1331,F1331)</f>
        <v>27.1</v>
      </c>
      <c r="H1331" s="1004" t="n">
        <f aca="false">'Смета Внутр'!G1338</f>
        <v>1308.50375080622</v>
      </c>
      <c r="I1331" s="1004" t="n">
        <f aca="false">'Смета Внутр'!H1338</f>
        <v>0</v>
      </c>
      <c r="J1331" s="1018" t="n">
        <f aca="false">'Смета Внутр'!I1338</f>
        <v>0</v>
      </c>
    </row>
    <row r="1332" customFormat="false" ht="15" hidden="false" customHeight="true" outlineLevel="0" collapsed="false">
      <c r="B1332" s="1004" t="str">
        <f aca="false">'Смета Внутр'!B1339</f>
        <v>Доска сухая, 200*50мм</v>
      </c>
      <c r="C1332" s="1004" t="str">
        <f aca="false">'Смета Внутр'!C1339</f>
        <v>м3</v>
      </c>
      <c r="D1332" s="1018" t="n">
        <f aca="false">'Смета Внутр'!D1339</f>
        <v>7.24541489913801</v>
      </c>
      <c r="E1332" s="1004" t="n">
        <f aca="false">'Смета Внутр'!E1339</f>
        <v>9000</v>
      </c>
      <c r="F1332" s="1004" t="n">
        <f aca="false">'Смета Внутр'!F1339</f>
        <v>0</v>
      </c>
      <c r="G1332" s="1004" t="n">
        <f aca="false">IF(E1332&gt;F1332,E1332,F1332)</f>
        <v>9000</v>
      </c>
      <c r="H1332" s="1004" t="n">
        <f aca="false">'Смета Внутр'!G1339</f>
        <v>65208.7340922421</v>
      </c>
      <c r="I1332" s="1004" t="n">
        <f aca="false">'Смета Внутр'!H1339</f>
        <v>0</v>
      </c>
      <c r="J1332" s="1018" t="n">
        <f aca="false">'Смета Внутр'!I1339</f>
        <v>0</v>
      </c>
    </row>
    <row r="1333" customFormat="false" ht="15" hidden="false" customHeight="true" outlineLevel="0" collapsed="false">
      <c r="B1333" s="1004" t="str">
        <f aca="false">'Смета Внутр'!B1340</f>
        <v>бугель, доска</v>
      </c>
      <c r="C1333" s="1004" t="str">
        <f aca="false">'Смета Внутр'!C1340</f>
        <v>м3</v>
      </c>
      <c r="D1333" s="1018" t="n">
        <f aca="false">'Смета Внутр'!D1340</f>
        <v>2.6</v>
      </c>
      <c r="E1333" s="1004" t="n">
        <f aca="false">'Смета Внутр'!E1340</f>
        <v>9000</v>
      </c>
      <c r="F1333" s="1004" t="n">
        <f aca="false">'Смета Внутр'!F1340</f>
        <v>0</v>
      </c>
      <c r="G1333" s="1004" t="n">
        <f aca="false">IF(E1333&gt;F1333,E1333,F1333)</f>
        <v>9000</v>
      </c>
      <c r="H1333" s="1004" t="n">
        <f aca="false">'Смета Внутр'!G1340</f>
        <v>23400</v>
      </c>
      <c r="I1333" s="1004" t="n">
        <f aca="false">'Смета Внутр'!H1340</f>
        <v>0</v>
      </c>
      <c r="J1333" s="1018" t="n">
        <f aca="false">'Смета Внутр'!I1340</f>
        <v>0</v>
      </c>
    </row>
    <row r="1334" customFormat="false" ht="15" hidden="false" customHeight="true" outlineLevel="0" collapsed="false">
      <c r="B1334" s="1004" t="str">
        <f aca="false">'Смета Внутр'!B1341</f>
        <v>стойка под конек</v>
      </c>
      <c r="C1334" s="1004" t="str">
        <f aca="false">'Смета Внутр'!C1341</f>
        <v>м3</v>
      </c>
      <c r="D1334" s="1018" t="n">
        <f aca="false">'Смета Внутр'!D1341</f>
        <v>1.3</v>
      </c>
      <c r="E1334" s="1004" t="n">
        <f aca="false">'Смета Внутр'!E1341</f>
        <v>9000</v>
      </c>
      <c r="F1334" s="1004" t="n">
        <f aca="false">'Смета Внутр'!F1341</f>
        <v>0</v>
      </c>
      <c r="G1334" s="1004" t="n">
        <f aca="false">IF(E1334&gt;F1334,E1334,F1334)</f>
        <v>9000</v>
      </c>
      <c r="H1334" s="1004" t="n">
        <f aca="false">'Смета Внутр'!G1341</f>
        <v>11700</v>
      </c>
      <c r="I1334" s="1004" t="n">
        <f aca="false">'Смета Внутр'!H1341</f>
        <v>0</v>
      </c>
      <c r="J1334" s="1018" t="n">
        <f aca="false">'Смета Внутр'!I1341</f>
        <v>0</v>
      </c>
    </row>
    <row r="1335" customFormat="false" ht="15" hidden="false" customHeight="true" outlineLevel="0" collapsed="false">
      <c r="B1335" s="1004" t="str">
        <f aca="false">'Смета Внутр'!B1342</f>
        <v>Сосна влаж,100*25мм</v>
      </c>
      <c r="C1335" s="1004" t="str">
        <f aca="false">'Смета Внутр'!C1342</f>
        <v>м3</v>
      </c>
      <c r="D1335" s="1018" t="n">
        <f aca="false">'Смета Внутр'!D1342</f>
        <v>1.20589694140964</v>
      </c>
      <c r="E1335" s="1004" t="n">
        <f aca="false">'Смета Внутр'!E1342</f>
        <v>6500</v>
      </c>
      <c r="F1335" s="1004" t="n">
        <f aca="false">'Смета Внутр'!F1342</f>
        <v>0</v>
      </c>
      <c r="G1335" s="1004" t="n">
        <f aca="false">IF(E1335&gt;F1335,E1335,F1335)</f>
        <v>6500</v>
      </c>
      <c r="H1335" s="1004" t="n">
        <f aca="false">'Смета Внутр'!G1342</f>
        <v>7838.33011916263</v>
      </c>
      <c r="I1335" s="1004" t="n">
        <f aca="false">'Смета Внутр'!H1342</f>
        <v>0</v>
      </c>
      <c r="J1335" s="1018" t="n">
        <f aca="false">'Смета Внутр'!I1342</f>
        <v>0</v>
      </c>
    </row>
    <row r="1336" customFormat="false" ht="15" hidden="false" customHeight="true" outlineLevel="0" collapsed="false">
      <c r="B1336" s="1004" t="str">
        <f aca="false">'Смета Внутр'!B1343</f>
        <v>Сосна влаж, 50*50мм</v>
      </c>
      <c r="C1336" s="1004" t="str">
        <f aca="false">'Смета Внутр'!C1343</f>
        <v>м3</v>
      </c>
      <c r="D1336" s="1018" t="n">
        <f aca="false">'Смета Внутр'!D1343</f>
        <v>1.00491411784136</v>
      </c>
      <c r="E1336" s="1004" t="n">
        <f aca="false">'Смета Внутр'!E1343</f>
        <v>6500</v>
      </c>
      <c r="F1336" s="1004" t="n">
        <f aca="false">'Смета Внутр'!F1343</f>
        <v>0</v>
      </c>
      <c r="G1336" s="1004" t="n">
        <f aca="false">IF(E1336&gt;F1336,E1336,F1336)</f>
        <v>6500</v>
      </c>
      <c r="H1336" s="1004" t="n">
        <f aca="false">'Смета Внутр'!G1343</f>
        <v>6531.94176596886</v>
      </c>
      <c r="I1336" s="1004" t="n">
        <f aca="false">'Смета Внутр'!H1343</f>
        <v>0</v>
      </c>
      <c r="J1336" s="1018" t="n">
        <f aca="false">'Смета Внутр'!I1343</f>
        <v>0</v>
      </c>
    </row>
    <row r="1337" customFormat="false" ht="15" hidden="false" customHeight="true" outlineLevel="0" collapsed="false">
      <c r="B1337" s="1004" t="str">
        <f aca="false">'Смета Внутр'!B1344</f>
        <v>Нет</v>
      </c>
      <c r="C1337" s="1004" t="str">
        <f aca="false">'Смета Внутр'!C1344</f>
        <v>м3</v>
      </c>
      <c r="D1337" s="1018" t="n">
        <f aca="false">'Смета Внутр'!D1344</f>
        <v>0</v>
      </c>
      <c r="E1337" s="1004" t="n">
        <f aca="false">'Смета Внутр'!E1344</f>
        <v>0</v>
      </c>
      <c r="F1337" s="1004" t="n">
        <f aca="false">'Смета Внутр'!F1344</f>
        <v>0</v>
      </c>
      <c r="G1337" s="1004" t="n">
        <f aca="false">IF(E1337&gt;F1337,E1337,F1337)</f>
        <v>0</v>
      </c>
      <c r="H1337" s="1004" t="n">
        <f aca="false">'Смета Внутр'!G1344</f>
        <v>0</v>
      </c>
      <c r="I1337" s="1004" t="n">
        <f aca="false">'Смета Внутр'!H1344</f>
        <v>0</v>
      </c>
      <c r="J1337" s="1018" t="n">
        <f aca="false">'Смета Внутр'!I1344</f>
        <v>0</v>
      </c>
    </row>
    <row r="1338" customFormat="false" ht="15" hidden="false" customHeight="true" outlineLevel="0" collapsed="false">
      <c r="B1338" s="1004" t="str">
        <f aca="false">'Смета Внутр'!B1345</f>
        <v>Гидрокомпенсатор</v>
      </c>
      <c r="C1338" s="1004" t="str">
        <f aca="false">'Смета Внутр'!C1345</f>
        <v>шт</v>
      </c>
      <c r="D1338" s="1018" t="n">
        <f aca="false">'Смета Внутр'!D1345</f>
        <v>0</v>
      </c>
      <c r="E1338" s="1004" t="n">
        <f aca="false">'Смета Внутр'!E1345</f>
        <v>450</v>
      </c>
      <c r="F1338" s="1004" t="n">
        <f aca="false">'Смета Внутр'!F1345</f>
        <v>0</v>
      </c>
      <c r="G1338" s="1004" t="n">
        <f aca="false">IF(E1338&gt;F1338,E1338,F1338)</f>
        <v>450</v>
      </c>
      <c r="H1338" s="1004" t="n">
        <f aca="false">'Смета Внутр'!G1345</f>
        <v>0</v>
      </c>
      <c r="I1338" s="1004" t="n">
        <f aca="false">'Смета Внутр'!H1345</f>
        <v>0</v>
      </c>
      <c r="J1338" s="1018" t="n">
        <f aca="false">'Смета Внутр'!I1345</f>
        <v>0</v>
      </c>
    </row>
    <row r="1339" customFormat="false" ht="15" hidden="false" customHeight="true" outlineLevel="0" collapsed="false">
      <c r="B1339" s="1004" t="str">
        <f aca="false">'Смета Внутр'!B1346</f>
        <v>Мембрана MD90</v>
      </c>
      <c r="C1339" s="1004" t="str">
        <f aca="false">'Смета Внутр'!C1346</f>
        <v>м2</v>
      </c>
      <c r="D1339" s="1018" t="n">
        <f aca="false">'Смета Внутр'!D1346</f>
        <v>192.943510625542</v>
      </c>
      <c r="E1339" s="1004" t="n">
        <f aca="false">'Смета Внутр'!E1346</f>
        <v>34</v>
      </c>
      <c r="F1339" s="1004" t="n">
        <f aca="false">'Смета Внутр'!F1346</f>
        <v>0</v>
      </c>
      <c r="G1339" s="1004" t="n">
        <f aca="false">IF(E1339&gt;F1339,E1339,F1339)</f>
        <v>34</v>
      </c>
      <c r="H1339" s="1004" t="n">
        <f aca="false">'Смета Внутр'!G1346</f>
        <v>6560.07936126842</v>
      </c>
      <c r="I1339" s="1004" t="n">
        <f aca="false">'Смета Внутр'!H1346</f>
        <v>0</v>
      </c>
      <c r="J1339" s="1018" t="n">
        <f aca="false">'Смета Внутр'!I1346</f>
        <v>0</v>
      </c>
    </row>
    <row r="1340" customFormat="false" ht="15" hidden="false" customHeight="true" outlineLevel="0" collapsed="false">
      <c r="B1340" s="1004" t="str">
        <f aca="false">'Смета Внутр'!B1347</f>
        <v>Мембрана Tyvek AirGuard Reflective</v>
      </c>
      <c r="C1340" s="1004" t="str">
        <f aca="false">'Смета Внутр'!C1347</f>
        <v>м2</v>
      </c>
      <c r="D1340" s="1018" t="n">
        <f aca="false">'Смета Внутр'!D1347</f>
        <v>139.754248593737</v>
      </c>
      <c r="E1340" s="1004" t="n">
        <f aca="false">'Смета Внутр'!E1347</f>
        <v>174</v>
      </c>
      <c r="F1340" s="1004" t="n">
        <f aca="false">'Смета Внутр'!F1347</f>
        <v>0</v>
      </c>
      <c r="G1340" s="1004" t="n">
        <f aca="false">IF(E1340&gt;F1340,E1340,F1340)</f>
        <v>174</v>
      </c>
      <c r="H1340" s="1004" t="n">
        <f aca="false">'Смета Внутр'!G1347</f>
        <v>24317.2392553102</v>
      </c>
      <c r="I1340" s="1004" t="n">
        <f aca="false">'Смета Внутр'!H1347</f>
        <v>0</v>
      </c>
      <c r="J1340" s="1018" t="n">
        <f aca="false">'Смета Внутр'!I1347</f>
        <v>0</v>
      </c>
    </row>
    <row r="1341" customFormat="false" ht="15" hidden="false" customHeight="true" outlineLevel="0" collapsed="false">
      <c r="B1341" s="1004" t="str">
        <f aca="false">'Смета Внутр'!B1348</f>
        <v>Плитный,28кг/м3, технониколь, 200мм</v>
      </c>
      <c r="C1341" s="1004" t="str">
        <f aca="false">'Смета Внутр'!C1348</f>
        <v>м3</v>
      </c>
      <c r="D1341" s="1018" t="n">
        <f aca="false">'Смета Внутр'!D1348</f>
        <v>22.3606797749979</v>
      </c>
      <c r="E1341" s="1004" t="n">
        <f aca="false">'Смета Внутр'!E1348</f>
        <v>1700</v>
      </c>
      <c r="F1341" s="1004" t="n">
        <f aca="false">'Смета Внутр'!F1348</f>
        <v>0</v>
      </c>
      <c r="G1341" s="1004" t="n">
        <f aca="false">IF(E1341&gt;F1341,E1341,F1341)</f>
        <v>1700</v>
      </c>
      <c r="H1341" s="1004" t="n">
        <f aca="false">'Смета Внутр'!G1348</f>
        <v>38013.1556174964</v>
      </c>
      <c r="I1341" s="1004" t="n">
        <f aca="false">'Смета Внутр'!H1348</f>
        <v>0</v>
      </c>
      <c r="J1341" s="1018" t="n">
        <f aca="false">'Смета Внутр'!I1348</f>
        <v>0</v>
      </c>
    </row>
    <row r="1342" customFormat="false" ht="15" hidden="false" customHeight="true" outlineLevel="0" collapsed="false">
      <c r="B1342" s="1004" t="str">
        <f aca="false">'Смета Внутр'!B1349</f>
        <v>Металлочерепица</v>
      </c>
      <c r="C1342" s="1004" t="str">
        <f aca="false">'Смета Внутр'!C1349</f>
        <v>м2</v>
      </c>
      <c r="D1342" s="1018" t="n">
        <f aca="false">'Смета Внутр'!D1349</f>
        <v>192.943510625542</v>
      </c>
      <c r="E1342" s="1004" t="n">
        <f aca="false">'Смета Внутр'!E1349</f>
        <v>250</v>
      </c>
      <c r="F1342" s="1004" t="n">
        <f aca="false">'Смета Внутр'!F1349</f>
        <v>0</v>
      </c>
      <c r="G1342" s="1004" t="n">
        <f aca="false">IF(E1342&gt;F1342,E1342,F1342)</f>
        <v>250</v>
      </c>
      <c r="H1342" s="1004" t="n">
        <f aca="false">'Смета Внутр'!G1349</f>
        <v>48235.8776563854</v>
      </c>
      <c r="I1342" s="1004" t="n">
        <f aca="false">'Смета Внутр'!H1349</f>
        <v>0</v>
      </c>
      <c r="J1342" s="1018" t="n">
        <f aca="false">'Смета Внутр'!I1349</f>
        <v>0</v>
      </c>
    </row>
    <row r="1343" customFormat="false" ht="15" hidden="false" customHeight="true" outlineLevel="0" collapsed="false">
      <c r="B1343" s="1004" t="str">
        <f aca="false">'Смета Внутр'!B1350</f>
        <v>Карнизная планка</v>
      </c>
      <c r="C1343" s="1004" t="str">
        <f aca="false">'Смета Внутр'!C1350</f>
        <v>м.п.</v>
      </c>
      <c r="D1343" s="1018" t="n">
        <f aca="false">'Смета Внутр'!D1350</f>
        <v>14.278</v>
      </c>
      <c r="E1343" s="1004" t="n">
        <f aca="false">'Смета Внутр'!E1350</f>
        <v>190</v>
      </c>
      <c r="F1343" s="1004" t="n">
        <f aca="false">'Смета Внутр'!F1350</f>
        <v>0</v>
      </c>
      <c r="G1343" s="1004" t="n">
        <f aca="false">IF(E1343&gt;F1343,E1343,F1343)</f>
        <v>190</v>
      </c>
      <c r="H1343" s="1004" t="n">
        <f aca="false">'Смета Внутр'!G1350</f>
        <v>2712.82</v>
      </c>
      <c r="I1343" s="1004" t="n">
        <f aca="false">'Смета Внутр'!H1350</f>
        <v>0</v>
      </c>
      <c r="J1343" s="1018" t="n">
        <f aca="false">'Смета Внутр'!I1350</f>
        <v>0</v>
      </c>
    </row>
    <row r="1344" customFormat="false" ht="15" hidden="false" customHeight="true" outlineLevel="0" collapsed="false">
      <c r="B1344" s="1004" t="str">
        <f aca="false">'Смета Внутр'!B1351</f>
        <v>Торцевая планка</v>
      </c>
      <c r="C1344" s="1004" t="str">
        <f aca="false">'Смета Внутр'!C1351</f>
        <v>м.п.</v>
      </c>
      <c r="D1344" s="1018" t="n">
        <f aca="false">'Смета Внутр'!D1351</f>
        <v>41.8384550406915</v>
      </c>
      <c r="E1344" s="1004" t="n">
        <f aca="false">'Смета Внутр'!E1351</f>
        <v>190</v>
      </c>
      <c r="F1344" s="1004" t="n">
        <f aca="false">'Смета Внутр'!F1351</f>
        <v>0</v>
      </c>
      <c r="G1344" s="1004" t="n">
        <f aca="false">IF(E1344&gt;F1344,E1344,F1344)</f>
        <v>190</v>
      </c>
      <c r="H1344" s="1004" t="n">
        <f aca="false">'Смета Внутр'!G1351</f>
        <v>7949.30645773139</v>
      </c>
      <c r="I1344" s="1004" t="n">
        <f aca="false">'Смета Внутр'!H1351</f>
        <v>0</v>
      </c>
      <c r="J1344" s="1018" t="n">
        <f aca="false">'Смета Внутр'!I1351</f>
        <v>0</v>
      </c>
    </row>
    <row r="1345" customFormat="false" ht="15" hidden="false" customHeight="true" outlineLevel="0" collapsed="false">
      <c r="B1345" s="1004" t="str">
        <f aca="false">'Смета Внутр'!B1352</f>
        <v>Конек</v>
      </c>
      <c r="C1345" s="1004" t="str">
        <f aca="false">'Смета Внутр'!C1352</f>
        <v>м.п.</v>
      </c>
      <c r="D1345" s="1018" t="n">
        <f aca="false">'Смета Внутр'!D1352</f>
        <v>12.98</v>
      </c>
      <c r="E1345" s="1004" t="n">
        <f aca="false">'Смета Внутр'!E1352</f>
        <v>200</v>
      </c>
      <c r="F1345" s="1004" t="n">
        <f aca="false">'Смета Внутр'!F1352</f>
        <v>0</v>
      </c>
      <c r="G1345" s="1004" t="n">
        <f aca="false">IF(E1345&gt;F1345,E1345,F1345)</f>
        <v>200</v>
      </c>
      <c r="H1345" s="1004" t="n">
        <f aca="false">'Смета Внутр'!G1352</f>
        <v>2596</v>
      </c>
      <c r="I1345" s="1004" t="n">
        <f aca="false">'Смета Внутр'!H1352</f>
        <v>0</v>
      </c>
      <c r="J1345" s="1018" t="n">
        <f aca="false">'Смета Внутр'!I1352</f>
        <v>0</v>
      </c>
    </row>
    <row r="1346" customFormat="false" ht="15" hidden="false" customHeight="true" outlineLevel="0" collapsed="false">
      <c r="B1346" s="1004" t="str">
        <f aca="false">'Смета Внутр'!B1353</f>
        <v>ондулин</v>
      </c>
      <c r="C1346" s="1004" t="str">
        <f aca="false">'Смета Внутр'!C1353</f>
        <v>м2</v>
      </c>
      <c r="D1346" s="1018" t="n">
        <f aca="false">'Смета Внутр'!D1353</f>
        <v>0</v>
      </c>
      <c r="E1346" s="1004" t="n">
        <f aca="false">'Смета Внутр'!E1353</f>
        <v>180</v>
      </c>
      <c r="F1346" s="1004" t="n">
        <f aca="false">'Смета Внутр'!F1353</f>
        <v>0</v>
      </c>
      <c r="G1346" s="1004" t="n">
        <f aca="false">IF(E1346&gt;F1346,E1346,F1346)</f>
        <v>180</v>
      </c>
      <c r="H1346" s="1004" t="n">
        <f aca="false">'Смета Внутр'!G1353</f>
        <v>0</v>
      </c>
      <c r="I1346" s="1004" t="n">
        <f aca="false">'Смета Внутр'!H1353</f>
        <v>0</v>
      </c>
      <c r="J1346" s="1018" t="n">
        <f aca="false">'Смета Внутр'!I1353</f>
        <v>0</v>
      </c>
    </row>
    <row r="1347" customFormat="false" ht="15" hidden="false" customHeight="true" outlineLevel="0" collapsed="false">
      <c r="B1347" s="1004" t="str">
        <f aca="false">'Смета Внутр'!B1354</f>
        <v>Карнизная планка</v>
      </c>
      <c r="C1347" s="1004" t="str">
        <f aca="false">'Смета Внутр'!C1354</f>
        <v>м.п.</v>
      </c>
      <c r="D1347" s="1018" t="n">
        <f aca="false">'Смета Внутр'!D1354</f>
        <v>0</v>
      </c>
      <c r="E1347" s="1004" t="n">
        <f aca="false">'Смета Внутр'!E1354</f>
        <v>190</v>
      </c>
      <c r="F1347" s="1004" t="n">
        <f aca="false">'Смета Внутр'!F1354</f>
        <v>0</v>
      </c>
      <c r="G1347" s="1004" t="n">
        <f aca="false">IF(E1347&gt;F1347,E1347,F1347)</f>
        <v>190</v>
      </c>
      <c r="H1347" s="1004" t="n">
        <f aca="false">'Смета Внутр'!G1354</f>
        <v>0</v>
      </c>
      <c r="I1347" s="1004" t="n">
        <f aca="false">'Смета Внутр'!H1354</f>
        <v>0</v>
      </c>
      <c r="J1347" s="1018" t="n">
        <f aca="false">'Смета Внутр'!I1354</f>
        <v>0</v>
      </c>
    </row>
    <row r="1348" customFormat="false" ht="15" hidden="false" customHeight="true" outlineLevel="0" collapsed="false">
      <c r="B1348" s="1004" t="str">
        <f aca="false">'Смета Внутр'!B1355</f>
        <v>Торцевая планка</v>
      </c>
      <c r="C1348" s="1004" t="str">
        <f aca="false">'Смета Внутр'!C1355</f>
        <v>м.п.</v>
      </c>
      <c r="D1348" s="1018" t="n">
        <f aca="false">'Смета Внутр'!D1355</f>
        <v>0</v>
      </c>
      <c r="E1348" s="1004" t="n">
        <f aca="false">'Смета Внутр'!E1355</f>
        <v>190</v>
      </c>
      <c r="F1348" s="1004" t="n">
        <f aca="false">'Смета Внутр'!F1355</f>
        <v>0</v>
      </c>
      <c r="G1348" s="1004" t="n">
        <f aca="false">IF(E1348&gt;F1348,E1348,F1348)</f>
        <v>190</v>
      </c>
      <c r="H1348" s="1004" t="n">
        <f aca="false">'Смета Внутр'!G1355</f>
        <v>0</v>
      </c>
      <c r="I1348" s="1004" t="n">
        <f aca="false">'Смета Внутр'!H1355</f>
        <v>0</v>
      </c>
      <c r="J1348" s="1018" t="n">
        <f aca="false">'Смета Внутр'!I1355</f>
        <v>0</v>
      </c>
    </row>
    <row r="1349" customFormat="false" ht="15" hidden="false" customHeight="true" outlineLevel="0" collapsed="false">
      <c r="B1349" s="1004" t="str">
        <f aca="false">'Смета Внутр'!B1356</f>
        <v>Конек</v>
      </c>
      <c r="C1349" s="1004" t="str">
        <f aca="false">'Смета Внутр'!C1356</f>
        <v>м.п</v>
      </c>
      <c r="D1349" s="1018" t="n">
        <f aca="false">'Смета Внутр'!D1356</f>
        <v>0</v>
      </c>
      <c r="E1349" s="1004" t="n">
        <f aca="false">'Смета Внутр'!E1356</f>
        <v>200</v>
      </c>
      <c r="F1349" s="1004" t="n">
        <f aca="false">'Смета Внутр'!F1356</f>
        <v>0</v>
      </c>
      <c r="G1349" s="1004" t="n">
        <f aca="false">IF(E1349&gt;F1349,E1349,F1349)</f>
        <v>200</v>
      </c>
      <c r="H1349" s="1004" t="n">
        <f aca="false">'Смета Внутр'!G1356</f>
        <v>0</v>
      </c>
      <c r="I1349" s="1004" t="n">
        <f aca="false">'Смета Внутр'!H1356</f>
        <v>0</v>
      </c>
      <c r="J1349" s="1018" t="n">
        <f aca="false">'Смета Внутр'!I1356</f>
        <v>0</v>
      </c>
    </row>
    <row r="1350" customFormat="false" ht="15" hidden="false" customHeight="true" outlineLevel="0" collapsed="false">
      <c r="B1350" s="1004" t="str">
        <f aca="false">'Смета Внутр'!B1357</f>
        <v>Ендова нижняя</v>
      </c>
      <c r="C1350" s="1004" t="str">
        <f aca="false">'Смета Внутр'!C1357</f>
        <v>м.п.</v>
      </c>
      <c r="D1350" s="1018" t="n">
        <f aca="false">'Смета Внутр'!D1357</f>
        <v>0</v>
      </c>
      <c r="E1350" s="1004" t="n">
        <f aca="false">'Смета Внутр'!E1357</f>
        <v>160</v>
      </c>
      <c r="F1350" s="1004" t="n">
        <f aca="false">'Смета Внутр'!F1357</f>
        <v>0</v>
      </c>
      <c r="G1350" s="1004" t="n">
        <f aca="false">IF(E1350&gt;F1350,E1350,F1350)</f>
        <v>160</v>
      </c>
      <c r="H1350" s="1004" t="n">
        <f aca="false">'Смета Внутр'!G1357</f>
        <v>0</v>
      </c>
      <c r="I1350" s="1004" t="n">
        <f aca="false">'Смета Внутр'!H1357</f>
        <v>0</v>
      </c>
      <c r="J1350" s="1018" t="n">
        <f aca="false">'Смета Внутр'!I1357</f>
        <v>0</v>
      </c>
    </row>
    <row r="1351" customFormat="false" ht="15" hidden="false" customHeight="true" outlineLevel="0" collapsed="false">
      <c r="B1351" s="1004" t="str">
        <f aca="false">'Смета Внутр'!B1358</f>
        <v>Ендова верхняя</v>
      </c>
      <c r="C1351" s="1004" t="str">
        <f aca="false">'Смета Внутр'!C1358</f>
        <v>м.п.</v>
      </c>
      <c r="D1351" s="1018" t="n">
        <f aca="false">'Смета Внутр'!D1358</f>
        <v>0</v>
      </c>
      <c r="E1351" s="1004" t="n">
        <f aca="false">'Смета Внутр'!E1358</f>
        <v>190</v>
      </c>
      <c r="F1351" s="1004" t="n">
        <f aca="false">'Смета Внутр'!F1358</f>
        <v>0</v>
      </c>
      <c r="G1351" s="1004" t="n">
        <f aca="false">IF(E1351&gt;F1351,E1351,F1351)</f>
        <v>190</v>
      </c>
      <c r="H1351" s="1004" t="n">
        <f aca="false">'Смета Внутр'!G1358</f>
        <v>0</v>
      </c>
      <c r="I1351" s="1004" t="n">
        <f aca="false">'Смета Внутр'!H1358</f>
        <v>0</v>
      </c>
      <c r="J1351" s="1018" t="n">
        <f aca="false">'Смета Внутр'!I1358</f>
        <v>0</v>
      </c>
    </row>
    <row r="1352" customFormat="false" ht="15" hidden="false" customHeight="true" outlineLevel="0" collapsed="false">
      <c r="B1352" s="1004" t="str">
        <f aca="false">'Смета Внутр'!B1359</f>
        <v>Планка примыкания</v>
      </c>
      <c r="C1352" s="1004" t="str">
        <f aca="false">'Смета Внутр'!C1359</f>
        <v>м.п.</v>
      </c>
      <c r="D1352" s="1018" t="n">
        <f aca="false">'Смета Внутр'!D1359</f>
        <v>0</v>
      </c>
      <c r="E1352" s="1004" t="n">
        <f aca="false">'Смета Внутр'!E1359</f>
        <v>190</v>
      </c>
      <c r="F1352" s="1004" t="n">
        <f aca="false">'Смета Внутр'!F1359</f>
        <v>0</v>
      </c>
      <c r="G1352" s="1004" t="n">
        <f aca="false">IF(E1352&gt;F1352,E1352,F1352)</f>
        <v>190</v>
      </c>
      <c r="H1352" s="1004" t="n">
        <f aca="false">'Смета Внутр'!G1359</f>
        <v>0</v>
      </c>
      <c r="I1352" s="1004" t="n">
        <f aca="false">'Смета Внутр'!H1359</f>
        <v>0</v>
      </c>
      <c r="J1352" s="1018" t="n">
        <f aca="false">'Смета Внутр'!I1359</f>
        <v>0</v>
      </c>
    </row>
    <row r="1353" customFormat="false" ht="15" hidden="false" customHeight="true" outlineLevel="0" collapsed="false">
      <c r="B1353" s="1004" t="str">
        <f aca="false">'Смета Внутр'!B1360</f>
        <v>Крепеж для ондулина</v>
      </c>
      <c r="C1353" s="1004" t="str">
        <f aca="false">'Смета Внутр'!C1360</f>
        <v>шт</v>
      </c>
      <c r="D1353" s="1018" t="n">
        <f aca="false">'Смета Внутр'!D1360</f>
        <v>0</v>
      </c>
      <c r="E1353" s="1004" t="n">
        <f aca="false">'Смета Внутр'!E1360</f>
        <v>4.5</v>
      </c>
      <c r="F1353" s="1004" t="n">
        <f aca="false">'Смета Внутр'!F1360</f>
        <v>0</v>
      </c>
      <c r="G1353" s="1004" t="n">
        <f aca="false">IF(E1353&gt;F1353,E1353,F1353)</f>
        <v>4.5</v>
      </c>
      <c r="H1353" s="1004" t="n">
        <f aca="false">'Смета Внутр'!G1360</f>
        <v>0</v>
      </c>
      <c r="I1353" s="1004" t="n">
        <f aca="false">'Смета Внутр'!H1360</f>
        <v>0</v>
      </c>
      <c r="J1353" s="1018" t="n">
        <f aca="false">'Смета Внутр'!I1360</f>
        <v>0</v>
      </c>
    </row>
    <row r="1354" customFormat="false" ht="15" hidden="false" customHeight="true" outlineLevel="0" collapsed="false">
      <c r="B1354" s="1004" t="str">
        <f aca="false">'Смета Внутр'!B1361</f>
        <v>нет</v>
      </c>
      <c r="C1354" s="1004" t="str">
        <f aca="false">'Смета Внутр'!C1361</f>
        <v>м2</v>
      </c>
      <c r="D1354" s="1018" t="n">
        <f aca="false">'Смета Внутр'!D1361</f>
        <v>197.237722486556</v>
      </c>
      <c r="E1354" s="1004" t="n">
        <f aca="false">'Смета Внутр'!E1361</f>
        <v>0</v>
      </c>
      <c r="F1354" s="1004" t="n">
        <f aca="false">'Смета Внутр'!F1361</f>
        <v>0</v>
      </c>
      <c r="G1354" s="1004" t="n">
        <f aca="false">IF(E1354&gt;F1354,E1354,F1354)</f>
        <v>0</v>
      </c>
      <c r="H1354" s="1004" t="n">
        <f aca="false">'Смета Внутр'!G1361</f>
        <v>0</v>
      </c>
      <c r="I1354" s="1004" t="n">
        <f aca="false">'Смета Внутр'!H1361</f>
        <v>0</v>
      </c>
      <c r="J1354" s="1018" t="n">
        <f aca="false">'Смета Внутр'!I1361</f>
        <v>0</v>
      </c>
    </row>
    <row r="1355" customFormat="false" ht="15" hidden="false" customHeight="true" outlineLevel="0" collapsed="false">
      <c r="B1355" s="1004" t="str">
        <f aca="false">'Смета Внутр'!B1362</f>
        <v>Рядовая черепица</v>
      </c>
      <c r="C1355" s="1004" t="str">
        <f aca="false">'Смета Внутр'!C1362</f>
        <v>м2</v>
      </c>
      <c r="D1355" s="1018" t="n">
        <f aca="false">'Смета Внутр'!D1362</f>
        <v>0</v>
      </c>
      <c r="E1355" s="1004" t="n">
        <f aca="false">'Смета Внутр'!E1362</f>
        <v>360</v>
      </c>
      <c r="F1355" s="1004" t="n">
        <f aca="false">'Смета Внутр'!F1362</f>
        <v>0</v>
      </c>
      <c r="G1355" s="1004" t="n">
        <f aca="false">IF(E1355&gt;F1355,E1355,F1355)</f>
        <v>360</v>
      </c>
      <c r="H1355" s="1004" t="n">
        <f aca="false">'Смета Внутр'!G1362</f>
        <v>0</v>
      </c>
      <c r="I1355" s="1004" t="n">
        <f aca="false">'Смета Внутр'!H1362</f>
        <v>0</v>
      </c>
      <c r="J1355" s="1018" t="n">
        <f aca="false">'Смета Внутр'!I1362</f>
        <v>0</v>
      </c>
    </row>
    <row r="1356" customFormat="false" ht="15" hidden="false" customHeight="true" outlineLevel="0" collapsed="false">
      <c r="B1356" s="1004" t="str">
        <f aca="false">'Смета Внутр'!B1363</f>
        <v>Металл оцинк защита (карниз)</v>
      </c>
      <c r="C1356" s="1004" t="str">
        <f aca="false">'Смета Внутр'!C1363</f>
        <v>м.п.</v>
      </c>
      <c r="D1356" s="1018" t="n">
        <f aca="false">'Смета Внутр'!D1363</f>
        <v>0</v>
      </c>
      <c r="E1356" s="1004" t="n">
        <f aca="false">'Смета Внутр'!E1363</f>
        <v>200</v>
      </c>
      <c r="F1356" s="1004" t="n">
        <f aca="false">'Смета Внутр'!F1363</f>
        <v>0</v>
      </c>
      <c r="G1356" s="1004" t="n">
        <f aca="false">IF(E1356&gt;F1356,E1356,F1356)</f>
        <v>200</v>
      </c>
      <c r="H1356" s="1004" t="n">
        <f aca="false">'Смета Внутр'!G1363</f>
        <v>0</v>
      </c>
      <c r="I1356" s="1004" t="n">
        <f aca="false">'Смета Внутр'!H1363</f>
        <v>0</v>
      </c>
      <c r="J1356" s="1018" t="n">
        <f aca="false">'Смета Внутр'!I1363</f>
        <v>0</v>
      </c>
    </row>
    <row r="1357" customFormat="false" ht="15" hidden="false" customHeight="true" outlineLevel="0" collapsed="false">
      <c r="B1357" s="1004" t="str">
        <f aca="false">'Смета Внутр'!B1364</f>
        <v>Подкладочный ковер</v>
      </c>
      <c r="C1357" s="1004" t="str">
        <f aca="false">'Смета Внутр'!C1364</f>
        <v>м.п.</v>
      </c>
      <c r="D1357" s="1018" t="n">
        <f aca="false">'Смета Внутр'!D1364</f>
        <v>0</v>
      </c>
      <c r="E1357" s="1004" t="n">
        <f aca="false">'Смета Внутр'!E1364</f>
        <v>220</v>
      </c>
      <c r="F1357" s="1004" t="n">
        <f aca="false">'Смета Внутр'!F1364</f>
        <v>0</v>
      </c>
      <c r="G1357" s="1004" t="n">
        <f aca="false">IF(E1357&gt;F1357,E1357,F1357)</f>
        <v>220</v>
      </c>
      <c r="H1357" s="1004" t="n">
        <f aca="false">'Смета Внутр'!G1364</f>
        <v>0</v>
      </c>
      <c r="I1357" s="1004" t="n">
        <f aca="false">'Смета Внутр'!H1364</f>
        <v>0</v>
      </c>
      <c r="J1357" s="1018" t="n">
        <f aca="false">'Смета Внутр'!I1364</f>
        <v>0</v>
      </c>
    </row>
    <row r="1358" customFormat="false" ht="15" hidden="false" customHeight="true" outlineLevel="0" collapsed="false">
      <c r="B1358" s="1004" t="str">
        <f aca="false">'Смета Внутр'!B1365</f>
        <v>Карнизная самоклеющаяся черепица</v>
      </c>
      <c r="C1358" s="1004" t="str">
        <f aca="false">'Смета Внутр'!C1365</f>
        <v>м.п.</v>
      </c>
      <c r="D1358" s="1018" t="n">
        <f aca="false">'Смета Внутр'!D1365</f>
        <v>0</v>
      </c>
      <c r="E1358" s="1004" t="n">
        <f aca="false">'Смета Внутр'!E1365</f>
        <v>220</v>
      </c>
      <c r="F1358" s="1004" t="n">
        <f aca="false">'Смета Внутр'!F1365</f>
        <v>0</v>
      </c>
      <c r="G1358" s="1004" t="n">
        <f aca="false">IF(E1358&gt;F1358,E1358,F1358)</f>
        <v>220</v>
      </c>
      <c r="H1358" s="1004" t="n">
        <f aca="false">'Смета Внутр'!G1365</f>
        <v>0</v>
      </c>
      <c r="I1358" s="1004" t="n">
        <f aca="false">'Смета Внутр'!H1365</f>
        <v>0</v>
      </c>
      <c r="J1358" s="1018" t="n">
        <f aca="false">'Смета Внутр'!I1365</f>
        <v>0</v>
      </c>
    </row>
    <row r="1359" customFormat="false" ht="15" hidden="false" customHeight="true" outlineLevel="0" collapsed="false">
      <c r="B1359" s="1004" t="str">
        <f aca="false">'Смета Внутр'!B1366</f>
        <v>Спец ковер ендова нижняя</v>
      </c>
      <c r="C1359" s="1004" t="str">
        <f aca="false">'Смета Внутр'!C1366</f>
        <v>м.п.</v>
      </c>
      <c r="D1359" s="1018" t="n">
        <f aca="false">'Смета Внутр'!D1366</f>
        <v>0</v>
      </c>
      <c r="E1359" s="1004" t="n">
        <f aca="false">'Смета Внутр'!E1366</f>
        <v>200</v>
      </c>
      <c r="F1359" s="1004" t="n">
        <f aca="false">'Смета Внутр'!F1366</f>
        <v>0</v>
      </c>
      <c r="G1359" s="1004" t="n">
        <f aca="false">IF(E1359&gt;F1359,E1359,F1359)</f>
        <v>200</v>
      </c>
      <c r="H1359" s="1004" t="n">
        <f aca="false">'Смета Внутр'!G1366</f>
        <v>0</v>
      </c>
      <c r="I1359" s="1004" t="n">
        <f aca="false">'Смета Внутр'!H1366</f>
        <v>0</v>
      </c>
      <c r="J1359" s="1018" t="n">
        <f aca="false">'Смета Внутр'!I1366</f>
        <v>0</v>
      </c>
    </row>
    <row r="1360" customFormat="false" ht="15" hidden="false" customHeight="true" outlineLevel="0" collapsed="false">
      <c r="B1360" s="1004" t="str">
        <f aca="false">'Смета Внутр'!B1367</f>
        <v>Коньковой элемент</v>
      </c>
      <c r="C1360" s="1004" t="str">
        <f aca="false">'Смета Внутр'!C1367</f>
        <v>м.п.</v>
      </c>
      <c r="D1360" s="1018" t="n">
        <f aca="false">'Смета Внутр'!D1367</f>
        <v>0</v>
      </c>
      <c r="E1360" s="1004" t="n">
        <f aca="false">'Смета Внутр'!E1367</f>
        <v>250</v>
      </c>
      <c r="F1360" s="1004" t="n">
        <f aca="false">'Смета Внутр'!F1367</f>
        <v>0</v>
      </c>
      <c r="G1360" s="1004" t="n">
        <f aca="false">IF(E1360&gt;F1360,E1360,F1360)</f>
        <v>250</v>
      </c>
      <c r="H1360" s="1004" t="n">
        <f aca="false">'Смета Внутр'!G1367</f>
        <v>0</v>
      </c>
      <c r="I1360" s="1004" t="n">
        <f aca="false">'Смета Внутр'!H1367</f>
        <v>0</v>
      </c>
      <c r="J1360" s="1018" t="n">
        <f aca="false">'Смета Внутр'!I1367</f>
        <v>0</v>
      </c>
    </row>
    <row r="1361" customFormat="false" ht="15" hidden="false" customHeight="true" outlineLevel="0" collapsed="false">
      <c r="B1361" s="1004" t="str">
        <f aca="false">'Смета Внутр'!B1368</f>
        <v>Планка премыкания</v>
      </c>
      <c r="C1361" s="1004" t="str">
        <f aca="false">'Смета Внутр'!C1368</f>
        <v>м.п.</v>
      </c>
      <c r="D1361" s="1018" t="n">
        <f aca="false">'Смета Внутр'!D1368</f>
        <v>0</v>
      </c>
      <c r="E1361" s="1004" t="n">
        <f aca="false">'Смета Внутр'!E1368</f>
        <v>200</v>
      </c>
      <c r="F1361" s="1004" t="n">
        <f aca="false">'Смета Внутр'!F1368</f>
        <v>0</v>
      </c>
      <c r="G1361" s="1004" t="n">
        <f aca="false">IF(E1361&gt;F1361,E1361,F1361)</f>
        <v>200</v>
      </c>
      <c r="H1361" s="1004" t="n">
        <f aca="false">'Смета Внутр'!G1368</f>
        <v>0</v>
      </c>
      <c r="I1361" s="1004" t="n">
        <f aca="false">'Смета Внутр'!H1368</f>
        <v>0</v>
      </c>
      <c r="J1361" s="1018" t="n">
        <f aca="false">'Смета Внутр'!I1368</f>
        <v>0</v>
      </c>
    </row>
    <row r="1362" customFormat="false" ht="15" hidden="false" customHeight="true" outlineLevel="0" collapsed="false">
      <c r="B1362" s="1004" t="str">
        <f aca="false">'Смета Внутр'!B1369</f>
        <v>Гвозди для крепления подкладочного ковра</v>
      </c>
      <c r="C1362" s="1004" t="str">
        <f aca="false">'Смета Внутр'!C1369</f>
        <v>шт</v>
      </c>
      <c r="D1362" s="1018" t="n">
        <f aca="false">'Смета Внутр'!D1369</f>
        <v>0</v>
      </c>
      <c r="E1362" s="1004" t="n">
        <f aca="false">'Смета Внутр'!E1369</f>
        <v>0.012</v>
      </c>
      <c r="F1362" s="1004" t="n">
        <f aca="false">'Смета Внутр'!F1369</f>
        <v>0</v>
      </c>
      <c r="G1362" s="1004" t="n">
        <f aca="false">IF(E1362&gt;F1362,E1362,F1362)</f>
        <v>0.012</v>
      </c>
      <c r="H1362" s="1004" t="n">
        <f aca="false">'Смета Внутр'!G1369</f>
        <v>0</v>
      </c>
      <c r="I1362" s="1004" t="n">
        <f aca="false">'Смета Внутр'!H1369</f>
        <v>0</v>
      </c>
      <c r="J1362" s="1018" t="n">
        <f aca="false">'Смета Внутр'!I1369</f>
        <v>0</v>
      </c>
    </row>
    <row r="1363" customFormat="false" ht="15" hidden="false" customHeight="true" outlineLevel="0" collapsed="false">
      <c r="B1363" s="1004" t="str">
        <f aca="false">'Смета Внутр'!B1370</f>
        <v>Гвозди для крепления черепицы</v>
      </c>
      <c r="C1363" s="1004" t="str">
        <f aca="false">'Смета Внутр'!C1370</f>
        <v>шт</v>
      </c>
      <c r="D1363" s="1018" t="n">
        <f aca="false">'Смета Внутр'!D1370</f>
        <v>0</v>
      </c>
      <c r="E1363" s="1004" t="n">
        <f aca="false">'Смета Внутр'!E1370</f>
        <v>0.25</v>
      </c>
      <c r="F1363" s="1004" t="n">
        <f aca="false">'Смета Внутр'!F1370</f>
        <v>0</v>
      </c>
      <c r="G1363" s="1004" t="n">
        <f aca="false">IF(E1363&gt;F1363,E1363,F1363)</f>
        <v>0.25</v>
      </c>
      <c r="H1363" s="1004" t="n">
        <f aca="false">'Смета Внутр'!G1370</f>
        <v>0</v>
      </c>
      <c r="I1363" s="1004" t="n">
        <f aca="false">'Смета Внутр'!H1370</f>
        <v>0</v>
      </c>
      <c r="J1363" s="1018" t="n">
        <f aca="false">'Смета Внутр'!I1370</f>
        <v>0</v>
      </c>
    </row>
    <row r="1364" customFormat="false" ht="15" hidden="false" customHeight="true" outlineLevel="0" collapsed="false">
      <c r="B1364" s="1004" t="str">
        <f aca="false">'Смета Внутр'!B1371</f>
        <v>Клей для монтажа черепицы</v>
      </c>
      <c r="C1364" s="1004" t="str">
        <f aca="false">'Смета Внутр'!C1371</f>
        <v>кг</v>
      </c>
      <c r="D1364" s="1018" t="n">
        <f aca="false">'Смета Внутр'!D1371</f>
        <v>0</v>
      </c>
      <c r="E1364" s="1004" t="n">
        <f aca="false">'Смета Внутр'!E1371</f>
        <v>250</v>
      </c>
      <c r="F1364" s="1004" t="n">
        <f aca="false">'Смета Внутр'!F1371</f>
        <v>0</v>
      </c>
      <c r="G1364" s="1004" t="n">
        <f aca="false">IF(E1364&gt;F1364,E1364,F1364)</f>
        <v>250</v>
      </c>
      <c r="H1364" s="1004" t="n">
        <f aca="false">'Смета Внутр'!G1371</f>
        <v>0</v>
      </c>
      <c r="I1364" s="1004" t="n">
        <f aca="false">'Смета Внутр'!H1371</f>
        <v>0</v>
      </c>
      <c r="J1364" s="1018" t="n">
        <f aca="false">'Смета Внутр'!I1371</f>
        <v>0</v>
      </c>
    </row>
    <row r="1365" customFormat="false" ht="15" hidden="false" customHeight="true" outlineLevel="0" collapsed="false">
      <c r="B1365" s="1004" t="str">
        <f aca="false">'Смета Внутр'!B1372</f>
        <v>желоб</v>
      </c>
      <c r="C1365" s="1004" t="str">
        <f aca="false">'Смета Внутр'!C1372</f>
        <v>м.п</v>
      </c>
      <c r="D1365" s="1018" t="n">
        <f aca="false">'Смета Внутр'!D1372</f>
        <v>11.8</v>
      </c>
      <c r="E1365" s="1004" t="n">
        <f aca="false">'Смета Внутр'!E1372</f>
        <v>300</v>
      </c>
      <c r="F1365" s="1004" t="n">
        <f aca="false">'Смета Внутр'!F1372</f>
        <v>0</v>
      </c>
      <c r="G1365" s="1004" t="n">
        <f aca="false">IF(E1365&gt;F1365,E1365,F1365)</f>
        <v>300</v>
      </c>
      <c r="H1365" s="1004" t="n">
        <f aca="false">'Смета Внутр'!G1372</f>
        <v>3540</v>
      </c>
      <c r="I1365" s="1004" t="n">
        <f aca="false">'Смета Внутр'!H1372</f>
        <v>0</v>
      </c>
      <c r="J1365" s="1018" t="n">
        <f aca="false">'Смета Внутр'!I1372</f>
        <v>0</v>
      </c>
    </row>
    <row r="1366" customFormat="false" ht="15" hidden="false" customHeight="true" outlineLevel="0" collapsed="false">
      <c r="B1366" s="1004" t="str">
        <f aca="false">'Смета Внутр'!B1373</f>
        <v>отвод</v>
      </c>
      <c r="C1366" s="1004" t="str">
        <f aca="false">'Смета Внутр'!C1373</f>
        <v>шт</v>
      </c>
      <c r="D1366" s="1018" t="n">
        <f aca="false">'Смета Внутр'!D1373</f>
        <v>2</v>
      </c>
      <c r="E1366" s="1004" t="n">
        <f aca="false">'Смета Внутр'!E1373</f>
        <v>250</v>
      </c>
      <c r="F1366" s="1004" t="n">
        <f aca="false">'Смета Внутр'!F1373</f>
        <v>0</v>
      </c>
      <c r="G1366" s="1004" t="n">
        <f aca="false">IF(E1366&gt;F1366,E1366,F1366)</f>
        <v>250</v>
      </c>
      <c r="H1366" s="1004" t="n">
        <f aca="false">'Смета Внутр'!G1373</f>
        <v>500</v>
      </c>
      <c r="I1366" s="1004" t="n">
        <f aca="false">'Смета Внутр'!H1373</f>
        <v>0</v>
      </c>
      <c r="J1366" s="1018" t="n">
        <f aca="false">'Смета Внутр'!I1373</f>
        <v>0</v>
      </c>
    </row>
    <row r="1367" customFormat="false" ht="15" hidden="false" customHeight="true" outlineLevel="0" collapsed="false">
      <c r="B1367" s="1004" t="str">
        <f aca="false">'Смета Внутр'!B1374</f>
        <v>труба водосточная</v>
      </c>
      <c r="C1367" s="1004" t="str">
        <f aca="false">'Смета Внутр'!C1374</f>
        <v>м.п.</v>
      </c>
      <c r="D1367" s="1018" t="n">
        <f aca="false">'Смета Внутр'!D1374</f>
        <v>8.4</v>
      </c>
      <c r="E1367" s="1004" t="n">
        <f aca="false">'Смета Внутр'!E1374</f>
        <v>300</v>
      </c>
      <c r="F1367" s="1004" t="n">
        <f aca="false">'Смета Внутр'!F1374</f>
        <v>0</v>
      </c>
      <c r="G1367" s="1004" t="n">
        <f aca="false">IF(E1367&gt;F1367,E1367,F1367)</f>
        <v>300</v>
      </c>
      <c r="H1367" s="1004" t="n">
        <f aca="false">'Смета Внутр'!G1374</f>
        <v>2520</v>
      </c>
      <c r="I1367" s="1004" t="n">
        <f aca="false">'Смета Внутр'!H1374</f>
        <v>0</v>
      </c>
      <c r="J1367" s="1018" t="n">
        <f aca="false">'Смета Внутр'!I1374</f>
        <v>0</v>
      </c>
    </row>
    <row r="1368" customFormat="false" ht="15" hidden="false" customHeight="true" outlineLevel="0" collapsed="false">
      <c r="B1368" s="1004" t="str">
        <f aca="false">'Смета Внутр'!B1375</f>
        <v>заглушка для желоба</v>
      </c>
      <c r="C1368" s="1004" t="str">
        <f aca="false">'Смета Внутр'!C1375</f>
        <v>шт</v>
      </c>
      <c r="D1368" s="1018" t="n">
        <f aca="false">'Смета Внутр'!D1375</f>
        <v>2</v>
      </c>
      <c r="E1368" s="1004" t="n">
        <f aca="false">'Смета Внутр'!E1375</f>
        <v>190</v>
      </c>
      <c r="F1368" s="1004" t="n">
        <f aca="false">'Смета Внутр'!F1375</f>
        <v>0</v>
      </c>
      <c r="G1368" s="1004" t="n">
        <f aca="false">IF(E1368&gt;F1368,E1368,F1368)</f>
        <v>190</v>
      </c>
      <c r="H1368" s="1004" t="n">
        <f aca="false">'Смета Внутр'!G1375</f>
        <v>380</v>
      </c>
      <c r="I1368" s="1004" t="n">
        <f aca="false">'Смета Внутр'!H1375</f>
        <v>0</v>
      </c>
      <c r="J1368" s="1018" t="n">
        <f aca="false">'Смета Внутр'!I1375</f>
        <v>0</v>
      </c>
    </row>
    <row r="1369" customFormat="false" ht="15" hidden="false" customHeight="true" outlineLevel="0" collapsed="false">
      <c r="B1369" s="1004" t="str">
        <f aca="false">'Смета Внутр'!B1376</f>
        <v>соеденитель для желоба</v>
      </c>
      <c r="C1369" s="1004" t="str">
        <f aca="false">'Смета Внутр'!C1376</f>
        <v>шт</v>
      </c>
      <c r="D1369" s="1018" t="n">
        <f aca="false">'Смета Внутр'!D1376</f>
        <v>7</v>
      </c>
      <c r="E1369" s="1004" t="n">
        <f aca="false">'Смета Внутр'!E1376</f>
        <v>180</v>
      </c>
      <c r="F1369" s="1004" t="n">
        <f aca="false">'Смета Внутр'!F1376</f>
        <v>0</v>
      </c>
      <c r="G1369" s="1004" t="n">
        <f aca="false">IF(E1369&gt;F1369,E1369,F1369)</f>
        <v>180</v>
      </c>
      <c r="H1369" s="1004" t="n">
        <f aca="false">'Смета Внутр'!G1376</f>
        <v>1260</v>
      </c>
      <c r="I1369" s="1004" t="n">
        <f aca="false">'Смета Внутр'!H1376</f>
        <v>0</v>
      </c>
      <c r="J1369" s="1018" t="n">
        <f aca="false">'Смета Внутр'!I1376</f>
        <v>0</v>
      </c>
    </row>
    <row r="1370" customFormat="false" ht="15" hidden="false" customHeight="true" outlineLevel="0" collapsed="false">
      <c r="B1370" s="1004" t="str">
        <f aca="false">'Смета Внутр'!B1377</f>
        <v>кронштейн для желоба</v>
      </c>
      <c r="C1370" s="1004" t="str">
        <f aca="false">'Смета Внутр'!C1377</f>
        <v>шт</v>
      </c>
      <c r="D1370" s="1018" t="n">
        <f aca="false">'Смета Внутр'!D1377</f>
        <v>33.5</v>
      </c>
      <c r="E1370" s="1004" t="n">
        <f aca="false">'Смета Внутр'!E1377</f>
        <v>130</v>
      </c>
      <c r="F1370" s="1004" t="n">
        <f aca="false">'Смета Внутр'!F1377</f>
        <v>0</v>
      </c>
      <c r="G1370" s="1004" t="n">
        <f aca="false">IF(E1370&gt;F1370,E1370,F1370)</f>
        <v>130</v>
      </c>
      <c r="H1370" s="1004" t="n">
        <f aca="false">'Смета Внутр'!G1377</f>
        <v>4355</v>
      </c>
      <c r="I1370" s="1004" t="n">
        <f aca="false">'Смета Внутр'!H1377</f>
        <v>0</v>
      </c>
      <c r="J1370" s="1018" t="n">
        <f aca="false">'Смета Внутр'!I1377</f>
        <v>0</v>
      </c>
    </row>
    <row r="1371" customFormat="false" ht="15" hidden="false" customHeight="true" outlineLevel="0" collapsed="false">
      <c r="B1371" s="1004" t="str">
        <f aca="false">'Смета Внутр'!B1378</f>
        <v>переход из желоба в трубу</v>
      </c>
      <c r="C1371" s="1004" t="str">
        <f aca="false">'Смета Внутр'!C1378</f>
        <v>шт</v>
      </c>
      <c r="D1371" s="1018" t="n">
        <f aca="false">'Смета Внутр'!D1378</f>
        <v>2</v>
      </c>
      <c r="E1371" s="1004" t="n">
        <f aca="false">'Смета Внутр'!E1378</f>
        <v>350</v>
      </c>
      <c r="F1371" s="1004" t="n">
        <f aca="false">'Смета Внутр'!F1378</f>
        <v>0</v>
      </c>
      <c r="G1371" s="1004" t="n">
        <f aca="false">IF(E1371&gt;F1371,E1371,F1371)</f>
        <v>350</v>
      </c>
      <c r="H1371" s="1004" t="n">
        <f aca="false">'Смета Внутр'!G1378</f>
        <v>700</v>
      </c>
      <c r="I1371" s="1004" t="n">
        <f aca="false">'Смета Внутр'!H1378</f>
        <v>0</v>
      </c>
      <c r="J1371" s="1018" t="n">
        <f aca="false">'Смета Внутр'!I1378</f>
        <v>0</v>
      </c>
    </row>
    <row r="1372" customFormat="false" ht="15" hidden="false" customHeight="true" outlineLevel="0" collapsed="false">
      <c r="B1372" s="1004" t="str">
        <f aca="false">'Смета Внутр'!B1379</f>
        <v>лента дельта мульти бэнд</v>
      </c>
      <c r="C1372" s="1004" t="str">
        <f aca="false">'Смета Внутр'!C1379</f>
        <v>шт</v>
      </c>
      <c r="D1372" s="1018" t="n">
        <f aca="false">'Смета Внутр'!D1379</f>
        <v>3</v>
      </c>
      <c r="E1372" s="1004" t="n">
        <f aca="false">'Смета Внутр'!E1379</f>
        <v>1200</v>
      </c>
      <c r="F1372" s="1004" t="n">
        <f aca="false">'Смета Внутр'!F1379</f>
        <v>0</v>
      </c>
      <c r="G1372" s="1004" t="n">
        <f aca="false">IF(E1372&gt;F1372,E1372,F1372)</f>
        <v>1200</v>
      </c>
      <c r="H1372" s="1004" t="n">
        <f aca="false">'Смета Внутр'!G1379</f>
        <v>3600</v>
      </c>
      <c r="I1372" s="1004" t="n">
        <f aca="false">'Смета Внутр'!H1379</f>
        <v>0</v>
      </c>
      <c r="J1372" s="1018" t="n">
        <f aca="false">'Смета Внутр'!I1379</f>
        <v>0</v>
      </c>
    </row>
    <row r="1373" customFormat="false" ht="15" hidden="false" customHeight="true" outlineLevel="0" collapsed="false">
      <c r="B1373" s="1004" t="str">
        <f aca="false">'Смета Внутр'!B1380</f>
        <v>лента дельта sb-60</v>
      </c>
      <c r="C1373" s="1004" t="str">
        <f aca="false">'Смета Внутр'!C1380</f>
        <v>шт</v>
      </c>
      <c r="D1373" s="1018" t="n">
        <f aca="false">'Смета Внутр'!D1380</f>
        <v>10</v>
      </c>
      <c r="E1373" s="1004" t="n">
        <f aca="false">'Смета Внутр'!E1380</f>
        <v>1100</v>
      </c>
      <c r="F1373" s="1004" t="n">
        <f aca="false">'Смета Внутр'!F1380</f>
        <v>0</v>
      </c>
      <c r="G1373" s="1004" t="n">
        <f aca="false">IF(E1373&gt;F1373,E1373,F1373)</f>
        <v>1100</v>
      </c>
      <c r="H1373" s="1004" t="n">
        <f aca="false">'Смета Внутр'!G1380</f>
        <v>11000</v>
      </c>
      <c r="I1373" s="1004" t="n">
        <f aca="false">'Смета Внутр'!H1380</f>
        <v>0</v>
      </c>
      <c r="J1373" s="1018" t="n">
        <f aca="false">'Смета Внутр'!I1380</f>
        <v>0</v>
      </c>
    </row>
    <row r="1374" customFormat="false" ht="15" hidden="false" customHeight="true" outlineLevel="0" collapsed="false">
      <c r="B1374" s="1004" t="str">
        <f aca="false">'Смета Внутр'!B1381</f>
        <v>проходка кровельная, канализационная</v>
      </c>
      <c r="C1374" s="1004" t="str">
        <f aca="false">'Смета Внутр'!C1381</f>
        <v>шт</v>
      </c>
      <c r="D1374" s="1018" t="n">
        <f aca="false">'Смета Внутр'!D1381</f>
        <v>0</v>
      </c>
      <c r="E1374" s="1004" t="n">
        <f aca="false">'Смета Внутр'!E1381</f>
        <v>3500</v>
      </c>
      <c r="F1374" s="1004" t="n">
        <f aca="false">'Смета Внутр'!F1381</f>
        <v>0</v>
      </c>
      <c r="G1374" s="1004" t="n">
        <f aca="false">IF(E1374&gt;F1374,E1374,F1374)</f>
        <v>3500</v>
      </c>
      <c r="H1374" s="1004" t="n">
        <f aca="false">'Смета Внутр'!G1381</f>
        <v>0</v>
      </c>
      <c r="I1374" s="1004" t="n">
        <f aca="false">'Смета Внутр'!H1381</f>
        <v>0</v>
      </c>
      <c r="J1374" s="1018" t="n">
        <f aca="false">'Смета Внутр'!I1381</f>
        <v>0</v>
      </c>
    </row>
    <row r="1375" customFormat="false" ht="15" hidden="false" customHeight="true" outlineLevel="0" collapsed="false">
      <c r="B1375" s="1004" t="str">
        <f aca="false">'Смета Внутр'!B1382</f>
        <v>проходка кровельная, вентиляционная</v>
      </c>
      <c r="C1375" s="1004" t="str">
        <f aca="false">'Смета Внутр'!C1382</f>
        <v>шт</v>
      </c>
      <c r="D1375" s="1018" t="n">
        <f aca="false">'Смета Внутр'!D1382</f>
        <v>0</v>
      </c>
      <c r="E1375" s="1004" t="n">
        <f aca="false">'Смета Внутр'!E1382</f>
        <v>3500</v>
      </c>
      <c r="F1375" s="1004" t="n">
        <f aca="false">'Смета Внутр'!F1382</f>
        <v>0</v>
      </c>
      <c r="G1375" s="1004" t="n">
        <f aca="false">IF(E1375&gt;F1375,E1375,F1375)</f>
        <v>3500</v>
      </c>
      <c r="H1375" s="1004" t="n">
        <f aca="false">'Смета Внутр'!G1382</f>
        <v>0</v>
      </c>
      <c r="I1375" s="1004" t="n">
        <f aca="false">'Смета Внутр'!H1382</f>
        <v>0</v>
      </c>
      <c r="J1375" s="1018" t="n">
        <f aca="false">'Смета Внутр'!I1382</f>
        <v>0</v>
      </c>
    </row>
    <row r="1376" customFormat="false" ht="15" hidden="false" customHeight="true" outlineLevel="0" collapsed="false">
      <c r="B1376" s="1004" t="str">
        <f aca="false">'Смета Внутр'!B1383</f>
        <v>проодка кровельная, труба котел</v>
      </c>
      <c r="C1376" s="1004" t="str">
        <f aca="false">'Смета Внутр'!C1383</f>
        <v>шт</v>
      </c>
      <c r="D1376" s="1018" t="n">
        <f aca="false">'Смета Внутр'!D1383</f>
        <v>0</v>
      </c>
      <c r="E1376" s="1004" t="n">
        <f aca="false">'Смета Внутр'!E1383</f>
        <v>4500</v>
      </c>
      <c r="F1376" s="1004" t="n">
        <f aca="false">'Смета Внутр'!F1383</f>
        <v>0</v>
      </c>
      <c r="G1376" s="1004" t="n">
        <f aca="false">IF(E1376&gt;F1376,E1376,F1376)</f>
        <v>4500</v>
      </c>
      <c r="H1376" s="1004" t="n">
        <f aca="false">'Смета Внутр'!G1383</f>
        <v>0</v>
      </c>
      <c r="I1376" s="1004" t="n">
        <f aca="false">'Смета Внутр'!H1383</f>
        <v>0</v>
      </c>
      <c r="J1376" s="1018" t="n">
        <f aca="false">'Смета Внутр'!I1383</f>
        <v>0</v>
      </c>
    </row>
    <row r="1377" customFormat="false" ht="15" hidden="false" customHeight="true" outlineLevel="0" collapsed="false">
      <c r="B1377" s="1004" t="str">
        <f aca="false">'Смета Внутр'!B1384</f>
        <v>Кровельный саморез</v>
      </c>
      <c r="C1377" s="1004" t="str">
        <f aca="false">'Смета Внутр'!C1384</f>
        <v>шт</v>
      </c>
      <c r="D1377" s="1018" t="n">
        <f aca="false">'Смета Внутр'!D1384</f>
        <v>2315.3221275065</v>
      </c>
      <c r="E1377" s="1004" t="n">
        <f aca="false">'Смета Внутр'!E1384</f>
        <v>2</v>
      </c>
      <c r="F1377" s="1004" t="n">
        <f aca="false">'Смета Внутр'!F1384</f>
        <v>0</v>
      </c>
      <c r="G1377" s="1004" t="n">
        <f aca="false">IF(E1377&gt;F1377,E1377,F1377)</f>
        <v>2</v>
      </c>
      <c r="H1377" s="1004" t="n">
        <f aca="false">'Смета Внутр'!G1384</f>
        <v>4630.644255013</v>
      </c>
      <c r="I1377" s="1004" t="n">
        <f aca="false">'Смета Внутр'!H1384</f>
        <v>0</v>
      </c>
      <c r="J1377" s="1018" t="n">
        <f aca="false">'Смета Внутр'!I1384</f>
        <v>0</v>
      </c>
    </row>
    <row r="1378" customFormat="false" ht="15" hidden="false" customHeight="true" outlineLevel="0" collapsed="false">
      <c r="B1378" s="1004" t="str">
        <f aca="false">'Смета Внутр'!B1385</f>
        <v>Гвозди ершоные 3,4 x 60</v>
      </c>
      <c r="C1378" s="1004" t="str">
        <f aca="false">'Смета Внутр'!C1385</f>
        <v>кг</v>
      </c>
      <c r="D1378" s="1018" t="n">
        <f aca="false">'Смета Внутр'!D1385</f>
        <v>16.0786258854618</v>
      </c>
      <c r="E1378" s="1004" t="n">
        <f aca="false">'Смета Внутр'!E1385</f>
        <v>75.51</v>
      </c>
      <c r="F1378" s="1004" t="n">
        <f aca="false">'Смета Внутр'!F1385</f>
        <v>0</v>
      </c>
      <c r="G1378" s="1004" t="n">
        <f aca="false">IF(E1378&gt;F1378,E1378,F1378)</f>
        <v>75.51</v>
      </c>
      <c r="H1378" s="1004" t="n">
        <f aca="false">'Смета Внутр'!G1385</f>
        <v>1214.09704061122</v>
      </c>
      <c r="I1378" s="1004" t="n">
        <f aca="false">'Смета Внутр'!H1385</f>
        <v>0</v>
      </c>
      <c r="J1378" s="1018" t="n">
        <f aca="false">'Смета Внутр'!I1385</f>
        <v>0</v>
      </c>
    </row>
    <row r="1379" customFormat="false" ht="15" hidden="false" customHeight="true" outlineLevel="0" collapsed="false">
      <c r="B1379" s="1004" t="str">
        <f aca="false">'Смета Внутр'!B1386</f>
        <v>Гвозди ершоные 2,8 х 90</v>
      </c>
      <c r="C1379" s="1004" t="str">
        <f aca="false">'Смета Внутр'!C1386</f>
        <v>кг</v>
      </c>
      <c r="D1379" s="1018" t="n">
        <f aca="false">'Смета Внутр'!D1386</f>
        <v>36.4509870509381</v>
      </c>
      <c r="E1379" s="1004" t="n">
        <f aca="false">'Смета Внутр'!E1386</f>
        <v>76.49</v>
      </c>
      <c r="F1379" s="1004" t="n">
        <f aca="false">'Смета Внутр'!F1386</f>
        <v>0</v>
      </c>
      <c r="G1379" s="1004" t="n">
        <f aca="false">IF(E1379&gt;F1379,E1379,F1379)</f>
        <v>76.49</v>
      </c>
      <c r="H1379" s="1004" t="n">
        <f aca="false">'Смета Внутр'!G1386</f>
        <v>2788.13599952626</v>
      </c>
      <c r="I1379" s="1004" t="n">
        <f aca="false">'Смета Внутр'!H1386</f>
        <v>0</v>
      </c>
      <c r="J1379" s="1018" t="n">
        <f aca="false">'Смета Внутр'!I1386</f>
        <v>0</v>
      </c>
    </row>
    <row r="1380" customFormat="false" ht="15" hidden="false" customHeight="true" outlineLevel="0" collapsed="false">
      <c r="B1380" s="1004" t="str">
        <f aca="false">'Смета Внутр'!B1387</f>
        <v>Пластина соеденительная 100х240х2</v>
      </c>
      <c r="C1380" s="1004" t="str">
        <f aca="false">'Смета Внутр'!C1387</f>
        <v>шт</v>
      </c>
      <c r="D1380" s="1018" t="n">
        <f aca="false">'Смета Внутр'!D1387</f>
        <v>0</v>
      </c>
      <c r="E1380" s="1004" t="n">
        <f aca="false">'Смета Внутр'!E1387</f>
        <v>31.54</v>
      </c>
      <c r="F1380" s="1004" t="n">
        <f aca="false">'Смета Внутр'!F1387</f>
        <v>0</v>
      </c>
      <c r="G1380" s="1004" t="n">
        <f aca="false">IF(E1380&gt;F1380,E1380,F1380)</f>
        <v>31.54</v>
      </c>
      <c r="H1380" s="1004" t="n">
        <f aca="false">'Смета Внутр'!G1387</f>
        <v>0</v>
      </c>
      <c r="I1380" s="1004" t="n">
        <f aca="false">'Смета Внутр'!H1387</f>
        <v>0</v>
      </c>
      <c r="J1380" s="1018" t="n">
        <f aca="false">'Смета Внутр'!I1387</f>
        <v>0</v>
      </c>
    </row>
    <row r="1381" customFormat="false" ht="15" hidden="false" customHeight="true" outlineLevel="0" collapsed="false">
      <c r="B1381" s="1004" t="str">
        <f aca="false">'Смета Внутр'!B1388</f>
        <v>Уголок усиленный 90х70х55х2,5</v>
      </c>
      <c r="C1381" s="1004" t="str">
        <f aca="false">'Смета Внутр'!C1388</f>
        <v>шт</v>
      </c>
      <c r="D1381" s="1018" t="n">
        <f aca="false">'Смета Внутр'!D1388</f>
        <v>65</v>
      </c>
      <c r="E1381" s="1004" t="n">
        <f aca="false">'Смета Внутр'!E1388</f>
        <v>30</v>
      </c>
      <c r="F1381" s="1004" t="n">
        <f aca="false">'Смета Внутр'!F1388</f>
        <v>0</v>
      </c>
      <c r="G1381" s="1004" t="n">
        <f aca="false">IF(E1381&gt;F1381,E1381,F1381)</f>
        <v>30</v>
      </c>
      <c r="H1381" s="1004" t="n">
        <f aca="false">'Смета Внутр'!G1388</f>
        <v>1950</v>
      </c>
      <c r="I1381" s="1004" t="n">
        <f aca="false">'Смета Внутр'!H1388</f>
        <v>0</v>
      </c>
      <c r="J1381" s="1018" t="n">
        <f aca="false">'Смета Внутр'!I1388</f>
        <v>0</v>
      </c>
    </row>
    <row r="1382" customFormat="false" ht="14.5" hidden="false" customHeight="false" outlineLevel="0" collapsed="false">
      <c r="B1382" s="2927" t="str">
        <f aca="false">'Смета Внутр'!B1389</f>
        <v>Итого материалы</v>
      </c>
      <c r="C1382" s="2927"/>
      <c r="D1382" s="2927"/>
      <c r="E1382" s="2927"/>
      <c r="F1382" s="2927"/>
      <c r="G1382" s="2927"/>
      <c r="H1382" s="1004" t="n">
        <f aca="false">'Смета Внутр'!G1389</f>
        <v>0</v>
      </c>
      <c r="I1382" s="1004" t="n">
        <f aca="false">'Смета Внутр'!H1389</f>
        <v>0</v>
      </c>
      <c r="J1382" s="1018" t="n">
        <f aca="false">'Смета Внутр'!I1389</f>
        <v>0</v>
      </c>
    </row>
    <row r="1383" customFormat="false" ht="15" hidden="false" customHeight="true" outlineLevel="0" collapsed="false">
      <c r="B1383" s="2881" t="str">
        <f aca="false">'Смета Внутр'!B1390</f>
        <v>Работы</v>
      </c>
      <c r="D1383" s="919"/>
      <c r="H1383" s="0" t="n">
        <f aca="false">'Смета Внутр'!G1390</f>
        <v>0</v>
      </c>
      <c r="I1383" s="0" t="n">
        <f aca="false">'Смета Внутр'!H1390</f>
        <v>0</v>
      </c>
      <c r="J1383" s="2926" t="n">
        <f aca="false">'Смета Внутр'!I1390</f>
        <v>0</v>
      </c>
    </row>
    <row r="1384" customFormat="false" ht="15" hidden="false" customHeight="true" outlineLevel="0" collapsed="false">
      <c r="B1384" s="1004" t="str">
        <f aca="false">'Смета Внутр'!B1391</f>
        <v>монтаж мауэрлата</v>
      </c>
      <c r="C1384" s="1004" t="str">
        <f aca="false">'Смета Внутр'!C1391</f>
        <v>м.п.</v>
      </c>
      <c r="D1384" s="1018" t="n">
        <f aca="false">'Смета Внутр'!D1391</f>
        <v>42.3606797749979</v>
      </c>
      <c r="E1384" s="1004" t="n">
        <f aca="false">'Смета Внутр'!E1391</f>
        <v>250</v>
      </c>
      <c r="F1384" s="1004" t="n">
        <f aca="false">'Смета Внутр'!F1391</f>
        <v>0</v>
      </c>
      <c r="G1384" s="1004" t="n">
        <f aca="false">IF(E1384&gt;F1384,E1384,F1384)</f>
        <v>250</v>
      </c>
      <c r="H1384" s="1004" t="n">
        <f aca="false">'Смета Внутр'!G1391</f>
        <v>10590.1699437495</v>
      </c>
      <c r="I1384" s="1004" t="n">
        <f aca="false">'Смета Внутр'!H1391</f>
        <v>0</v>
      </c>
      <c r="J1384" s="1018" t="n">
        <f aca="false">'Смета Внутр'!I1391</f>
        <v>0</v>
      </c>
    </row>
    <row r="1385" customFormat="false" ht="15" hidden="false" customHeight="true" outlineLevel="0" collapsed="false">
      <c r="B1385" s="1004" t="str">
        <f aca="false">'Смета Внутр'!B1392</f>
        <v>монтаж стропил</v>
      </c>
      <c r="C1385" s="1004" t="str">
        <f aca="false">'Смета Внутр'!C1392</f>
        <v>м2</v>
      </c>
      <c r="D1385" s="1018" t="n">
        <f aca="false">'Смета Внутр'!D1392</f>
        <v>160.786258854618</v>
      </c>
      <c r="E1385" s="1004" t="n">
        <f aca="false">'Смета Внутр'!E1392</f>
        <v>450</v>
      </c>
      <c r="F1385" s="1004" t="n">
        <f aca="false">'Смета Внутр'!F1392</f>
        <v>0</v>
      </c>
      <c r="G1385" s="1004" t="n">
        <f aca="false">IF(E1385&gt;F1385,E1385,F1385)</f>
        <v>450</v>
      </c>
      <c r="H1385" s="1004" t="n">
        <f aca="false">'Смета Внутр'!G1392</f>
        <v>72353.8164845781</v>
      </c>
      <c r="I1385" s="1004" t="n">
        <f aca="false">'Смета Внутр'!H1392</f>
        <v>0</v>
      </c>
      <c r="J1385" s="1018" t="n">
        <f aca="false">'Смета Внутр'!I1392</f>
        <v>0</v>
      </c>
    </row>
    <row r="1386" customFormat="false" ht="15" hidden="false" customHeight="true" outlineLevel="0" collapsed="false">
      <c r="B1386" s="1004" t="str">
        <f aca="false">'Смета Внутр'!B1393</f>
        <v>обрешетка</v>
      </c>
      <c r="C1386" s="1004" t="str">
        <f aca="false">'Смета Внутр'!C1393</f>
        <v>м2</v>
      </c>
      <c r="D1386" s="1018" t="n">
        <f aca="false">'Смета Внутр'!D1393</f>
        <v>160.786258854618</v>
      </c>
      <c r="E1386" s="1004" t="n">
        <f aca="false">'Смета Внутр'!E1393</f>
        <v>100</v>
      </c>
      <c r="F1386" s="1004" t="n">
        <f aca="false">'Смета Внутр'!F1393</f>
        <v>0</v>
      </c>
      <c r="G1386" s="1004" t="n">
        <f aca="false">IF(E1386&gt;F1386,E1386,F1386)</f>
        <v>100</v>
      </c>
      <c r="H1386" s="1004" t="n">
        <f aca="false">'Смета Внутр'!G1393</f>
        <v>16078.6258854618</v>
      </c>
      <c r="I1386" s="1004" t="n">
        <f aca="false">'Смета Внутр'!H1393</f>
        <v>0</v>
      </c>
      <c r="J1386" s="1018" t="n">
        <f aca="false">'Смета Внутр'!I1393</f>
        <v>0</v>
      </c>
    </row>
    <row r="1387" customFormat="false" ht="15" hidden="false" customHeight="true" outlineLevel="0" collapsed="false">
      <c r="B1387" s="1004" t="str">
        <f aca="false">'Смета Внутр'!B1394</f>
        <v>контробеш</v>
      </c>
      <c r="C1387" s="1004" t="str">
        <f aca="false">'Смета Внутр'!C1394</f>
        <v>м2</v>
      </c>
      <c r="D1387" s="1018" t="n">
        <f aca="false">'Смета Внутр'!D1394</f>
        <v>160.786258854618</v>
      </c>
      <c r="E1387" s="1004" t="n">
        <f aca="false">'Смета Внутр'!E1394</f>
        <v>100</v>
      </c>
      <c r="F1387" s="1004" t="n">
        <f aca="false">'Смета Внутр'!F1394</f>
        <v>0</v>
      </c>
      <c r="G1387" s="1004" t="n">
        <f aca="false">IF(E1387&gt;F1387,E1387,F1387)</f>
        <v>100</v>
      </c>
      <c r="H1387" s="1004" t="n">
        <f aca="false">'Смета Внутр'!G1394</f>
        <v>16078.6258854618</v>
      </c>
      <c r="I1387" s="1004" t="n">
        <f aca="false">'Смета Внутр'!H1394</f>
        <v>0</v>
      </c>
      <c r="J1387" s="1018" t="n">
        <f aca="false">'Смета Внутр'!I1394</f>
        <v>0</v>
      </c>
    </row>
    <row r="1388" customFormat="false" ht="15" hidden="false" customHeight="true" outlineLevel="0" collapsed="false">
      <c r="B1388" s="1004" t="str">
        <f aca="false">'Смета Внутр'!B1395</f>
        <v>Монтаж металлочерепицы</v>
      </c>
      <c r="C1388" s="1004" t="str">
        <f aca="false">'Смета Внутр'!C1395</f>
        <v>м2</v>
      </c>
      <c r="D1388" s="1018" t="n">
        <f aca="false">'Смета Внутр'!D1395</f>
        <v>160.786258854618</v>
      </c>
      <c r="E1388" s="1004" t="n">
        <f aca="false">'Смета Внутр'!E1395</f>
        <v>300</v>
      </c>
      <c r="F1388" s="1004" t="n">
        <f aca="false">'Смета Внутр'!F1395</f>
        <v>0</v>
      </c>
      <c r="G1388" s="1004" t="n">
        <f aca="false">IF(E1388&gt;F1388,E1388,F1388)</f>
        <v>300</v>
      </c>
      <c r="H1388" s="1004" t="n">
        <f aca="false">'Смета Внутр'!G1395</f>
        <v>48235.8776563854</v>
      </c>
      <c r="I1388" s="1004" t="n">
        <f aca="false">'Смета Внутр'!H1395</f>
        <v>0</v>
      </c>
      <c r="J1388" s="1018" t="n">
        <f aca="false">'Смета Внутр'!I1395</f>
        <v>0</v>
      </c>
    </row>
    <row r="1389" customFormat="false" ht="15" hidden="false" customHeight="true" outlineLevel="0" collapsed="false">
      <c r="B1389" s="1004" t="str">
        <f aca="false">'Смета Внутр'!B1396</f>
        <v>Монтаж ондулина</v>
      </c>
      <c r="C1389" s="1004" t="str">
        <f aca="false">'Смета Внутр'!C1396</f>
        <v>м2</v>
      </c>
      <c r="D1389" s="1018" t="n">
        <f aca="false">'Смета Внутр'!D1396</f>
        <v>0</v>
      </c>
      <c r="E1389" s="1004" t="n">
        <f aca="false">'Смета Внутр'!E1396</f>
        <v>300</v>
      </c>
      <c r="F1389" s="1004" t="n">
        <f aca="false">'Смета Внутр'!F1396</f>
        <v>0</v>
      </c>
      <c r="G1389" s="1004" t="n">
        <f aca="false">IF(E1389&gt;F1389,E1389,F1389)</f>
        <v>300</v>
      </c>
      <c r="H1389" s="1004" t="n">
        <f aca="false">'Смета Внутр'!G1396</f>
        <v>0</v>
      </c>
      <c r="I1389" s="1004" t="n">
        <f aca="false">'Смета Внутр'!H1396</f>
        <v>0</v>
      </c>
      <c r="J1389" s="1018" t="n">
        <f aca="false">'Смета Внутр'!I1396</f>
        <v>0</v>
      </c>
    </row>
    <row r="1390" customFormat="false" ht="15" hidden="false" customHeight="true" outlineLevel="0" collapsed="false">
      <c r="B1390" s="1004" t="str">
        <f aca="false">'Смета Внутр'!B1397</f>
        <v>мембрана</v>
      </c>
      <c r="C1390" s="1004" t="str">
        <f aca="false">'Смета Внутр'!C1397</f>
        <v>м2</v>
      </c>
      <c r="D1390" s="1018" t="n">
        <f aca="false">'Смета Внутр'!D1397</f>
        <v>160.786258854618</v>
      </c>
      <c r="E1390" s="1004" t="n">
        <f aca="false">'Смета Внутр'!E1397</f>
        <v>100</v>
      </c>
      <c r="F1390" s="1004" t="n">
        <f aca="false">'Смета Внутр'!F1397</f>
        <v>0</v>
      </c>
      <c r="G1390" s="1004" t="n">
        <f aca="false">IF(E1390&gt;F1390,E1390,F1390)</f>
        <v>100</v>
      </c>
      <c r="H1390" s="1004" t="n">
        <f aca="false">'Смета Внутр'!G1397</f>
        <v>16078.6258854618</v>
      </c>
      <c r="I1390" s="1004" t="n">
        <f aca="false">'Смета Внутр'!H1397</f>
        <v>0</v>
      </c>
      <c r="J1390" s="1018" t="n">
        <f aca="false">'Смета Внутр'!I1397</f>
        <v>0</v>
      </c>
    </row>
    <row r="1391" customFormat="false" ht="15" hidden="false" customHeight="true" outlineLevel="0" collapsed="false">
      <c r="B1391" s="1004" t="str">
        <f aca="false">'Смета Внутр'!B1398</f>
        <v>пароизоляц</v>
      </c>
      <c r="C1391" s="1004" t="str">
        <f aca="false">'Смета Внутр'!C1398</f>
        <v>м2</v>
      </c>
      <c r="D1391" s="1018" t="n">
        <f aca="false">'Смета Внутр'!D1398</f>
        <v>160.786258854618</v>
      </c>
      <c r="E1391" s="1004" t="n">
        <f aca="false">'Смета Внутр'!E1398</f>
        <v>100</v>
      </c>
      <c r="F1391" s="1004" t="n">
        <f aca="false">'Смета Внутр'!F1398</f>
        <v>0</v>
      </c>
      <c r="G1391" s="1004" t="n">
        <f aca="false">IF(E1391&gt;F1391,E1391,F1391)</f>
        <v>100</v>
      </c>
      <c r="H1391" s="1004" t="n">
        <f aca="false">'Смета Внутр'!G1398</f>
        <v>16078.6258854618</v>
      </c>
      <c r="I1391" s="1004" t="n">
        <f aca="false">'Смета Внутр'!H1398</f>
        <v>0</v>
      </c>
      <c r="J1391" s="1018" t="n">
        <f aca="false">'Смета Внутр'!I1398</f>
        <v>0</v>
      </c>
    </row>
    <row r="1392" customFormat="false" ht="15" hidden="false" customHeight="true" outlineLevel="0" collapsed="false">
      <c r="B1392" s="1004" t="str">
        <f aca="false">'Смета Внутр'!B1399</f>
        <v>утеплитель</v>
      </c>
      <c r="C1392" s="1004" t="str">
        <f aca="false">'Смета Внутр'!C1399</f>
        <v>м2</v>
      </c>
      <c r="D1392" s="1018" t="n">
        <f aca="false">'Смета Внутр'!D1399</f>
        <v>111.80339887499</v>
      </c>
      <c r="E1392" s="1004" t="n">
        <f aca="false">'Смета Внутр'!E1399</f>
        <v>200</v>
      </c>
      <c r="F1392" s="1004" t="n">
        <f aca="false">'Смета Внутр'!F1399</f>
        <v>0</v>
      </c>
      <c r="G1392" s="1004" t="n">
        <f aca="false">IF(E1392&gt;F1392,E1392,F1392)</f>
        <v>200</v>
      </c>
      <c r="H1392" s="1004" t="n">
        <f aca="false">'Смета Внутр'!G1399</f>
        <v>22360.6797749979</v>
      </c>
      <c r="I1392" s="1004" t="n">
        <f aca="false">'Смета Внутр'!H1399</f>
        <v>0</v>
      </c>
      <c r="J1392" s="1018" t="n">
        <f aca="false">'Смета Внутр'!I1399</f>
        <v>0</v>
      </c>
    </row>
    <row r="1393" customFormat="false" ht="15" hidden="false" customHeight="true" outlineLevel="0" collapsed="false">
      <c r="B1393" s="1004" t="str">
        <f aca="false">'Смета Внутр'!B1400</f>
        <v>карнизная планка</v>
      </c>
      <c r="C1393" s="1004" t="str">
        <f aca="false">'Смета Внутр'!C1400</f>
        <v>м2</v>
      </c>
      <c r="D1393" s="1018" t="n">
        <f aca="false">'Смета Внутр'!D1400</f>
        <v>14.278</v>
      </c>
      <c r="E1393" s="1004" t="n">
        <f aca="false">'Смета Внутр'!E1400</f>
        <v>100</v>
      </c>
      <c r="F1393" s="1004" t="n">
        <f aca="false">'Смета Внутр'!F1400</f>
        <v>0</v>
      </c>
      <c r="G1393" s="1004" t="n">
        <f aca="false">IF(E1393&gt;F1393,E1393,F1393)</f>
        <v>100</v>
      </c>
      <c r="H1393" s="1004" t="n">
        <f aca="false">'Смета Внутр'!G1400</f>
        <v>1427.8</v>
      </c>
      <c r="I1393" s="1004" t="n">
        <f aca="false">'Смета Внутр'!H1400</f>
        <v>0</v>
      </c>
      <c r="J1393" s="1018" t="n">
        <f aca="false">'Смета Внутр'!I1400</f>
        <v>0</v>
      </c>
    </row>
    <row r="1394" customFormat="false" ht="15" hidden="false" customHeight="true" outlineLevel="0" collapsed="false">
      <c r="B1394" s="1004" t="str">
        <f aca="false">'Смета Внутр'!B1401</f>
        <v>торцевая планка</v>
      </c>
      <c r="C1394" s="1004" t="str">
        <f aca="false">'Смета Внутр'!C1401</f>
        <v>м2</v>
      </c>
      <c r="D1394" s="1018" t="n">
        <f aca="false">'Смета Внутр'!D1401</f>
        <v>41.8384550406915</v>
      </c>
      <c r="E1394" s="1004" t="n">
        <f aca="false">'Смета Внутр'!E1401</f>
        <v>100</v>
      </c>
      <c r="F1394" s="1004" t="n">
        <f aca="false">'Смета Внутр'!F1401</f>
        <v>0</v>
      </c>
      <c r="G1394" s="1004" t="n">
        <f aca="false">IF(E1394&gt;F1394,E1394,F1394)</f>
        <v>100</v>
      </c>
      <c r="H1394" s="1004" t="n">
        <f aca="false">'Смета Внутр'!G1401</f>
        <v>4183.84550406915</v>
      </c>
      <c r="I1394" s="1004" t="n">
        <f aca="false">'Смета Внутр'!H1401</f>
        <v>0</v>
      </c>
      <c r="J1394" s="1018" t="n">
        <f aca="false">'Смета Внутр'!I1401</f>
        <v>0</v>
      </c>
    </row>
    <row r="1395" customFormat="false" ht="15" hidden="false" customHeight="true" outlineLevel="0" collapsed="false">
      <c r="B1395" s="1004" t="str">
        <f aca="false">'Смета Внутр'!B1402</f>
        <v>конек</v>
      </c>
      <c r="C1395" s="1004" t="str">
        <f aca="false">'Смета Внутр'!C1402</f>
        <v>м.п.</v>
      </c>
      <c r="D1395" s="1018" t="n">
        <f aca="false">'Смета Внутр'!D1402</f>
        <v>12.98</v>
      </c>
      <c r="E1395" s="1004" t="n">
        <f aca="false">'Смета Внутр'!E1402</f>
        <v>300</v>
      </c>
      <c r="F1395" s="1004" t="n">
        <f aca="false">'Смета Внутр'!F1402</f>
        <v>0</v>
      </c>
      <c r="G1395" s="1004" t="n">
        <f aca="false">IF(E1395&gt;F1395,E1395,F1395)</f>
        <v>300</v>
      </c>
      <c r="H1395" s="1004" t="n">
        <f aca="false">'Смета Внутр'!G1402</f>
        <v>3894</v>
      </c>
      <c r="I1395" s="1004" t="n">
        <f aca="false">'Смета Внутр'!H1402</f>
        <v>0</v>
      </c>
      <c r="J1395" s="1018" t="n">
        <f aca="false">'Смета Внутр'!I1402</f>
        <v>0</v>
      </c>
    </row>
    <row r="1396" customFormat="false" ht="15" hidden="false" customHeight="true" outlineLevel="0" collapsed="false">
      <c r="B1396" s="1004" t="str">
        <f aca="false">'Смета Внутр'!B1403</f>
        <v>желоб водосточный</v>
      </c>
      <c r="C1396" s="1004" t="str">
        <f aca="false">'Смета Внутр'!C1403</f>
        <v>м.п.</v>
      </c>
      <c r="D1396" s="1018" t="n">
        <f aca="false">'Смета Внутр'!D1403</f>
        <v>11.8</v>
      </c>
      <c r="E1396" s="1004" t="n">
        <f aca="false">'Смета Внутр'!E1403</f>
        <v>300</v>
      </c>
      <c r="F1396" s="1004" t="n">
        <f aca="false">'Смета Внутр'!F1403</f>
        <v>0</v>
      </c>
      <c r="G1396" s="1004" t="n">
        <f aca="false">IF(E1396&gt;F1396,E1396,F1396)</f>
        <v>300</v>
      </c>
      <c r="H1396" s="1004" t="n">
        <f aca="false">'Смета Внутр'!G1403</f>
        <v>3540</v>
      </c>
      <c r="I1396" s="1004" t="n">
        <f aca="false">'Смета Внутр'!H1403</f>
        <v>0</v>
      </c>
      <c r="J1396" s="1018" t="n">
        <f aca="false">'Смета Внутр'!I1403</f>
        <v>0</v>
      </c>
    </row>
    <row r="1397" customFormat="false" ht="15" hidden="false" customHeight="true" outlineLevel="0" collapsed="false">
      <c r="B1397" s="1004" t="str">
        <f aca="false">'Смета Внутр'!B1404</f>
        <v>труба водосточная</v>
      </c>
      <c r="C1397" s="1004" t="str">
        <f aca="false">'Смета Внутр'!C1404</f>
        <v>м.п.</v>
      </c>
      <c r="D1397" s="1018" t="n">
        <f aca="false">'Смета Внутр'!D1404</f>
        <v>8.4</v>
      </c>
      <c r="E1397" s="1004" t="n">
        <f aca="false">'Смета Внутр'!E1404</f>
        <v>300</v>
      </c>
      <c r="F1397" s="1004" t="n">
        <f aca="false">'Смета Внутр'!F1404</f>
        <v>0</v>
      </c>
      <c r="G1397" s="1004" t="n">
        <f aca="false">IF(E1397&gt;F1397,E1397,F1397)</f>
        <v>300</v>
      </c>
      <c r="H1397" s="1004" t="n">
        <f aca="false">'Смета Внутр'!G1404</f>
        <v>2520</v>
      </c>
      <c r="I1397" s="1004" t="n">
        <f aca="false">'Смета Внутр'!H1404</f>
        <v>0</v>
      </c>
      <c r="J1397" s="1018" t="n">
        <f aca="false">'Смета Внутр'!I1404</f>
        <v>0</v>
      </c>
    </row>
    <row r="1398" customFormat="false" ht="15" hidden="false" customHeight="true" outlineLevel="0" collapsed="false">
      <c r="B1398" s="1004" t="str">
        <f aca="false">'Смета Внутр'!B1405</f>
        <v>Монтаж фанеры/osb</v>
      </c>
      <c r="C1398" s="1004" t="str">
        <f aca="false">'Смета Внутр'!C1405</f>
        <v>м2</v>
      </c>
      <c r="D1398" s="1018" t="n">
        <f aca="false">'Смета Внутр'!D1405</f>
        <v>0</v>
      </c>
      <c r="E1398" s="1004" t="n">
        <f aca="false">'Смета Внутр'!E1405</f>
        <v>200</v>
      </c>
      <c r="F1398" s="1004" t="n">
        <f aca="false">'Смета Внутр'!F1405</f>
        <v>0</v>
      </c>
      <c r="G1398" s="1004" t="n">
        <f aca="false">IF(E1398&gt;F1398,E1398,F1398)</f>
        <v>200</v>
      </c>
      <c r="H1398" s="1004" t="n">
        <f aca="false">'Смета Внутр'!G1405</f>
        <v>0</v>
      </c>
      <c r="I1398" s="1004" t="n">
        <f aca="false">'Смета Внутр'!H1405</f>
        <v>0</v>
      </c>
      <c r="J1398" s="1018" t="n">
        <f aca="false">'Смета Внутр'!I1405</f>
        <v>0</v>
      </c>
    </row>
    <row r="1399" customFormat="false" ht="15" hidden="false" customHeight="true" outlineLevel="0" collapsed="false">
      <c r="B1399" s="1004" t="str">
        <f aca="false">'Смета Внутр'!B1406</f>
        <v>монтаж подкладочного ковра</v>
      </c>
      <c r="C1399" s="1004" t="str">
        <f aca="false">'Смета Внутр'!C1406</f>
        <v>м2</v>
      </c>
      <c r="D1399" s="1018" t="n">
        <f aca="false">'Смета Внутр'!D1406</f>
        <v>0</v>
      </c>
      <c r="E1399" s="1004" t="n">
        <f aca="false">'Смета Внутр'!E1406</f>
        <v>150</v>
      </c>
      <c r="F1399" s="1004" t="n">
        <f aca="false">'Смета Внутр'!F1406</f>
        <v>0</v>
      </c>
      <c r="G1399" s="1004" t="n">
        <f aca="false">IF(E1399&gt;F1399,E1399,F1399)</f>
        <v>150</v>
      </c>
      <c r="H1399" s="1004" t="n">
        <f aca="false">'Смета Внутр'!G1406</f>
        <v>0</v>
      </c>
      <c r="I1399" s="1004" t="n">
        <f aca="false">'Смета Внутр'!H1406</f>
        <v>0</v>
      </c>
      <c r="J1399" s="1018" t="n">
        <f aca="false">'Смета Внутр'!I1406</f>
        <v>0</v>
      </c>
    </row>
    <row r="1400" customFormat="false" ht="15" hidden="false" customHeight="true" outlineLevel="0" collapsed="false">
      <c r="B1400" s="1004" t="str">
        <f aca="false">'Смета Внутр'!B1407</f>
        <v>Монтаж мягкой кровли</v>
      </c>
      <c r="C1400" s="1004" t="str">
        <f aca="false">'Смета Внутр'!C1407</f>
        <v>м2</v>
      </c>
      <c r="D1400" s="1018" t="n">
        <f aca="false">'Смета Внутр'!D1407</f>
        <v>0</v>
      </c>
      <c r="E1400" s="1004" t="n">
        <f aca="false">'Смета Внутр'!E1407</f>
        <v>350</v>
      </c>
      <c r="F1400" s="1004" t="n">
        <f aca="false">'Смета Внутр'!F1407</f>
        <v>0</v>
      </c>
      <c r="G1400" s="1004" t="n">
        <f aca="false">IF(E1400&gt;F1400,E1400,F1400)</f>
        <v>350</v>
      </c>
      <c r="H1400" s="1004" t="n">
        <f aca="false">'Смета Внутр'!G1407</f>
        <v>0</v>
      </c>
      <c r="I1400" s="1004" t="n">
        <f aca="false">'Смета Внутр'!H1407</f>
        <v>0</v>
      </c>
      <c r="J1400" s="1018" t="n">
        <f aca="false">'Смета Внутр'!I1407</f>
        <v>0</v>
      </c>
    </row>
    <row r="1401" customFormat="false" ht="15" hidden="false" customHeight="true" outlineLevel="0" collapsed="false">
      <c r="B1401" s="2927" t="str">
        <f aca="false">'Смета Внутр'!B1408</f>
        <v>Итого работы</v>
      </c>
      <c r="C1401" s="2927"/>
      <c r="D1401" s="2927"/>
      <c r="E1401" s="2927"/>
      <c r="F1401" s="2927"/>
      <c r="G1401" s="2927"/>
      <c r="H1401" s="1004" t="n">
        <f aca="false">'Смета Внутр'!G1408</f>
        <v>0</v>
      </c>
      <c r="I1401" s="1004" t="n">
        <f aca="false">'Смета Внутр'!H1408</f>
        <v>0</v>
      </c>
      <c r="J1401" s="1018" t="n">
        <f aca="false">'Смета Внутр'!I1408</f>
        <v>0</v>
      </c>
    </row>
    <row r="1402" customFormat="false" ht="15" hidden="false" customHeight="true" outlineLevel="0" collapsed="false">
      <c r="B1402" s="2899" t="str">
        <f aca="false">'Смета Внутр'!B1409</f>
        <v>Кровля двускатная</v>
      </c>
      <c r="C1402" s="2899"/>
      <c r="D1402" s="2899"/>
      <c r="H1402" s="0" t="n">
        <f aca="false">'Смета Внутр'!G1409</f>
        <v>0</v>
      </c>
      <c r="I1402" s="0" t="n">
        <f aca="false">'Смета Внутр'!H1409</f>
        <v>0</v>
      </c>
      <c r="J1402" s="2893" t="n">
        <f aca="false">'Смета Внутр'!I1409</f>
        <v>0</v>
      </c>
    </row>
    <row r="1403" customFormat="false" ht="15" hidden="false" customHeight="true" outlineLevel="0" collapsed="false">
      <c r="B1403" s="2881" t="str">
        <f aca="false">'Смета Внутр'!B1410</f>
        <v>Материалы</v>
      </c>
      <c r="H1403" s="0" t="n">
        <f aca="false">'Смета Внутр'!G1410</f>
        <v>0</v>
      </c>
      <c r="I1403" s="0" t="n">
        <f aca="false">'Смета Внутр'!H1410</f>
        <v>0</v>
      </c>
      <c r="J1403" s="2893" t="n">
        <f aca="false">'Смета Внутр'!I1410</f>
        <v>0</v>
      </c>
    </row>
    <row r="1404" customFormat="false" ht="15" hidden="false" customHeight="true" outlineLevel="0" collapsed="false">
      <c r="B1404" s="2888" t="str">
        <f aca="false">'Смета Внутр'!B1411</f>
        <v>нет</v>
      </c>
      <c r="C1404" s="2888" t="str">
        <f aca="false">'Смета Внутр'!C1411</f>
        <v>м3</v>
      </c>
      <c r="D1404" s="2897" t="n">
        <f aca="false">'Смета Внутр'!D1411</f>
        <v>0</v>
      </c>
      <c r="E1404" s="1004" t="n">
        <f aca="false">'Смета Внутр'!E1411</f>
        <v>0</v>
      </c>
      <c r="F1404" s="1004" t="n">
        <f aca="false">'Смета Внутр'!F1411</f>
        <v>0</v>
      </c>
      <c r="G1404" s="2888" t="n">
        <f aca="false">IF(E1404&gt;F1404,E1404,F1404)</f>
        <v>0</v>
      </c>
      <c r="H1404" s="1004" t="n">
        <f aca="false">'Смета Внутр'!G1411</f>
        <v>0</v>
      </c>
      <c r="I1404" s="1004" t="n">
        <f aca="false">'Смета Внутр'!H1411</f>
        <v>0</v>
      </c>
      <c r="J1404" s="2897" t="n">
        <f aca="false">'Смета Внутр'!I1411</f>
        <v>0</v>
      </c>
    </row>
    <row r="1405" customFormat="false" ht="15" hidden="false" customHeight="true" outlineLevel="0" collapsed="false">
      <c r="B1405" s="2888" t="str">
        <f aca="false">'Смета Внутр'!B1412</f>
        <v>Болты анкерные с гайкой 12,0 х 280</v>
      </c>
      <c r="C1405" s="2888" t="str">
        <f aca="false">'Смета Внутр'!C1412</f>
        <v>шт</v>
      </c>
      <c r="D1405" s="2897" t="n">
        <f aca="false">'Смета Внутр'!D1412</f>
        <v>48.2842712474619</v>
      </c>
      <c r="E1405" s="1004" t="n">
        <f aca="false">'Смета Внутр'!E1412</f>
        <v>27.1</v>
      </c>
      <c r="F1405" s="1004" t="n">
        <f aca="false">'Смета Внутр'!F1412</f>
        <v>0</v>
      </c>
      <c r="G1405" s="2888" t="n">
        <f aca="false">IF(E1405&gt;F1405,E1405,F1405)</f>
        <v>27.1</v>
      </c>
      <c r="H1405" s="1004" t="n">
        <f aca="false">'Смета Внутр'!G1412</f>
        <v>1308.50375080622</v>
      </c>
      <c r="I1405" s="1004" t="n">
        <f aca="false">'Смета Внутр'!H1412</f>
        <v>0</v>
      </c>
      <c r="J1405" s="2897" t="n">
        <f aca="false">'Смета Внутр'!I1412</f>
        <v>0</v>
      </c>
    </row>
    <row r="1406" customFormat="false" ht="15" hidden="false" customHeight="true" outlineLevel="0" collapsed="false">
      <c r="B1406" s="2888" t="str">
        <f aca="false">'Смета Внутр'!B1413</f>
        <v>Доска сухая, 200*50мм</v>
      </c>
      <c r="C1406" s="2888" t="str">
        <f aca="false">'Смета Внутр'!C1413</f>
        <v>м3</v>
      </c>
      <c r="D1406" s="2897" t="n">
        <f aca="false">'Смета Внутр'!D1413</f>
        <v>2.9535780917535</v>
      </c>
      <c r="E1406" s="1004" t="n">
        <f aca="false">'Смета Внутр'!E1413</f>
        <v>9000</v>
      </c>
      <c r="F1406" s="1004" t="n">
        <f aca="false">'Смета Внутр'!F1413</f>
        <v>0</v>
      </c>
      <c r="G1406" s="2888" t="n">
        <f aca="false">IF(E1406&gt;F1406,E1406,F1406)</f>
        <v>9000</v>
      </c>
      <c r="H1406" s="1004" t="n">
        <f aca="false">'Смета Внутр'!G1413</f>
        <v>26582.2028257815</v>
      </c>
      <c r="I1406" s="1004" t="n">
        <f aca="false">'Смета Внутр'!H1413</f>
        <v>0</v>
      </c>
      <c r="J1406" s="2897" t="n">
        <f aca="false">'Смета Внутр'!I1413</f>
        <v>0</v>
      </c>
    </row>
    <row r="1407" customFormat="false" ht="15" hidden="false" customHeight="true" outlineLevel="0" collapsed="false">
      <c r="B1407" s="2888" t="str">
        <f aca="false">'Смета Внутр'!B1414</f>
        <v>бугель, доска</v>
      </c>
      <c r="C1407" s="2888" t="str">
        <f aca="false">'Смета Внутр'!C1414</f>
        <v>м3</v>
      </c>
      <c r="D1407" s="2897" t="n">
        <f aca="false">'Смета Внутр'!D1414</f>
        <v>0.793</v>
      </c>
      <c r="E1407" s="1004" t="n">
        <f aca="false">'Смета Внутр'!E1414</f>
        <v>9000</v>
      </c>
      <c r="F1407" s="1004" t="n">
        <f aca="false">'Смета Внутр'!F1414</f>
        <v>0</v>
      </c>
      <c r="G1407" s="2888" t="n">
        <f aca="false">IF(E1407&gt;F1407,E1407,F1407)</f>
        <v>9000</v>
      </c>
      <c r="H1407" s="1004" t="n">
        <f aca="false">'Смета Внутр'!G1414</f>
        <v>7137</v>
      </c>
      <c r="I1407" s="1004" t="n">
        <f aca="false">'Смета Внутр'!H1414</f>
        <v>0</v>
      </c>
      <c r="J1407" s="2897" t="n">
        <f aca="false">'Смета Внутр'!I1414</f>
        <v>0</v>
      </c>
    </row>
    <row r="1408" customFormat="false" ht="15" hidden="false" customHeight="true" outlineLevel="0" collapsed="false">
      <c r="B1408" s="2888" t="str">
        <f aca="false">'Смета Внутр'!B1415</f>
        <v>стойка под конек</v>
      </c>
      <c r="C1408" s="2888" t="str">
        <f aca="false">'Смета Внутр'!C1415</f>
        <v>м3</v>
      </c>
      <c r="D1408" s="2897" t="n">
        <f aca="false">'Смета Внутр'!D1415</f>
        <v>0</v>
      </c>
      <c r="E1408" s="1004" t="n">
        <f aca="false">'Смета Внутр'!E1415</f>
        <v>9000</v>
      </c>
      <c r="F1408" s="1004" t="n">
        <f aca="false">'Смета Внутр'!F1415</f>
        <v>0</v>
      </c>
      <c r="G1408" s="2888" t="n">
        <f aca="false">IF(E1408&gt;F1408,E1408,F1408)</f>
        <v>9000</v>
      </c>
      <c r="H1408" s="1004" t="n">
        <f aca="false">'Смета Внутр'!G1415</f>
        <v>0</v>
      </c>
      <c r="I1408" s="1004" t="n">
        <f aca="false">'Смета Внутр'!H1415</f>
        <v>0</v>
      </c>
      <c r="J1408" s="2897" t="n">
        <f aca="false">'Смета Внутр'!I1415</f>
        <v>0</v>
      </c>
    </row>
    <row r="1409" customFormat="false" ht="15" hidden="false" customHeight="true" outlineLevel="0" collapsed="false">
      <c r="B1409" s="2888" t="str">
        <f aca="false">'Смета Внутр'!B1416</f>
        <v>Сосна влаж,100*25мм</v>
      </c>
      <c r="C1409" s="2888" t="str">
        <f aca="false">'Смета Внутр'!C1416</f>
        <v>м3</v>
      </c>
      <c r="D1409" s="2897" t="n">
        <f aca="false">'Смета Внутр'!D1416</f>
        <v>1.79307020442324</v>
      </c>
      <c r="E1409" s="1004" t="n">
        <f aca="false">'Смета Внутр'!E1416</f>
        <v>6500</v>
      </c>
      <c r="F1409" s="1004" t="n">
        <f aca="false">'Смета Внутр'!F1416</f>
        <v>0</v>
      </c>
      <c r="G1409" s="2888" t="n">
        <f aca="false">IF(E1409&gt;F1409,E1409,F1409)</f>
        <v>6500</v>
      </c>
      <c r="H1409" s="1004" t="n">
        <f aca="false">'Смета Внутр'!G1416</f>
        <v>11654.956328751</v>
      </c>
      <c r="I1409" s="1004" t="n">
        <f aca="false">'Смета Внутр'!H1416</f>
        <v>0</v>
      </c>
      <c r="J1409" s="2897" t="n">
        <f aca="false">'Смета Внутр'!I1416</f>
        <v>0</v>
      </c>
    </row>
    <row r="1410" customFormat="false" ht="15" hidden="false" customHeight="true" outlineLevel="0" collapsed="false">
      <c r="B1410" s="2888" t="str">
        <f aca="false">'Смета Внутр'!B1417</f>
        <v>Доска сухая, калибр., 35*45мм</v>
      </c>
      <c r="C1410" s="2888" t="str">
        <f aca="false">'Смета Внутр'!C1417</f>
        <v>шт</v>
      </c>
      <c r="D1410" s="2897" t="n">
        <f aca="false">'Смета Внутр'!D1417</f>
        <v>0.385020606395191</v>
      </c>
      <c r="E1410" s="1004" t="n">
        <f aca="false">'Смета Внутр'!E1417</f>
        <v>12500</v>
      </c>
      <c r="F1410" s="1004" t="n">
        <f aca="false">'Смета Внутр'!F1417</f>
        <v>0</v>
      </c>
      <c r="G1410" s="2888" t="n">
        <f aca="false">IF(E1410&gt;F1410,E1410,F1410)</f>
        <v>12500</v>
      </c>
      <c r="H1410" s="1004" t="n">
        <f aca="false">'Смета Внутр'!G1417</f>
        <v>4812.75757993989</v>
      </c>
      <c r="I1410" s="1004" t="n">
        <f aca="false">'Смета Внутр'!H1417</f>
        <v>0</v>
      </c>
      <c r="J1410" s="2897" t="n">
        <f aca="false">'Смета Внутр'!I1417</f>
        <v>0</v>
      </c>
    </row>
    <row r="1411" customFormat="false" ht="15" hidden="false" customHeight="true" outlineLevel="0" collapsed="false">
      <c r="B1411" s="1004" t="str">
        <f aca="false">'Смета Внутр'!B1418</f>
        <v>Сосна влаж, 150*150мм</v>
      </c>
      <c r="C1411" s="1004" t="str">
        <f aca="false">'Смета Внутр'!C1418</f>
        <v>м.п.</v>
      </c>
      <c r="D1411" s="1018" t="n">
        <f aca="false">'Смета Внутр'!D1418</f>
        <v>0</v>
      </c>
      <c r="E1411" s="1004" t="n">
        <f aca="false">'Смета Внутр'!E1418</f>
        <v>6500</v>
      </c>
      <c r="F1411" s="1004" t="n">
        <f aca="false">'Смета Внутр'!F1418</f>
        <v>0</v>
      </c>
      <c r="G1411" s="1004" t="n">
        <f aca="false">IF(E1411&gt;F1411,E1411,F1411)</f>
        <v>6500</v>
      </c>
      <c r="H1411" s="1004" t="n">
        <f aca="false">'Смета Внутр'!G1418</f>
        <v>0</v>
      </c>
      <c r="I1411" s="1004" t="n">
        <f aca="false">'Смета Внутр'!H1418</f>
        <v>0</v>
      </c>
      <c r="J1411" s="1018" t="n">
        <f aca="false">'Смета Внутр'!I1418</f>
        <v>0</v>
      </c>
    </row>
    <row r="1412" customFormat="false" ht="15" hidden="false" customHeight="true" outlineLevel="0" collapsed="false">
      <c r="B1412" s="1004" t="str">
        <f aca="false">'Смета Внутр'!B1419</f>
        <v>Гидрокомпенсатор</v>
      </c>
      <c r="C1412" s="1004" t="str">
        <f aca="false">'Смета Внутр'!C1419</f>
        <v>шт.</v>
      </c>
      <c r="D1412" s="1018" t="n">
        <f aca="false">'Смета Внутр'!D1419</f>
        <v>0</v>
      </c>
      <c r="E1412" s="1004" t="n">
        <f aca="false">'Смета Внутр'!E1419</f>
        <v>450</v>
      </c>
      <c r="F1412" s="1004" t="n">
        <f aca="false">'Смета Внутр'!F1419</f>
        <v>0</v>
      </c>
      <c r="G1412" s="1004" t="n">
        <f aca="false">IF(E1412&gt;F1412,E1412,F1412)</f>
        <v>450</v>
      </c>
      <c r="H1412" s="1004" t="n">
        <f aca="false">'Смета Внутр'!G1419</f>
        <v>0</v>
      </c>
      <c r="I1412" s="1004" t="n">
        <f aca="false">'Смета Внутр'!H1419</f>
        <v>0</v>
      </c>
      <c r="J1412" s="1018" t="n">
        <f aca="false">'Смета Внутр'!I1419</f>
        <v>0</v>
      </c>
    </row>
    <row r="1413" customFormat="false" ht="15" hidden="false" customHeight="true" outlineLevel="0" collapsed="false">
      <c r="B1413" s="1004" t="str">
        <f aca="false">'Смета Внутр'!B1420</f>
        <v>Пленка Д110 Стандарт</v>
      </c>
      <c r="C1413" s="1004" t="str">
        <f aca="false">'Смета Внутр'!C1420</f>
        <v>м2</v>
      </c>
      <c r="D1413" s="1018" t="n">
        <f aca="false">'Смета Внутр'!D1420</f>
        <v>215.168424530788</v>
      </c>
      <c r="E1413" s="1004" t="n">
        <f aca="false">'Смета Внутр'!E1420</f>
        <v>24</v>
      </c>
      <c r="F1413" s="1004" t="n">
        <f aca="false">'Смета Внутр'!F1420</f>
        <v>0</v>
      </c>
      <c r="G1413" s="1004" t="n">
        <f aca="false">IF(E1413&gt;F1413,E1413,F1413)</f>
        <v>24</v>
      </c>
      <c r="H1413" s="1004" t="n">
        <f aca="false">'Смета Внутр'!G1420</f>
        <v>5164.04218873892</v>
      </c>
      <c r="I1413" s="1004" t="n">
        <f aca="false">'Смета Внутр'!H1420</f>
        <v>0</v>
      </c>
      <c r="J1413" s="1018" t="n">
        <f aca="false">'Смета Внутр'!I1420</f>
        <v>0</v>
      </c>
    </row>
    <row r="1414" customFormat="false" ht="15" hidden="false" customHeight="true" outlineLevel="0" collapsed="false">
      <c r="B1414" s="1004" t="str">
        <f aca="false">'Смета Внутр'!B1421</f>
        <v>Мембрана Tyvek AirGuard SD5</v>
      </c>
      <c r="C1414" s="1004" t="str">
        <f aca="false">'Смета Внутр'!C1421</f>
        <v>м2</v>
      </c>
      <c r="D1414" s="1018" t="n">
        <f aca="false">'Смета Внутр'!D1421</f>
        <v>197.237722486556</v>
      </c>
      <c r="E1414" s="1004" t="n">
        <f aca="false">'Смета Внутр'!E1421</f>
        <v>132</v>
      </c>
      <c r="F1414" s="1004" t="n">
        <f aca="false">'Смета Внутр'!F1421</f>
        <v>0</v>
      </c>
      <c r="G1414" s="1004" t="n">
        <f aca="false">IF(E1414&gt;F1414,E1414,F1414)</f>
        <v>132</v>
      </c>
      <c r="H1414" s="1004" t="n">
        <f aca="false">'Смета Внутр'!G1421</f>
        <v>26035.3793682254</v>
      </c>
      <c r="I1414" s="1004" t="n">
        <f aca="false">'Смета Внутр'!H1421</f>
        <v>0</v>
      </c>
      <c r="J1414" s="1018" t="n">
        <f aca="false">'Смета Внутр'!I1421</f>
        <v>0</v>
      </c>
    </row>
    <row r="1415" customFormat="false" ht="15" hidden="false" customHeight="true" outlineLevel="0" collapsed="false">
      <c r="B1415" s="2888" t="str">
        <f aca="false">'Смета Внутр'!B1422</f>
        <v>Плитный,28кг/м3, технониколь, 200мм</v>
      </c>
      <c r="C1415" s="2888" t="str">
        <f aca="false">'Смета Внутр'!C1422</f>
        <v>м3</v>
      </c>
      <c r="D1415" s="2897" t="n">
        <f aca="false">'Смета Внутр'!D1422</f>
        <v>28.9150035245386</v>
      </c>
      <c r="E1415" s="1004" t="n">
        <f aca="false">'Смета Внутр'!E1422</f>
        <v>1700</v>
      </c>
      <c r="F1415" s="1004" t="n">
        <f aca="false">'Смета Внутр'!F1422</f>
        <v>0</v>
      </c>
      <c r="G1415" s="2888" t="n">
        <f aca="false">IF(E1415&gt;F1415,E1415,F1415)</f>
        <v>1700</v>
      </c>
      <c r="H1415" s="1004" t="n">
        <f aca="false">'Смета Внутр'!G1422</f>
        <v>49155.5059917156</v>
      </c>
      <c r="I1415" s="1004" t="n">
        <f aca="false">'Смета Внутр'!H1422</f>
        <v>0</v>
      </c>
      <c r="J1415" s="2897" t="n">
        <f aca="false">'Смета Внутр'!I1422</f>
        <v>0</v>
      </c>
    </row>
    <row r="1416" customFormat="false" ht="15" hidden="false" customHeight="true" outlineLevel="0" collapsed="false">
      <c r="B1416" s="2888" t="str">
        <f aca="false">'Смета Внутр'!B1423</f>
        <v>Металлочерепица</v>
      </c>
      <c r="C1416" s="2888" t="str">
        <f aca="false">'Смета Внутр'!C1423</f>
        <v>м2</v>
      </c>
      <c r="D1416" s="2897" t="n">
        <f aca="false">'Смета Внутр'!D1423</f>
        <v>0</v>
      </c>
      <c r="E1416" s="1004" t="n">
        <f aca="false">'Смета Внутр'!E1423</f>
        <v>250</v>
      </c>
      <c r="F1416" s="1004" t="n">
        <f aca="false">'Смета Внутр'!F1423</f>
        <v>0</v>
      </c>
      <c r="G1416" s="2888" t="n">
        <f aca="false">IF(E1416&gt;F1416,E1416,F1416)</f>
        <v>250</v>
      </c>
      <c r="H1416" s="1004" t="n">
        <f aca="false">'Смета Внутр'!G1423</f>
        <v>0</v>
      </c>
      <c r="I1416" s="1004" t="n">
        <f aca="false">'Смета Внутр'!H1423</f>
        <v>0</v>
      </c>
      <c r="J1416" s="2897" t="n">
        <f aca="false">'Смета Внутр'!I1423</f>
        <v>0</v>
      </c>
    </row>
    <row r="1417" customFormat="false" ht="15" hidden="false" customHeight="true" outlineLevel="0" collapsed="false">
      <c r="B1417" s="2888" t="str">
        <f aca="false">'Смета Внутр'!B1424</f>
        <v>Карнизная планка</v>
      </c>
      <c r="C1417" s="2888" t="str">
        <f aca="false">'Смета Внутр'!C1424</f>
        <v>м.п.</v>
      </c>
      <c r="D1417" s="2897" t="n">
        <f aca="false">'Смета Внутр'!D1424</f>
        <v>0</v>
      </c>
      <c r="E1417" s="1004" t="n">
        <f aca="false">'Смета Внутр'!E1424</f>
        <v>190</v>
      </c>
      <c r="F1417" s="1004" t="n">
        <f aca="false">'Смета Внутр'!F1424</f>
        <v>0</v>
      </c>
      <c r="G1417" s="2888" t="n">
        <f aca="false">IF(E1417&gt;F1417,E1417,F1417)</f>
        <v>190</v>
      </c>
      <c r="H1417" s="1004" t="n">
        <f aca="false">'Смета Внутр'!G1424</f>
        <v>0</v>
      </c>
      <c r="I1417" s="1004" t="n">
        <f aca="false">'Смета Внутр'!H1424</f>
        <v>0</v>
      </c>
      <c r="J1417" s="2897" t="n">
        <f aca="false">'Смета Внутр'!I1424</f>
        <v>0</v>
      </c>
    </row>
    <row r="1418" customFormat="false" ht="15" hidden="false" customHeight="true" outlineLevel="0" collapsed="false">
      <c r="B1418" s="2888" t="str">
        <f aca="false">'Смета Внутр'!B1425</f>
        <v>Торцевая планка</v>
      </c>
      <c r="C1418" s="2888" t="str">
        <f aca="false">'Смета Внутр'!C1425</f>
        <v>м.п.</v>
      </c>
      <c r="D1418" s="2897" t="n">
        <f aca="false">'Смета Внутр'!D1425</f>
        <v>0</v>
      </c>
      <c r="E1418" s="1004" t="n">
        <f aca="false">'Смета Внутр'!E1425</f>
        <v>190</v>
      </c>
      <c r="F1418" s="1004" t="n">
        <f aca="false">'Смета Внутр'!F1425</f>
        <v>0</v>
      </c>
      <c r="G1418" s="2888" t="n">
        <f aca="false">IF(E1418&gt;F1418,E1418,F1418)</f>
        <v>190</v>
      </c>
      <c r="H1418" s="1004" t="n">
        <f aca="false">'Смета Внутр'!G1425</f>
        <v>0</v>
      </c>
      <c r="I1418" s="1004" t="n">
        <f aca="false">'Смета Внутр'!H1425</f>
        <v>0</v>
      </c>
      <c r="J1418" s="2897" t="n">
        <f aca="false">'Смета Внутр'!I1425</f>
        <v>0</v>
      </c>
    </row>
    <row r="1419" customFormat="false" ht="15" hidden="false" customHeight="true" outlineLevel="0" collapsed="false">
      <c r="B1419" s="2888" t="str">
        <f aca="false">'Смета Внутр'!B1426</f>
        <v>Конек</v>
      </c>
      <c r="C1419" s="2888" t="str">
        <f aca="false">'Смета Внутр'!C1426</f>
        <v>м.п.</v>
      </c>
      <c r="D1419" s="2897" t="n">
        <f aca="false">'Смета Внутр'!D1426</f>
        <v>0</v>
      </c>
      <c r="E1419" s="1004" t="n">
        <f aca="false">'Смета Внутр'!E1426</f>
        <v>200</v>
      </c>
      <c r="F1419" s="1004" t="n">
        <f aca="false">'Смета Внутр'!F1426</f>
        <v>0</v>
      </c>
      <c r="G1419" s="2888" t="n">
        <f aca="false">IF(E1419&gt;F1419,E1419,F1419)</f>
        <v>200</v>
      </c>
      <c r="H1419" s="1004" t="n">
        <f aca="false">'Смета Внутр'!G1426</f>
        <v>0</v>
      </c>
      <c r="I1419" s="1004" t="n">
        <f aca="false">'Смета Внутр'!H1426</f>
        <v>0</v>
      </c>
      <c r="J1419" s="2897" t="n">
        <f aca="false">'Смета Внутр'!I1426</f>
        <v>0</v>
      </c>
    </row>
    <row r="1420" customFormat="false" ht="15" hidden="false" customHeight="true" outlineLevel="0" collapsed="false">
      <c r="B1420" s="1004" t="str">
        <f aca="false">'Смета Внутр'!B1427</f>
        <v>ондулин</v>
      </c>
      <c r="C1420" s="1004" t="str">
        <f aca="false">'Смета Внутр'!C1427</f>
        <v>м2</v>
      </c>
      <c r="D1420" s="1018" t="n">
        <f aca="false">'Смета Внутр'!D1427</f>
        <v>0</v>
      </c>
      <c r="E1420" s="1004" t="n">
        <f aca="false">'Смета Внутр'!E1427</f>
        <v>180</v>
      </c>
      <c r="F1420" s="1004" t="n">
        <f aca="false">'Смета Внутр'!F1427</f>
        <v>0</v>
      </c>
      <c r="G1420" s="1004" t="n">
        <f aca="false">IF(E1420&gt;F1420,E1420,F1420)</f>
        <v>180</v>
      </c>
      <c r="H1420" s="1004" t="n">
        <f aca="false">'Смета Внутр'!G1427</f>
        <v>0</v>
      </c>
      <c r="I1420" s="1004" t="n">
        <f aca="false">'Смета Внутр'!H1427</f>
        <v>0</v>
      </c>
      <c r="J1420" s="1018" t="n">
        <f aca="false">'Смета Внутр'!I1427</f>
        <v>0</v>
      </c>
    </row>
    <row r="1421" customFormat="false" ht="15" hidden="false" customHeight="true" outlineLevel="0" collapsed="false">
      <c r="B1421" s="1004" t="str">
        <f aca="false">'Смета Внутр'!B1428</f>
        <v>Карнизная планка</v>
      </c>
      <c r="C1421" s="1004" t="str">
        <f aca="false">'Смета Внутр'!C1428</f>
        <v>м.п.</v>
      </c>
      <c r="D1421" s="1018" t="n">
        <f aca="false">'Смета Внутр'!D1428</f>
        <v>0</v>
      </c>
      <c r="E1421" s="1004" t="n">
        <f aca="false">'Смета Внутр'!E1428</f>
        <v>190</v>
      </c>
      <c r="F1421" s="1004" t="n">
        <f aca="false">'Смета Внутр'!F1428</f>
        <v>0</v>
      </c>
      <c r="G1421" s="1004" t="n">
        <f aca="false">IF(E1421&gt;F1421,E1421,F1421)</f>
        <v>190</v>
      </c>
      <c r="H1421" s="1004" t="n">
        <f aca="false">'Смета Внутр'!G1428</f>
        <v>0</v>
      </c>
      <c r="I1421" s="1004" t="n">
        <f aca="false">'Смета Внутр'!H1428</f>
        <v>0</v>
      </c>
      <c r="J1421" s="1018" t="n">
        <f aca="false">'Смета Внутр'!I1428</f>
        <v>0</v>
      </c>
    </row>
    <row r="1422" customFormat="false" ht="15" hidden="false" customHeight="true" outlineLevel="0" collapsed="false">
      <c r="B1422" s="1004" t="str">
        <f aca="false">'Смета Внутр'!B1429</f>
        <v>Торцевая планка</v>
      </c>
      <c r="C1422" s="1004" t="str">
        <f aca="false">'Смета Внутр'!C1429</f>
        <v>м.п.</v>
      </c>
      <c r="D1422" s="1018" t="n">
        <f aca="false">'Смета Внутр'!D1429</f>
        <v>0</v>
      </c>
      <c r="E1422" s="1004" t="n">
        <f aca="false">'Смета Внутр'!E1429</f>
        <v>190</v>
      </c>
      <c r="F1422" s="1004" t="n">
        <f aca="false">'Смета Внутр'!F1429</f>
        <v>0</v>
      </c>
      <c r="G1422" s="1004" t="n">
        <f aca="false">IF(E1422&gt;F1422,E1422,F1422)</f>
        <v>190</v>
      </c>
      <c r="H1422" s="1004" t="n">
        <f aca="false">'Смета Внутр'!G1429</f>
        <v>0</v>
      </c>
      <c r="I1422" s="1004" t="n">
        <f aca="false">'Смета Внутр'!H1429</f>
        <v>0</v>
      </c>
      <c r="J1422" s="1018" t="n">
        <f aca="false">'Смета Внутр'!I1429</f>
        <v>0</v>
      </c>
    </row>
    <row r="1423" customFormat="false" ht="15" hidden="false" customHeight="true" outlineLevel="0" collapsed="false">
      <c r="B1423" s="1004" t="str">
        <f aca="false">'Смета Внутр'!B1430</f>
        <v>Конек</v>
      </c>
      <c r="C1423" s="1004" t="str">
        <f aca="false">'Смета Внутр'!C1430</f>
        <v>м.п</v>
      </c>
      <c r="D1423" s="1018" t="n">
        <f aca="false">'Смета Внутр'!D1430</f>
        <v>0</v>
      </c>
      <c r="E1423" s="1004" t="n">
        <f aca="false">'Смета Внутр'!E1430</f>
        <v>200</v>
      </c>
      <c r="F1423" s="1004" t="n">
        <f aca="false">'Смета Внутр'!F1430</f>
        <v>0</v>
      </c>
      <c r="G1423" s="1004" t="n">
        <f aca="false">IF(E1423&gt;F1423,E1423,F1423)</f>
        <v>200</v>
      </c>
      <c r="H1423" s="1004" t="n">
        <f aca="false">'Смета Внутр'!G1430</f>
        <v>0</v>
      </c>
      <c r="I1423" s="1004" t="n">
        <f aca="false">'Смета Внутр'!H1430</f>
        <v>0</v>
      </c>
      <c r="J1423" s="1018" t="n">
        <f aca="false">'Смета Внутр'!I1430</f>
        <v>0</v>
      </c>
    </row>
    <row r="1424" customFormat="false" ht="15" hidden="false" customHeight="true" outlineLevel="0" collapsed="false">
      <c r="B1424" s="1004" t="str">
        <f aca="false">'Смета Внутр'!B1431</f>
        <v>Ендова нижняя</v>
      </c>
      <c r="C1424" s="1004" t="str">
        <f aca="false">'Смета Внутр'!C1431</f>
        <v>м.п.</v>
      </c>
      <c r="D1424" s="1018" t="n">
        <f aca="false">'Смета Внутр'!D1431</f>
        <v>0</v>
      </c>
      <c r="E1424" s="1004" t="n">
        <f aca="false">'Смета Внутр'!E1431</f>
        <v>160</v>
      </c>
      <c r="F1424" s="1004" t="n">
        <f aca="false">'Смета Внутр'!F1431</f>
        <v>0</v>
      </c>
      <c r="G1424" s="1004" t="n">
        <f aca="false">IF(E1424&gt;F1424,E1424,F1424)</f>
        <v>160</v>
      </c>
      <c r="H1424" s="1004" t="n">
        <f aca="false">'Смета Внутр'!G1431</f>
        <v>0</v>
      </c>
      <c r="I1424" s="1004" t="n">
        <f aca="false">'Смета Внутр'!H1431</f>
        <v>0</v>
      </c>
      <c r="J1424" s="1018" t="n">
        <f aca="false">'Смета Внутр'!I1431</f>
        <v>0</v>
      </c>
    </row>
    <row r="1425" customFormat="false" ht="15" hidden="false" customHeight="true" outlineLevel="0" collapsed="false">
      <c r="B1425" s="1004" t="str">
        <f aca="false">'Смета Внутр'!B1432</f>
        <v>Ендова верхняя</v>
      </c>
      <c r="C1425" s="1004" t="str">
        <f aca="false">'Смета Внутр'!C1432</f>
        <v>м.п.</v>
      </c>
      <c r="D1425" s="1018" t="n">
        <f aca="false">'Смета Внутр'!D1432</f>
        <v>0</v>
      </c>
      <c r="E1425" s="1004" t="n">
        <f aca="false">'Смета Внутр'!E1432</f>
        <v>190</v>
      </c>
      <c r="F1425" s="1004" t="n">
        <f aca="false">'Смета Внутр'!F1432</f>
        <v>0</v>
      </c>
      <c r="G1425" s="1004" t="n">
        <f aca="false">IF(E1425&gt;F1425,E1425,F1425)</f>
        <v>190</v>
      </c>
      <c r="H1425" s="1004" t="n">
        <f aca="false">'Смета Внутр'!G1432</f>
        <v>0</v>
      </c>
      <c r="I1425" s="1004" t="n">
        <f aca="false">'Смета Внутр'!H1432</f>
        <v>0</v>
      </c>
      <c r="J1425" s="1018" t="n">
        <f aca="false">'Смета Внутр'!I1432</f>
        <v>0</v>
      </c>
    </row>
    <row r="1426" customFormat="false" ht="15" hidden="false" customHeight="true" outlineLevel="0" collapsed="false">
      <c r="B1426" s="1004" t="str">
        <f aca="false">'Смета Внутр'!B1433</f>
        <v>Планка примыкания</v>
      </c>
      <c r="C1426" s="1004" t="str">
        <f aca="false">'Смета Внутр'!C1433</f>
        <v>м.п.</v>
      </c>
      <c r="D1426" s="1018" t="n">
        <f aca="false">'Смета Внутр'!D1433</f>
        <v>0</v>
      </c>
      <c r="E1426" s="1004" t="n">
        <f aca="false">'Смета Внутр'!E1433</f>
        <v>190</v>
      </c>
      <c r="F1426" s="1004" t="n">
        <f aca="false">'Смета Внутр'!F1433</f>
        <v>0</v>
      </c>
      <c r="G1426" s="1004" t="n">
        <f aca="false">IF(E1426&gt;F1426,E1426,F1426)</f>
        <v>190</v>
      </c>
      <c r="H1426" s="1004" t="n">
        <f aca="false">'Смета Внутр'!G1433</f>
        <v>0</v>
      </c>
      <c r="I1426" s="1004" t="n">
        <f aca="false">'Смета Внутр'!H1433</f>
        <v>0</v>
      </c>
      <c r="J1426" s="1018" t="n">
        <f aca="false">'Смета Внутр'!I1433</f>
        <v>0</v>
      </c>
    </row>
    <row r="1427" customFormat="false" ht="15" hidden="false" customHeight="true" outlineLevel="0" collapsed="false">
      <c r="B1427" s="1004" t="str">
        <f aca="false">'Смета Внутр'!B1434</f>
        <v>Крепеж для ондулина</v>
      </c>
      <c r="C1427" s="1004" t="str">
        <f aca="false">'Смета Внутр'!C1434</f>
        <v>шт</v>
      </c>
      <c r="D1427" s="1018" t="n">
        <f aca="false">'Смета Внутр'!D1434</f>
        <v>0</v>
      </c>
      <c r="E1427" s="1004" t="n">
        <f aca="false">'Смета Внутр'!E1434</f>
        <v>4.5</v>
      </c>
      <c r="F1427" s="1004" t="n">
        <f aca="false">'Смета Внутр'!F1434</f>
        <v>0</v>
      </c>
      <c r="G1427" s="1004" t="n">
        <f aca="false">IF(E1427&gt;F1427,E1427,F1427)</f>
        <v>4.5</v>
      </c>
      <c r="H1427" s="1004" t="n">
        <f aca="false">'Смета Внутр'!G1434</f>
        <v>0</v>
      </c>
      <c r="I1427" s="1004" t="n">
        <f aca="false">'Смета Внутр'!H1434</f>
        <v>0</v>
      </c>
      <c r="J1427" s="1018" t="n">
        <f aca="false">'Смета Внутр'!I1434</f>
        <v>0</v>
      </c>
    </row>
    <row r="1428" customFormat="false" ht="15" hidden="false" customHeight="true" outlineLevel="0" collapsed="false">
      <c r="B1428" s="1004" t="str">
        <f aca="false">'Смета Внутр'!B1435</f>
        <v>Kronospan - OSB-3, 9мм</v>
      </c>
      <c r="C1428" s="1004" t="str">
        <f aca="false">'Смета Внутр'!C1435</f>
        <v>м2</v>
      </c>
      <c r="D1428" s="1018" t="n">
        <f aca="false">'Смета Внутр'!D1435</f>
        <v>197.237722486556</v>
      </c>
      <c r="E1428" s="1004" t="n">
        <f aca="false">'Смета Внутр'!E1435</f>
        <v>220</v>
      </c>
      <c r="F1428" s="1004" t="n">
        <f aca="false">'Смета Внутр'!F1435</f>
        <v>0</v>
      </c>
      <c r="G1428" s="1004" t="n">
        <f aca="false">IF(E1428&gt;F1428,E1428,F1428)</f>
        <v>220</v>
      </c>
      <c r="H1428" s="1004" t="n">
        <f aca="false">'Смета Внутр'!G1435</f>
        <v>43392.2989470423</v>
      </c>
      <c r="I1428" s="1004" t="n">
        <f aca="false">'Смета Внутр'!H1435</f>
        <v>0</v>
      </c>
      <c r="J1428" s="1018" t="n">
        <f aca="false">'Смета Внутр'!I1435</f>
        <v>0</v>
      </c>
    </row>
    <row r="1429" customFormat="false" ht="15" hidden="false" customHeight="true" outlineLevel="0" collapsed="false">
      <c r="B1429" s="1004" t="str">
        <f aca="false">'Смета Внутр'!B1436</f>
        <v>Рядовая черепица</v>
      </c>
      <c r="C1429" s="1004" t="str">
        <f aca="false">'Смета Внутр'!C1436</f>
        <v>м2</v>
      </c>
      <c r="D1429" s="1018" t="n">
        <f aca="false">'Смета Внутр'!D1436</f>
        <v>174.667020442324</v>
      </c>
      <c r="E1429" s="1004" t="n">
        <f aca="false">'Смета Внутр'!E1436</f>
        <v>360</v>
      </c>
      <c r="F1429" s="1004" t="n">
        <f aca="false">'Смета Внутр'!F1436</f>
        <v>0</v>
      </c>
      <c r="G1429" s="1004" t="n">
        <f aca="false">IF(E1429&gt;F1429,E1429,F1429)</f>
        <v>360</v>
      </c>
      <c r="H1429" s="1004" t="n">
        <f aca="false">'Смета Внутр'!G1436</f>
        <v>62880.1273592365</v>
      </c>
      <c r="I1429" s="1004" t="n">
        <f aca="false">'Смета Внутр'!H1436</f>
        <v>0</v>
      </c>
      <c r="J1429" s="1018" t="n">
        <f aca="false">'Смета Внутр'!I1436</f>
        <v>0</v>
      </c>
    </row>
    <row r="1430" customFormat="false" ht="15" hidden="false" customHeight="true" outlineLevel="0" collapsed="false">
      <c r="B1430" s="1004" t="str">
        <f aca="false">'Смета Внутр'!B1437</f>
        <v>Металл оцинк защита (карниз)</v>
      </c>
      <c r="C1430" s="1004" t="str">
        <f aca="false">'Смета Внутр'!C1437</f>
        <v>м.п.</v>
      </c>
      <c r="D1430" s="1018" t="n">
        <f aca="false">'Смета Внутр'!D1437</f>
        <v>54.1150035245386</v>
      </c>
      <c r="E1430" s="1004" t="n">
        <f aca="false">'Смета Внутр'!E1437</f>
        <v>200</v>
      </c>
      <c r="F1430" s="1004" t="n">
        <f aca="false">'Смета Внутр'!F1437</f>
        <v>0</v>
      </c>
      <c r="G1430" s="1004" t="n">
        <f aca="false">IF(E1430&gt;F1430,E1430,F1430)</f>
        <v>200</v>
      </c>
      <c r="H1430" s="1004" t="n">
        <f aca="false">'Смета Внутр'!G1437</f>
        <v>10823.0007049077</v>
      </c>
      <c r="I1430" s="1004" t="n">
        <f aca="false">'Смета Внутр'!H1437</f>
        <v>0</v>
      </c>
      <c r="J1430" s="1018" t="n">
        <f aca="false">'Смета Внутр'!I1437</f>
        <v>0</v>
      </c>
    </row>
    <row r="1431" customFormat="false" ht="15" hidden="false" customHeight="true" outlineLevel="0" collapsed="false">
      <c r="B1431" s="1004" t="str">
        <f aca="false">'Смета Внутр'!B1438</f>
        <v>Подкладочный ковер</v>
      </c>
      <c r="C1431" s="1004" t="str">
        <f aca="false">'Смета Внутр'!C1438</f>
        <v>м.п.</v>
      </c>
      <c r="D1431" s="1018" t="n">
        <f aca="false">'Смета Внутр'!D1438</f>
        <v>179.307020442324</v>
      </c>
      <c r="E1431" s="1004" t="n">
        <f aca="false">'Смета Внутр'!E1438</f>
        <v>220</v>
      </c>
      <c r="F1431" s="1004" t="n">
        <f aca="false">'Смета Внутр'!F1438</f>
        <v>0</v>
      </c>
      <c r="G1431" s="1004" t="n">
        <f aca="false">IF(E1431&gt;F1431,E1431,F1431)</f>
        <v>220</v>
      </c>
      <c r="H1431" s="1004" t="n">
        <f aca="false">'Смета Внутр'!G1438</f>
        <v>39447.5444973112</v>
      </c>
      <c r="I1431" s="1004" t="n">
        <f aca="false">'Смета Внутр'!H1438</f>
        <v>0</v>
      </c>
      <c r="J1431" s="1018" t="n">
        <f aca="false">'Смета Внутр'!I1438</f>
        <v>0</v>
      </c>
    </row>
    <row r="1432" customFormat="false" ht="15" hidden="false" customHeight="true" outlineLevel="0" collapsed="false">
      <c r="B1432" s="1004" t="str">
        <f aca="false">'Смета Внутр'!B1439</f>
        <v>Карнизная самоклеющаяся черепица</v>
      </c>
      <c r="C1432" s="1004" t="str">
        <f aca="false">'Смета Внутр'!C1439</f>
        <v>м.п.</v>
      </c>
      <c r="D1432" s="1018" t="n">
        <f aca="false">'Смета Внутр'!D1439</f>
        <v>23.2</v>
      </c>
      <c r="E1432" s="1004" t="n">
        <f aca="false">'Смета Внутр'!E1439</f>
        <v>220</v>
      </c>
      <c r="F1432" s="1004" t="n">
        <f aca="false">'Смета Внутр'!F1439</f>
        <v>0</v>
      </c>
      <c r="G1432" s="1004" t="n">
        <f aca="false">IF(E1432&gt;F1432,E1432,F1432)</f>
        <v>220</v>
      </c>
      <c r="H1432" s="1004" t="n">
        <f aca="false">'Смета Внутр'!G1439</f>
        <v>5104</v>
      </c>
      <c r="I1432" s="1004" t="n">
        <f aca="false">'Смета Внутр'!H1439</f>
        <v>0</v>
      </c>
      <c r="J1432" s="1018" t="n">
        <f aca="false">'Смета Внутр'!I1439</f>
        <v>0</v>
      </c>
    </row>
    <row r="1433" customFormat="false" ht="15" hidden="false" customHeight="true" outlineLevel="0" collapsed="false">
      <c r="B1433" s="1004" t="str">
        <f aca="false">'Смета Внутр'!B1440</f>
        <v>Спец ковер ендова нижняя</v>
      </c>
      <c r="C1433" s="1004" t="str">
        <f aca="false">'Смета Внутр'!C1440</f>
        <v>м.п.</v>
      </c>
      <c r="D1433" s="1018" t="n">
        <f aca="false">'Смета Внутр'!D1440</f>
        <v>0</v>
      </c>
      <c r="E1433" s="1004" t="n">
        <f aca="false">'Смета Внутр'!E1440</f>
        <v>200</v>
      </c>
      <c r="F1433" s="1004" t="n">
        <f aca="false">'Смета Внутр'!F1440</f>
        <v>0</v>
      </c>
      <c r="G1433" s="1004" t="n">
        <f aca="false">IF(E1433&gt;F1433,E1433,F1433)</f>
        <v>200</v>
      </c>
      <c r="H1433" s="1004" t="n">
        <f aca="false">'Смета Внутр'!G1440</f>
        <v>0</v>
      </c>
      <c r="I1433" s="1004" t="n">
        <f aca="false">'Смета Внутр'!H1440</f>
        <v>0</v>
      </c>
      <c r="J1433" s="1018" t="n">
        <f aca="false">'Смета Внутр'!I1440</f>
        <v>0</v>
      </c>
    </row>
    <row r="1434" customFormat="false" ht="15" hidden="false" customHeight="true" outlineLevel="0" collapsed="false">
      <c r="B1434" s="1004" t="str">
        <f aca="false">'Смета Внутр'!B1441</f>
        <v>Коньковой элемент</v>
      </c>
      <c r="C1434" s="1004" t="str">
        <f aca="false">'Смета Внутр'!C1441</f>
        <v>м.п.</v>
      </c>
      <c r="D1434" s="1018" t="n">
        <f aca="false">'Смета Внутр'!D1441</f>
        <v>12.18</v>
      </c>
      <c r="E1434" s="1004" t="n">
        <f aca="false">'Смета Внутр'!E1441</f>
        <v>250</v>
      </c>
      <c r="F1434" s="1004" t="n">
        <f aca="false">'Смета Внутр'!F1441</f>
        <v>0</v>
      </c>
      <c r="G1434" s="1004" t="n">
        <f aca="false">IF(E1434&gt;F1434,E1434,F1434)</f>
        <v>250</v>
      </c>
      <c r="H1434" s="1004" t="n">
        <f aca="false">'Смета Внутр'!G1441</f>
        <v>3045</v>
      </c>
      <c r="I1434" s="1004" t="n">
        <f aca="false">'Смета Внутр'!H1441</f>
        <v>0</v>
      </c>
      <c r="J1434" s="1018" t="n">
        <f aca="false">'Смета Внутр'!I1441</f>
        <v>0</v>
      </c>
    </row>
    <row r="1435" customFormat="false" ht="15" hidden="false" customHeight="true" outlineLevel="0" collapsed="false">
      <c r="B1435" s="1004" t="str">
        <f aca="false">'Смета Внутр'!B1442</f>
        <v>Планка премыкания</v>
      </c>
      <c r="C1435" s="1004" t="str">
        <f aca="false">'Смета Внутр'!C1442</f>
        <v>м.п.</v>
      </c>
      <c r="D1435" s="1018" t="n">
        <f aca="false">'Смета Внутр'!D1442</f>
        <v>0</v>
      </c>
      <c r="E1435" s="1004" t="n">
        <f aca="false">'Смета Внутр'!E1442</f>
        <v>200</v>
      </c>
      <c r="F1435" s="1004" t="n">
        <f aca="false">'Смета Внутр'!F1442</f>
        <v>0</v>
      </c>
      <c r="G1435" s="1004" t="n">
        <f aca="false">IF(E1435&gt;F1435,E1435,F1435)</f>
        <v>200</v>
      </c>
      <c r="H1435" s="1004" t="n">
        <f aca="false">'Смета Внутр'!G1442</f>
        <v>0</v>
      </c>
      <c r="I1435" s="1004" t="n">
        <f aca="false">'Смета Внутр'!H1442</f>
        <v>0</v>
      </c>
      <c r="J1435" s="1018" t="n">
        <f aca="false">'Смета Внутр'!I1442</f>
        <v>0</v>
      </c>
    </row>
    <row r="1436" customFormat="false" ht="15" hidden="false" customHeight="true" outlineLevel="0" collapsed="false">
      <c r="B1436" s="1004" t="str">
        <f aca="false">'Смета Внутр'!B1443</f>
        <v>Гвозди для крепления подкладочного ковра</v>
      </c>
      <c r="C1436" s="1004" t="str">
        <f aca="false">'Смета Внутр'!C1443</f>
        <v>шт</v>
      </c>
      <c r="D1436" s="1018" t="n">
        <f aca="false">'Смета Внутр'!D1443</f>
        <v>1793.07020442324</v>
      </c>
      <c r="E1436" s="1004" t="n">
        <f aca="false">'Смета Внутр'!E1443</f>
        <v>0.012</v>
      </c>
      <c r="F1436" s="1004" t="n">
        <f aca="false">'Смета Внутр'!F1443</f>
        <v>0</v>
      </c>
      <c r="G1436" s="1004" t="n">
        <f aca="false">IF(E1436&gt;F1436,E1436,F1436)</f>
        <v>0.012</v>
      </c>
      <c r="H1436" s="1004" t="n">
        <f aca="false">'Смета Внутр'!G1443</f>
        <v>21.5168424530788</v>
      </c>
      <c r="I1436" s="1004" t="n">
        <f aca="false">'Смета Внутр'!H1443</f>
        <v>0</v>
      </c>
      <c r="J1436" s="1018" t="n">
        <f aca="false">'Смета Внутр'!I1443</f>
        <v>0</v>
      </c>
    </row>
    <row r="1437" customFormat="false" ht="15" hidden="false" customHeight="true" outlineLevel="0" collapsed="false">
      <c r="B1437" s="1004" t="str">
        <f aca="false">'Смета Внутр'!B1444</f>
        <v>Гвозди для крепления черепицы</v>
      </c>
      <c r="C1437" s="1004" t="str">
        <f aca="false">'Смета Внутр'!C1444</f>
        <v>шт</v>
      </c>
      <c r="D1437" s="1018" t="n">
        <f aca="false">'Смета Внутр'!D1444</f>
        <v>8733.35102211619</v>
      </c>
      <c r="E1437" s="1004" t="n">
        <f aca="false">'Смета Внутр'!E1444</f>
        <v>0.25</v>
      </c>
      <c r="F1437" s="1004" t="n">
        <f aca="false">'Смета Внутр'!F1444</f>
        <v>0</v>
      </c>
      <c r="G1437" s="1004" t="n">
        <f aca="false">IF(E1437&gt;F1437,E1437,F1437)</f>
        <v>0.25</v>
      </c>
      <c r="H1437" s="1004" t="n">
        <f aca="false">'Смета Внутр'!G1444</f>
        <v>2183.33775552905</v>
      </c>
      <c r="I1437" s="1004" t="n">
        <f aca="false">'Смета Внутр'!H1444</f>
        <v>0</v>
      </c>
      <c r="J1437" s="1018" t="n">
        <f aca="false">'Смета Внутр'!I1444</f>
        <v>0</v>
      </c>
    </row>
    <row r="1438" customFormat="false" ht="15" hidden="false" customHeight="true" outlineLevel="0" collapsed="false">
      <c r="B1438" s="1004" t="str">
        <f aca="false">'Смета Внутр'!B1445</f>
        <v>Клей для монтажа черепицы</v>
      </c>
      <c r="C1438" s="1004" t="str">
        <f aca="false">'Смета Внутр'!C1445</f>
        <v>кг</v>
      </c>
      <c r="D1438" s="1018" t="n">
        <f aca="false">'Смета Внутр'!D1445</f>
        <v>179.307020442324</v>
      </c>
      <c r="E1438" s="1004" t="n">
        <f aca="false">'Смета Внутр'!E1445</f>
        <v>250</v>
      </c>
      <c r="F1438" s="1004" t="n">
        <f aca="false">'Смета Внутр'!F1445</f>
        <v>0</v>
      </c>
      <c r="G1438" s="1004" t="n">
        <f aca="false">IF(E1438&gt;F1438,E1438,F1438)</f>
        <v>250</v>
      </c>
      <c r="H1438" s="1004" t="n">
        <f aca="false">'Смета Внутр'!G1445</f>
        <v>44826.7551105809</v>
      </c>
      <c r="I1438" s="1004" t="n">
        <f aca="false">'Смета Внутр'!H1445</f>
        <v>0</v>
      </c>
      <c r="J1438" s="1018" t="n">
        <f aca="false">'Смета Внутр'!I1445</f>
        <v>0</v>
      </c>
    </row>
    <row r="1439" customFormat="false" ht="15" hidden="false" customHeight="true" outlineLevel="0" collapsed="false">
      <c r="B1439" s="2888" t="str">
        <f aca="false">'Смета Внутр'!B1446</f>
        <v>желоб</v>
      </c>
      <c r="C1439" s="2888" t="str">
        <f aca="false">'Смета Внутр'!C1446</f>
        <v>м.п</v>
      </c>
      <c r="D1439" s="2897" t="n">
        <f aca="false">'Смета Внутр'!D1446</f>
        <v>23.2</v>
      </c>
      <c r="E1439" s="1004" t="n">
        <f aca="false">'Смета Внутр'!E1446</f>
        <v>300</v>
      </c>
      <c r="F1439" s="1004" t="n">
        <f aca="false">'Смета Внутр'!F1446</f>
        <v>0</v>
      </c>
      <c r="G1439" s="2888" t="n">
        <f aca="false">IF(E1439&gt;F1439,E1439,F1439)</f>
        <v>300</v>
      </c>
      <c r="H1439" s="1004" t="n">
        <f aca="false">'Смета Внутр'!G1446</f>
        <v>6960</v>
      </c>
      <c r="I1439" s="1004" t="n">
        <f aca="false">'Смета Внутр'!H1446</f>
        <v>0</v>
      </c>
      <c r="J1439" s="2897" t="n">
        <f aca="false">'Смета Внутр'!I1446</f>
        <v>0</v>
      </c>
    </row>
    <row r="1440" customFormat="false" ht="15" hidden="false" customHeight="true" outlineLevel="0" collapsed="false">
      <c r="B1440" s="2888" t="str">
        <f aca="false">'Смета Внутр'!B1447</f>
        <v>отвод</v>
      </c>
      <c r="C1440" s="2888" t="str">
        <f aca="false">'Смета Внутр'!C1447</f>
        <v>шт</v>
      </c>
      <c r="D1440" s="2897" t="n">
        <f aca="false">'Смета Внутр'!D1447</f>
        <v>4</v>
      </c>
      <c r="E1440" s="1004" t="n">
        <f aca="false">'Смета Внутр'!E1447</f>
        <v>250</v>
      </c>
      <c r="F1440" s="1004" t="n">
        <f aca="false">'Смета Внутр'!F1447</f>
        <v>0</v>
      </c>
      <c r="G1440" s="2888" t="n">
        <f aca="false">IF(E1440&gt;F1440,E1440,F1440)</f>
        <v>250</v>
      </c>
      <c r="H1440" s="1004" t="n">
        <f aca="false">'Смета Внутр'!G1447</f>
        <v>1000</v>
      </c>
      <c r="I1440" s="1004" t="n">
        <f aca="false">'Смета Внутр'!H1447</f>
        <v>0</v>
      </c>
      <c r="J1440" s="2897" t="n">
        <f aca="false">'Смета Внутр'!I1447</f>
        <v>0</v>
      </c>
    </row>
    <row r="1441" customFormat="false" ht="15" hidden="false" customHeight="true" outlineLevel="0" collapsed="false">
      <c r="B1441" s="2888" t="str">
        <f aca="false">'Смета Внутр'!B1448</f>
        <v>труба водосточная</v>
      </c>
      <c r="C1441" s="2888" t="str">
        <f aca="false">'Смета Внутр'!C1448</f>
        <v>м.п.</v>
      </c>
      <c r="D1441" s="2897" t="n">
        <f aca="false">'Смета Внутр'!D1448</f>
        <v>8</v>
      </c>
      <c r="E1441" s="1004" t="n">
        <f aca="false">'Смета Внутр'!E1448</f>
        <v>300</v>
      </c>
      <c r="F1441" s="1004" t="n">
        <f aca="false">'Смета Внутр'!F1448</f>
        <v>0</v>
      </c>
      <c r="G1441" s="2888" t="n">
        <f aca="false">IF(E1441&gt;F1441,E1441,F1441)</f>
        <v>300</v>
      </c>
      <c r="H1441" s="1004" t="n">
        <f aca="false">'Смета Внутр'!G1448</f>
        <v>2400</v>
      </c>
      <c r="I1441" s="1004" t="n">
        <f aca="false">'Смета Внутр'!H1448</f>
        <v>0</v>
      </c>
      <c r="J1441" s="2897" t="n">
        <f aca="false">'Смета Внутр'!I1448</f>
        <v>0</v>
      </c>
    </row>
    <row r="1442" customFormat="false" ht="15" hidden="false" customHeight="true" outlineLevel="0" collapsed="false">
      <c r="B1442" s="2888" t="str">
        <f aca="false">'Смета Внутр'!B1449</f>
        <v>заглушка для желоба</v>
      </c>
      <c r="C1442" s="2888" t="str">
        <f aca="false">'Смета Внутр'!C1449</f>
        <v>шт</v>
      </c>
      <c r="D1442" s="2897" t="n">
        <f aca="false">'Смета Внутр'!D1449</f>
        <v>4</v>
      </c>
      <c r="E1442" s="1004" t="n">
        <f aca="false">'Смета Внутр'!E1449</f>
        <v>190</v>
      </c>
      <c r="F1442" s="1004" t="n">
        <f aca="false">'Смета Внутр'!F1449</f>
        <v>0</v>
      </c>
      <c r="G1442" s="2888" t="n">
        <f aca="false">IF(E1442&gt;F1442,E1442,F1442)</f>
        <v>190</v>
      </c>
      <c r="H1442" s="1004" t="n">
        <f aca="false">'Смета Внутр'!G1449</f>
        <v>760</v>
      </c>
      <c r="I1442" s="1004" t="n">
        <f aca="false">'Смета Внутр'!H1449</f>
        <v>0</v>
      </c>
      <c r="J1442" s="2897" t="n">
        <f aca="false">'Смета Внутр'!I1449</f>
        <v>0</v>
      </c>
    </row>
    <row r="1443" customFormat="false" ht="15" hidden="false" customHeight="true" outlineLevel="0" collapsed="false">
      <c r="B1443" s="2888" t="str">
        <f aca="false">'Смета Внутр'!B1450</f>
        <v>соеденитель для желоба</v>
      </c>
      <c r="C1443" s="2888" t="str">
        <f aca="false">'Смета Внутр'!C1450</f>
        <v>шт</v>
      </c>
      <c r="D1443" s="2897" t="n">
        <f aca="false">'Смета Внутр'!D1450</f>
        <v>11.6</v>
      </c>
      <c r="E1443" s="1004" t="n">
        <f aca="false">'Смета Внутр'!E1450</f>
        <v>180</v>
      </c>
      <c r="F1443" s="1004" t="n">
        <f aca="false">'Смета Внутр'!F1450</f>
        <v>0</v>
      </c>
      <c r="G1443" s="2888" t="n">
        <f aca="false">IF(E1443&gt;F1443,E1443,F1443)</f>
        <v>180</v>
      </c>
      <c r="H1443" s="1004" t="n">
        <f aca="false">'Смета Внутр'!G1450</f>
        <v>2088</v>
      </c>
      <c r="I1443" s="1004" t="n">
        <f aca="false">'Смета Внутр'!H1450</f>
        <v>0</v>
      </c>
      <c r="J1443" s="2897" t="n">
        <f aca="false">'Смета Внутр'!I1450</f>
        <v>0</v>
      </c>
    </row>
    <row r="1444" customFormat="false" ht="15" hidden="false" customHeight="true" outlineLevel="0" collapsed="false">
      <c r="B1444" s="2888" t="str">
        <f aca="false">'Смета Внутр'!B1451</f>
        <v>кронштейн для желоба</v>
      </c>
      <c r="C1444" s="2888" t="str">
        <f aca="false">'Смета Внутр'!C1451</f>
        <v>шт</v>
      </c>
      <c r="D1444" s="2897" t="n">
        <f aca="false">'Смета Внутр'!D1451</f>
        <v>46.4</v>
      </c>
      <c r="E1444" s="1004" t="n">
        <f aca="false">'Смета Внутр'!E1451</f>
        <v>130</v>
      </c>
      <c r="F1444" s="1004" t="n">
        <f aca="false">'Смета Внутр'!F1451</f>
        <v>0</v>
      </c>
      <c r="G1444" s="2888" t="n">
        <f aca="false">IF(E1444&gt;F1444,E1444,F1444)</f>
        <v>130</v>
      </c>
      <c r="H1444" s="1004" t="n">
        <f aca="false">'Смета Внутр'!G1451</f>
        <v>6032</v>
      </c>
      <c r="I1444" s="1004" t="n">
        <f aca="false">'Смета Внутр'!H1451</f>
        <v>0</v>
      </c>
      <c r="J1444" s="2897" t="n">
        <f aca="false">'Смета Внутр'!I1451</f>
        <v>0</v>
      </c>
    </row>
    <row r="1445" customFormat="false" ht="15" hidden="false" customHeight="true" outlineLevel="0" collapsed="false">
      <c r="B1445" s="2888" t="str">
        <f aca="false">'Смета Внутр'!B1452</f>
        <v>переход из желоба в трубу</v>
      </c>
      <c r="C1445" s="2888" t="str">
        <f aca="false">'Смета Внутр'!C1452</f>
        <v>шт</v>
      </c>
      <c r="D1445" s="2897" t="n">
        <f aca="false">'Смета Внутр'!D1452</f>
        <v>2</v>
      </c>
      <c r="E1445" s="1004" t="n">
        <f aca="false">'Смета Внутр'!E1452</f>
        <v>350</v>
      </c>
      <c r="F1445" s="1004" t="n">
        <f aca="false">'Смета Внутр'!F1452</f>
        <v>0</v>
      </c>
      <c r="G1445" s="2888" t="n">
        <f aca="false">IF(E1445&gt;F1445,E1445,F1445)</f>
        <v>350</v>
      </c>
      <c r="H1445" s="1004" t="n">
        <f aca="false">'Смета Внутр'!G1452</f>
        <v>700</v>
      </c>
      <c r="I1445" s="1004" t="n">
        <f aca="false">'Смета Внутр'!H1452</f>
        <v>0</v>
      </c>
      <c r="J1445" s="2897" t="n">
        <f aca="false">'Смета Внутр'!I1452</f>
        <v>0</v>
      </c>
    </row>
    <row r="1446" customFormat="false" ht="15" hidden="false" customHeight="true" outlineLevel="0" collapsed="false">
      <c r="B1446" s="2888" t="str">
        <f aca="false">'Смета Внутр'!B1453</f>
        <v>лента дельта мульти бэнд</v>
      </c>
      <c r="C1446" s="2888" t="str">
        <f aca="false">'Смета Внутр'!C1453</f>
        <v>шт</v>
      </c>
      <c r="D1446" s="2897" t="n">
        <f aca="false">'Смета Внутр'!D1453</f>
        <v>15</v>
      </c>
      <c r="E1446" s="1004" t="n">
        <f aca="false">'Смета Внутр'!E1453</f>
        <v>1200</v>
      </c>
      <c r="F1446" s="1004" t="n">
        <f aca="false">'Смета Внутр'!F1453</f>
        <v>0</v>
      </c>
      <c r="G1446" s="2888" t="n">
        <f aca="false">IF(E1446&gt;F1446,E1446,F1446)</f>
        <v>1200</v>
      </c>
      <c r="H1446" s="1004" t="n">
        <f aca="false">'Смета Внутр'!G1453</f>
        <v>18000</v>
      </c>
      <c r="I1446" s="1004" t="n">
        <f aca="false">'Смета Внутр'!H1453</f>
        <v>0</v>
      </c>
      <c r="J1446" s="2897" t="n">
        <f aca="false">'Смета Внутр'!I1453</f>
        <v>0</v>
      </c>
    </row>
    <row r="1447" customFormat="false" ht="15" hidden="false" customHeight="true" outlineLevel="0" collapsed="false">
      <c r="B1447" s="2888" t="str">
        <f aca="false">'Смета Внутр'!B1454</f>
        <v>лента дельта sb-60</v>
      </c>
      <c r="C1447" s="2888" t="str">
        <f aca="false">'Смета Внутр'!C1454</f>
        <v>шт</v>
      </c>
      <c r="D1447" s="2897" t="n">
        <f aca="false">'Смета Внутр'!D1454</f>
        <v>8</v>
      </c>
      <c r="E1447" s="1004" t="n">
        <f aca="false">'Смета Внутр'!E1454</f>
        <v>1100</v>
      </c>
      <c r="F1447" s="1004" t="n">
        <f aca="false">'Смета Внутр'!F1454</f>
        <v>0</v>
      </c>
      <c r="G1447" s="2888" t="n">
        <f aca="false">IF(E1447&gt;F1447,E1447,F1447)</f>
        <v>1100</v>
      </c>
      <c r="H1447" s="1004" t="n">
        <f aca="false">'Смета Внутр'!G1454</f>
        <v>8800</v>
      </c>
      <c r="I1447" s="1004" t="n">
        <f aca="false">'Смета Внутр'!H1454</f>
        <v>0</v>
      </c>
      <c r="J1447" s="2897" t="n">
        <f aca="false">'Смета Внутр'!I1454</f>
        <v>0</v>
      </c>
    </row>
    <row r="1448" customFormat="false" ht="15" hidden="false" customHeight="true" outlineLevel="0" collapsed="false">
      <c r="B1448" s="1004" t="str">
        <f aca="false">'Смета Внутр'!B1455</f>
        <v>проходка кровельная, канализационная</v>
      </c>
      <c r="C1448" s="1004" t="str">
        <f aca="false">'Смета Внутр'!C1455</f>
        <v>шт</v>
      </c>
      <c r="D1448" s="1018" t="n">
        <f aca="false">'Смета Внутр'!D1455</f>
        <v>0</v>
      </c>
      <c r="E1448" s="1004" t="n">
        <f aca="false">'Смета Внутр'!E1455</f>
        <v>3500</v>
      </c>
      <c r="F1448" s="1004" t="n">
        <f aca="false">'Смета Внутр'!F1455</f>
        <v>0</v>
      </c>
      <c r="G1448" s="1004" t="n">
        <f aca="false">IF(E1448&gt;F1448,E1448,F1448)</f>
        <v>3500</v>
      </c>
      <c r="H1448" s="1004" t="n">
        <f aca="false">'Смета Внутр'!G1455</f>
        <v>0</v>
      </c>
      <c r="I1448" s="1004" t="n">
        <f aca="false">'Смета Внутр'!H1455</f>
        <v>0</v>
      </c>
      <c r="J1448" s="1018" t="n">
        <f aca="false">'Смета Внутр'!I1455</f>
        <v>0</v>
      </c>
    </row>
    <row r="1449" customFormat="false" ht="15" hidden="false" customHeight="true" outlineLevel="0" collapsed="false">
      <c r="B1449" s="1004" t="str">
        <f aca="false">'Смета Внутр'!B1456</f>
        <v>проходка кровельная, вентиляционная</v>
      </c>
      <c r="C1449" s="1004" t="str">
        <f aca="false">'Смета Внутр'!C1456</f>
        <v>шт</v>
      </c>
      <c r="D1449" s="1018" t="n">
        <f aca="false">'Смета Внутр'!D1456</f>
        <v>0</v>
      </c>
      <c r="E1449" s="1004" t="n">
        <f aca="false">'Смета Внутр'!E1456</f>
        <v>3500</v>
      </c>
      <c r="F1449" s="1004" t="n">
        <f aca="false">'Смета Внутр'!F1456</f>
        <v>0</v>
      </c>
      <c r="G1449" s="1004" t="n">
        <f aca="false">IF(E1449&gt;F1449,E1449,F1449)</f>
        <v>3500</v>
      </c>
      <c r="H1449" s="1004" t="n">
        <f aca="false">'Смета Внутр'!G1456</f>
        <v>0</v>
      </c>
      <c r="I1449" s="1004" t="n">
        <f aca="false">'Смета Внутр'!H1456</f>
        <v>0</v>
      </c>
      <c r="J1449" s="1018" t="n">
        <f aca="false">'Смета Внутр'!I1456</f>
        <v>0</v>
      </c>
    </row>
    <row r="1450" customFormat="false" ht="15" hidden="false" customHeight="true" outlineLevel="0" collapsed="false">
      <c r="B1450" s="1004" t="str">
        <f aca="false">'Смета Внутр'!B1457</f>
        <v>проодка кровельная, труба котел</v>
      </c>
      <c r="C1450" s="1004" t="str">
        <f aca="false">'Смета Внутр'!C1457</f>
        <v>шт</v>
      </c>
      <c r="D1450" s="1018" t="n">
        <f aca="false">'Смета Внутр'!D1457</f>
        <v>0</v>
      </c>
      <c r="E1450" s="1004" t="n">
        <f aca="false">'Смета Внутр'!E1457</f>
        <v>4500</v>
      </c>
      <c r="F1450" s="1004" t="n">
        <f aca="false">'Смета Внутр'!F1457</f>
        <v>0</v>
      </c>
      <c r="G1450" s="1004" t="n">
        <f aca="false">IF(E1450&gt;F1450,E1450,F1450)</f>
        <v>4500</v>
      </c>
      <c r="H1450" s="1004" t="n">
        <f aca="false">'Смета Внутр'!G1457</f>
        <v>0</v>
      </c>
      <c r="I1450" s="1004" t="n">
        <f aca="false">'Смета Внутр'!H1457</f>
        <v>0</v>
      </c>
      <c r="J1450" s="1018" t="n">
        <f aca="false">'Смета Внутр'!I1457</f>
        <v>0</v>
      </c>
    </row>
    <row r="1451" customFormat="false" ht="15" hidden="false" customHeight="true" outlineLevel="0" collapsed="false">
      <c r="B1451" s="2888" t="str">
        <f aca="false">'Смета Внутр'!B1458</f>
        <v>Кровельный саморез</v>
      </c>
      <c r="C1451" s="2888" t="str">
        <f aca="false">'Смета Внутр'!C1458</f>
        <v>шт</v>
      </c>
      <c r="D1451" s="2897" t="n">
        <f aca="false">'Смета Внутр'!D1458</f>
        <v>0</v>
      </c>
      <c r="E1451" s="1004" t="n">
        <f aca="false">'Смета Внутр'!E1458</f>
        <v>2</v>
      </c>
      <c r="F1451" s="1004" t="n">
        <f aca="false">'Смета Внутр'!F1458</f>
        <v>0</v>
      </c>
      <c r="G1451" s="2888" t="n">
        <f aca="false">IF(E1451&gt;F1451,E1451,F1451)</f>
        <v>2</v>
      </c>
      <c r="H1451" s="1004" t="n">
        <f aca="false">'Смета Внутр'!G1458</f>
        <v>0</v>
      </c>
      <c r="I1451" s="1004" t="n">
        <f aca="false">'Смета Внутр'!H1458</f>
        <v>0</v>
      </c>
      <c r="J1451" s="2897" t="n">
        <f aca="false">'Смета Внутр'!I1458</f>
        <v>0</v>
      </c>
    </row>
    <row r="1452" customFormat="false" ht="15" hidden="false" customHeight="true" outlineLevel="0" collapsed="false">
      <c r="B1452" s="2888" t="str">
        <f aca="false">'Смета Внутр'!B1459</f>
        <v>Гвозди ершоные 3,4 x 60</v>
      </c>
      <c r="C1452" s="2888" t="str">
        <f aca="false">'Смета Внутр'!C1459</f>
        <v>кг</v>
      </c>
      <c r="D1452" s="2897" t="n">
        <f aca="false">'Смета Внутр'!D1459</f>
        <v>5.77530909592786</v>
      </c>
      <c r="E1452" s="1004" t="n">
        <f aca="false">'Смета Внутр'!E1459</f>
        <v>75.51</v>
      </c>
      <c r="F1452" s="1004" t="n">
        <f aca="false">'Смета Внутр'!F1459</f>
        <v>0</v>
      </c>
      <c r="G1452" s="2888" t="n">
        <f aca="false">IF(E1452&gt;F1452,E1452,F1452)</f>
        <v>75.51</v>
      </c>
      <c r="H1452" s="1004" t="n">
        <f aca="false">'Смета Внутр'!G1459</f>
        <v>436.093589833513</v>
      </c>
      <c r="I1452" s="1004" t="n">
        <f aca="false">'Смета Внутр'!H1459</f>
        <v>0</v>
      </c>
      <c r="J1452" s="2897" t="n">
        <f aca="false">'Смета Внутр'!I1459</f>
        <v>0</v>
      </c>
    </row>
    <row r="1453" customFormat="false" ht="15" hidden="false" customHeight="true" outlineLevel="0" collapsed="false">
      <c r="B1453" s="2888" t="str">
        <f aca="false">'Смета Внутр'!B1460</f>
        <v>Гвозди ершоные 2,8 х 90</v>
      </c>
      <c r="C1453" s="2888" t="str">
        <f aca="false">'Смета Внутр'!C1460</f>
        <v>кг</v>
      </c>
      <c r="D1453" s="2897" t="n">
        <f aca="false">'Смета Внутр'!D1460</f>
        <v>37.465780917535</v>
      </c>
      <c r="E1453" s="1004" t="n">
        <f aca="false">'Смета Внутр'!E1460</f>
        <v>76.49</v>
      </c>
      <c r="F1453" s="1004" t="n">
        <f aca="false">'Смета Внутр'!F1460</f>
        <v>0</v>
      </c>
      <c r="G1453" s="2888" t="n">
        <f aca="false">IF(E1453&gt;F1453,E1453,F1453)</f>
        <v>76.49</v>
      </c>
      <c r="H1453" s="1004" t="n">
        <f aca="false">'Смета Внутр'!G1460</f>
        <v>2865.75758238225</v>
      </c>
      <c r="I1453" s="1004" t="n">
        <f aca="false">'Смета Внутр'!H1460</f>
        <v>0</v>
      </c>
      <c r="J1453" s="2897" t="n">
        <f aca="false">'Смета Внутр'!I1460</f>
        <v>0</v>
      </c>
    </row>
    <row r="1454" customFormat="false" ht="15" hidden="false" customHeight="true" outlineLevel="0" collapsed="false">
      <c r="B1454" s="2888" t="str">
        <f aca="false">'Смета Внутр'!B1461</f>
        <v>Пластина соеденительная 100х240х2</v>
      </c>
      <c r="C1454" s="2888" t="str">
        <f aca="false">'Смета Внутр'!C1461</f>
        <v>шт</v>
      </c>
      <c r="D1454" s="2897" t="n">
        <f aca="false">'Смета Внутр'!D1461</f>
        <v>40.6666666666667</v>
      </c>
      <c r="E1454" s="1004" t="n">
        <f aca="false">'Смета Внутр'!E1461</f>
        <v>31.54</v>
      </c>
      <c r="F1454" s="1004" t="n">
        <f aca="false">'Смета Внутр'!F1461</f>
        <v>0</v>
      </c>
      <c r="G1454" s="2888" t="n">
        <f aca="false">IF(E1454&gt;F1454,E1454,F1454)</f>
        <v>31.54</v>
      </c>
      <c r="H1454" s="1004" t="n">
        <f aca="false">'Смета Внутр'!G1461</f>
        <v>1282.62666666667</v>
      </c>
      <c r="I1454" s="1004" t="n">
        <f aca="false">'Смета Внутр'!H1461</f>
        <v>0</v>
      </c>
      <c r="J1454" s="2897" t="n">
        <f aca="false">'Смета Внутр'!I1461</f>
        <v>0</v>
      </c>
    </row>
    <row r="1455" customFormat="false" ht="15" hidden="false" customHeight="true" outlineLevel="0" collapsed="false">
      <c r="B1455" s="2888" t="str">
        <f aca="false">'Смета Внутр'!B1462</f>
        <v>Уголок усиленный 90х70х55х2,5</v>
      </c>
      <c r="C1455" s="2888" t="str">
        <f aca="false">'Смета Внутр'!C1462</f>
        <v>шт</v>
      </c>
      <c r="D1455" s="2897" t="n">
        <f aca="false">'Смета Внутр'!D1462</f>
        <v>40.6666666666667</v>
      </c>
      <c r="E1455" s="1004" t="n">
        <f aca="false">'Смета Внутр'!E1462</f>
        <v>30</v>
      </c>
      <c r="F1455" s="1004" t="n">
        <f aca="false">'Смета Внутр'!F1462</f>
        <v>0</v>
      </c>
      <c r="G1455" s="2888" t="n">
        <f aca="false">IF(E1455&gt;F1455,E1455,F1455)</f>
        <v>30</v>
      </c>
      <c r="H1455" s="1004" t="n">
        <f aca="false">'Смета Внутр'!G1462</f>
        <v>1220</v>
      </c>
      <c r="I1455" s="1004" t="n">
        <f aca="false">'Смета Внутр'!H1462</f>
        <v>0</v>
      </c>
      <c r="J1455" s="2897" t="n">
        <f aca="false">'Смета Внутр'!I1462</f>
        <v>0</v>
      </c>
    </row>
    <row r="1456" customFormat="false" ht="14.5" hidden="false" customHeight="false" outlineLevel="0" collapsed="false">
      <c r="B1456" s="2896" t="str">
        <f aca="false">'Смета Внутр'!B1463</f>
        <v>Итого материалы</v>
      </c>
      <c r="C1456" s="2896"/>
      <c r="D1456" s="2896"/>
      <c r="E1456" s="2896"/>
      <c r="F1456" s="2896"/>
      <c r="G1456" s="2896"/>
      <c r="H1456" s="1004" t="n">
        <f aca="false">'Смета Внутр'!G1463</f>
        <v>0</v>
      </c>
      <c r="I1456" s="1004" t="n">
        <f aca="false">'Смета Внутр'!H1463</f>
        <v>0</v>
      </c>
      <c r="J1456" s="2897" t="n">
        <f aca="false">'Смета Внутр'!I1463</f>
        <v>0</v>
      </c>
    </row>
    <row r="1457" customFormat="false" ht="15" hidden="false" customHeight="true" outlineLevel="0" collapsed="false">
      <c r="B1457" s="2881" t="str">
        <f aca="false">'Смета Внутр'!B1464</f>
        <v>Работы</v>
      </c>
      <c r="H1457" s="0" t="n">
        <f aca="false">'Смета Внутр'!G1464</f>
        <v>0</v>
      </c>
      <c r="I1457" s="0" t="n">
        <f aca="false">'Смета Внутр'!H1464</f>
        <v>0</v>
      </c>
      <c r="J1457" s="2893" t="n">
        <f aca="false">'Смета Внутр'!I1464</f>
        <v>0</v>
      </c>
    </row>
    <row r="1458" customFormat="false" ht="15" hidden="false" customHeight="true" outlineLevel="0" collapsed="false">
      <c r="B1458" s="2888" t="str">
        <f aca="false">'Смета Внутр'!B1465</f>
        <v>монтаж мауэрлата</v>
      </c>
      <c r="C1458" s="2888" t="str">
        <f aca="false">'Смета Внутр'!C1465</f>
        <v>м.п.</v>
      </c>
      <c r="D1458" s="2897" t="n">
        <f aca="false">'Смета Внутр'!D1465</f>
        <v>48.2842712474619</v>
      </c>
      <c r="E1458" s="1004" t="n">
        <f aca="false">'Смета Внутр'!E1465</f>
        <v>250</v>
      </c>
      <c r="F1458" s="1004" t="n">
        <f aca="false">'Смета Внутр'!F1465</f>
        <v>0</v>
      </c>
      <c r="G1458" s="2888" t="n">
        <f aca="false">IF(E1458&gt;F1458,E1458,F1458)</f>
        <v>250</v>
      </c>
      <c r="H1458" s="1004" t="n">
        <f aca="false">'Смета Внутр'!G1465</f>
        <v>12071.0678118655</v>
      </c>
      <c r="I1458" s="1004" t="n">
        <f aca="false">'Смета Внутр'!H1465</f>
        <v>0</v>
      </c>
      <c r="J1458" s="2897" t="n">
        <f aca="false">'Смета Внутр'!I1465</f>
        <v>0</v>
      </c>
    </row>
    <row r="1459" customFormat="false" ht="15" hidden="false" customHeight="true" outlineLevel="0" collapsed="false">
      <c r="B1459" s="2888" t="str">
        <f aca="false">'Смета Внутр'!B1466</f>
        <v>монтаж стропил</v>
      </c>
      <c r="C1459" s="2888" t="str">
        <f aca="false">'Смета Внутр'!C1466</f>
        <v>м2</v>
      </c>
      <c r="D1459" s="2897" t="n">
        <f aca="false">'Смета Внутр'!D1466</f>
        <v>179.307020442324</v>
      </c>
      <c r="E1459" s="1004" t="n">
        <f aca="false">'Смета Внутр'!E1466</f>
        <v>450</v>
      </c>
      <c r="F1459" s="1004" t="n">
        <f aca="false">'Смета Внутр'!F1466</f>
        <v>0</v>
      </c>
      <c r="G1459" s="2888" t="n">
        <f aca="false">IF(E1459&gt;F1459,E1459,F1459)</f>
        <v>450</v>
      </c>
      <c r="H1459" s="1004" t="n">
        <f aca="false">'Смета Внутр'!G1466</f>
        <v>80688.1591990457</v>
      </c>
      <c r="I1459" s="1004" t="n">
        <f aca="false">'Смета Внутр'!H1466</f>
        <v>0</v>
      </c>
      <c r="J1459" s="2897" t="n">
        <f aca="false">'Смета Внутр'!I1466</f>
        <v>0</v>
      </c>
    </row>
    <row r="1460" customFormat="false" ht="15" hidden="false" customHeight="true" outlineLevel="0" collapsed="false">
      <c r="B1460" s="2888" t="str">
        <f aca="false">'Смета Внутр'!B1467</f>
        <v>обрешетка</v>
      </c>
      <c r="C1460" s="2888" t="str">
        <f aca="false">'Смета Внутр'!C1467</f>
        <v>м2</v>
      </c>
      <c r="D1460" s="2897" t="n">
        <f aca="false">'Смета Внутр'!D1467</f>
        <v>179.307020442324</v>
      </c>
      <c r="E1460" s="1004" t="n">
        <f aca="false">'Смета Внутр'!E1467</f>
        <v>100</v>
      </c>
      <c r="F1460" s="1004" t="n">
        <f aca="false">'Смета Внутр'!F1467</f>
        <v>0</v>
      </c>
      <c r="G1460" s="2888" t="n">
        <f aca="false">IF(E1460&gt;F1460,E1460,F1460)</f>
        <v>100</v>
      </c>
      <c r="H1460" s="1004" t="n">
        <f aca="false">'Смета Внутр'!G1467</f>
        <v>17930.7020442324</v>
      </c>
      <c r="I1460" s="1004" t="n">
        <f aca="false">'Смета Внутр'!H1467</f>
        <v>0</v>
      </c>
      <c r="J1460" s="2897" t="n">
        <f aca="false">'Смета Внутр'!I1467</f>
        <v>0</v>
      </c>
    </row>
    <row r="1461" customFormat="false" ht="15" hidden="false" customHeight="true" outlineLevel="0" collapsed="false">
      <c r="B1461" s="2888" t="str">
        <f aca="false">'Смета Внутр'!B1468</f>
        <v>контробеш</v>
      </c>
      <c r="C1461" s="2888" t="str">
        <f aca="false">'Смета Внутр'!C1468</f>
        <v>м2</v>
      </c>
      <c r="D1461" s="2897" t="n">
        <f aca="false">'Смета Внутр'!D1468</f>
        <v>179.307020442324</v>
      </c>
      <c r="E1461" s="1004" t="n">
        <f aca="false">'Смета Внутр'!E1468</f>
        <v>100</v>
      </c>
      <c r="F1461" s="1004" t="n">
        <f aca="false">'Смета Внутр'!F1468</f>
        <v>0</v>
      </c>
      <c r="G1461" s="2888" t="n">
        <f aca="false">IF(E1461&gt;F1461,E1461,F1461)</f>
        <v>100</v>
      </c>
      <c r="H1461" s="1004" t="n">
        <f aca="false">'Смета Внутр'!G1468</f>
        <v>17930.7020442324</v>
      </c>
      <c r="I1461" s="1004" t="n">
        <f aca="false">'Смета Внутр'!H1468</f>
        <v>0</v>
      </c>
      <c r="J1461" s="2897" t="n">
        <f aca="false">'Смета Внутр'!I1468</f>
        <v>0</v>
      </c>
    </row>
    <row r="1462" customFormat="false" ht="15" hidden="false" customHeight="true" outlineLevel="0" collapsed="false">
      <c r="B1462" s="2888" t="str">
        <f aca="false">'Смета Внутр'!B1469</f>
        <v>Монтаж металлочерепицы</v>
      </c>
      <c r="C1462" s="2888" t="str">
        <f aca="false">'Смета Внутр'!C1469</f>
        <v>м2</v>
      </c>
      <c r="D1462" s="2897" t="n">
        <f aca="false">'Смета Внутр'!D1469</f>
        <v>0</v>
      </c>
      <c r="E1462" s="1004" t="n">
        <f aca="false">'Смета Внутр'!E1469</f>
        <v>300</v>
      </c>
      <c r="F1462" s="1004" t="n">
        <f aca="false">'Смета Внутр'!F1469</f>
        <v>0</v>
      </c>
      <c r="G1462" s="2888" t="n">
        <f aca="false">IF(E1462&gt;F1462,E1462,F1462)</f>
        <v>300</v>
      </c>
      <c r="H1462" s="1004" t="n">
        <f aca="false">'Смета Внутр'!G1469</f>
        <v>0</v>
      </c>
      <c r="I1462" s="1004" t="n">
        <f aca="false">'Смета Внутр'!H1469</f>
        <v>0</v>
      </c>
      <c r="J1462" s="2897" t="n">
        <f aca="false">'Смета Внутр'!I1469</f>
        <v>0</v>
      </c>
    </row>
    <row r="1463" customFormat="false" ht="15" hidden="false" customHeight="true" outlineLevel="0" collapsed="false">
      <c r="B1463" s="1004" t="str">
        <f aca="false">'Смета Внутр'!B1470</f>
        <v>Монтаж ондулина</v>
      </c>
      <c r="C1463" s="1004" t="str">
        <f aca="false">'Смета Внутр'!C1470</f>
        <v>м2</v>
      </c>
      <c r="D1463" s="1018" t="n">
        <f aca="false">'Смета Внутр'!D1470</f>
        <v>0</v>
      </c>
      <c r="E1463" s="1004" t="n">
        <f aca="false">'Смета Внутр'!E1470</f>
        <v>300</v>
      </c>
      <c r="F1463" s="1004" t="n">
        <f aca="false">'Смета Внутр'!F1470</f>
        <v>0</v>
      </c>
      <c r="G1463" s="1004" t="n">
        <f aca="false">IF(E1463&gt;F1463,E1463,F1463)</f>
        <v>300</v>
      </c>
      <c r="H1463" s="1004" t="n">
        <f aca="false">'Смета Внутр'!G1470</f>
        <v>0</v>
      </c>
      <c r="I1463" s="1004" t="n">
        <f aca="false">'Смета Внутр'!H1470</f>
        <v>0</v>
      </c>
      <c r="J1463" s="1018" t="n">
        <f aca="false">'Смета Внутр'!I1470</f>
        <v>0</v>
      </c>
    </row>
    <row r="1464" customFormat="false" ht="15" hidden="false" customHeight="true" outlineLevel="0" collapsed="false">
      <c r="B1464" s="1004" t="str">
        <f aca="false">'Смета Внутр'!B1471</f>
        <v>мембрана</v>
      </c>
      <c r="C1464" s="1004" t="str">
        <f aca="false">'Смета Внутр'!C1471</f>
        <v>м2</v>
      </c>
      <c r="D1464" s="1018" t="n">
        <f aca="false">'Смета Внутр'!D1471</f>
        <v>179.307020442324</v>
      </c>
      <c r="E1464" s="1004" t="n">
        <f aca="false">'Смета Внутр'!E1471</f>
        <v>100</v>
      </c>
      <c r="F1464" s="1004" t="n">
        <f aca="false">'Смета Внутр'!F1471</f>
        <v>0</v>
      </c>
      <c r="G1464" s="1004" t="n">
        <f aca="false">IF(E1464&gt;F1464,E1464,F1464)</f>
        <v>100</v>
      </c>
      <c r="H1464" s="1004" t="n">
        <f aca="false">'Смета Внутр'!G1471</f>
        <v>17930.7020442324</v>
      </c>
      <c r="I1464" s="1004" t="n">
        <f aca="false">'Смета Внутр'!H1471</f>
        <v>0</v>
      </c>
      <c r="J1464" s="1018" t="n">
        <f aca="false">'Смета Внутр'!I1471</f>
        <v>0</v>
      </c>
    </row>
    <row r="1465" customFormat="false" ht="15" hidden="false" customHeight="true" outlineLevel="0" collapsed="false">
      <c r="B1465" s="1004" t="str">
        <f aca="false">'Смета Внутр'!B1472</f>
        <v>пароизоляц</v>
      </c>
      <c r="C1465" s="1004" t="str">
        <f aca="false">'Смета Внутр'!C1472</f>
        <v>м2</v>
      </c>
      <c r="D1465" s="1018" t="n">
        <f aca="false">'Смета Внутр'!D1472</f>
        <v>0</v>
      </c>
      <c r="E1465" s="1004" t="n">
        <f aca="false">'Смета Внутр'!E1472</f>
        <v>100</v>
      </c>
      <c r="F1465" s="1004" t="n">
        <f aca="false">'Смета Внутр'!F1472</f>
        <v>0</v>
      </c>
      <c r="G1465" s="1004" t="n">
        <f aca="false">IF(E1465&gt;F1465,E1465,F1465)</f>
        <v>100</v>
      </c>
      <c r="H1465" s="1004" t="n">
        <f aca="false">'Смета Внутр'!G1472</f>
        <v>0</v>
      </c>
      <c r="I1465" s="1004" t="n">
        <f aca="false">'Смета Внутр'!H1472</f>
        <v>0</v>
      </c>
      <c r="J1465" s="1018" t="n">
        <f aca="false">'Смета Внутр'!I1472</f>
        <v>0</v>
      </c>
    </row>
    <row r="1466" customFormat="false" ht="15" hidden="false" customHeight="true" outlineLevel="0" collapsed="false">
      <c r="B1466" s="2888" t="str">
        <f aca="false">'Смета Внутр'!B1473</f>
        <v>утеплитель</v>
      </c>
      <c r="C1466" s="2888" t="str">
        <f aca="false">'Смета Внутр'!C1473</f>
        <v>м2</v>
      </c>
      <c r="D1466" s="2897" t="n">
        <f aca="false">'Смета Внутр'!D1473</f>
        <v>179.307020442324</v>
      </c>
      <c r="E1466" s="1004" t="n">
        <f aca="false">'Смета Внутр'!E1473</f>
        <v>200</v>
      </c>
      <c r="F1466" s="1004" t="n">
        <f aca="false">'Смета Внутр'!F1473</f>
        <v>0</v>
      </c>
      <c r="G1466" s="2888" t="n">
        <f aca="false">IF(E1466&gt;F1466,E1466,F1466)</f>
        <v>200</v>
      </c>
      <c r="H1466" s="1004" t="n">
        <f aca="false">'Смета Внутр'!G1473</f>
        <v>35861.4040884647</v>
      </c>
      <c r="I1466" s="1004" t="n">
        <f aca="false">'Смета Внутр'!H1473</f>
        <v>0</v>
      </c>
      <c r="J1466" s="2897" t="n">
        <f aca="false">'Смета Внутр'!I1473</f>
        <v>0</v>
      </c>
    </row>
    <row r="1467" customFormat="false" ht="15" hidden="false" customHeight="true" outlineLevel="0" collapsed="false">
      <c r="B1467" s="2888" t="str">
        <f aca="false">'Смета Внутр'!B1474</f>
        <v>карнизная планка</v>
      </c>
      <c r="C1467" s="2888" t="str">
        <f aca="false">'Смета Внутр'!C1474</f>
        <v>м.п.</v>
      </c>
      <c r="D1467" s="2897" t="n">
        <f aca="false">'Смета Внутр'!D1474</f>
        <v>0</v>
      </c>
      <c r="E1467" s="1004" t="n">
        <f aca="false">'Смета Внутр'!E1474</f>
        <v>100</v>
      </c>
      <c r="F1467" s="1004" t="n">
        <f aca="false">'Смета Внутр'!F1474</f>
        <v>0</v>
      </c>
      <c r="G1467" s="2888" t="n">
        <f aca="false">IF(E1467&gt;F1467,E1467,F1467)</f>
        <v>100</v>
      </c>
      <c r="H1467" s="1004" t="n">
        <f aca="false">'Смета Внутр'!G1474</f>
        <v>0</v>
      </c>
      <c r="I1467" s="1004" t="n">
        <f aca="false">'Смета Внутр'!H1474</f>
        <v>0</v>
      </c>
      <c r="J1467" s="2897" t="n">
        <f aca="false">'Смета Внутр'!I1474</f>
        <v>0</v>
      </c>
    </row>
    <row r="1468" customFormat="false" ht="15" hidden="false" customHeight="true" outlineLevel="0" collapsed="false">
      <c r="B1468" s="2888" t="str">
        <f aca="false">'Смета Внутр'!B1475</f>
        <v>торцевая планка</v>
      </c>
      <c r="C1468" s="2888" t="str">
        <f aca="false">'Смета Внутр'!C1475</f>
        <v>м.п.</v>
      </c>
      <c r="D1468" s="2897" t="n">
        <f aca="false">'Смета Внутр'!D1475</f>
        <v>0</v>
      </c>
      <c r="E1468" s="1004" t="n">
        <f aca="false">'Смета Внутр'!E1475</f>
        <v>100</v>
      </c>
      <c r="F1468" s="1004" t="n">
        <f aca="false">'Смета Внутр'!F1475</f>
        <v>0</v>
      </c>
      <c r="G1468" s="2888" t="n">
        <f aca="false">IF(E1468&gt;F1468,E1468,F1468)</f>
        <v>100</v>
      </c>
      <c r="H1468" s="1004" t="n">
        <f aca="false">'Смета Внутр'!G1475</f>
        <v>0</v>
      </c>
      <c r="I1468" s="1004" t="n">
        <f aca="false">'Смета Внутр'!H1475</f>
        <v>0</v>
      </c>
      <c r="J1468" s="2897" t="n">
        <f aca="false">'Смета Внутр'!I1475</f>
        <v>0</v>
      </c>
    </row>
    <row r="1469" customFormat="false" ht="15" hidden="false" customHeight="true" outlineLevel="0" collapsed="false">
      <c r="B1469" s="2888" t="str">
        <f aca="false">'Смета Внутр'!B1476</f>
        <v>конек</v>
      </c>
      <c r="C1469" s="2888" t="str">
        <f aca="false">'Смета Внутр'!C1476</f>
        <v>м.п.</v>
      </c>
      <c r="D1469" s="2897" t="n">
        <f aca="false">'Смета Внутр'!D1476</f>
        <v>11.6</v>
      </c>
      <c r="E1469" s="1004" t="n">
        <f aca="false">'Смета Внутр'!E1476</f>
        <v>300</v>
      </c>
      <c r="F1469" s="1004" t="n">
        <f aca="false">'Смета Внутр'!F1476</f>
        <v>0</v>
      </c>
      <c r="G1469" s="2888" t="n">
        <f aca="false">IF(E1469&gt;F1469,E1469,F1469)</f>
        <v>300</v>
      </c>
      <c r="H1469" s="1004" t="n">
        <f aca="false">'Смета Внутр'!G1476</f>
        <v>3480</v>
      </c>
      <c r="I1469" s="1004" t="n">
        <f aca="false">'Смета Внутр'!H1476</f>
        <v>0</v>
      </c>
      <c r="J1469" s="2897" t="n">
        <f aca="false">'Смета Внутр'!I1476</f>
        <v>0</v>
      </c>
    </row>
    <row r="1470" customFormat="false" ht="15" hidden="false" customHeight="true" outlineLevel="0" collapsed="false">
      <c r="B1470" s="2888" t="str">
        <f aca="false">'Смета Внутр'!B1477</f>
        <v>желоб водосточный</v>
      </c>
      <c r="C1470" s="2888" t="str">
        <f aca="false">'Смета Внутр'!C1477</f>
        <v>м.п.</v>
      </c>
      <c r="D1470" s="2897" t="n">
        <f aca="false">'Смета Внутр'!D1477</f>
        <v>23.2</v>
      </c>
      <c r="E1470" s="1004" t="n">
        <f aca="false">'Смета Внутр'!E1477</f>
        <v>300</v>
      </c>
      <c r="F1470" s="1004" t="n">
        <f aca="false">'Смета Внутр'!F1477</f>
        <v>0</v>
      </c>
      <c r="G1470" s="2888" t="n">
        <f aca="false">IF(E1470&gt;F1470,E1470,F1470)</f>
        <v>300</v>
      </c>
      <c r="H1470" s="1004" t="n">
        <f aca="false">'Смета Внутр'!G1477</f>
        <v>6960</v>
      </c>
      <c r="I1470" s="1004" t="n">
        <f aca="false">'Смета Внутр'!H1477</f>
        <v>0</v>
      </c>
      <c r="J1470" s="2897" t="n">
        <f aca="false">'Смета Внутр'!I1477</f>
        <v>0</v>
      </c>
    </row>
    <row r="1471" customFormat="false" ht="15" hidden="false" customHeight="true" outlineLevel="0" collapsed="false">
      <c r="B1471" s="2888" t="str">
        <f aca="false">'Смета Внутр'!B1478</f>
        <v>труба водосточная</v>
      </c>
      <c r="C1471" s="2888" t="str">
        <f aca="false">'Смета Внутр'!C1478</f>
        <v>м.п.</v>
      </c>
      <c r="D1471" s="2897" t="n">
        <f aca="false">'Смета Внутр'!D1478</f>
        <v>8</v>
      </c>
      <c r="E1471" s="1004" t="n">
        <f aca="false">'Смета Внутр'!E1478</f>
        <v>300</v>
      </c>
      <c r="F1471" s="1004" t="n">
        <f aca="false">'Смета Внутр'!F1478</f>
        <v>0</v>
      </c>
      <c r="G1471" s="2888" t="n">
        <f aca="false">IF(E1471&gt;F1471,E1471,F1471)</f>
        <v>300</v>
      </c>
      <c r="H1471" s="1004" t="n">
        <f aca="false">'Смета Внутр'!G1478</f>
        <v>2400</v>
      </c>
      <c r="I1471" s="1004" t="n">
        <f aca="false">'Смета Внутр'!H1478</f>
        <v>0</v>
      </c>
      <c r="J1471" s="2897" t="n">
        <f aca="false">'Смета Внутр'!I1478</f>
        <v>0</v>
      </c>
    </row>
    <row r="1472" customFormat="false" ht="15" hidden="false" customHeight="true" outlineLevel="0" collapsed="false">
      <c r="B1472" s="1004" t="str">
        <f aca="false">'Смета Внутр'!B1479</f>
        <v>Монтаж фанеры/osb</v>
      </c>
      <c r="C1472" s="1004" t="str">
        <f aca="false">'Смета Внутр'!C1479</f>
        <v>м2</v>
      </c>
      <c r="D1472" s="1018" t="n">
        <f aca="false">'Смета Внутр'!D1479</f>
        <v>179.307020442324</v>
      </c>
      <c r="E1472" s="1004" t="n">
        <f aca="false">'Смета Внутр'!E1479</f>
        <v>200</v>
      </c>
      <c r="F1472" s="1004" t="n">
        <f aca="false">'Смета Внутр'!F1479</f>
        <v>0</v>
      </c>
      <c r="G1472" s="1004" t="n">
        <f aca="false">IF(E1472&gt;F1472,E1472,F1472)</f>
        <v>200</v>
      </c>
      <c r="H1472" s="1004" t="n">
        <f aca="false">'Смета Внутр'!G1479</f>
        <v>35861.4040884647</v>
      </c>
      <c r="I1472" s="1004" t="n">
        <f aca="false">'Смета Внутр'!H1479</f>
        <v>0</v>
      </c>
      <c r="J1472" s="1018" t="n">
        <f aca="false">'Смета Внутр'!I1479</f>
        <v>0</v>
      </c>
    </row>
    <row r="1473" customFormat="false" ht="15" hidden="false" customHeight="true" outlineLevel="0" collapsed="false">
      <c r="B1473" s="1004" t="str">
        <f aca="false">'Смета Внутр'!B1480</f>
        <v>монтаж подкладочного ковра</v>
      </c>
      <c r="C1473" s="1004" t="str">
        <f aca="false">'Смета Внутр'!C1480</f>
        <v>м2</v>
      </c>
      <c r="D1473" s="1018" t="n">
        <f aca="false">'Смета Внутр'!D1480</f>
        <v>0</v>
      </c>
      <c r="E1473" s="1004" t="n">
        <f aca="false">'Смета Внутр'!E1480</f>
        <v>0</v>
      </c>
      <c r="F1473" s="1004" t="n">
        <f aca="false">'Смета Внутр'!F1480</f>
        <v>0</v>
      </c>
      <c r="G1473" s="1004" t="n">
        <f aca="false">IF(E1473&gt;F1473,E1473,F1473)</f>
        <v>0</v>
      </c>
      <c r="H1473" s="1004" t="n">
        <f aca="false">'Смета Внутр'!G1480</f>
        <v>0</v>
      </c>
      <c r="I1473" s="1004" t="n">
        <f aca="false">'Смета Внутр'!H1480</f>
        <v>0</v>
      </c>
      <c r="J1473" s="1018" t="n">
        <f aca="false">'Смета Внутр'!I1480</f>
        <v>0</v>
      </c>
    </row>
    <row r="1474" customFormat="false" ht="15" hidden="false" customHeight="true" outlineLevel="0" collapsed="false">
      <c r="B1474" s="1004" t="str">
        <f aca="false">'Смета Внутр'!B1481</f>
        <v>Монтаж мягкой кровли</v>
      </c>
      <c r="C1474" s="1004" t="str">
        <f aca="false">'Смета Внутр'!C1481</f>
        <v>м2</v>
      </c>
      <c r="D1474" s="1018" t="n">
        <f aca="false">'Смета Внутр'!D1481</f>
        <v>0</v>
      </c>
      <c r="E1474" s="1004" t="n">
        <f aca="false">'Смета Внутр'!E1481</f>
        <v>0</v>
      </c>
      <c r="F1474" s="1004" t="n">
        <f aca="false">'Смета Внутр'!F1481</f>
        <v>0</v>
      </c>
      <c r="G1474" s="1004" t="n">
        <f aca="false">IF(E1474&gt;F1474,E1474,F1474)</f>
        <v>0</v>
      </c>
      <c r="H1474" s="1004" t="n">
        <f aca="false">'Смета Внутр'!G1481</f>
        <v>0</v>
      </c>
      <c r="I1474" s="1004" t="n">
        <f aca="false">'Смета Внутр'!H1481</f>
        <v>0</v>
      </c>
      <c r="J1474" s="1018" t="n">
        <f aca="false">'Смета Внутр'!I1481</f>
        <v>0</v>
      </c>
    </row>
    <row r="1475" customFormat="false" ht="15" hidden="false" customHeight="true" outlineLevel="0" collapsed="false">
      <c r="B1475" s="2896" t="str">
        <f aca="false">'Смета Внутр'!B1482</f>
        <v>Итого работы</v>
      </c>
      <c r="C1475" s="2896"/>
      <c r="D1475" s="2896"/>
      <c r="E1475" s="2896"/>
      <c r="F1475" s="2896"/>
      <c r="G1475" s="2896"/>
      <c r="H1475" s="1004" t="n">
        <f aca="false">'Смета Внутр'!G1482</f>
        <v>0</v>
      </c>
      <c r="I1475" s="1004" t="n">
        <f aca="false">'Смета Внутр'!H1482</f>
        <v>0</v>
      </c>
      <c r="J1475" s="2897" t="n">
        <f aca="false">'Смета Внутр'!I1482</f>
        <v>0</v>
      </c>
    </row>
    <row r="1476" customFormat="false" ht="15" hidden="false" customHeight="true" outlineLevel="0" collapsed="false">
      <c r="B1476" s="2925" t="str">
        <f aca="false">'Смета Внутр'!B1483</f>
        <v>Кровля четырехскатная</v>
      </c>
      <c r="C1476" s="2925"/>
      <c r="D1476" s="2925"/>
      <c r="H1476" s="0" t="n">
        <f aca="false">'Смета Внутр'!G1483</f>
        <v>0</v>
      </c>
      <c r="I1476" s="0" t="n">
        <f aca="false">'Смета Внутр'!H1483</f>
        <v>0</v>
      </c>
      <c r="J1476" s="2926" t="n">
        <f aca="false">'Смета Внутр'!I1483</f>
        <v>0</v>
      </c>
    </row>
    <row r="1477" customFormat="false" ht="15" hidden="false" customHeight="true" outlineLevel="0" collapsed="false">
      <c r="B1477" s="2881" t="str">
        <f aca="false">'Смета Внутр'!B1484</f>
        <v>Материалы</v>
      </c>
      <c r="D1477" s="919"/>
      <c r="H1477" s="0" t="n">
        <f aca="false">'Смета Внутр'!G1484</f>
        <v>0</v>
      </c>
      <c r="I1477" s="0" t="n">
        <f aca="false">'Смета Внутр'!H1484</f>
        <v>0</v>
      </c>
      <c r="J1477" s="2926" t="n">
        <f aca="false">'Смета Внутр'!I1484</f>
        <v>0</v>
      </c>
    </row>
    <row r="1478" customFormat="false" ht="15" hidden="false" customHeight="true" outlineLevel="0" collapsed="false">
      <c r="B1478" s="1004" t="str">
        <f aca="false">'Смета Внутр'!B1485</f>
        <v>нет</v>
      </c>
      <c r="C1478" s="1004" t="str">
        <f aca="false">'Смета Внутр'!C1485</f>
        <v>м3</v>
      </c>
      <c r="D1478" s="1018" t="n">
        <f aca="false">'Смета Внутр'!D1485</f>
        <v>0</v>
      </c>
      <c r="E1478" s="1004" t="n">
        <f aca="false">'Смета Внутр'!E1485</f>
        <v>0</v>
      </c>
      <c r="F1478" s="1004" t="n">
        <f aca="false">'Смета Внутр'!F1485</f>
        <v>0</v>
      </c>
      <c r="G1478" s="1004" t="n">
        <f aca="false">IF(E1478&gt;F1478,E1478,F1478)</f>
        <v>0</v>
      </c>
      <c r="H1478" s="1004" t="n">
        <f aca="false">'Смета Внутр'!G1485</f>
        <v>0</v>
      </c>
      <c r="I1478" s="1004" t="n">
        <f aca="false">'Смета Внутр'!H1485</f>
        <v>0</v>
      </c>
      <c r="J1478" s="1018" t="n">
        <f aca="false">'Смета Внутр'!I1485</f>
        <v>0</v>
      </c>
    </row>
    <row r="1479" customFormat="false" ht="15" hidden="false" customHeight="true" outlineLevel="0" collapsed="false">
      <c r="B1479" s="1004" t="str">
        <f aca="false">'Смета Внутр'!B1486</f>
        <v>Болты анкерные с гайкой 12,0 х 280</v>
      </c>
      <c r="C1479" s="1004" t="str">
        <f aca="false">'Смета Внутр'!C1486</f>
        <v>шт</v>
      </c>
      <c r="D1479" s="1018" t="n">
        <f aca="false">'Смета Внутр'!D1486</f>
        <v>44</v>
      </c>
      <c r="E1479" s="1004" t="n">
        <f aca="false">'Смета Внутр'!E1486</f>
        <v>27.1</v>
      </c>
      <c r="F1479" s="1004" t="n">
        <f aca="false">'Смета Внутр'!F1486</f>
        <v>0</v>
      </c>
      <c r="G1479" s="1004" t="n">
        <f aca="false">IF(E1479&gt;F1479,E1479,F1479)</f>
        <v>27.1</v>
      </c>
      <c r="H1479" s="1004" t="n">
        <f aca="false">'Смета Внутр'!G1486</f>
        <v>1192.4</v>
      </c>
      <c r="I1479" s="1004" t="n">
        <f aca="false">'Смета Внутр'!H1486</f>
        <v>0</v>
      </c>
      <c r="J1479" s="1018" t="n">
        <f aca="false">'Смета Внутр'!I1486</f>
        <v>0</v>
      </c>
    </row>
    <row r="1480" customFormat="false" ht="15" hidden="false" customHeight="true" outlineLevel="0" collapsed="false">
      <c r="B1480" s="1004" t="str">
        <f aca="false">'Смета Внутр'!B1487</f>
        <v>Доска сухая, 200*50мм</v>
      </c>
      <c r="C1480" s="1004" t="str">
        <f aca="false">'Смета Внутр'!C1487</f>
        <v>м3</v>
      </c>
      <c r="D1480" s="1018" t="n">
        <f aca="false">'Смета Внутр'!D1487</f>
        <v>4.16623987671954</v>
      </c>
      <c r="E1480" s="1004" t="n">
        <f aca="false">'Смета Внутр'!E1487</f>
        <v>9000</v>
      </c>
      <c r="F1480" s="1004" t="n">
        <f aca="false">'Смета Внутр'!F1487</f>
        <v>0</v>
      </c>
      <c r="G1480" s="1004" t="n">
        <f aca="false">IF(E1480&gt;F1480,E1480,F1480)</f>
        <v>9000</v>
      </c>
      <c r="H1480" s="1004" t="n">
        <f aca="false">'Смета Внутр'!G1487</f>
        <v>37496.1588904759</v>
      </c>
      <c r="I1480" s="1004" t="n">
        <f aca="false">'Смета Внутр'!H1487</f>
        <v>0</v>
      </c>
      <c r="J1480" s="1018" t="n">
        <f aca="false">'Смета Внутр'!I1487</f>
        <v>0</v>
      </c>
    </row>
    <row r="1481" customFormat="false" ht="15" hidden="false" customHeight="true" outlineLevel="0" collapsed="false">
      <c r="B1481" s="1004" t="str">
        <f aca="false">'Смета Внутр'!B1488</f>
        <v>бугель, доска</v>
      </c>
      <c r="C1481" s="1004" t="str">
        <f aca="false">'Смета Внутр'!C1488</f>
        <v>м3</v>
      </c>
      <c r="D1481" s="1018" t="n">
        <f aca="false">'Смета Внутр'!D1488</f>
        <v>0.28</v>
      </c>
      <c r="E1481" s="1004" t="n">
        <f aca="false">'Смета Внутр'!E1488</f>
        <v>9000</v>
      </c>
      <c r="F1481" s="1004" t="n">
        <f aca="false">'Смета Внутр'!F1488</f>
        <v>0</v>
      </c>
      <c r="G1481" s="1004" t="n">
        <f aca="false">IF(E1481&gt;F1481,E1481,F1481)</f>
        <v>9000</v>
      </c>
      <c r="H1481" s="1004" t="n">
        <f aca="false">'Смета Внутр'!G1488</f>
        <v>2520</v>
      </c>
      <c r="I1481" s="1004" t="n">
        <f aca="false">'Смета Внутр'!H1488</f>
        <v>0</v>
      </c>
      <c r="J1481" s="1018" t="n">
        <f aca="false">'Смета Внутр'!I1488</f>
        <v>0</v>
      </c>
    </row>
    <row r="1482" customFormat="false" ht="15" hidden="false" customHeight="true" outlineLevel="0" collapsed="false">
      <c r="B1482" s="1004" t="str">
        <f aca="false">'Смета Внутр'!B1489</f>
        <v>стойка под конек</v>
      </c>
      <c r="C1482" s="1004" t="str">
        <f aca="false">'Смета Внутр'!C1489</f>
        <v>м3</v>
      </c>
      <c r="D1482" s="1018" t="n">
        <f aca="false">'Смета Внутр'!D1489</f>
        <v>0.175</v>
      </c>
      <c r="E1482" s="1004" t="n">
        <f aca="false">'Смета Внутр'!E1489</f>
        <v>9000</v>
      </c>
      <c r="F1482" s="1004" t="n">
        <f aca="false">'Смета Внутр'!F1489</f>
        <v>0</v>
      </c>
      <c r="G1482" s="1004" t="n">
        <f aca="false">IF(E1482&gt;F1482,E1482,F1482)</f>
        <v>9000</v>
      </c>
      <c r="H1482" s="1004" t="n">
        <f aca="false">'Смета Внутр'!G1489</f>
        <v>1575</v>
      </c>
      <c r="I1482" s="1004" t="n">
        <f aca="false">'Смета Внутр'!H1489</f>
        <v>0</v>
      </c>
      <c r="J1482" s="1018" t="n">
        <f aca="false">'Смета Внутр'!I1489</f>
        <v>0</v>
      </c>
    </row>
    <row r="1483" customFormat="false" ht="15" hidden="false" customHeight="true" outlineLevel="0" collapsed="false">
      <c r="B1483" s="1004" t="str">
        <f aca="false">'Смета Внутр'!B1490</f>
        <v>Сосна влаж,180*25мм</v>
      </c>
      <c r="C1483" s="1004" t="str">
        <f aca="false">'Смета Внутр'!C1490</f>
        <v>м3</v>
      </c>
      <c r="D1483" s="1018" t="n">
        <f aca="false">'Смета Внутр'!D1490</f>
        <v>3.61886797951293</v>
      </c>
      <c r="E1483" s="1004" t="n">
        <f aca="false">'Смета Внутр'!E1490</f>
        <v>6500</v>
      </c>
      <c r="F1483" s="1004" t="n">
        <f aca="false">'Смета Внутр'!F1490</f>
        <v>0</v>
      </c>
      <c r="G1483" s="1004" t="n">
        <f aca="false">IF(E1483&gt;F1483,E1483,F1483)</f>
        <v>6500</v>
      </c>
      <c r="H1483" s="1004" t="n">
        <f aca="false">'Смета Внутр'!G1490</f>
        <v>23522.641866834</v>
      </c>
      <c r="I1483" s="1004" t="n">
        <f aca="false">'Смета Внутр'!H1490</f>
        <v>0</v>
      </c>
      <c r="J1483" s="1018" t="n">
        <f aca="false">'Смета Внутр'!I1490</f>
        <v>0</v>
      </c>
    </row>
    <row r="1484" customFormat="false" ht="15" hidden="false" customHeight="true" outlineLevel="0" collapsed="false">
      <c r="B1484" s="1004" t="str">
        <f aca="false">'Смета Внутр'!B1491</f>
        <v>Сосна влаж, 50*50мм</v>
      </c>
      <c r="C1484" s="1004" t="str">
        <f aca="false">'Смета Внутр'!C1491</f>
        <v>м3</v>
      </c>
      <c r="D1484" s="1018" t="n">
        <f aca="false">'Смета Внутр'!D1491</f>
        <v>2.01048221084052</v>
      </c>
      <c r="E1484" s="1004" t="n">
        <f aca="false">'Смета Внутр'!E1491</f>
        <v>6500</v>
      </c>
      <c r="F1484" s="1004" t="n">
        <f aca="false">'Смета Внутр'!F1491</f>
        <v>0</v>
      </c>
      <c r="G1484" s="1004" t="n">
        <f aca="false">IF(E1484&gt;F1484,E1484,F1484)</f>
        <v>6500</v>
      </c>
      <c r="H1484" s="1004" t="n">
        <f aca="false">'Смета Внутр'!G1491</f>
        <v>13068.1343704634</v>
      </c>
      <c r="I1484" s="1004" t="n">
        <f aca="false">'Смета Внутр'!H1491</f>
        <v>0</v>
      </c>
      <c r="J1484" s="1018" t="n">
        <f aca="false">'Смета Внутр'!I1491</f>
        <v>0</v>
      </c>
    </row>
    <row r="1485" customFormat="false" ht="15" hidden="false" customHeight="true" outlineLevel="0" collapsed="false">
      <c r="B1485" s="1004" t="str">
        <f aca="false">'Смета Внутр'!B1492</f>
        <v>Мембрана MD90</v>
      </c>
      <c r="C1485" s="1004" t="str">
        <f aca="false">'Смета Внутр'!C1492</f>
        <v>м2</v>
      </c>
      <c r="D1485" s="1018" t="n">
        <f aca="false">'Смета Внутр'!D1492</f>
        <v>268.064294778735</v>
      </c>
      <c r="E1485" s="1004" t="n">
        <f aca="false">'Смета Внутр'!E1492</f>
        <v>34</v>
      </c>
      <c r="F1485" s="1004" t="n">
        <f aca="false">'Смета Внутр'!F1492</f>
        <v>0</v>
      </c>
      <c r="G1485" s="1004" t="n">
        <f aca="false">IF(E1485&gt;F1485,E1485,F1485)</f>
        <v>34</v>
      </c>
      <c r="H1485" s="1004" t="n">
        <f aca="false">'Смета Внутр'!G1492</f>
        <v>9114.186022477</v>
      </c>
      <c r="I1485" s="1004" t="n">
        <f aca="false">'Смета Внутр'!H1492</f>
        <v>0</v>
      </c>
      <c r="J1485" s="1018" t="n">
        <f aca="false">'Смета Внутр'!I1492</f>
        <v>0</v>
      </c>
    </row>
    <row r="1486" customFormat="false" ht="15" hidden="false" customHeight="true" outlineLevel="0" collapsed="false">
      <c r="B1486" s="1004" t="str">
        <f aca="false">'Смета Внутр'!B1493</f>
        <v>Мембрана Tyvek AirGuard Reflective</v>
      </c>
      <c r="C1486" s="1004" t="str">
        <f aca="false">'Смета Внутр'!C1493</f>
        <v>м2</v>
      </c>
      <c r="D1486" s="1018" t="n">
        <f aca="false">'Смета Внутр'!D1493</f>
        <v>268.064294778735</v>
      </c>
      <c r="E1486" s="1004" t="n">
        <f aca="false">'Смета Внутр'!E1493</f>
        <v>174</v>
      </c>
      <c r="F1486" s="1004" t="n">
        <f aca="false">'Смета Внутр'!F1493</f>
        <v>0</v>
      </c>
      <c r="G1486" s="1004" t="n">
        <f aca="false">IF(E1486&gt;F1486,E1486,F1486)</f>
        <v>174</v>
      </c>
      <c r="H1486" s="1004" t="n">
        <f aca="false">'Смета Внутр'!G1493</f>
        <v>46643.1872914999</v>
      </c>
      <c r="I1486" s="1004" t="n">
        <f aca="false">'Смета Внутр'!H1493</f>
        <v>0</v>
      </c>
      <c r="J1486" s="1018" t="n">
        <f aca="false">'Смета Внутр'!I1493</f>
        <v>0</v>
      </c>
    </row>
    <row r="1487" customFormat="false" ht="15" hidden="false" customHeight="true" outlineLevel="0" collapsed="false">
      <c r="B1487" s="1004" t="str">
        <f aca="false">'Смета Внутр'!B1494</f>
        <v>Плитный,28кг/м3, технониколь, 200мм</v>
      </c>
      <c r="C1487" s="1004" t="str">
        <f aca="false">'Смета Внутр'!C1494</f>
        <v>м3</v>
      </c>
      <c r="D1487" s="1018" t="n">
        <f aca="false">'Смета Внутр'!D1494</f>
        <v>38.294899254105</v>
      </c>
      <c r="E1487" s="1004" t="n">
        <f aca="false">'Смета Внутр'!E1494</f>
        <v>1700</v>
      </c>
      <c r="F1487" s="1004" t="n">
        <f aca="false">'Смета Внутр'!F1494</f>
        <v>0</v>
      </c>
      <c r="G1487" s="1004" t="n">
        <f aca="false">IF(E1487&gt;F1487,E1487,F1487)</f>
        <v>1700</v>
      </c>
      <c r="H1487" s="1004" t="n">
        <f aca="false">'Смета Внутр'!G1494</f>
        <v>65101.3287319786</v>
      </c>
      <c r="I1487" s="1004" t="n">
        <f aca="false">'Смета Внутр'!H1494</f>
        <v>0</v>
      </c>
      <c r="J1487" s="1018" t="n">
        <f aca="false">'Смета Внутр'!I1494</f>
        <v>0</v>
      </c>
    </row>
    <row r="1488" customFormat="false" ht="15" hidden="false" customHeight="true" outlineLevel="0" collapsed="false">
      <c r="B1488" s="1004" t="str">
        <f aca="false">'Смета Внутр'!B1495</f>
        <v>металлочерепица</v>
      </c>
      <c r="C1488" s="1004" t="str">
        <f aca="false">'Смета Внутр'!C1495</f>
        <v>м2</v>
      </c>
      <c r="D1488" s="1018" t="n">
        <f aca="false">'Смета Внутр'!D1495</f>
        <v>268.064294778735</v>
      </c>
      <c r="E1488" s="1004" t="n">
        <f aca="false">'Смета Внутр'!E1495</f>
        <v>250</v>
      </c>
      <c r="F1488" s="1004" t="n">
        <f aca="false">'Смета Внутр'!F1495</f>
        <v>0</v>
      </c>
      <c r="G1488" s="1004" t="n">
        <f aca="false">IF(E1488&gt;F1488,E1488,F1488)</f>
        <v>250</v>
      </c>
      <c r="H1488" s="1004" t="n">
        <f aca="false">'Смета Внутр'!G1495</f>
        <v>67016.0736946838</v>
      </c>
      <c r="I1488" s="1004" t="n">
        <f aca="false">'Смета Внутр'!H1495</f>
        <v>0</v>
      </c>
      <c r="J1488" s="1018" t="n">
        <f aca="false">'Смета Внутр'!I1495</f>
        <v>0</v>
      </c>
    </row>
    <row r="1489" customFormat="false" ht="15" hidden="false" customHeight="true" outlineLevel="0" collapsed="false">
      <c r="B1489" s="1004" t="str">
        <f aca="false">'Смета Внутр'!B1496</f>
        <v>Конек</v>
      </c>
      <c r="C1489" s="1004" t="str">
        <f aca="false">'Смета Внутр'!C1496</f>
        <v>м.п.</v>
      </c>
      <c r="D1489" s="1018" t="n">
        <f aca="false">'Смета Внутр'!D1496</f>
        <v>39.350000802913</v>
      </c>
      <c r="E1489" s="1004" t="n">
        <f aca="false">'Смета Внутр'!E1496</f>
        <v>200</v>
      </c>
      <c r="F1489" s="1004" t="n">
        <f aca="false">'Смета Внутр'!F1496</f>
        <v>0</v>
      </c>
      <c r="G1489" s="1004" t="n">
        <f aca="false">IF(E1489&gt;F1489,E1489,F1489)</f>
        <v>200</v>
      </c>
      <c r="H1489" s="1004" t="n">
        <f aca="false">'Смета Внутр'!G1496</f>
        <v>7870.0001605826</v>
      </c>
      <c r="I1489" s="1004" t="n">
        <f aca="false">'Смета Внутр'!H1496</f>
        <v>0</v>
      </c>
      <c r="J1489" s="1018" t="n">
        <f aca="false">'Смета Внутр'!I1496</f>
        <v>0</v>
      </c>
    </row>
    <row r="1490" customFormat="false" ht="15" hidden="false" customHeight="true" outlineLevel="0" collapsed="false">
      <c r="B1490" s="1004" t="str">
        <f aca="false">'Смета Внутр'!B1497</f>
        <v>Карнизная планка</v>
      </c>
      <c r="C1490" s="1004" t="str">
        <f aca="false">'Смета Внутр'!C1497</f>
        <v>м.п.</v>
      </c>
      <c r="D1490" s="1018" t="n">
        <f aca="false">'Смета Внутр'!D1497</f>
        <v>88</v>
      </c>
      <c r="E1490" s="1004" t="n">
        <f aca="false">'Смета Внутр'!E1497</f>
        <v>190</v>
      </c>
      <c r="F1490" s="1004" t="n">
        <f aca="false">'Смета Внутр'!F1497</f>
        <v>0</v>
      </c>
      <c r="G1490" s="1004" t="n">
        <f aca="false">IF(E1490&gt;F1490,E1490,F1490)</f>
        <v>190</v>
      </c>
      <c r="H1490" s="1004" t="n">
        <f aca="false">'Смета Внутр'!G1497</f>
        <v>16720</v>
      </c>
      <c r="I1490" s="1004" t="n">
        <f aca="false">'Смета Внутр'!H1497</f>
        <v>0</v>
      </c>
      <c r="J1490" s="1018" t="n">
        <f aca="false">'Смета Внутр'!I1497</f>
        <v>0</v>
      </c>
    </row>
    <row r="1491" customFormat="false" ht="15" hidden="false" customHeight="true" outlineLevel="0" collapsed="false">
      <c r="B1491" s="1004" t="str">
        <f aca="false">'Смета Внутр'!B1498</f>
        <v>ондулин</v>
      </c>
      <c r="C1491" s="1004" t="str">
        <f aca="false">'Смета Внутр'!C1498</f>
        <v>м2</v>
      </c>
      <c r="D1491" s="1018" t="n">
        <f aca="false">'Смета Внутр'!D1498</f>
        <v>0</v>
      </c>
      <c r="E1491" s="1004" t="n">
        <f aca="false">'Смета Внутр'!E1498</f>
        <v>180</v>
      </c>
      <c r="F1491" s="1004" t="n">
        <f aca="false">'Смета Внутр'!F1498</f>
        <v>0</v>
      </c>
      <c r="G1491" s="1004" t="n">
        <f aca="false">IF(E1491&gt;F1491,E1491,F1491)</f>
        <v>180</v>
      </c>
      <c r="H1491" s="1004" t="n">
        <f aca="false">'Смета Внутр'!G1498</f>
        <v>0</v>
      </c>
      <c r="I1491" s="1004" t="n">
        <f aca="false">'Смета Внутр'!H1498</f>
        <v>0</v>
      </c>
      <c r="J1491" s="1018" t="n">
        <f aca="false">'Смета Внутр'!I1498</f>
        <v>0</v>
      </c>
    </row>
    <row r="1492" customFormat="false" ht="15" hidden="false" customHeight="true" outlineLevel="0" collapsed="false">
      <c r="B1492" s="1004" t="str">
        <f aca="false">'Смета Внутр'!B1499</f>
        <v>Карнизная планка</v>
      </c>
      <c r="C1492" s="1004" t="str">
        <f aca="false">'Смета Внутр'!C1499</f>
        <v>м.п.</v>
      </c>
      <c r="D1492" s="1018" t="n">
        <f aca="false">'Смета Внутр'!D1499</f>
        <v>0</v>
      </c>
      <c r="E1492" s="1004" t="n">
        <f aca="false">'Смета Внутр'!E1499</f>
        <v>190</v>
      </c>
      <c r="F1492" s="1004" t="n">
        <f aca="false">'Смета Внутр'!F1499</f>
        <v>0</v>
      </c>
      <c r="G1492" s="1004" t="n">
        <f aca="false">IF(E1492&gt;F1492,E1492,F1492)</f>
        <v>190</v>
      </c>
      <c r="H1492" s="1004" t="n">
        <f aca="false">'Смета Внутр'!G1499</f>
        <v>0</v>
      </c>
      <c r="I1492" s="1004" t="n">
        <f aca="false">'Смета Внутр'!H1499</f>
        <v>0</v>
      </c>
      <c r="J1492" s="1018" t="n">
        <f aca="false">'Смета Внутр'!I1499</f>
        <v>0</v>
      </c>
    </row>
    <row r="1493" customFormat="false" ht="15" hidden="false" customHeight="true" outlineLevel="0" collapsed="false">
      <c r="B1493" s="1004" t="str">
        <f aca="false">'Смета Внутр'!B1500</f>
        <v>Конек</v>
      </c>
      <c r="C1493" s="1004" t="str">
        <f aca="false">'Смета Внутр'!C1500</f>
        <v>м.п.</v>
      </c>
      <c r="D1493" s="1018" t="n">
        <f aca="false">'Смета Внутр'!D1500</f>
        <v>0</v>
      </c>
      <c r="E1493" s="1004" t="n">
        <f aca="false">'Смета Внутр'!E1500</f>
        <v>200</v>
      </c>
      <c r="F1493" s="1004" t="n">
        <f aca="false">'Смета Внутр'!F1500</f>
        <v>0</v>
      </c>
      <c r="G1493" s="1004" t="n">
        <f aca="false">IF(E1493&gt;F1493,E1493,F1493)</f>
        <v>200</v>
      </c>
      <c r="H1493" s="1004" t="n">
        <f aca="false">'Смета Внутр'!G1500</f>
        <v>0</v>
      </c>
      <c r="I1493" s="1004" t="n">
        <f aca="false">'Смета Внутр'!H1500</f>
        <v>0</v>
      </c>
      <c r="J1493" s="1018" t="n">
        <f aca="false">'Смета Внутр'!I1500</f>
        <v>0</v>
      </c>
    </row>
    <row r="1494" customFormat="false" ht="15" hidden="false" customHeight="true" outlineLevel="0" collapsed="false">
      <c r="B1494" s="1004" t="str">
        <f aca="false">'Смета Внутр'!B1501</f>
        <v>Крепеж для ондулина</v>
      </c>
      <c r="C1494" s="1004" t="str">
        <f aca="false">'Смета Внутр'!C1501</f>
        <v>шт</v>
      </c>
      <c r="D1494" s="1018" t="n">
        <f aca="false">'Смета Внутр'!D1501</f>
        <v>0</v>
      </c>
      <c r="E1494" s="1004" t="n">
        <f aca="false">'Смета Внутр'!E1501</f>
        <v>4.5</v>
      </c>
      <c r="F1494" s="1004" t="n">
        <f aca="false">'Смета Внутр'!F1501</f>
        <v>0</v>
      </c>
      <c r="G1494" s="1004" t="n">
        <f aca="false">IF(E1494&gt;F1494,E1494,F1494)</f>
        <v>4.5</v>
      </c>
      <c r="H1494" s="1004" t="n">
        <f aca="false">'Смета Внутр'!G1501</f>
        <v>0</v>
      </c>
      <c r="I1494" s="1004" t="n">
        <f aca="false">'Смета Внутр'!H1501</f>
        <v>0</v>
      </c>
      <c r="J1494" s="1018" t="n">
        <f aca="false">'Смета Внутр'!I1501</f>
        <v>0</v>
      </c>
    </row>
    <row r="1495" customFormat="false" ht="15" hidden="false" customHeight="true" outlineLevel="0" collapsed="false">
      <c r="B1495" s="1004" t="str">
        <f aca="false">'Смета Внутр'!B1502</f>
        <v>нет</v>
      </c>
      <c r="C1495" s="1004" t="str">
        <f aca="false">'Смета Внутр'!C1502</f>
        <v>м2</v>
      </c>
      <c r="D1495" s="1018" t="n">
        <f aca="false">'Смета Внутр'!D1502</f>
        <v>268.064294778735</v>
      </c>
      <c r="E1495" s="1004" t="n">
        <f aca="false">'Смета Внутр'!E1502</f>
        <v>0</v>
      </c>
      <c r="F1495" s="1004" t="n">
        <f aca="false">'Смета Внутр'!F1502</f>
        <v>0</v>
      </c>
      <c r="G1495" s="1004" t="n">
        <f aca="false">IF(E1495&gt;F1495,E1495,F1495)</f>
        <v>0</v>
      </c>
      <c r="H1495" s="1004" t="n">
        <f aca="false">'Смета Внутр'!G1502</f>
        <v>0</v>
      </c>
      <c r="I1495" s="1004" t="n">
        <f aca="false">'Смета Внутр'!H1502</f>
        <v>0</v>
      </c>
      <c r="J1495" s="1018" t="n">
        <f aca="false">'Смета Внутр'!I1502</f>
        <v>0</v>
      </c>
    </row>
    <row r="1496" customFormat="false" ht="15" hidden="false" customHeight="true" outlineLevel="0" collapsed="false">
      <c r="B1496" s="1004" t="str">
        <f aca="false">'Смета Внутр'!B1503</f>
        <v>Рядовая черепица</v>
      </c>
      <c r="C1496" s="1004" t="str">
        <f aca="false">'Смета Внутр'!C1503</f>
        <v>м.п.</v>
      </c>
      <c r="D1496" s="1018" t="n">
        <f aca="false">'Смета Внутр'!D1503</f>
        <v>0</v>
      </c>
      <c r="E1496" s="1004" t="n">
        <f aca="false">'Смета Внутр'!E1503</f>
        <v>360</v>
      </c>
      <c r="F1496" s="1004" t="n">
        <f aca="false">'Смета Внутр'!F1503</f>
        <v>0</v>
      </c>
      <c r="G1496" s="1004" t="n">
        <f aca="false">IF(E1496&gt;F1496,E1496,F1496)</f>
        <v>360</v>
      </c>
      <c r="H1496" s="1004" t="n">
        <f aca="false">'Смета Внутр'!G1503</f>
        <v>0</v>
      </c>
      <c r="I1496" s="1004" t="n">
        <f aca="false">'Смета Внутр'!H1503</f>
        <v>0</v>
      </c>
      <c r="J1496" s="1018" t="n">
        <f aca="false">'Смета Внутр'!I1503</f>
        <v>0</v>
      </c>
    </row>
    <row r="1497" customFormat="false" ht="15" hidden="false" customHeight="true" outlineLevel="0" collapsed="false">
      <c r="B1497" s="1004" t="str">
        <f aca="false">'Смета Внутр'!B1504</f>
        <v>Металл оцинк защита (карниз)</v>
      </c>
      <c r="C1497" s="1004" t="str">
        <f aca="false">'Смета Внутр'!C1504</f>
        <v>м.п.</v>
      </c>
      <c r="D1497" s="1018" t="n">
        <f aca="false">'Смета Внутр'!D1504</f>
        <v>0</v>
      </c>
      <c r="E1497" s="1004" t="n">
        <f aca="false">'Смета Внутр'!E1504</f>
        <v>200</v>
      </c>
      <c r="F1497" s="1004" t="n">
        <f aca="false">'Смета Внутр'!F1504</f>
        <v>0</v>
      </c>
      <c r="G1497" s="1004" t="n">
        <f aca="false">IF(E1497&gt;F1497,E1497,F1497)</f>
        <v>200</v>
      </c>
      <c r="H1497" s="1004" t="n">
        <f aca="false">'Смета Внутр'!G1504</f>
        <v>0</v>
      </c>
      <c r="I1497" s="1004" t="n">
        <f aca="false">'Смета Внутр'!H1504</f>
        <v>0</v>
      </c>
      <c r="J1497" s="1018" t="n">
        <f aca="false">'Смета Внутр'!I1504</f>
        <v>0</v>
      </c>
    </row>
    <row r="1498" customFormat="false" ht="15" hidden="false" customHeight="true" outlineLevel="0" collapsed="false">
      <c r="B1498" s="1004" t="str">
        <f aca="false">'Смета Внутр'!B1505</f>
        <v>Подкладочный ковер</v>
      </c>
      <c r="C1498" s="1004" t="str">
        <f aca="false">'Смета Внутр'!C1505</f>
        <v>м2</v>
      </c>
      <c r="D1498" s="1018" t="n">
        <f aca="false">'Смета Внутр'!D1505</f>
        <v>0</v>
      </c>
      <c r="E1498" s="1004" t="n">
        <f aca="false">'Смета Внутр'!E1505</f>
        <v>220</v>
      </c>
      <c r="F1498" s="1004" t="n">
        <f aca="false">'Смета Внутр'!F1505</f>
        <v>0</v>
      </c>
      <c r="G1498" s="1004" t="n">
        <f aca="false">IF(E1498&gt;F1498,E1498,F1498)</f>
        <v>220</v>
      </c>
      <c r="H1498" s="1004" t="n">
        <f aca="false">'Смета Внутр'!G1505</f>
        <v>0</v>
      </c>
      <c r="I1498" s="1004" t="n">
        <f aca="false">'Смета Внутр'!H1505</f>
        <v>0</v>
      </c>
      <c r="J1498" s="1018" t="n">
        <f aca="false">'Смета Внутр'!I1505</f>
        <v>0</v>
      </c>
    </row>
    <row r="1499" customFormat="false" ht="15" hidden="false" customHeight="true" outlineLevel="0" collapsed="false">
      <c r="B1499" s="1004" t="str">
        <f aca="false">'Смета Внутр'!B1506</f>
        <v>Карнизная самоклеющаяся черепица</v>
      </c>
      <c r="C1499" s="1004" t="str">
        <f aca="false">'Смета Внутр'!C1506</f>
        <v>м2</v>
      </c>
      <c r="D1499" s="1018" t="n">
        <f aca="false">'Смета Внутр'!D1506</f>
        <v>0</v>
      </c>
      <c r="E1499" s="1004" t="n">
        <f aca="false">'Смета Внутр'!E1506</f>
        <v>220</v>
      </c>
      <c r="F1499" s="1004" t="n">
        <f aca="false">'Смета Внутр'!F1506</f>
        <v>0</v>
      </c>
      <c r="G1499" s="1004" t="n">
        <f aca="false">IF(E1499&gt;F1499,E1499,F1499)</f>
        <v>220</v>
      </c>
      <c r="H1499" s="1004" t="n">
        <f aca="false">'Смета Внутр'!G1506</f>
        <v>0</v>
      </c>
      <c r="I1499" s="1004" t="n">
        <f aca="false">'Смета Внутр'!H1506</f>
        <v>0</v>
      </c>
      <c r="J1499" s="1018" t="n">
        <f aca="false">'Смета Внутр'!I1506</f>
        <v>0</v>
      </c>
    </row>
    <row r="1500" customFormat="false" ht="15" hidden="false" customHeight="true" outlineLevel="0" collapsed="false">
      <c r="B1500" s="1004" t="str">
        <f aca="false">'Смета Внутр'!B1507</f>
        <v>Спец ковер ендова нижняя</v>
      </c>
      <c r="C1500" s="1004" t="str">
        <f aca="false">'Смета Внутр'!C1507</f>
        <v>м.п</v>
      </c>
      <c r="D1500" s="1018" t="n">
        <f aca="false">'Смета Внутр'!D1507</f>
        <v>0</v>
      </c>
      <c r="E1500" s="1004" t="n">
        <f aca="false">'Смета Внутр'!E1507</f>
        <v>200</v>
      </c>
      <c r="F1500" s="1004" t="n">
        <f aca="false">'Смета Внутр'!F1507</f>
        <v>0</v>
      </c>
      <c r="G1500" s="1004" t="n">
        <f aca="false">IF(E1500&gt;F1500,E1500,F1500)</f>
        <v>200</v>
      </c>
      <c r="H1500" s="1004" t="n">
        <f aca="false">'Смета Внутр'!G1507</f>
        <v>0</v>
      </c>
      <c r="I1500" s="1004" t="n">
        <f aca="false">'Смета Внутр'!H1507</f>
        <v>0</v>
      </c>
      <c r="J1500" s="1018" t="n">
        <f aca="false">'Смета Внутр'!I1507</f>
        <v>0</v>
      </c>
    </row>
    <row r="1501" customFormat="false" ht="15" hidden="false" customHeight="true" outlineLevel="0" collapsed="false">
      <c r="B1501" s="1004" t="str">
        <f aca="false">'Смета Внутр'!B1508</f>
        <v>Коньковой элемент</v>
      </c>
      <c r="C1501" s="1004" t="str">
        <f aca="false">'Смета Внутр'!C1508</f>
        <v>м.п</v>
      </c>
      <c r="D1501" s="1018" t="n">
        <f aca="false">'Смета Внутр'!D1508</f>
        <v>0</v>
      </c>
      <c r="E1501" s="1004" t="n">
        <f aca="false">'Смета Внутр'!E1508</f>
        <v>250</v>
      </c>
      <c r="F1501" s="1004" t="n">
        <f aca="false">'Смета Внутр'!F1508</f>
        <v>0</v>
      </c>
      <c r="G1501" s="1004" t="n">
        <f aca="false">IF(E1501&gt;F1501,E1501,F1501)</f>
        <v>250</v>
      </c>
      <c r="H1501" s="1004" t="n">
        <f aca="false">'Смета Внутр'!G1508</f>
        <v>0</v>
      </c>
      <c r="I1501" s="1004" t="n">
        <f aca="false">'Смета Внутр'!H1508</f>
        <v>0</v>
      </c>
      <c r="J1501" s="1018" t="n">
        <f aca="false">'Смета Внутр'!I1508</f>
        <v>0</v>
      </c>
    </row>
    <row r="1502" customFormat="false" ht="15" hidden="false" customHeight="true" outlineLevel="0" collapsed="false">
      <c r="B1502" s="1004" t="str">
        <f aca="false">'Смета Внутр'!B1509</f>
        <v>Планка премыкания</v>
      </c>
      <c r="C1502" s="1004" t="str">
        <f aca="false">'Смета Внутр'!C1509</f>
        <v>м.п.</v>
      </c>
      <c r="D1502" s="1018" t="n">
        <f aca="false">'Смета Внутр'!D1509</f>
        <v>0</v>
      </c>
      <c r="E1502" s="1004" t="n">
        <f aca="false">'Смета Внутр'!E1509</f>
        <v>200</v>
      </c>
      <c r="F1502" s="1004" t="n">
        <f aca="false">'Смета Внутр'!F1509</f>
        <v>0</v>
      </c>
      <c r="G1502" s="1004" t="n">
        <f aca="false">IF(E1502&gt;F1502,E1502,F1502)</f>
        <v>200</v>
      </c>
      <c r="H1502" s="1004" t="n">
        <f aca="false">'Смета Внутр'!G1509</f>
        <v>0</v>
      </c>
      <c r="I1502" s="1004" t="n">
        <f aca="false">'Смета Внутр'!H1509</f>
        <v>0</v>
      </c>
      <c r="J1502" s="1018" t="n">
        <f aca="false">'Смета Внутр'!I1509</f>
        <v>0</v>
      </c>
    </row>
    <row r="1503" customFormat="false" ht="15" hidden="false" customHeight="true" outlineLevel="0" collapsed="false">
      <c r="B1503" s="1004" t="str">
        <f aca="false">'Смета Внутр'!B1510</f>
        <v>Гвозди для крепления подкладочного ковра</v>
      </c>
      <c r="C1503" s="1004" t="str">
        <f aca="false">'Смета Внутр'!C1510</f>
        <v>шт</v>
      </c>
      <c r="D1503" s="1018" t="n">
        <f aca="false">'Смета Внутр'!D1510</f>
        <v>0</v>
      </c>
      <c r="E1503" s="1004" t="n">
        <f aca="false">'Смета Внутр'!E1510</f>
        <v>0.012</v>
      </c>
      <c r="F1503" s="1004" t="n">
        <f aca="false">'Смета Внутр'!F1510</f>
        <v>0</v>
      </c>
      <c r="G1503" s="1004" t="n">
        <f aca="false">IF(E1503&gt;F1503,E1503,F1503)</f>
        <v>0.012</v>
      </c>
      <c r="H1503" s="1004" t="n">
        <f aca="false">'Смета Внутр'!G1510</f>
        <v>0</v>
      </c>
      <c r="I1503" s="1004" t="n">
        <f aca="false">'Смета Внутр'!H1510</f>
        <v>0</v>
      </c>
      <c r="J1503" s="1018" t="n">
        <f aca="false">'Смета Внутр'!I1510</f>
        <v>0</v>
      </c>
    </row>
    <row r="1504" customFormat="false" ht="15" hidden="false" customHeight="true" outlineLevel="0" collapsed="false">
      <c r="B1504" s="1004" t="str">
        <f aca="false">'Смета Внутр'!B1511</f>
        <v>Гвозди для крепления черепицы</v>
      </c>
      <c r="C1504" s="1004" t="str">
        <f aca="false">'Смета Внутр'!C1511</f>
        <v>шт</v>
      </c>
      <c r="D1504" s="1018" t="n">
        <f aca="false">'Смета Внутр'!D1511</f>
        <v>0</v>
      </c>
      <c r="E1504" s="1004" t="n">
        <f aca="false">'Смета Внутр'!E1511</f>
        <v>0.25</v>
      </c>
      <c r="F1504" s="1004" t="n">
        <f aca="false">'Смета Внутр'!F1511</f>
        <v>0</v>
      </c>
      <c r="G1504" s="1004" t="n">
        <f aca="false">IF(E1504&gt;F1504,E1504,F1504)</f>
        <v>0.25</v>
      </c>
      <c r="H1504" s="1004" t="n">
        <f aca="false">'Смета Внутр'!G1511</f>
        <v>0</v>
      </c>
      <c r="I1504" s="1004" t="n">
        <f aca="false">'Смета Внутр'!H1511</f>
        <v>0</v>
      </c>
      <c r="J1504" s="1018" t="n">
        <f aca="false">'Смета Внутр'!I1511</f>
        <v>0</v>
      </c>
    </row>
    <row r="1505" customFormat="false" ht="15" hidden="false" customHeight="true" outlineLevel="0" collapsed="false">
      <c r="B1505" s="1004" t="str">
        <f aca="false">'Смета Внутр'!B1512</f>
        <v>Клей для монтажа черепицы</v>
      </c>
      <c r="C1505" s="1004" t="str">
        <f aca="false">'Смета Внутр'!C1512</f>
        <v>кг</v>
      </c>
      <c r="D1505" s="1018" t="n">
        <f aca="false">'Смета Внутр'!D1512</f>
        <v>0</v>
      </c>
      <c r="E1505" s="1004" t="n">
        <f aca="false">'Смета Внутр'!E1512</f>
        <v>250</v>
      </c>
      <c r="F1505" s="1004" t="n">
        <f aca="false">'Смета Внутр'!F1512</f>
        <v>0</v>
      </c>
      <c r="G1505" s="1004" t="n">
        <f aca="false">IF(E1505&gt;F1505,E1505,F1505)</f>
        <v>250</v>
      </c>
      <c r="H1505" s="1004" t="n">
        <f aca="false">'Смета Внутр'!G1512</f>
        <v>0</v>
      </c>
      <c r="I1505" s="1004" t="n">
        <f aca="false">'Смета Внутр'!H1512</f>
        <v>0</v>
      </c>
      <c r="J1505" s="1018" t="n">
        <f aca="false">'Смета Внутр'!I1512</f>
        <v>0</v>
      </c>
    </row>
    <row r="1506" customFormat="false" ht="15" hidden="false" customHeight="true" outlineLevel="0" collapsed="false">
      <c r="B1506" s="1004" t="str">
        <f aca="false">'Смета Внутр'!B1513</f>
        <v>желоб</v>
      </c>
      <c r="C1506" s="1004" t="str">
        <f aca="false">'Смета Внутр'!C1513</f>
        <v>м.п</v>
      </c>
      <c r="D1506" s="1018" t="n">
        <f aca="false">'Смета Внутр'!D1513</f>
        <v>42</v>
      </c>
      <c r="E1506" s="1004" t="n">
        <f aca="false">'Смета Внутр'!E1513</f>
        <v>300</v>
      </c>
      <c r="F1506" s="1004" t="n">
        <f aca="false">'Смета Внутр'!F1513</f>
        <v>0</v>
      </c>
      <c r="G1506" s="1004" t="n">
        <f aca="false">IF(E1506&gt;F1506,E1506,F1506)</f>
        <v>300</v>
      </c>
      <c r="H1506" s="1004" t="n">
        <f aca="false">'Смета Внутр'!G1513</f>
        <v>12600</v>
      </c>
      <c r="I1506" s="1004" t="n">
        <f aca="false">'Смета Внутр'!H1513</f>
        <v>0</v>
      </c>
      <c r="J1506" s="1018" t="n">
        <f aca="false">'Смета Внутр'!I1513</f>
        <v>0</v>
      </c>
    </row>
    <row r="1507" customFormat="false" ht="15" hidden="false" customHeight="true" outlineLevel="0" collapsed="false">
      <c r="B1507" s="1004" t="str">
        <f aca="false">'Смета Внутр'!B1514</f>
        <v>отвод</v>
      </c>
      <c r="C1507" s="1004" t="str">
        <f aca="false">'Смета Внутр'!C1514</f>
        <v>шт</v>
      </c>
      <c r="D1507" s="1018" t="n">
        <f aca="false">'Смета Внутр'!D1514</f>
        <v>4</v>
      </c>
      <c r="E1507" s="1004" t="n">
        <f aca="false">'Смета Внутр'!E1514</f>
        <v>250</v>
      </c>
      <c r="F1507" s="1004" t="n">
        <f aca="false">'Смета Внутр'!F1514</f>
        <v>0</v>
      </c>
      <c r="G1507" s="1004" t="n">
        <f aca="false">IF(E1507&gt;F1507,E1507,F1507)</f>
        <v>250</v>
      </c>
      <c r="H1507" s="1004" t="n">
        <f aca="false">'Смета Внутр'!G1514</f>
        <v>1000</v>
      </c>
      <c r="I1507" s="1004" t="n">
        <f aca="false">'Смета Внутр'!H1514</f>
        <v>0</v>
      </c>
      <c r="J1507" s="1018" t="n">
        <f aca="false">'Смета Внутр'!I1514</f>
        <v>0</v>
      </c>
    </row>
    <row r="1508" customFormat="false" ht="15" hidden="false" customHeight="true" outlineLevel="0" collapsed="false">
      <c r="B1508" s="1004" t="str">
        <f aca="false">'Смета Внутр'!B1515</f>
        <v>труба водосточная</v>
      </c>
      <c r="C1508" s="1004" t="str">
        <f aca="false">'Смета Внутр'!C1515</f>
        <v>м.п.</v>
      </c>
      <c r="D1508" s="1018" t="n">
        <f aca="false">'Смета Внутр'!D1515</f>
        <v>6.6</v>
      </c>
      <c r="E1508" s="1004" t="n">
        <f aca="false">'Смета Внутр'!E1515</f>
        <v>300</v>
      </c>
      <c r="F1508" s="1004" t="n">
        <f aca="false">'Смета Внутр'!F1515</f>
        <v>0</v>
      </c>
      <c r="G1508" s="1004" t="n">
        <f aca="false">IF(E1508&gt;F1508,E1508,F1508)</f>
        <v>300</v>
      </c>
      <c r="H1508" s="1004" t="n">
        <f aca="false">'Смета Внутр'!G1515</f>
        <v>1980</v>
      </c>
      <c r="I1508" s="1004" t="n">
        <f aca="false">'Смета Внутр'!H1515</f>
        <v>0</v>
      </c>
      <c r="J1508" s="1018" t="n">
        <f aca="false">'Смета Внутр'!I1515</f>
        <v>0</v>
      </c>
    </row>
    <row r="1509" customFormat="false" ht="15" hidden="false" customHeight="true" outlineLevel="0" collapsed="false">
      <c r="B1509" s="1004" t="str">
        <f aca="false">'Смета Внутр'!B1516</f>
        <v>заглушка для желоба</v>
      </c>
      <c r="C1509" s="1004" t="str">
        <f aca="false">'Смета Внутр'!C1516</f>
        <v>шт</v>
      </c>
      <c r="D1509" s="1018" t="n">
        <f aca="false">'Смета Внутр'!D1516</f>
        <v>4</v>
      </c>
      <c r="E1509" s="1004" t="n">
        <f aca="false">'Смета Внутр'!E1516</f>
        <v>190</v>
      </c>
      <c r="F1509" s="1004" t="n">
        <f aca="false">'Смета Внутр'!F1516</f>
        <v>0</v>
      </c>
      <c r="G1509" s="1004" t="n">
        <f aca="false">IF(E1509&gt;F1509,E1509,F1509)</f>
        <v>190</v>
      </c>
      <c r="H1509" s="1004" t="n">
        <f aca="false">'Смета Внутр'!G1516</f>
        <v>760</v>
      </c>
      <c r="I1509" s="1004" t="n">
        <f aca="false">'Смета Внутр'!H1516</f>
        <v>0</v>
      </c>
      <c r="J1509" s="1018" t="n">
        <f aca="false">'Смета Внутр'!I1516</f>
        <v>0</v>
      </c>
    </row>
    <row r="1510" customFormat="false" ht="15" hidden="false" customHeight="true" outlineLevel="0" collapsed="false">
      <c r="B1510" s="1004" t="str">
        <f aca="false">'Смета Внутр'!B1517</f>
        <v>соеденитель для желоба</v>
      </c>
      <c r="C1510" s="1004" t="str">
        <f aca="false">'Смета Внутр'!C1517</f>
        <v>шт</v>
      </c>
      <c r="D1510" s="1018" t="n">
        <f aca="false">'Смета Внутр'!D1517</f>
        <v>15</v>
      </c>
      <c r="E1510" s="1004" t="n">
        <f aca="false">'Смета Внутр'!E1517</f>
        <v>180</v>
      </c>
      <c r="F1510" s="1004" t="n">
        <f aca="false">'Смета Внутр'!F1517</f>
        <v>0</v>
      </c>
      <c r="G1510" s="1004" t="n">
        <f aca="false">IF(E1510&gt;F1510,E1510,F1510)</f>
        <v>180</v>
      </c>
      <c r="H1510" s="1004" t="n">
        <f aca="false">'Смета Внутр'!G1517</f>
        <v>2700</v>
      </c>
      <c r="I1510" s="1004" t="n">
        <f aca="false">'Смета Внутр'!H1517</f>
        <v>0</v>
      </c>
      <c r="J1510" s="1018" t="n">
        <f aca="false">'Смета Внутр'!I1517</f>
        <v>0</v>
      </c>
    </row>
    <row r="1511" customFormat="false" ht="15" hidden="false" customHeight="true" outlineLevel="0" collapsed="false">
      <c r="B1511" s="1004" t="str">
        <f aca="false">'Смета Внутр'!B1518</f>
        <v>кронштейн для желоба</v>
      </c>
      <c r="C1511" s="1004" t="str">
        <f aca="false">'Смета Внутр'!C1518</f>
        <v>шт</v>
      </c>
      <c r="D1511" s="1018" t="n">
        <f aca="false">'Смета Внутр'!D1518</f>
        <v>140</v>
      </c>
      <c r="E1511" s="1004" t="n">
        <f aca="false">'Смета Внутр'!E1518</f>
        <v>130</v>
      </c>
      <c r="F1511" s="1004" t="n">
        <f aca="false">'Смета Внутр'!F1518</f>
        <v>0</v>
      </c>
      <c r="G1511" s="1004" t="n">
        <f aca="false">IF(E1511&gt;F1511,E1511,F1511)</f>
        <v>130</v>
      </c>
      <c r="H1511" s="1004" t="n">
        <f aca="false">'Смета Внутр'!G1518</f>
        <v>18200</v>
      </c>
      <c r="I1511" s="1004" t="n">
        <f aca="false">'Смета Внутр'!H1518</f>
        <v>0</v>
      </c>
      <c r="J1511" s="1018" t="n">
        <f aca="false">'Смета Внутр'!I1518</f>
        <v>0</v>
      </c>
    </row>
    <row r="1512" customFormat="false" ht="15" hidden="false" customHeight="true" outlineLevel="0" collapsed="false">
      <c r="B1512" s="1004" t="str">
        <f aca="false">'Смета Внутр'!B1519</f>
        <v>переход из желоба в трубу</v>
      </c>
      <c r="C1512" s="1004" t="str">
        <f aca="false">'Смета Внутр'!C1519</f>
        <v>шт</v>
      </c>
      <c r="D1512" s="1018" t="n">
        <f aca="false">'Смета Внутр'!D1519</f>
        <v>2</v>
      </c>
      <c r="E1512" s="1004" t="n">
        <f aca="false">'Смета Внутр'!E1519</f>
        <v>350</v>
      </c>
      <c r="F1512" s="1004" t="n">
        <f aca="false">'Смета Внутр'!F1519</f>
        <v>0</v>
      </c>
      <c r="G1512" s="1004" t="n">
        <f aca="false">IF(E1512&gt;F1512,E1512,F1512)</f>
        <v>350</v>
      </c>
      <c r="H1512" s="1004" t="n">
        <f aca="false">'Смета Внутр'!G1519</f>
        <v>700</v>
      </c>
      <c r="I1512" s="1004" t="n">
        <f aca="false">'Смета Внутр'!H1519</f>
        <v>0</v>
      </c>
      <c r="J1512" s="1018" t="n">
        <f aca="false">'Смета Внутр'!I1519</f>
        <v>0</v>
      </c>
    </row>
    <row r="1513" customFormat="false" ht="15" hidden="false" customHeight="true" outlineLevel="0" collapsed="false">
      <c r="B1513" s="1004" t="str">
        <f aca="false">'Смета Внутр'!B1520</f>
        <v>лента дельта мульти бэнд</v>
      </c>
      <c r="C1513" s="1004" t="str">
        <f aca="false">'Смета Внутр'!C1520</f>
        <v>шт</v>
      </c>
      <c r="D1513" s="1018" t="n">
        <f aca="false">'Смета Внутр'!D1520</f>
        <v>1</v>
      </c>
      <c r="E1513" s="1004" t="n">
        <f aca="false">'Смета Внутр'!E1520</f>
        <v>1200</v>
      </c>
      <c r="F1513" s="1004" t="n">
        <f aca="false">'Смета Внутр'!F1520</f>
        <v>0</v>
      </c>
      <c r="G1513" s="1004" t="n">
        <f aca="false">IF(E1513&gt;F1513,E1513,F1513)</f>
        <v>1200</v>
      </c>
      <c r="H1513" s="1004" t="n">
        <f aca="false">'Смета Внутр'!G1520</f>
        <v>1200</v>
      </c>
      <c r="I1513" s="1004" t="n">
        <f aca="false">'Смета Внутр'!H1520</f>
        <v>0</v>
      </c>
      <c r="J1513" s="1018" t="n">
        <f aca="false">'Смета Внутр'!I1520</f>
        <v>0</v>
      </c>
    </row>
    <row r="1514" customFormat="false" ht="15" hidden="false" customHeight="true" outlineLevel="0" collapsed="false">
      <c r="B1514" s="1004" t="str">
        <f aca="false">'Смета Внутр'!B1521</f>
        <v>лента дельта sb-60</v>
      </c>
      <c r="C1514" s="1004" t="str">
        <f aca="false">'Смета Внутр'!C1521</f>
        <v>шт</v>
      </c>
      <c r="D1514" s="1018" t="n">
        <f aca="false">'Смета Внутр'!D1521</f>
        <v>12.764966418035</v>
      </c>
      <c r="E1514" s="1004" t="n">
        <f aca="false">'Смета Внутр'!E1521</f>
        <v>1100</v>
      </c>
      <c r="F1514" s="1004" t="n">
        <f aca="false">'Смета Внутр'!F1521</f>
        <v>0</v>
      </c>
      <c r="G1514" s="1004" t="n">
        <f aca="false">IF(E1514&gt;F1514,E1514,F1514)</f>
        <v>1100</v>
      </c>
      <c r="H1514" s="1004" t="n">
        <f aca="false">'Смета Внутр'!G1521</f>
        <v>14041.4630598385</v>
      </c>
      <c r="I1514" s="1004" t="n">
        <f aca="false">'Смета Внутр'!H1521</f>
        <v>0</v>
      </c>
      <c r="J1514" s="1018" t="n">
        <f aca="false">'Смета Внутр'!I1521</f>
        <v>0</v>
      </c>
    </row>
    <row r="1515" customFormat="false" ht="15" hidden="false" customHeight="true" outlineLevel="0" collapsed="false">
      <c r="B1515" s="1004" t="str">
        <f aca="false">'Смета Внутр'!B1522</f>
        <v>проходка кровельная, канализационная</v>
      </c>
      <c r="C1515" s="1004" t="str">
        <f aca="false">'Смета Внутр'!C1522</f>
        <v>шт</v>
      </c>
      <c r="D1515" s="1018" t="n">
        <f aca="false">'Смета Внутр'!D1522</f>
        <v>0</v>
      </c>
      <c r="E1515" s="1004" t="n">
        <f aca="false">'Смета Внутр'!E1522</f>
        <v>3500</v>
      </c>
      <c r="F1515" s="1004" t="n">
        <f aca="false">'Смета Внутр'!F1522</f>
        <v>0</v>
      </c>
      <c r="G1515" s="1004" t="n">
        <f aca="false">IF(E1515&gt;F1515,E1515,F1515)</f>
        <v>3500</v>
      </c>
      <c r="H1515" s="1004" t="n">
        <f aca="false">'Смета Внутр'!G1522</f>
        <v>0</v>
      </c>
      <c r="I1515" s="1004" t="n">
        <f aca="false">'Смета Внутр'!H1522</f>
        <v>0</v>
      </c>
      <c r="J1515" s="1018" t="n">
        <f aca="false">'Смета Внутр'!I1522</f>
        <v>0</v>
      </c>
    </row>
    <row r="1516" customFormat="false" ht="15" hidden="false" customHeight="true" outlineLevel="0" collapsed="false">
      <c r="B1516" s="1004" t="str">
        <f aca="false">'Смета Внутр'!B1523</f>
        <v>проходка кровельная, вентиляционная</v>
      </c>
      <c r="C1516" s="1004" t="str">
        <f aca="false">'Смета Внутр'!C1523</f>
        <v>шт</v>
      </c>
      <c r="D1516" s="1018" t="n">
        <f aca="false">'Смета Внутр'!D1523</f>
        <v>0</v>
      </c>
      <c r="E1516" s="1004" t="n">
        <f aca="false">'Смета Внутр'!E1523</f>
        <v>3500</v>
      </c>
      <c r="F1516" s="1004" t="n">
        <f aca="false">'Смета Внутр'!F1523</f>
        <v>0</v>
      </c>
      <c r="G1516" s="1004" t="n">
        <f aca="false">IF(E1516&gt;F1516,E1516,F1516)</f>
        <v>3500</v>
      </c>
      <c r="H1516" s="1004" t="n">
        <f aca="false">'Смета Внутр'!G1523</f>
        <v>0</v>
      </c>
      <c r="I1516" s="1004" t="n">
        <f aca="false">'Смета Внутр'!H1523</f>
        <v>0</v>
      </c>
      <c r="J1516" s="1018" t="n">
        <f aca="false">'Смета Внутр'!I1523</f>
        <v>0</v>
      </c>
    </row>
    <row r="1517" customFormat="false" ht="15" hidden="false" customHeight="true" outlineLevel="0" collapsed="false">
      <c r="B1517" s="1004" t="str">
        <f aca="false">'Смета Внутр'!B1524</f>
        <v>проодка кровельная, труба котел</v>
      </c>
      <c r="C1517" s="1004" t="str">
        <f aca="false">'Смета Внутр'!C1524</f>
        <v>шт</v>
      </c>
      <c r="D1517" s="1018" t="n">
        <f aca="false">'Смета Внутр'!D1524</f>
        <v>0</v>
      </c>
      <c r="E1517" s="1004" t="n">
        <f aca="false">'Смета Внутр'!E1524</f>
        <v>4500</v>
      </c>
      <c r="F1517" s="1004" t="n">
        <f aca="false">'Смета Внутр'!F1524</f>
        <v>0</v>
      </c>
      <c r="G1517" s="1004" t="n">
        <f aca="false">IF(E1517&gt;F1517,E1517,F1517)</f>
        <v>4500</v>
      </c>
      <c r="H1517" s="1004" t="n">
        <f aca="false">'Смета Внутр'!G1524</f>
        <v>0</v>
      </c>
      <c r="I1517" s="1004" t="n">
        <f aca="false">'Смета Внутр'!H1524</f>
        <v>0</v>
      </c>
      <c r="J1517" s="1018" t="n">
        <f aca="false">'Смета Внутр'!I1524</f>
        <v>0</v>
      </c>
    </row>
    <row r="1518" customFormat="false" ht="15" hidden="false" customHeight="true" outlineLevel="0" collapsed="false">
      <c r="B1518" s="1004" t="str">
        <f aca="false">'Смета Внутр'!B1525</f>
        <v>Кровельный саморез</v>
      </c>
      <c r="C1518" s="1004" t="str">
        <f aca="false">'Смета Внутр'!C1525</f>
        <v>шт</v>
      </c>
      <c r="D1518" s="1018" t="n">
        <f aca="false">'Смета Внутр'!D1525</f>
        <v>2297.6939552463</v>
      </c>
      <c r="E1518" s="1004" t="n">
        <f aca="false">'Смета Внутр'!E1525</f>
        <v>2</v>
      </c>
      <c r="F1518" s="1004" t="n">
        <f aca="false">'Смета Внутр'!F1525</f>
        <v>0</v>
      </c>
      <c r="G1518" s="1004" t="n">
        <f aca="false">IF(E1518&gt;F1518,E1518,F1518)</f>
        <v>2</v>
      </c>
      <c r="H1518" s="1004" t="n">
        <f aca="false">'Смета Внутр'!G1525</f>
        <v>4595.38791049261</v>
      </c>
      <c r="I1518" s="1004" t="n">
        <f aca="false">'Смета Внутр'!H1525</f>
        <v>0</v>
      </c>
      <c r="J1518" s="1018" t="n">
        <f aca="false">'Смета Внутр'!I1525</f>
        <v>0</v>
      </c>
    </row>
    <row r="1519" customFormat="false" ht="15" hidden="false" customHeight="true" outlineLevel="0" collapsed="false">
      <c r="B1519" s="1004" t="str">
        <f aca="false">'Смета Внутр'!B1526</f>
        <v>Гвозди ершоные 3,4 x 60</v>
      </c>
      <c r="C1519" s="1004" t="str">
        <f aca="false">'Смета Внутр'!C1526</f>
        <v>кг</v>
      </c>
      <c r="D1519" s="1018" t="n">
        <f aca="false">'Смета Внутр'!D1526</f>
        <v>36.1886797951293</v>
      </c>
      <c r="E1519" s="1004" t="n">
        <f aca="false">'Смета Внутр'!E1526</f>
        <v>75.51</v>
      </c>
      <c r="F1519" s="1004" t="n">
        <f aca="false">'Смета Внутр'!F1526</f>
        <v>0</v>
      </c>
      <c r="G1519" s="1004" t="n">
        <f aca="false">IF(E1519&gt;F1519,E1519,F1519)</f>
        <v>75.51</v>
      </c>
      <c r="H1519" s="1004" t="n">
        <f aca="false">'Смета Внутр'!G1526</f>
        <v>2732.60721133021</v>
      </c>
      <c r="I1519" s="1004" t="n">
        <f aca="false">'Смета Внутр'!H1526</f>
        <v>0</v>
      </c>
      <c r="J1519" s="1018" t="n">
        <f aca="false">'Смета Внутр'!I1526</f>
        <v>0</v>
      </c>
    </row>
    <row r="1520" customFormat="false" ht="15" hidden="false" customHeight="true" outlineLevel="0" collapsed="false">
      <c r="B1520" s="1004" t="str">
        <f aca="false">'Смета Внутр'!B1527</f>
        <v>Гвозди строительные 3,5 x 90</v>
      </c>
      <c r="C1520" s="1004" t="str">
        <f aca="false">'Смета Внутр'!C1527</f>
        <v>кг</v>
      </c>
      <c r="D1520" s="1018" t="n">
        <f aca="false">'Смета Внутр'!D1527</f>
        <v>27.7274392603173</v>
      </c>
      <c r="E1520" s="1004" t="n">
        <f aca="false">'Смета Внутр'!E1527</f>
        <v>76.49</v>
      </c>
      <c r="F1520" s="1004" t="n">
        <f aca="false">'Смета Внутр'!F1527</f>
        <v>0</v>
      </c>
      <c r="G1520" s="1004" t="n">
        <f aca="false">IF(E1520&gt;F1520,E1520,F1520)</f>
        <v>76.49</v>
      </c>
      <c r="H1520" s="1004" t="n">
        <f aca="false">'Смета Внутр'!G1527</f>
        <v>2120.87182902167</v>
      </c>
      <c r="I1520" s="1004" t="n">
        <f aca="false">'Смета Внутр'!H1527</f>
        <v>0</v>
      </c>
      <c r="J1520" s="1018" t="n">
        <f aca="false">'Смета Внутр'!I1527</f>
        <v>0</v>
      </c>
    </row>
    <row r="1521" customFormat="false" ht="15" hidden="false" customHeight="true" outlineLevel="0" collapsed="false">
      <c r="B1521" s="1004" t="str">
        <f aca="false">'Смета Внутр'!B1528</f>
        <v>Пластина соеденительная 100х240х2</v>
      </c>
      <c r="C1521" s="1004" t="str">
        <f aca="false">'Смета Внутр'!C1528</f>
        <v>шт</v>
      </c>
      <c r="D1521" s="1018" t="n">
        <f aca="false">'Смета Внутр'!D1528</f>
        <v>27.3534994672179</v>
      </c>
      <c r="E1521" s="1004" t="n">
        <f aca="false">'Смета Внутр'!E1528</f>
        <v>31.54</v>
      </c>
      <c r="F1521" s="1004" t="n">
        <f aca="false">'Смета Внутр'!F1528</f>
        <v>0</v>
      </c>
      <c r="G1521" s="1004" t="n">
        <f aca="false">IF(E1521&gt;F1521,E1521,F1521)</f>
        <v>31.54</v>
      </c>
      <c r="H1521" s="1004" t="n">
        <f aca="false">'Смета Внутр'!G1528</f>
        <v>862.729373196052</v>
      </c>
      <c r="I1521" s="1004" t="n">
        <f aca="false">'Смета Внутр'!H1528</f>
        <v>0</v>
      </c>
      <c r="J1521" s="1018" t="n">
        <f aca="false">'Смета Внутр'!I1528</f>
        <v>0</v>
      </c>
    </row>
    <row r="1522" customFormat="false" ht="15" hidden="false" customHeight="true" outlineLevel="0" collapsed="false">
      <c r="B1522" s="1004" t="str">
        <f aca="false">'Смета Внутр'!B1529</f>
        <v>Уголок усиленный 90х70х55х2,5</v>
      </c>
      <c r="C1522" s="1004" t="str">
        <f aca="false">'Смета Внутр'!C1529</f>
        <v>шт</v>
      </c>
      <c r="D1522" s="1018" t="n">
        <f aca="false">'Смета Внутр'!D1529</f>
        <v>382.94899254105</v>
      </c>
      <c r="E1522" s="1004" t="n">
        <f aca="false">'Смета Внутр'!E1529</f>
        <v>30</v>
      </c>
      <c r="F1522" s="1004" t="n">
        <f aca="false">'Смета Внутр'!F1529</f>
        <v>0</v>
      </c>
      <c r="G1522" s="1004" t="n">
        <f aca="false">IF(E1522&gt;F1522,E1522,F1522)</f>
        <v>30</v>
      </c>
      <c r="H1522" s="1004" t="n">
        <f aca="false">'Смета Внутр'!G1529</f>
        <v>11488.4697762315</v>
      </c>
      <c r="I1522" s="1004" t="n">
        <f aca="false">'Смета Внутр'!H1529</f>
        <v>0</v>
      </c>
      <c r="J1522" s="1018" t="n">
        <f aca="false">'Смета Внутр'!I1529</f>
        <v>0</v>
      </c>
    </row>
    <row r="1523" customFormat="false" ht="14.5" hidden="false" customHeight="false" outlineLevel="0" collapsed="false">
      <c r="B1523" s="2927" t="str">
        <f aca="false">'Смета Внутр'!B1530</f>
        <v>Итого материалы</v>
      </c>
      <c r="C1523" s="2927"/>
      <c r="D1523" s="2927"/>
      <c r="E1523" s="2927"/>
      <c r="F1523" s="2927"/>
      <c r="G1523" s="2927"/>
      <c r="H1523" s="1004" t="n">
        <f aca="false">'Смета Внутр'!G1530</f>
        <v>0</v>
      </c>
      <c r="I1523" s="1004" t="n">
        <f aca="false">'Смета Внутр'!H1530</f>
        <v>0</v>
      </c>
      <c r="J1523" s="1018" t="n">
        <f aca="false">'Смета Внутр'!I1530</f>
        <v>0</v>
      </c>
    </row>
    <row r="1524" customFormat="false" ht="15" hidden="false" customHeight="true" outlineLevel="0" collapsed="false">
      <c r="B1524" s="2881" t="str">
        <f aca="false">'Смета Внутр'!B1531</f>
        <v>Работы</v>
      </c>
      <c r="D1524" s="919"/>
      <c r="H1524" s="0" t="n">
        <f aca="false">'Смета Внутр'!G1531</f>
        <v>0</v>
      </c>
      <c r="I1524" s="0" t="n">
        <f aca="false">'Смета Внутр'!H1531</f>
        <v>0</v>
      </c>
      <c r="J1524" s="2926" t="n">
        <f aca="false">'Смета Внутр'!I1531</f>
        <v>0</v>
      </c>
    </row>
    <row r="1525" customFormat="false" ht="15" hidden="false" customHeight="true" outlineLevel="0" collapsed="false">
      <c r="B1525" s="1004" t="str">
        <f aca="false">'Смета Внутр'!B1532</f>
        <v>монтаж мауэрлат</v>
      </c>
      <c r="C1525" s="1004" t="str">
        <f aca="false">'Смета Внутр'!C1532</f>
        <v>м.п.</v>
      </c>
      <c r="D1525" s="1018" t="n">
        <f aca="false">'Смета Внутр'!D1532</f>
        <v>40</v>
      </c>
      <c r="E1525" s="1004" t="n">
        <f aca="false">'Смета Внутр'!E1532</f>
        <v>250</v>
      </c>
      <c r="F1525" s="1004" t="n">
        <f aca="false">'Смета Внутр'!F1532</f>
        <v>0</v>
      </c>
      <c r="G1525" s="1004" t="n">
        <f aca="false">IF(E1525&gt;F1525,E1525,F1525)</f>
        <v>250</v>
      </c>
      <c r="H1525" s="1004" t="n">
        <f aca="false">'Смета Внутр'!G1532</f>
        <v>10000</v>
      </c>
      <c r="I1525" s="1004" t="n">
        <f aca="false">'Смета Внутр'!H1532</f>
        <v>0</v>
      </c>
      <c r="J1525" s="1018" t="n">
        <f aca="false">'Смета Внутр'!I1532</f>
        <v>0</v>
      </c>
    </row>
    <row r="1526" customFormat="false" ht="15" hidden="false" customHeight="true" outlineLevel="0" collapsed="false">
      <c r="B1526" s="1004" t="str">
        <f aca="false">'Смета Внутр'!B1533</f>
        <v>монтаж стропил</v>
      </c>
      <c r="C1526" s="1004" t="str">
        <f aca="false">'Смета Внутр'!C1533</f>
        <v>м2</v>
      </c>
      <c r="D1526" s="1018" t="n">
        <f aca="false">'Смета Внутр'!D1533</f>
        <v>191.474496270525</v>
      </c>
      <c r="E1526" s="1004" t="n">
        <f aca="false">'Смета Внутр'!E1533</f>
        <v>450</v>
      </c>
      <c r="F1526" s="1004" t="n">
        <f aca="false">'Смета Внутр'!F1533</f>
        <v>0</v>
      </c>
      <c r="G1526" s="1004" t="n">
        <f aca="false">IF(E1526&gt;F1526,E1526,F1526)</f>
        <v>450</v>
      </c>
      <c r="H1526" s="1004" t="n">
        <f aca="false">'Смета Внутр'!G1533</f>
        <v>86163.5233217363</v>
      </c>
      <c r="I1526" s="1004" t="n">
        <f aca="false">'Смета Внутр'!H1533</f>
        <v>0</v>
      </c>
      <c r="J1526" s="1018" t="n">
        <f aca="false">'Смета Внутр'!I1533</f>
        <v>0</v>
      </c>
    </row>
    <row r="1527" customFormat="false" ht="15" hidden="false" customHeight="true" outlineLevel="0" collapsed="false">
      <c r="B1527" s="1004" t="str">
        <f aca="false">'Смета Внутр'!B1534</f>
        <v>обрешетка</v>
      </c>
      <c r="C1527" s="1004" t="str">
        <f aca="false">'Смета Внутр'!C1534</f>
        <v>м2</v>
      </c>
      <c r="D1527" s="1018" t="n">
        <f aca="false">'Смета Внутр'!D1534</f>
        <v>191.474496270525</v>
      </c>
      <c r="E1527" s="1004" t="n">
        <f aca="false">'Смета Внутр'!E1534</f>
        <v>100</v>
      </c>
      <c r="F1527" s="1004" t="n">
        <f aca="false">'Смета Внутр'!F1534</f>
        <v>0</v>
      </c>
      <c r="G1527" s="1004" t="n">
        <f aca="false">IF(E1527&gt;F1527,E1527,F1527)</f>
        <v>100</v>
      </c>
      <c r="H1527" s="1004" t="n">
        <f aca="false">'Смета Внутр'!G1534</f>
        <v>19147.4496270525</v>
      </c>
      <c r="I1527" s="1004" t="n">
        <f aca="false">'Смета Внутр'!H1534</f>
        <v>0</v>
      </c>
      <c r="J1527" s="1018" t="n">
        <f aca="false">'Смета Внутр'!I1534</f>
        <v>0</v>
      </c>
    </row>
    <row r="1528" customFormat="false" ht="15" hidden="false" customHeight="true" outlineLevel="0" collapsed="false">
      <c r="B1528" s="1004" t="str">
        <f aca="false">'Смета Внутр'!B1535</f>
        <v>контробеш</v>
      </c>
      <c r="C1528" s="1004" t="str">
        <f aca="false">'Смета Внутр'!C1535</f>
        <v>м2</v>
      </c>
      <c r="D1528" s="1018" t="n">
        <f aca="false">'Смета Внутр'!D1535</f>
        <v>191.474496270525</v>
      </c>
      <c r="E1528" s="1004" t="n">
        <f aca="false">'Смета Внутр'!E1535</f>
        <v>100</v>
      </c>
      <c r="F1528" s="1004" t="n">
        <f aca="false">'Смета Внутр'!F1535</f>
        <v>0</v>
      </c>
      <c r="G1528" s="1004" t="n">
        <f aca="false">IF(E1528&gt;F1528,E1528,F1528)</f>
        <v>100</v>
      </c>
      <c r="H1528" s="1004" t="n">
        <f aca="false">'Смета Внутр'!G1535</f>
        <v>19147.4496270525</v>
      </c>
      <c r="I1528" s="1004" t="n">
        <f aca="false">'Смета Внутр'!H1535</f>
        <v>0</v>
      </c>
      <c r="J1528" s="1018" t="n">
        <f aca="false">'Смета Внутр'!I1535</f>
        <v>0</v>
      </c>
    </row>
    <row r="1529" customFormat="false" ht="15" hidden="false" customHeight="true" outlineLevel="0" collapsed="false">
      <c r="B1529" s="1004" t="str">
        <f aca="false">'Смета Внутр'!B1536</f>
        <v>мембрана</v>
      </c>
      <c r="C1529" s="1004" t="str">
        <f aca="false">'Смета Внутр'!C1536</f>
        <v>м2</v>
      </c>
      <c r="D1529" s="1018" t="n">
        <f aca="false">'Смета Внутр'!D1536</f>
        <v>191.474496270525</v>
      </c>
      <c r="E1529" s="1004" t="n">
        <f aca="false">'Смета Внутр'!E1536</f>
        <v>100</v>
      </c>
      <c r="F1529" s="1004" t="n">
        <f aca="false">'Смета Внутр'!F1536</f>
        <v>0</v>
      </c>
      <c r="G1529" s="1004" t="n">
        <f aca="false">IF(E1529&gt;F1529,E1529,F1529)</f>
        <v>100</v>
      </c>
      <c r="H1529" s="1004" t="n">
        <f aca="false">'Смета Внутр'!G1536</f>
        <v>19147.4496270525</v>
      </c>
      <c r="I1529" s="1004" t="n">
        <f aca="false">'Смета Внутр'!H1536</f>
        <v>0</v>
      </c>
      <c r="J1529" s="1018" t="n">
        <f aca="false">'Смета Внутр'!I1536</f>
        <v>0</v>
      </c>
    </row>
    <row r="1530" customFormat="false" ht="15" hidden="false" customHeight="true" outlineLevel="0" collapsed="false">
      <c r="B1530" s="1004" t="str">
        <f aca="false">'Смета Внутр'!B1537</f>
        <v>пароизоляц</v>
      </c>
      <c r="C1530" s="1004" t="str">
        <f aca="false">'Смета Внутр'!C1537</f>
        <v>м2</v>
      </c>
      <c r="D1530" s="1018" t="n">
        <f aca="false">'Смета Внутр'!D1537</f>
        <v>191.474496270525</v>
      </c>
      <c r="E1530" s="1004" t="n">
        <f aca="false">'Смета Внутр'!E1537</f>
        <v>100</v>
      </c>
      <c r="F1530" s="1004" t="n">
        <f aca="false">'Смета Внутр'!F1537</f>
        <v>0</v>
      </c>
      <c r="G1530" s="1004" t="n">
        <f aca="false">IF(E1530&gt;F1530,E1530,F1530)</f>
        <v>100</v>
      </c>
      <c r="H1530" s="1004" t="n">
        <f aca="false">'Смета Внутр'!G1537</f>
        <v>19147.4496270525</v>
      </c>
      <c r="I1530" s="1004" t="n">
        <f aca="false">'Смета Внутр'!H1537</f>
        <v>0</v>
      </c>
      <c r="J1530" s="1018" t="n">
        <f aca="false">'Смета Внутр'!I1537</f>
        <v>0</v>
      </c>
    </row>
    <row r="1531" customFormat="false" ht="15" hidden="false" customHeight="true" outlineLevel="0" collapsed="false">
      <c r="B1531" s="1004" t="str">
        <f aca="false">'Смета Внутр'!B1538</f>
        <v>утеплитель</v>
      </c>
      <c r="C1531" s="1004" t="str">
        <f aca="false">'Смета Внутр'!C1538</f>
        <v>м2</v>
      </c>
      <c r="D1531" s="1018" t="n">
        <f aca="false">'Смета Внутр'!D1538</f>
        <v>191.474496270525</v>
      </c>
      <c r="E1531" s="1004" t="n">
        <f aca="false">'Смета Внутр'!E1538</f>
        <v>200</v>
      </c>
      <c r="F1531" s="1004" t="n">
        <f aca="false">'Смета Внутр'!F1538</f>
        <v>0</v>
      </c>
      <c r="G1531" s="1004" t="n">
        <f aca="false">IF(E1531&gt;F1531,E1531,F1531)</f>
        <v>200</v>
      </c>
      <c r="H1531" s="1004" t="n">
        <f aca="false">'Смета Внутр'!G1538</f>
        <v>38294.899254105</v>
      </c>
      <c r="I1531" s="1004" t="n">
        <f aca="false">'Смета Внутр'!H1538</f>
        <v>0</v>
      </c>
      <c r="J1531" s="1018" t="n">
        <f aca="false">'Смета Внутр'!I1538</f>
        <v>0</v>
      </c>
    </row>
    <row r="1532" customFormat="false" ht="15" hidden="false" customHeight="true" outlineLevel="0" collapsed="false">
      <c r="B1532" s="1004" t="str">
        <f aca="false">'Смета Внутр'!B1539</f>
        <v>Монтаж металлочерепицы</v>
      </c>
      <c r="C1532" s="1004" t="str">
        <f aca="false">'Смета Внутр'!C1539</f>
        <v>м2</v>
      </c>
      <c r="D1532" s="1018" t="n">
        <f aca="false">'Смета Внутр'!D1539</f>
        <v>174.067723882296</v>
      </c>
      <c r="E1532" s="1004" t="n">
        <f aca="false">'Смета Внутр'!E1539</f>
        <v>300</v>
      </c>
      <c r="F1532" s="1004" t="n">
        <f aca="false">'Смета Внутр'!F1539</f>
        <v>0</v>
      </c>
      <c r="G1532" s="1004" t="n">
        <f aca="false">IF(E1532&gt;F1532,E1532,F1532)</f>
        <v>300</v>
      </c>
      <c r="H1532" s="1004" t="n">
        <f aca="false">'Смета Внутр'!G1539</f>
        <v>52220.3171646887</v>
      </c>
      <c r="I1532" s="1004" t="n">
        <f aca="false">'Смета Внутр'!H1539</f>
        <v>0</v>
      </c>
      <c r="J1532" s="1018" t="n">
        <f aca="false">'Смета Внутр'!I1539</f>
        <v>0</v>
      </c>
    </row>
    <row r="1533" customFormat="false" ht="15" hidden="false" customHeight="true" outlineLevel="0" collapsed="false">
      <c r="B1533" s="1004" t="str">
        <f aca="false">'Смета Внутр'!B1540</f>
        <v>Монтаж ондулина</v>
      </c>
      <c r="C1533" s="1004" t="str">
        <f aca="false">'Смета Внутр'!C1540</f>
        <v>м2</v>
      </c>
      <c r="D1533" s="1018" t="n">
        <f aca="false">'Смета Внутр'!D1540</f>
        <v>0</v>
      </c>
      <c r="E1533" s="1004" t="n">
        <f aca="false">'Смета Внутр'!E1540</f>
        <v>300</v>
      </c>
      <c r="F1533" s="1004" t="n">
        <f aca="false">'Смета Внутр'!F1540</f>
        <v>0</v>
      </c>
      <c r="G1533" s="1004" t="n">
        <f aca="false">IF(E1533&gt;F1533,E1533,F1533)</f>
        <v>300</v>
      </c>
      <c r="H1533" s="1004" t="n">
        <f aca="false">'Смета Внутр'!G1540</f>
        <v>0</v>
      </c>
      <c r="I1533" s="1004" t="n">
        <f aca="false">'Смета Внутр'!H1540</f>
        <v>0</v>
      </c>
      <c r="J1533" s="1018" t="n">
        <f aca="false">'Смета Внутр'!I1540</f>
        <v>0</v>
      </c>
    </row>
    <row r="1534" customFormat="false" ht="15" hidden="false" customHeight="true" outlineLevel="0" collapsed="false">
      <c r="B1534" s="1004" t="str">
        <f aca="false">'Смета Внутр'!B1541</f>
        <v>капельник планка</v>
      </c>
      <c r="C1534" s="1004" t="str">
        <f aca="false">'Смета Внутр'!C1541</f>
        <v>м.п.</v>
      </c>
      <c r="D1534" s="1018" t="n">
        <f aca="false">'Смета Внутр'!D1541</f>
        <v>88</v>
      </c>
      <c r="E1534" s="1004" t="n">
        <f aca="false">'Смета Внутр'!E1541</f>
        <v>100</v>
      </c>
      <c r="F1534" s="1004" t="n">
        <f aca="false">'Смета Внутр'!F1541</f>
        <v>0</v>
      </c>
      <c r="G1534" s="1004" t="n">
        <f aca="false">IF(E1534&gt;F1534,E1534,F1534)</f>
        <v>100</v>
      </c>
      <c r="H1534" s="1004" t="n">
        <f aca="false">'Смета Внутр'!G1541</f>
        <v>8800</v>
      </c>
      <c r="I1534" s="1004" t="n">
        <f aca="false">'Смета Внутр'!H1541</f>
        <v>0</v>
      </c>
      <c r="J1534" s="1018" t="n">
        <f aca="false">'Смета Внутр'!I1541</f>
        <v>0</v>
      </c>
    </row>
    <row r="1535" customFormat="false" ht="15" hidden="false" customHeight="true" outlineLevel="0" collapsed="false">
      <c r="B1535" s="1004" t="str">
        <f aca="false">'Смета Внутр'!B1542</f>
        <v>желоб водосточный</v>
      </c>
      <c r="C1535" s="1004" t="str">
        <f aca="false">'Смета Внутр'!C1542</f>
        <v>м.п.</v>
      </c>
      <c r="D1535" s="1018" t="n">
        <f aca="false">'Смета Внутр'!D1542</f>
        <v>42</v>
      </c>
      <c r="E1535" s="1004" t="n">
        <f aca="false">'Смета Внутр'!E1542</f>
        <v>300</v>
      </c>
      <c r="F1535" s="1004" t="n">
        <f aca="false">'Смета Внутр'!F1542</f>
        <v>0</v>
      </c>
      <c r="G1535" s="1004" t="n">
        <f aca="false">IF(E1535&gt;F1535,E1535,F1535)</f>
        <v>300</v>
      </c>
      <c r="H1535" s="1004" t="n">
        <f aca="false">'Смета Внутр'!G1542</f>
        <v>12600</v>
      </c>
      <c r="I1535" s="1004" t="n">
        <f aca="false">'Смета Внутр'!H1542</f>
        <v>0</v>
      </c>
      <c r="J1535" s="1018" t="n">
        <f aca="false">'Смета Внутр'!I1542</f>
        <v>0</v>
      </c>
    </row>
    <row r="1536" customFormat="false" ht="15" hidden="false" customHeight="true" outlineLevel="0" collapsed="false">
      <c r="B1536" s="1004" t="str">
        <f aca="false">'Смета Внутр'!B1543</f>
        <v>труба водосточная</v>
      </c>
      <c r="C1536" s="1004" t="str">
        <f aca="false">'Смета Внутр'!C1543</f>
        <v>м.п.</v>
      </c>
      <c r="D1536" s="1018" t="n">
        <f aca="false">'Смета Внутр'!D1543</f>
        <v>6.6</v>
      </c>
      <c r="E1536" s="1004" t="n">
        <f aca="false">'Смета Внутр'!E1543</f>
        <v>300</v>
      </c>
      <c r="F1536" s="1004" t="n">
        <f aca="false">'Смета Внутр'!F1543</f>
        <v>0</v>
      </c>
      <c r="G1536" s="1004" t="n">
        <f aca="false">IF(E1536&gt;F1536,E1536,F1536)</f>
        <v>300</v>
      </c>
      <c r="H1536" s="1004" t="n">
        <f aca="false">'Смета Внутр'!G1543</f>
        <v>1980</v>
      </c>
      <c r="I1536" s="1004" t="n">
        <f aca="false">'Смета Внутр'!H1543</f>
        <v>0</v>
      </c>
      <c r="J1536" s="1018" t="n">
        <f aca="false">'Смета Внутр'!I1543</f>
        <v>0</v>
      </c>
    </row>
    <row r="1537" customFormat="false" ht="15" hidden="false" customHeight="true" outlineLevel="0" collapsed="false">
      <c r="B1537" s="1004" t="str">
        <f aca="false">'Смета Внутр'!B1544</f>
        <v>конек</v>
      </c>
      <c r="C1537" s="1004" t="str">
        <f aca="false">'Смета Внутр'!C1544</f>
        <v>м.п.</v>
      </c>
      <c r="D1537" s="1018" t="n">
        <f aca="false">'Смета Внутр'!D1544</f>
        <v>39.350000802913</v>
      </c>
      <c r="E1537" s="1004" t="n">
        <f aca="false">'Смета Внутр'!E1544</f>
        <v>300</v>
      </c>
      <c r="F1537" s="1004" t="n">
        <f aca="false">'Смета Внутр'!F1544</f>
        <v>0</v>
      </c>
      <c r="G1537" s="1004" t="n">
        <f aca="false">IF(E1537&gt;F1537,E1537,F1537)</f>
        <v>300</v>
      </c>
      <c r="H1537" s="1004" t="n">
        <f aca="false">'Смета Внутр'!G1544</f>
        <v>11805.0002408739</v>
      </c>
      <c r="I1537" s="1004" t="n">
        <f aca="false">'Смета Внутр'!H1544</f>
        <v>0</v>
      </c>
      <c r="J1537" s="1018" t="n">
        <f aca="false">'Смета Внутр'!I1544</f>
        <v>0</v>
      </c>
    </row>
    <row r="1538" customFormat="false" ht="15" hidden="false" customHeight="true" outlineLevel="0" collapsed="false">
      <c r="B1538" s="1004" t="str">
        <f aca="false">'Смета Внутр'!B1545</f>
        <v>Монтаж фанеры/osb</v>
      </c>
      <c r="C1538" s="1004" t="str">
        <f aca="false">'Смета Внутр'!C1545</f>
        <v>м2</v>
      </c>
      <c r="D1538" s="1018" t="n">
        <f aca="false">'Смета Внутр'!D1545</f>
        <v>0</v>
      </c>
      <c r="E1538" s="1004" t="n">
        <f aca="false">'Смета Внутр'!E1545</f>
        <v>200</v>
      </c>
      <c r="F1538" s="1004" t="n">
        <f aca="false">'Смета Внутр'!F1545</f>
        <v>0</v>
      </c>
      <c r="G1538" s="1004" t="n">
        <f aca="false">IF(E1538&gt;F1538,E1538,F1538)</f>
        <v>200</v>
      </c>
      <c r="H1538" s="1004" t="n">
        <f aca="false">'Смета Внутр'!G1545</f>
        <v>0</v>
      </c>
      <c r="I1538" s="1004" t="n">
        <f aca="false">'Смета Внутр'!H1545</f>
        <v>0</v>
      </c>
      <c r="J1538" s="1018" t="n">
        <f aca="false">'Смета Внутр'!I1545</f>
        <v>0</v>
      </c>
    </row>
    <row r="1539" customFormat="false" ht="15" hidden="false" customHeight="true" outlineLevel="0" collapsed="false">
      <c r="B1539" s="1004" t="str">
        <f aca="false">'Смета Внутр'!B1546</f>
        <v>монтаж подкладочного ковра</v>
      </c>
      <c r="C1539" s="1004" t="str">
        <f aca="false">'Смета Внутр'!C1546</f>
        <v>м2</v>
      </c>
      <c r="D1539" s="1018" t="n">
        <f aca="false">'Смета Внутр'!D1546</f>
        <v>0</v>
      </c>
      <c r="E1539" s="1004" t="n">
        <f aca="false">'Смета Внутр'!E1546</f>
        <v>150</v>
      </c>
      <c r="F1539" s="1004" t="n">
        <f aca="false">'Смета Внутр'!F1546</f>
        <v>0</v>
      </c>
      <c r="G1539" s="1004" t="n">
        <f aca="false">IF(E1539&gt;F1539,E1539,F1539)</f>
        <v>150</v>
      </c>
      <c r="H1539" s="1004" t="n">
        <f aca="false">'Смета Внутр'!G1546</f>
        <v>0</v>
      </c>
      <c r="I1539" s="1004" t="n">
        <f aca="false">'Смета Внутр'!H1546</f>
        <v>0</v>
      </c>
      <c r="J1539" s="1018" t="n">
        <f aca="false">'Смета Внутр'!I1546</f>
        <v>0</v>
      </c>
    </row>
    <row r="1540" customFormat="false" ht="15" hidden="false" customHeight="true" outlineLevel="0" collapsed="false">
      <c r="B1540" s="1004" t="str">
        <f aca="false">'Смета Внутр'!B1547</f>
        <v>Монтаж мягкой кровли</v>
      </c>
      <c r="C1540" s="1004" t="str">
        <f aca="false">'Смета Внутр'!C1547</f>
        <v>м2</v>
      </c>
      <c r="D1540" s="1018" t="n">
        <f aca="false">'Смета Внутр'!D1547</f>
        <v>0</v>
      </c>
      <c r="E1540" s="1004" t="n">
        <f aca="false">'Смета Внутр'!E1547</f>
        <v>350</v>
      </c>
      <c r="F1540" s="1004" t="n">
        <f aca="false">'Смета Внутр'!F1547</f>
        <v>0</v>
      </c>
      <c r="G1540" s="1004" t="n">
        <f aca="false">IF(E1540&gt;F1540,E1540,F1540)</f>
        <v>350</v>
      </c>
      <c r="H1540" s="1004" t="n">
        <f aca="false">'Смета Внутр'!G1547</f>
        <v>0</v>
      </c>
      <c r="I1540" s="1004" t="n">
        <f aca="false">'Смета Внутр'!H1547</f>
        <v>0</v>
      </c>
      <c r="J1540" s="1018" t="n">
        <f aca="false">'Смета Внутр'!I1547</f>
        <v>0</v>
      </c>
    </row>
    <row r="1541" customFormat="false" ht="15" hidden="false" customHeight="true" outlineLevel="0" collapsed="false">
      <c r="B1541" s="2927" t="str">
        <f aca="false">'Смета Внутр'!B1548</f>
        <v>Итого работы</v>
      </c>
      <c r="C1541" s="2927"/>
      <c r="D1541" s="2927"/>
      <c r="E1541" s="2927"/>
      <c r="F1541" s="2927"/>
      <c r="G1541" s="2927"/>
      <c r="H1541" s="1004" t="n">
        <f aca="false">'Смета Внутр'!G1548</f>
        <v>0</v>
      </c>
      <c r="I1541" s="1004" t="n">
        <f aca="false">'Смета Внутр'!H1548</f>
        <v>0</v>
      </c>
      <c r="J1541" s="1018" t="n">
        <f aca="false">'Смета Внутр'!I1548</f>
        <v>0</v>
      </c>
    </row>
    <row r="1542" customFormat="false" ht="15" hidden="false" customHeight="true" outlineLevel="0" collapsed="false">
      <c r="B1542" s="2925" t="str">
        <f aca="false">'Смета Внутр'!B1549</f>
        <v>Кровля Вальмовая ломаная</v>
      </c>
      <c r="C1542" s="2925"/>
      <c r="D1542" s="2925"/>
      <c r="H1542" s="0" t="n">
        <f aca="false">'Смета Внутр'!G1549</f>
        <v>0</v>
      </c>
      <c r="I1542" s="0" t="n">
        <f aca="false">'Смета Внутр'!H1549</f>
        <v>0</v>
      </c>
      <c r="J1542" s="2926" t="n">
        <f aca="false">'Смета Внутр'!I1549</f>
        <v>0</v>
      </c>
    </row>
    <row r="1543" customFormat="false" ht="15" hidden="false" customHeight="true" outlineLevel="0" collapsed="false">
      <c r="B1543" s="2881" t="str">
        <f aca="false">'Смета Внутр'!B1550</f>
        <v>Материалы</v>
      </c>
      <c r="D1543" s="919"/>
      <c r="H1543" s="0" t="n">
        <f aca="false">'Смета Внутр'!G1550</f>
        <v>0</v>
      </c>
      <c r="I1543" s="0" t="n">
        <f aca="false">'Смета Внутр'!H1550</f>
        <v>0</v>
      </c>
      <c r="J1543" s="2926" t="n">
        <f aca="false">'Смета Внутр'!I1550</f>
        <v>0</v>
      </c>
    </row>
    <row r="1544" customFormat="false" ht="15" hidden="false" customHeight="true" outlineLevel="0" collapsed="false">
      <c r="B1544" s="1004" t="str">
        <f aca="false">'Смета Внутр'!B1551</f>
        <v>нет</v>
      </c>
      <c r="C1544" s="1004" t="str">
        <f aca="false">'Смета Внутр'!C1551</f>
        <v>м3</v>
      </c>
      <c r="D1544" s="1018" t="n">
        <f aca="false">'Смета Внутр'!D1551</f>
        <v>0</v>
      </c>
      <c r="E1544" s="1004" t="n">
        <f aca="false">'Смета Внутр'!E1551</f>
        <v>0</v>
      </c>
      <c r="F1544" s="1004" t="n">
        <f aca="false">'Смета Внутр'!F1551</f>
        <v>0</v>
      </c>
      <c r="G1544" s="1004" t="n">
        <f aca="false">IF(E1544&gt;F1544,E1544,F1544)</f>
        <v>0</v>
      </c>
      <c r="H1544" s="1004" t="n">
        <f aca="false">'Смета Внутр'!G1551</f>
        <v>0</v>
      </c>
      <c r="I1544" s="1004" t="n">
        <f aca="false">'Смета Внутр'!H1551</f>
        <v>0</v>
      </c>
      <c r="J1544" s="1018" t="n">
        <f aca="false">'Смета Внутр'!I1551</f>
        <v>0</v>
      </c>
    </row>
    <row r="1545" customFormat="false" ht="15" hidden="false" customHeight="true" outlineLevel="0" collapsed="false">
      <c r="B1545" s="1004" t="str">
        <f aca="false">'Смета Внутр'!B1552</f>
        <v>Болты анкерные с гайкой 12,0 х 280</v>
      </c>
      <c r="C1545" s="1004" t="str">
        <f aca="false">'Смета Внутр'!C1552</f>
        <v>шт</v>
      </c>
      <c r="D1545" s="1018" t="n">
        <f aca="false">'Смета Внутр'!D1552</f>
        <v>139.092651273109</v>
      </c>
      <c r="E1545" s="1004" t="n">
        <f aca="false">'Смета Внутр'!E1552</f>
        <v>27.1</v>
      </c>
      <c r="F1545" s="1004" t="n">
        <f aca="false">'Смета Внутр'!F1552</f>
        <v>0</v>
      </c>
      <c r="G1545" s="1004" t="n">
        <f aca="false">IF(E1545&gt;F1545,E1545,F1545)</f>
        <v>27.1</v>
      </c>
      <c r="H1545" s="1004" t="n">
        <f aca="false">'Смета Внутр'!G1552</f>
        <v>3769.41084950126</v>
      </c>
      <c r="I1545" s="1004" t="n">
        <f aca="false">'Смета Внутр'!H1552</f>
        <v>0</v>
      </c>
      <c r="J1545" s="1018" t="n">
        <f aca="false">'Смета Внутр'!I1552</f>
        <v>0</v>
      </c>
    </row>
    <row r="1546" customFormat="false" ht="15" hidden="false" customHeight="true" outlineLevel="0" collapsed="false">
      <c r="B1546" s="1004" t="str">
        <f aca="false">'Смета Внутр'!B1553</f>
        <v>Доска сырая, 150*50мм</v>
      </c>
      <c r="C1546" s="1004" t="str">
        <f aca="false">'Смета Внутр'!C1553</f>
        <v>м3</v>
      </c>
      <c r="D1546" s="1018" t="n">
        <f aca="false">'Смета Внутр'!D1553</f>
        <v>4.68331574864359</v>
      </c>
      <c r="E1546" s="1004" t="n">
        <f aca="false">'Смета Внутр'!E1553</f>
        <v>6500</v>
      </c>
      <c r="F1546" s="1004" t="n">
        <f aca="false">'Смета Внутр'!F1553</f>
        <v>0</v>
      </c>
      <c r="G1546" s="1004" t="n">
        <f aca="false">IF(E1546&gt;F1546,E1546,F1546)</f>
        <v>6500</v>
      </c>
      <c r="H1546" s="1004" t="n">
        <f aca="false">'Смета Внутр'!G1553</f>
        <v>30441.5523661833</v>
      </c>
      <c r="I1546" s="1004" t="n">
        <f aca="false">'Смета Внутр'!H1553</f>
        <v>0</v>
      </c>
      <c r="J1546" s="1018" t="n">
        <f aca="false">'Смета Внутр'!I1553</f>
        <v>0</v>
      </c>
    </row>
    <row r="1547" customFormat="false" ht="15" hidden="false" customHeight="true" outlineLevel="0" collapsed="false">
      <c r="B1547" s="1004" t="str">
        <f aca="false">'Смета Внутр'!B1554</f>
        <v>бугель, доска</v>
      </c>
      <c r="C1547" s="1004" t="str">
        <f aca="false">'Смета Внутр'!C1554</f>
        <v>м3</v>
      </c>
      <c r="D1547" s="1018" t="n">
        <f aca="false">'Смета Внутр'!D1554</f>
        <v>0.495</v>
      </c>
      <c r="E1547" s="1004" t="n">
        <f aca="false">'Смета Внутр'!E1554</f>
        <v>6500</v>
      </c>
      <c r="F1547" s="1004" t="n">
        <f aca="false">'Смета Внутр'!F1554</f>
        <v>0</v>
      </c>
      <c r="G1547" s="1004" t="n">
        <f aca="false">IF(E1547&gt;F1547,E1547,F1547)</f>
        <v>6500</v>
      </c>
      <c r="H1547" s="1004" t="n">
        <f aca="false">'Смета Внутр'!G1554</f>
        <v>3217.5</v>
      </c>
      <c r="I1547" s="1004" t="n">
        <f aca="false">'Смета Внутр'!H1554</f>
        <v>0</v>
      </c>
      <c r="J1547" s="1018" t="n">
        <f aca="false">'Смета Внутр'!I1554</f>
        <v>0</v>
      </c>
    </row>
    <row r="1548" customFormat="false" ht="15" hidden="false" customHeight="true" outlineLevel="0" collapsed="false">
      <c r="B1548" s="1004" t="str">
        <f aca="false">'Смета Внутр'!B1555</f>
        <v>стойка под конек</v>
      </c>
      <c r="C1548" s="1004" t="str">
        <f aca="false">'Смета Внутр'!C1555</f>
        <v>м3</v>
      </c>
      <c r="D1548" s="1018" t="n">
        <f aca="false">'Смета Внутр'!D1555</f>
        <v>0.15</v>
      </c>
      <c r="E1548" s="1004" t="n">
        <f aca="false">'Смета Внутр'!E1555</f>
        <v>6500</v>
      </c>
      <c r="F1548" s="1004" t="n">
        <f aca="false">'Смета Внутр'!F1555</f>
        <v>0</v>
      </c>
      <c r="G1548" s="1004" t="n">
        <f aca="false">IF(E1548&gt;F1548,E1548,F1548)</f>
        <v>6500</v>
      </c>
      <c r="H1548" s="1004" t="n">
        <f aca="false">'Смета Внутр'!G1555</f>
        <v>975</v>
      </c>
      <c r="I1548" s="1004" t="n">
        <f aca="false">'Смета Внутр'!H1555</f>
        <v>0</v>
      </c>
      <c r="J1548" s="1018" t="n">
        <f aca="false">'Смета Внутр'!I1555</f>
        <v>0</v>
      </c>
    </row>
    <row r="1549" customFormat="false" ht="15" hidden="false" customHeight="true" outlineLevel="0" collapsed="false">
      <c r="B1549" s="1004" t="str">
        <f aca="false">'Смета Внутр'!B1556</f>
        <v>Сосна влаж,100*25мм</v>
      </c>
      <c r="C1549" s="1004" t="str">
        <f aca="false">'Смета Внутр'!C1556</f>
        <v>м3</v>
      </c>
      <c r="D1549" s="1018" t="n">
        <f aca="false">'Смета Внутр'!D1556</f>
        <v>2.31889372866713</v>
      </c>
      <c r="E1549" s="1004" t="n">
        <f aca="false">'Смета Внутр'!E1556</f>
        <v>6500</v>
      </c>
      <c r="F1549" s="1004" t="n">
        <f aca="false">'Смета Внутр'!F1556</f>
        <v>0</v>
      </c>
      <c r="G1549" s="1004" t="n">
        <f aca="false">IF(E1549&gt;F1549,E1549,F1549)</f>
        <v>6500</v>
      </c>
      <c r="H1549" s="1004" t="n">
        <f aca="false">'Смета Внутр'!G1556</f>
        <v>15072.8092363363</v>
      </c>
      <c r="I1549" s="1004" t="n">
        <f aca="false">'Смета Внутр'!H1556</f>
        <v>0</v>
      </c>
      <c r="J1549" s="1018" t="n">
        <f aca="false">'Смета Внутр'!I1556</f>
        <v>0</v>
      </c>
    </row>
    <row r="1550" customFormat="false" ht="15" hidden="false" customHeight="true" outlineLevel="0" collapsed="false">
      <c r="B1550" s="1004" t="str">
        <f aca="false">'Смета Внутр'!B1557</f>
        <v>Доска сухая, калибр., 35*45мм</v>
      </c>
      <c r="C1550" s="1004" t="str">
        <f aca="false">'Смета Внутр'!C1557</f>
        <v>м3</v>
      </c>
      <c r="D1550" s="1018" t="n">
        <f aca="false">'Смета Внутр'!D1557</f>
        <v>0.87404455926684</v>
      </c>
      <c r="E1550" s="1004" t="n">
        <f aca="false">'Смета Внутр'!E1557</f>
        <v>12500</v>
      </c>
      <c r="F1550" s="1004" t="n">
        <f aca="false">'Смета Внутр'!F1557</f>
        <v>0</v>
      </c>
      <c r="G1550" s="1004" t="n">
        <f aca="false">IF(E1550&gt;F1550,E1550,F1550)</f>
        <v>12500</v>
      </c>
      <c r="H1550" s="1004" t="n">
        <f aca="false">'Смета Внутр'!G1557</f>
        <v>10925.5569908355</v>
      </c>
      <c r="I1550" s="1004" t="n">
        <f aca="false">'Смета Внутр'!H1557</f>
        <v>0</v>
      </c>
      <c r="J1550" s="1018" t="n">
        <f aca="false">'Смета Внутр'!I1557</f>
        <v>0</v>
      </c>
    </row>
    <row r="1551" customFormat="false" ht="15" hidden="false" customHeight="true" outlineLevel="0" collapsed="false">
      <c r="B1551" s="1004" t="str">
        <f aca="false">'Смета Внутр'!B1558</f>
        <v>Мембраны  Tyvek Housewrap</v>
      </c>
      <c r="C1551" s="1004" t="str">
        <f aca="false">'Смета Внутр'!C1558</f>
        <v>м2</v>
      </c>
      <c r="D1551" s="1018" t="n">
        <f aca="false">'Смета Внутр'!D1558</f>
        <v>332.969355911177</v>
      </c>
      <c r="E1551" s="1004" t="n">
        <f aca="false">'Смета Внутр'!E1558</f>
        <v>90</v>
      </c>
      <c r="F1551" s="1004" t="n">
        <f aca="false">'Смета Внутр'!F1558</f>
        <v>0</v>
      </c>
      <c r="G1551" s="1004" t="n">
        <f aca="false">IF(E1551&gt;F1551,E1551,F1551)</f>
        <v>90</v>
      </c>
      <c r="H1551" s="1004" t="n">
        <f aca="false">'Смета Внутр'!G1558</f>
        <v>29967.2420320059</v>
      </c>
      <c r="I1551" s="1004" t="n">
        <f aca="false">'Смета Внутр'!H1558</f>
        <v>0</v>
      </c>
      <c r="J1551" s="1018" t="n">
        <f aca="false">'Смета Внутр'!I1558</f>
        <v>0</v>
      </c>
    </row>
    <row r="1552" customFormat="false" ht="15" hidden="false" customHeight="true" outlineLevel="0" collapsed="false">
      <c r="B1552" s="1004" t="str">
        <f aca="false">'Смета Внутр'!B1559</f>
        <v>Мембрана Tyvek AirGuard Reflective</v>
      </c>
      <c r="C1552" s="1004" t="str">
        <f aca="false">'Смета Внутр'!C1559</f>
        <v>м2</v>
      </c>
      <c r="D1552" s="1018" t="n">
        <f aca="false">'Смета Внутр'!D1559</f>
        <v>332.969355911177</v>
      </c>
      <c r="E1552" s="1004" t="n">
        <f aca="false">'Смета Внутр'!E1559</f>
        <v>174</v>
      </c>
      <c r="F1552" s="1004" t="n">
        <f aca="false">'Смета Внутр'!F1559</f>
        <v>0</v>
      </c>
      <c r="G1552" s="1004" t="n">
        <f aca="false">IF(E1552&gt;F1552,E1552,F1552)</f>
        <v>174</v>
      </c>
      <c r="H1552" s="1004" t="n">
        <f aca="false">'Смета Внутр'!G1559</f>
        <v>57936.6679285448</v>
      </c>
      <c r="I1552" s="1004" t="n">
        <f aca="false">'Смета Внутр'!H1559</f>
        <v>0</v>
      </c>
      <c r="J1552" s="1018" t="n">
        <f aca="false">'Смета Внутр'!I1559</f>
        <v>0</v>
      </c>
    </row>
    <row r="1553" customFormat="false" ht="15" hidden="false" customHeight="true" outlineLevel="0" collapsed="false">
      <c r="B1553" s="1004" t="str">
        <f aca="false">'Смета Внутр'!B1560</f>
        <v>Плитный,28кг/м3, технониколь, 50мм</v>
      </c>
      <c r="C1553" s="1004" t="str">
        <f aca="false">'Смета Внутр'!C1560</f>
        <v>м3</v>
      </c>
      <c r="D1553" s="1018" t="n">
        <f aca="false">'Смета Внутр'!D1560</f>
        <v>11.8917627111135</v>
      </c>
      <c r="E1553" s="1004" t="n">
        <f aca="false">'Смета Внутр'!E1560</f>
        <v>1700</v>
      </c>
      <c r="F1553" s="1004" t="n">
        <f aca="false">'Смета Внутр'!F1560</f>
        <v>0</v>
      </c>
      <c r="G1553" s="1004" t="n">
        <f aca="false">IF(E1553&gt;F1553,E1553,F1553)</f>
        <v>1700</v>
      </c>
      <c r="H1553" s="1004" t="n">
        <f aca="false">'Смета Внутр'!G1560</f>
        <v>20215.9966088929</v>
      </c>
      <c r="I1553" s="1004" t="n">
        <f aca="false">'Смета Внутр'!H1560</f>
        <v>0</v>
      </c>
      <c r="J1553" s="1018" t="n">
        <f aca="false">'Смета Внутр'!I1560</f>
        <v>0</v>
      </c>
    </row>
    <row r="1554" customFormat="false" ht="15" hidden="false" customHeight="true" outlineLevel="0" collapsed="false">
      <c r="B1554" s="1004" t="str">
        <f aca="false">'Смета Внутр'!B1561</f>
        <v>металлочерепица</v>
      </c>
      <c r="C1554" s="1004" t="str">
        <f aca="false">'Смета Внутр'!C1561</f>
        <v>м2</v>
      </c>
      <c r="D1554" s="1018" t="n">
        <f aca="false">'Смета Внутр'!D1561</f>
        <v>332.969355911177</v>
      </c>
      <c r="E1554" s="1004" t="n">
        <f aca="false">'Смета Внутр'!E1561</f>
        <v>250</v>
      </c>
      <c r="F1554" s="1004" t="n">
        <f aca="false">'Смета Внутр'!F1561</f>
        <v>0</v>
      </c>
      <c r="G1554" s="1004" t="n">
        <f aca="false">IF(E1554&gt;F1554,E1554,F1554)</f>
        <v>250</v>
      </c>
      <c r="H1554" s="1004" t="n">
        <f aca="false">'Смета Внутр'!G1561</f>
        <v>83242.3389777943</v>
      </c>
      <c r="I1554" s="1004" t="n">
        <f aca="false">'Смета Внутр'!H1561</f>
        <v>0</v>
      </c>
      <c r="J1554" s="1018" t="n">
        <f aca="false">'Смета Внутр'!I1561</f>
        <v>0</v>
      </c>
    </row>
    <row r="1555" customFormat="false" ht="15" hidden="false" customHeight="true" outlineLevel="0" collapsed="false">
      <c r="B1555" s="1004" t="str">
        <f aca="false">'Смета Внутр'!B1562</f>
        <v>Карнизная планка</v>
      </c>
      <c r="C1555" s="1004" t="str">
        <f aca="false">'Смета Внутр'!C1562</f>
        <v>м.п.</v>
      </c>
      <c r="D1555" s="1018" t="n">
        <f aca="false">'Смета Внутр'!D1562</f>
        <v>62</v>
      </c>
      <c r="E1555" s="1004" t="n">
        <f aca="false">'Смета Внутр'!E1562</f>
        <v>200</v>
      </c>
      <c r="F1555" s="1004" t="n">
        <f aca="false">'Смета Внутр'!F1562</f>
        <v>0</v>
      </c>
      <c r="G1555" s="1004" t="n">
        <f aca="false">IF(E1555&gt;F1555,E1555,F1555)</f>
        <v>200</v>
      </c>
      <c r="H1555" s="1004" t="n">
        <f aca="false">'Смета Внутр'!G1562</f>
        <v>12400</v>
      </c>
      <c r="I1555" s="1004" t="n">
        <f aca="false">'Смета Внутр'!H1562</f>
        <v>0</v>
      </c>
      <c r="J1555" s="1018" t="n">
        <f aca="false">'Смета Внутр'!I1562</f>
        <v>0</v>
      </c>
    </row>
    <row r="1556" customFormat="false" ht="15" hidden="false" customHeight="true" outlineLevel="0" collapsed="false">
      <c r="B1556" s="1004" t="str">
        <f aca="false">'Смета Внутр'!B1563</f>
        <v>Торцевая планка</v>
      </c>
      <c r="C1556" s="1004" t="str">
        <f aca="false">'Смета Внутр'!C1563</f>
        <v>м.п.</v>
      </c>
      <c r="D1556" s="1018" t="n">
        <f aca="false">'Смета Внутр'!D1563</f>
        <v>26.9072480941474</v>
      </c>
      <c r="E1556" s="1004" t="n">
        <f aca="false">'Смета Внутр'!E1563</f>
        <v>200</v>
      </c>
      <c r="F1556" s="1004" t="n">
        <f aca="false">'Смета Внутр'!F1563</f>
        <v>0</v>
      </c>
      <c r="G1556" s="1004" t="n">
        <f aca="false">IF(E1556&gt;F1556,E1556,F1556)</f>
        <v>200</v>
      </c>
      <c r="H1556" s="1004" t="n">
        <f aca="false">'Смета Внутр'!G1563</f>
        <v>5381.44961882948</v>
      </c>
      <c r="I1556" s="1004" t="n">
        <f aca="false">'Смета Внутр'!H1563</f>
        <v>0</v>
      </c>
      <c r="J1556" s="1018" t="n">
        <f aca="false">'Смета Внутр'!I1563</f>
        <v>0</v>
      </c>
    </row>
    <row r="1557" customFormat="false" ht="15" hidden="false" customHeight="true" outlineLevel="0" collapsed="false">
      <c r="B1557" s="1004" t="str">
        <f aca="false">'Смета Внутр'!B1564</f>
        <v>Конек</v>
      </c>
      <c r="C1557" s="1004" t="str">
        <f aca="false">'Смета Внутр'!C1564</f>
        <v>м.п.</v>
      </c>
      <c r="D1557" s="1018" t="n">
        <f aca="false">'Смета Внутр'!D1564</f>
        <v>39.7787287881817</v>
      </c>
      <c r="E1557" s="1004" t="n">
        <f aca="false">'Смета Внутр'!E1564</f>
        <v>230</v>
      </c>
      <c r="F1557" s="1004" t="n">
        <f aca="false">'Смета Внутр'!F1564</f>
        <v>0</v>
      </c>
      <c r="G1557" s="1004" t="n">
        <f aca="false">IF(E1557&gt;F1557,E1557,F1557)</f>
        <v>230</v>
      </c>
      <c r="H1557" s="1004" t="n">
        <f aca="false">'Смета Внутр'!G1564</f>
        <v>9149.10762128178</v>
      </c>
      <c r="I1557" s="1004" t="n">
        <f aca="false">'Смета Внутр'!H1564</f>
        <v>0</v>
      </c>
      <c r="J1557" s="1018" t="n">
        <f aca="false">'Смета Внутр'!I1564</f>
        <v>0</v>
      </c>
    </row>
    <row r="1558" customFormat="false" ht="15" hidden="false" customHeight="true" outlineLevel="0" collapsed="false">
      <c r="B1558" s="1004" t="str">
        <f aca="false">'Смета Внутр'!B1565</f>
        <v>ондулин</v>
      </c>
      <c r="C1558" s="1004" t="str">
        <f aca="false">'Смета Внутр'!C1565</f>
        <v>м2</v>
      </c>
      <c r="D1558" s="1018" t="n">
        <f aca="false">'Смета Внутр'!D1565</f>
        <v>0</v>
      </c>
      <c r="E1558" s="1004" t="n">
        <f aca="false">'Смета Внутр'!E1565</f>
        <v>180</v>
      </c>
      <c r="F1558" s="1004" t="n">
        <f aca="false">'Смета Внутр'!F1565</f>
        <v>0</v>
      </c>
      <c r="G1558" s="1004" t="n">
        <f aca="false">IF(E1558&gt;F1558,E1558,F1558)</f>
        <v>180</v>
      </c>
      <c r="H1558" s="1004" t="n">
        <f aca="false">'Смета Внутр'!G1565</f>
        <v>0</v>
      </c>
      <c r="I1558" s="1004" t="n">
        <f aca="false">'Смета Внутр'!H1565</f>
        <v>0</v>
      </c>
      <c r="J1558" s="1018" t="n">
        <f aca="false">'Смета Внутр'!I1565</f>
        <v>0</v>
      </c>
    </row>
    <row r="1559" customFormat="false" ht="15" hidden="false" customHeight="true" outlineLevel="0" collapsed="false">
      <c r="B1559" s="1004" t="str">
        <f aca="false">'Смета Внутр'!B1566</f>
        <v>Карнизная планка</v>
      </c>
      <c r="C1559" s="1004" t="str">
        <f aca="false">'Смета Внутр'!C1566</f>
        <v>м.п.</v>
      </c>
      <c r="D1559" s="1018" t="n">
        <f aca="false">'Смета Внутр'!D1566</f>
        <v>0</v>
      </c>
      <c r="E1559" s="1004" t="n">
        <f aca="false">'Смета Внутр'!E1566</f>
        <v>190</v>
      </c>
      <c r="F1559" s="1004" t="n">
        <f aca="false">'Смета Внутр'!F1566</f>
        <v>0</v>
      </c>
      <c r="G1559" s="1004" t="n">
        <f aca="false">IF(E1559&gt;F1559,E1559,F1559)</f>
        <v>190</v>
      </c>
      <c r="H1559" s="1004" t="n">
        <f aca="false">'Смета Внутр'!G1566</f>
        <v>0</v>
      </c>
      <c r="I1559" s="1004" t="n">
        <f aca="false">'Смета Внутр'!H1566</f>
        <v>0</v>
      </c>
      <c r="J1559" s="1018" t="n">
        <f aca="false">'Смета Внутр'!I1566</f>
        <v>0</v>
      </c>
    </row>
    <row r="1560" customFormat="false" ht="15" hidden="false" customHeight="true" outlineLevel="0" collapsed="false">
      <c r="B1560" s="1004" t="str">
        <f aca="false">'Смета Внутр'!B1567</f>
        <v>Торцевая планка</v>
      </c>
      <c r="C1560" s="1004" t="str">
        <f aca="false">'Смета Внутр'!C1567</f>
        <v>м.п.</v>
      </c>
      <c r="D1560" s="1018" t="n">
        <f aca="false">'Смета Внутр'!D1567</f>
        <v>0</v>
      </c>
      <c r="E1560" s="1004" t="n">
        <f aca="false">'Смета Внутр'!E1567</f>
        <v>190</v>
      </c>
      <c r="F1560" s="1004" t="n">
        <f aca="false">'Смета Внутр'!F1567</f>
        <v>0</v>
      </c>
      <c r="G1560" s="1004" t="n">
        <f aca="false">IF(E1560&gt;F1560,E1560,F1560)</f>
        <v>190</v>
      </c>
      <c r="H1560" s="1004" t="n">
        <f aca="false">'Смета Внутр'!G1567</f>
        <v>0</v>
      </c>
      <c r="I1560" s="1004" t="n">
        <f aca="false">'Смета Внутр'!H1567</f>
        <v>0</v>
      </c>
      <c r="J1560" s="1018" t="n">
        <f aca="false">'Смета Внутр'!I1567</f>
        <v>0</v>
      </c>
    </row>
    <row r="1561" customFormat="false" ht="15" hidden="false" customHeight="true" outlineLevel="0" collapsed="false">
      <c r="B1561" s="1004" t="str">
        <f aca="false">'Смета Внутр'!B1568</f>
        <v>Конек</v>
      </c>
      <c r="C1561" s="1004" t="str">
        <f aca="false">'Смета Внутр'!C1568</f>
        <v>м.п.</v>
      </c>
      <c r="D1561" s="1018" t="n">
        <f aca="false">'Смета Внутр'!D1568</f>
        <v>0</v>
      </c>
      <c r="E1561" s="1004" t="n">
        <f aca="false">'Смета Внутр'!E1568</f>
        <v>200</v>
      </c>
      <c r="F1561" s="1004" t="n">
        <f aca="false">'Смета Внутр'!F1568</f>
        <v>0</v>
      </c>
      <c r="G1561" s="1004" t="n">
        <f aca="false">IF(E1561&gt;F1561,E1561,F1561)</f>
        <v>200</v>
      </c>
      <c r="H1561" s="1004" t="n">
        <f aca="false">'Смета Внутр'!G1568</f>
        <v>0</v>
      </c>
      <c r="I1561" s="1004" t="n">
        <f aca="false">'Смета Внутр'!H1568</f>
        <v>0</v>
      </c>
      <c r="J1561" s="1018" t="n">
        <f aca="false">'Смета Внутр'!I1568</f>
        <v>0</v>
      </c>
    </row>
    <row r="1562" customFormat="false" ht="15" hidden="false" customHeight="true" outlineLevel="0" collapsed="false">
      <c r="B1562" s="1004" t="str">
        <f aca="false">'Смета Внутр'!B1569</f>
        <v>Ендова нижняя</v>
      </c>
      <c r="C1562" s="1004" t="str">
        <f aca="false">'Смета Внутр'!C1569</f>
        <v>м.п.</v>
      </c>
      <c r="D1562" s="1018" t="n">
        <f aca="false">'Смета Внутр'!D1569</f>
        <v>0</v>
      </c>
      <c r="E1562" s="1004" t="n">
        <f aca="false">'Смета Внутр'!E1569</f>
        <v>160</v>
      </c>
      <c r="F1562" s="1004" t="n">
        <f aca="false">'Смета Внутр'!F1569</f>
        <v>0</v>
      </c>
      <c r="G1562" s="1004" t="n">
        <f aca="false">IF(E1562&gt;F1562,E1562,F1562)</f>
        <v>160</v>
      </c>
      <c r="H1562" s="1004" t="n">
        <f aca="false">'Смета Внутр'!G1569</f>
        <v>0</v>
      </c>
      <c r="I1562" s="1004" t="n">
        <f aca="false">'Смета Внутр'!H1569</f>
        <v>0</v>
      </c>
      <c r="J1562" s="1018" t="n">
        <f aca="false">'Смета Внутр'!I1569</f>
        <v>0</v>
      </c>
    </row>
    <row r="1563" customFormat="false" ht="15" hidden="false" customHeight="true" outlineLevel="0" collapsed="false">
      <c r="B1563" s="1004" t="str">
        <f aca="false">'Смета Внутр'!B1570</f>
        <v>Ендова верхняя</v>
      </c>
      <c r="C1563" s="1004" t="str">
        <f aca="false">'Смета Внутр'!C1570</f>
        <v>м.п.</v>
      </c>
      <c r="D1563" s="1018" t="n">
        <f aca="false">'Смета Внутр'!D1570</f>
        <v>0</v>
      </c>
      <c r="E1563" s="1004" t="n">
        <f aca="false">'Смета Внутр'!E1570</f>
        <v>190</v>
      </c>
      <c r="F1563" s="1004" t="n">
        <f aca="false">'Смета Внутр'!F1570</f>
        <v>0</v>
      </c>
      <c r="G1563" s="1004" t="n">
        <f aca="false">IF(E1563&gt;F1563,E1563,F1563)</f>
        <v>190</v>
      </c>
      <c r="H1563" s="1004" t="n">
        <f aca="false">'Смета Внутр'!G1570</f>
        <v>0</v>
      </c>
      <c r="I1563" s="1004" t="n">
        <f aca="false">'Смета Внутр'!H1570</f>
        <v>0</v>
      </c>
      <c r="J1563" s="1018" t="n">
        <f aca="false">'Смета Внутр'!I1570</f>
        <v>0</v>
      </c>
    </row>
    <row r="1564" customFormat="false" ht="15" hidden="false" customHeight="true" outlineLevel="0" collapsed="false">
      <c r="B1564" s="1004" t="str">
        <f aca="false">'Смета Внутр'!B1571</f>
        <v>Планка примыкания</v>
      </c>
      <c r="C1564" s="1004" t="str">
        <f aca="false">'Смета Внутр'!C1571</f>
        <v>м.п.</v>
      </c>
      <c r="D1564" s="1018" t="n">
        <f aca="false">'Смета Внутр'!D1571</f>
        <v>0</v>
      </c>
      <c r="E1564" s="1004" t="n">
        <f aca="false">'Смета Внутр'!E1571</f>
        <v>190</v>
      </c>
      <c r="F1564" s="1004" t="n">
        <f aca="false">'Смета Внутр'!F1571</f>
        <v>0</v>
      </c>
      <c r="G1564" s="1004" t="n">
        <f aca="false">IF(E1564&gt;F1564,E1564,F1564)</f>
        <v>190</v>
      </c>
      <c r="H1564" s="1004" t="n">
        <f aca="false">'Смета Внутр'!G1571</f>
        <v>0</v>
      </c>
      <c r="I1564" s="1004" t="n">
        <f aca="false">'Смета Внутр'!H1571</f>
        <v>0</v>
      </c>
      <c r="J1564" s="1018" t="n">
        <f aca="false">'Смета Внутр'!I1571</f>
        <v>0</v>
      </c>
    </row>
    <row r="1565" customFormat="false" ht="15" hidden="false" customHeight="true" outlineLevel="0" collapsed="false">
      <c r="B1565" s="1004" t="str">
        <f aca="false">'Смета Внутр'!B1572</f>
        <v>Крепеж для ондулина</v>
      </c>
      <c r="C1565" s="1004" t="str">
        <f aca="false">'Смета Внутр'!C1572</f>
        <v>шт</v>
      </c>
      <c r="D1565" s="1018" t="n">
        <f aca="false">'Смета Внутр'!D1572</f>
        <v>0</v>
      </c>
      <c r="E1565" s="1004" t="n">
        <f aca="false">'Смета Внутр'!E1572</f>
        <v>4.5</v>
      </c>
      <c r="F1565" s="1004" t="n">
        <f aca="false">'Смета Внутр'!F1572</f>
        <v>0</v>
      </c>
      <c r="G1565" s="1004" t="n">
        <f aca="false">IF(E1565&gt;F1565,E1565,F1565)</f>
        <v>4.5</v>
      </c>
      <c r="H1565" s="1004" t="n">
        <f aca="false">'Смета Внутр'!G1572</f>
        <v>0</v>
      </c>
      <c r="I1565" s="1004" t="n">
        <f aca="false">'Смета Внутр'!H1572</f>
        <v>0</v>
      </c>
      <c r="J1565" s="1018" t="n">
        <f aca="false">'Смета Внутр'!I1572</f>
        <v>0</v>
      </c>
    </row>
    <row r="1566" customFormat="false" ht="15" hidden="false" customHeight="true" outlineLevel="0" collapsed="false">
      <c r="B1566" s="1004" t="str">
        <f aca="false">'Смета Внутр'!B1573</f>
        <v>нет</v>
      </c>
      <c r="C1566" s="1004" t="str">
        <f aca="false">'Смета Внутр'!C1573</f>
        <v>м2</v>
      </c>
      <c r="D1566" s="1018" t="n">
        <f aca="false">'Смета Внутр'!D1573</f>
        <v>273.51054235561</v>
      </c>
      <c r="E1566" s="1004" t="n">
        <f aca="false">'Смета Внутр'!E1573</f>
        <v>0</v>
      </c>
      <c r="F1566" s="1004" t="n">
        <f aca="false">'Смета Внутр'!F1573</f>
        <v>0</v>
      </c>
      <c r="G1566" s="1004" t="n">
        <f aca="false">IF(E1566&gt;F1566,E1566,F1566)</f>
        <v>0</v>
      </c>
      <c r="H1566" s="1004" t="n">
        <f aca="false">'Смета Внутр'!G1573</f>
        <v>0</v>
      </c>
      <c r="I1566" s="1004" t="n">
        <f aca="false">'Смета Внутр'!H1573</f>
        <v>0</v>
      </c>
      <c r="J1566" s="1018" t="n">
        <f aca="false">'Смета Внутр'!I1573</f>
        <v>0</v>
      </c>
    </row>
    <row r="1567" customFormat="false" ht="15" hidden="false" customHeight="true" outlineLevel="0" collapsed="false">
      <c r="B1567" s="1004" t="str">
        <f aca="false">'Смета Внутр'!B1574</f>
        <v>Рядовая черепица</v>
      </c>
      <c r="C1567" s="1004" t="str">
        <f aca="false">'Смета Внутр'!C1574</f>
        <v>м2</v>
      </c>
      <c r="D1567" s="1018" t="n">
        <f aca="false">'Смета Внутр'!D1574</f>
        <v>0</v>
      </c>
      <c r="E1567" s="1004" t="n">
        <f aca="false">'Смета Внутр'!E1574</f>
        <v>360</v>
      </c>
      <c r="F1567" s="1004" t="n">
        <f aca="false">'Смета Внутр'!F1574</f>
        <v>0</v>
      </c>
      <c r="G1567" s="1004" t="n">
        <f aca="false">IF(E1567&gt;F1567,E1567,F1567)</f>
        <v>360</v>
      </c>
      <c r="H1567" s="1004" t="n">
        <f aca="false">'Смета Внутр'!G1574</f>
        <v>0</v>
      </c>
      <c r="I1567" s="1004" t="n">
        <f aca="false">'Смета Внутр'!H1574</f>
        <v>0</v>
      </c>
      <c r="J1567" s="1018" t="n">
        <f aca="false">'Смета Внутр'!I1574</f>
        <v>0</v>
      </c>
    </row>
    <row r="1568" customFormat="false" ht="15" hidden="false" customHeight="true" outlineLevel="0" collapsed="false">
      <c r="B1568" s="1004" t="str">
        <f aca="false">'Смета Внутр'!B1575</f>
        <v>Металл оцинк защита (карниз)</v>
      </c>
      <c r="C1568" s="1004" t="str">
        <f aca="false">'Смета Внутр'!C1575</f>
        <v>м.п.</v>
      </c>
      <c r="D1568" s="1018" t="n">
        <f aca="false">'Смета Внутр'!D1575</f>
        <v>0</v>
      </c>
      <c r="E1568" s="1004" t="n">
        <f aca="false">'Смета Внутр'!E1575</f>
        <v>200</v>
      </c>
      <c r="F1568" s="1004" t="n">
        <f aca="false">'Смета Внутр'!F1575</f>
        <v>0</v>
      </c>
      <c r="G1568" s="1004" t="n">
        <f aca="false">IF(E1568&gt;F1568,E1568,F1568)</f>
        <v>200</v>
      </c>
      <c r="H1568" s="1004" t="n">
        <f aca="false">'Смета Внутр'!G1575</f>
        <v>0</v>
      </c>
      <c r="I1568" s="1004" t="n">
        <f aca="false">'Смета Внутр'!H1575</f>
        <v>0</v>
      </c>
      <c r="J1568" s="1018" t="n">
        <f aca="false">'Смета Внутр'!I1575</f>
        <v>0</v>
      </c>
    </row>
    <row r="1569" customFormat="false" ht="15" hidden="false" customHeight="true" outlineLevel="0" collapsed="false">
      <c r="B1569" s="1004" t="str">
        <f aca="false">'Смета Внутр'!B1576</f>
        <v>Подкладочный ковер</v>
      </c>
      <c r="C1569" s="1004" t="str">
        <f aca="false">'Смета Внутр'!C1576</f>
        <v>м.п.</v>
      </c>
      <c r="D1569" s="1018" t="n">
        <f aca="false">'Смета Внутр'!D1576</f>
        <v>0</v>
      </c>
      <c r="E1569" s="1004" t="n">
        <f aca="false">'Смета Внутр'!E1576</f>
        <v>220</v>
      </c>
      <c r="F1569" s="1004" t="n">
        <f aca="false">'Смета Внутр'!F1576</f>
        <v>0</v>
      </c>
      <c r="G1569" s="1004" t="n">
        <f aca="false">IF(E1569&gt;F1569,E1569,F1569)</f>
        <v>220</v>
      </c>
      <c r="H1569" s="1004" t="n">
        <f aca="false">'Смета Внутр'!G1576</f>
        <v>0</v>
      </c>
      <c r="I1569" s="1004" t="n">
        <f aca="false">'Смета Внутр'!H1576</f>
        <v>0</v>
      </c>
      <c r="J1569" s="1018" t="n">
        <f aca="false">'Смета Внутр'!I1576</f>
        <v>0</v>
      </c>
    </row>
    <row r="1570" customFormat="false" ht="15" hidden="false" customHeight="true" outlineLevel="0" collapsed="false">
      <c r="B1570" s="1004" t="str">
        <f aca="false">'Смета Внутр'!B1577</f>
        <v>Карнизная самоклеющаяся черепица</v>
      </c>
      <c r="C1570" s="1004" t="str">
        <f aca="false">'Смета Внутр'!C1577</f>
        <v>м.п.</v>
      </c>
      <c r="D1570" s="1018" t="n">
        <f aca="false">'Смета Внутр'!D1577</f>
        <v>0</v>
      </c>
      <c r="E1570" s="1004" t="n">
        <f aca="false">'Смета Внутр'!E1577</f>
        <v>220</v>
      </c>
      <c r="F1570" s="1004" t="n">
        <f aca="false">'Смета Внутр'!F1577</f>
        <v>0</v>
      </c>
      <c r="G1570" s="1004" t="n">
        <f aca="false">IF(E1570&gt;F1570,E1570,F1570)</f>
        <v>220</v>
      </c>
      <c r="H1570" s="1004" t="n">
        <f aca="false">'Смета Внутр'!G1577</f>
        <v>0</v>
      </c>
      <c r="I1570" s="1004" t="n">
        <f aca="false">'Смета Внутр'!H1577</f>
        <v>0</v>
      </c>
      <c r="J1570" s="1018" t="n">
        <f aca="false">'Смета Внутр'!I1577</f>
        <v>0</v>
      </c>
    </row>
    <row r="1571" customFormat="false" ht="15" hidden="false" customHeight="true" outlineLevel="0" collapsed="false">
      <c r="B1571" s="1004" t="str">
        <f aca="false">'Смета Внутр'!B1578</f>
        <v>Спец ковер ендова нижняя</v>
      </c>
      <c r="C1571" s="1004" t="str">
        <f aca="false">'Смета Внутр'!C1578</f>
        <v>м.п.</v>
      </c>
      <c r="D1571" s="1018" t="n">
        <f aca="false">'Смета Внутр'!D1578</f>
        <v>0</v>
      </c>
      <c r="E1571" s="1004" t="n">
        <f aca="false">'Смета Внутр'!E1578</f>
        <v>200</v>
      </c>
      <c r="F1571" s="1004" t="n">
        <f aca="false">'Смета Внутр'!F1578</f>
        <v>0</v>
      </c>
      <c r="G1571" s="1004" t="n">
        <f aca="false">IF(E1571&gt;F1571,E1571,F1571)</f>
        <v>200</v>
      </c>
      <c r="H1571" s="1004" t="n">
        <f aca="false">'Смета Внутр'!G1578</f>
        <v>0</v>
      </c>
      <c r="I1571" s="1004" t="n">
        <f aca="false">'Смета Внутр'!H1578</f>
        <v>0</v>
      </c>
      <c r="J1571" s="1018" t="n">
        <f aca="false">'Смета Внутр'!I1578</f>
        <v>0</v>
      </c>
    </row>
    <row r="1572" customFormat="false" ht="15" hidden="false" customHeight="true" outlineLevel="0" collapsed="false">
      <c r="B1572" s="1004" t="str">
        <f aca="false">'Смета Внутр'!B1579</f>
        <v>Коньковой элемент</v>
      </c>
      <c r="C1572" s="1004" t="str">
        <f aca="false">'Смета Внутр'!C1579</f>
        <v>м.п.</v>
      </c>
      <c r="D1572" s="1018" t="n">
        <f aca="false">'Смета Внутр'!D1579</f>
        <v>0</v>
      </c>
      <c r="E1572" s="1004" t="n">
        <f aca="false">'Смета Внутр'!E1579</f>
        <v>250</v>
      </c>
      <c r="F1572" s="1004" t="n">
        <f aca="false">'Смета Внутр'!F1579</f>
        <v>0</v>
      </c>
      <c r="G1572" s="1004" t="n">
        <f aca="false">IF(E1572&gt;F1572,E1572,F1572)</f>
        <v>250</v>
      </c>
      <c r="H1572" s="1004" t="n">
        <f aca="false">'Смета Внутр'!G1579</f>
        <v>0</v>
      </c>
      <c r="I1572" s="1004" t="n">
        <f aca="false">'Смета Внутр'!H1579</f>
        <v>0</v>
      </c>
      <c r="J1572" s="1018" t="n">
        <f aca="false">'Смета Внутр'!I1579</f>
        <v>0</v>
      </c>
    </row>
    <row r="1573" customFormat="false" ht="15" hidden="false" customHeight="true" outlineLevel="0" collapsed="false">
      <c r="B1573" s="1004" t="str">
        <f aca="false">'Смета Внутр'!B1580</f>
        <v>Планка премыкания</v>
      </c>
      <c r="C1573" s="1004" t="str">
        <f aca="false">'Смета Внутр'!C1580</f>
        <v>м.п.</v>
      </c>
      <c r="D1573" s="1018" t="n">
        <f aca="false">'Смета Внутр'!D1580</f>
        <v>0</v>
      </c>
      <c r="E1573" s="1004" t="n">
        <f aca="false">'Смета Внутр'!E1580</f>
        <v>200</v>
      </c>
      <c r="F1573" s="1004" t="n">
        <f aca="false">'Смета Внутр'!F1580</f>
        <v>0</v>
      </c>
      <c r="G1573" s="1004" t="n">
        <f aca="false">IF(E1573&gt;F1573,E1573,F1573)</f>
        <v>200</v>
      </c>
      <c r="H1573" s="1004" t="n">
        <f aca="false">'Смета Внутр'!G1580</f>
        <v>0</v>
      </c>
      <c r="I1573" s="1004" t="n">
        <f aca="false">'Смета Внутр'!H1580</f>
        <v>0</v>
      </c>
      <c r="J1573" s="1018" t="n">
        <f aca="false">'Смета Внутр'!I1580</f>
        <v>0</v>
      </c>
    </row>
    <row r="1574" customFormat="false" ht="15" hidden="false" customHeight="true" outlineLevel="0" collapsed="false">
      <c r="B1574" s="1004" t="str">
        <f aca="false">'Смета Внутр'!B1581</f>
        <v>Гвозди для крепления подкладочного ковра</v>
      </c>
      <c r="C1574" s="1004" t="str">
        <f aca="false">'Смета Внутр'!C1581</f>
        <v>шт</v>
      </c>
      <c r="D1574" s="1018" t="n">
        <f aca="false">'Смета Внутр'!D1581</f>
        <v>0</v>
      </c>
      <c r="E1574" s="1004" t="n">
        <f aca="false">'Смета Внутр'!E1581</f>
        <v>0.012</v>
      </c>
      <c r="F1574" s="1004" t="n">
        <f aca="false">'Смета Внутр'!F1581</f>
        <v>0</v>
      </c>
      <c r="G1574" s="1004" t="n">
        <f aca="false">IF(E1574&gt;F1574,E1574,F1574)</f>
        <v>0.012</v>
      </c>
      <c r="H1574" s="1004" t="n">
        <f aca="false">'Смета Внутр'!G1581</f>
        <v>0</v>
      </c>
      <c r="I1574" s="1004" t="n">
        <f aca="false">'Смета Внутр'!H1581</f>
        <v>0</v>
      </c>
      <c r="J1574" s="1018" t="n">
        <f aca="false">'Смета Внутр'!I1581</f>
        <v>0</v>
      </c>
    </row>
    <row r="1575" customFormat="false" ht="15" hidden="false" customHeight="true" outlineLevel="0" collapsed="false">
      <c r="B1575" s="1004" t="str">
        <f aca="false">'Смета Внутр'!B1582</f>
        <v>Гвозди для крепления черепицы</v>
      </c>
      <c r="C1575" s="1004" t="str">
        <f aca="false">'Смета Внутр'!C1582</f>
        <v>шт</v>
      </c>
      <c r="D1575" s="1018" t="n">
        <f aca="false">'Смета Внутр'!D1582</f>
        <v>0</v>
      </c>
      <c r="E1575" s="1004" t="n">
        <f aca="false">'Смета Внутр'!E1582</f>
        <v>0.25</v>
      </c>
      <c r="F1575" s="1004" t="n">
        <f aca="false">'Смета Внутр'!F1582</f>
        <v>0</v>
      </c>
      <c r="G1575" s="1004" t="n">
        <f aca="false">IF(E1575&gt;F1575,E1575,F1575)</f>
        <v>0.25</v>
      </c>
      <c r="H1575" s="1004" t="n">
        <f aca="false">'Смета Внутр'!G1582</f>
        <v>0</v>
      </c>
      <c r="I1575" s="1004" t="n">
        <f aca="false">'Смета Внутр'!H1582</f>
        <v>0</v>
      </c>
      <c r="J1575" s="1018" t="n">
        <f aca="false">'Смета Внутр'!I1582</f>
        <v>0</v>
      </c>
    </row>
    <row r="1576" customFormat="false" ht="15" hidden="false" customHeight="true" outlineLevel="0" collapsed="false">
      <c r="B1576" s="1004" t="str">
        <f aca="false">'Смета Внутр'!B1583</f>
        <v>Клей для монтажа черепицы</v>
      </c>
      <c r="C1576" s="1004" t="str">
        <f aca="false">'Смета Внутр'!C1583</f>
        <v>кг</v>
      </c>
      <c r="D1576" s="1018" t="n">
        <f aca="false">'Смета Внутр'!D1583</f>
        <v>0</v>
      </c>
      <c r="E1576" s="1004" t="n">
        <f aca="false">'Смета Внутр'!E1583</f>
        <v>250</v>
      </c>
      <c r="F1576" s="1004" t="n">
        <f aca="false">'Смета Внутр'!F1583</f>
        <v>0</v>
      </c>
      <c r="G1576" s="1004" t="n">
        <f aca="false">IF(E1576&gt;F1576,E1576,F1576)</f>
        <v>250</v>
      </c>
      <c r="H1576" s="1004" t="n">
        <f aca="false">'Смета Внутр'!G1583</f>
        <v>0</v>
      </c>
      <c r="I1576" s="1004" t="n">
        <f aca="false">'Смета Внутр'!H1583</f>
        <v>0</v>
      </c>
      <c r="J1576" s="1018" t="n">
        <f aca="false">'Смета Внутр'!I1583</f>
        <v>0</v>
      </c>
    </row>
    <row r="1577" customFormat="false" ht="15" hidden="false" customHeight="true" outlineLevel="0" collapsed="false">
      <c r="B1577" s="1004" t="str">
        <f aca="false">'Смета Внутр'!B1584</f>
        <v>желоб</v>
      </c>
      <c r="C1577" s="1004" t="str">
        <f aca="false">'Смета Внутр'!C1584</f>
        <v>м.п</v>
      </c>
      <c r="D1577" s="1018" t="n">
        <f aca="false">'Смета Внутр'!D1584</f>
        <v>51.6666666666667</v>
      </c>
      <c r="E1577" s="1004" t="n">
        <f aca="false">'Смета Внутр'!E1584</f>
        <v>300</v>
      </c>
      <c r="F1577" s="1004" t="n">
        <f aca="false">'Смета Внутр'!F1584</f>
        <v>0</v>
      </c>
      <c r="G1577" s="1004" t="n">
        <f aca="false">IF(E1577&gt;F1577,E1577,F1577)</f>
        <v>300</v>
      </c>
      <c r="H1577" s="1004" t="n">
        <f aca="false">'Смета Внутр'!G1584</f>
        <v>15500</v>
      </c>
      <c r="I1577" s="1004" t="n">
        <f aca="false">'Смета Внутр'!H1584</f>
        <v>0</v>
      </c>
      <c r="J1577" s="1018" t="n">
        <f aca="false">'Смета Внутр'!I1584</f>
        <v>0</v>
      </c>
    </row>
    <row r="1578" customFormat="false" ht="15" hidden="false" customHeight="true" outlineLevel="0" collapsed="false">
      <c r="B1578" s="1004" t="str">
        <f aca="false">'Смета Внутр'!B1585</f>
        <v>отвод</v>
      </c>
      <c r="C1578" s="1004" t="str">
        <f aca="false">'Смета Внутр'!C1585</f>
        <v>шт</v>
      </c>
      <c r="D1578" s="1018" t="n">
        <f aca="false">'Смета Внутр'!D1585</f>
        <v>4</v>
      </c>
      <c r="E1578" s="1004" t="n">
        <f aca="false">'Смета Внутр'!E1585</f>
        <v>250</v>
      </c>
      <c r="F1578" s="1004" t="n">
        <f aca="false">'Смета Внутр'!F1585</f>
        <v>0</v>
      </c>
      <c r="G1578" s="1004" t="n">
        <f aca="false">IF(E1578&gt;F1578,E1578,F1578)</f>
        <v>250</v>
      </c>
      <c r="H1578" s="1004" t="n">
        <f aca="false">'Смета Внутр'!G1585</f>
        <v>1000</v>
      </c>
      <c r="I1578" s="1004" t="n">
        <f aca="false">'Смета Внутр'!H1585</f>
        <v>0</v>
      </c>
      <c r="J1578" s="1018" t="n">
        <f aca="false">'Смета Внутр'!I1585</f>
        <v>0</v>
      </c>
    </row>
    <row r="1579" customFormat="false" ht="15" hidden="false" customHeight="true" outlineLevel="0" collapsed="false">
      <c r="B1579" s="1004" t="str">
        <f aca="false">'Смета Внутр'!B1586</f>
        <v>труба водосточная</v>
      </c>
      <c r="C1579" s="1004" t="str">
        <f aca="false">'Смета Внутр'!C1586</f>
        <v>м.п.</v>
      </c>
      <c r="D1579" s="1018" t="n">
        <f aca="false">'Смета Внутр'!D1586</f>
        <v>62</v>
      </c>
      <c r="E1579" s="1004" t="n">
        <f aca="false">'Смета Внутр'!E1586</f>
        <v>300</v>
      </c>
      <c r="F1579" s="1004" t="n">
        <f aca="false">'Смета Внутр'!F1586</f>
        <v>0</v>
      </c>
      <c r="G1579" s="1004" t="n">
        <f aca="false">IF(E1579&gt;F1579,E1579,F1579)</f>
        <v>300</v>
      </c>
      <c r="H1579" s="1004" t="n">
        <f aca="false">'Смета Внутр'!G1586</f>
        <v>18600</v>
      </c>
      <c r="I1579" s="1004" t="n">
        <f aca="false">'Смета Внутр'!H1586</f>
        <v>0</v>
      </c>
      <c r="J1579" s="1018" t="n">
        <f aca="false">'Смета Внутр'!I1586</f>
        <v>0</v>
      </c>
    </row>
    <row r="1580" customFormat="false" ht="15" hidden="false" customHeight="true" outlineLevel="0" collapsed="false">
      <c r="B1580" s="1004" t="str">
        <f aca="false">'Смета Внутр'!B1587</f>
        <v>заглушка для желоба</v>
      </c>
      <c r="C1580" s="1004" t="str">
        <f aca="false">'Смета Внутр'!C1587</f>
        <v>шт</v>
      </c>
      <c r="D1580" s="1018" t="n">
        <f aca="false">'Смета Внутр'!D1587</f>
        <v>4</v>
      </c>
      <c r="E1580" s="1004" t="n">
        <f aca="false">'Смета Внутр'!E1587</f>
        <v>190</v>
      </c>
      <c r="F1580" s="1004" t="n">
        <f aca="false">'Смета Внутр'!F1587</f>
        <v>0</v>
      </c>
      <c r="G1580" s="1004" t="n">
        <f aca="false">IF(E1580&gt;F1580,E1580,F1580)</f>
        <v>190</v>
      </c>
      <c r="H1580" s="1004" t="n">
        <f aca="false">'Смета Внутр'!G1587</f>
        <v>760</v>
      </c>
      <c r="I1580" s="1004" t="n">
        <f aca="false">'Смета Внутр'!H1587</f>
        <v>0</v>
      </c>
      <c r="J1580" s="1018" t="n">
        <f aca="false">'Смета Внутр'!I1587</f>
        <v>0</v>
      </c>
    </row>
    <row r="1581" customFormat="false" ht="15" hidden="false" customHeight="true" outlineLevel="0" collapsed="false">
      <c r="B1581" s="1004" t="str">
        <f aca="false">'Смета Внутр'!B1588</f>
        <v>соеденитель для желоба</v>
      </c>
      <c r="C1581" s="1004" t="str">
        <f aca="false">'Смета Внутр'!C1588</f>
        <v>шт</v>
      </c>
      <c r="D1581" s="1018" t="n">
        <f aca="false">'Смета Внутр'!D1588</f>
        <v>18.2222222222222</v>
      </c>
      <c r="E1581" s="1004" t="n">
        <f aca="false">'Смета Внутр'!E1588</f>
        <v>180</v>
      </c>
      <c r="F1581" s="1004" t="n">
        <f aca="false">'Смета Внутр'!F1588</f>
        <v>0</v>
      </c>
      <c r="G1581" s="1004" t="n">
        <f aca="false">IF(E1581&gt;F1581,E1581,F1581)</f>
        <v>180</v>
      </c>
      <c r="H1581" s="1004" t="n">
        <f aca="false">'Смета Внутр'!G1588</f>
        <v>3280</v>
      </c>
      <c r="I1581" s="1004" t="n">
        <f aca="false">'Смета Внутр'!H1588</f>
        <v>0</v>
      </c>
      <c r="J1581" s="1018" t="n">
        <f aca="false">'Смета Внутр'!I1588</f>
        <v>0</v>
      </c>
    </row>
    <row r="1582" customFormat="false" ht="15" hidden="false" customHeight="true" outlineLevel="0" collapsed="false">
      <c r="B1582" s="1004" t="str">
        <f aca="false">'Смета Внутр'!B1589</f>
        <v>кронштейн для желоба</v>
      </c>
      <c r="C1582" s="1004" t="str">
        <f aca="false">'Смета Внутр'!C1589</f>
        <v>шт</v>
      </c>
      <c r="D1582" s="1018" t="n">
        <f aca="false">'Смета Внутр'!D1589</f>
        <v>129.166666666667</v>
      </c>
      <c r="E1582" s="1004" t="n">
        <f aca="false">'Смета Внутр'!E1589</f>
        <v>130</v>
      </c>
      <c r="F1582" s="1004" t="n">
        <f aca="false">'Смета Внутр'!F1589</f>
        <v>0</v>
      </c>
      <c r="G1582" s="1004" t="n">
        <f aca="false">IF(E1582&gt;F1582,E1582,F1582)</f>
        <v>130</v>
      </c>
      <c r="H1582" s="1004" t="n">
        <f aca="false">'Смета Внутр'!G1589</f>
        <v>16791.6666666667</v>
      </c>
      <c r="I1582" s="1004" t="n">
        <f aca="false">'Смета Внутр'!H1589</f>
        <v>0</v>
      </c>
      <c r="J1582" s="1018" t="n">
        <f aca="false">'Смета Внутр'!I1589</f>
        <v>0</v>
      </c>
    </row>
    <row r="1583" customFormat="false" ht="15" hidden="false" customHeight="true" outlineLevel="0" collapsed="false">
      <c r="B1583" s="1004" t="str">
        <f aca="false">'Смета Внутр'!B1590</f>
        <v>переход из желоба в трубу</v>
      </c>
      <c r="C1583" s="1004" t="str">
        <f aca="false">'Смета Внутр'!C1590</f>
        <v>шт</v>
      </c>
      <c r="D1583" s="1018" t="n">
        <f aca="false">'Смета Внутр'!D1590</f>
        <v>4</v>
      </c>
      <c r="E1583" s="1004" t="n">
        <f aca="false">'Смета Внутр'!E1590</f>
        <v>350</v>
      </c>
      <c r="F1583" s="1004" t="n">
        <f aca="false">'Смета Внутр'!F1590</f>
        <v>0</v>
      </c>
      <c r="G1583" s="1004" t="n">
        <f aca="false">IF(E1583&gt;F1583,E1583,F1583)</f>
        <v>350</v>
      </c>
      <c r="H1583" s="1004" t="n">
        <f aca="false">'Смета Внутр'!G1590</f>
        <v>1400</v>
      </c>
      <c r="I1583" s="1004" t="n">
        <f aca="false">'Смета Внутр'!H1590</f>
        <v>0</v>
      </c>
      <c r="J1583" s="1018" t="n">
        <f aca="false">'Смета Внутр'!I1590</f>
        <v>0</v>
      </c>
    </row>
    <row r="1584" customFormat="false" ht="15" hidden="false" customHeight="true" outlineLevel="0" collapsed="false">
      <c r="B1584" s="1004" t="str">
        <f aca="false">'Смета Внутр'!B1591</f>
        <v>лента дельта мульти бэнд</v>
      </c>
      <c r="C1584" s="1004" t="str">
        <f aca="false">'Смета Внутр'!C1591</f>
        <v>шт</v>
      </c>
      <c r="D1584" s="1018" t="n">
        <f aca="false">'Смета Внутр'!D1591</f>
        <v>1</v>
      </c>
      <c r="E1584" s="1004" t="n">
        <f aca="false">'Смета Внутр'!E1591</f>
        <v>1200</v>
      </c>
      <c r="F1584" s="1004" t="n">
        <f aca="false">'Смета Внутр'!F1591</f>
        <v>0</v>
      </c>
      <c r="G1584" s="1004" t="n">
        <f aca="false">IF(E1584&gt;F1584,E1584,F1584)</f>
        <v>1200</v>
      </c>
      <c r="H1584" s="1004" t="n">
        <f aca="false">'Смета Внутр'!G1591</f>
        <v>1200</v>
      </c>
      <c r="I1584" s="1004" t="n">
        <f aca="false">'Смета Внутр'!H1591</f>
        <v>0</v>
      </c>
      <c r="J1584" s="1018" t="n">
        <f aca="false">'Смета Внутр'!I1591</f>
        <v>0</v>
      </c>
    </row>
    <row r="1585" customFormat="false" ht="15" hidden="false" customHeight="true" outlineLevel="0" collapsed="false">
      <c r="B1585" s="1004" t="str">
        <f aca="false">'Смета Внутр'!B1592</f>
        <v>лента дельта sb-60</v>
      </c>
      <c r="C1585" s="1004" t="str">
        <f aca="false">'Смета Внутр'!C1592</f>
        <v>шт</v>
      </c>
      <c r="D1585" s="1018" t="n">
        <f aca="false">'Смета Внутр'!D1592</f>
        <v>15.855683614818</v>
      </c>
      <c r="E1585" s="1004" t="n">
        <f aca="false">'Смета Внутр'!E1592</f>
        <v>1100</v>
      </c>
      <c r="F1585" s="1004" t="n">
        <f aca="false">'Смета Внутр'!F1592</f>
        <v>0</v>
      </c>
      <c r="G1585" s="1004" t="n">
        <f aca="false">IF(E1585&gt;F1585,E1585,F1585)</f>
        <v>1100</v>
      </c>
      <c r="H1585" s="1004" t="n">
        <f aca="false">'Смета Внутр'!G1592</f>
        <v>17441.2519762998</v>
      </c>
      <c r="I1585" s="1004" t="n">
        <f aca="false">'Смета Внутр'!H1592</f>
        <v>0</v>
      </c>
      <c r="J1585" s="1018" t="n">
        <f aca="false">'Смета Внутр'!I1592</f>
        <v>0</v>
      </c>
    </row>
    <row r="1586" customFormat="false" ht="15" hidden="false" customHeight="true" outlineLevel="0" collapsed="false">
      <c r="B1586" s="1004" t="str">
        <f aca="false">'Смета Внутр'!B1593</f>
        <v>проходка кровельная, канализационная</v>
      </c>
      <c r="C1586" s="1004" t="str">
        <f aca="false">'Смета Внутр'!C1593</f>
        <v>шт</v>
      </c>
      <c r="D1586" s="1018" t="n">
        <f aca="false">'Смета Внутр'!D1593</f>
        <v>0</v>
      </c>
      <c r="E1586" s="1004" t="n">
        <f aca="false">'Смета Внутр'!E1593</f>
        <v>3500</v>
      </c>
      <c r="F1586" s="1004" t="n">
        <f aca="false">'Смета Внутр'!F1593</f>
        <v>0</v>
      </c>
      <c r="G1586" s="1004" t="n">
        <f aca="false">IF(E1586&gt;F1586,E1586,F1586)</f>
        <v>3500</v>
      </c>
      <c r="H1586" s="1004" t="n">
        <f aca="false">'Смета Внутр'!G1593</f>
        <v>0</v>
      </c>
      <c r="I1586" s="1004" t="n">
        <f aca="false">'Смета Внутр'!H1593</f>
        <v>0</v>
      </c>
      <c r="J1586" s="1018" t="n">
        <f aca="false">'Смета Внутр'!I1593</f>
        <v>0</v>
      </c>
    </row>
    <row r="1587" customFormat="false" ht="15" hidden="false" customHeight="true" outlineLevel="0" collapsed="false">
      <c r="B1587" s="1004" t="str">
        <f aca="false">'Смета Внутр'!B1594</f>
        <v>проходка кровельная, вентиляционная</v>
      </c>
      <c r="C1587" s="1004" t="str">
        <f aca="false">'Смета Внутр'!C1594</f>
        <v>шт</v>
      </c>
      <c r="D1587" s="1018" t="n">
        <f aca="false">'Смета Внутр'!D1594</f>
        <v>0</v>
      </c>
      <c r="E1587" s="1004" t="n">
        <f aca="false">'Смета Внутр'!E1594</f>
        <v>3500</v>
      </c>
      <c r="F1587" s="1004" t="n">
        <f aca="false">'Смета Внутр'!F1594</f>
        <v>0</v>
      </c>
      <c r="G1587" s="1004" t="n">
        <f aca="false">IF(E1587&gt;F1587,E1587,F1587)</f>
        <v>3500</v>
      </c>
      <c r="H1587" s="1004" t="n">
        <f aca="false">'Смета Внутр'!G1594</f>
        <v>0</v>
      </c>
      <c r="I1587" s="1004" t="n">
        <f aca="false">'Смета Внутр'!H1594</f>
        <v>0</v>
      </c>
      <c r="J1587" s="1018" t="n">
        <f aca="false">'Смета Внутр'!I1594</f>
        <v>0</v>
      </c>
    </row>
    <row r="1588" customFormat="false" ht="15" hidden="false" customHeight="true" outlineLevel="0" collapsed="false">
      <c r="B1588" s="1004" t="str">
        <f aca="false">'Смета Внутр'!B1595</f>
        <v>проодка кровельная, труба котел</v>
      </c>
      <c r="C1588" s="1004" t="str">
        <f aca="false">'Смета Внутр'!C1595</f>
        <v>шт</v>
      </c>
      <c r="D1588" s="1018" t="n">
        <f aca="false">'Смета Внутр'!D1595</f>
        <v>0</v>
      </c>
      <c r="E1588" s="1004" t="n">
        <f aca="false">'Смета Внутр'!E1595</f>
        <v>4500</v>
      </c>
      <c r="F1588" s="1004" t="n">
        <f aca="false">'Смета Внутр'!F1595</f>
        <v>0</v>
      </c>
      <c r="G1588" s="1004" t="n">
        <f aca="false">IF(E1588&gt;F1588,E1588,F1588)</f>
        <v>4500</v>
      </c>
      <c r="H1588" s="1004" t="n">
        <f aca="false">'Смета Внутр'!G1595</f>
        <v>0</v>
      </c>
      <c r="I1588" s="1004" t="n">
        <f aca="false">'Смета Внутр'!H1595</f>
        <v>0</v>
      </c>
      <c r="J1588" s="1018" t="n">
        <f aca="false">'Смета Внутр'!I1595</f>
        <v>0</v>
      </c>
    </row>
    <row r="1589" customFormat="false" ht="15" hidden="false" customHeight="true" outlineLevel="0" collapsed="false">
      <c r="B1589" s="1004" t="str">
        <f aca="false">'Смета Внутр'!B1596</f>
        <v>Кровельный саморез</v>
      </c>
      <c r="C1589" s="1004" t="str">
        <f aca="false">'Смета Внутр'!C1596</f>
        <v>шт</v>
      </c>
      <c r="D1589" s="1018" t="n">
        <f aca="false">'Смета Внутр'!D1596</f>
        <v>2854.02305066723</v>
      </c>
      <c r="E1589" s="1004" t="n">
        <f aca="false">'Смета Внутр'!E1596</f>
        <v>2</v>
      </c>
      <c r="F1589" s="1004" t="n">
        <f aca="false">'Смета Внутр'!F1596</f>
        <v>0</v>
      </c>
      <c r="G1589" s="1004" t="n">
        <f aca="false">IF(E1589&gt;F1589,E1589,F1589)</f>
        <v>2</v>
      </c>
      <c r="H1589" s="1004" t="n">
        <f aca="false">'Смета Внутр'!G1596</f>
        <v>5708.04610133447</v>
      </c>
      <c r="I1589" s="1004" t="n">
        <f aca="false">'Смета Внутр'!H1596</f>
        <v>0</v>
      </c>
      <c r="J1589" s="1018" t="n">
        <f aca="false">'Смета Внутр'!I1596</f>
        <v>0</v>
      </c>
    </row>
    <row r="1590" customFormat="false" ht="15" hidden="false" customHeight="true" outlineLevel="0" collapsed="false">
      <c r="B1590" s="1004" t="str">
        <f aca="false">'Смета Внутр'!B1597</f>
        <v>Гвозди ершоные 3,4 x 60</v>
      </c>
      <c r="C1590" s="1004" t="str">
        <f aca="false">'Смета Внутр'!C1597</f>
        <v>кг</v>
      </c>
      <c r="D1590" s="1018" t="n">
        <f aca="false">'Смета Внутр'!D1597</f>
        <v>23.1889372866713</v>
      </c>
      <c r="E1590" s="1004" t="n">
        <f aca="false">'Смета Внутр'!E1597</f>
        <v>75.51</v>
      </c>
      <c r="F1590" s="1004" t="n">
        <f aca="false">'Смета Внутр'!F1597</f>
        <v>0</v>
      </c>
      <c r="G1590" s="1004" t="n">
        <f aca="false">IF(E1590&gt;F1590,E1590,F1590)</f>
        <v>75.51</v>
      </c>
      <c r="H1590" s="1004" t="n">
        <f aca="false">'Смета Внутр'!G1597</f>
        <v>1750.99665451655</v>
      </c>
      <c r="I1590" s="1004" t="n">
        <f aca="false">'Смета Внутр'!H1597</f>
        <v>0</v>
      </c>
      <c r="J1590" s="1018" t="n">
        <f aca="false">'Смета Внутр'!I1597</f>
        <v>0</v>
      </c>
    </row>
    <row r="1591" customFormat="false" ht="15" hidden="false" customHeight="true" outlineLevel="0" collapsed="false">
      <c r="B1591" s="1004" t="str">
        <f aca="false">'Смета Внутр'!B1598</f>
        <v>Гвозди ершоные 2,8 х 90</v>
      </c>
      <c r="C1591" s="1004" t="str">
        <f aca="false">'Смета Внутр'!C1598</f>
        <v>кг</v>
      </c>
      <c r="D1591" s="1018" t="n">
        <f aca="false">'Смета Внутр'!D1598</f>
        <v>31.9698944918615</v>
      </c>
      <c r="E1591" s="1004" t="n">
        <f aca="false">'Смета Внутр'!E1598</f>
        <v>76.49</v>
      </c>
      <c r="F1591" s="1004" t="n">
        <f aca="false">'Смета Внутр'!F1598</f>
        <v>0</v>
      </c>
      <c r="G1591" s="1004" t="n">
        <f aca="false">IF(E1591&gt;F1591,E1591,F1591)</f>
        <v>76.49</v>
      </c>
      <c r="H1591" s="1004" t="n">
        <f aca="false">'Смета Внутр'!G1598</f>
        <v>2445.37722968249</v>
      </c>
      <c r="I1591" s="1004" t="n">
        <f aca="false">'Смета Внутр'!H1598</f>
        <v>0</v>
      </c>
      <c r="J1591" s="1018" t="n">
        <f aca="false">'Смета Внутр'!I1598</f>
        <v>0</v>
      </c>
    </row>
    <row r="1592" customFormat="false" ht="15" hidden="false" customHeight="true" outlineLevel="0" collapsed="false">
      <c r="B1592" s="1004" t="str">
        <f aca="false">'Смета Внутр'!B1599</f>
        <v>Пластина соеденительная 100х240х2</v>
      </c>
      <c r="C1592" s="1004" t="str">
        <f aca="false">'Смета Внутр'!C1599</f>
        <v>шт</v>
      </c>
      <c r="D1592" s="1018" t="n">
        <f aca="false">'Смета Внутр'!D1599</f>
        <v>33.9764648888956</v>
      </c>
      <c r="E1592" s="1004" t="n">
        <f aca="false">'Смета Внутр'!E1599</f>
        <v>31.54</v>
      </c>
      <c r="F1592" s="1004" t="n">
        <f aca="false">'Смета Внутр'!F1599</f>
        <v>0</v>
      </c>
      <c r="G1592" s="1004" t="n">
        <f aca="false">IF(E1592&gt;F1592,E1592,F1592)</f>
        <v>31.54</v>
      </c>
      <c r="H1592" s="1004" t="n">
        <f aca="false">'Смета Внутр'!G1599</f>
        <v>1071.61770259577</v>
      </c>
      <c r="I1592" s="1004" t="n">
        <f aca="false">'Смета Внутр'!H1599</f>
        <v>0</v>
      </c>
      <c r="J1592" s="1018" t="n">
        <f aca="false">'Смета Внутр'!I1599</f>
        <v>0</v>
      </c>
    </row>
    <row r="1593" customFormat="false" ht="15" hidden="false" customHeight="true" outlineLevel="0" collapsed="false">
      <c r="B1593" s="1004" t="str">
        <f aca="false">'Смета Внутр'!B1600</f>
        <v>Уголок усиленный 90х70х55х2,5</v>
      </c>
      <c r="C1593" s="1004" t="str">
        <f aca="false">'Смета Внутр'!C1600</f>
        <v>шт</v>
      </c>
      <c r="D1593" s="1018" t="n">
        <f aca="false">'Смета Внутр'!D1600</f>
        <v>475.670508444539</v>
      </c>
      <c r="E1593" s="1004" t="n">
        <f aca="false">'Смета Внутр'!E1600</f>
        <v>30</v>
      </c>
      <c r="F1593" s="1004" t="n">
        <f aca="false">'Смета Внутр'!F1600</f>
        <v>0</v>
      </c>
      <c r="G1593" s="1004" t="n">
        <f aca="false">IF(E1593&gt;F1593,E1593,F1593)</f>
        <v>30</v>
      </c>
      <c r="H1593" s="1004" t="n">
        <f aca="false">'Смета Внутр'!G1600</f>
        <v>14270.1152533362</v>
      </c>
      <c r="I1593" s="1004" t="n">
        <f aca="false">'Смета Внутр'!H1600</f>
        <v>0</v>
      </c>
      <c r="J1593" s="1018" t="n">
        <f aca="false">'Смета Внутр'!I1600</f>
        <v>0</v>
      </c>
    </row>
    <row r="1594" customFormat="false" ht="14.5" hidden="false" customHeight="false" outlineLevel="0" collapsed="false">
      <c r="B1594" s="2927" t="str">
        <f aca="false">'Смета Внутр'!B1601</f>
        <v>Итого материалы</v>
      </c>
      <c r="C1594" s="2927"/>
      <c r="D1594" s="2927"/>
      <c r="E1594" s="2927"/>
      <c r="F1594" s="2927"/>
      <c r="G1594" s="2927"/>
      <c r="H1594" s="1004" t="n">
        <f aca="false">'Смета Внутр'!G1601</f>
        <v>0</v>
      </c>
      <c r="I1594" s="1004" t="n">
        <f aca="false">'Смета Внутр'!H1601</f>
        <v>0</v>
      </c>
      <c r="J1594" s="1018" t="n">
        <f aca="false">'Смета Внутр'!I1601</f>
        <v>0</v>
      </c>
    </row>
    <row r="1595" customFormat="false" ht="15" hidden="false" customHeight="true" outlineLevel="0" collapsed="false">
      <c r="B1595" s="2881" t="str">
        <f aca="false">'Смета Внутр'!B1602</f>
        <v>Работы</v>
      </c>
      <c r="D1595" s="919"/>
      <c r="H1595" s="0" t="n">
        <f aca="false">'Смета Внутр'!G1602</f>
        <v>0</v>
      </c>
      <c r="I1595" s="0" t="n">
        <f aca="false">'Смета Внутр'!H1602</f>
        <v>0</v>
      </c>
      <c r="J1595" s="2926" t="n">
        <f aca="false">'Смета Внутр'!I1602</f>
        <v>0</v>
      </c>
    </row>
    <row r="1596" customFormat="false" ht="15" hidden="false" customHeight="true" outlineLevel="0" collapsed="false">
      <c r="B1596" s="1004" t="str">
        <f aca="false">'Смета Внутр'!B1603</f>
        <v>монтаж мауэрлат</v>
      </c>
      <c r="C1596" s="1004" t="str">
        <f aca="false">'Смета Внутр'!C1603</f>
        <v>м.п.</v>
      </c>
      <c r="D1596" s="1018" t="n">
        <f aca="false">'Смета Внутр'!D1603</f>
        <v>139.092651273109</v>
      </c>
      <c r="E1596" s="1004" t="n">
        <f aca="false">'Смета Внутр'!E1603</f>
        <v>250</v>
      </c>
      <c r="F1596" s="1004" t="n">
        <f aca="false">'Смета Внутр'!F1603</f>
        <v>0</v>
      </c>
      <c r="G1596" s="1004" t="n">
        <f aca="false">IF(E1596&gt;F1596,E1596,F1596)</f>
        <v>250</v>
      </c>
      <c r="H1596" s="1004" t="n">
        <f aca="false">'Смета Внутр'!G1603</f>
        <v>34773.1628182773</v>
      </c>
      <c r="I1596" s="1004" t="n">
        <f aca="false">'Смета Внутр'!H1603</f>
        <v>0</v>
      </c>
      <c r="J1596" s="1018" t="n">
        <f aca="false">'Смета Внутр'!I1603</f>
        <v>0</v>
      </c>
    </row>
    <row r="1597" customFormat="false" ht="15" hidden="false" customHeight="true" outlineLevel="0" collapsed="false">
      <c r="B1597" s="1004" t="str">
        <f aca="false">'Смета Внутр'!B1604</f>
        <v>монтаж стропил</v>
      </c>
      <c r="C1597" s="1004" t="str">
        <f aca="false">'Смета Внутр'!C1604</f>
        <v>м2</v>
      </c>
      <c r="D1597" s="1018" t="n">
        <f aca="false">'Смета Внутр'!D1604</f>
        <v>237.835254222269</v>
      </c>
      <c r="E1597" s="1004" t="n">
        <f aca="false">'Смета Внутр'!E1604</f>
        <v>450</v>
      </c>
      <c r="F1597" s="1004" t="n">
        <f aca="false">'Смета Внутр'!F1604</f>
        <v>0</v>
      </c>
      <c r="G1597" s="1004" t="n">
        <f aca="false">IF(E1597&gt;F1597,E1597,F1597)</f>
        <v>450</v>
      </c>
      <c r="H1597" s="1004" t="n">
        <f aca="false">'Смета Внутр'!G1604</f>
        <v>107025.864400021</v>
      </c>
      <c r="I1597" s="1004" t="n">
        <f aca="false">'Смета Внутр'!H1604</f>
        <v>0</v>
      </c>
      <c r="J1597" s="1018" t="n">
        <f aca="false">'Смета Внутр'!I1604</f>
        <v>0</v>
      </c>
    </row>
    <row r="1598" customFormat="false" ht="15" hidden="false" customHeight="true" outlineLevel="0" collapsed="false">
      <c r="B1598" s="1004" t="str">
        <f aca="false">'Смета Внутр'!B1605</f>
        <v>обрешетка</v>
      </c>
      <c r="C1598" s="1004" t="str">
        <f aca="false">'Смета Внутр'!C1605</f>
        <v>м2</v>
      </c>
      <c r="D1598" s="1018" t="n">
        <f aca="false">'Смета Внутр'!D1605</f>
        <v>237.835254222269</v>
      </c>
      <c r="E1598" s="1004" t="n">
        <f aca="false">'Смета Внутр'!E1605</f>
        <v>100</v>
      </c>
      <c r="F1598" s="1004" t="n">
        <f aca="false">'Смета Внутр'!F1605</f>
        <v>0</v>
      </c>
      <c r="G1598" s="1004" t="n">
        <f aca="false">IF(E1598&gt;F1598,E1598,F1598)</f>
        <v>100</v>
      </c>
      <c r="H1598" s="1004" t="n">
        <f aca="false">'Смета Внутр'!G1605</f>
        <v>23783.5254222269</v>
      </c>
      <c r="I1598" s="1004" t="n">
        <f aca="false">'Смета Внутр'!H1605</f>
        <v>0</v>
      </c>
      <c r="J1598" s="1018" t="n">
        <f aca="false">'Смета Внутр'!I1605</f>
        <v>0</v>
      </c>
    </row>
    <row r="1599" customFormat="false" ht="15" hidden="false" customHeight="true" outlineLevel="0" collapsed="false">
      <c r="B1599" s="1004" t="str">
        <f aca="false">'Смета Внутр'!B1606</f>
        <v>контробеш</v>
      </c>
      <c r="C1599" s="1004" t="str">
        <f aca="false">'Смета Внутр'!C1606</f>
        <v>м2</v>
      </c>
      <c r="D1599" s="1018" t="n">
        <f aca="false">'Смета Внутр'!D1606</f>
        <v>237.835254222269</v>
      </c>
      <c r="E1599" s="1004" t="n">
        <f aca="false">'Смета Внутр'!E1606</f>
        <v>100</v>
      </c>
      <c r="F1599" s="1004" t="n">
        <f aca="false">'Смета Внутр'!F1606</f>
        <v>0</v>
      </c>
      <c r="G1599" s="1004" t="n">
        <f aca="false">IF(E1599&gt;F1599,E1599,F1599)</f>
        <v>100</v>
      </c>
      <c r="H1599" s="1004" t="n">
        <f aca="false">'Смета Внутр'!G1606</f>
        <v>23783.5254222269</v>
      </c>
      <c r="I1599" s="1004" t="n">
        <f aca="false">'Смета Внутр'!H1606</f>
        <v>0</v>
      </c>
      <c r="J1599" s="1018" t="n">
        <f aca="false">'Смета Внутр'!I1606</f>
        <v>0</v>
      </c>
    </row>
    <row r="1600" customFormat="false" ht="15" hidden="false" customHeight="true" outlineLevel="0" collapsed="false">
      <c r="B1600" s="1004" t="str">
        <f aca="false">'Смета Внутр'!B1607</f>
        <v>мембрана</v>
      </c>
      <c r="C1600" s="1004" t="str">
        <f aca="false">'Смета Внутр'!C1607</f>
        <v>м2</v>
      </c>
      <c r="D1600" s="1018" t="n">
        <f aca="false">'Смета Внутр'!D1607</f>
        <v>237.835254222269</v>
      </c>
      <c r="E1600" s="1004" t="n">
        <f aca="false">'Смета Внутр'!E1607</f>
        <v>100</v>
      </c>
      <c r="F1600" s="1004" t="n">
        <f aca="false">'Смета Внутр'!F1607</f>
        <v>0</v>
      </c>
      <c r="G1600" s="1004" t="n">
        <f aca="false">IF(E1600&gt;F1600,E1600,F1600)</f>
        <v>100</v>
      </c>
      <c r="H1600" s="1004" t="n">
        <f aca="false">'Смета Внутр'!G1607</f>
        <v>23783.5254222269</v>
      </c>
      <c r="I1600" s="1004" t="n">
        <f aca="false">'Смета Внутр'!H1607</f>
        <v>0</v>
      </c>
      <c r="J1600" s="1018" t="n">
        <f aca="false">'Смета Внутр'!I1607</f>
        <v>0</v>
      </c>
    </row>
    <row r="1601" customFormat="false" ht="15" hidden="false" customHeight="true" outlineLevel="0" collapsed="false">
      <c r="B1601" s="1004" t="str">
        <f aca="false">'Смета Внутр'!B1608</f>
        <v>пароизоляц</v>
      </c>
      <c r="C1601" s="1004" t="str">
        <f aca="false">'Смета Внутр'!C1608</f>
        <v>м2</v>
      </c>
      <c r="D1601" s="1018" t="n">
        <f aca="false">'Смета Внутр'!D1608</f>
        <v>237.835254222269</v>
      </c>
      <c r="E1601" s="1004" t="n">
        <f aca="false">'Смета Внутр'!E1608</f>
        <v>100</v>
      </c>
      <c r="F1601" s="1004" t="n">
        <f aca="false">'Смета Внутр'!F1608</f>
        <v>0</v>
      </c>
      <c r="G1601" s="1004" t="n">
        <f aca="false">IF(E1601&gt;F1601,E1601,F1601)</f>
        <v>100</v>
      </c>
      <c r="H1601" s="1004" t="n">
        <f aca="false">'Смета Внутр'!G1608</f>
        <v>23783.5254222269</v>
      </c>
      <c r="I1601" s="1004" t="n">
        <f aca="false">'Смета Внутр'!H1608</f>
        <v>0</v>
      </c>
      <c r="J1601" s="1018" t="n">
        <f aca="false">'Смета Внутр'!I1608</f>
        <v>0</v>
      </c>
    </row>
    <row r="1602" customFormat="false" ht="15" hidden="false" customHeight="true" outlineLevel="0" collapsed="false">
      <c r="B1602" s="1004" t="str">
        <f aca="false">'Смета Внутр'!B1609</f>
        <v>утеплитель</v>
      </c>
      <c r="C1602" s="1004" t="str">
        <f aca="false">'Смета Внутр'!C1609</f>
        <v>м2</v>
      </c>
      <c r="D1602" s="1018" t="n">
        <f aca="false">'Смета Внутр'!D1609</f>
        <v>237.835254222269</v>
      </c>
      <c r="E1602" s="1004" t="n">
        <f aca="false">'Смета Внутр'!E1609</f>
        <v>200</v>
      </c>
      <c r="F1602" s="1004" t="n">
        <f aca="false">'Смета Внутр'!F1609</f>
        <v>0</v>
      </c>
      <c r="G1602" s="1004" t="n">
        <f aca="false">IF(E1602&gt;F1602,E1602,F1602)</f>
        <v>200</v>
      </c>
      <c r="H1602" s="1004" t="n">
        <f aca="false">'Смета Внутр'!G1609</f>
        <v>47567.0508444539</v>
      </c>
      <c r="I1602" s="1004" t="n">
        <f aca="false">'Смета Внутр'!H1609</f>
        <v>0</v>
      </c>
      <c r="J1602" s="1018" t="n">
        <f aca="false">'Смета Внутр'!I1609</f>
        <v>0</v>
      </c>
    </row>
    <row r="1603" customFormat="false" ht="15" hidden="false" customHeight="true" outlineLevel="0" collapsed="false">
      <c r="B1603" s="1004" t="str">
        <f aca="false">'Смета Внутр'!B1610</f>
        <v>Монтаж металлочерепицы</v>
      </c>
      <c r="C1603" s="1004" t="str">
        <f aca="false">'Смета Внутр'!C1610</f>
        <v>м2</v>
      </c>
      <c r="D1603" s="1018" t="n">
        <f aca="false">'Смета Внутр'!D1610</f>
        <v>237.835254222269</v>
      </c>
      <c r="E1603" s="1004" t="n">
        <f aca="false">'Смета Внутр'!E1610</f>
        <v>300</v>
      </c>
      <c r="F1603" s="1004" t="n">
        <f aca="false">'Смета Внутр'!F1610</f>
        <v>0</v>
      </c>
      <c r="G1603" s="1004" t="n">
        <f aca="false">IF(E1603&gt;F1603,E1603,F1603)</f>
        <v>300</v>
      </c>
      <c r="H1603" s="1004" t="n">
        <f aca="false">'Смета Внутр'!G1610</f>
        <v>71350.5762666808</v>
      </c>
      <c r="I1603" s="1004" t="n">
        <f aca="false">'Смета Внутр'!H1610</f>
        <v>0</v>
      </c>
      <c r="J1603" s="1018" t="n">
        <f aca="false">'Смета Внутр'!I1610</f>
        <v>0</v>
      </c>
    </row>
    <row r="1604" customFormat="false" ht="15" hidden="false" customHeight="true" outlineLevel="0" collapsed="false">
      <c r="B1604" s="1004" t="str">
        <f aca="false">'Смета Внутр'!B1611</f>
        <v>ендова верхняя планка</v>
      </c>
      <c r="C1604" s="1004" t="str">
        <f aca="false">'Смета Внутр'!C1611</f>
        <v>м.п.</v>
      </c>
      <c r="D1604" s="1018" t="n">
        <f aca="false">'Смета Внутр'!D1611</f>
        <v>0</v>
      </c>
      <c r="E1604" s="1004" t="n">
        <f aca="false">'Смета Внутр'!E1611</f>
        <v>100</v>
      </c>
      <c r="F1604" s="1004" t="n">
        <f aca="false">'Смета Внутр'!F1611</f>
        <v>0</v>
      </c>
      <c r="G1604" s="1004" t="n">
        <f aca="false">IF(E1604&gt;F1604,E1604,F1604)</f>
        <v>100</v>
      </c>
      <c r="H1604" s="1004" t="n">
        <f aca="false">'Смета Внутр'!G1611</f>
        <v>0</v>
      </c>
      <c r="I1604" s="1004" t="n">
        <f aca="false">'Смета Внутр'!H1611</f>
        <v>0</v>
      </c>
      <c r="J1604" s="1018" t="n">
        <f aca="false">'Смета Внутр'!I1611</f>
        <v>0</v>
      </c>
    </row>
    <row r="1605" customFormat="false" ht="15" hidden="false" customHeight="true" outlineLevel="0" collapsed="false">
      <c r="B1605" s="1004" t="str">
        <f aca="false">'Смета Внутр'!B1612</f>
        <v>капельник планка</v>
      </c>
      <c r="C1605" s="1004" t="str">
        <f aca="false">'Смета Внутр'!C1612</f>
        <v>м.п.</v>
      </c>
      <c r="D1605" s="1018" t="n">
        <f aca="false">'Смета Внутр'!D1612</f>
        <v>62</v>
      </c>
      <c r="E1605" s="1004" t="n">
        <f aca="false">'Смета Внутр'!E1612</f>
        <v>100</v>
      </c>
      <c r="F1605" s="1004" t="n">
        <f aca="false">'Смета Внутр'!F1612</f>
        <v>0</v>
      </c>
      <c r="G1605" s="1004" t="n">
        <f aca="false">IF(E1605&gt;F1605,E1605,F1605)</f>
        <v>100</v>
      </c>
      <c r="H1605" s="1004" t="n">
        <f aca="false">'Смета Внутр'!G1612</f>
        <v>6200</v>
      </c>
      <c r="I1605" s="1004" t="n">
        <f aca="false">'Смета Внутр'!H1612</f>
        <v>0</v>
      </c>
      <c r="J1605" s="1018" t="n">
        <f aca="false">'Смета Внутр'!I1612</f>
        <v>0</v>
      </c>
    </row>
    <row r="1606" customFormat="false" ht="15" hidden="false" customHeight="true" outlineLevel="0" collapsed="false">
      <c r="B1606" s="1004" t="str">
        <f aca="false">'Смета Внутр'!B1613</f>
        <v>желоб водосточный</v>
      </c>
      <c r="C1606" s="1004" t="str">
        <f aca="false">'Смета Внутр'!C1613</f>
        <v>м.п.</v>
      </c>
      <c r="D1606" s="1018" t="n">
        <f aca="false">'Смета Внутр'!D1613</f>
        <v>51.6666666666667</v>
      </c>
      <c r="E1606" s="1004" t="n">
        <f aca="false">'Смета Внутр'!E1613</f>
        <v>300</v>
      </c>
      <c r="F1606" s="1004" t="n">
        <f aca="false">'Смета Внутр'!F1613</f>
        <v>0</v>
      </c>
      <c r="G1606" s="1004" t="n">
        <f aca="false">IF(E1606&gt;F1606,E1606,F1606)</f>
        <v>300</v>
      </c>
      <c r="H1606" s="1004" t="n">
        <f aca="false">'Смета Внутр'!G1613</f>
        <v>15500</v>
      </c>
      <c r="I1606" s="1004" t="n">
        <f aca="false">'Смета Внутр'!H1613</f>
        <v>0</v>
      </c>
      <c r="J1606" s="1018" t="n">
        <f aca="false">'Смета Внутр'!I1613</f>
        <v>0</v>
      </c>
    </row>
    <row r="1607" customFormat="false" ht="15" hidden="false" customHeight="true" outlineLevel="0" collapsed="false">
      <c r="B1607" s="1004" t="str">
        <f aca="false">'Смета Внутр'!B1614</f>
        <v>труба водосточная</v>
      </c>
      <c r="C1607" s="1004" t="str">
        <f aca="false">'Смета Внутр'!C1614</f>
        <v>м.п.</v>
      </c>
      <c r="D1607" s="1018" t="n">
        <f aca="false">'Смета Внутр'!D1614</f>
        <v>62</v>
      </c>
      <c r="E1607" s="1004" t="n">
        <f aca="false">'Смета Внутр'!E1614</f>
        <v>300</v>
      </c>
      <c r="F1607" s="1004" t="n">
        <f aca="false">'Смета Внутр'!F1614</f>
        <v>0</v>
      </c>
      <c r="G1607" s="1004" t="n">
        <f aca="false">IF(E1607&gt;F1607,E1607,F1607)</f>
        <v>300</v>
      </c>
      <c r="H1607" s="1004" t="n">
        <f aca="false">'Смета Внутр'!G1614</f>
        <v>18600</v>
      </c>
      <c r="I1607" s="1004" t="n">
        <f aca="false">'Смета Внутр'!H1614</f>
        <v>0</v>
      </c>
      <c r="J1607" s="1018" t="n">
        <f aca="false">'Смета Внутр'!I1614</f>
        <v>0</v>
      </c>
    </row>
    <row r="1608" customFormat="false" ht="15" hidden="false" customHeight="true" outlineLevel="0" collapsed="false">
      <c r="B1608" s="1004" t="str">
        <f aca="false">'Смета Внутр'!B1615</f>
        <v>карнизная планка</v>
      </c>
      <c r="C1608" s="1004" t="str">
        <f aca="false">'Смета Внутр'!C1615</f>
        <v>м.п.</v>
      </c>
      <c r="D1608" s="1018" t="n">
        <f aca="false">'Смета Внутр'!D1615</f>
        <v>26.9072480941474</v>
      </c>
      <c r="E1608" s="1004" t="n">
        <f aca="false">'Смета Внутр'!E1615</f>
        <v>300</v>
      </c>
      <c r="F1608" s="1004" t="n">
        <f aca="false">'Смета Внутр'!F1615</f>
        <v>0</v>
      </c>
      <c r="G1608" s="1004" t="n">
        <f aca="false">IF(E1608&gt;F1608,E1608,F1608)</f>
        <v>300</v>
      </c>
      <c r="H1608" s="1004" t="n">
        <f aca="false">'Смета Внутр'!G1615</f>
        <v>8072.17442824423</v>
      </c>
      <c r="I1608" s="1004" t="n">
        <f aca="false">'Смета Внутр'!H1615</f>
        <v>0</v>
      </c>
      <c r="J1608" s="1018" t="n">
        <f aca="false">'Смета Внутр'!I1615</f>
        <v>0</v>
      </c>
    </row>
    <row r="1609" customFormat="false" ht="15" hidden="false" customHeight="true" outlineLevel="0" collapsed="false">
      <c r="B1609" s="1004" t="str">
        <f aca="false">'Смета Внутр'!B1616</f>
        <v>конек</v>
      </c>
      <c r="C1609" s="1004" t="str">
        <f aca="false">'Смета Внутр'!C1616</f>
        <v>м.п.</v>
      </c>
      <c r="D1609" s="1018" t="n">
        <f aca="false">'Смета Внутр'!D1616</f>
        <v>6</v>
      </c>
      <c r="E1609" s="1004" t="n">
        <f aca="false">'Смета Внутр'!E1616</f>
        <v>300</v>
      </c>
      <c r="F1609" s="1004" t="n">
        <f aca="false">'Смета Внутр'!F1616</f>
        <v>0</v>
      </c>
      <c r="G1609" s="1004" t="n">
        <f aca="false">IF(E1609&gt;F1609,E1609,F1609)</f>
        <v>300</v>
      </c>
      <c r="H1609" s="1004" t="n">
        <f aca="false">'Смета Внутр'!G1616</f>
        <v>1800</v>
      </c>
      <c r="I1609" s="1004" t="n">
        <f aca="false">'Смета Внутр'!H1616</f>
        <v>0</v>
      </c>
      <c r="J1609" s="1018" t="n">
        <f aca="false">'Смета Внутр'!I1616</f>
        <v>0</v>
      </c>
    </row>
    <row r="1610" customFormat="false" ht="15" hidden="false" customHeight="true" outlineLevel="0" collapsed="false">
      <c r="B1610" s="1004" t="str">
        <f aca="false">'Смета Внутр'!B1617</f>
        <v>Монтаж ондулина</v>
      </c>
      <c r="C1610" s="1004" t="str">
        <f aca="false">'Смета Внутр'!C1617</f>
        <v>м2</v>
      </c>
      <c r="D1610" s="1018" t="n">
        <f aca="false">'Смета Внутр'!D1617</f>
        <v>0</v>
      </c>
      <c r="E1610" s="1004" t="n">
        <f aca="false">'Смета Внутр'!E1617</f>
        <v>300</v>
      </c>
      <c r="F1610" s="1004" t="n">
        <f aca="false">'Смета Внутр'!F1617</f>
        <v>0</v>
      </c>
      <c r="G1610" s="1004" t="n">
        <f aca="false">IF(E1610&gt;F1610,E1610,F1610)</f>
        <v>300</v>
      </c>
      <c r="H1610" s="1004" t="n">
        <f aca="false">'Смета Внутр'!G1617</f>
        <v>0</v>
      </c>
      <c r="I1610" s="1004" t="n">
        <f aca="false">'Смета Внутр'!H1617</f>
        <v>0</v>
      </c>
      <c r="J1610" s="1018" t="n">
        <f aca="false">'Смета Внутр'!I1617</f>
        <v>0</v>
      </c>
    </row>
    <row r="1611" customFormat="false" ht="15" hidden="false" customHeight="true" outlineLevel="0" collapsed="false">
      <c r="B1611" s="1004" t="str">
        <f aca="false">'Смета Внутр'!B1618</f>
        <v>Монтаж фанеры/osb</v>
      </c>
      <c r="C1611" s="1004" t="str">
        <f aca="false">'Смета Внутр'!C1618</f>
        <v>м2</v>
      </c>
      <c r="D1611" s="1018" t="n">
        <f aca="false">'Смета Внутр'!D1618</f>
        <v>0</v>
      </c>
      <c r="E1611" s="1004" t="n">
        <f aca="false">'Смета Внутр'!E1618</f>
        <v>200</v>
      </c>
      <c r="F1611" s="1004" t="n">
        <f aca="false">'Смета Внутр'!F1618</f>
        <v>0</v>
      </c>
      <c r="G1611" s="1004" t="n">
        <f aca="false">IF(E1611&gt;F1611,E1611,F1611)</f>
        <v>200</v>
      </c>
      <c r="H1611" s="1004" t="n">
        <f aca="false">'Смета Внутр'!G1618</f>
        <v>0</v>
      </c>
      <c r="I1611" s="1004" t="n">
        <f aca="false">'Смета Внутр'!H1618</f>
        <v>0</v>
      </c>
      <c r="J1611" s="1018" t="n">
        <f aca="false">'Смета Внутр'!I1618</f>
        <v>0</v>
      </c>
    </row>
    <row r="1612" customFormat="false" ht="15" hidden="false" customHeight="true" outlineLevel="0" collapsed="false">
      <c r="B1612" s="1004" t="str">
        <f aca="false">'Смета Внутр'!B1619</f>
        <v>монтаж подкладочного ковра</v>
      </c>
      <c r="C1612" s="1004" t="str">
        <f aca="false">'Смета Внутр'!C1619</f>
        <v>м2</v>
      </c>
      <c r="D1612" s="1018" t="n">
        <f aca="false">'Смета Внутр'!D1619</f>
        <v>0</v>
      </c>
      <c r="E1612" s="1004" t="n">
        <f aca="false">'Смета Внутр'!E1619</f>
        <v>150</v>
      </c>
      <c r="F1612" s="1004" t="n">
        <f aca="false">'Смета Внутр'!F1619</f>
        <v>0</v>
      </c>
      <c r="G1612" s="1004" t="n">
        <f aca="false">IF(E1612&gt;F1612,E1612,F1612)</f>
        <v>150</v>
      </c>
      <c r="H1612" s="1004" t="n">
        <f aca="false">'Смета Внутр'!G1619</f>
        <v>0</v>
      </c>
      <c r="I1612" s="1004" t="n">
        <f aca="false">'Смета Внутр'!H1619</f>
        <v>0</v>
      </c>
      <c r="J1612" s="1018" t="n">
        <f aca="false">'Смета Внутр'!I1619</f>
        <v>0</v>
      </c>
    </row>
    <row r="1613" customFormat="false" ht="15" hidden="false" customHeight="true" outlineLevel="0" collapsed="false">
      <c r="B1613" s="1004" t="str">
        <f aca="false">'Смета Внутр'!B1620</f>
        <v>Монтаж мягкой кровли</v>
      </c>
      <c r="C1613" s="1004" t="str">
        <f aca="false">'Смета Внутр'!C1620</f>
        <v>м2</v>
      </c>
      <c r="D1613" s="1018" t="n">
        <f aca="false">'Смета Внутр'!D1620</f>
        <v>0</v>
      </c>
      <c r="E1613" s="1004" t="n">
        <f aca="false">'Смета Внутр'!E1620</f>
        <v>350</v>
      </c>
      <c r="F1613" s="1004" t="n">
        <f aca="false">'Смета Внутр'!F1620</f>
        <v>0</v>
      </c>
      <c r="G1613" s="1004" t="n">
        <f aca="false">IF(E1613&gt;F1613,E1613,F1613)</f>
        <v>350</v>
      </c>
      <c r="H1613" s="1004" t="n">
        <f aca="false">'Смета Внутр'!G1620</f>
        <v>0</v>
      </c>
      <c r="I1613" s="1004" t="n">
        <f aca="false">'Смета Внутр'!H1620</f>
        <v>0</v>
      </c>
      <c r="J1613" s="1018" t="n">
        <f aca="false">'Смета Внутр'!I1620</f>
        <v>0</v>
      </c>
    </row>
    <row r="1614" customFormat="false" ht="15" hidden="false" customHeight="true" outlineLevel="0" collapsed="false">
      <c r="B1614" s="2927" t="str">
        <f aca="false">'Смета Внутр'!B1621</f>
        <v>Итого работы</v>
      </c>
      <c r="C1614" s="2927"/>
      <c r="D1614" s="2927"/>
      <c r="E1614" s="2927"/>
      <c r="F1614" s="2927"/>
      <c r="G1614" s="2927"/>
      <c r="H1614" s="1004" t="n">
        <f aca="false">'Смета Внутр'!G1621</f>
        <v>0</v>
      </c>
      <c r="I1614" s="1004" t="n">
        <f aca="false">'Смета Внутр'!H1621</f>
        <v>0</v>
      </c>
      <c r="J1614" s="1018" t="n">
        <f aca="false">'Смета Внутр'!I1621</f>
        <v>0</v>
      </c>
    </row>
    <row r="1615" customFormat="false" ht="15" hidden="false" customHeight="true" outlineLevel="0" collapsed="false">
      <c r="B1615" s="2925" t="str">
        <f aca="false">'Смета Внутр'!B1622</f>
        <v>Элементы на кровле</v>
      </c>
      <c r="C1615" s="2925"/>
      <c r="D1615" s="2925"/>
      <c r="H1615" s="0" t="n">
        <f aca="false">'Смета Внутр'!G1622</f>
        <v>0</v>
      </c>
      <c r="I1615" s="0" t="n">
        <f aca="false">'Смета Внутр'!H1622</f>
        <v>0</v>
      </c>
      <c r="J1615" s="2926" t="n">
        <f aca="false">'Смета Внутр'!I1622</f>
        <v>0</v>
      </c>
    </row>
    <row r="1616" customFormat="false" ht="15" hidden="false" customHeight="true" outlineLevel="0" collapsed="false">
      <c r="B1616" s="2881" t="str">
        <f aca="false">'Смета Внутр'!B1623</f>
        <v>Материалы</v>
      </c>
      <c r="D1616" s="919"/>
      <c r="H1616" s="0" t="n">
        <f aca="false">'Смета Внутр'!G1623</f>
        <v>0</v>
      </c>
      <c r="I1616" s="0" t="n">
        <f aca="false">'Смета Внутр'!H1623</f>
        <v>0</v>
      </c>
      <c r="J1616" s="2926" t="n">
        <f aca="false">'Смета Внутр'!I1623</f>
        <v>0</v>
      </c>
    </row>
    <row r="1617" customFormat="false" ht="15" hidden="false" customHeight="true" outlineLevel="0" collapsed="false">
      <c r="B1617" s="1004" t="str">
        <f aca="false">'Смета Внутр'!B1624</f>
        <v>Доска сухая, 200*50мм</v>
      </c>
      <c r="C1617" s="1004" t="str">
        <f aca="false">'Смета Внутр'!C1624</f>
        <v>м3</v>
      </c>
      <c r="D1617" s="1018" t="n">
        <f aca="false">'Смета Внутр'!D1624</f>
        <v>1.22337146290992</v>
      </c>
      <c r="E1617" s="1004" t="n">
        <f aca="false">'Смета Внутр'!E1624</f>
        <v>9000</v>
      </c>
      <c r="F1617" s="1004" t="n">
        <f aca="false">'Смета Внутр'!F1624</f>
        <v>0</v>
      </c>
      <c r="G1617" s="1004" t="n">
        <f aca="false">IF(E1617&gt;F1617,E1617,F1617)</f>
        <v>9000</v>
      </c>
      <c r="H1617" s="1004" t="n">
        <f aca="false">'Смета Внутр'!G1624</f>
        <v>11010.3431661892</v>
      </c>
      <c r="I1617" s="1004" t="n">
        <f aca="false">'Смета Внутр'!H1624</f>
        <v>0</v>
      </c>
      <c r="J1617" s="1018" t="n">
        <f aca="false">'Смета Внутр'!I1624</f>
        <v>0</v>
      </c>
    </row>
    <row r="1618" customFormat="false" ht="15" hidden="false" customHeight="true" outlineLevel="0" collapsed="false">
      <c r="B1618" s="1004" t="str">
        <f aca="false">'Смета Внутр'!B1625</f>
        <v>бугель, доска</v>
      </c>
      <c r="C1618" s="1004" t="str">
        <f aca="false">'Смета Внутр'!C1625</f>
        <v>м3</v>
      </c>
      <c r="D1618" s="1018" t="n">
        <f aca="false">'Смета Внутр'!D1625</f>
        <v>0.297</v>
      </c>
      <c r="E1618" s="1004" t="n">
        <f aca="false">'Смета Внутр'!E1625</f>
        <v>9000</v>
      </c>
      <c r="F1618" s="1004" t="n">
        <f aca="false">'Смета Внутр'!F1625</f>
        <v>0</v>
      </c>
      <c r="G1618" s="1004" t="n">
        <f aca="false">IF(E1618&gt;F1618,E1618,F1618)</f>
        <v>9000</v>
      </c>
      <c r="H1618" s="1004" t="n">
        <f aca="false">'Смета Внутр'!G1625</f>
        <v>2673</v>
      </c>
      <c r="I1618" s="1004" t="n">
        <f aca="false">'Смета Внутр'!H1625</f>
        <v>0</v>
      </c>
      <c r="J1618" s="1018" t="n">
        <f aca="false">'Смета Внутр'!I1625</f>
        <v>0</v>
      </c>
    </row>
    <row r="1619" customFormat="false" ht="15" hidden="false" customHeight="true" outlineLevel="0" collapsed="false">
      <c r="B1619" s="1004" t="str">
        <f aca="false">'Смета Внутр'!B1626</f>
        <v>стойка под конек</v>
      </c>
      <c r="C1619" s="1004" t="str">
        <f aca="false">'Смета Внутр'!C1626</f>
        <v>м3</v>
      </c>
      <c r="D1619" s="1018" t="n">
        <f aca="false">'Смета Внутр'!D1626</f>
        <v>0.421770876399966</v>
      </c>
      <c r="E1619" s="1004" t="n">
        <f aca="false">'Смета Внутр'!E1626</f>
        <v>9000</v>
      </c>
      <c r="F1619" s="1004" t="n">
        <f aca="false">'Смета Внутр'!F1626</f>
        <v>0</v>
      </c>
      <c r="G1619" s="1004" t="n">
        <f aca="false">IF(E1619&gt;F1619,E1619,F1619)</f>
        <v>9000</v>
      </c>
      <c r="H1619" s="1004" t="n">
        <f aca="false">'Смета Внутр'!G1626</f>
        <v>3795.9378875997</v>
      </c>
      <c r="I1619" s="1004" t="n">
        <f aca="false">'Смета Внутр'!H1626</f>
        <v>0</v>
      </c>
      <c r="J1619" s="1018" t="n">
        <f aca="false">'Смета Внутр'!I1626</f>
        <v>0</v>
      </c>
    </row>
    <row r="1620" customFormat="false" ht="15" hidden="false" customHeight="true" outlineLevel="0" collapsed="false">
      <c r="B1620" s="1004" t="str">
        <f aca="false">'Смета Внутр'!B1627</f>
        <v>Сосна влаж,100*25мм</v>
      </c>
      <c r="C1620" s="1004" t="str">
        <f aca="false">'Смета Внутр'!C1627</f>
        <v>м3</v>
      </c>
      <c r="D1620" s="1018" t="n">
        <f aca="false">'Смета Внутр'!D1627</f>
        <v>0.50612505167996</v>
      </c>
      <c r="E1620" s="1004" t="n">
        <f aca="false">'Смета Внутр'!E1627</f>
        <v>6500</v>
      </c>
      <c r="F1620" s="1004" t="n">
        <f aca="false">'Смета Внутр'!F1627</f>
        <v>0</v>
      </c>
      <c r="G1620" s="1004" t="n">
        <f aca="false">IF(E1620&gt;F1620,E1620,F1620)</f>
        <v>6500</v>
      </c>
      <c r="H1620" s="1004" t="n">
        <f aca="false">'Смета Внутр'!G1627</f>
        <v>3289.81283591974</v>
      </c>
      <c r="I1620" s="1004" t="n">
        <f aca="false">'Смета Внутр'!H1627</f>
        <v>0</v>
      </c>
      <c r="J1620" s="1018" t="n">
        <f aca="false">'Смета Внутр'!I1627</f>
        <v>0</v>
      </c>
    </row>
    <row r="1621" customFormat="false" ht="15" hidden="false" customHeight="true" outlineLevel="0" collapsed="false">
      <c r="B1621" s="1004" t="str">
        <f aca="false">'Смета Внутр'!B1628</f>
        <v>Доска сухая, калибр., 35*45мм</v>
      </c>
      <c r="C1621" s="1004" t="str">
        <f aca="false">'Смета Внутр'!C1628</f>
        <v>шт</v>
      </c>
      <c r="D1621" s="1018" t="n">
        <f aca="false">'Смета Внутр'!D1628</f>
        <v>0.116250597807741</v>
      </c>
      <c r="E1621" s="1004" t="n">
        <f aca="false">'Смета Внутр'!E1628</f>
        <v>12500</v>
      </c>
      <c r="F1621" s="1004" t="n">
        <f aca="false">'Смета Внутр'!F1628</f>
        <v>0</v>
      </c>
      <c r="G1621" s="1004" t="n">
        <f aca="false">IF(E1621&gt;F1621,E1621,F1621)</f>
        <v>12500</v>
      </c>
      <c r="H1621" s="1004" t="n">
        <f aca="false">'Смета Внутр'!G1628</f>
        <v>1453.13247259676</v>
      </c>
      <c r="I1621" s="1004" t="n">
        <f aca="false">'Смета Внутр'!H1628</f>
        <v>0</v>
      </c>
      <c r="J1621" s="1018" t="n">
        <f aca="false">'Смета Внутр'!I1628</f>
        <v>0</v>
      </c>
    </row>
    <row r="1622" customFormat="false" ht="15" hidden="false" customHeight="true" outlineLevel="0" collapsed="false">
      <c r="B1622" s="1004" t="str">
        <f aca="false">'Смета Внутр'!B1629</f>
        <v>нет ветроизоляции</v>
      </c>
      <c r="C1622" s="1004" t="str">
        <f aca="false">'Смета Внутр'!C1629</f>
        <v>м2</v>
      </c>
      <c r="D1622" s="1018" t="n">
        <f aca="false">'Смета Внутр'!D1629</f>
        <v>24.0409399547981</v>
      </c>
      <c r="E1622" s="1004" t="n">
        <f aca="false">'Смета Внутр'!E1629</f>
        <v>0</v>
      </c>
      <c r="F1622" s="1004" t="n">
        <f aca="false">'Смета Внутр'!F1629</f>
        <v>0</v>
      </c>
      <c r="G1622" s="1004" t="n">
        <f aca="false">IF(E1622&gt;F1622,E1622,F1622)</f>
        <v>0</v>
      </c>
      <c r="H1622" s="1004" t="n">
        <f aca="false">'Смета Внутр'!G1629</f>
        <v>0</v>
      </c>
      <c r="I1622" s="1004" t="n">
        <f aca="false">'Смета Внутр'!H1629</f>
        <v>0</v>
      </c>
      <c r="J1622" s="1018" t="n">
        <f aca="false">'Смета Внутр'!I1629</f>
        <v>0</v>
      </c>
    </row>
    <row r="1623" customFormat="false" ht="15" hidden="false" customHeight="true" outlineLevel="0" collapsed="false">
      <c r="B1623" s="1004" t="str">
        <f aca="false">'Смета Внутр'!B1630</f>
        <v>нет пароизоляции</v>
      </c>
      <c r="C1623" s="1004" t="str">
        <f aca="false">'Смета Внутр'!C1630</f>
        <v>м2</v>
      </c>
      <c r="D1623" s="1018" t="n">
        <f aca="false">'Смета Внутр'!D1630</f>
        <v>22.0375282918982</v>
      </c>
      <c r="E1623" s="1004" t="n">
        <f aca="false">'Смета Внутр'!E1630</f>
        <v>0</v>
      </c>
      <c r="F1623" s="1004" t="n">
        <f aca="false">'Смета Внутр'!F1630</f>
        <v>0</v>
      </c>
      <c r="G1623" s="1004" t="n">
        <f aca="false">IF(E1623&gt;F1623,E1623,F1623)</f>
        <v>0</v>
      </c>
      <c r="H1623" s="1004" t="n">
        <f aca="false">'Смета Внутр'!G1630</f>
        <v>0</v>
      </c>
      <c r="I1623" s="1004" t="n">
        <f aca="false">'Смета Внутр'!H1630</f>
        <v>0</v>
      </c>
      <c r="J1623" s="1018" t="n">
        <f aca="false">'Смета Внутр'!I1630</f>
        <v>0</v>
      </c>
    </row>
    <row r="1624" customFormat="false" ht="15" hidden="false" customHeight="true" outlineLevel="0" collapsed="false">
      <c r="B1624" s="1004" t="str">
        <f aca="false">'Смета Внутр'!B1631</f>
        <v>Плитный,28кг/м3, технониколь, 100мм</v>
      </c>
      <c r="C1624" s="1004" t="str">
        <f aca="false">'Смета Внутр'!C1631</f>
        <v>м3</v>
      </c>
      <c r="D1624" s="1018" t="n">
        <f aca="false">'Смета Внутр'!D1631</f>
        <v>2.00341166289984</v>
      </c>
      <c r="E1624" s="1004" t="n">
        <f aca="false">'Смета Внутр'!E1631</f>
        <v>1700</v>
      </c>
      <c r="F1624" s="1004" t="n">
        <f aca="false">'Смета Внутр'!F1631</f>
        <v>0</v>
      </c>
      <c r="G1624" s="1004" t="n">
        <f aca="false">IF(E1624&gt;F1624,E1624,F1624)</f>
        <v>1700</v>
      </c>
      <c r="H1624" s="1004" t="n">
        <f aca="false">'Смета Внутр'!G1631</f>
        <v>3405.79982692973</v>
      </c>
      <c r="I1624" s="1004" t="n">
        <f aca="false">'Смета Внутр'!H1631</f>
        <v>0</v>
      </c>
      <c r="J1624" s="1018" t="n">
        <f aca="false">'Смета Внутр'!I1631</f>
        <v>0</v>
      </c>
    </row>
    <row r="1625" customFormat="false" ht="15" hidden="false" customHeight="true" outlineLevel="0" collapsed="false">
      <c r="B1625" s="1004" t="str">
        <f aca="false">'Смета Внутр'!B1632</f>
        <v>Металлочерепица</v>
      </c>
      <c r="C1625" s="1004" t="str">
        <f aca="false">'Смета Внутр'!C1632</f>
        <v>м2</v>
      </c>
      <c r="D1625" s="1018" t="n">
        <f aca="false">'Смета Внутр'!D1632</f>
        <v>28.0477632805978</v>
      </c>
      <c r="E1625" s="1004" t="n">
        <f aca="false">'Смета Внутр'!E1632</f>
        <v>250</v>
      </c>
      <c r="F1625" s="1004" t="n">
        <f aca="false">'Смета Внутр'!F1632</f>
        <v>0</v>
      </c>
      <c r="G1625" s="1004" t="n">
        <f aca="false">IF(E1625&gt;F1625,E1625,F1625)</f>
        <v>250</v>
      </c>
      <c r="H1625" s="1004" t="n">
        <f aca="false">'Смета Внутр'!G1632</f>
        <v>7011.94082014944</v>
      </c>
      <c r="I1625" s="1004" t="n">
        <f aca="false">'Смета Внутр'!H1632</f>
        <v>0</v>
      </c>
      <c r="J1625" s="1018" t="n">
        <f aca="false">'Смета Внутр'!I1632</f>
        <v>0</v>
      </c>
    </row>
    <row r="1626" customFormat="false" ht="15" hidden="false" customHeight="true" outlineLevel="0" collapsed="false">
      <c r="B1626" s="1004" t="str">
        <f aca="false">'Смета Внутр'!B1633</f>
        <v>Карнизная планка</v>
      </c>
      <c r="C1626" s="1004" t="str">
        <f aca="false">'Смета Внутр'!C1633</f>
        <v>м.п.</v>
      </c>
      <c r="D1626" s="1018" t="n">
        <f aca="false">'Смета Внутр'!D1633</f>
        <v>4</v>
      </c>
      <c r="E1626" s="1004" t="n">
        <f aca="false">'Смета Внутр'!E1633</f>
        <v>200</v>
      </c>
      <c r="F1626" s="1004" t="n">
        <f aca="false">'Смета Внутр'!F1633</f>
        <v>0</v>
      </c>
      <c r="G1626" s="1004" t="n">
        <f aca="false">IF(E1626&gt;F1626,E1626,F1626)</f>
        <v>200</v>
      </c>
      <c r="H1626" s="1004" t="n">
        <f aca="false">'Смета Внутр'!G1633</f>
        <v>800</v>
      </c>
      <c r="I1626" s="1004" t="n">
        <f aca="false">'Смета Внутр'!H1633</f>
        <v>0</v>
      </c>
      <c r="J1626" s="1018" t="n">
        <f aca="false">'Смета Внутр'!I1633</f>
        <v>0</v>
      </c>
    </row>
    <row r="1627" customFormat="false" ht="15" hidden="false" customHeight="true" outlineLevel="0" collapsed="false">
      <c r="B1627" s="1004" t="str">
        <f aca="false">'Смета Внутр'!B1634</f>
        <v>Торцевая планка</v>
      </c>
      <c r="C1627" s="1004" t="str">
        <f aca="false">'Смета Внутр'!C1634</f>
        <v>м.п.</v>
      </c>
      <c r="D1627" s="1018" t="n">
        <f aca="false">'Смета Внутр'!D1634</f>
        <v>10.5442719099992</v>
      </c>
      <c r="E1627" s="1004" t="n">
        <f aca="false">'Смета Внутр'!E1634</f>
        <v>200</v>
      </c>
      <c r="F1627" s="1004" t="n">
        <f aca="false">'Смета Внутр'!F1634</f>
        <v>0</v>
      </c>
      <c r="G1627" s="1004" t="n">
        <f aca="false">IF(E1627&gt;F1627,E1627,F1627)</f>
        <v>200</v>
      </c>
      <c r="H1627" s="1004" t="n">
        <f aca="false">'Смета Внутр'!G1634</f>
        <v>2108.85438199983</v>
      </c>
      <c r="I1627" s="1004" t="n">
        <f aca="false">'Смета Внутр'!H1634</f>
        <v>0</v>
      </c>
      <c r="J1627" s="1018" t="n">
        <f aca="false">'Смета Внутр'!I1634</f>
        <v>0</v>
      </c>
    </row>
    <row r="1628" customFormat="false" ht="15" hidden="false" customHeight="true" outlineLevel="0" collapsed="false">
      <c r="B1628" s="1004" t="str">
        <f aca="false">'Смета Внутр'!B1635</f>
        <v>Конек</v>
      </c>
      <c r="C1628" s="1004" t="str">
        <f aca="false">'Смета Внутр'!C1635</f>
        <v>м.п.</v>
      </c>
      <c r="D1628" s="1018" t="n">
        <f aca="false">'Смета Внутр'!D1635</f>
        <v>4.8</v>
      </c>
      <c r="E1628" s="1004" t="n">
        <f aca="false">'Смета Внутр'!E1635</f>
        <v>230</v>
      </c>
      <c r="F1628" s="1004" t="n">
        <f aca="false">'Смета Внутр'!F1635</f>
        <v>0</v>
      </c>
      <c r="G1628" s="1004" t="n">
        <f aca="false">IF(E1628&gt;F1628,E1628,F1628)</f>
        <v>230</v>
      </c>
      <c r="H1628" s="1004" t="n">
        <f aca="false">'Смета Внутр'!G1635</f>
        <v>1104</v>
      </c>
      <c r="I1628" s="1004" t="n">
        <f aca="false">'Смета Внутр'!H1635</f>
        <v>0</v>
      </c>
      <c r="J1628" s="1018" t="n">
        <f aca="false">'Смета Внутр'!I1635</f>
        <v>0</v>
      </c>
    </row>
    <row r="1629" customFormat="false" ht="15" hidden="false" customHeight="true" outlineLevel="0" collapsed="false">
      <c r="B1629" s="1004" t="str">
        <f aca="false">'Смета Внутр'!B1636</f>
        <v>Ендова нижняя</v>
      </c>
      <c r="C1629" s="1004" t="str">
        <f aca="false">'Смета Внутр'!C1636</f>
        <v>м.п.</v>
      </c>
      <c r="D1629" s="1018" t="n">
        <f aca="false">'Смета Внутр'!D1636</f>
        <v>12.1426168033242</v>
      </c>
      <c r="E1629" s="1004" t="n">
        <f aca="false">'Смета Внутр'!E1636</f>
        <v>160</v>
      </c>
      <c r="F1629" s="1004" t="n">
        <f aca="false">'Смета Внутр'!F1636</f>
        <v>0</v>
      </c>
      <c r="G1629" s="1004" t="n">
        <f aca="false">IF(E1629&gt;F1629,E1629,F1629)</f>
        <v>160</v>
      </c>
      <c r="H1629" s="1004" t="n">
        <f aca="false">'Смета Внутр'!G1636</f>
        <v>1942.81868853187</v>
      </c>
      <c r="I1629" s="1004" t="n">
        <f aca="false">'Смета Внутр'!H1636</f>
        <v>0</v>
      </c>
      <c r="J1629" s="1018" t="n">
        <f aca="false">'Смета Внутр'!I1636</f>
        <v>0</v>
      </c>
    </row>
    <row r="1630" customFormat="false" ht="15" hidden="false" customHeight="true" outlineLevel="0" collapsed="false">
      <c r="B1630" s="1004" t="str">
        <f aca="false">'Смета Внутр'!B1637</f>
        <v>Ендова верхняя</v>
      </c>
      <c r="C1630" s="1004" t="str">
        <f aca="false">'Смета Внутр'!C1637</f>
        <v>м.п.</v>
      </c>
      <c r="D1630" s="1018" t="n">
        <f aca="false">'Смета Внутр'!D1637</f>
        <v>12.1426168033242</v>
      </c>
      <c r="E1630" s="1004" t="n">
        <f aca="false">'Смета Внутр'!E1637</f>
        <v>190</v>
      </c>
      <c r="F1630" s="1004" t="n">
        <f aca="false">'Смета Внутр'!F1637</f>
        <v>0</v>
      </c>
      <c r="G1630" s="1004" t="n">
        <f aca="false">IF(E1630&gt;F1630,E1630,F1630)</f>
        <v>190</v>
      </c>
      <c r="H1630" s="1004" t="n">
        <f aca="false">'Смета Внутр'!G1637</f>
        <v>2307.09719263159</v>
      </c>
      <c r="I1630" s="1004" t="n">
        <f aca="false">'Смета Внутр'!H1637</f>
        <v>0</v>
      </c>
      <c r="J1630" s="1018" t="n">
        <f aca="false">'Смета Внутр'!I1637</f>
        <v>0</v>
      </c>
    </row>
    <row r="1631" customFormat="false" ht="15" hidden="false" customHeight="true" outlineLevel="0" collapsed="false">
      <c r="B1631" s="1004" t="str">
        <f aca="false">'Смета Внутр'!B1638</f>
        <v>ондулин</v>
      </c>
      <c r="C1631" s="1004" t="str">
        <f aca="false">'Смета Внутр'!C1638</f>
        <v>м2</v>
      </c>
      <c r="D1631" s="1018" t="n">
        <f aca="false">'Смета Внутр'!D1638</f>
        <v>0</v>
      </c>
      <c r="E1631" s="1004" t="n">
        <f aca="false">'Смета Внутр'!E1638</f>
        <v>180</v>
      </c>
      <c r="F1631" s="1004" t="n">
        <f aca="false">'Смета Внутр'!F1638</f>
        <v>0</v>
      </c>
      <c r="G1631" s="1004" t="n">
        <f aca="false">IF(E1631&gt;F1631,E1631,F1631)</f>
        <v>180</v>
      </c>
      <c r="H1631" s="1004" t="n">
        <f aca="false">'Смета Внутр'!G1638</f>
        <v>0</v>
      </c>
      <c r="I1631" s="1004" t="n">
        <f aca="false">'Смета Внутр'!H1638</f>
        <v>0</v>
      </c>
      <c r="J1631" s="1018" t="n">
        <f aca="false">'Смета Внутр'!I1638</f>
        <v>0</v>
      </c>
    </row>
    <row r="1632" customFormat="false" ht="15" hidden="false" customHeight="true" outlineLevel="0" collapsed="false">
      <c r="B1632" s="1004" t="str">
        <f aca="false">'Смета Внутр'!B1639</f>
        <v>Карнизная планка</v>
      </c>
      <c r="C1632" s="1004" t="str">
        <f aca="false">'Смета Внутр'!C1639</f>
        <v>м.п.</v>
      </c>
      <c r="D1632" s="1018" t="n">
        <f aca="false">'Смета Внутр'!D1639</f>
        <v>0</v>
      </c>
      <c r="E1632" s="1004" t="n">
        <f aca="false">'Смета Внутр'!E1639</f>
        <v>190</v>
      </c>
      <c r="F1632" s="1004" t="n">
        <f aca="false">'Смета Внутр'!F1639</f>
        <v>0</v>
      </c>
      <c r="G1632" s="1004" t="n">
        <f aca="false">IF(E1632&gt;F1632,E1632,F1632)</f>
        <v>190</v>
      </c>
      <c r="H1632" s="1004" t="n">
        <f aca="false">'Смета Внутр'!G1639</f>
        <v>0</v>
      </c>
      <c r="I1632" s="1004" t="n">
        <f aca="false">'Смета Внутр'!H1639</f>
        <v>0</v>
      </c>
      <c r="J1632" s="1018" t="n">
        <f aca="false">'Смета Внутр'!I1639</f>
        <v>0</v>
      </c>
    </row>
    <row r="1633" customFormat="false" ht="15" hidden="false" customHeight="true" outlineLevel="0" collapsed="false">
      <c r="B1633" s="1004" t="str">
        <f aca="false">'Смета Внутр'!B1640</f>
        <v>Торцевая планка</v>
      </c>
      <c r="C1633" s="1004" t="str">
        <f aca="false">'Смета Внутр'!C1640</f>
        <v>м.п.</v>
      </c>
      <c r="D1633" s="1018" t="n">
        <f aca="false">'Смета Внутр'!D1640</f>
        <v>0</v>
      </c>
      <c r="E1633" s="1004" t="n">
        <f aca="false">'Смета Внутр'!E1640</f>
        <v>190</v>
      </c>
      <c r="F1633" s="1004" t="n">
        <f aca="false">'Смета Внутр'!F1640</f>
        <v>0</v>
      </c>
      <c r="G1633" s="1004" t="n">
        <f aca="false">IF(E1633&gt;F1633,E1633,F1633)</f>
        <v>190</v>
      </c>
      <c r="H1633" s="1004" t="n">
        <f aca="false">'Смета Внутр'!G1640</f>
        <v>0</v>
      </c>
      <c r="I1633" s="1004" t="n">
        <f aca="false">'Смета Внутр'!H1640</f>
        <v>0</v>
      </c>
      <c r="J1633" s="1018" t="n">
        <f aca="false">'Смета Внутр'!I1640</f>
        <v>0</v>
      </c>
    </row>
    <row r="1634" customFormat="false" ht="15" hidden="false" customHeight="true" outlineLevel="0" collapsed="false">
      <c r="B1634" s="1004" t="str">
        <f aca="false">'Смета Внутр'!B1641</f>
        <v>Конек</v>
      </c>
      <c r="C1634" s="1004" t="str">
        <f aca="false">'Смета Внутр'!C1641</f>
        <v>м.п.</v>
      </c>
      <c r="D1634" s="1018" t="n">
        <f aca="false">'Смета Внутр'!D1641</f>
        <v>0</v>
      </c>
      <c r="E1634" s="1004" t="n">
        <f aca="false">'Смета Внутр'!E1641</f>
        <v>200</v>
      </c>
      <c r="F1634" s="1004" t="n">
        <f aca="false">'Смета Внутр'!F1641</f>
        <v>0</v>
      </c>
      <c r="G1634" s="1004" t="n">
        <f aca="false">IF(E1634&gt;F1634,E1634,F1634)</f>
        <v>200</v>
      </c>
      <c r="H1634" s="1004" t="n">
        <f aca="false">'Смета Внутр'!G1641</f>
        <v>0</v>
      </c>
      <c r="I1634" s="1004" t="n">
        <f aca="false">'Смета Внутр'!H1641</f>
        <v>0</v>
      </c>
      <c r="J1634" s="1018" t="n">
        <f aca="false">'Смета Внутр'!I1641</f>
        <v>0</v>
      </c>
    </row>
    <row r="1635" customFormat="false" ht="15" hidden="false" customHeight="true" outlineLevel="0" collapsed="false">
      <c r="B1635" s="1004" t="str">
        <f aca="false">'Смета Внутр'!B1642</f>
        <v>Ендова нижняя</v>
      </c>
      <c r="C1635" s="1004" t="str">
        <f aca="false">'Смета Внутр'!C1642</f>
        <v>м.п.</v>
      </c>
      <c r="D1635" s="1018" t="n">
        <f aca="false">'Смета Внутр'!D1642</f>
        <v>0</v>
      </c>
      <c r="E1635" s="1004" t="n">
        <f aca="false">'Смета Внутр'!E1642</f>
        <v>160</v>
      </c>
      <c r="F1635" s="1004" t="n">
        <f aca="false">'Смета Внутр'!F1642</f>
        <v>0</v>
      </c>
      <c r="G1635" s="1004" t="n">
        <f aca="false">IF(E1635&gt;F1635,E1635,F1635)</f>
        <v>160</v>
      </c>
      <c r="H1635" s="1004" t="n">
        <f aca="false">'Смета Внутр'!G1642</f>
        <v>0</v>
      </c>
      <c r="I1635" s="1004" t="n">
        <f aca="false">'Смета Внутр'!H1642</f>
        <v>0</v>
      </c>
      <c r="J1635" s="1018" t="n">
        <f aca="false">'Смета Внутр'!I1642</f>
        <v>0</v>
      </c>
    </row>
    <row r="1636" customFormat="false" ht="15" hidden="false" customHeight="true" outlineLevel="0" collapsed="false">
      <c r="B1636" s="1004" t="str">
        <f aca="false">'Смета Внутр'!B1643</f>
        <v>Ендова верхняя</v>
      </c>
      <c r="C1636" s="1004" t="str">
        <f aca="false">'Смета Внутр'!C1643</f>
        <v>м.п.</v>
      </c>
      <c r="D1636" s="1018" t="n">
        <f aca="false">'Смета Внутр'!D1643</f>
        <v>0</v>
      </c>
      <c r="E1636" s="1004" t="n">
        <f aca="false">'Смета Внутр'!E1643</f>
        <v>190</v>
      </c>
      <c r="F1636" s="1004" t="n">
        <f aca="false">'Смета Внутр'!F1643</f>
        <v>0</v>
      </c>
      <c r="G1636" s="1004" t="n">
        <f aca="false">IF(E1636&gt;F1636,E1636,F1636)</f>
        <v>190</v>
      </c>
      <c r="H1636" s="1004" t="n">
        <f aca="false">'Смета Внутр'!G1643</f>
        <v>0</v>
      </c>
      <c r="I1636" s="1004" t="n">
        <f aca="false">'Смета Внутр'!H1643</f>
        <v>0</v>
      </c>
      <c r="J1636" s="1018" t="n">
        <f aca="false">'Смета Внутр'!I1643</f>
        <v>0</v>
      </c>
    </row>
    <row r="1637" customFormat="false" ht="15" hidden="false" customHeight="true" outlineLevel="0" collapsed="false">
      <c r="B1637" s="1004" t="str">
        <f aca="false">'Смета Внутр'!B1644</f>
        <v>Планка примыкания</v>
      </c>
      <c r="C1637" s="1004" t="str">
        <f aca="false">'Смета Внутр'!C1644</f>
        <v>м.п.</v>
      </c>
      <c r="D1637" s="1018" t="n">
        <f aca="false">'Смета Внутр'!D1644</f>
        <v>0</v>
      </c>
      <c r="E1637" s="1004" t="n">
        <f aca="false">'Смета Внутр'!E1644</f>
        <v>190</v>
      </c>
      <c r="F1637" s="1004" t="n">
        <f aca="false">'Смета Внутр'!F1644</f>
        <v>0</v>
      </c>
      <c r="G1637" s="1004" t="n">
        <f aca="false">IF(E1637&gt;F1637,E1637,F1637)</f>
        <v>190</v>
      </c>
      <c r="H1637" s="1004" t="n">
        <f aca="false">'Смета Внутр'!G1644</f>
        <v>0</v>
      </c>
      <c r="I1637" s="1004" t="n">
        <f aca="false">'Смета Внутр'!H1644</f>
        <v>0</v>
      </c>
      <c r="J1637" s="1018" t="n">
        <f aca="false">'Смета Внутр'!I1644</f>
        <v>0</v>
      </c>
    </row>
    <row r="1638" customFormat="false" ht="15" hidden="false" customHeight="true" outlineLevel="0" collapsed="false">
      <c r="B1638" s="1004" t="str">
        <f aca="false">'Смета Внутр'!B1645</f>
        <v>Крепеж для ондулина</v>
      </c>
      <c r="C1638" s="1004" t="str">
        <f aca="false">'Смета Внутр'!C1645</f>
        <v>шт</v>
      </c>
      <c r="D1638" s="1018" t="n">
        <f aca="false">'Смета Внутр'!D1645</f>
        <v>0</v>
      </c>
      <c r="E1638" s="1004" t="n">
        <f aca="false">'Смета Внутр'!E1645</f>
        <v>4.5</v>
      </c>
      <c r="F1638" s="1004" t="n">
        <f aca="false">'Смета Внутр'!F1645</f>
        <v>0</v>
      </c>
      <c r="G1638" s="1004" t="n">
        <f aca="false">IF(E1638&gt;F1638,E1638,F1638)</f>
        <v>4.5</v>
      </c>
      <c r="H1638" s="1004" t="n">
        <f aca="false">'Смета Внутр'!G1645</f>
        <v>0</v>
      </c>
      <c r="I1638" s="1004" t="n">
        <f aca="false">'Смета Внутр'!H1645</f>
        <v>0</v>
      </c>
      <c r="J1638" s="1018" t="n">
        <f aca="false">'Смета Внутр'!I1645</f>
        <v>0</v>
      </c>
    </row>
    <row r="1639" customFormat="false" ht="15" hidden="false" customHeight="true" outlineLevel="0" collapsed="false">
      <c r="B1639" s="1004" t="str">
        <f aca="false">'Смета Внутр'!B1646</f>
        <v>Фанера Березовая марка ФК - влагостойкая,  18 мм</v>
      </c>
      <c r="C1639" s="1004" t="str">
        <f aca="false">'Смета Внутр'!C1646</f>
        <v>м2</v>
      </c>
      <c r="D1639" s="1018" t="n">
        <f aca="false">'Смета Внутр'!D1646</f>
        <v>22.0375282918982</v>
      </c>
      <c r="E1639" s="1004" t="n">
        <f aca="false">'Смета Внутр'!E1646</f>
        <v>533.333333333333</v>
      </c>
      <c r="F1639" s="1004" t="n">
        <f aca="false">'Смета Внутр'!F1646</f>
        <v>0</v>
      </c>
      <c r="G1639" s="1004" t="n">
        <f aca="false">IF(E1639&gt;F1639,E1639,F1639)</f>
        <v>533.333333333333</v>
      </c>
      <c r="H1639" s="1004" t="n">
        <f aca="false">'Смета Внутр'!G1646</f>
        <v>11753.3484223457</v>
      </c>
      <c r="I1639" s="1004" t="n">
        <f aca="false">'Смета Внутр'!H1646</f>
        <v>0</v>
      </c>
      <c r="J1639" s="1018" t="n">
        <f aca="false">'Смета Внутр'!I1646</f>
        <v>0</v>
      </c>
    </row>
    <row r="1640" customFormat="false" ht="15" hidden="false" customHeight="true" outlineLevel="0" collapsed="false">
      <c r="B1640" s="1004" t="str">
        <f aca="false">'Смета Внутр'!B1647</f>
        <v>Рядовая черепица</v>
      </c>
      <c r="C1640" s="1004" t="str">
        <f aca="false">'Смета Внутр'!C1647</f>
        <v>м2</v>
      </c>
      <c r="D1640" s="1018" t="n">
        <f aca="false">'Смета Внутр'!D1647</f>
        <v>0</v>
      </c>
      <c r="E1640" s="1004" t="n">
        <f aca="false">'Смета Внутр'!E1647</f>
        <v>360</v>
      </c>
      <c r="F1640" s="1004" t="n">
        <f aca="false">'Смета Внутр'!F1647</f>
        <v>0</v>
      </c>
      <c r="G1640" s="1004" t="n">
        <f aca="false">IF(E1640&gt;F1640,E1640,F1640)</f>
        <v>360</v>
      </c>
      <c r="H1640" s="1004" t="n">
        <f aca="false">'Смета Внутр'!G1647</f>
        <v>0</v>
      </c>
      <c r="I1640" s="1004" t="n">
        <f aca="false">'Смета Внутр'!H1647</f>
        <v>0</v>
      </c>
      <c r="J1640" s="1018" t="n">
        <f aca="false">'Смета Внутр'!I1647</f>
        <v>0</v>
      </c>
    </row>
    <row r="1641" customFormat="false" ht="15" hidden="false" customHeight="true" outlineLevel="0" collapsed="false">
      <c r="B1641" s="1004" t="str">
        <f aca="false">'Смета Внутр'!B1648</f>
        <v>Металл оцинк защита (карниз)</v>
      </c>
      <c r="C1641" s="1004" t="str">
        <f aca="false">'Смета Внутр'!C1648</f>
        <v>м.п.</v>
      </c>
      <c r="D1641" s="1018" t="n">
        <f aca="false">'Смета Внутр'!D1648</f>
        <v>0</v>
      </c>
      <c r="E1641" s="1004" t="n">
        <f aca="false">'Смета Внутр'!E1648</f>
        <v>200</v>
      </c>
      <c r="F1641" s="1004" t="n">
        <f aca="false">'Смета Внутр'!F1648</f>
        <v>0</v>
      </c>
      <c r="G1641" s="1004" t="n">
        <f aca="false">IF(E1641&gt;F1641,E1641,F1641)</f>
        <v>200</v>
      </c>
      <c r="H1641" s="1004" t="n">
        <f aca="false">'Смета Внутр'!G1648</f>
        <v>0</v>
      </c>
      <c r="I1641" s="1004" t="n">
        <f aca="false">'Смета Внутр'!H1648</f>
        <v>0</v>
      </c>
      <c r="J1641" s="1018" t="n">
        <f aca="false">'Смета Внутр'!I1648</f>
        <v>0</v>
      </c>
    </row>
    <row r="1642" customFormat="false" ht="15" hidden="false" customHeight="true" outlineLevel="0" collapsed="false">
      <c r="B1642" s="1004" t="str">
        <f aca="false">'Смета Внутр'!B1649</f>
        <v>Подкладочный ковер</v>
      </c>
      <c r="C1642" s="1004" t="str">
        <f aca="false">'Смета Внутр'!C1649</f>
        <v>м.п.</v>
      </c>
      <c r="D1642" s="1018" t="n">
        <f aca="false">'Смета Внутр'!D1649</f>
        <v>0</v>
      </c>
      <c r="E1642" s="1004" t="n">
        <f aca="false">'Смета Внутр'!E1649</f>
        <v>220</v>
      </c>
      <c r="F1642" s="1004" t="n">
        <f aca="false">'Смета Внутр'!F1649</f>
        <v>0</v>
      </c>
      <c r="G1642" s="1004" t="n">
        <f aca="false">IF(E1642&gt;F1642,E1642,F1642)</f>
        <v>220</v>
      </c>
      <c r="H1642" s="1004" t="n">
        <f aca="false">'Смета Внутр'!G1649</f>
        <v>0</v>
      </c>
      <c r="I1642" s="1004" t="n">
        <f aca="false">'Смета Внутр'!H1649</f>
        <v>0</v>
      </c>
      <c r="J1642" s="1018" t="n">
        <f aca="false">'Смета Внутр'!I1649</f>
        <v>0</v>
      </c>
    </row>
    <row r="1643" customFormat="false" ht="15" hidden="false" customHeight="true" outlineLevel="0" collapsed="false">
      <c r="B1643" s="1004" t="str">
        <f aca="false">'Смета Внутр'!B1650</f>
        <v>Карнизная самоклеющаяся черепица</v>
      </c>
      <c r="C1643" s="1004" t="str">
        <f aca="false">'Смета Внутр'!C1650</f>
        <v>м.п.</v>
      </c>
      <c r="D1643" s="1018" t="n">
        <f aca="false">'Смета Внутр'!D1650</f>
        <v>0</v>
      </c>
      <c r="E1643" s="1004" t="n">
        <f aca="false">'Смета Внутр'!E1650</f>
        <v>220</v>
      </c>
      <c r="F1643" s="1004" t="n">
        <f aca="false">'Смета Внутр'!F1650</f>
        <v>0</v>
      </c>
      <c r="G1643" s="1004" t="n">
        <f aca="false">IF(E1643&gt;F1643,E1643,F1643)</f>
        <v>220</v>
      </c>
      <c r="H1643" s="1004" t="n">
        <f aca="false">'Смета Внутр'!G1650</f>
        <v>0</v>
      </c>
      <c r="I1643" s="1004" t="n">
        <f aca="false">'Смета Внутр'!H1650</f>
        <v>0</v>
      </c>
      <c r="J1643" s="1018" t="n">
        <f aca="false">'Смета Внутр'!I1650</f>
        <v>0</v>
      </c>
    </row>
    <row r="1644" customFormat="false" ht="15" hidden="false" customHeight="true" outlineLevel="0" collapsed="false">
      <c r="B1644" s="1004" t="str">
        <f aca="false">'Смета Внутр'!B1651</f>
        <v>Спец ковер ендова нижняя</v>
      </c>
      <c r="C1644" s="1004" t="str">
        <f aca="false">'Смета Внутр'!C1651</f>
        <v>м.п.</v>
      </c>
      <c r="D1644" s="1018" t="n">
        <f aca="false">'Смета Внутр'!D1651</f>
        <v>0</v>
      </c>
      <c r="E1644" s="1004" t="n">
        <f aca="false">'Смета Внутр'!E1651</f>
        <v>200</v>
      </c>
      <c r="F1644" s="1004" t="n">
        <f aca="false">'Смета Внутр'!F1651</f>
        <v>0</v>
      </c>
      <c r="G1644" s="1004" t="n">
        <f aca="false">IF(E1644&gt;F1644,E1644,F1644)</f>
        <v>200</v>
      </c>
      <c r="H1644" s="1004" t="n">
        <f aca="false">'Смета Внутр'!G1651</f>
        <v>0</v>
      </c>
      <c r="I1644" s="1004" t="n">
        <f aca="false">'Смета Внутр'!H1651</f>
        <v>0</v>
      </c>
      <c r="J1644" s="1018" t="n">
        <f aca="false">'Смета Внутр'!I1651</f>
        <v>0</v>
      </c>
    </row>
    <row r="1645" customFormat="false" ht="15" hidden="false" customHeight="true" outlineLevel="0" collapsed="false">
      <c r="B1645" s="1004" t="str">
        <f aca="false">'Смета Внутр'!B1652</f>
        <v>Коньковой элемент</v>
      </c>
      <c r="C1645" s="1004" t="str">
        <f aca="false">'Смета Внутр'!C1652</f>
        <v>м.п.</v>
      </c>
      <c r="D1645" s="1018" t="n">
        <f aca="false">'Смета Внутр'!D1652</f>
        <v>0</v>
      </c>
      <c r="E1645" s="1004" t="n">
        <f aca="false">'Смета Внутр'!E1652</f>
        <v>250</v>
      </c>
      <c r="F1645" s="1004" t="n">
        <f aca="false">'Смета Внутр'!F1652</f>
        <v>0</v>
      </c>
      <c r="G1645" s="1004" t="n">
        <f aca="false">IF(E1645&gt;F1645,E1645,F1645)</f>
        <v>250</v>
      </c>
      <c r="H1645" s="1004" t="n">
        <f aca="false">'Смета Внутр'!G1652</f>
        <v>0</v>
      </c>
      <c r="I1645" s="1004" t="n">
        <f aca="false">'Смета Внутр'!H1652</f>
        <v>0</v>
      </c>
      <c r="J1645" s="1018" t="n">
        <f aca="false">'Смета Внутр'!I1652</f>
        <v>0</v>
      </c>
    </row>
    <row r="1646" customFormat="false" ht="15" hidden="false" customHeight="true" outlineLevel="0" collapsed="false">
      <c r="B1646" s="1004" t="str">
        <f aca="false">'Смета Внутр'!B1653</f>
        <v>Планка премыкания</v>
      </c>
      <c r="C1646" s="1004" t="str">
        <f aca="false">'Смета Внутр'!C1653</f>
        <v>м.п.</v>
      </c>
      <c r="D1646" s="1018" t="n">
        <f aca="false">'Смета Внутр'!D1653</f>
        <v>0</v>
      </c>
      <c r="E1646" s="1004" t="n">
        <f aca="false">'Смета Внутр'!E1653</f>
        <v>200</v>
      </c>
      <c r="F1646" s="1004" t="n">
        <f aca="false">'Смета Внутр'!F1653</f>
        <v>0</v>
      </c>
      <c r="G1646" s="1004" t="n">
        <f aca="false">IF(E1646&gt;F1646,E1646,F1646)</f>
        <v>200</v>
      </c>
      <c r="H1646" s="1004" t="n">
        <f aca="false">'Смета Внутр'!G1653</f>
        <v>0</v>
      </c>
      <c r="I1646" s="1004" t="n">
        <f aca="false">'Смета Внутр'!H1653</f>
        <v>0</v>
      </c>
      <c r="J1646" s="1018" t="n">
        <f aca="false">'Смета Внутр'!I1653</f>
        <v>0</v>
      </c>
    </row>
    <row r="1647" customFormat="false" ht="15" hidden="false" customHeight="true" outlineLevel="0" collapsed="false">
      <c r="B1647" s="1004" t="str">
        <f aca="false">'Смета Внутр'!B1654</f>
        <v>Гвозди для крепления подкладочного ковра</v>
      </c>
      <c r="C1647" s="1004" t="str">
        <f aca="false">'Смета Внутр'!C1654</f>
        <v>шт</v>
      </c>
      <c r="D1647" s="1018" t="n">
        <f aca="false">'Смета Внутр'!D1654</f>
        <v>0</v>
      </c>
      <c r="E1647" s="1004" t="n">
        <f aca="false">'Смета Внутр'!E1654</f>
        <v>0.012</v>
      </c>
      <c r="F1647" s="1004" t="n">
        <f aca="false">'Смета Внутр'!F1654</f>
        <v>0</v>
      </c>
      <c r="G1647" s="1004" t="n">
        <f aca="false">IF(E1647&gt;F1647,E1647,F1647)</f>
        <v>0.012</v>
      </c>
      <c r="H1647" s="1004" t="n">
        <f aca="false">'Смета Внутр'!G1654</f>
        <v>0</v>
      </c>
      <c r="I1647" s="1004" t="n">
        <f aca="false">'Смета Внутр'!H1654</f>
        <v>0</v>
      </c>
      <c r="J1647" s="1018" t="n">
        <f aca="false">'Смета Внутр'!I1654</f>
        <v>0</v>
      </c>
    </row>
    <row r="1648" customFormat="false" ht="15" hidden="false" customHeight="true" outlineLevel="0" collapsed="false">
      <c r="B1648" s="1004" t="str">
        <f aca="false">'Смета Внутр'!B1655</f>
        <v>Гвозди для крепления черепицы</v>
      </c>
      <c r="C1648" s="1004" t="str">
        <f aca="false">'Смета Внутр'!C1655</f>
        <v>шт</v>
      </c>
      <c r="D1648" s="1018" t="n">
        <f aca="false">'Смета Внутр'!D1655</f>
        <v>0</v>
      </c>
      <c r="E1648" s="1004" t="n">
        <f aca="false">'Смета Внутр'!E1655</f>
        <v>0.25</v>
      </c>
      <c r="F1648" s="1004" t="n">
        <f aca="false">'Смета Внутр'!F1655</f>
        <v>0</v>
      </c>
      <c r="G1648" s="1004" t="n">
        <f aca="false">IF(E1648&gt;F1648,E1648,F1648)</f>
        <v>0.25</v>
      </c>
      <c r="H1648" s="1004" t="n">
        <f aca="false">'Смета Внутр'!G1655</f>
        <v>0</v>
      </c>
      <c r="I1648" s="1004" t="n">
        <f aca="false">'Смета Внутр'!H1655</f>
        <v>0</v>
      </c>
      <c r="J1648" s="1018" t="n">
        <f aca="false">'Смета Внутр'!I1655</f>
        <v>0</v>
      </c>
    </row>
    <row r="1649" customFormat="false" ht="15" hidden="false" customHeight="true" outlineLevel="0" collapsed="false">
      <c r="B1649" s="1004" t="str">
        <f aca="false">'Смета Внутр'!B1656</f>
        <v>Клей для монтажа черепицы</v>
      </c>
      <c r="C1649" s="1004" t="str">
        <f aca="false">'Смета Внутр'!C1656</f>
        <v>кг</v>
      </c>
      <c r="D1649" s="1018" t="n">
        <f aca="false">'Смета Внутр'!D1656</f>
        <v>0</v>
      </c>
      <c r="E1649" s="1004" t="n">
        <f aca="false">'Смета Внутр'!E1656</f>
        <v>250</v>
      </c>
      <c r="F1649" s="1004" t="n">
        <f aca="false">'Смета Внутр'!F1656</f>
        <v>0</v>
      </c>
      <c r="G1649" s="1004" t="n">
        <f aca="false">IF(E1649&gt;F1649,E1649,F1649)</f>
        <v>250</v>
      </c>
      <c r="H1649" s="1004" t="n">
        <f aca="false">'Смета Внутр'!G1656</f>
        <v>0</v>
      </c>
      <c r="I1649" s="1004" t="n">
        <f aca="false">'Смета Внутр'!H1656</f>
        <v>0</v>
      </c>
      <c r="J1649" s="1018" t="n">
        <f aca="false">'Смета Внутр'!I1656</f>
        <v>0</v>
      </c>
    </row>
    <row r="1650" customFormat="false" ht="15" hidden="false" customHeight="true" outlineLevel="0" collapsed="false">
      <c r="B1650" s="1004" t="str">
        <f aca="false">'Смета Внутр'!B1657</f>
        <v>лента дельта мульти бэнд</v>
      </c>
      <c r="C1650" s="1004" t="str">
        <f aca="false">'Смета Внутр'!C1657</f>
        <v>шт</v>
      </c>
      <c r="D1650" s="1018" t="n">
        <f aca="false">'Смета Внутр'!D1657</f>
        <v>1.6695097190832</v>
      </c>
      <c r="E1650" s="1004" t="n">
        <f aca="false">'Смета Внутр'!E1657</f>
        <v>1200</v>
      </c>
      <c r="F1650" s="1004" t="n">
        <f aca="false">'Смета Внутр'!F1657</f>
        <v>0</v>
      </c>
      <c r="G1650" s="1004" t="n">
        <f aca="false">IF(E1650&gt;F1650,E1650,F1650)</f>
        <v>1200</v>
      </c>
      <c r="H1650" s="1004" t="n">
        <f aca="false">'Смета Внутр'!G1657</f>
        <v>2003.41166289984</v>
      </c>
      <c r="I1650" s="1004" t="n">
        <f aca="false">'Смета Внутр'!H1657</f>
        <v>0</v>
      </c>
      <c r="J1650" s="1018" t="n">
        <f aca="false">'Смета Внутр'!I1657</f>
        <v>0</v>
      </c>
    </row>
    <row r="1651" customFormat="false" ht="15" hidden="false" customHeight="true" outlineLevel="0" collapsed="false">
      <c r="B1651" s="1004" t="str">
        <f aca="false">'Смета Внутр'!B1658</f>
        <v>лента дельта sb-60</v>
      </c>
      <c r="C1651" s="1004" t="str">
        <f aca="false">'Смета Внутр'!C1658</f>
        <v>шт</v>
      </c>
      <c r="D1651" s="1018" t="n">
        <f aca="false">'Смета Внутр'!D1658</f>
        <v>0.801364665159936</v>
      </c>
      <c r="E1651" s="1004" t="n">
        <f aca="false">'Смета Внутр'!E1658</f>
        <v>1100</v>
      </c>
      <c r="F1651" s="1004" t="n">
        <f aca="false">'Смета Внутр'!F1658</f>
        <v>0</v>
      </c>
      <c r="G1651" s="1004" t="n">
        <f aca="false">IF(E1651&gt;F1651,E1651,F1651)</f>
        <v>1100</v>
      </c>
      <c r="H1651" s="1004" t="n">
        <f aca="false">'Смета Внутр'!G1658</f>
        <v>881.50113167593</v>
      </c>
      <c r="I1651" s="1004" t="n">
        <f aca="false">'Смета Внутр'!H1658</f>
        <v>0</v>
      </c>
      <c r="J1651" s="1018" t="n">
        <f aca="false">'Смета Внутр'!I1658</f>
        <v>0</v>
      </c>
    </row>
    <row r="1652" customFormat="false" ht="15" hidden="false" customHeight="true" outlineLevel="0" collapsed="false">
      <c r="B1652" s="1004" t="str">
        <f aca="false">'Смета Внутр'!B1659</f>
        <v>Кровельный саморез</v>
      </c>
      <c r="C1652" s="1004" t="str">
        <f aca="false">'Смета Внутр'!C1659</f>
        <v>шт</v>
      </c>
      <c r="D1652" s="1018" t="n">
        <f aca="false">'Смета Внутр'!D1659</f>
        <v>240.409399547981</v>
      </c>
      <c r="E1652" s="1004" t="n">
        <f aca="false">'Смета Внутр'!E1659</f>
        <v>2</v>
      </c>
      <c r="F1652" s="1004" t="n">
        <f aca="false">'Смета Внутр'!F1659</f>
        <v>0</v>
      </c>
      <c r="G1652" s="1004" t="n">
        <f aca="false">IF(E1652&gt;F1652,E1652,F1652)</f>
        <v>2</v>
      </c>
      <c r="H1652" s="1004" t="n">
        <f aca="false">'Смета Внутр'!G1659</f>
        <v>480.818799095962</v>
      </c>
      <c r="I1652" s="1004" t="n">
        <f aca="false">'Смета Внутр'!H1659</f>
        <v>0</v>
      </c>
      <c r="J1652" s="1018" t="n">
        <f aca="false">'Смета Внутр'!I1659</f>
        <v>0</v>
      </c>
    </row>
    <row r="1653" customFormat="false" ht="15" hidden="false" customHeight="true" outlineLevel="0" collapsed="false">
      <c r="B1653" s="1004" t="str">
        <f aca="false">'Смета Внутр'!B1660</f>
        <v>Гвозди ершоные 3,4 x 60</v>
      </c>
      <c r="C1653" s="1004" t="str">
        <f aca="false">'Смета Внутр'!C1660</f>
        <v>кг</v>
      </c>
      <c r="D1653" s="1018" t="n">
        <f aca="false">'Смета Внутр'!D1660</f>
        <v>7.5918757751994</v>
      </c>
      <c r="E1653" s="1004" t="n">
        <f aca="false">'Смета Внутр'!E1660</f>
        <v>75.51</v>
      </c>
      <c r="F1653" s="1004" t="n">
        <f aca="false">'Смета Внутр'!F1660</f>
        <v>0</v>
      </c>
      <c r="G1653" s="1004" t="n">
        <f aca="false">IF(E1653&gt;F1653,E1653,F1653)</f>
        <v>75.51</v>
      </c>
      <c r="H1653" s="1004" t="n">
        <f aca="false">'Смета Внутр'!G1660</f>
        <v>573.262539785306</v>
      </c>
      <c r="I1653" s="1004" t="n">
        <f aca="false">'Смета Внутр'!H1660</f>
        <v>0</v>
      </c>
      <c r="J1653" s="1018" t="n">
        <f aca="false">'Смета Внутр'!I1660</f>
        <v>0</v>
      </c>
    </row>
    <row r="1654" customFormat="false" ht="15" hidden="false" customHeight="true" outlineLevel="0" collapsed="false">
      <c r="B1654" s="1004" t="str">
        <f aca="false">'Смета Внутр'!B1661</f>
        <v>Гвозди ершоные 2,8 х 90</v>
      </c>
      <c r="C1654" s="1004" t="str">
        <f aca="false">'Смета Внутр'!C1661</f>
        <v>кг</v>
      </c>
      <c r="D1654" s="1018" t="n">
        <f aca="false">'Смета Внутр'!D1661</f>
        <v>19.4214233930988</v>
      </c>
      <c r="E1654" s="1004" t="n">
        <f aca="false">'Смета Внутр'!E1661</f>
        <v>76.49</v>
      </c>
      <c r="F1654" s="1004" t="n">
        <f aca="false">'Смета Внутр'!F1661</f>
        <v>0</v>
      </c>
      <c r="G1654" s="1004" t="n">
        <f aca="false">IF(E1654&gt;F1654,E1654,F1654)</f>
        <v>76.49</v>
      </c>
      <c r="H1654" s="1004" t="n">
        <f aca="false">'Смета Внутр'!G1661</f>
        <v>1485.54467533813</v>
      </c>
      <c r="I1654" s="1004" t="n">
        <f aca="false">'Смета Внутр'!H1661</f>
        <v>0</v>
      </c>
      <c r="J1654" s="1018" t="n">
        <f aca="false">'Смета Внутр'!I1661</f>
        <v>0</v>
      </c>
    </row>
    <row r="1655" customFormat="false" ht="15" hidden="false" customHeight="true" outlineLevel="0" collapsed="false">
      <c r="B1655" s="1004" t="str">
        <f aca="false">'Смета Внутр'!B1662</f>
        <v>Пластина соеденительная 100х240х2</v>
      </c>
      <c r="C1655" s="1004" t="str">
        <f aca="false">'Смета Внутр'!C1662</f>
        <v>шт</v>
      </c>
      <c r="D1655" s="1018" t="n">
        <f aca="false">'Смета Внутр'!D1662</f>
        <v>18</v>
      </c>
      <c r="E1655" s="1004" t="n">
        <f aca="false">'Смета Внутр'!E1662</f>
        <v>31.54</v>
      </c>
      <c r="F1655" s="1004" t="n">
        <f aca="false">'Смета Внутр'!F1662</f>
        <v>0</v>
      </c>
      <c r="G1655" s="1004" t="n">
        <f aca="false">IF(E1655&gt;F1655,E1655,F1655)</f>
        <v>31.54</v>
      </c>
      <c r="H1655" s="1004" t="n">
        <f aca="false">'Смета Внутр'!G1662</f>
        <v>567.72</v>
      </c>
      <c r="I1655" s="1004" t="n">
        <f aca="false">'Смета Внутр'!H1662</f>
        <v>0</v>
      </c>
      <c r="J1655" s="1018" t="n">
        <f aca="false">'Смета Внутр'!I1662</f>
        <v>0</v>
      </c>
    </row>
    <row r="1656" customFormat="false" ht="15" hidden="false" customHeight="true" outlineLevel="0" collapsed="false">
      <c r="B1656" s="1004" t="str">
        <f aca="false">'Смета Внутр'!B1663</f>
        <v>Уголок усиленный 90х70х55х2,5</v>
      </c>
      <c r="C1656" s="1004" t="str">
        <f aca="false">'Смета Внутр'!C1663</f>
        <v>шт</v>
      </c>
      <c r="D1656" s="1018" t="n">
        <f aca="false">'Смета Внутр'!D1663</f>
        <v>18</v>
      </c>
      <c r="E1656" s="1004" t="n">
        <f aca="false">'Смета Внутр'!E1663</f>
        <v>30</v>
      </c>
      <c r="F1656" s="1004" t="n">
        <f aca="false">'Смета Внутр'!F1663</f>
        <v>0</v>
      </c>
      <c r="G1656" s="1004" t="n">
        <f aca="false">IF(E1656&gt;F1656,E1656,F1656)</f>
        <v>30</v>
      </c>
      <c r="H1656" s="1004" t="n">
        <f aca="false">'Смета Внутр'!G1663</f>
        <v>540</v>
      </c>
      <c r="I1656" s="1004" t="n">
        <f aca="false">'Смета Внутр'!H1663</f>
        <v>0</v>
      </c>
      <c r="J1656" s="1018" t="n">
        <f aca="false">'Смета Внутр'!I1663</f>
        <v>0</v>
      </c>
    </row>
    <row r="1657" customFormat="false" ht="14.5" hidden="false" customHeight="false" outlineLevel="0" collapsed="false">
      <c r="B1657" s="2927" t="str">
        <f aca="false">'Смета Внутр'!B1664</f>
        <v>Итого материалы</v>
      </c>
      <c r="C1657" s="2927"/>
      <c r="D1657" s="2927"/>
      <c r="E1657" s="2927"/>
      <c r="F1657" s="2927"/>
      <c r="G1657" s="2927"/>
      <c r="H1657" s="1004" t="n">
        <f aca="false">'Смета Внутр'!G1664</f>
        <v>0</v>
      </c>
      <c r="I1657" s="1004" t="n">
        <f aca="false">'Смета Внутр'!H1664</f>
        <v>0</v>
      </c>
      <c r="J1657" s="1018" t="n">
        <f aca="false">'Смета Внутр'!I1664</f>
        <v>0</v>
      </c>
    </row>
    <row r="1658" customFormat="false" ht="15" hidden="false" customHeight="true" outlineLevel="0" collapsed="false">
      <c r="B1658" s="2881" t="str">
        <f aca="false">'Смета Внутр'!B1665</f>
        <v>Работы</v>
      </c>
      <c r="D1658" s="919"/>
      <c r="H1658" s="0" t="n">
        <f aca="false">'Смета Внутр'!G1665</f>
        <v>0</v>
      </c>
      <c r="I1658" s="0" t="n">
        <f aca="false">'Смета Внутр'!H1665</f>
        <v>0</v>
      </c>
      <c r="J1658" s="2926" t="n">
        <f aca="false">'Смета Внутр'!I1665</f>
        <v>0</v>
      </c>
    </row>
    <row r="1659" customFormat="false" ht="15" hidden="false" customHeight="true" outlineLevel="0" collapsed="false">
      <c r="B1659" s="1004" t="str">
        <f aca="false">'Смета Внутр'!B1666</f>
        <v>монтаж стропил</v>
      </c>
      <c r="C1659" s="1004" t="str">
        <f aca="false">'Смета Внутр'!C1666</f>
        <v>м2</v>
      </c>
      <c r="D1659" s="1018" t="n">
        <f aca="false">'Смета Внутр'!D1666</f>
        <v>20.0341166289984</v>
      </c>
      <c r="E1659" s="1004" t="n">
        <f aca="false">'Смета Внутр'!E1666</f>
        <v>450</v>
      </c>
      <c r="F1659" s="1004" t="n">
        <f aca="false">'Смета Внутр'!F1666</f>
        <v>0</v>
      </c>
      <c r="G1659" s="1004" t="n">
        <f aca="false">IF(E1659&gt;F1659,E1659,F1659)</f>
        <v>450</v>
      </c>
      <c r="H1659" s="1004" t="n">
        <f aca="false">'Смета Внутр'!G1666</f>
        <v>9015.35248304928</v>
      </c>
      <c r="I1659" s="1004" t="n">
        <f aca="false">'Смета Внутр'!H1666</f>
        <v>0</v>
      </c>
      <c r="J1659" s="1018" t="n">
        <f aca="false">'Смета Внутр'!I1666</f>
        <v>0</v>
      </c>
    </row>
    <row r="1660" customFormat="false" ht="15" hidden="false" customHeight="true" outlineLevel="0" collapsed="false">
      <c r="B1660" s="1004" t="str">
        <f aca="false">'Смета Внутр'!B1667</f>
        <v>обрешетка</v>
      </c>
      <c r="C1660" s="1004" t="str">
        <f aca="false">'Смета Внутр'!C1667</f>
        <v>м2</v>
      </c>
      <c r="D1660" s="1018" t="n">
        <f aca="false">'Смета Внутр'!D1667</f>
        <v>20.0341166289984</v>
      </c>
      <c r="E1660" s="1004" t="n">
        <f aca="false">'Смета Внутр'!E1667</f>
        <v>100</v>
      </c>
      <c r="F1660" s="1004" t="n">
        <f aca="false">'Смета Внутр'!F1667</f>
        <v>0</v>
      </c>
      <c r="G1660" s="1004" t="n">
        <f aca="false">IF(E1660&gt;F1660,E1660,F1660)</f>
        <v>100</v>
      </c>
      <c r="H1660" s="1004" t="n">
        <f aca="false">'Смета Внутр'!G1667</f>
        <v>2003.41166289984</v>
      </c>
      <c r="I1660" s="1004" t="n">
        <f aca="false">'Смета Внутр'!H1667</f>
        <v>0</v>
      </c>
      <c r="J1660" s="1018" t="n">
        <f aca="false">'Смета Внутр'!I1667</f>
        <v>0</v>
      </c>
    </row>
    <row r="1661" customFormat="false" ht="15" hidden="false" customHeight="true" outlineLevel="0" collapsed="false">
      <c r="B1661" s="1004" t="str">
        <f aca="false">'Смета Внутр'!B1668</f>
        <v>контробеш</v>
      </c>
      <c r="C1661" s="1004" t="str">
        <f aca="false">'Смета Внутр'!C1668</f>
        <v>м2</v>
      </c>
      <c r="D1661" s="1018" t="n">
        <f aca="false">'Смета Внутр'!D1668</f>
        <v>20.0341166289984</v>
      </c>
      <c r="E1661" s="1004" t="n">
        <f aca="false">'Смета Внутр'!E1668</f>
        <v>100</v>
      </c>
      <c r="F1661" s="1004" t="n">
        <f aca="false">'Смета Внутр'!F1668</f>
        <v>0</v>
      </c>
      <c r="G1661" s="1004" t="n">
        <f aca="false">IF(E1661&gt;F1661,E1661,F1661)</f>
        <v>100</v>
      </c>
      <c r="H1661" s="1004" t="n">
        <f aca="false">'Смета Внутр'!G1668</f>
        <v>2003.41166289984</v>
      </c>
      <c r="I1661" s="1004" t="n">
        <f aca="false">'Смета Внутр'!H1668</f>
        <v>0</v>
      </c>
      <c r="J1661" s="1018" t="n">
        <f aca="false">'Смета Внутр'!I1668</f>
        <v>0</v>
      </c>
    </row>
    <row r="1662" customFormat="false" ht="15" hidden="false" customHeight="true" outlineLevel="0" collapsed="false">
      <c r="B1662" s="1004" t="str">
        <f aca="false">'Смета Внутр'!B1669</f>
        <v>мембрана</v>
      </c>
      <c r="C1662" s="1004" t="str">
        <f aca="false">'Смета Внутр'!C1669</f>
        <v>м2</v>
      </c>
      <c r="D1662" s="1018" t="n">
        <f aca="false">'Смета Внутр'!D1669</f>
        <v>0</v>
      </c>
      <c r="E1662" s="1004" t="n">
        <f aca="false">'Смета Внутр'!E1669</f>
        <v>100</v>
      </c>
      <c r="F1662" s="1004" t="n">
        <f aca="false">'Смета Внутр'!F1669</f>
        <v>0</v>
      </c>
      <c r="G1662" s="1004" t="n">
        <f aca="false">IF(E1662&gt;F1662,E1662,F1662)</f>
        <v>100</v>
      </c>
      <c r="H1662" s="1004" t="n">
        <f aca="false">'Смета Внутр'!G1669</f>
        <v>0</v>
      </c>
      <c r="I1662" s="1004" t="n">
        <f aca="false">'Смета Внутр'!H1669</f>
        <v>0</v>
      </c>
      <c r="J1662" s="1018" t="n">
        <f aca="false">'Смета Внутр'!I1669</f>
        <v>0</v>
      </c>
    </row>
    <row r="1663" customFormat="false" ht="15" hidden="false" customHeight="true" outlineLevel="0" collapsed="false">
      <c r="B1663" s="1004" t="str">
        <f aca="false">'Смета Внутр'!B1670</f>
        <v>пароизоляц</v>
      </c>
      <c r="C1663" s="1004" t="str">
        <f aca="false">'Смета Внутр'!C1670</f>
        <v>м2</v>
      </c>
      <c r="D1663" s="1018" t="n">
        <f aca="false">'Смета Внутр'!D1670</f>
        <v>0</v>
      </c>
      <c r="E1663" s="1004" t="n">
        <f aca="false">'Смета Внутр'!E1670</f>
        <v>100</v>
      </c>
      <c r="F1663" s="1004" t="n">
        <f aca="false">'Смета Внутр'!F1670</f>
        <v>0</v>
      </c>
      <c r="G1663" s="1004" t="n">
        <f aca="false">IF(E1663&gt;F1663,E1663,F1663)</f>
        <v>100</v>
      </c>
      <c r="H1663" s="1004" t="n">
        <f aca="false">'Смета Внутр'!G1670</f>
        <v>0</v>
      </c>
      <c r="I1663" s="1004" t="n">
        <f aca="false">'Смета Внутр'!H1670</f>
        <v>0</v>
      </c>
      <c r="J1663" s="1018" t="n">
        <f aca="false">'Смета Внутр'!I1670</f>
        <v>0</v>
      </c>
    </row>
    <row r="1664" customFormat="false" ht="15" hidden="false" customHeight="true" outlineLevel="0" collapsed="false">
      <c r="B1664" s="1004" t="str">
        <f aca="false">'Смета Внутр'!B1671</f>
        <v>утеплитель</v>
      </c>
      <c r="C1664" s="1004" t="str">
        <f aca="false">'Смета Внутр'!C1671</f>
        <v>м2</v>
      </c>
      <c r="D1664" s="1018" t="n">
        <f aca="false">'Смета Внутр'!D1671</f>
        <v>20.0341166289984</v>
      </c>
      <c r="E1664" s="1004" t="n">
        <f aca="false">'Смета Внутр'!E1671</f>
        <v>200</v>
      </c>
      <c r="F1664" s="1004" t="n">
        <f aca="false">'Смета Внутр'!F1671</f>
        <v>0</v>
      </c>
      <c r="G1664" s="1004" t="n">
        <f aca="false">IF(E1664&gt;F1664,E1664,F1664)</f>
        <v>200</v>
      </c>
      <c r="H1664" s="1004" t="n">
        <f aca="false">'Смета Внутр'!G1671</f>
        <v>4006.82332579968</v>
      </c>
      <c r="I1664" s="1004" t="n">
        <f aca="false">'Смета Внутр'!H1671</f>
        <v>0</v>
      </c>
      <c r="J1664" s="1018" t="n">
        <f aca="false">'Смета Внутр'!I1671</f>
        <v>0</v>
      </c>
    </row>
    <row r="1665" customFormat="false" ht="15" hidden="false" customHeight="true" outlineLevel="0" collapsed="false">
      <c r="B1665" s="1004" t="str">
        <f aca="false">'Смета Внутр'!B1672</f>
        <v>Монтаж металлочерепицы</v>
      </c>
      <c r="C1665" s="1004" t="str">
        <f aca="false">'Смета Внутр'!C1672</f>
        <v>м2</v>
      </c>
      <c r="D1665" s="1018" t="n">
        <f aca="false">'Смета Внутр'!D1672</f>
        <v>20.0341166289984</v>
      </c>
      <c r="E1665" s="1004" t="n">
        <f aca="false">'Смета Внутр'!E1672</f>
        <v>300</v>
      </c>
      <c r="F1665" s="1004" t="n">
        <f aca="false">'Смета Внутр'!F1672</f>
        <v>0</v>
      </c>
      <c r="G1665" s="1004" t="n">
        <f aca="false">IF(E1665&gt;F1665,E1665,F1665)</f>
        <v>300</v>
      </c>
      <c r="H1665" s="1004" t="n">
        <f aca="false">'Смета Внутр'!G1672</f>
        <v>6010.23498869952</v>
      </c>
      <c r="I1665" s="1004" t="n">
        <f aca="false">'Смета Внутр'!H1672</f>
        <v>0</v>
      </c>
      <c r="J1665" s="1018" t="n">
        <f aca="false">'Смета Внутр'!I1672</f>
        <v>0</v>
      </c>
    </row>
    <row r="1666" customFormat="false" ht="15" hidden="false" customHeight="true" outlineLevel="0" collapsed="false">
      <c r="B1666" s="1004" t="str">
        <f aca="false">'Смета Внутр'!B1673</f>
        <v>карнизная планка</v>
      </c>
      <c r="C1666" s="1004" t="str">
        <f aca="false">'Смета Внутр'!C1673</f>
        <v>м.п.</v>
      </c>
      <c r="D1666" s="1018" t="n">
        <f aca="false">'Смета Внутр'!D1673</f>
        <v>4</v>
      </c>
      <c r="E1666" s="1004" t="n">
        <f aca="false">'Смета Внутр'!E1673</f>
        <v>100</v>
      </c>
      <c r="F1666" s="1004" t="n">
        <f aca="false">'Смета Внутр'!F1673</f>
        <v>0</v>
      </c>
      <c r="G1666" s="1004" t="n">
        <f aca="false">IF(E1666&gt;F1666,E1666,F1666)</f>
        <v>100</v>
      </c>
      <c r="H1666" s="1004" t="n">
        <f aca="false">'Смета Внутр'!G1673</f>
        <v>400</v>
      </c>
      <c r="I1666" s="1004" t="n">
        <f aca="false">'Смета Внутр'!H1673</f>
        <v>0</v>
      </c>
      <c r="J1666" s="1018" t="n">
        <f aca="false">'Смета Внутр'!I1673</f>
        <v>0</v>
      </c>
    </row>
    <row r="1667" customFormat="false" ht="15" hidden="false" customHeight="true" outlineLevel="0" collapsed="false">
      <c r="B1667" s="1004" t="str">
        <f aca="false">'Смета Внутр'!B1674</f>
        <v>торцевая планка</v>
      </c>
      <c r="C1667" s="1004" t="str">
        <f aca="false">'Смета Внутр'!C1674</f>
        <v>м.п.</v>
      </c>
      <c r="D1667" s="1018" t="n">
        <f aca="false">'Смета Внутр'!D1674</f>
        <v>10.5442719099992</v>
      </c>
      <c r="E1667" s="1004" t="n">
        <f aca="false">'Смета Внутр'!E1674</f>
        <v>100</v>
      </c>
      <c r="F1667" s="1004" t="n">
        <f aca="false">'Смета Внутр'!F1674</f>
        <v>0</v>
      </c>
      <c r="G1667" s="1004" t="n">
        <f aca="false">IF(E1667&gt;F1667,E1667,F1667)</f>
        <v>100</v>
      </c>
      <c r="H1667" s="1004" t="n">
        <f aca="false">'Смета Внутр'!G1674</f>
        <v>1054.42719099992</v>
      </c>
      <c r="I1667" s="1004" t="n">
        <f aca="false">'Смета Внутр'!H1674</f>
        <v>0</v>
      </c>
      <c r="J1667" s="1018" t="n">
        <f aca="false">'Смета Внутр'!I1674</f>
        <v>0</v>
      </c>
    </row>
    <row r="1668" customFormat="false" ht="15" hidden="false" customHeight="true" outlineLevel="0" collapsed="false">
      <c r="B1668" s="1004" t="str">
        <f aca="false">'Смета Внутр'!B1675</f>
        <v>Монтаж ондулина</v>
      </c>
      <c r="C1668" s="1004" t="str">
        <f aca="false">'Смета Внутр'!C1675</f>
        <v>м2</v>
      </c>
      <c r="D1668" s="1018" t="n">
        <f aca="false">'Смета Внутр'!D1675</f>
        <v>0</v>
      </c>
      <c r="E1668" s="1004" t="n">
        <f aca="false">'Смета Внутр'!E1675</f>
        <v>300</v>
      </c>
      <c r="F1668" s="1004" t="n">
        <f aca="false">'Смета Внутр'!F1675</f>
        <v>0</v>
      </c>
      <c r="G1668" s="1004" t="n">
        <f aca="false">IF(E1668&gt;F1668,E1668,F1668)</f>
        <v>300</v>
      </c>
      <c r="H1668" s="1004" t="n">
        <f aca="false">'Смета Внутр'!G1675</f>
        <v>0</v>
      </c>
      <c r="I1668" s="1004" t="n">
        <f aca="false">'Смета Внутр'!H1675</f>
        <v>0</v>
      </c>
      <c r="J1668" s="1018" t="n">
        <f aca="false">'Смета Внутр'!I1675</f>
        <v>0</v>
      </c>
    </row>
    <row r="1669" customFormat="false" ht="15" hidden="false" customHeight="true" outlineLevel="0" collapsed="false">
      <c r="B1669" s="1004" t="str">
        <f aca="false">'Смета Внутр'!B1676</f>
        <v>Монтаж фанеры/osb</v>
      </c>
      <c r="C1669" s="1004" t="str">
        <f aca="false">'Смета Внутр'!C1676</f>
        <v>м2</v>
      </c>
      <c r="D1669" s="1018" t="n">
        <f aca="false">'Смета Внутр'!D1676</f>
        <v>20.0341166289984</v>
      </c>
      <c r="E1669" s="1004" t="n">
        <f aca="false">'Смета Внутр'!E1676</f>
        <v>200</v>
      </c>
      <c r="F1669" s="1004" t="n">
        <f aca="false">'Смета Внутр'!F1676</f>
        <v>0</v>
      </c>
      <c r="G1669" s="1004" t="n">
        <f aca="false">IF(E1669&gt;F1669,E1669,F1669)</f>
        <v>200</v>
      </c>
      <c r="H1669" s="1004" t="n">
        <f aca="false">'Смета Внутр'!G1676</f>
        <v>4006.82332579968</v>
      </c>
      <c r="I1669" s="1004" t="n">
        <f aca="false">'Смета Внутр'!H1676</f>
        <v>0</v>
      </c>
      <c r="J1669" s="1018" t="n">
        <f aca="false">'Смета Внутр'!I1676</f>
        <v>0</v>
      </c>
    </row>
    <row r="1670" customFormat="false" ht="15" hidden="false" customHeight="true" outlineLevel="0" collapsed="false">
      <c r="B1670" s="1004" t="str">
        <f aca="false">'Смета Внутр'!B1677</f>
        <v>монтаж подкладочного ковра</v>
      </c>
      <c r="C1670" s="1004" t="str">
        <f aca="false">'Смета Внутр'!C1677</f>
        <v>м2</v>
      </c>
      <c r="D1670" s="1018" t="n">
        <f aca="false">'Смета Внутр'!D1677</f>
        <v>0</v>
      </c>
      <c r="E1670" s="1004" t="n">
        <f aca="false">'Смета Внутр'!E1677</f>
        <v>150</v>
      </c>
      <c r="F1670" s="1004" t="n">
        <f aca="false">'Смета Внутр'!F1677</f>
        <v>0</v>
      </c>
      <c r="G1670" s="1004" t="n">
        <f aca="false">IF(E1670&gt;F1670,E1670,F1670)</f>
        <v>150</v>
      </c>
      <c r="H1670" s="1004" t="n">
        <f aca="false">'Смета Внутр'!G1677</f>
        <v>0</v>
      </c>
      <c r="I1670" s="1004" t="n">
        <f aca="false">'Смета Внутр'!H1677</f>
        <v>0</v>
      </c>
      <c r="J1670" s="1018" t="n">
        <f aca="false">'Смета Внутр'!I1677</f>
        <v>0</v>
      </c>
    </row>
    <row r="1671" customFormat="false" ht="15" hidden="false" customHeight="true" outlineLevel="0" collapsed="false">
      <c r="B1671" s="1004" t="str">
        <f aca="false">'Смета Внутр'!B1678</f>
        <v>Монтаж мягкой кровли</v>
      </c>
      <c r="C1671" s="1004" t="str">
        <f aca="false">'Смета Внутр'!C1678</f>
        <v>м2</v>
      </c>
      <c r="D1671" s="1018" t="n">
        <f aca="false">'Смета Внутр'!D1678</f>
        <v>0</v>
      </c>
      <c r="E1671" s="1004" t="n">
        <f aca="false">'Смета Внутр'!E1678</f>
        <v>350</v>
      </c>
      <c r="F1671" s="1004" t="n">
        <f aca="false">'Смета Внутр'!F1678</f>
        <v>0</v>
      </c>
      <c r="G1671" s="1004" t="n">
        <f aca="false">IF(E1671&gt;F1671,E1671,F1671)</f>
        <v>350</v>
      </c>
      <c r="H1671" s="1004" t="n">
        <f aca="false">'Смета Внутр'!G1678</f>
        <v>0</v>
      </c>
      <c r="I1671" s="1004" t="n">
        <f aca="false">'Смета Внутр'!H1678</f>
        <v>0</v>
      </c>
      <c r="J1671" s="1018" t="n">
        <f aca="false">'Смета Внутр'!I1678</f>
        <v>0</v>
      </c>
    </row>
    <row r="1672" customFormat="false" ht="15" hidden="false" customHeight="true" outlineLevel="0" collapsed="false">
      <c r="B1672" s="2927" t="str">
        <f aca="false">'Смета Внутр'!B1679</f>
        <v>Итого работы</v>
      </c>
      <c r="C1672" s="2927"/>
      <c r="D1672" s="2927"/>
      <c r="E1672" s="2927"/>
      <c r="F1672" s="2927"/>
      <c r="G1672" s="2927"/>
      <c r="H1672" s="1004" t="n">
        <f aca="false">'Смета Внутр'!G1679</f>
        <v>0</v>
      </c>
      <c r="I1672" s="1004" t="n">
        <f aca="false">'Смета Внутр'!H1679</f>
        <v>0</v>
      </c>
      <c r="J1672" s="1018" t="n">
        <f aca="false">'Смета Внутр'!I1679</f>
        <v>0</v>
      </c>
    </row>
    <row r="1673" customFormat="false" ht="15" hidden="false" customHeight="true" outlineLevel="0" collapsed="false">
      <c r="B1673" s="2925" t="str">
        <f aca="false">'Смета Внутр'!B1680</f>
        <v>Кровля на пристройке</v>
      </c>
      <c r="C1673" s="2925"/>
      <c r="D1673" s="2925"/>
      <c r="H1673" s="0" t="n">
        <f aca="false">'Смета Внутр'!G1680</f>
        <v>0</v>
      </c>
      <c r="I1673" s="0" t="n">
        <f aca="false">'Смета Внутр'!H1680</f>
        <v>0</v>
      </c>
      <c r="J1673" s="2926" t="n">
        <f aca="false">'Смета Внутр'!I1680</f>
        <v>0</v>
      </c>
    </row>
    <row r="1674" customFormat="false" ht="15" hidden="false" customHeight="true" outlineLevel="0" collapsed="false">
      <c r="B1674" s="2881" t="str">
        <f aca="false">'Смета Внутр'!B1681</f>
        <v>Материалы</v>
      </c>
      <c r="D1674" s="919"/>
      <c r="H1674" s="0" t="n">
        <f aca="false">'Смета Внутр'!G1681</f>
        <v>0</v>
      </c>
      <c r="I1674" s="0" t="n">
        <f aca="false">'Смета Внутр'!H1681</f>
        <v>0</v>
      </c>
      <c r="J1674" s="2926" t="n">
        <f aca="false">'Смета Внутр'!I1681</f>
        <v>0</v>
      </c>
    </row>
    <row r="1675" customFormat="false" ht="15" hidden="false" customHeight="true" outlineLevel="0" collapsed="false">
      <c r="B1675" s="1004" t="str">
        <f aca="false">'Смета Внутр'!B1682</f>
        <v>Доска сухая калиброванная, 190*45мм</v>
      </c>
      <c r="C1675" s="1004" t="str">
        <f aca="false">'Смета Внутр'!C1682</f>
        <v>м3</v>
      </c>
      <c r="D1675" s="1018" t="n">
        <f aca="false">'Смета Внутр'!D1682</f>
        <v>0</v>
      </c>
      <c r="E1675" s="1004" t="n">
        <f aca="false">'Смета Внутр'!E1682</f>
        <v>12500</v>
      </c>
      <c r="F1675" s="1004" t="n">
        <f aca="false">'Смета Внутр'!F1682</f>
        <v>0</v>
      </c>
      <c r="G1675" s="1004" t="n">
        <f aca="false">IF(E1675&gt;F1675,E1675,F1675)</f>
        <v>12500</v>
      </c>
      <c r="H1675" s="1004" t="n">
        <f aca="false">'Смета Внутр'!G1682</f>
        <v>0</v>
      </c>
      <c r="I1675" s="1004" t="n">
        <f aca="false">'Смета Внутр'!H1682</f>
        <v>0</v>
      </c>
      <c r="J1675" s="1018" t="n">
        <f aca="false">'Смета Внутр'!I1682</f>
        <v>0</v>
      </c>
    </row>
    <row r="1676" customFormat="false" ht="15" hidden="false" customHeight="true" outlineLevel="0" collapsed="false">
      <c r="B1676" s="1004" t="str">
        <f aca="false">'Смета Внутр'!B1683</f>
        <v>Болты анкерные с гайкой 12,0 х 280</v>
      </c>
      <c r="C1676" s="1004" t="str">
        <f aca="false">'Смета Внутр'!C1683</f>
        <v>шт</v>
      </c>
      <c r="D1676" s="1018" t="n">
        <f aca="false">'Смета Внутр'!D1683</f>
        <v>0</v>
      </c>
      <c r="E1676" s="1004" t="n">
        <f aca="false">'Смета Внутр'!E1683</f>
        <v>27.1</v>
      </c>
      <c r="F1676" s="1004" t="n">
        <f aca="false">'Смета Внутр'!F1683</f>
        <v>0</v>
      </c>
      <c r="G1676" s="1004" t="n">
        <f aca="false">IF(E1676&gt;F1676,E1676,F1676)</f>
        <v>27.1</v>
      </c>
      <c r="H1676" s="1004" t="n">
        <f aca="false">'Смета Внутр'!G1683</f>
        <v>0</v>
      </c>
      <c r="I1676" s="1004" t="n">
        <f aca="false">'Смета Внутр'!H1683</f>
        <v>0</v>
      </c>
      <c r="J1676" s="1018" t="n">
        <f aca="false">'Смета Внутр'!I1683</f>
        <v>0</v>
      </c>
    </row>
    <row r="1677" customFormat="false" ht="15" hidden="false" customHeight="true" outlineLevel="0" collapsed="false">
      <c r="B1677" s="1004" t="str">
        <f aca="false">'Смета Внутр'!B1684</f>
        <v>Доска сухая, 200*50мм</v>
      </c>
      <c r="C1677" s="1004" t="str">
        <f aca="false">'Смета Внутр'!C1684</f>
        <v>м3</v>
      </c>
      <c r="D1677" s="1018" t="n">
        <f aca="false">'Смета Внутр'!D1684</f>
        <v>0</v>
      </c>
      <c r="E1677" s="1004" t="n">
        <f aca="false">'Смета Внутр'!E1684</f>
        <v>9000</v>
      </c>
      <c r="F1677" s="1004" t="n">
        <f aca="false">'Смета Внутр'!F1684</f>
        <v>0</v>
      </c>
      <c r="G1677" s="1004" t="n">
        <f aca="false">IF(E1677&gt;F1677,E1677,F1677)</f>
        <v>9000</v>
      </c>
      <c r="H1677" s="1004" t="n">
        <f aca="false">'Смета Внутр'!G1684</f>
        <v>0</v>
      </c>
      <c r="I1677" s="1004" t="n">
        <f aca="false">'Смета Внутр'!H1684</f>
        <v>0</v>
      </c>
      <c r="J1677" s="1018" t="n">
        <f aca="false">'Смета Внутр'!I1684</f>
        <v>0</v>
      </c>
    </row>
    <row r="1678" customFormat="false" ht="15" hidden="false" customHeight="true" outlineLevel="0" collapsed="false">
      <c r="B1678" s="1004" t="str">
        <f aca="false">'Смета Внутр'!B1685</f>
        <v>бугель, доска</v>
      </c>
      <c r="C1678" s="1004" t="str">
        <f aca="false">'Смета Внутр'!C1685</f>
        <v>м3</v>
      </c>
      <c r="D1678" s="1018" t="n">
        <f aca="false">'Смета Внутр'!D1685</f>
        <v>0</v>
      </c>
      <c r="E1678" s="1004" t="n">
        <f aca="false">'Смета Внутр'!E1685</f>
        <v>9000</v>
      </c>
      <c r="F1678" s="1004" t="n">
        <f aca="false">'Смета Внутр'!F1685</f>
        <v>0</v>
      </c>
      <c r="G1678" s="1004" t="n">
        <f aca="false">IF(E1678&gt;F1678,E1678,F1678)</f>
        <v>9000</v>
      </c>
      <c r="H1678" s="1004" t="n">
        <f aca="false">'Смета Внутр'!G1685</f>
        <v>0</v>
      </c>
      <c r="I1678" s="1004" t="n">
        <f aca="false">'Смета Внутр'!H1685</f>
        <v>0</v>
      </c>
      <c r="J1678" s="1018" t="n">
        <f aca="false">'Смета Внутр'!I1685</f>
        <v>0</v>
      </c>
    </row>
    <row r="1679" customFormat="false" ht="15" hidden="false" customHeight="true" outlineLevel="0" collapsed="false">
      <c r="B1679" s="1004" t="str">
        <f aca="false">'Смета Внутр'!B1686</f>
        <v>Сосна влаж,100*25мм</v>
      </c>
      <c r="C1679" s="1004" t="str">
        <f aca="false">'Смета Внутр'!C1686</f>
        <v>м3</v>
      </c>
      <c r="D1679" s="1018" t="n">
        <f aca="false">'Смета Внутр'!D1686</f>
        <v>0</v>
      </c>
      <c r="E1679" s="1004" t="n">
        <f aca="false">'Смета Внутр'!E1686</f>
        <v>6500</v>
      </c>
      <c r="F1679" s="1004" t="n">
        <f aca="false">'Смета Внутр'!F1686</f>
        <v>0</v>
      </c>
      <c r="G1679" s="1004" t="n">
        <f aca="false">IF(E1679&gt;F1679,E1679,F1679)</f>
        <v>6500</v>
      </c>
      <c r="H1679" s="1004" t="n">
        <f aca="false">'Смета Внутр'!G1686</f>
        <v>0</v>
      </c>
      <c r="I1679" s="1004" t="n">
        <f aca="false">'Смета Внутр'!H1686</f>
        <v>0</v>
      </c>
      <c r="J1679" s="1018" t="n">
        <f aca="false">'Смета Внутр'!I1686</f>
        <v>0</v>
      </c>
    </row>
    <row r="1680" customFormat="false" ht="15" hidden="false" customHeight="true" outlineLevel="0" collapsed="false">
      <c r="B1680" s="1004" t="str">
        <f aca="false">'Смета Внутр'!B1687</f>
        <v>Доска сухая, калибр., 35*45мм</v>
      </c>
      <c r="C1680" s="1004" t="str">
        <f aca="false">'Смета Внутр'!C1687</f>
        <v>шт</v>
      </c>
      <c r="D1680" s="1018" t="n">
        <f aca="false">'Смета Внутр'!D1687</f>
        <v>0</v>
      </c>
      <c r="E1680" s="1004" t="n">
        <f aca="false">'Смета Внутр'!E1687</f>
        <v>12500</v>
      </c>
      <c r="F1680" s="1004" t="n">
        <f aca="false">'Смета Внутр'!F1687</f>
        <v>0</v>
      </c>
      <c r="G1680" s="1004" t="n">
        <f aca="false">IF(E1680&gt;F1680,E1680,F1680)</f>
        <v>12500</v>
      </c>
      <c r="H1680" s="1004" t="n">
        <f aca="false">'Смета Внутр'!G1687</f>
        <v>0</v>
      </c>
      <c r="I1680" s="1004" t="n">
        <f aca="false">'Смета Внутр'!H1687</f>
        <v>0</v>
      </c>
      <c r="J1680" s="1018" t="n">
        <f aca="false">'Смета Внутр'!I1687</f>
        <v>0</v>
      </c>
    </row>
    <row r="1681" customFormat="false" ht="15" hidden="false" customHeight="true" outlineLevel="0" collapsed="false">
      <c r="B1681" s="1004" t="str">
        <f aca="false">'Смета Внутр'!B1688</f>
        <v>Мембраны Tyvek Soft</v>
      </c>
      <c r="C1681" s="1004" t="str">
        <f aca="false">'Смета Внутр'!C1688</f>
        <v>м2</v>
      </c>
      <c r="D1681" s="1018" t="n">
        <f aca="false">'Смета Внутр'!D1688</f>
        <v>0</v>
      </c>
      <c r="E1681" s="1004" t="n">
        <f aca="false">'Смета Внутр'!E1688</f>
        <v>86</v>
      </c>
      <c r="F1681" s="1004" t="n">
        <f aca="false">'Смета Внутр'!F1688</f>
        <v>0</v>
      </c>
      <c r="G1681" s="1004" t="n">
        <f aca="false">IF(E1681&gt;F1681,E1681,F1681)</f>
        <v>86</v>
      </c>
      <c r="H1681" s="1004" t="n">
        <f aca="false">'Смета Внутр'!G1688</f>
        <v>0</v>
      </c>
      <c r="I1681" s="1004" t="n">
        <f aca="false">'Смета Внутр'!H1688</f>
        <v>0</v>
      </c>
      <c r="J1681" s="1018" t="n">
        <f aca="false">'Смета Внутр'!I1688</f>
        <v>0</v>
      </c>
    </row>
    <row r="1682" customFormat="false" ht="15" hidden="false" customHeight="true" outlineLevel="0" collapsed="false">
      <c r="B1682" s="1004" t="str">
        <f aca="false">'Смета Внутр'!B1689</f>
        <v>Пленка Delta-Reflex</v>
      </c>
      <c r="C1682" s="1004" t="str">
        <f aca="false">'Смета Внутр'!C1689</f>
        <v>м2</v>
      </c>
      <c r="D1682" s="1018" t="n">
        <f aca="false">'Смета Внутр'!D1689</f>
        <v>0</v>
      </c>
      <c r="E1682" s="1004" t="n">
        <f aca="false">'Смета Внутр'!E1689</f>
        <v>156</v>
      </c>
      <c r="F1682" s="1004" t="n">
        <f aca="false">'Смета Внутр'!F1689</f>
        <v>0</v>
      </c>
      <c r="G1682" s="1004" t="n">
        <f aca="false">IF(E1682&gt;F1682,E1682,F1682)</f>
        <v>156</v>
      </c>
      <c r="H1682" s="1004" t="n">
        <f aca="false">'Смета Внутр'!G1689</f>
        <v>0</v>
      </c>
      <c r="I1682" s="1004" t="n">
        <f aca="false">'Смета Внутр'!H1689</f>
        <v>0</v>
      </c>
      <c r="J1682" s="1018" t="n">
        <f aca="false">'Смета Внутр'!I1689</f>
        <v>0</v>
      </c>
    </row>
    <row r="1683" customFormat="false" ht="15" hidden="false" customHeight="true" outlineLevel="0" collapsed="false">
      <c r="B1683" s="1004" t="str">
        <f aca="false">'Смета Внутр'!B1690</f>
        <v>Плитный,28кг/м3, технониколь, 200мм</v>
      </c>
      <c r="C1683" s="1004" t="str">
        <f aca="false">'Смета Внутр'!C1690</f>
        <v>м3</v>
      </c>
      <c r="D1683" s="1018" t="n">
        <f aca="false">'Смета Внутр'!D1690</f>
        <v>0</v>
      </c>
      <c r="E1683" s="1004" t="n">
        <f aca="false">'Смета Внутр'!E1690</f>
        <v>1700</v>
      </c>
      <c r="F1683" s="1004" t="n">
        <f aca="false">'Смета Внутр'!F1690</f>
        <v>0</v>
      </c>
      <c r="G1683" s="1004" t="n">
        <f aca="false">IF(E1683&gt;F1683,E1683,F1683)</f>
        <v>1700</v>
      </c>
      <c r="H1683" s="1004" t="n">
        <f aca="false">'Смета Внутр'!G1690</f>
        <v>0</v>
      </c>
      <c r="I1683" s="1004" t="n">
        <f aca="false">'Смета Внутр'!H1690</f>
        <v>0</v>
      </c>
      <c r="J1683" s="1018" t="n">
        <f aca="false">'Смета Внутр'!I1690</f>
        <v>0</v>
      </c>
    </row>
    <row r="1684" customFormat="false" ht="15" hidden="false" customHeight="true" outlineLevel="0" collapsed="false">
      <c r="B1684" s="1004" t="str">
        <f aca="false">'Смета Внутр'!B1691</f>
        <v>металлочерепица</v>
      </c>
      <c r="C1684" s="1004" t="str">
        <f aca="false">'Смета Внутр'!C1691</f>
        <v>м2</v>
      </c>
      <c r="D1684" s="1018" t="n">
        <f aca="false">'Смета Внутр'!D1691</f>
        <v>0</v>
      </c>
      <c r="E1684" s="1004" t="n">
        <f aca="false">'Смета Внутр'!E1691</f>
        <v>250</v>
      </c>
      <c r="F1684" s="1004" t="n">
        <f aca="false">'Смета Внутр'!F1691</f>
        <v>0</v>
      </c>
      <c r="G1684" s="1004" t="n">
        <f aca="false">IF(E1684&gt;F1684,E1684,F1684)</f>
        <v>250</v>
      </c>
      <c r="H1684" s="1004" t="n">
        <f aca="false">'Смета Внутр'!G1691</f>
        <v>0</v>
      </c>
      <c r="I1684" s="1004" t="n">
        <f aca="false">'Смета Внутр'!H1691</f>
        <v>0</v>
      </c>
      <c r="J1684" s="1018" t="n">
        <f aca="false">'Смета Внутр'!I1691</f>
        <v>0</v>
      </c>
    </row>
    <row r="1685" customFormat="false" ht="15" hidden="false" customHeight="true" outlineLevel="0" collapsed="false">
      <c r="B1685" s="1004" t="str">
        <f aca="false">'Смета Внутр'!B1692</f>
        <v>Карнизная планка</v>
      </c>
      <c r="C1685" s="1004" t="str">
        <f aca="false">'Смета Внутр'!C1692</f>
        <v>м.п.</v>
      </c>
      <c r="D1685" s="1018" t="n">
        <f aca="false">'Смета Внутр'!D1692</f>
        <v>0</v>
      </c>
      <c r="E1685" s="1004" t="n">
        <f aca="false">'Смета Внутр'!E1692</f>
        <v>200</v>
      </c>
      <c r="F1685" s="1004" t="n">
        <f aca="false">'Смета Внутр'!F1692</f>
        <v>0</v>
      </c>
      <c r="G1685" s="1004" t="n">
        <f aca="false">IF(E1685&gt;F1685,E1685,F1685)</f>
        <v>200</v>
      </c>
      <c r="H1685" s="1004" t="n">
        <f aca="false">'Смета Внутр'!G1692</f>
        <v>0</v>
      </c>
      <c r="I1685" s="1004" t="n">
        <f aca="false">'Смета Внутр'!H1692</f>
        <v>0</v>
      </c>
      <c r="J1685" s="1018" t="n">
        <f aca="false">'Смета Внутр'!I1692</f>
        <v>0</v>
      </c>
    </row>
    <row r="1686" customFormat="false" ht="15" hidden="false" customHeight="true" outlineLevel="0" collapsed="false">
      <c r="B1686" s="1004" t="str">
        <f aca="false">'Смета Внутр'!B1693</f>
        <v>Торцевая планка</v>
      </c>
      <c r="C1686" s="1004" t="str">
        <f aca="false">'Смета Внутр'!C1693</f>
        <v>м.п.</v>
      </c>
      <c r="D1686" s="1018" t="n">
        <f aca="false">'Смета Внутр'!D1693</f>
        <v>0</v>
      </c>
      <c r="E1686" s="1004" t="n">
        <f aca="false">'Смета Внутр'!E1693</f>
        <v>200</v>
      </c>
      <c r="F1686" s="1004" t="n">
        <f aca="false">'Смета Внутр'!F1693</f>
        <v>0</v>
      </c>
      <c r="G1686" s="1004" t="n">
        <f aca="false">IF(E1686&gt;F1686,E1686,F1686)</f>
        <v>200</v>
      </c>
      <c r="H1686" s="1004" t="n">
        <f aca="false">'Смета Внутр'!G1693</f>
        <v>0</v>
      </c>
      <c r="I1686" s="1004" t="n">
        <f aca="false">'Смета Внутр'!H1693</f>
        <v>0</v>
      </c>
      <c r="J1686" s="1018" t="n">
        <f aca="false">'Смета Внутр'!I1693</f>
        <v>0</v>
      </c>
    </row>
    <row r="1687" customFormat="false" ht="15" hidden="false" customHeight="true" outlineLevel="0" collapsed="false">
      <c r="B1687" s="1004" t="str">
        <f aca="false">'Смета Внутр'!B1694</f>
        <v>Конек</v>
      </c>
      <c r="C1687" s="1004" t="str">
        <f aca="false">'Смета Внутр'!C1694</f>
        <v>м.п.</v>
      </c>
      <c r="D1687" s="1018" t="n">
        <f aca="false">'Смета Внутр'!D1694</f>
        <v>0</v>
      </c>
      <c r="E1687" s="1004" t="n">
        <f aca="false">'Смета Внутр'!E1694</f>
        <v>230</v>
      </c>
      <c r="F1687" s="1004" t="n">
        <f aca="false">'Смета Внутр'!F1694</f>
        <v>0</v>
      </c>
      <c r="G1687" s="1004" t="n">
        <f aca="false">IF(E1687&gt;F1687,E1687,F1687)</f>
        <v>230</v>
      </c>
      <c r="H1687" s="1004" t="n">
        <f aca="false">'Смета Внутр'!G1694</f>
        <v>0</v>
      </c>
      <c r="I1687" s="1004" t="n">
        <f aca="false">'Смета Внутр'!H1694</f>
        <v>0</v>
      </c>
      <c r="J1687" s="1018" t="n">
        <f aca="false">'Смета Внутр'!I1694</f>
        <v>0</v>
      </c>
    </row>
    <row r="1688" customFormat="false" ht="15" hidden="false" customHeight="true" outlineLevel="0" collapsed="false">
      <c r="B1688" s="1004" t="str">
        <f aca="false">'Смета Внутр'!B1695</f>
        <v>Ендова нижняя</v>
      </c>
      <c r="C1688" s="1004" t="str">
        <f aca="false">'Смета Внутр'!C1695</f>
        <v>м.п</v>
      </c>
      <c r="D1688" s="1018" t="n">
        <f aca="false">'Смета Внутр'!D1695</f>
        <v>0</v>
      </c>
      <c r="E1688" s="1004" t="n">
        <f aca="false">'Смета Внутр'!E1695</f>
        <v>160</v>
      </c>
      <c r="F1688" s="1004" t="n">
        <f aca="false">'Смета Внутр'!F1695</f>
        <v>0</v>
      </c>
      <c r="G1688" s="1004" t="n">
        <f aca="false">IF(E1688&gt;F1688,E1688,F1688)</f>
        <v>160</v>
      </c>
      <c r="H1688" s="1004" t="n">
        <f aca="false">'Смета Внутр'!G1695</f>
        <v>0</v>
      </c>
      <c r="I1688" s="1004" t="n">
        <f aca="false">'Смета Внутр'!H1695</f>
        <v>0</v>
      </c>
      <c r="J1688" s="1018" t="n">
        <f aca="false">'Смета Внутр'!I1695</f>
        <v>0</v>
      </c>
    </row>
    <row r="1689" customFormat="false" ht="15" hidden="false" customHeight="true" outlineLevel="0" collapsed="false">
      <c r="B1689" s="1004" t="str">
        <f aca="false">'Смета Внутр'!B1696</f>
        <v>Планка примыкания</v>
      </c>
      <c r="C1689" s="1004" t="str">
        <f aca="false">'Смета Внутр'!C1696</f>
        <v>м.п.</v>
      </c>
      <c r="D1689" s="1018" t="n">
        <f aca="false">'Смета Внутр'!D1696</f>
        <v>0</v>
      </c>
      <c r="E1689" s="1004" t="n">
        <f aca="false">'Смета Внутр'!E1696</f>
        <v>190</v>
      </c>
      <c r="F1689" s="1004" t="n">
        <f aca="false">'Смета Внутр'!F1696</f>
        <v>0</v>
      </c>
      <c r="G1689" s="1004" t="n">
        <f aca="false">IF(E1689&gt;F1689,E1689,F1689)</f>
        <v>190</v>
      </c>
      <c r="H1689" s="1004" t="n">
        <f aca="false">'Смета Внутр'!G1696</f>
        <v>0</v>
      </c>
      <c r="I1689" s="1004" t="n">
        <f aca="false">'Смета Внутр'!H1696</f>
        <v>0</v>
      </c>
      <c r="J1689" s="1018" t="n">
        <f aca="false">'Смета Внутр'!I1696</f>
        <v>0</v>
      </c>
    </row>
    <row r="1690" customFormat="false" ht="15" hidden="false" customHeight="true" outlineLevel="0" collapsed="false">
      <c r="B1690" s="1004" t="str">
        <f aca="false">'Смета Внутр'!B1697</f>
        <v>ондулин</v>
      </c>
      <c r="C1690" s="1004" t="str">
        <f aca="false">'Смета Внутр'!C1697</f>
        <v>м2</v>
      </c>
      <c r="D1690" s="1018" t="n">
        <f aca="false">'Смета Внутр'!D1697</f>
        <v>0</v>
      </c>
      <c r="E1690" s="1004" t="n">
        <f aca="false">'Смета Внутр'!E1697</f>
        <v>180</v>
      </c>
      <c r="F1690" s="1004" t="n">
        <f aca="false">'Смета Внутр'!F1697</f>
        <v>0</v>
      </c>
      <c r="G1690" s="1004" t="n">
        <f aca="false">IF(E1690&gt;F1690,E1690,F1690)</f>
        <v>180</v>
      </c>
      <c r="H1690" s="1004" t="n">
        <f aca="false">'Смета Внутр'!G1697</f>
        <v>0</v>
      </c>
      <c r="I1690" s="1004" t="n">
        <f aca="false">'Смета Внутр'!H1697</f>
        <v>0</v>
      </c>
      <c r="J1690" s="1018" t="n">
        <f aca="false">'Смета Внутр'!I1697</f>
        <v>0</v>
      </c>
    </row>
    <row r="1691" customFormat="false" ht="15" hidden="false" customHeight="true" outlineLevel="0" collapsed="false">
      <c r="B1691" s="1004" t="str">
        <f aca="false">'Смета Внутр'!B1698</f>
        <v>Карнизная планка</v>
      </c>
      <c r="C1691" s="1004" t="str">
        <f aca="false">'Смета Внутр'!C1698</f>
        <v>м.п.</v>
      </c>
      <c r="D1691" s="1018" t="n">
        <f aca="false">'Смета Внутр'!D1698</f>
        <v>0</v>
      </c>
      <c r="E1691" s="1004" t="n">
        <f aca="false">'Смета Внутр'!E1698</f>
        <v>190</v>
      </c>
      <c r="F1691" s="1004" t="n">
        <f aca="false">'Смета Внутр'!F1698</f>
        <v>0</v>
      </c>
      <c r="G1691" s="1004" t="n">
        <f aca="false">IF(E1691&gt;F1691,E1691,F1691)</f>
        <v>190</v>
      </c>
      <c r="H1691" s="1004" t="n">
        <f aca="false">'Смета Внутр'!G1698</f>
        <v>0</v>
      </c>
      <c r="I1691" s="1004" t="n">
        <f aca="false">'Смета Внутр'!H1698</f>
        <v>0</v>
      </c>
      <c r="J1691" s="1018" t="n">
        <f aca="false">'Смета Внутр'!I1698</f>
        <v>0</v>
      </c>
    </row>
    <row r="1692" customFormat="false" ht="15" hidden="false" customHeight="true" outlineLevel="0" collapsed="false">
      <c r="B1692" s="1004" t="str">
        <f aca="false">'Смета Внутр'!B1699</f>
        <v>Торцевая планка</v>
      </c>
      <c r="C1692" s="1004" t="str">
        <f aca="false">'Смета Внутр'!C1699</f>
        <v>м.п.</v>
      </c>
      <c r="D1692" s="1018" t="n">
        <f aca="false">'Смета Внутр'!D1699</f>
        <v>0</v>
      </c>
      <c r="E1692" s="1004" t="n">
        <f aca="false">'Смета Внутр'!E1699</f>
        <v>190</v>
      </c>
      <c r="F1692" s="1004" t="n">
        <f aca="false">'Смета Внутр'!F1699</f>
        <v>0</v>
      </c>
      <c r="G1692" s="1004" t="n">
        <f aca="false">IF(E1692&gt;F1692,E1692,F1692)</f>
        <v>190</v>
      </c>
      <c r="H1692" s="1004" t="n">
        <f aca="false">'Смета Внутр'!G1699</f>
        <v>0</v>
      </c>
      <c r="I1692" s="1004" t="n">
        <f aca="false">'Смета Внутр'!H1699</f>
        <v>0</v>
      </c>
      <c r="J1692" s="1018" t="n">
        <f aca="false">'Смета Внутр'!I1699</f>
        <v>0</v>
      </c>
    </row>
    <row r="1693" customFormat="false" ht="15" hidden="false" customHeight="true" outlineLevel="0" collapsed="false">
      <c r="B1693" s="1004" t="str">
        <f aca="false">'Смета Внутр'!B1700</f>
        <v>Конек</v>
      </c>
      <c r="C1693" s="1004" t="str">
        <f aca="false">'Смета Внутр'!C1700</f>
        <v>м.п.</v>
      </c>
      <c r="D1693" s="1018" t="n">
        <f aca="false">'Смета Внутр'!D1700</f>
        <v>0</v>
      </c>
      <c r="E1693" s="1004" t="n">
        <f aca="false">'Смета Внутр'!E1700</f>
        <v>200</v>
      </c>
      <c r="F1693" s="1004" t="n">
        <f aca="false">'Смета Внутр'!F1700</f>
        <v>0</v>
      </c>
      <c r="G1693" s="1004" t="n">
        <f aca="false">IF(E1693&gt;F1693,E1693,F1693)</f>
        <v>200</v>
      </c>
      <c r="H1693" s="1004" t="n">
        <f aca="false">'Смета Внутр'!G1700</f>
        <v>0</v>
      </c>
      <c r="I1693" s="1004" t="n">
        <f aca="false">'Смета Внутр'!H1700</f>
        <v>0</v>
      </c>
      <c r="J1693" s="1018" t="n">
        <f aca="false">'Смета Внутр'!I1700</f>
        <v>0</v>
      </c>
    </row>
    <row r="1694" customFormat="false" ht="15" hidden="false" customHeight="true" outlineLevel="0" collapsed="false">
      <c r="B1694" s="1004" t="str">
        <f aca="false">'Смета Внутр'!B1701</f>
        <v>Ендова нижняя</v>
      </c>
      <c r="C1694" s="1004" t="str">
        <f aca="false">'Смета Внутр'!C1701</f>
        <v>м.п.</v>
      </c>
      <c r="D1694" s="1018" t="n">
        <f aca="false">'Смета Внутр'!D1701</f>
        <v>0</v>
      </c>
      <c r="E1694" s="1004" t="n">
        <f aca="false">'Смета Внутр'!E1701</f>
        <v>160</v>
      </c>
      <c r="F1694" s="1004" t="n">
        <f aca="false">'Смета Внутр'!F1701</f>
        <v>0</v>
      </c>
      <c r="G1694" s="1004" t="n">
        <f aca="false">IF(E1694&gt;F1694,E1694,F1694)</f>
        <v>160</v>
      </c>
      <c r="H1694" s="1004" t="n">
        <f aca="false">'Смета Внутр'!G1701</f>
        <v>0</v>
      </c>
      <c r="I1694" s="1004" t="n">
        <f aca="false">'Смета Внутр'!H1701</f>
        <v>0</v>
      </c>
      <c r="J1694" s="1018" t="n">
        <f aca="false">'Смета Внутр'!I1701</f>
        <v>0</v>
      </c>
    </row>
    <row r="1695" customFormat="false" ht="15" hidden="false" customHeight="true" outlineLevel="0" collapsed="false">
      <c r="B1695" s="1004" t="str">
        <f aca="false">'Смета Внутр'!B1702</f>
        <v>Ендова верхняя</v>
      </c>
      <c r="C1695" s="1004" t="str">
        <f aca="false">'Смета Внутр'!C1702</f>
        <v>м.п.</v>
      </c>
      <c r="D1695" s="1018" t="n">
        <f aca="false">'Смета Внутр'!D1702</f>
        <v>0</v>
      </c>
      <c r="E1695" s="1004" t="n">
        <f aca="false">'Смета Внутр'!E1702</f>
        <v>190</v>
      </c>
      <c r="F1695" s="1004" t="n">
        <f aca="false">'Смета Внутр'!F1702</f>
        <v>0</v>
      </c>
      <c r="G1695" s="1004" t="n">
        <f aca="false">IF(E1695&gt;F1695,E1695,F1695)</f>
        <v>190</v>
      </c>
      <c r="H1695" s="1004" t="n">
        <f aca="false">'Смета Внутр'!G1702</f>
        <v>0</v>
      </c>
      <c r="I1695" s="1004" t="n">
        <f aca="false">'Смета Внутр'!H1702</f>
        <v>0</v>
      </c>
      <c r="J1695" s="1018" t="n">
        <f aca="false">'Смета Внутр'!I1702</f>
        <v>0</v>
      </c>
    </row>
    <row r="1696" customFormat="false" ht="15" hidden="false" customHeight="true" outlineLevel="0" collapsed="false">
      <c r="B1696" s="1004" t="str">
        <f aca="false">'Смета Внутр'!B1703</f>
        <v>Планка примыкания</v>
      </c>
      <c r="C1696" s="1004" t="str">
        <f aca="false">'Смета Внутр'!C1703</f>
        <v>м.п.</v>
      </c>
      <c r="D1696" s="1018" t="n">
        <f aca="false">'Смета Внутр'!D1703</f>
        <v>0</v>
      </c>
      <c r="E1696" s="1004" t="n">
        <f aca="false">'Смета Внутр'!E1703</f>
        <v>190</v>
      </c>
      <c r="F1696" s="1004" t="n">
        <f aca="false">'Смета Внутр'!F1703</f>
        <v>0</v>
      </c>
      <c r="G1696" s="1004" t="n">
        <f aca="false">IF(E1696&gt;F1696,E1696,F1696)</f>
        <v>190</v>
      </c>
      <c r="H1696" s="1004" t="n">
        <f aca="false">'Смета Внутр'!G1703</f>
        <v>0</v>
      </c>
      <c r="I1696" s="1004" t="n">
        <f aca="false">'Смета Внутр'!H1703</f>
        <v>0</v>
      </c>
      <c r="J1696" s="1018" t="n">
        <f aca="false">'Смета Внутр'!I1703</f>
        <v>0</v>
      </c>
    </row>
    <row r="1697" customFormat="false" ht="15" hidden="false" customHeight="true" outlineLevel="0" collapsed="false">
      <c r="B1697" s="1004" t="str">
        <f aca="false">'Смета Внутр'!B1704</f>
        <v>Крепеж для ондулина</v>
      </c>
      <c r="C1697" s="1004" t="str">
        <f aca="false">'Смета Внутр'!C1704</f>
        <v>шт</v>
      </c>
      <c r="D1697" s="1018" t="n">
        <f aca="false">'Смета Внутр'!D1704</f>
        <v>0</v>
      </c>
      <c r="E1697" s="1004" t="n">
        <f aca="false">'Смета Внутр'!E1704</f>
        <v>4.5</v>
      </c>
      <c r="F1697" s="1004" t="n">
        <f aca="false">'Смета Внутр'!F1704</f>
        <v>0</v>
      </c>
      <c r="G1697" s="1004" t="n">
        <f aca="false">IF(E1697&gt;F1697,E1697,F1697)</f>
        <v>4.5</v>
      </c>
      <c r="H1697" s="1004" t="n">
        <f aca="false">'Смета Внутр'!G1704</f>
        <v>0</v>
      </c>
      <c r="I1697" s="1004" t="n">
        <f aca="false">'Смета Внутр'!H1704</f>
        <v>0</v>
      </c>
      <c r="J1697" s="1018" t="n">
        <f aca="false">'Смета Внутр'!I1704</f>
        <v>0</v>
      </c>
    </row>
    <row r="1698" customFormat="false" ht="15" hidden="false" customHeight="true" outlineLevel="0" collapsed="false">
      <c r="B1698" s="1004" t="str">
        <f aca="false">'Смета Внутр'!B1705</f>
        <v>нет</v>
      </c>
      <c r="C1698" s="1004" t="str">
        <f aca="false">'Смета Внутр'!C1705</f>
        <v>м2</v>
      </c>
      <c r="D1698" s="1018" t="n">
        <f aca="false">'Смета Внутр'!D1705</f>
        <v>0</v>
      </c>
      <c r="E1698" s="1004" t="n">
        <f aca="false">'Смета Внутр'!E1705</f>
        <v>0</v>
      </c>
      <c r="F1698" s="1004" t="n">
        <f aca="false">'Смета Внутр'!F1705</f>
        <v>0</v>
      </c>
      <c r="G1698" s="1004" t="n">
        <f aca="false">IF(E1698&gt;F1698,E1698,F1698)</f>
        <v>0</v>
      </c>
      <c r="H1698" s="1004" t="n">
        <f aca="false">'Смета Внутр'!G1705</f>
        <v>0</v>
      </c>
      <c r="I1698" s="1004" t="n">
        <f aca="false">'Смета Внутр'!H1705</f>
        <v>0</v>
      </c>
      <c r="J1698" s="1018" t="n">
        <f aca="false">'Смета Внутр'!I1705</f>
        <v>0</v>
      </c>
    </row>
    <row r="1699" customFormat="false" ht="15" hidden="false" customHeight="true" outlineLevel="0" collapsed="false">
      <c r="B1699" s="1004" t="str">
        <f aca="false">'Смета Внутр'!B1706</f>
        <v>Рядовая черепица</v>
      </c>
      <c r="C1699" s="1004" t="str">
        <f aca="false">'Смета Внутр'!C1706</f>
        <v>м2</v>
      </c>
      <c r="D1699" s="1018" t="n">
        <f aca="false">'Смета Внутр'!D1706</f>
        <v>0</v>
      </c>
      <c r="E1699" s="1004" t="n">
        <f aca="false">'Смета Внутр'!E1706</f>
        <v>360</v>
      </c>
      <c r="F1699" s="1004" t="n">
        <f aca="false">'Смета Внутр'!F1706</f>
        <v>0</v>
      </c>
      <c r="G1699" s="1004" t="n">
        <f aca="false">IF(E1699&gt;F1699,E1699,F1699)</f>
        <v>360</v>
      </c>
      <c r="H1699" s="1004" t="n">
        <f aca="false">'Смета Внутр'!G1706</f>
        <v>0</v>
      </c>
      <c r="I1699" s="1004" t="n">
        <f aca="false">'Смета Внутр'!H1706</f>
        <v>0</v>
      </c>
      <c r="J1699" s="1018" t="n">
        <f aca="false">'Смета Внутр'!I1706</f>
        <v>0</v>
      </c>
    </row>
    <row r="1700" customFormat="false" ht="15" hidden="false" customHeight="true" outlineLevel="0" collapsed="false">
      <c r="B1700" s="1004" t="str">
        <f aca="false">'Смета Внутр'!B1707</f>
        <v>Металл оцинк защита (карниз)</v>
      </c>
      <c r="C1700" s="1004" t="str">
        <f aca="false">'Смета Внутр'!C1707</f>
        <v>м.п.</v>
      </c>
      <c r="D1700" s="1018" t="n">
        <f aca="false">'Смета Внутр'!D1707</f>
        <v>0</v>
      </c>
      <c r="E1700" s="1004" t="n">
        <f aca="false">'Смета Внутр'!E1707</f>
        <v>200</v>
      </c>
      <c r="F1700" s="1004" t="n">
        <f aca="false">'Смета Внутр'!F1707</f>
        <v>0</v>
      </c>
      <c r="G1700" s="1004" t="n">
        <f aca="false">IF(E1700&gt;F1700,E1700,F1700)</f>
        <v>200</v>
      </c>
      <c r="H1700" s="1004" t="n">
        <f aca="false">'Смета Внутр'!G1707</f>
        <v>0</v>
      </c>
      <c r="I1700" s="1004" t="n">
        <f aca="false">'Смета Внутр'!H1707</f>
        <v>0</v>
      </c>
      <c r="J1700" s="1018" t="n">
        <f aca="false">'Смета Внутр'!I1707</f>
        <v>0</v>
      </c>
    </row>
    <row r="1701" customFormat="false" ht="15" hidden="false" customHeight="true" outlineLevel="0" collapsed="false">
      <c r="B1701" s="1004" t="str">
        <f aca="false">'Смета Внутр'!B1708</f>
        <v>Подкладочный ковер</v>
      </c>
      <c r="C1701" s="1004" t="str">
        <f aca="false">'Смета Внутр'!C1708</f>
        <v>м.п.</v>
      </c>
      <c r="D1701" s="1018" t="n">
        <f aca="false">'Смета Внутр'!D1708</f>
        <v>0</v>
      </c>
      <c r="E1701" s="1004" t="n">
        <f aca="false">'Смета Внутр'!E1708</f>
        <v>220</v>
      </c>
      <c r="F1701" s="1004" t="n">
        <f aca="false">'Смета Внутр'!F1708</f>
        <v>0</v>
      </c>
      <c r="G1701" s="1004" t="n">
        <f aca="false">IF(E1701&gt;F1701,E1701,F1701)</f>
        <v>220</v>
      </c>
      <c r="H1701" s="1004" t="n">
        <f aca="false">'Смета Внутр'!G1708</f>
        <v>0</v>
      </c>
      <c r="I1701" s="1004" t="n">
        <f aca="false">'Смета Внутр'!H1708</f>
        <v>0</v>
      </c>
      <c r="J1701" s="1018" t="n">
        <f aca="false">'Смета Внутр'!I1708</f>
        <v>0</v>
      </c>
    </row>
    <row r="1702" customFormat="false" ht="15" hidden="false" customHeight="true" outlineLevel="0" collapsed="false">
      <c r="B1702" s="1004" t="str">
        <f aca="false">'Смета Внутр'!B1709</f>
        <v>Карнизная самоклеющаяся черепица</v>
      </c>
      <c r="C1702" s="1004" t="str">
        <f aca="false">'Смета Внутр'!C1709</f>
        <v>м.п.</v>
      </c>
      <c r="D1702" s="1018" t="n">
        <f aca="false">'Смета Внутр'!D1709</f>
        <v>0</v>
      </c>
      <c r="E1702" s="1004" t="n">
        <f aca="false">'Смета Внутр'!E1709</f>
        <v>220</v>
      </c>
      <c r="F1702" s="1004" t="n">
        <f aca="false">'Смета Внутр'!F1709</f>
        <v>0</v>
      </c>
      <c r="G1702" s="1004" t="n">
        <f aca="false">IF(E1702&gt;F1702,E1702,F1702)</f>
        <v>220</v>
      </c>
      <c r="H1702" s="1004" t="n">
        <f aca="false">'Смета Внутр'!G1709</f>
        <v>0</v>
      </c>
      <c r="I1702" s="1004" t="n">
        <f aca="false">'Смета Внутр'!H1709</f>
        <v>0</v>
      </c>
      <c r="J1702" s="1018" t="n">
        <f aca="false">'Смета Внутр'!I1709</f>
        <v>0</v>
      </c>
    </row>
    <row r="1703" customFormat="false" ht="15" hidden="false" customHeight="true" outlineLevel="0" collapsed="false">
      <c r="B1703" s="1004" t="str">
        <f aca="false">'Смета Внутр'!B1710</f>
        <v>Спец ковер ендова нижняя</v>
      </c>
      <c r="C1703" s="1004" t="str">
        <f aca="false">'Смета Внутр'!C1710</f>
        <v>м.п.</v>
      </c>
      <c r="D1703" s="1018" t="n">
        <f aca="false">'Смета Внутр'!D1710</f>
        <v>0</v>
      </c>
      <c r="E1703" s="1004" t="n">
        <f aca="false">'Смета Внутр'!E1710</f>
        <v>200</v>
      </c>
      <c r="F1703" s="1004" t="n">
        <f aca="false">'Смета Внутр'!F1710</f>
        <v>0</v>
      </c>
      <c r="G1703" s="1004" t="n">
        <f aca="false">IF(E1703&gt;F1703,E1703,F1703)</f>
        <v>200</v>
      </c>
      <c r="H1703" s="1004" t="n">
        <f aca="false">'Смета Внутр'!G1710</f>
        <v>0</v>
      </c>
      <c r="I1703" s="1004" t="n">
        <f aca="false">'Смета Внутр'!H1710</f>
        <v>0</v>
      </c>
      <c r="J1703" s="1018" t="n">
        <f aca="false">'Смета Внутр'!I1710</f>
        <v>0</v>
      </c>
    </row>
    <row r="1704" customFormat="false" ht="15" hidden="false" customHeight="true" outlineLevel="0" collapsed="false">
      <c r="B1704" s="1004" t="str">
        <f aca="false">'Смета Внутр'!B1711</f>
        <v>Коньковой элемент</v>
      </c>
      <c r="C1704" s="1004" t="str">
        <f aca="false">'Смета Внутр'!C1711</f>
        <v>м.п.</v>
      </c>
      <c r="D1704" s="1018" t="n">
        <f aca="false">'Смета Внутр'!D1711</f>
        <v>0</v>
      </c>
      <c r="E1704" s="1004" t="n">
        <f aca="false">'Смета Внутр'!E1711</f>
        <v>250</v>
      </c>
      <c r="F1704" s="1004" t="n">
        <f aca="false">'Смета Внутр'!F1711</f>
        <v>0</v>
      </c>
      <c r="G1704" s="1004" t="n">
        <f aca="false">IF(E1704&gt;F1704,E1704,F1704)</f>
        <v>250</v>
      </c>
      <c r="H1704" s="1004" t="n">
        <f aca="false">'Смета Внутр'!G1711</f>
        <v>0</v>
      </c>
      <c r="I1704" s="1004" t="n">
        <f aca="false">'Смета Внутр'!H1711</f>
        <v>0</v>
      </c>
      <c r="J1704" s="1018" t="n">
        <f aca="false">'Смета Внутр'!I1711</f>
        <v>0</v>
      </c>
    </row>
    <row r="1705" customFormat="false" ht="15" hidden="false" customHeight="true" outlineLevel="0" collapsed="false">
      <c r="B1705" s="1004" t="str">
        <f aca="false">'Смета Внутр'!B1712</f>
        <v>Планка премыкания</v>
      </c>
      <c r="C1705" s="1004" t="str">
        <f aca="false">'Смета Внутр'!C1712</f>
        <v>м.п.</v>
      </c>
      <c r="D1705" s="1018" t="n">
        <f aca="false">'Смета Внутр'!D1712</f>
        <v>0</v>
      </c>
      <c r="E1705" s="1004" t="n">
        <f aca="false">'Смета Внутр'!E1712</f>
        <v>200</v>
      </c>
      <c r="F1705" s="1004" t="n">
        <f aca="false">'Смета Внутр'!F1712</f>
        <v>0</v>
      </c>
      <c r="G1705" s="1004" t="n">
        <f aca="false">IF(E1705&gt;F1705,E1705,F1705)</f>
        <v>200</v>
      </c>
      <c r="H1705" s="1004" t="n">
        <f aca="false">'Смета Внутр'!G1712</f>
        <v>0</v>
      </c>
      <c r="I1705" s="1004" t="n">
        <f aca="false">'Смета Внутр'!H1712</f>
        <v>0</v>
      </c>
      <c r="J1705" s="1018" t="n">
        <f aca="false">'Смета Внутр'!I1712</f>
        <v>0</v>
      </c>
    </row>
    <row r="1706" customFormat="false" ht="15" hidden="false" customHeight="true" outlineLevel="0" collapsed="false">
      <c r="B1706" s="1004" t="str">
        <f aca="false">'Смета Внутр'!B1713</f>
        <v>Гвозди для крепления подкладочного ковра</v>
      </c>
      <c r="C1706" s="1004" t="str">
        <f aca="false">'Смета Внутр'!C1713</f>
        <v>шт</v>
      </c>
      <c r="D1706" s="1018" t="n">
        <f aca="false">'Смета Внутр'!D1713</f>
        <v>0</v>
      </c>
      <c r="E1706" s="1004" t="n">
        <f aca="false">'Смета Внутр'!E1713</f>
        <v>0.012</v>
      </c>
      <c r="F1706" s="1004" t="n">
        <f aca="false">'Смета Внутр'!F1713</f>
        <v>0</v>
      </c>
      <c r="G1706" s="1004" t="n">
        <f aca="false">IF(E1706&gt;F1706,E1706,F1706)</f>
        <v>0.012</v>
      </c>
      <c r="H1706" s="1004" t="n">
        <f aca="false">'Смета Внутр'!G1713</f>
        <v>0</v>
      </c>
      <c r="I1706" s="1004" t="n">
        <f aca="false">'Смета Внутр'!H1713</f>
        <v>0</v>
      </c>
      <c r="J1706" s="1018" t="n">
        <f aca="false">'Смета Внутр'!I1713</f>
        <v>0</v>
      </c>
    </row>
    <row r="1707" customFormat="false" ht="15" hidden="false" customHeight="true" outlineLevel="0" collapsed="false">
      <c r="B1707" s="1004" t="str">
        <f aca="false">'Смета Внутр'!B1714</f>
        <v>Гвозди для крепления черепицы</v>
      </c>
      <c r="C1707" s="1004" t="str">
        <f aca="false">'Смета Внутр'!C1714</f>
        <v>шт</v>
      </c>
      <c r="D1707" s="1018" t="n">
        <f aca="false">'Смета Внутр'!D1714</f>
        <v>0</v>
      </c>
      <c r="E1707" s="1004" t="n">
        <f aca="false">'Смета Внутр'!E1714</f>
        <v>0.25</v>
      </c>
      <c r="F1707" s="1004" t="n">
        <f aca="false">'Смета Внутр'!F1714</f>
        <v>0</v>
      </c>
      <c r="G1707" s="1004" t="n">
        <f aca="false">IF(E1707&gt;F1707,E1707,F1707)</f>
        <v>0.25</v>
      </c>
      <c r="H1707" s="1004" t="n">
        <f aca="false">'Смета Внутр'!G1714</f>
        <v>0</v>
      </c>
      <c r="I1707" s="1004" t="n">
        <f aca="false">'Смета Внутр'!H1714</f>
        <v>0</v>
      </c>
      <c r="J1707" s="1018" t="n">
        <f aca="false">'Смета Внутр'!I1714</f>
        <v>0</v>
      </c>
    </row>
    <row r="1708" customFormat="false" ht="15" hidden="false" customHeight="true" outlineLevel="0" collapsed="false">
      <c r="B1708" s="1004" t="str">
        <f aca="false">'Смета Внутр'!B1715</f>
        <v>Клей для монтажа черепицы</v>
      </c>
      <c r="C1708" s="1004" t="str">
        <f aca="false">'Смета Внутр'!C1715</f>
        <v>кг</v>
      </c>
      <c r="D1708" s="1018" t="n">
        <f aca="false">'Смета Внутр'!D1715</f>
        <v>0</v>
      </c>
      <c r="E1708" s="1004" t="n">
        <f aca="false">'Смета Внутр'!E1715</f>
        <v>250</v>
      </c>
      <c r="F1708" s="1004" t="n">
        <f aca="false">'Смета Внутр'!F1715</f>
        <v>0</v>
      </c>
      <c r="G1708" s="1004" t="n">
        <f aca="false">IF(E1708&gt;F1708,E1708,F1708)</f>
        <v>250</v>
      </c>
      <c r="H1708" s="1004" t="n">
        <f aca="false">'Смета Внутр'!G1715</f>
        <v>0</v>
      </c>
      <c r="I1708" s="1004" t="n">
        <f aca="false">'Смета Внутр'!H1715</f>
        <v>0</v>
      </c>
      <c r="J1708" s="1018" t="n">
        <f aca="false">'Смета Внутр'!I1715</f>
        <v>0</v>
      </c>
    </row>
    <row r="1709" customFormat="false" ht="15" hidden="false" customHeight="true" outlineLevel="0" collapsed="false">
      <c r="B1709" s="1004" t="str">
        <f aca="false">'Смета Внутр'!B1716</f>
        <v>желоб</v>
      </c>
      <c r="C1709" s="1004" t="str">
        <f aca="false">'Смета Внутр'!C1716</f>
        <v>м.п</v>
      </c>
      <c r="D1709" s="1018" t="n">
        <f aca="false">'Смета Внутр'!D1716</f>
        <v>0</v>
      </c>
      <c r="E1709" s="1004" t="n">
        <f aca="false">'Смета Внутр'!E1716</f>
        <v>300</v>
      </c>
      <c r="F1709" s="1004" t="n">
        <f aca="false">'Смета Внутр'!F1716</f>
        <v>0</v>
      </c>
      <c r="G1709" s="1004" t="n">
        <f aca="false">IF(E1709&gt;F1709,E1709,F1709)</f>
        <v>300</v>
      </c>
      <c r="H1709" s="1004" t="n">
        <f aca="false">'Смета Внутр'!G1716</f>
        <v>0</v>
      </c>
      <c r="I1709" s="1004" t="n">
        <f aca="false">'Смета Внутр'!H1716</f>
        <v>0</v>
      </c>
      <c r="J1709" s="1018" t="n">
        <f aca="false">'Смета Внутр'!I1716</f>
        <v>0</v>
      </c>
    </row>
    <row r="1710" customFormat="false" ht="15" hidden="false" customHeight="true" outlineLevel="0" collapsed="false">
      <c r="B1710" s="1004" t="str">
        <f aca="false">'Смета Внутр'!B1717</f>
        <v>отвод</v>
      </c>
      <c r="C1710" s="1004" t="str">
        <f aca="false">'Смета Внутр'!C1717</f>
        <v>шт</v>
      </c>
      <c r="D1710" s="1018" t="n">
        <f aca="false">'Смета Внутр'!D1717</f>
        <v>0</v>
      </c>
      <c r="E1710" s="1004" t="n">
        <f aca="false">'Смета Внутр'!E1717</f>
        <v>250</v>
      </c>
      <c r="F1710" s="1004" t="n">
        <f aca="false">'Смета Внутр'!F1717</f>
        <v>0</v>
      </c>
      <c r="G1710" s="1004" t="n">
        <f aca="false">IF(E1710&gt;F1710,E1710,F1710)</f>
        <v>250</v>
      </c>
      <c r="H1710" s="1004" t="n">
        <f aca="false">'Смета Внутр'!G1717</f>
        <v>0</v>
      </c>
      <c r="I1710" s="1004" t="n">
        <f aca="false">'Смета Внутр'!H1717</f>
        <v>0</v>
      </c>
      <c r="J1710" s="1018" t="n">
        <f aca="false">'Смета Внутр'!I1717</f>
        <v>0</v>
      </c>
    </row>
    <row r="1711" customFormat="false" ht="15" hidden="false" customHeight="true" outlineLevel="0" collapsed="false">
      <c r="B1711" s="1004" t="str">
        <f aca="false">'Смета Внутр'!B1718</f>
        <v>труба водосточная</v>
      </c>
      <c r="C1711" s="1004" t="str">
        <f aca="false">'Смета Внутр'!C1718</f>
        <v>м.п.</v>
      </c>
      <c r="D1711" s="1018" t="n">
        <f aca="false">'Смета Внутр'!D1718</f>
        <v>0</v>
      </c>
      <c r="E1711" s="1004" t="n">
        <f aca="false">'Смета Внутр'!E1718</f>
        <v>300</v>
      </c>
      <c r="F1711" s="1004" t="n">
        <f aca="false">'Смета Внутр'!F1718</f>
        <v>0</v>
      </c>
      <c r="G1711" s="1004" t="n">
        <f aca="false">IF(E1711&gt;F1711,E1711,F1711)</f>
        <v>300</v>
      </c>
      <c r="H1711" s="1004" t="n">
        <f aca="false">'Смета Внутр'!G1718</f>
        <v>0</v>
      </c>
      <c r="I1711" s="1004" t="n">
        <f aca="false">'Смета Внутр'!H1718</f>
        <v>0</v>
      </c>
      <c r="J1711" s="1018" t="n">
        <f aca="false">'Смета Внутр'!I1718</f>
        <v>0</v>
      </c>
    </row>
    <row r="1712" customFormat="false" ht="15" hidden="false" customHeight="true" outlineLevel="0" collapsed="false">
      <c r="B1712" s="1004" t="str">
        <f aca="false">'Смета Внутр'!B1719</f>
        <v>заглушка для желоба</v>
      </c>
      <c r="C1712" s="1004" t="str">
        <f aca="false">'Смета Внутр'!C1719</f>
        <v>шт</v>
      </c>
      <c r="D1712" s="1018" t="n">
        <f aca="false">'Смета Внутр'!D1719</f>
        <v>0</v>
      </c>
      <c r="E1712" s="1004" t="n">
        <f aca="false">'Смета Внутр'!E1719</f>
        <v>190</v>
      </c>
      <c r="F1712" s="1004" t="n">
        <f aca="false">'Смета Внутр'!F1719</f>
        <v>0</v>
      </c>
      <c r="G1712" s="1004" t="n">
        <f aca="false">IF(E1712&gt;F1712,E1712,F1712)</f>
        <v>190</v>
      </c>
      <c r="H1712" s="1004" t="n">
        <f aca="false">'Смета Внутр'!G1719</f>
        <v>0</v>
      </c>
      <c r="I1712" s="1004" t="n">
        <f aca="false">'Смета Внутр'!H1719</f>
        <v>0</v>
      </c>
      <c r="J1712" s="1018" t="n">
        <f aca="false">'Смета Внутр'!I1719</f>
        <v>0</v>
      </c>
    </row>
    <row r="1713" customFormat="false" ht="15" hidden="false" customHeight="true" outlineLevel="0" collapsed="false">
      <c r="B1713" s="1004" t="str">
        <f aca="false">'Смета Внутр'!B1720</f>
        <v>соеденитель для желоба</v>
      </c>
      <c r="C1713" s="1004" t="str">
        <f aca="false">'Смета Внутр'!C1720</f>
        <v>шт</v>
      </c>
      <c r="D1713" s="1018" t="n">
        <f aca="false">'Смета Внутр'!D1720</f>
        <v>2</v>
      </c>
      <c r="E1713" s="1004" t="n">
        <f aca="false">'Смета Внутр'!E1720</f>
        <v>180</v>
      </c>
      <c r="F1713" s="1004" t="n">
        <f aca="false">'Смета Внутр'!F1720</f>
        <v>0</v>
      </c>
      <c r="G1713" s="1004" t="n">
        <f aca="false">IF(E1713&gt;F1713,E1713,F1713)</f>
        <v>180</v>
      </c>
      <c r="H1713" s="1004" t="n">
        <f aca="false">'Смета Внутр'!G1720</f>
        <v>360</v>
      </c>
      <c r="I1713" s="1004" t="n">
        <f aca="false">'Смета Внутр'!H1720</f>
        <v>0</v>
      </c>
      <c r="J1713" s="1018" t="n">
        <f aca="false">'Смета Внутр'!I1720</f>
        <v>0</v>
      </c>
    </row>
    <row r="1714" customFormat="false" ht="15" hidden="false" customHeight="true" outlineLevel="0" collapsed="false">
      <c r="B1714" s="1004" t="str">
        <f aca="false">'Смета Внутр'!B1721</f>
        <v>кронштейн для желоба</v>
      </c>
      <c r="C1714" s="1004" t="str">
        <f aca="false">'Смета Внутр'!C1721</f>
        <v>шт</v>
      </c>
      <c r="D1714" s="1018" t="n">
        <f aca="false">'Смета Внутр'!D1721</f>
        <v>0</v>
      </c>
      <c r="E1714" s="1004" t="n">
        <f aca="false">'Смета Внутр'!E1721</f>
        <v>130</v>
      </c>
      <c r="F1714" s="1004" t="n">
        <f aca="false">'Смета Внутр'!F1721</f>
        <v>0</v>
      </c>
      <c r="G1714" s="1004" t="n">
        <f aca="false">IF(E1714&gt;F1714,E1714,F1714)</f>
        <v>130</v>
      </c>
      <c r="H1714" s="1004" t="n">
        <f aca="false">'Смета Внутр'!G1721</f>
        <v>0</v>
      </c>
      <c r="I1714" s="1004" t="n">
        <f aca="false">'Смета Внутр'!H1721</f>
        <v>0</v>
      </c>
      <c r="J1714" s="1018" t="n">
        <f aca="false">'Смета Внутр'!I1721</f>
        <v>0</v>
      </c>
    </row>
    <row r="1715" customFormat="false" ht="15" hidden="false" customHeight="true" outlineLevel="0" collapsed="false">
      <c r="B1715" s="1004" t="str">
        <f aca="false">'Смета Внутр'!B1722</f>
        <v>переход из желоба в трубу</v>
      </c>
      <c r="C1715" s="1004" t="str">
        <f aca="false">'Смета Внутр'!C1722</f>
        <v>шт</v>
      </c>
      <c r="D1715" s="1018" t="n">
        <f aca="false">'Смета Внутр'!D1722</f>
        <v>0</v>
      </c>
      <c r="E1715" s="1004" t="n">
        <f aca="false">'Смета Внутр'!E1722</f>
        <v>350</v>
      </c>
      <c r="F1715" s="1004" t="n">
        <f aca="false">'Смета Внутр'!F1722</f>
        <v>0</v>
      </c>
      <c r="G1715" s="1004" t="n">
        <f aca="false">IF(E1715&gt;F1715,E1715,F1715)</f>
        <v>350</v>
      </c>
      <c r="H1715" s="1004" t="n">
        <f aca="false">'Смета Внутр'!G1722</f>
        <v>0</v>
      </c>
      <c r="I1715" s="1004" t="n">
        <f aca="false">'Смета Внутр'!H1722</f>
        <v>0</v>
      </c>
      <c r="J1715" s="1018" t="n">
        <f aca="false">'Смета Внутр'!I1722</f>
        <v>0</v>
      </c>
    </row>
    <row r="1716" customFormat="false" ht="15" hidden="false" customHeight="true" outlineLevel="0" collapsed="false">
      <c r="B1716" s="1004" t="str">
        <f aca="false">'Смета Внутр'!B1723</f>
        <v>лента дельта мульти бэнд</v>
      </c>
      <c r="C1716" s="1004" t="str">
        <f aca="false">'Смета Внутр'!C1723</f>
        <v>шт</v>
      </c>
      <c r="D1716" s="1018" t="n">
        <f aca="false">'Смета Внутр'!D1723</f>
        <v>0</v>
      </c>
      <c r="E1716" s="1004" t="n">
        <f aca="false">'Смета Внутр'!E1723</f>
        <v>1200</v>
      </c>
      <c r="F1716" s="1004" t="n">
        <f aca="false">'Смета Внутр'!F1723</f>
        <v>0</v>
      </c>
      <c r="G1716" s="1004" t="n">
        <f aca="false">IF(E1716&gt;F1716,E1716,F1716)</f>
        <v>1200</v>
      </c>
      <c r="H1716" s="1004" t="n">
        <f aca="false">'Смета Внутр'!G1723</f>
        <v>0</v>
      </c>
      <c r="I1716" s="1004" t="n">
        <f aca="false">'Смета Внутр'!H1723</f>
        <v>0</v>
      </c>
      <c r="J1716" s="1018" t="n">
        <f aca="false">'Смета Внутр'!I1723</f>
        <v>0</v>
      </c>
    </row>
    <row r="1717" customFormat="false" ht="15" hidden="false" customHeight="true" outlineLevel="0" collapsed="false">
      <c r="B1717" s="1004" t="str">
        <f aca="false">'Смета Внутр'!B1724</f>
        <v>лента дельта sb-60</v>
      </c>
      <c r="C1717" s="1004" t="str">
        <f aca="false">'Смета Внутр'!C1724</f>
        <v>шт</v>
      </c>
      <c r="D1717" s="1018" t="n">
        <f aca="false">'Смета Внутр'!D1724</f>
        <v>0</v>
      </c>
      <c r="E1717" s="1004" t="n">
        <f aca="false">'Смета Внутр'!E1724</f>
        <v>1100</v>
      </c>
      <c r="F1717" s="1004" t="n">
        <f aca="false">'Смета Внутр'!F1724</f>
        <v>0</v>
      </c>
      <c r="G1717" s="1004" t="n">
        <f aca="false">IF(E1717&gt;F1717,E1717,F1717)</f>
        <v>1100</v>
      </c>
      <c r="H1717" s="1004" t="n">
        <f aca="false">'Смета Внутр'!G1724</f>
        <v>0</v>
      </c>
      <c r="I1717" s="1004" t="n">
        <f aca="false">'Смета Внутр'!H1724</f>
        <v>0</v>
      </c>
      <c r="J1717" s="1018" t="n">
        <f aca="false">'Смета Внутр'!I1724</f>
        <v>0</v>
      </c>
    </row>
    <row r="1718" customFormat="false" ht="15" hidden="false" customHeight="true" outlineLevel="0" collapsed="false">
      <c r="B1718" s="1004" t="str">
        <f aca="false">'Смета Внутр'!B1725</f>
        <v>Кровельный саморез</v>
      </c>
      <c r="C1718" s="1004" t="str">
        <f aca="false">'Смета Внутр'!C1725</f>
        <v>шт</v>
      </c>
      <c r="D1718" s="1018" t="n">
        <f aca="false">'Смета Внутр'!D1725</f>
        <v>0</v>
      </c>
      <c r="E1718" s="1004" t="n">
        <f aca="false">'Смета Внутр'!E1725</f>
        <v>2</v>
      </c>
      <c r="F1718" s="1004" t="n">
        <f aca="false">'Смета Внутр'!F1725</f>
        <v>0</v>
      </c>
      <c r="G1718" s="1004" t="n">
        <f aca="false">IF(E1718&gt;F1718,E1718,F1718)</f>
        <v>2</v>
      </c>
      <c r="H1718" s="1004" t="n">
        <f aca="false">'Смета Внутр'!G1725</f>
        <v>0</v>
      </c>
      <c r="I1718" s="1004" t="n">
        <f aca="false">'Смета Внутр'!H1725</f>
        <v>0</v>
      </c>
      <c r="J1718" s="1018" t="n">
        <f aca="false">'Смета Внутр'!I1725</f>
        <v>0</v>
      </c>
    </row>
    <row r="1719" customFormat="false" ht="15" hidden="false" customHeight="true" outlineLevel="0" collapsed="false">
      <c r="B1719" s="1004" t="str">
        <f aca="false">'Смета Внутр'!B1726</f>
        <v>Гвозди ершоные 3,4 x 60</v>
      </c>
      <c r="C1719" s="1004" t="str">
        <f aca="false">'Смета Внутр'!C1726</f>
        <v>кг</v>
      </c>
      <c r="D1719" s="1018" t="n">
        <f aca="false">'Смета Внутр'!D1726</f>
        <v>0</v>
      </c>
      <c r="E1719" s="1004" t="n">
        <f aca="false">'Смета Внутр'!E1726</f>
        <v>75.51</v>
      </c>
      <c r="F1719" s="1004" t="n">
        <f aca="false">'Смета Внутр'!F1726</f>
        <v>0</v>
      </c>
      <c r="G1719" s="1004" t="n">
        <f aca="false">IF(E1719&gt;F1719,E1719,F1719)</f>
        <v>75.51</v>
      </c>
      <c r="H1719" s="1004" t="n">
        <f aca="false">'Смета Внутр'!G1726</f>
        <v>0</v>
      </c>
      <c r="I1719" s="1004" t="n">
        <f aca="false">'Смета Внутр'!H1726</f>
        <v>0</v>
      </c>
      <c r="J1719" s="1018" t="n">
        <f aca="false">'Смета Внутр'!I1726</f>
        <v>0</v>
      </c>
    </row>
    <row r="1720" customFormat="false" ht="15" hidden="false" customHeight="true" outlineLevel="0" collapsed="false">
      <c r="B1720" s="1004" t="str">
        <f aca="false">'Смета Внутр'!B1727</f>
        <v>Гвозди ершоные 2,8 х 90</v>
      </c>
      <c r="C1720" s="1004" t="str">
        <f aca="false">'Смета Внутр'!C1727</f>
        <v>кг</v>
      </c>
      <c r="D1720" s="1018" t="n">
        <f aca="false">'Смета Внутр'!D1727</f>
        <v>0</v>
      </c>
      <c r="E1720" s="1004" t="n">
        <f aca="false">'Смета Внутр'!E1727</f>
        <v>76.49</v>
      </c>
      <c r="F1720" s="1004" t="n">
        <f aca="false">'Смета Внутр'!F1727</f>
        <v>0</v>
      </c>
      <c r="G1720" s="1004" t="n">
        <f aca="false">IF(E1720&gt;F1720,E1720,F1720)</f>
        <v>76.49</v>
      </c>
      <c r="H1720" s="1004" t="n">
        <f aca="false">'Смета Внутр'!G1727</f>
        <v>0</v>
      </c>
      <c r="I1720" s="1004" t="n">
        <f aca="false">'Смета Внутр'!H1727</f>
        <v>0</v>
      </c>
      <c r="J1720" s="1018" t="n">
        <f aca="false">'Смета Внутр'!I1727</f>
        <v>0</v>
      </c>
    </row>
    <row r="1721" customFormat="false" ht="15" hidden="false" customHeight="true" outlineLevel="0" collapsed="false">
      <c r="B1721" s="1004" t="str">
        <f aca="false">'Смета Внутр'!B1728</f>
        <v>Уголок усиленный 90х70х55х2,5</v>
      </c>
      <c r="C1721" s="1004" t="str">
        <f aca="false">'Смета Внутр'!C1728</f>
        <v>шт</v>
      </c>
      <c r="D1721" s="1018" t="n">
        <f aca="false">'Смета Внутр'!D1728</f>
        <v>0</v>
      </c>
      <c r="E1721" s="1004" t="n">
        <f aca="false">'Смета Внутр'!E1728</f>
        <v>30</v>
      </c>
      <c r="F1721" s="1004" t="n">
        <f aca="false">'Смета Внутр'!F1728</f>
        <v>0</v>
      </c>
      <c r="G1721" s="1004" t="n">
        <f aca="false">IF(E1721&gt;F1721,E1721,F1721)</f>
        <v>30</v>
      </c>
      <c r="H1721" s="1004" t="n">
        <f aca="false">'Смета Внутр'!G1728</f>
        <v>0</v>
      </c>
      <c r="I1721" s="1004" t="n">
        <f aca="false">'Смета Внутр'!H1728</f>
        <v>0</v>
      </c>
      <c r="J1721" s="1018" t="n">
        <f aca="false">'Смета Внутр'!I1728</f>
        <v>0</v>
      </c>
    </row>
    <row r="1722" customFormat="false" ht="14.5" hidden="false" customHeight="false" outlineLevel="0" collapsed="false">
      <c r="B1722" s="2927" t="str">
        <f aca="false">'Смета Внутр'!B1729</f>
        <v>Итого материалы</v>
      </c>
      <c r="C1722" s="2927"/>
      <c r="D1722" s="2927"/>
      <c r="E1722" s="2927"/>
      <c r="F1722" s="2927"/>
      <c r="G1722" s="2927"/>
      <c r="H1722" s="1004" t="n">
        <f aca="false">'Смета Внутр'!G1729</f>
        <v>0</v>
      </c>
      <c r="I1722" s="1004" t="n">
        <f aca="false">'Смета Внутр'!H1729</f>
        <v>0</v>
      </c>
      <c r="J1722" s="1018" t="n">
        <f aca="false">'Смета Внутр'!I1729</f>
        <v>0</v>
      </c>
    </row>
    <row r="1723" customFormat="false" ht="15" hidden="false" customHeight="true" outlineLevel="0" collapsed="false">
      <c r="B1723" s="2881" t="str">
        <f aca="false">'Смета Внутр'!B1730</f>
        <v>Работы</v>
      </c>
      <c r="D1723" s="919"/>
      <c r="H1723" s="0" t="n">
        <f aca="false">'Смета Внутр'!G1730</f>
        <v>0</v>
      </c>
      <c r="I1723" s="0" t="n">
        <f aca="false">'Смета Внутр'!H1730</f>
        <v>0</v>
      </c>
      <c r="J1723" s="2926" t="n">
        <f aca="false">'Смета Внутр'!I1730</f>
        <v>0</v>
      </c>
    </row>
    <row r="1724" customFormat="false" ht="15" hidden="false" customHeight="true" outlineLevel="0" collapsed="false">
      <c r="B1724" s="1004" t="str">
        <f aca="false">'Смета Внутр'!B1731</f>
        <v>монтаж мауэрлат</v>
      </c>
      <c r="C1724" s="1004" t="str">
        <f aca="false">'Смета Внутр'!C1731</f>
        <v>м.п.</v>
      </c>
      <c r="D1724" s="1018" t="n">
        <f aca="false">'Смета Внутр'!D1731</f>
        <v>0</v>
      </c>
      <c r="E1724" s="1004" t="n">
        <f aca="false">'Смета Внутр'!E1731</f>
        <v>250</v>
      </c>
      <c r="F1724" s="1004" t="n">
        <f aca="false">'Смета Внутр'!F1731</f>
        <v>0</v>
      </c>
      <c r="G1724" s="1004" t="n">
        <f aca="false">IF(E1724&gt;F1724,E1724,F1724)</f>
        <v>250</v>
      </c>
      <c r="H1724" s="1004" t="n">
        <f aca="false">'Смета Внутр'!G1731</f>
        <v>0</v>
      </c>
      <c r="I1724" s="1004" t="n">
        <f aca="false">'Смета Внутр'!H1731</f>
        <v>0</v>
      </c>
      <c r="J1724" s="1018" t="n">
        <f aca="false">'Смета Внутр'!I1731</f>
        <v>0</v>
      </c>
    </row>
    <row r="1725" customFormat="false" ht="15" hidden="false" customHeight="true" outlineLevel="0" collapsed="false">
      <c r="B1725" s="1004" t="str">
        <f aca="false">'Смета Внутр'!B1732</f>
        <v>монтаж стропил</v>
      </c>
      <c r="C1725" s="1004" t="str">
        <f aca="false">'Смета Внутр'!C1732</f>
        <v>м2</v>
      </c>
      <c r="D1725" s="1018" t="n">
        <f aca="false">'Смета Внутр'!D1732</f>
        <v>0</v>
      </c>
      <c r="E1725" s="1004" t="n">
        <f aca="false">'Смета Внутр'!E1732</f>
        <v>450</v>
      </c>
      <c r="F1725" s="1004" t="n">
        <f aca="false">'Смета Внутр'!F1732</f>
        <v>0</v>
      </c>
      <c r="G1725" s="1004" t="n">
        <f aca="false">IF(E1725&gt;F1725,E1725,F1725)</f>
        <v>450</v>
      </c>
      <c r="H1725" s="1004" t="n">
        <f aca="false">'Смета Внутр'!G1732</f>
        <v>0</v>
      </c>
      <c r="I1725" s="1004" t="n">
        <f aca="false">'Смета Внутр'!H1732</f>
        <v>0</v>
      </c>
      <c r="J1725" s="1018" t="n">
        <f aca="false">'Смета Внутр'!I1732</f>
        <v>0</v>
      </c>
    </row>
    <row r="1726" customFormat="false" ht="15" hidden="false" customHeight="true" outlineLevel="0" collapsed="false">
      <c r="B1726" s="1004" t="str">
        <f aca="false">'Смета Внутр'!B1733</f>
        <v>обрешетка</v>
      </c>
      <c r="C1726" s="1004" t="str">
        <f aca="false">'Смета Внутр'!C1733</f>
        <v>м2</v>
      </c>
      <c r="D1726" s="1018" t="n">
        <f aca="false">'Смета Внутр'!D1733</f>
        <v>0</v>
      </c>
      <c r="E1726" s="1004" t="n">
        <f aca="false">'Смета Внутр'!E1733</f>
        <v>100</v>
      </c>
      <c r="F1726" s="1004" t="n">
        <f aca="false">'Смета Внутр'!F1733</f>
        <v>0</v>
      </c>
      <c r="G1726" s="1004" t="n">
        <f aca="false">IF(E1726&gt;F1726,E1726,F1726)</f>
        <v>100</v>
      </c>
      <c r="H1726" s="1004" t="n">
        <f aca="false">'Смета Внутр'!G1733</f>
        <v>0</v>
      </c>
      <c r="I1726" s="1004" t="n">
        <f aca="false">'Смета Внутр'!H1733</f>
        <v>0</v>
      </c>
      <c r="J1726" s="1018" t="n">
        <f aca="false">'Смета Внутр'!I1733</f>
        <v>0</v>
      </c>
    </row>
    <row r="1727" customFormat="false" ht="15" hidden="false" customHeight="true" outlineLevel="0" collapsed="false">
      <c r="B1727" s="1004" t="str">
        <f aca="false">'Смета Внутр'!B1734</f>
        <v>контробеш</v>
      </c>
      <c r="C1727" s="1004" t="str">
        <f aca="false">'Смета Внутр'!C1734</f>
        <v>м2</v>
      </c>
      <c r="D1727" s="1018" t="n">
        <f aca="false">'Смета Внутр'!D1734</f>
        <v>0</v>
      </c>
      <c r="E1727" s="1004" t="n">
        <f aca="false">'Смета Внутр'!E1734</f>
        <v>100</v>
      </c>
      <c r="F1727" s="1004" t="n">
        <f aca="false">'Смета Внутр'!F1734</f>
        <v>0</v>
      </c>
      <c r="G1727" s="1004" t="n">
        <f aca="false">IF(E1727&gt;F1727,E1727,F1727)</f>
        <v>100</v>
      </c>
      <c r="H1727" s="1004" t="n">
        <f aca="false">'Смета Внутр'!G1734</f>
        <v>0</v>
      </c>
      <c r="I1727" s="1004" t="n">
        <f aca="false">'Смета Внутр'!H1734</f>
        <v>0</v>
      </c>
      <c r="J1727" s="1018" t="n">
        <f aca="false">'Смета Внутр'!I1734</f>
        <v>0</v>
      </c>
    </row>
    <row r="1728" customFormat="false" ht="15" hidden="false" customHeight="true" outlineLevel="0" collapsed="false">
      <c r="B1728" s="1004" t="str">
        <f aca="false">'Смета Внутр'!B1735</f>
        <v>мембрана</v>
      </c>
      <c r="C1728" s="1004" t="str">
        <f aca="false">'Смета Внутр'!C1735</f>
        <v>м2</v>
      </c>
      <c r="D1728" s="1018" t="n">
        <f aca="false">'Смета Внутр'!D1735</f>
        <v>0</v>
      </c>
      <c r="E1728" s="1004" t="n">
        <f aca="false">'Смета Внутр'!E1735</f>
        <v>100</v>
      </c>
      <c r="F1728" s="1004" t="n">
        <f aca="false">'Смета Внутр'!F1735</f>
        <v>0</v>
      </c>
      <c r="G1728" s="1004" t="n">
        <f aca="false">IF(E1728&gt;F1728,E1728,F1728)</f>
        <v>100</v>
      </c>
      <c r="H1728" s="1004" t="n">
        <f aca="false">'Смета Внутр'!G1735</f>
        <v>0</v>
      </c>
      <c r="I1728" s="1004" t="n">
        <f aca="false">'Смета Внутр'!H1735</f>
        <v>0</v>
      </c>
      <c r="J1728" s="1018" t="n">
        <f aca="false">'Смета Внутр'!I1735</f>
        <v>0</v>
      </c>
    </row>
    <row r="1729" customFormat="false" ht="15" hidden="false" customHeight="true" outlineLevel="0" collapsed="false">
      <c r="B1729" s="1004" t="str">
        <f aca="false">'Смета Внутр'!B1736</f>
        <v>пароизоляц</v>
      </c>
      <c r="C1729" s="1004" t="str">
        <f aca="false">'Смета Внутр'!C1736</f>
        <v>м2</v>
      </c>
      <c r="D1729" s="1018" t="n">
        <f aca="false">'Смета Внутр'!D1736</f>
        <v>0</v>
      </c>
      <c r="E1729" s="1004" t="n">
        <f aca="false">'Смета Внутр'!E1736</f>
        <v>100</v>
      </c>
      <c r="F1729" s="1004" t="n">
        <f aca="false">'Смета Внутр'!F1736</f>
        <v>0</v>
      </c>
      <c r="G1729" s="1004" t="n">
        <f aca="false">IF(E1729&gt;F1729,E1729,F1729)</f>
        <v>100</v>
      </c>
      <c r="H1729" s="1004" t="n">
        <f aca="false">'Смета Внутр'!G1736</f>
        <v>0</v>
      </c>
      <c r="I1729" s="1004" t="n">
        <f aca="false">'Смета Внутр'!H1736</f>
        <v>0</v>
      </c>
      <c r="J1729" s="1018" t="n">
        <f aca="false">'Смета Внутр'!I1736</f>
        <v>0</v>
      </c>
    </row>
    <row r="1730" customFormat="false" ht="15" hidden="false" customHeight="true" outlineLevel="0" collapsed="false">
      <c r="B1730" s="1004" t="str">
        <f aca="false">'Смета Внутр'!B1737</f>
        <v>утеплитель</v>
      </c>
      <c r="C1730" s="1004" t="str">
        <f aca="false">'Смета Внутр'!C1737</f>
        <v>м2</v>
      </c>
      <c r="D1730" s="1018" t="n">
        <f aca="false">'Смета Внутр'!D1737</f>
        <v>0</v>
      </c>
      <c r="E1730" s="1004" t="n">
        <f aca="false">'Смета Внутр'!E1737</f>
        <v>200</v>
      </c>
      <c r="F1730" s="1004" t="n">
        <f aca="false">'Смета Внутр'!F1737</f>
        <v>0</v>
      </c>
      <c r="G1730" s="1004" t="n">
        <f aca="false">IF(E1730&gt;F1730,E1730,F1730)</f>
        <v>200</v>
      </c>
      <c r="H1730" s="1004" t="n">
        <f aca="false">'Смета Внутр'!G1737</f>
        <v>0</v>
      </c>
      <c r="I1730" s="1004" t="n">
        <f aca="false">'Смета Внутр'!H1737</f>
        <v>0</v>
      </c>
      <c r="J1730" s="1018" t="n">
        <f aca="false">'Смета Внутр'!I1737</f>
        <v>0</v>
      </c>
    </row>
    <row r="1731" customFormat="false" ht="15" hidden="false" customHeight="true" outlineLevel="0" collapsed="false">
      <c r="B1731" s="1004" t="str">
        <f aca="false">'Смета Внутр'!B1738</f>
        <v>Монтаж металлочерепицы</v>
      </c>
      <c r="C1731" s="1004" t="str">
        <f aca="false">'Смета Внутр'!C1738</f>
        <v>м2</v>
      </c>
      <c r="D1731" s="1018" t="n">
        <f aca="false">'Смета Внутр'!D1738</f>
        <v>0</v>
      </c>
      <c r="E1731" s="1004" t="n">
        <f aca="false">'Смета Внутр'!E1738</f>
        <v>300</v>
      </c>
      <c r="F1731" s="1004" t="n">
        <f aca="false">'Смета Внутр'!F1738</f>
        <v>0</v>
      </c>
      <c r="G1731" s="1004" t="n">
        <f aca="false">IF(E1731&gt;F1731,E1731,F1731)</f>
        <v>300</v>
      </c>
      <c r="H1731" s="1004" t="n">
        <f aca="false">'Смета Внутр'!G1738</f>
        <v>0</v>
      </c>
      <c r="I1731" s="1004" t="n">
        <f aca="false">'Смета Внутр'!H1738</f>
        <v>0</v>
      </c>
      <c r="J1731" s="1018" t="n">
        <f aca="false">'Смета Внутр'!I1738</f>
        <v>0</v>
      </c>
    </row>
    <row r="1732" customFormat="false" ht="15" hidden="false" customHeight="true" outlineLevel="0" collapsed="false">
      <c r="B1732" s="1004" t="str">
        <f aca="false">'Смета Внутр'!B1739</f>
        <v>карнизная планка</v>
      </c>
      <c r="C1732" s="1004" t="str">
        <f aca="false">'Смета Внутр'!C1739</f>
        <v>м2</v>
      </c>
      <c r="D1732" s="1018" t="n">
        <f aca="false">'Смета Внутр'!D1739</f>
        <v>0</v>
      </c>
      <c r="E1732" s="1004" t="n">
        <f aca="false">'Смета Внутр'!E1739</f>
        <v>100</v>
      </c>
      <c r="F1732" s="1004" t="n">
        <f aca="false">'Смета Внутр'!F1739</f>
        <v>0</v>
      </c>
      <c r="G1732" s="1004" t="n">
        <f aca="false">IF(E1732&gt;F1732,E1732,F1732)</f>
        <v>100</v>
      </c>
      <c r="H1732" s="1004" t="n">
        <f aca="false">'Смета Внутр'!G1739</f>
        <v>0</v>
      </c>
      <c r="I1732" s="1004" t="n">
        <f aca="false">'Смета Внутр'!H1739</f>
        <v>0</v>
      </c>
      <c r="J1732" s="1018" t="n">
        <f aca="false">'Смета Внутр'!I1739</f>
        <v>0</v>
      </c>
    </row>
    <row r="1733" customFormat="false" ht="15" hidden="false" customHeight="true" outlineLevel="0" collapsed="false">
      <c r="B1733" s="1004" t="str">
        <f aca="false">'Смета Внутр'!B1740</f>
        <v>торцевая планка</v>
      </c>
      <c r="C1733" s="1004" t="str">
        <f aca="false">'Смета Внутр'!C1740</f>
        <v>м2</v>
      </c>
      <c r="D1733" s="1018" t="n">
        <f aca="false">'Смета Внутр'!D1740</f>
        <v>0</v>
      </c>
      <c r="E1733" s="1004" t="n">
        <f aca="false">'Смета Внутр'!E1740</f>
        <v>100</v>
      </c>
      <c r="F1733" s="1004" t="n">
        <f aca="false">'Смета Внутр'!F1740</f>
        <v>0</v>
      </c>
      <c r="G1733" s="1004" t="n">
        <f aca="false">IF(E1733&gt;F1733,E1733,F1733)</f>
        <v>100</v>
      </c>
      <c r="H1733" s="1004" t="n">
        <f aca="false">'Смета Внутр'!G1740</f>
        <v>0</v>
      </c>
      <c r="I1733" s="1004" t="n">
        <f aca="false">'Смета Внутр'!H1740</f>
        <v>0</v>
      </c>
      <c r="J1733" s="1018" t="n">
        <f aca="false">'Смета Внутр'!I1740</f>
        <v>0</v>
      </c>
    </row>
    <row r="1734" customFormat="false" ht="15" hidden="false" customHeight="true" outlineLevel="0" collapsed="false">
      <c r="B1734" s="1004" t="str">
        <f aca="false">'Смета Внутр'!B1741</f>
        <v>желоб водосточный</v>
      </c>
      <c r="C1734" s="1004" t="str">
        <f aca="false">'Смета Внутр'!C1741</f>
        <v>м.п.</v>
      </c>
      <c r="D1734" s="1018" t="n">
        <f aca="false">'Смета Внутр'!D1741</f>
        <v>0</v>
      </c>
      <c r="E1734" s="1004" t="n">
        <f aca="false">'Смета Внутр'!E1741</f>
        <v>300</v>
      </c>
      <c r="F1734" s="1004" t="n">
        <f aca="false">'Смета Внутр'!F1741</f>
        <v>0</v>
      </c>
      <c r="G1734" s="1004" t="n">
        <f aca="false">IF(E1734&gt;F1734,E1734,F1734)</f>
        <v>300</v>
      </c>
      <c r="H1734" s="1004" t="n">
        <f aca="false">'Смета Внутр'!G1741</f>
        <v>0</v>
      </c>
      <c r="I1734" s="1004" t="n">
        <f aca="false">'Смета Внутр'!H1741</f>
        <v>0</v>
      </c>
      <c r="J1734" s="1018" t="n">
        <f aca="false">'Смета Внутр'!I1741</f>
        <v>0</v>
      </c>
    </row>
    <row r="1735" customFormat="false" ht="15" hidden="false" customHeight="true" outlineLevel="0" collapsed="false">
      <c r="B1735" s="1004" t="str">
        <f aca="false">'Смета Внутр'!B1742</f>
        <v>труба водосточная</v>
      </c>
      <c r="C1735" s="1004" t="str">
        <f aca="false">'Смета Внутр'!C1742</f>
        <v>м.п.</v>
      </c>
      <c r="D1735" s="1018" t="n">
        <f aca="false">'Смета Внутр'!D1742</f>
        <v>0</v>
      </c>
      <c r="E1735" s="1004" t="n">
        <f aca="false">'Смета Внутр'!E1742</f>
        <v>300</v>
      </c>
      <c r="F1735" s="1004" t="n">
        <f aca="false">'Смета Внутр'!F1742</f>
        <v>0</v>
      </c>
      <c r="G1735" s="1004" t="n">
        <f aca="false">IF(E1735&gt;F1735,E1735,F1735)</f>
        <v>300</v>
      </c>
      <c r="H1735" s="1004" t="n">
        <f aca="false">'Смета Внутр'!G1742</f>
        <v>0</v>
      </c>
      <c r="I1735" s="1004" t="n">
        <f aca="false">'Смета Внутр'!H1742</f>
        <v>0</v>
      </c>
      <c r="J1735" s="1018" t="n">
        <f aca="false">'Смета Внутр'!I1742</f>
        <v>0</v>
      </c>
    </row>
    <row r="1736" customFormat="false" ht="15" hidden="false" customHeight="true" outlineLevel="0" collapsed="false">
      <c r="B1736" s="1004" t="str">
        <f aca="false">'Смета Внутр'!B1743</f>
        <v>ендова внутр/наружн</v>
      </c>
      <c r="C1736" s="1004" t="str">
        <f aca="false">'Смета Внутр'!C1743</f>
        <v>м.п.</v>
      </c>
      <c r="D1736" s="1018" t="n">
        <f aca="false">'Смета Внутр'!D1743</f>
        <v>0</v>
      </c>
      <c r="E1736" s="1004" t="n">
        <f aca="false">'Смета Внутр'!E1743</f>
        <v>300</v>
      </c>
      <c r="F1736" s="1004" t="n">
        <f aca="false">'Смета Внутр'!F1743</f>
        <v>0</v>
      </c>
      <c r="G1736" s="1004" t="n">
        <f aca="false">IF(E1736&gt;F1736,E1736,F1736)</f>
        <v>300</v>
      </c>
      <c r="H1736" s="1004" t="n">
        <f aca="false">'Смета Внутр'!G1743</f>
        <v>0</v>
      </c>
      <c r="I1736" s="1004" t="n">
        <f aca="false">'Смета Внутр'!H1743</f>
        <v>0</v>
      </c>
      <c r="J1736" s="1018" t="n">
        <f aca="false">'Смета Внутр'!I1743</f>
        <v>0</v>
      </c>
    </row>
    <row r="1737" customFormat="false" ht="15" hidden="false" customHeight="true" outlineLevel="0" collapsed="false">
      <c r="B1737" s="1004" t="str">
        <f aca="false">'Смета Внутр'!B1744</f>
        <v>Монтаж ондулина</v>
      </c>
      <c r="C1737" s="1004" t="str">
        <f aca="false">'Смета Внутр'!C1744</f>
        <v>м2</v>
      </c>
      <c r="D1737" s="1018" t="n">
        <f aca="false">'Смета Внутр'!D1744</f>
        <v>0</v>
      </c>
      <c r="E1737" s="1004" t="n">
        <f aca="false">'Смета Внутр'!E1744</f>
        <v>300</v>
      </c>
      <c r="F1737" s="1004" t="n">
        <f aca="false">'Смета Внутр'!F1744</f>
        <v>0</v>
      </c>
      <c r="G1737" s="1004" t="n">
        <f aca="false">IF(E1737&gt;F1737,E1737,F1737)</f>
        <v>300</v>
      </c>
      <c r="H1737" s="1004" t="n">
        <f aca="false">'Смета Внутр'!G1744</f>
        <v>0</v>
      </c>
      <c r="I1737" s="1004" t="n">
        <f aca="false">'Смета Внутр'!H1744</f>
        <v>0</v>
      </c>
      <c r="J1737" s="1018" t="n">
        <f aca="false">'Смета Внутр'!I1744</f>
        <v>0</v>
      </c>
    </row>
    <row r="1738" customFormat="false" ht="15" hidden="false" customHeight="true" outlineLevel="0" collapsed="false">
      <c r="B1738" s="1004" t="str">
        <f aca="false">'Смета Внутр'!B1745</f>
        <v>Монтаж фанеры/osb</v>
      </c>
      <c r="C1738" s="1004" t="str">
        <f aca="false">'Смета Внутр'!C1745</f>
        <v>м2</v>
      </c>
      <c r="D1738" s="1018" t="n">
        <f aca="false">'Смета Внутр'!D1745</f>
        <v>0</v>
      </c>
      <c r="E1738" s="1004" t="n">
        <f aca="false">'Смета Внутр'!E1745</f>
        <v>200</v>
      </c>
      <c r="F1738" s="1004" t="n">
        <f aca="false">'Смета Внутр'!F1745</f>
        <v>0</v>
      </c>
      <c r="G1738" s="1004" t="n">
        <f aca="false">IF(E1738&gt;F1738,E1738,F1738)</f>
        <v>200</v>
      </c>
      <c r="H1738" s="1004" t="n">
        <f aca="false">'Смета Внутр'!G1745</f>
        <v>0</v>
      </c>
      <c r="I1738" s="1004" t="n">
        <f aca="false">'Смета Внутр'!H1745</f>
        <v>0</v>
      </c>
      <c r="J1738" s="1018" t="n">
        <f aca="false">'Смета Внутр'!I1745</f>
        <v>0</v>
      </c>
    </row>
    <row r="1739" customFormat="false" ht="15" hidden="false" customHeight="true" outlineLevel="0" collapsed="false">
      <c r="B1739" s="1004" t="str">
        <f aca="false">'Смета Внутр'!B1746</f>
        <v>монтаж подкладочного ковра</v>
      </c>
      <c r="C1739" s="1004" t="str">
        <f aca="false">'Смета Внутр'!C1746</f>
        <v>м2</v>
      </c>
      <c r="D1739" s="1018" t="n">
        <f aca="false">'Смета Внутр'!D1746</f>
        <v>0</v>
      </c>
      <c r="E1739" s="1004" t="n">
        <f aca="false">'Смета Внутр'!E1746</f>
        <v>150</v>
      </c>
      <c r="F1739" s="1004" t="n">
        <f aca="false">'Смета Внутр'!F1746</f>
        <v>0</v>
      </c>
      <c r="G1739" s="1004" t="n">
        <f aca="false">IF(E1739&gt;F1739,E1739,F1739)</f>
        <v>150</v>
      </c>
      <c r="H1739" s="1004" t="n">
        <f aca="false">'Смета Внутр'!G1746</f>
        <v>0</v>
      </c>
      <c r="I1739" s="1004" t="n">
        <f aca="false">'Смета Внутр'!H1746</f>
        <v>0</v>
      </c>
      <c r="J1739" s="1018" t="n">
        <f aca="false">'Смета Внутр'!I1746</f>
        <v>0</v>
      </c>
    </row>
    <row r="1740" customFormat="false" ht="15" hidden="false" customHeight="true" outlineLevel="0" collapsed="false">
      <c r="B1740" s="1004" t="str">
        <f aca="false">'Смета Внутр'!B1747</f>
        <v>Монтаж мягкой кровли</v>
      </c>
      <c r="C1740" s="1004" t="str">
        <f aca="false">'Смета Внутр'!C1747</f>
        <v>м2</v>
      </c>
      <c r="D1740" s="1018" t="n">
        <f aca="false">'Смета Внутр'!D1747</f>
        <v>0</v>
      </c>
      <c r="E1740" s="1004" t="n">
        <f aca="false">'Смета Внутр'!E1747</f>
        <v>350</v>
      </c>
      <c r="F1740" s="1004" t="n">
        <f aca="false">'Смета Внутр'!F1747</f>
        <v>0</v>
      </c>
      <c r="G1740" s="1004" t="n">
        <f aca="false">IF(E1740&gt;F1740,E1740,F1740)</f>
        <v>350</v>
      </c>
      <c r="H1740" s="1004" t="n">
        <f aca="false">'Смета Внутр'!G1747</f>
        <v>0</v>
      </c>
      <c r="I1740" s="1004" t="n">
        <f aca="false">'Смета Внутр'!H1747</f>
        <v>0</v>
      </c>
      <c r="J1740" s="1018" t="n">
        <f aca="false">'Смета Внутр'!I1747</f>
        <v>0</v>
      </c>
    </row>
    <row r="1741" customFormat="false" ht="15" hidden="false" customHeight="true" outlineLevel="0" collapsed="false">
      <c r="B1741" s="2927" t="str">
        <f aca="false">'Смета Внутр'!B1748</f>
        <v>Итого работы</v>
      </c>
      <c r="C1741" s="2927"/>
      <c r="D1741" s="2927"/>
      <c r="E1741" s="2927"/>
      <c r="F1741" s="2927"/>
      <c r="G1741" s="2927"/>
      <c r="H1741" s="1004" t="n">
        <f aca="false">'Смета Внутр'!G1748</f>
        <v>0</v>
      </c>
      <c r="I1741" s="1004" t="n">
        <f aca="false">'Смета Внутр'!H1748</f>
        <v>0</v>
      </c>
      <c r="J1741" s="1018" t="n">
        <f aca="false">'Смета Внутр'!I1748</f>
        <v>0</v>
      </c>
    </row>
    <row r="1742" customFormat="false" ht="15" hidden="false" customHeight="true" outlineLevel="0" collapsed="false">
      <c r="B1742" s="2925" t="str">
        <f aca="false">'Смета Внутр'!B1749</f>
        <v>Кровля на Эркере</v>
      </c>
      <c r="C1742" s="2925"/>
      <c r="D1742" s="2925"/>
      <c r="H1742" s="0" t="n">
        <f aca="false">'Смета Внутр'!G1749</f>
        <v>0</v>
      </c>
      <c r="I1742" s="0" t="n">
        <f aca="false">'Смета Внутр'!H1749</f>
        <v>0</v>
      </c>
      <c r="J1742" s="2926" t="n">
        <f aca="false">'Смета Внутр'!I1749</f>
        <v>0</v>
      </c>
    </row>
    <row r="1743" customFormat="false" ht="15" hidden="false" customHeight="true" outlineLevel="0" collapsed="false">
      <c r="B1743" s="2881" t="str">
        <f aca="false">'Смета Внутр'!B1750</f>
        <v>Материалы</v>
      </c>
      <c r="D1743" s="919"/>
      <c r="H1743" s="0" t="n">
        <f aca="false">'Смета Внутр'!G1750</f>
        <v>0</v>
      </c>
      <c r="I1743" s="0" t="n">
        <f aca="false">'Смета Внутр'!H1750</f>
        <v>0</v>
      </c>
      <c r="J1743" s="2926" t="n">
        <f aca="false">'Смета Внутр'!I1750</f>
        <v>0</v>
      </c>
    </row>
    <row r="1744" customFormat="false" ht="15" hidden="false" customHeight="true" outlineLevel="0" collapsed="false">
      <c r="B1744" s="1004" t="str">
        <f aca="false">'Смета Внутр'!B1751</f>
        <v>Брус естественной влажности, 100*100мм</v>
      </c>
      <c r="C1744" s="1004" t="str">
        <f aca="false">'Смета Внутр'!C1751</f>
        <v>м3</v>
      </c>
      <c r="D1744" s="1018" t="n">
        <f aca="false">'Смета Внутр'!D1751</f>
        <v>0</v>
      </c>
      <c r="E1744" s="1004" t="n">
        <f aca="false">'Смета Внутр'!E1751</f>
        <v>6500</v>
      </c>
      <c r="F1744" s="1004" t="n">
        <f aca="false">'Смета Внутр'!F1751</f>
        <v>0</v>
      </c>
      <c r="G1744" s="1004" t="n">
        <f aca="false">IF(E1744&gt;F1744,E1744,F1744)</f>
        <v>6500</v>
      </c>
      <c r="H1744" s="1004" t="n">
        <f aca="false">'Смета Внутр'!G1751</f>
        <v>0</v>
      </c>
      <c r="I1744" s="1004" t="n">
        <f aca="false">'Смета Внутр'!H1751</f>
        <v>0</v>
      </c>
      <c r="J1744" s="1018" t="n">
        <f aca="false">'Смета Внутр'!I1751</f>
        <v>0</v>
      </c>
    </row>
    <row r="1745" customFormat="false" ht="15" hidden="false" customHeight="true" outlineLevel="0" collapsed="false">
      <c r="B1745" s="1004" t="str">
        <f aca="false">'Смета Внутр'!B1752</f>
        <v>Болты анкерные с гайкой 12,0 х 280</v>
      </c>
      <c r="C1745" s="1004" t="str">
        <f aca="false">'Смета Внутр'!C1752</f>
        <v>шт</v>
      </c>
      <c r="D1745" s="1018" t="n">
        <f aca="false">'Смета Внутр'!D1752</f>
        <v>0</v>
      </c>
      <c r="E1745" s="1004" t="n">
        <f aca="false">'Смета Внутр'!E1752</f>
        <v>27.1</v>
      </c>
      <c r="F1745" s="1004" t="n">
        <f aca="false">'Смета Внутр'!F1752</f>
        <v>0</v>
      </c>
      <c r="G1745" s="1004" t="n">
        <f aca="false">IF(E1745&gt;F1745,E1745,F1745)</f>
        <v>27.1</v>
      </c>
      <c r="H1745" s="1004" t="n">
        <f aca="false">'Смета Внутр'!G1752</f>
        <v>0</v>
      </c>
      <c r="I1745" s="1004" t="n">
        <f aca="false">'Смета Внутр'!H1752</f>
        <v>0</v>
      </c>
      <c r="J1745" s="1018" t="n">
        <f aca="false">'Смета Внутр'!I1752</f>
        <v>0</v>
      </c>
    </row>
    <row r="1746" customFormat="false" ht="15" hidden="false" customHeight="true" outlineLevel="0" collapsed="false">
      <c r="B1746" s="1004" t="str">
        <f aca="false">'Смета Внутр'!B1753</f>
        <v>Доска сухая, 200*50мм</v>
      </c>
      <c r="C1746" s="1004" t="str">
        <f aca="false">'Смета Внутр'!C1753</f>
        <v>м3</v>
      </c>
      <c r="D1746" s="1018" t="n">
        <f aca="false">'Смета Внутр'!D1753</f>
        <v>0</v>
      </c>
      <c r="E1746" s="1004" t="n">
        <f aca="false">'Смета Внутр'!E1753</f>
        <v>9000</v>
      </c>
      <c r="F1746" s="1004" t="n">
        <f aca="false">'Смета Внутр'!F1753</f>
        <v>0</v>
      </c>
      <c r="G1746" s="1004" t="n">
        <f aca="false">IF(E1746&gt;F1746,E1746,F1746)</f>
        <v>9000</v>
      </c>
      <c r="H1746" s="1004" t="n">
        <f aca="false">'Смета Внутр'!G1753</f>
        <v>0</v>
      </c>
      <c r="I1746" s="1004" t="n">
        <f aca="false">'Смета Внутр'!H1753</f>
        <v>0</v>
      </c>
      <c r="J1746" s="1018" t="n">
        <f aca="false">'Смета Внутр'!I1753</f>
        <v>0</v>
      </c>
    </row>
    <row r="1747" customFormat="false" ht="15" hidden="false" customHeight="true" outlineLevel="0" collapsed="false">
      <c r="B1747" s="1004" t="str">
        <f aca="false">'Смета Внутр'!B1754</f>
        <v>Сосна влаж,100*25мм</v>
      </c>
      <c r="C1747" s="1004" t="str">
        <f aca="false">'Смета Внутр'!C1754</f>
        <v>м3</v>
      </c>
      <c r="D1747" s="1018" t="n">
        <f aca="false">'Смета Внутр'!D1754</f>
        <v>0</v>
      </c>
      <c r="E1747" s="1004" t="n">
        <f aca="false">'Смета Внутр'!E1754</f>
        <v>6500</v>
      </c>
      <c r="F1747" s="1004" t="n">
        <f aca="false">'Смета Внутр'!F1754</f>
        <v>0</v>
      </c>
      <c r="G1747" s="1004" t="n">
        <f aca="false">IF(E1747&gt;F1747,E1747,F1747)</f>
        <v>6500</v>
      </c>
      <c r="H1747" s="1004" t="n">
        <f aca="false">'Смета Внутр'!G1754</f>
        <v>0</v>
      </c>
      <c r="I1747" s="1004" t="n">
        <f aca="false">'Смета Внутр'!H1754</f>
        <v>0</v>
      </c>
      <c r="J1747" s="1018" t="n">
        <f aca="false">'Смета Внутр'!I1754</f>
        <v>0</v>
      </c>
    </row>
    <row r="1748" customFormat="false" ht="15" hidden="false" customHeight="true" outlineLevel="0" collapsed="false">
      <c r="B1748" s="1004" t="str">
        <f aca="false">'Смета Внутр'!B1755</f>
        <v>Доска сухая, калибр., 35*45мм</v>
      </c>
      <c r="C1748" s="1004" t="str">
        <f aca="false">'Смета Внутр'!C1755</f>
        <v>шт</v>
      </c>
      <c r="D1748" s="1018" t="n">
        <f aca="false">'Смета Внутр'!D1755</f>
        <v>0</v>
      </c>
      <c r="E1748" s="1004" t="n">
        <f aca="false">'Смета Внутр'!E1755</f>
        <v>12500</v>
      </c>
      <c r="F1748" s="1004" t="n">
        <f aca="false">'Смета Внутр'!F1755</f>
        <v>0</v>
      </c>
      <c r="G1748" s="1004" t="n">
        <f aca="false">IF(E1748&gt;F1748,E1748,F1748)</f>
        <v>12500</v>
      </c>
      <c r="H1748" s="1004" t="n">
        <f aca="false">'Смета Внутр'!G1755</f>
        <v>0</v>
      </c>
      <c r="I1748" s="1004" t="n">
        <f aca="false">'Смета Внутр'!H1755</f>
        <v>0</v>
      </c>
      <c r="J1748" s="1018" t="n">
        <f aca="false">'Смета Внутр'!I1755</f>
        <v>0</v>
      </c>
    </row>
    <row r="1749" customFormat="false" ht="15" hidden="false" customHeight="true" outlineLevel="0" collapsed="false">
      <c r="B1749" s="1004" t="str">
        <f aca="false">'Смета Внутр'!B1756</f>
        <v>нет ветроизоляции</v>
      </c>
      <c r="C1749" s="1004" t="str">
        <f aca="false">'Смета Внутр'!C1756</f>
        <v>м2</v>
      </c>
      <c r="D1749" s="1018" t="n">
        <f aca="false">'Смета Внутр'!D1756</f>
        <v>0</v>
      </c>
      <c r="E1749" s="1004" t="n">
        <f aca="false">'Смета Внутр'!E1756</f>
        <v>0</v>
      </c>
      <c r="F1749" s="1004" t="n">
        <f aca="false">'Смета Внутр'!F1756</f>
        <v>0</v>
      </c>
      <c r="G1749" s="1004" t="n">
        <f aca="false">IF(E1749&gt;F1749,E1749,F1749)</f>
        <v>0</v>
      </c>
      <c r="H1749" s="1004" t="n">
        <f aca="false">'Смета Внутр'!G1756</f>
        <v>0</v>
      </c>
      <c r="I1749" s="1004" t="n">
        <f aca="false">'Смета Внутр'!H1756</f>
        <v>0</v>
      </c>
      <c r="J1749" s="1018" t="n">
        <f aca="false">'Смета Внутр'!I1756</f>
        <v>0</v>
      </c>
    </row>
    <row r="1750" customFormat="false" ht="15" hidden="false" customHeight="true" outlineLevel="0" collapsed="false">
      <c r="B1750" s="1004" t="str">
        <f aca="false">'Смета Внутр'!B1757</f>
        <v>нет пароизоляции</v>
      </c>
      <c r="C1750" s="1004" t="str">
        <f aca="false">'Смета Внутр'!C1757</f>
        <v>м2</v>
      </c>
      <c r="D1750" s="1018" t="n">
        <f aca="false">'Смета Внутр'!D1757</f>
        <v>0</v>
      </c>
      <c r="E1750" s="1004" t="n">
        <f aca="false">'Смета Внутр'!E1757</f>
        <v>0</v>
      </c>
      <c r="F1750" s="1004" t="n">
        <f aca="false">'Смета Внутр'!F1757</f>
        <v>0</v>
      </c>
      <c r="G1750" s="1004" t="n">
        <f aca="false">IF(E1750&gt;F1750,E1750,F1750)</f>
        <v>0</v>
      </c>
      <c r="H1750" s="1004" t="n">
        <f aca="false">'Смета Внутр'!G1757</f>
        <v>0</v>
      </c>
      <c r="I1750" s="1004" t="n">
        <f aca="false">'Смета Внутр'!H1757</f>
        <v>0</v>
      </c>
      <c r="J1750" s="1018" t="n">
        <f aca="false">'Смета Внутр'!I1757</f>
        <v>0</v>
      </c>
    </row>
    <row r="1751" customFormat="false" ht="15" hidden="false" customHeight="true" outlineLevel="0" collapsed="false">
      <c r="B1751" s="1004" t="str">
        <f aca="false">'Смета Внутр'!B1758</f>
        <v>Плитный,28кг/м3, технониколь, 100мм</v>
      </c>
      <c r="C1751" s="1004" t="str">
        <f aca="false">'Смета Внутр'!C1758</f>
        <v>м3</v>
      </c>
      <c r="D1751" s="1018" t="n">
        <f aca="false">'Смета Внутр'!D1758</f>
        <v>1.1256598192649</v>
      </c>
      <c r="E1751" s="1004" t="n">
        <f aca="false">'Смета Внутр'!E1758</f>
        <v>1700</v>
      </c>
      <c r="F1751" s="1004" t="n">
        <f aca="false">'Смета Внутр'!F1758</f>
        <v>0</v>
      </c>
      <c r="G1751" s="1004" t="n">
        <f aca="false">IF(E1751&gt;F1751,E1751,F1751)</f>
        <v>1700</v>
      </c>
      <c r="H1751" s="1004" t="n">
        <f aca="false">'Смета Внутр'!G1758</f>
        <v>1913.62169275032</v>
      </c>
      <c r="I1751" s="1004" t="n">
        <f aca="false">'Смета Внутр'!H1758</f>
        <v>0</v>
      </c>
      <c r="J1751" s="1018" t="n">
        <f aca="false">'Смета Внутр'!I1758</f>
        <v>0</v>
      </c>
    </row>
    <row r="1752" customFormat="false" ht="15" hidden="false" customHeight="true" outlineLevel="0" collapsed="false">
      <c r="B1752" s="1004" t="str">
        <f aca="false">'Смета Внутр'!B1759</f>
        <v>металлочерепица</v>
      </c>
      <c r="C1752" s="1004" t="str">
        <f aca="false">'Смета Внутр'!C1759</f>
        <v>м2</v>
      </c>
      <c r="D1752" s="1018" t="n">
        <f aca="false">'Смета Внутр'!D1759</f>
        <v>0</v>
      </c>
      <c r="E1752" s="1004" t="n">
        <f aca="false">'Смета Внутр'!E1759</f>
        <v>250</v>
      </c>
      <c r="F1752" s="1004" t="n">
        <f aca="false">'Смета Внутр'!F1759</f>
        <v>0</v>
      </c>
      <c r="G1752" s="1004" t="n">
        <f aca="false">IF(E1752&gt;F1752,E1752,F1752)</f>
        <v>250</v>
      </c>
      <c r="H1752" s="1004" t="n">
        <f aca="false">'Смета Внутр'!G1759</f>
        <v>0</v>
      </c>
      <c r="I1752" s="1004" t="n">
        <f aca="false">'Смета Внутр'!H1759</f>
        <v>0</v>
      </c>
      <c r="J1752" s="1018" t="n">
        <f aca="false">'Смета Внутр'!I1759</f>
        <v>0</v>
      </c>
    </row>
    <row r="1753" customFormat="false" ht="15" hidden="false" customHeight="true" outlineLevel="0" collapsed="false">
      <c r="B1753" s="1004" t="str">
        <f aca="false">'Смета Внутр'!B1760</f>
        <v>Карнизная планка</v>
      </c>
      <c r="C1753" s="1004" t="str">
        <f aca="false">'Смета Внутр'!C1760</f>
        <v>м.п.</v>
      </c>
      <c r="D1753" s="1018" t="n">
        <f aca="false">'Смета Внутр'!D1760</f>
        <v>0</v>
      </c>
      <c r="E1753" s="1004" t="n">
        <f aca="false">'Смета Внутр'!E1760</f>
        <v>200</v>
      </c>
      <c r="F1753" s="1004" t="n">
        <f aca="false">'Смета Внутр'!F1760</f>
        <v>0</v>
      </c>
      <c r="G1753" s="1004" t="n">
        <f aca="false">IF(E1753&gt;F1753,E1753,F1753)</f>
        <v>200</v>
      </c>
      <c r="H1753" s="1004" t="n">
        <f aca="false">'Смета Внутр'!G1760</f>
        <v>0</v>
      </c>
      <c r="I1753" s="1004" t="n">
        <f aca="false">'Смета Внутр'!H1760</f>
        <v>0</v>
      </c>
      <c r="J1753" s="1018" t="n">
        <f aca="false">'Смета Внутр'!I1760</f>
        <v>0</v>
      </c>
    </row>
    <row r="1754" customFormat="false" ht="15" hidden="false" customHeight="true" outlineLevel="0" collapsed="false">
      <c r="B1754" s="1004" t="str">
        <f aca="false">'Смета Внутр'!B1761</f>
        <v>Конек</v>
      </c>
      <c r="C1754" s="1004" t="str">
        <f aca="false">'Смета Внутр'!C1761</f>
        <v>м.п.</v>
      </c>
      <c r="D1754" s="1018" t="n">
        <f aca="false">'Смета Внутр'!D1761</f>
        <v>0</v>
      </c>
      <c r="E1754" s="1004" t="n">
        <f aca="false">'Смета Внутр'!E1761</f>
        <v>230</v>
      </c>
      <c r="F1754" s="1004" t="n">
        <f aca="false">'Смета Внутр'!F1761</f>
        <v>0</v>
      </c>
      <c r="G1754" s="1004" t="n">
        <f aca="false">IF(E1754&gt;F1754,E1754,F1754)</f>
        <v>230</v>
      </c>
      <c r="H1754" s="1004" t="n">
        <f aca="false">'Смета Внутр'!G1761</f>
        <v>0</v>
      </c>
      <c r="I1754" s="1004" t="n">
        <f aca="false">'Смета Внутр'!H1761</f>
        <v>0</v>
      </c>
      <c r="J1754" s="1018" t="n">
        <f aca="false">'Смета Внутр'!I1761</f>
        <v>0</v>
      </c>
    </row>
    <row r="1755" customFormat="false" ht="15" hidden="false" customHeight="true" outlineLevel="0" collapsed="false">
      <c r="B1755" s="1004" t="str">
        <f aca="false">'Смета Внутр'!B1762</f>
        <v>Ендова нижняя</v>
      </c>
      <c r="C1755" s="1004" t="str">
        <f aca="false">'Смета Внутр'!C1762</f>
        <v>м.п</v>
      </c>
      <c r="D1755" s="1018" t="n">
        <f aca="false">'Смета Внутр'!D1762</f>
        <v>0</v>
      </c>
      <c r="E1755" s="1004" t="n">
        <f aca="false">'Смета Внутр'!E1762</f>
        <v>160</v>
      </c>
      <c r="F1755" s="1004" t="n">
        <f aca="false">'Смета Внутр'!F1762</f>
        <v>0</v>
      </c>
      <c r="G1755" s="1004" t="n">
        <f aca="false">IF(E1755&gt;F1755,E1755,F1755)</f>
        <v>160</v>
      </c>
      <c r="H1755" s="1004" t="n">
        <f aca="false">'Смета Внутр'!G1762</f>
        <v>0</v>
      </c>
      <c r="I1755" s="1004" t="n">
        <f aca="false">'Смета Внутр'!H1762</f>
        <v>0</v>
      </c>
      <c r="J1755" s="1018" t="n">
        <f aca="false">'Смета Внутр'!I1762</f>
        <v>0</v>
      </c>
    </row>
    <row r="1756" customFormat="false" ht="15" hidden="false" customHeight="true" outlineLevel="0" collapsed="false">
      <c r="B1756" s="1004" t="str">
        <f aca="false">'Смета Внутр'!B1763</f>
        <v>Планка примыкания</v>
      </c>
      <c r="C1756" s="1004" t="str">
        <f aca="false">'Смета Внутр'!C1763</f>
        <v>м.п</v>
      </c>
      <c r="D1756" s="1018" t="n">
        <f aca="false">'Смета Внутр'!D1763</f>
        <v>0</v>
      </c>
      <c r="E1756" s="1004" t="n">
        <f aca="false">'Смета Внутр'!E1763</f>
        <v>190</v>
      </c>
      <c r="F1756" s="1004" t="n">
        <f aca="false">'Смета Внутр'!F1763</f>
        <v>0</v>
      </c>
      <c r="G1756" s="1004" t="n">
        <f aca="false">IF(E1756&gt;F1756,E1756,F1756)</f>
        <v>190</v>
      </c>
      <c r="H1756" s="1004" t="n">
        <f aca="false">'Смета Внутр'!G1763</f>
        <v>0</v>
      </c>
      <c r="I1756" s="1004" t="n">
        <f aca="false">'Смета Внутр'!H1763</f>
        <v>0</v>
      </c>
      <c r="J1756" s="1018" t="n">
        <f aca="false">'Смета Внутр'!I1763</f>
        <v>0</v>
      </c>
    </row>
    <row r="1757" customFormat="false" ht="15" hidden="false" customHeight="true" outlineLevel="0" collapsed="false">
      <c r="B1757" s="1004" t="str">
        <f aca="false">'Смета Внутр'!B1764</f>
        <v>ондулин</v>
      </c>
      <c r="C1757" s="1004" t="str">
        <f aca="false">'Смета Внутр'!C1764</f>
        <v>м2</v>
      </c>
      <c r="D1757" s="1018" t="n">
        <f aca="false">'Смета Внутр'!D1764</f>
        <v>0</v>
      </c>
      <c r="E1757" s="1004" t="n">
        <f aca="false">'Смета Внутр'!E1764</f>
        <v>180</v>
      </c>
      <c r="F1757" s="1004" t="n">
        <f aca="false">'Смета Внутр'!F1764</f>
        <v>0</v>
      </c>
      <c r="G1757" s="1004" t="n">
        <f aca="false">IF(E1757&gt;F1757,E1757,F1757)</f>
        <v>180</v>
      </c>
      <c r="H1757" s="1004" t="n">
        <f aca="false">'Смета Внутр'!G1764</f>
        <v>0</v>
      </c>
      <c r="I1757" s="1004" t="n">
        <f aca="false">'Смета Внутр'!H1764</f>
        <v>0</v>
      </c>
      <c r="J1757" s="1018" t="n">
        <f aca="false">'Смета Внутр'!I1764</f>
        <v>0</v>
      </c>
    </row>
    <row r="1758" customFormat="false" ht="15" hidden="false" customHeight="true" outlineLevel="0" collapsed="false">
      <c r="B1758" s="1004" t="str">
        <f aca="false">'Смета Внутр'!B1765</f>
        <v>Карнизная планка</v>
      </c>
      <c r="C1758" s="1004" t="str">
        <f aca="false">'Смета Внутр'!C1765</f>
        <v>м.п.</v>
      </c>
      <c r="D1758" s="1018" t="n">
        <f aca="false">'Смета Внутр'!D1765</f>
        <v>0</v>
      </c>
      <c r="E1758" s="1004" t="n">
        <f aca="false">'Смета Внутр'!E1765</f>
        <v>190</v>
      </c>
      <c r="F1758" s="1004" t="n">
        <f aca="false">'Смета Внутр'!F1765</f>
        <v>0</v>
      </c>
      <c r="G1758" s="1004" t="n">
        <f aca="false">IF(E1758&gt;F1758,E1758,F1758)</f>
        <v>190</v>
      </c>
      <c r="H1758" s="1004" t="n">
        <f aca="false">'Смета Внутр'!G1765</f>
        <v>0</v>
      </c>
      <c r="I1758" s="1004" t="n">
        <f aca="false">'Смета Внутр'!H1765</f>
        <v>0</v>
      </c>
      <c r="J1758" s="1018" t="n">
        <f aca="false">'Смета Внутр'!I1765</f>
        <v>0</v>
      </c>
    </row>
    <row r="1759" customFormat="false" ht="15" hidden="false" customHeight="true" outlineLevel="0" collapsed="false">
      <c r="B1759" s="1004" t="str">
        <f aca="false">'Смета Внутр'!B1766</f>
        <v>Торцевая планка</v>
      </c>
      <c r="C1759" s="1004" t="str">
        <f aca="false">'Смета Внутр'!C1766</f>
        <v>м.п.</v>
      </c>
      <c r="D1759" s="1018" t="n">
        <f aca="false">'Смета Внутр'!D1766</f>
        <v>0</v>
      </c>
      <c r="E1759" s="1004" t="n">
        <f aca="false">'Смета Внутр'!E1766</f>
        <v>190</v>
      </c>
      <c r="F1759" s="1004" t="n">
        <f aca="false">'Смета Внутр'!F1766</f>
        <v>0</v>
      </c>
      <c r="G1759" s="1004" t="n">
        <f aca="false">IF(E1759&gt;F1759,E1759,F1759)</f>
        <v>190</v>
      </c>
      <c r="H1759" s="1004" t="n">
        <f aca="false">'Смета Внутр'!G1766</f>
        <v>0</v>
      </c>
      <c r="I1759" s="1004" t="n">
        <f aca="false">'Смета Внутр'!H1766</f>
        <v>0</v>
      </c>
      <c r="J1759" s="1018" t="n">
        <f aca="false">'Смета Внутр'!I1766</f>
        <v>0</v>
      </c>
    </row>
    <row r="1760" customFormat="false" ht="15" hidden="false" customHeight="true" outlineLevel="0" collapsed="false">
      <c r="B1760" s="1004" t="str">
        <f aca="false">'Смета Внутр'!B1767</f>
        <v>Конек</v>
      </c>
      <c r="C1760" s="1004" t="str">
        <f aca="false">'Смета Внутр'!C1767</f>
        <v>м.п.</v>
      </c>
      <c r="D1760" s="1018" t="n">
        <f aca="false">'Смета Внутр'!D1767</f>
        <v>0</v>
      </c>
      <c r="E1760" s="1004" t="n">
        <f aca="false">'Смета Внутр'!E1767</f>
        <v>200</v>
      </c>
      <c r="F1760" s="1004" t="n">
        <f aca="false">'Смета Внутр'!F1767</f>
        <v>0</v>
      </c>
      <c r="G1760" s="1004" t="n">
        <f aca="false">IF(E1760&gt;F1760,E1760,F1760)</f>
        <v>200</v>
      </c>
      <c r="H1760" s="1004" t="n">
        <f aca="false">'Смета Внутр'!G1767</f>
        <v>0</v>
      </c>
      <c r="I1760" s="1004" t="n">
        <f aca="false">'Смета Внутр'!H1767</f>
        <v>0</v>
      </c>
      <c r="J1760" s="1018" t="n">
        <f aca="false">'Смета Внутр'!I1767</f>
        <v>0</v>
      </c>
    </row>
    <row r="1761" customFormat="false" ht="15" hidden="false" customHeight="true" outlineLevel="0" collapsed="false">
      <c r="B1761" s="1004" t="str">
        <f aca="false">'Смета Внутр'!B1768</f>
        <v>Ендова нижняя</v>
      </c>
      <c r="C1761" s="1004" t="str">
        <f aca="false">'Смета Внутр'!C1768</f>
        <v>м.п.</v>
      </c>
      <c r="D1761" s="1018" t="n">
        <f aca="false">'Смета Внутр'!D1768</f>
        <v>0</v>
      </c>
      <c r="E1761" s="1004" t="n">
        <f aca="false">'Смета Внутр'!E1768</f>
        <v>160</v>
      </c>
      <c r="F1761" s="1004" t="n">
        <f aca="false">'Смета Внутр'!F1768</f>
        <v>0</v>
      </c>
      <c r="G1761" s="1004" t="n">
        <f aca="false">IF(E1761&gt;F1761,E1761,F1761)</f>
        <v>160</v>
      </c>
      <c r="H1761" s="1004" t="n">
        <f aca="false">'Смета Внутр'!G1768</f>
        <v>0</v>
      </c>
      <c r="I1761" s="1004" t="n">
        <f aca="false">'Смета Внутр'!H1768</f>
        <v>0</v>
      </c>
      <c r="J1761" s="1018" t="n">
        <f aca="false">'Смета Внутр'!I1768</f>
        <v>0</v>
      </c>
    </row>
    <row r="1762" customFormat="false" ht="15" hidden="false" customHeight="true" outlineLevel="0" collapsed="false">
      <c r="B1762" s="1004" t="str">
        <f aca="false">'Смета Внутр'!B1769</f>
        <v>Ендова верхняя</v>
      </c>
      <c r="C1762" s="1004" t="str">
        <f aca="false">'Смета Внутр'!C1769</f>
        <v>м.п.</v>
      </c>
      <c r="D1762" s="1018" t="n">
        <f aca="false">'Смета Внутр'!D1769</f>
        <v>0</v>
      </c>
      <c r="E1762" s="1004" t="n">
        <f aca="false">'Смета Внутр'!E1769</f>
        <v>190</v>
      </c>
      <c r="F1762" s="1004" t="n">
        <f aca="false">'Смета Внутр'!F1769</f>
        <v>0</v>
      </c>
      <c r="G1762" s="1004" t="n">
        <f aca="false">IF(E1762&gt;F1762,E1762,F1762)</f>
        <v>190</v>
      </c>
      <c r="H1762" s="1004" t="n">
        <f aca="false">'Смета Внутр'!G1769</f>
        <v>0</v>
      </c>
      <c r="I1762" s="1004" t="n">
        <f aca="false">'Смета Внутр'!H1769</f>
        <v>0</v>
      </c>
      <c r="J1762" s="1018" t="n">
        <f aca="false">'Смета Внутр'!I1769</f>
        <v>0</v>
      </c>
    </row>
    <row r="1763" customFormat="false" ht="15" hidden="false" customHeight="true" outlineLevel="0" collapsed="false">
      <c r="B1763" s="1004" t="str">
        <f aca="false">'Смета Внутр'!B1770</f>
        <v>Планка примыкания</v>
      </c>
      <c r="C1763" s="1004" t="str">
        <f aca="false">'Смета Внутр'!C1770</f>
        <v>м.п.</v>
      </c>
      <c r="D1763" s="1018" t="n">
        <f aca="false">'Смета Внутр'!D1770</f>
        <v>0</v>
      </c>
      <c r="E1763" s="1004" t="n">
        <f aca="false">'Смета Внутр'!E1770</f>
        <v>190</v>
      </c>
      <c r="F1763" s="1004" t="n">
        <f aca="false">'Смета Внутр'!F1770</f>
        <v>0</v>
      </c>
      <c r="G1763" s="1004" t="n">
        <f aca="false">IF(E1763&gt;F1763,E1763,F1763)</f>
        <v>190</v>
      </c>
      <c r="H1763" s="1004" t="n">
        <f aca="false">'Смета Внутр'!G1770</f>
        <v>0</v>
      </c>
      <c r="I1763" s="1004" t="n">
        <f aca="false">'Смета Внутр'!H1770</f>
        <v>0</v>
      </c>
      <c r="J1763" s="1018" t="n">
        <f aca="false">'Смета Внутр'!I1770</f>
        <v>0</v>
      </c>
    </row>
    <row r="1764" customFormat="false" ht="15" hidden="false" customHeight="true" outlineLevel="0" collapsed="false">
      <c r="B1764" s="1004" t="str">
        <f aca="false">'Смета Внутр'!B1771</f>
        <v>Крепеж для ондулина</v>
      </c>
      <c r="C1764" s="1004" t="str">
        <f aca="false">'Смета Внутр'!C1771</f>
        <v>шт</v>
      </c>
      <c r="D1764" s="1018" t="n">
        <f aca="false">'Смета Внутр'!D1771</f>
        <v>0</v>
      </c>
      <c r="E1764" s="1004" t="n">
        <f aca="false">'Смета Внутр'!E1771</f>
        <v>4.5</v>
      </c>
      <c r="F1764" s="1004" t="n">
        <f aca="false">'Смета Внутр'!F1771</f>
        <v>0</v>
      </c>
      <c r="G1764" s="1004" t="n">
        <f aca="false">IF(E1764&gt;F1764,E1764,F1764)</f>
        <v>4.5</v>
      </c>
      <c r="H1764" s="1004" t="n">
        <f aca="false">'Смета Внутр'!G1771</f>
        <v>0</v>
      </c>
      <c r="I1764" s="1004" t="n">
        <f aca="false">'Смета Внутр'!H1771</f>
        <v>0</v>
      </c>
      <c r="J1764" s="1018" t="n">
        <f aca="false">'Смета Внутр'!I1771</f>
        <v>0</v>
      </c>
    </row>
    <row r="1765" customFormat="false" ht="15" hidden="false" customHeight="true" outlineLevel="0" collapsed="false">
      <c r="B1765" s="1004" t="str">
        <f aca="false">'Смета Внутр'!B1772</f>
        <v>нет</v>
      </c>
      <c r="C1765" s="1004" t="str">
        <f aca="false">'Смета Внутр'!C1772</f>
        <v>м2</v>
      </c>
      <c r="D1765" s="1018" t="n">
        <f aca="false">'Смета Внутр'!D1772</f>
        <v>0</v>
      </c>
      <c r="E1765" s="1004" t="n">
        <f aca="false">'Смета Внутр'!E1772</f>
        <v>0</v>
      </c>
      <c r="F1765" s="1004" t="n">
        <f aca="false">'Смета Внутр'!F1772</f>
        <v>0</v>
      </c>
      <c r="G1765" s="1004" t="n">
        <f aca="false">IF(E1765&gt;F1765,E1765,F1765)</f>
        <v>0</v>
      </c>
      <c r="H1765" s="1004" t="n">
        <f aca="false">'Смета Внутр'!G1772</f>
        <v>0</v>
      </c>
      <c r="I1765" s="1004" t="n">
        <f aca="false">'Смета Внутр'!H1772</f>
        <v>0</v>
      </c>
      <c r="J1765" s="1018" t="n">
        <f aca="false">'Смета Внутр'!I1772</f>
        <v>0</v>
      </c>
    </row>
    <row r="1766" customFormat="false" ht="15" hidden="false" customHeight="true" outlineLevel="0" collapsed="false">
      <c r="B1766" s="1004" t="str">
        <f aca="false">'Смета Внутр'!B1773</f>
        <v>Рядовая черепица</v>
      </c>
      <c r="C1766" s="1004" t="str">
        <f aca="false">'Смета Внутр'!C1773</f>
        <v>м2</v>
      </c>
      <c r="D1766" s="1018" t="n">
        <f aca="false">'Смета Внутр'!D1773</f>
        <v>0</v>
      </c>
      <c r="E1766" s="1004" t="n">
        <f aca="false">'Смета Внутр'!E1773</f>
        <v>360</v>
      </c>
      <c r="F1766" s="1004" t="n">
        <f aca="false">'Смета Внутр'!F1773</f>
        <v>0</v>
      </c>
      <c r="G1766" s="1004" t="n">
        <f aca="false">IF(E1766&gt;F1766,E1766,F1766)</f>
        <v>360</v>
      </c>
      <c r="H1766" s="1004" t="n">
        <f aca="false">'Смета Внутр'!G1773</f>
        <v>0</v>
      </c>
      <c r="I1766" s="1004" t="n">
        <f aca="false">'Смета Внутр'!H1773</f>
        <v>0</v>
      </c>
      <c r="J1766" s="1018" t="n">
        <f aca="false">'Смета Внутр'!I1773</f>
        <v>0</v>
      </c>
    </row>
    <row r="1767" customFormat="false" ht="15" hidden="false" customHeight="true" outlineLevel="0" collapsed="false">
      <c r="B1767" s="1004" t="str">
        <f aca="false">'Смета Внутр'!B1774</f>
        <v>Металл оцинк защита (карниз)</v>
      </c>
      <c r="C1767" s="1004" t="str">
        <f aca="false">'Смета Внутр'!C1774</f>
        <v>м.п.</v>
      </c>
      <c r="D1767" s="1018" t="n">
        <f aca="false">'Смета Внутр'!D1774</f>
        <v>0</v>
      </c>
      <c r="E1767" s="1004" t="n">
        <f aca="false">'Смета Внутр'!E1774</f>
        <v>200</v>
      </c>
      <c r="F1767" s="1004" t="n">
        <f aca="false">'Смета Внутр'!F1774</f>
        <v>0</v>
      </c>
      <c r="G1767" s="1004" t="n">
        <f aca="false">IF(E1767&gt;F1767,E1767,F1767)</f>
        <v>200</v>
      </c>
      <c r="H1767" s="1004" t="n">
        <f aca="false">'Смета Внутр'!G1774</f>
        <v>0</v>
      </c>
      <c r="I1767" s="1004" t="n">
        <f aca="false">'Смета Внутр'!H1774</f>
        <v>0</v>
      </c>
      <c r="J1767" s="1018" t="n">
        <f aca="false">'Смета Внутр'!I1774</f>
        <v>0</v>
      </c>
    </row>
    <row r="1768" customFormat="false" ht="15" hidden="false" customHeight="true" outlineLevel="0" collapsed="false">
      <c r="B1768" s="1004" t="str">
        <f aca="false">'Смета Внутр'!B1775</f>
        <v>Подкладочный ковер</v>
      </c>
      <c r="C1768" s="1004" t="str">
        <f aca="false">'Смета Внутр'!C1775</f>
        <v>м.п.</v>
      </c>
      <c r="D1768" s="1018" t="n">
        <f aca="false">'Смета Внутр'!D1775</f>
        <v>0</v>
      </c>
      <c r="E1768" s="1004" t="n">
        <f aca="false">'Смета Внутр'!E1775</f>
        <v>220</v>
      </c>
      <c r="F1768" s="1004" t="n">
        <f aca="false">'Смета Внутр'!F1775</f>
        <v>0</v>
      </c>
      <c r="G1768" s="1004" t="n">
        <f aca="false">IF(E1768&gt;F1768,E1768,F1768)</f>
        <v>220</v>
      </c>
      <c r="H1768" s="1004" t="n">
        <f aca="false">'Смета Внутр'!G1775</f>
        <v>0</v>
      </c>
      <c r="I1768" s="1004" t="n">
        <f aca="false">'Смета Внутр'!H1775</f>
        <v>0</v>
      </c>
      <c r="J1768" s="1018" t="n">
        <f aca="false">'Смета Внутр'!I1775</f>
        <v>0</v>
      </c>
    </row>
    <row r="1769" customFormat="false" ht="15" hidden="false" customHeight="true" outlineLevel="0" collapsed="false">
      <c r="B1769" s="1004" t="str">
        <f aca="false">'Смета Внутр'!B1776</f>
        <v>Карнизная самоклеющаяся черепица</v>
      </c>
      <c r="C1769" s="1004" t="str">
        <f aca="false">'Смета Внутр'!C1776</f>
        <v>м.п.</v>
      </c>
      <c r="D1769" s="1018" t="n">
        <f aca="false">'Смета Внутр'!D1776</f>
        <v>0</v>
      </c>
      <c r="E1769" s="1004" t="n">
        <f aca="false">'Смета Внутр'!E1776</f>
        <v>220</v>
      </c>
      <c r="F1769" s="1004" t="n">
        <f aca="false">'Смета Внутр'!F1776</f>
        <v>0</v>
      </c>
      <c r="G1769" s="1004" t="n">
        <f aca="false">IF(E1769&gt;F1769,E1769,F1769)</f>
        <v>220</v>
      </c>
      <c r="H1769" s="1004" t="n">
        <f aca="false">'Смета Внутр'!G1776</f>
        <v>0</v>
      </c>
      <c r="I1769" s="1004" t="n">
        <f aca="false">'Смета Внутр'!H1776</f>
        <v>0</v>
      </c>
      <c r="J1769" s="1018" t="n">
        <f aca="false">'Смета Внутр'!I1776</f>
        <v>0</v>
      </c>
    </row>
    <row r="1770" customFormat="false" ht="15" hidden="false" customHeight="true" outlineLevel="0" collapsed="false">
      <c r="B1770" s="1004" t="str">
        <f aca="false">'Смета Внутр'!B1777</f>
        <v>Спец ковер ендова нижняя</v>
      </c>
      <c r="C1770" s="1004" t="str">
        <f aca="false">'Смета Внутр'!C1777</f>
        <v>м.п.</v>
      </c>
      <c r="D1770" s="1018" t="n">
        <f aca="false">'Смета Внутр'!D1777</f>
        <v>0</v>
      </c>
      <c r="E1770" s="1004" t="n">
        <f aca="false">'Смета Внутр'!E1777</f>
        <v>200</v>
      </c>
      <c r="F1770" s="1004" t="n">
        <f aca="false">'Смета Внутр'!F1777</f>
        <v>0</v>
      </c>
      <c r="G1770" s="1004" t="n">
        <f aca="false">IF(E1770&gt;F1770,E1770,F1770)</f>
        <v>200</v>
      </c>
      <c r="H1770" s="1004" t="n">
        <f aca="false">'Смета Внутр'!G1777</f>
        <v>0</v>
      </c>
      <c r="I1770" s="1004" t="n">
        <f aca="false">'Смета Внутр'!H1777</f>
        <v>0</v>
      </c>
      <c r="J1770" s="1018" t="n">
        <f aca="false">'Смета Внутр'!I1777</f>
        <v>0</v>
      </c>
    </row>
    <row r="1771" customFormat="false" ht="15" hidden="false" customHeight="true" outlineLevel="0" collapsed="false">
      <c r="B1771" s="1004" t="str">
        <f aca="false">'Смета Внутр'!B1778</f>
        <v>Коньковой элемент</v>
      </c>
      <c r="C1771" s="1004" t="str">
        <f aca="false">'Смета Внутр'!C1778</f>
        <v>м.п.</v>
      </c>
      <c r="D1771" s="1018" t="n">
        <f aca="false">'Смета Внутр'!D1778</f>
        <v>0</v>
      </c>
      <c r="E1771" s="1004" t="n">
        <f aca="false">'Смета Внутр'!E1778</f>
        <v>250</v>
      </c>
      <c r="F1771" s="1004" t="n">
        <f aca="false">'Смета Внутр'!F1778</f>
        <v>0</v>
      </c>
      <c r="G1771" s="1004" t="n">
        <f aca="false">IF(E1771&gt;F1771,E1771,F1771)</f>
        <v>250</v>
      </c>
      <c r="H1771" s="1004" t="n">
        <f aca="false">'Смета Внутр'!G1778</f>
        <v>0</v>
      </c>
      <c r="I1771" s="1004" t="n">
        <f aca="false">'Смета Внутр'!H1778</f>
        <v>0</v>
      </c>
      <c r="J1771" s="1018" t="n">
        <f aca="false">'Смета Внутр'!I1778</f>
        <v>0</v>
      </c>
    </row>
    <row r="1772" customFormat="false" ht="15" hidden="false" customHeight="true" outlineLevel="0" collapsed="false">
      <c r="B1772" s="1004" t="str">
        <f aca="false">'Смета Внутр'!B1779</f>
        <v>Планка премыкания</v>
      </c>
      <c r="C1772" s="1004" t="str">
        <f aca="false">'Смета Внутр'!C1779</f>
        <v>м.п.</v>
      </c>
      <c r="D1772" s="1018" t="n">
        <f aca="false">'Смета Внутр'!D1779</f>
        <v>0</v>
      </c>
      <c r="E1772" s="1004" t="n">
        <f aca="false">'Смета Внутр'!E1779</f>
        <v>200</v>
      </c>
      <c r="F1772" s="1004" t="n">
        <f aca="false">'Смета Внутр'!F1779</f>
        <v>0</v>
      </c>
      <c r="G1772" s="1004" t="n">
        <f aca="false">IF(E1772&gt;F1772,E1772,F1772)</f>
        <v>200</v>
      </c>
      <c r="H1772" s="1004" t="n">
        <f aca="false">'Смета Внутр'!G1779</f>
        <v>0</v>
      </c>
      <c r="I1772" s="1004" t="n">
        <f aca="false">'Смета Внутр'!H1779</f>
        <v>0</v>
      </c>
      <c r="J1772" s="1018" t="n">
        <f aca="false">'Смета Внутр'!I1779</f>
        <v>0</v>
      </c>
    </row>
    <row r="1773" customFormat="false" ht="15" hidden="false" customHeight="true" outlineLevel="0" collapsed="false">
      <c r="B1773" s="1004" t="str">
        <f aca="false">'Смета Внутр'!B1780</f>
        <v>Гвозди для крепления подкладочного ковра</v>
      </c>
      <c r="C1773" s="1004" t="str">
        <f aca="false">'Смета Внутр'!C1780</f>
        <v>шт</v>
      </c>
      <c r="D1773" s="1018" t="n">
        <f aca="false">'Смета Внутр'!D1780</f>
        <v>0</v>
      </c>
      <c r="E1773" s="1004" t="n">
        <f aca="false">'Смета Внутр'!E1780</f>
        <v>0.012</v>
      </c>
      <c r="F1773" s="1004" t="n">
        <f aca="false">'Смета Внутр'!F1780</f>
        <v>0</v>
      </c>
      <c r="G1773" s="1004" t="n">
        <f aca="false">IF(E1773&gt;F1773,E1773,F1773)</f>
        <v>0.012</v>
      </c>
      <c r="H1773" s="1004" t="n">
        <f aca="false">'Смета Внутр'!G1780</f>
        <v>0</v>
      </c>
      <c r="I1773" s="1004" t="n">
        <f aca="false">'Смета Внутр'!H1780</f>
        <v>0</v>
      </c>
      <c r="J1773" s="1018" t="n">
        <f aca="false">'Смета Внутр'!I1780</f>
        <v>0</v>
      </c>
    </row>
    <row r="1774" customFormat="false" ht="15" hidden="false" customHeight="true" outlineLevel="0" collapsed="false">
      <c r="B1774" s="1004" t="str">
        <f aca="false">'Смета Внутр'!B1781</f>
        <v>Гвозди для крепления черепицы</v>
      </c>
      <c r="C1774" s="1004" t="str">
        <f aca="false">'Смета Внутр'!C1781</f>
        <v>шт</v>
      </c>
      <c r="D1774" s="1018" t="n">
        <f aca="false">'Смета Внутр'!D1781</f>
        <v>0</v>
      </c>
      <c r="E1774" s="1004" t="n">
        <f aca="false">'Смета Внутр'!E1781</f>
        <v>0.25</v>
      </c>
      <c r="F1774" s="1004" t="n">
        <f aca="false">'Смета Внутр'!F1781</f>
        <v>0</v>
      </c>
      <c r="G1774" s="1004" t="n">
        <f aca="false">IF(E1774&gt;F1774,E1774,F1774)</f>
        <v>0.25</v>
      </c>
      <c r="H1774" s="1004" t="n">
        <f aca="false">'Смета Внутр'!G1781</f>
        <v>0</v>
      </c>
      <c r="I1774" s="1004" t="n">
        <f aca="false">'Смета Внутр'!H1781</f>
        <v>0</v>
      </c>
      <c r="J1774" s="1018" t="n">
        <f aca="false">'Смета Внутр'!I1781</f>
        <v>0</v>
      </c>
    </row>
    <row r="1775" customFormat="false" ht="15" hidden="false" customHeight="true" outlineLevel="0" collapsed="false">
      <c r="B1775" s="1004" t="str">
        <f aca="false">'Смета Внутр'!B1782</f>
        <v>Клей для монтажа черепицы</v>
      </c>
      <c r="C1775" s="1004" t="str">
        <f aca="false">'Смета Внутр'!C1782</f>
        <v>кг</v>
      </c>
      <c r="D1775" s="1018" t="n">
        <f aca="false">'Смета Внутр'!D1782</f>
        <v>0</v>
      </c>
      <c r="E1775" s="1004" t="n">
        <f aca="false">'Смета Внутр'!E1782</f>
        <v>250</v>
      </c>
      <c r="F1775" s="1004" t="n">
        <f aca="false">'Смета Внутр'!F1782</f>
        <v>0</v>
      </c>
      <c r="G1775" s="1004" t="n">
        <f aca="false">IF(E1775&gt;F1775,E1775,F1775)</f>
        <v>250</v>
      </c>
      <c r="H1775" s="1004" t="n">
        <f aca="false">'Смета Внутр'!G1782</f>
        <v>0</v>
      </c>
      <c r="I1775" s="1004" t="n">
        <f aca="false">'Смета Внутр'!H1782</f>
        <v>0</v>
      </c>
      <c r="J1775" s="1018" t="n">
        <f aca="false">'Смета Внутр'!I1782</f>
        <v>0</v>
      </c>
    </row>
    <row r="1776" customFormat="false" ht="15" hidden="false" customHeight="true" outlineLevel="0" collapsed="false">
      <c r="B1776" s="1004" t="str">
        <f aca="false">'Смета Внутр'!B1783</f>
        <v>желоб</v>
      </c>
      <c r="C1776" s="1004" t="str">
        <f aca="false">'Смета Внутр'!C1783</f>
        <v>м.п</v>
      </c>
      <c r="D1776" s="1018" t="n">
        <f aca="false">'Смета Внутр'!D1783</f>
        <v>0</v>
      </c>
      <c r="E1776" s="1004" t="n">
        <f aca="false">'Смета Внутр'!E1783</f>
        <v>300</v>
      </c>
      <c r="F1776" s="1004" t="n">
        <f aca="false">'Смета Внутр'!F1783</f>
        <v>0</v>
      </c>
      <c r="G1776" s="1004" t="n">
        <f aca="false">IF(E1776&gt;F1776,E1776,F1776)</f>
        <v>300</v>
      </c>
      <c r="H1776" s="1004" t="n">
        <f aca="false">'Смета Внутр'!G1783</f>
        <v>0</v>
      </c>
      <c r="I1776" s="1004" t="n">
        <f aca="false">'Смета Внутр'!H1783</f>
        <v>0</v>
      </c>
      <c r="J1776" s="1018" t="n">
        <f aca="false">'Смета Внутр'!I1783</f>
        <v>0</v>
      </c>
    </row>
    <row r="1777" customFormat="false" ht="15" hidden="false" customHeight="true" outlineLevel="0" collapsed="false">
      <c r="B1777" s="1004" t="str">
        <f aca="false">'Смета Внутр'!B1784</f>
        <v>отвод</v>
      </c>
      <c r="C1777" s="1004" t="str">
        <f aca="false">'Смета Внутр'!C1784</f>
        <v>шт</v>
      </c>
      <c r="D1777" s="1018" t="n">
        <f aca="false">'Смета Внутр'!D1784</f>
        <v>4</v>
      </c>
      <c r="E1777" s="1004" t="n">
        <f aca="false">'Смета Внутр'!E1784</f>
        <v>250</v>
      </c>
      <c r="F1777" s="1004" t="n">
        <f aca="false">'Смета Внутр'!F1784</f>
        <v>0</v>
      </c>
      <c r="G1777" s="1004" t="n">
        <f aca="false">IF(E1777&gt;F1777,E1777,F1777)</f>
        <v>250</v>
      </c>
      <c r="H1777" s="1004" t="n">
        <f aca="false">'Смета Внутр'!G1784</f>
        <v>1000</v>
      </c>
      <c r="I1777" s="1004" t="n">
        <f aca="false">'Смета Внутр'!H1784</f>
        <v>0</v>
      </c>
      <c r="J1777" s="1018" t="n">
        <f aca="false">'Смета Внутр'!I1784</f>
        <v>0</v>
      </c>
    </row>
    <row r="1778" customFormat="false" ht="15" hidden="false" customHeight="true" outlineLevel="0" collapsed="false">
      <c r="B1778" s="1004" t="str">
        <f aca="false">'Смета Внутр'!B1785</f>
        <v>труба водосточная</v>
      </c>
      <c r="C1778" s="1004" t="str">
        <f aca="false">'Смета Внутр'!C1785</f>
        <v>м.п.</v>
      </c>
      <c r="D1778" s="1018" t="n">
        <f aca="false">'Смета Внутр'!D1785</f>
        <v>0</v>
      </c>
      <c r="E1778" s="1004" t="n">
        <f aca="false">'Смета Внутр'!E1785</f>
        <v>300</v>
      </c>
      <c r="F1778" s="1004" t="n">
        <f aca="false">'Смета Внутр'!F1785</f>
        <v>0</v>
      </c>
      <c r="G1778" s="1004" t="n">
        <f aca="false">IF(E1778&gt;F1778,E1778,F1778)</f>
        <v>300</v>
      </c>
      <c r="H1778" s="1004" t="n">
        <f aca="false">'Смета Внутр'!G1785</f>
        <v>0</v>
      </c>
      <c r="I1778" s="1004" t="n">
        <f aca="false">'Смета Внутр'!H1785</f>
        <v>0</v>
      </c>
      <c r="J1778" s="1018" t="n">
        <f aca="false">'Смета Внутр'!I1785</f>
        <v>0</v>
      </c>
    </row>
    <row r="1779" customFormat="false" ht="15" hidden="false" customHeight="true" outlineLevel="0" collapsed="false">
      <c r="B1779" s="1004" t="str">
        <f aca="false">'Смета Внутр'!B1786</f>
        <v>заглушка для желоба</v>
      </c>
      <c r="C1779" s="1004" t="str">
        <f aca="false">'Смета Внутр'!C1786</f>
        <v>шт</v>
      </c>
      <c r="D1779" s="1018" t="n">
        <f aca="false">'Смета Внутр'!D1786</f>
        <v>0</v>
      </c>
      <c r="E1779" s="1004" t="n">
        <f aca="false">'Смета Внутр'!E1786</f>
        <v>190</v>
      </c>
      <c r="F1779" s="1004" t="n">
        <f aca="false">'Смета Внутр'!F1786</f>
        <v>0</v>
      </c>
      <c r="G1779" s="1004" t="n">
        <f aca="false">IF(E1779&gt;F1779,E1779,F1779)</f>
        <v>190</v>
      </c>
      <c r="H1779" s="1004" t="n">
        <f aca="false">'Смета Внутр'!G1786</f>
        <v>0</v>
      </c>
      <c r="I1779" s="1004" t="n">
        <f aca="false">'Смета Внутр'!H1786</f>
        <v>0</v>
      </c>
      <c r="J1779" s="1018" t="n">
        <f aca="false">'Смета Внутр'!I1786</f>
        <v>0</v>
      </c>
    </row>
    <row r="1780" customFormat="false" ht="15" hidden="false" customHeight="true" outlineLevel="0" collapsed="false">
      <c r="B1780" s="1004" t="str">
        <f aca="false">'Смета Внутр'!B1787</f>
        <v>соеденитель для желоба</v>
      </c>
      <c r="C1780" s="1004" t="str">
        <f aca="false">'Смета Внутр'!C1787</f>
        <v>шт</v>
      </c>
      <c r="D1780" s="1018" t="n">
        <f aca="false">'Смета Внутр'!D1787</f>
        <v>0</v>
      </c>
      <c r="E1780" s="1004" t="n">
        <f aca="false">'Смета Внутр'!E1787</f>
        <v>180</v>
      </c>
      <c r="F1780" s="1004" t="n">
        <f aca="false">'Смета Внутр'!F1787</f>
        <v>0</v>
      </c>
      <c r="G1780" s="1004" t="n">
        <f aca="false">IF(E1780&gt;F1780,E1780,F1780)</f>
        <v>180</v>
      </c>
      <c r="H1780" s="1004" t="n">
        <f aca="false">'Смета Внутр'!G1787</f>
        <v>0</v>
      </c>
      <c r="I1780" s="1004" t="n">
        <f aca="false">'Смета Внутр'!H1787</f>
        <v>0</v>
      </c>
      <c r="J1780" s="1018" t="n">
        <f aca="false">'Смета Внутр'!I1787</f>
        <v>0</v>
      </c>
    </row>
    <row r="1781" customFormat="false" ht="15" hidden="false" customHeight="true" outlineLevel="0" collapsed="false">
      <c r="B1781" s="1004" t="str">
        <f aca="false">'Смета Внутр'!B1788</f>
        <v>кронштейн для желоба</v>
      </c>
      <c r="C1781" s="1004" t="str">
        <f aca="false">'Смета Внутр'!C1788</f>
        <v>шт</v>
      </c>
      <c r="D1781" s="1018" t="n">
        <f aca="false">'Смета Внутр'!D1788</f>
        <v>0</v>
      </c>
      <c r="E1781" s="1004" t="n">
        <f aca="false">'Смета Внутр'!E1788</f>
        <v>130</v>
      </c>
      <c r="F1781" s="1004" t="n">
        <f aca="false">'Смета Внутр'!F1788</f>
        <v>0</v>
      </c>
      <c r="G1781" s="1004" t="n">
        <f aca="false">IF(E1781&gt;F1781,E1781,F1781)</f>
        <v>130</v>
      </c>
      <c r="H1781" s="1004" t="n">
        <f aca="false">'Смета Внутр'!G1788</f>
        <v>0</v>
      </c>
      <c r="I1781" s="1004" t="n">
        <f aca="false">'Смета Внутр'!H1788</f>
        <v>0</v>
      </c>
      <c r="J1781" s="1018" t="n">
        <f aca="false">'Смета Внутр'!I1788</f>
        <v>0</v>
      </c>
    </row>
    <row r="1782" customFormat="false" ht="15" hidden="false" customHeight="true" outlineLevel="0" collapsed="false">
      <c r="B1782" s="1004" t="str">
        <f aca="false">'Смета Внутр'!B1789</f>
        <v>переход из желоба в трубу</v>
      </c>
      <c r="C1782" s="1004" t="str">
        <f aca="false">'Смета Внутр'!C1789</f>
        <v>шт</v>
      </c>
      <c r="D1782" s="1018" t="n">
        <f aca="false">'Смета Внутр'!D1789</f>
        <v>2</v>
      </c>
      <c r="E1782" s="1004" t="n">
        <f aca="false">'Смета Внутр'!E1789</f>
        <v>350</v>
      </c>
      <c r="F1782" s="1004" t="n">
        <f aca="false">'Смета Внутр'!F1789</f>
        <v>0</v>
      </c>
      <c r="G1782" s="1004" t="n">
        <f aca="false">IF(E1782&gt;F1782,E1782,F1782)</f>
        <v>350</v>
      </c>
      <c r="H1782" s="1004" t="n">
        <f aca="false">'Смета Внутр'!G1789</f>
        <v>700</v>
      </c>
      <c r="I1782" s="1004" t="n">
        <f aca="false">'Смета Внутр'!H1789</f>
        <v>0</v>
      </c>
      <c r="J1782" s="1018" t="n">
        <f aca="false">'Смета Внутр'!I1789</f>
        <v>0</v>
      </c>
    </row>
    <row r="1783" customFormat="false" ht="15" hidden="false" customHeight="true" outlineLevel="0" collapsed="false">
      <c r="B1783" s="1004" t="str">
        <f aca="false">'Смета Внутр'!B1790</f>
        <v>лента дельта мульти бэнд</v>
      </c>
      <c r="C1783" s="1004" t="str">
        <f aca="false">'Смета Внутр'!C1790</f>
        <v>шт</v>
      </c>
      <c r="D1783" s="1018" t="n">
        <f aca="false">'Смета Внутр'!D1790</f>
        <v>0</v>
      </c>
      <c r="E1783" s="1004" t="n">
        <f aca="false">'Смета Внутр'!E1790</f>
        <v>1200</v>
      </c>
      <c r="F1783" s="1004" t="n">
        <f aca="false">'Смета Внутр'!F1790</f>
        <v>0</v>
      </c>
      <c r="G1783" s="1004" t="n">
        <f aca="false">IF(E1783&gt;F1783,E1783,F1783)</f>
        <v>1200</v>
      </c>
      <c r="H1783" s="1004" t="n">
        <f aca="false">'Смета Внутр'!G1790</f>
        <v>0</v>
      </c>
      <c r="I1783" s="1004" t="n">
        <f aca="false">'Смета Внутр'!H1790</f>
        <v>0</v>
      </c>
      <c r="J1783" s="1018" t="n">
        <f aca="false">'Смета Внутр'!I1790</f>
        <v>0</v>
      </c>
    </row>
    <row r="1784" customFormat="false" ht="15" hidden="false" customHeight="true" outlineLevel="0" collapsed="false">
      <c r="B1784" s="1004" t="str">
        <f aca="false">'Смета Внутр'!B1791</f>
        <v>лента дельта sb-60</v>
      </c>
      <c r="C1784" s="1004" t="str">
        <f aca="false">'Смета Внутр'!C1791</f>
        <v>шт</v>
      </c>
      <c r="D1784" s="1018" t="n">
        <f aca="false">'Смета Внутр'!D1791</f>
        <v>0</v>
      </c>
      <c r="E1784" s="1004" t="n">
        <f aca="false">'Смета Внутр'!E1791</f>
        <v>1100</v>
      </c>
      <c r="F1784" s="1004" t="n">
        <f aca="false">'Смета Внутр'!F1791</f>
        <v>0</v>
      </c>
      <c r="G1784" s="1004" t="n">
        <f aca="false">IF(E1784&gt;F1784,E1784,F1784)</f>
        <v>1100</v>
      </c>
      <c r="H1784" s="1004" t="n">
        <f aca="false">'Смета Внутр'!G1791</f>
        <v>0</v>
      </c>
      <c r="I1784" s="1004" t="n">
        <f aca="false">'Смета Внутр'!H1791</f>
        <v>0</v>
      </c>
      <c r="J1784" s="1018" t="n">
        <f aca="false">'Смета Внутр'!I1791</f>
        <v>0</v>
      </c>
    </row>
    <row r="1785" customFormat="false" ht="15" hidden="false" customHeight="true" outlineLevel="0" collapsed="false">
      <c r="B1785" s="1004" t="str">
        <f aca="false">'Смета Внутр'!B1792</f>
        <v>Кровельный саморез</v>
      </c>
      <c r="C1785" s="1004" t="str">
        <f aca="false">'Смета Внутр'!C1792</f>
        <v>шт</v>
      </c>
      <c r="D1785" s="1018" t="n">
        <f aca="false">'Смета Внутр'!D1792</f>
        <v>0</v>
      </c>
      <c r="E1785" s="1004" t="n">
        <f aca="false">'Смета Внутр'!E1792</f>
        <v>2</v>
      </c>
      <c r="F1785" s="1004" t="n">
        <f aca="false">'Смета Внутр'!F1792</f>
        <v>0</v>
      </c>
      <c r="G1785" s="1004" t="n">
        <f aca="false">IF(E1785&gt;F1785,E1785,F1785)</f>
        <v>2</v>
      </c>
      <c r="H1785" s="1004" t="n">
        <f aca="false">'Смета Внутр'!G1792</f>
        <v>0</v>
      </c>
      <c r="I1785" s="1004" t="n">
        <f aca="false">'Смета Внутр'!H1792</f>
        <v>0</v>
      </c>
      <c r="J1785" s="1018" t="n">
        <f aca="false">'Смета Внутр'!I1792</f>
        <v>0</v>
      </c>
    </row>
    <row r="1786" customFormat="false" ht="15" hidden="false" customHeight="true" outlineLevel="0" collapsed="false">
      <c r="B1786" s="1004" t="str">
        <f aca="false">'Смета Внутр'!B1793</f>
        <v>Гвозди ершоные 3,4 x 60</v>
      </c>
      <c r="C1786" s="1004" t="str">
        <f aca="false">'Смета Внутр'!C1793</f>
        <v>кг</v>
      </c>
      <c r="D1786" s="1018" t="n">
        <f aca="false">'Смета Внутр'!D1793</f>
        <v>0</v>
      </c>
      <c r="E1786" s="1004" t="n">
        <f aca="false">'Смета Внутр'!E1793</f>
        <v>75.51</v>
      </c>
      <c r="F1786" s="1004" t="n">
        <f aca="false">'Смета Внутр'!F1793</f>
        <v>0</v>
      </c>
      <c r="G1786" s="1004" t="n">
        <f aca="false">IF(E1786&gt;F1786,E1786,F1786)</f>
        <v>75.51</v>
      </c>
      <c r="H1786" s="1004" t="n">
        <f aca="false">'Смета Внутр'!G1793</f>
        <v>0</v>
      </c>
      <c r="I1786" s="1004" t="n">
        <f aca="false">'Смета Внутр'!H1793</f>
        <v>0</v>
      </c>
      <c r="J1786" s="1018" t="n">
        <f aca="false">'Смета Внутр'!I1793</f>
        <v>0</v>
      </c>
    </row>
    <row r="1787" customFormat="false" ht="15" hidden="false" customHeight="true" outlineLevel="0" collapsed="false">
      <c r="B1787" s="1004" t="str">
        <f aca="false">'Смета Внутр'!B1794</f>
        <v>Гвозди ершоные 2,8 х 90</v>
      </c>
      <c r="C1787" s="1004" t="str">
        <f aca="false">'Смета Внутр'!C1794</f>
        <v>кг</v>
      </c>
      <c r="D1787" s="1018" t="n">
        <f aca="false">'Смета Внутр'!D1794</f>
        <v>0</v>
      </c>
      <c r="E1787" s="1004" t="n">
        <f aca="false">'Смета Внутр'!E1794</f>
        <v>76.49</v>
      </c>
      <c r="F1787" s="1004" t="n">
        <f aca="false">'Смета Внутр'!F1794</f>
        <v>0</v>
      </c>
      <c r="G1787" s="1004" t="n">
        <f aca="false">IF(E1787&gt;F1787,E1787,F1787)</f>
        <v>76.49</v>
      </c>
      <c r="H1787" s="1004" t="n">
        <f aca="false">'Смета Внутр'!G1794</f>
        <v>0</v>
      </c>
      <c r="I1787" s="1004" t="n">
        <f aca="false">'Смета Внутр'!H1794</f>
        <v>0</v>
      </c>
      <c r="J1787" s="1018" t="n">
        <f aca="false">'Смета Внутр'!I1794</f>
        <v>0</v>
      </c>
    </row>
    <row r="1788" customFormat="false" ht="15" hidden="false" customHeight="true" outlineLevel="0" collapsed="false">
      <c r="B1788" s="1004" t="str">
        <f aca="false">'Смета Внутр'!B1795</f>
        <v>Пластина соеденительная 100х240х2</v>
      </c>
      <c r="C1788" s="1004" t="str">
        <f aca="false">'Смета Внутр'!C1795</f>
        <v>шт</v>
      </c>
      <c r="D1788" s="1018" t="n">
        <f aca="false">'Смета Внутр'!D1795</f>
        <v>2.3</v>
      </c>
      <c r="E1788" s="1004" t="n">
        <f aca="false">'Смета Внутр'!E1795</f>
        <v>31.54</v>
      </c>
      <c r="F1788" s="1004" t="n">
        <f aca="false">'Смета Внутр'!F1795</f>
        <v>0</v>
      </c>
      <c r="G1788" s="1004" t="n">
        <f aca="false">IF(E1788&gt;F1788,E1788,F1788)</f>
        <v>31.54</v>
      </c>
      <c r="H1788" s="1004" t="n">
        <f aca="false">'Смета Внутр'!G1795</f>
        <v>72.542</v>
      </c>
      <c r="I1788" s="1004" t="n">
        <f aca="false">'Смета Внутр'!H1795</f>
        <v>0</v>
      </c>
      <c r="J1788" s="1018" t="n">
        <f aca="false">'Смета Внутр'!I1795</f>
        <v>0</v>
      </c>
    </row>
    <row r="1789" customFormat="false" ht="15" hidden="false" customHeight="true" outlineLevel="0" collapsed="false">
      <c r="B1789" s="1004" t="str">
        <f aca="false">'Смета Внутр'!B1796</f>
        <v>Уголок усиленный 90х70х55х2,5</v>
      </c>
      <c r="C1789" s="1004" t="str">
        <f aca="false">'Смета Внутр'!C1796</f>
        <v>шт</v>
      </c>
      <c r="D1789" s="1018" t="n">
        <f aca="false">'Смета Внутр'!D1796</f>
        <v>3.45</v>
      </c>
      <c r="E1789" s="1004" t="n">
        <f aca="false">'Смета Внутр'!E1796</f>
        <v>30</v>
      </c>
      <c r="F1789" s="1004" t="n">
        <f aca="false">'Смета Внутр'!F1796</f>
        <v>0</v>
      </c>
      <c r="G1789" s="1004" t="n">
        <f aca="false">IF(E1789&gt;F1789,E1789,F1789)</f>
        <v>30</v>
      </c>
      <c r="H1789" s="1004" t="n">
        <f aca="false">'Смета Внутр'!G1796</f>
        <v>103.5</v>
      </c>
      <c r="I1789" s="1004" t="n">
        <f aca="false">'Смета Внутр'!H1796</f>
        <v>0</v>
      </c>
      <c r="J1789" s="1018" t="n">
        <f aca="false">'Смета Внутр'!I1796</f>
        <v>0</v>
      </c>
    </row>
    <row r="1790" customFormat="false" ht="14.5" hidden="false" customHeight="false" outlineLevel="0" collapsed="false">
      <c r="B1790" s="2927" t="str">
        <f aca="false">'Смета Внутр'!B1797</f>
        <v>Итого материалы</v>
      </c>
      <c r="C1790" s="2927"/>
      <c r="D1790" s="2927"/>
      <c r="E1790" s="2927"/>
      <c r="F1790" s="2927"/>
      <c r="G1790" s="2927"/>
      <c r="H1790" s="1004" t="n">
        <f aca="false">'Смета Внутр'!G1797</f>
        <v>0</v>
      </c>
      <c r="I1790" s="1004" t="n">
        <f aca="false">'Смета Внутр'!H1797</f>
        <v>0</v>
      </c>
      <c r="J1790" s="1018" t="n">
        <f aca="false">'Смета Внутр'!I1797</f>
        <v>0</v>
      </c>
    </row>
    <row r="1791" customFormat="false" ht="15" hidden="false" customHeight="true" outlineLevel="0" collapsed="false">
      <c r="B1791" s="2881" t="str">
        <f aca="false">'Смета Внутр'!B1798</f>
        <v>Работы</v>
      </c>
      <c r="D1791" s="919"/>
      <c r="H1791" s="0" t="n">
        <f aca="false">'Смета Внутр'!G1798</f>
        <v>0</v>
      </c>
      <c r="I1791" s="0" t="n">
        <f aca="false">'Смета Внутр'!H1798</f>
        <v>0</v>
      </c>
      <c r="J1791" s="2926" t="n">
        <f aca="false">'Смета Внутр'!I1798</f>
        <v>0</v>
      </c>
    </row>
    <row r="1792" customFormat="false" ht="15" hidden="false" customHeight="true" outlineLevel="0" collapsed="false">
      <c r="B1792" s="1004" t="str">
        <f aca="false">'Смета Внутр'!B1799</f>
        <v>монтаж мауэрлат</v>
      </c>
      <c r="C1792" s="1004" t="str">
        <f aca="false">'Смета Внутр'!C1799</f>
        <v>м.п.</v>
      </c>
      <c r="D1792" s="1018" t="n">
        <f aca="false">'Смета Внутр'!D1799</f>
        <v>0</v>
      </c>
      <c r="E1792" s="1004" t="n">
        <f aca="false">'Смета Внутр'!E1799</f>
        <v>250</v>
      </c>
      <c r="F1792" s="1004" t="n">
        <f aca="false">'Смета Внутр'!F1799</f>
        <v>0</v>
      </c>
      <c r="G1792" s="1004" t="n">
        <f aca="false">IF(E1792&gt;F1792,E1792,F1792)</f>
        <v>250</v>
      </c>
      <c r="H1792" s="1004" t="n">
        <f aca="false">'Смета Внутр'!G1799</f>
        <v>0</v>
      </c>
      <c r="I1792" s="1004" t="n">
        <f aca="false">'Смета Внутр'!H1799</f>
        <v>0</v>
      </c>
      <c r="J1792" s="1018" t="n">
        <f aca="false">'Смета Внутр'!I1799</f>
        <v>0</v>
      </c>
    </row>
    <row r="1793" customFormat="false" ht="15" hidden="false" customHeight="true" outlineLevel="0" collapsed="false">
      <c r="B1793" s="1004" t="str">
        <f aca="false">'Смета Внутр'!B1800</f>
        <v>монтаж стропил</v>
      </c>
      <c r="C1793" s="1004" t="str">
        <f aca="false">'Смета Внутр'!C1800</f>
        <v>м2</v>
      </c>
      <c r="D1793" s="1018" t="n">
        <f aca="false">'Смета Внутр'!D1800</f>
        <v>0</v>
      </c>
      <c r="E1793" s="1004" t="n">
        <f aca="false">'Смета Внутр'!E1800</f>
        <v>450</v>
      </c>
      <c r="F1793" s="1004" t="n">
        <f aca="false">'Смета Внутр'!F1800</f>
        <v>0</v>
      </c>
      <c r="G1793" s="1004" t="n">
        <f aca="false">IF(E1793&gt;F1793,E1793,F1793)</f>
        <v>450</v>
      </c>
      <c r="H1793" s="1004" t="n">
        <f aca="false">'Смета Внутр'!G1800</f>
        <v>0</v>
      </c>
      <c r="I1793" s="1004" t="n">
        <f aca="false">'Смета Внутр'!H1800</f>
        <v>0</v>
      </c>
      <c r="J1793" s="1018" t="n">
        <f aca="false">'Смета Внутр'!I1800</f>
        <v>0</v>
      </c>
    </row>
    <row r="1794" customFormat="false" ht="15" hidden="false" customHeight="true" outlineLevel="0" collapsed="false">
      <c r="B1794" s="1004" t="str">
        <f aca="false">'Смета Внутр'!B1801</f>
        <v>обрешетка</v>
      </c>
      <c r="C1794" s="1004" t="str">
        <f aca="false">'Смета Внутр'!C1801</f>
        <v>м2</v>
      </c>
      <c r="D1794" s="1018" t="n">
        <f aca="false">'Смета Внутр'!D1801</f>
        <v>0</v>
      </c>
      <c r="E1794" s="1004" t="n">
        <f aca="false">'Смета Внутр'!E1801</f>
        <v>100</v>
      </c>
      <c r="F1794" s="1004" t="n">
        <f aca="false">'Смета Внутр'!F1801</f>
        <v>0</v>
      </c>
      <c r="G1794" s="1004" t="n">
        <f aca="false">IF(E1794&gt;F1794,E1794,F1794)</f>
        <v>100</v>
      </c>
      <c r="H1794" s="1004" t="n">
        <f aca="false">'Смета Внутр'!G1801</f>
        <v>0</v>
      </c>
      <c r="I1794" s="1004" t="n">
        <f aca="false">'Смета Внутр'!H1801</f>
        <v>0</v>
      </c>
      <c r="J1794" s="1018" t="n">
        <f aca="false">'Смета Внутр'!I1801</f>
        <v>0</v>
      </c>
    </row>
    <row r="1795" customFormat="false" ht="15" hidden="false" customHeight="true" outlineLevel="0" collapsed="false">
      <c r="B1795" s="1004" t="str">
        <f aca="false">'Смета Внутр'!B1802</f>
        <v>контробеш</v>
      </c>
      <c r="C1795" s="1004" t="str">
        <f aca="false">'Смета Внутр'!C1802</f>
        <v>м2</v>
      </c>
      <c r="D1795" s="1018" t="n">
        <f aca="false">'Смета Внутр'!D1802</f>
        <v>0</v>
      </c>
      <c r="E1795" s="1004" t="n">
        <f aca="false">'Смета Внутр'!E1802</f>
        <v>100</v>
      </c>
      <c r="F1795" s="1004" t="n">
        <f aca="false">'Смета Внутр'!F1802</f>
        <v>0</v>
      </c>
      <c r="G1795" s="1004" t="n">
        <f aca="false">IF(E1795&gt;F1795,E1795,F1795)</f>
        <v>100</v>
      </c>
      <c r="H1795" s="1004" t="n">
        <f aca="false">'Смета Внутр'!G1802</f>
        <v>0</v>
      </c>
      <c r="I1795" s="1004" t="n">
        <f aca="false">'Смета Внутр'!H1802</f>
        <v>0</v>
      </c>
      <c r="J1795" s="1018" t="n">
        <f aca="false">'Смета Внутр'!I1802</f>
        <v>0</v>
      </c>
    </row>
    <row r="1796" customFormat="false" ht="15" hidden="false" customHeight="true" outlineLevel="0" collapsed="false">
      <c r="B1796" s="1004" t="str">
        <f aca="false">'Смета Внутр'!B1803</f>
        <v>мембрана</v>
      </c>
      <c r="C1796" s="1004" t="str">
        <f aca="false">'Смета Внутр'!C1803</f>
        <v>м2</v>
      </c>
      <c r="D1796" s="1018" t="n">
        <f aca="false">'Смета Внутр'!D1803</f>
        <v>0</v>
      </c>
      <c r="E1796" s="1004" t="n">
        <f aca="false">'Смета Внутр'!E1803</f>
        <v>100</v>
      </c>
      <c r="F1796" s="1004" t="n">
        <f aca="false">'Смета Внутр'!F1803</f>
        <v>0</v>
      </c>
      <c r="G1796" s="1004" t="n">
        <f aca="false">IF(E1796&gt;F1796,E1796,F1796)</f>
        <v>100</v>
      </c>
      <c r="H1796" s="1004" t="n">
        <f aca="false">'Смета Внутр'!G1803</f>
        <v>0</v>
      </c>
      <c r="I1796" s="1004" t="n">
        <f aca="false">'Смета Внутр'!H1803</f>
        <v>0</v>
      </c>
      <c r="J1796" s="1018" t="n">
        <f aca="false">'Смета Внутр'!I1803</f>
        <v>0</v>
      </c>
    </row>
    <row r="1797" customFormat="false" ht="15" hidden="false" customHeight="true" outlineLevel="0" collapsed="false">
      <c r="B1797" s="1004" t="str">
        <f aca="false">'Смета Внутр'!B1804</f>
        <v>пароизоляц</v>
      </c>
      <c r="C1797" s="1004" t="str">
        <f aca="false">'Смета Внутр'!C1804</f>
        <v>м2</v>
      </c>
      <c r="D1797" s="1018" t="n">
        <f aca="false">'Смета Внутр'!D1804</f>
        <v>0</v>
      </c>
      <c r="E1797" s="1004" t="n">
        <f aca="false">'Смета Внутр'!E1804</f>
        <v>100</v>
      </c>
      <c r="F1797" s="1004" t="n">
        <f aca="false">'Смета Внутр'!F1804</f>
        <v>0</v>
      </c>
      <c r="G1797" s="1004" t="n">
        <f aca="false">IF(E1797&gt;F1797,E1797,F1797)</f>
        <v>100</v>
      </c>
      <c r="H1797" s="1004" t="n">
        <f aca="false">'Смета Внутр'!G1804</f>
        <v>0</v>
      </c>
      <c r="I1797" s="1004" t="n">
        <f aca="false">'Смета Внутр'!H1804</f>
        <v>0</v>
      </c>
      <c r="J1797" s="1018" t="n">
        <f aca="false">'Смета Внутр'!I1804</f>
        <v>0</v>
      </c>
    </row>
    <row r="1798" customFormat="false" ht="15" hidden="false" customHeight="true" outlineLevel="0" collapsed="false">
      <c r="B1798" s="1004" t="str">
        <f aca="false">'Смета Внутр'!B1805</f>
        <v>утеплитель</v>
      </c>
      <c r="C1798" s="1004" t="str">
        <f aca="false">'Смета Внутр'!C1805</f>
        <v>м2</v>
      </c>
      <c r="D1798" s="1018" t="n">
        <f aca="false">'Смета Внутр'!D1805</f>
        <v>0</v>
      </c>
      <c r="E1798" s="1004" t="n">
        <f aca="false">'Смета Внутр'!E1805</f>
        <v>200</v>
      </c>
      <c r="F1798" s="1004" t="n">
        <f aca="false">'Смета Внутр'!F1805</f>
        <v>0</v>
      </c>
      <c r="G1798" s="1004" t="n">
        <f aca="false">IF(E1798&gt;F1798,E1798,F1798)</f>
        <v>200</v>
      </c>
      <c r="H1798" s="1004" t="n">
        <f aca="false">'Смета Внутр'!G1805</f>
        <v>0</v>
      </c>
      <c r="I1798" s="1004" t="n">
        <f aca="false">'Смета Внутр'!H1805</f>
        <v>0</v>
      </c>
      <c r="J1798" s="1018" t="n">
        <f aca="false">'Смета Внутр'!I1805</f>
        <v>0</v>
      </c>
    </row>
    <row r="1799" customFormat="false" ht="15" hidden="false" customHeight="true" outlineLevel="0" collapsed="false">
      <c r="B1799" s="1004" t="str">
        <f aca="false">'Смета Внутр'!B1806</f>
        <v>Монтаж металлочерепицы</v>
      </c>
      <c r="C1799" s="1004" t="str">
        <f aca="false">'Смета Внутр'!C1806</f>
        <v>м2</v>
      </c>
      <c r="D1799" s="1018" t="n">
        <f aca="false">'Смета Внутр'!D1806</f>
        <v>0</v>
      </c>
      <c r="E1799" s="1004" t="n">
        <f aca="false">'Смета Внутр'!E1806</f>
        <v>300</v>
      </c>
      <c r="F1799" s="1004" t="n">
        <f aca="false">'Смета Внутр'!F1806</f>
        <v>0</v>
      </c>
      <c r="G1799" s="1004" t="n">
        <f aca="false">IF(E1799&gt;F1799,E1799,F1799)</f>
        <v>300</v>
      </c>
      <c r="H1799" s="1004" t="n">
        <f aca="false">'Смета Внутр'!G1806</f>
        <v>0</v>
      </c>
      <c r="I1799" s="1004" t="n">
        <f aca="false">'Смета Внутр'!H1806</f>
        <v>0</v>
      </c>
      <c r="J1799" s="1018" t="n">
        <f aca="false">'Смета Внутр'!I1806</f>
        <v>0</v>
      </c>
    </row>
    <row r="1800" customFormat="false" ht="15" hidden="false" customHeight="true" outlineLevel="0" collapsed="false">
      <c r="B1800" s="1004" t="str">
        <f aca="false">'Смета Внутр'!B1807</f>
        <v>карнизная планка</v>
      </c>
      <c r="C1800" s="1004" t="str">
        <f aca="false">'Смета Внутр'!C1807</f>
        <v>м2</v>
      </c>
      <c r="D1800" s="1018" t="n">
        <f aca="false">'Смета Внутр'!D1807</f>
        <v>0</v>
      </c>
      <c r="E1800" s="1004" t="n">
        <f aca="false">'Смета Внутр'!E1807</f>
        <v>100</v>
      </c>
      <c r="F1800" s="1004" t="n">
        <f aca="false">'Смета Внутр'!F1807</f>
        <v>0</v>
      </c>
      <c r="G1800" s="1004" t="n">
        <f aca="false">IF(E1800&gt;F1800,E1800,F1800)</f>
        <v>100</v>
      </c>
      <c r="H1800" s="1004" t="n">
        <f aca="false">'Смета Внутр'!G1807</f>
        <v>0</v>
      </c>
      <c r="I1800" s="1004" t="n">
        <f aca="false">'Смета Внутр'!H1807</f>
        <v>0</v>
      </c>
      <c r="J1800" s="1018" t="n">
        <f aca="false">'Смета Внутр'!I1807</f>
        <v>0</v>
      </c>
    </row>
    <row r="1801" customFormat="false" ht="15" hidden="false" customHeight="true" outlineLevel="0" collapsed="false">
      <c r="B1801" s="1004" t="str">
        <f aca="false">'Смета Внутр'!B1808</f>
        <v>желоб водосточный</v>
      </c>
      <c r="C1801" s="1004" t="str">
        <f aca="false">'Смета Внутр'!C1808</f>
        <v>м.п.</v>
      </c>
      <c r="D1801" s="1018" t="n">
        <f aca="false">'Смета Внутр'!D1808</f>
        <v>0</v>
      </c>
      <c r="E1801" s="1004" t="n">
        <f aca="false">'Смета Внутр'!E1808</f>
        <v>300</v>
      </c>
      <c r="F1801" s="1004" t="n">
        <f aca="false">'Смета Внутр'!F1808</f>
        <v>0</v>
      </c>
      <c r="G1801" s="1004" t="n">
        <f aca="false">IF(E1801&gt;F1801,E1801,F1801)</f>
        <v>300</v>
      </c>
      <c r="H1801" s="1004" t="n">
        <f aca="false">'Смета Внутр'!G1808</f>
        <v>0</v>
      </c>
      <c r="I1801" s="1004" t="n">
        <f aca="false">'Смета Внутр'!H1808</f>
        <v>0</v>
      </c>
      <c r="J1801" s="1018" t="n">
        <f aca="false">'Смета Внутр'!I1808</f>
        <v>0</v>
      </c>
    </row>
    <row r="1802" customFormat="false" ht="15" hidden="false" customHeight="true" outlineLevel="0" collapsed="false">
      <c r="B1802" s="1004" t="str">
        <f aca="false">'Смета Внутр'!B1809</f>
        <v>труба водосточная</v>
      </c>
      <c r="C1802" s="1004" t="str">
        <f aca="false">'Смета Внутр'!C1809</f>
        <v>м.п.</v>
      </c>
      <c r="D1802" s="1018" t="n">
        <f aca="false">'Смета Внутр'!D1809</f>
        <v>0</v>
      </c>
      <c r="E1802" s="1004" t="n">
        <f aca="false">'Смета Внутр'!E1809</f>
        <v>300</v>
      </c>
      <c r="F1802" s="1004" t="n">
        <f aca="false">'Смета Внутр'!F1809</f>
        <v>0</v>
      </c>
      <c r="G1802" s="1004" t="n">
        <f aca="false">IF(E1802&gt;F1802,E1802,F1802)</f>
        <v>300</v>
      </c>
      <c r="H1802" s="1004" t="n">
        <f aca="false">'Смета Внутр'!G1809</f>
        <v>0</v>
      </c>
      <c r="I1802" s="1004" t="n">
        <f aca="false">'Смета Внутр'!H1809</f>
        <v>0</v>
      </c>
      <c r="J1802" s="1018" t="n">
        <f aca="false">'Смета Внутр'!I1809</f>
        <v>0</v>
      </c>
    </row>
    <row r="1803" customFormat="false" ht="15" hidden="false" customHeight="true" outlineLevel="0" collapsed="false">
      <c r="B1803" s="1004" t="str">
        <f aca="false">'Смета Внутр'!B1810</f>
        <v>ендова внутр/наружн</v>
      </c>
      <c r="C1803" s="1004" t="str">
        <f aca="false">'Смета Внутр'!C1810</f>
        <v>м.п.</v>
      </c>
      <c r="D1803" s="1018" t="n">
        <f aca="false">'Смета Внутр'!D1810</f>
        <v>0</v>
      </c>
      <c r="E1803" s="1004" t="n">
        <f aca="false">'Смета Внутр'!E1810</f>
        <v>300</v>
      </c>
      <c r="F1803" s="1004" t="n">
        <f aca="false">'Смета Внутр'!F1810</f>
        <v>0</v>
      </c>
      <c r="G1803" s="1004" t="n">
        <f aca="false">IF(E1803&gt;F1803,E1803,F1803)</f>
        <v>300</v>
      </c>
      <c r="H1803" s="1004" t="n">
        <f aca="false">'Смета Внутр'!G1810</f>
        <v>0</v>
      </c>
      <c r="I1803" s="1004" t="n">
        <f aca="false">'Смета Внутр'!H1810</f>
        <v>0</v>
      </c>
      <c r="J1803" s="1018" t="n">
        <f aca="false">'Смета Внутр'!I1810</f>
        <v>0</v>
      </c>
    </row>
    <row r="1804" customFormat="false" ht="15" hidden="false" customHeight="true" outlineLevel="0" collapsed="false">
      <c r="B1804" s="1004" t="str">
        <f aca="false">'Смета Внутр'!B1811</f>
        <v>Монтаж фанеры/osb</v>
      </c>
      <c r="C1804" s="1004" t="str">
        <f aca="false">'Смета Внутр'!C1811</f>
        <v>м2</v>
      </c>
      <c r="D1804" s="1018" t="n">
        <f aca="false">'Смета Внутр'!D1811</f>
        <v>0</v>
      </c>
      <c r="E1804" s="1004" t="n">
        <f aca="false">'Смета Внутр'!E1811</f>
        <v>200</v>
      </c>
      <c r="F1804" s="1004" t="n">
        <f aca="false">'Смета Внутр'!F1811</f>
        <v>0</v>
      </c>
      <c r="G1804" s="1004" t="n">
        <f aca="false">IF(E1804&gt;F1804,E1804,F1804)</f>
        <v>200</v>
      </c>
      <c r="H1804" s="1004" t="n">
        <f aca="false">'Смета Внутр'!G1811</f>
        <v>0</v>
      </c>
      <c r="I1804" s="1004" t="n">
        <f aca="false">'Смета Внутр'!H1811</f>
        <v>0</v>
      </c>
      <c r="J1804" s="1018" t="n">
        <f aca="false">'Смета Внутр'!I1811</f>
        <v>0</v>
      </c>
    </row>
    <row r="1805" customFormat="false" ht="15" hidden="false" customHeight="true" outlineLevel="0" collapsed="false">
      <c r="B1805" s="1004" t="str">
        <f aca="false">'Смета Внутр'!B1812</f>
        <v>монтаж подкладочного ковра</v>
      </c>
      <c r="C1805" s="1004" t="str">
        <f aca="false">'Смета Внутр'!C1812</f>
        <v>м2</v>
      </c>
      <c r="D1805" s="1018" t="n">
        <f aca="false">'Смета Внутр'!D1812</f>
        <v>0</v>
      </c>
      <c r="E1805" s="1004" t="n">
        <f aca="false">'Смета Внутр'!E1812</f>
        <v>150</v>
      </c>
      <c r="F1805" s="1004" t="n">
        <f aca="false">'Смета Внутр'!F1812</f>
        <v>0</v>
      </c>
      <c r="G1805" s="1004" t="n">
        <f aca="false">IF(E1805&gt;F1805,E1805,F1805)</f>
        <v>150</v>
      </c>
      <c r="H1805" s="1004" t="n">
        <f aca="false">'Смета Внутр'!G1812</f>
        <v>0</v>
      </c>
      <c r="I1805" s="1004" t="n">
        <f aca="false">'Смета Внутр'!H1812</f>
        <v>0</v>
      </c>
      <c r="J1805" s="1018" t="n">
        <f aca="false">'Смета Внутр'!I1812</f>
        <v>0</v>
      </c>
    </row>
    <row r="1806" customFormat="false" ht="15" hidden="false" customHeight="true" outlineLevel="0" collapsed="false">
      <c r="B1806" s="1004" t="str">
        <f aca="false">'Смета Внутр'!B1813</f>
        <v>Монтаж мягкой кровли</v>
      </c>
      <c r="C1806" s="1004" t="str">
        <f aca="false">'Смета Внутр'!C1813</f>
        <v>м2</v>
      </c>
      <c r="D1806" s="1018" t="n">
        <f aca="false">'Смета Внутр'!D1813</f>
        <v>0</v>
      </c>
      <c r="E1806" s="1004" t="n">
        <f aca="false">'Смета Внутр'!E1813</f>
        <v>350</v>
      </c>
      <c r="F1806" s="1004" t="n">
        <f aca="false">'Смета Внутр'!F1813</f>
        <v>0</v>
      </c>
      <c r="G1806" s="1004" t="n">
        <f aca="false">IF(E1806&gt;F1806,E1806,F1806)</f>
        <v>350</v>
      </c>
      <c r="H1806" s="1004" t="n">
        <f aca="false">'Смета Внутр'!G1813</f>
        <v>0</v>
      </c>
      <c r="I1806" s="1004" t="n">
        <f aca="false">'Смета Внутр'!H1813</f>
        <v>0</v>
      </c>
      <c r="J1806" s="1018" t="n">
        <f aca="false">'Смета Внутр'!I1813</f>
        <v>0</v>
      </c>
    </row>
    <row r="1807" customFormat="false" ht="15" hidden="false" customHeight="true" outlineLevel="0" collapsed="false">
      <c r="B1807" s="2927" t="str">
        <f aca="false">'Смета Внутр'!B1814</f>
        <v>Итого работы</v>
      </c>
      <c r="C1807" s="2927"/>
      <c r="D1807" s="2927"/>
      <c r="E1807" s="2927"/>
      <c r="F1807" s="2927"/>
      <c r="G1807" s="2927"/>
      <c r="H1807" s="1004" t="n">
        <f aca="false">'Смета Внутр'!G1814</f>
        <v>0</v>
      </c>
      <c r="I1807" s="1004" t="n">
        <f aca="false">'Смета Внутр'!H1814</f>
        <v>0</v>
      </c>
      <c r="J1807" s="1018" t="n">
        <f aca="false">'Смета Внутр'!I1814</f>
        <v>0</v>
      </c>
    </row>
    <row r="1808" customFormat="false" ht="15" hidden="false" customHeight="true" outlineLevel="0" collapsed="false">
      <c r="B1808" s="2925" t="str">
        <f aca="false">'Смета Внутр'!B1815</f>
        <v>Кровля на террасу/веранду</v>
      </c>
      <c r="C1808" s="2925"/>
      <c r="D1808" s="2925"/>
      <c r="H1808" s="0" t="n">
        <f aca="false">'Смета Внутр'!G1815</f>
        <v>0</v>
      </c>
      <c r="I1808" s="0" t="n">
        <f aca="false">'Смета Внутр'!H1815</f>
        <v>0</v>
      </c>
      <c r="J1808" s="2926" t="n">
        <f aca="false">'Смета Внутр'!I1815</f>
        <v>0</v>
      </c>
    </row>
    <row r="1809" customFormat="false" ht="15" hidden="false" customHeight="true" outlineLevel="0" collapsed="false">
      <c r="B1809" s="2881" t="str">
        <f aca="false">'Смета Внутр'!B1816</f>
        <v>Материалы</v>
      </c>
      <c r="D1809" s="919"/>
      <c r="H1809" s="0" t="n">
        <f aca="false">'Смета Внутр'!G1816</f>
        <v>0</v>
      </c>
      <c r="I1809" s="0" t="n">
        <f aca="false">'Смета Внутр'!H1816</f>
        <v>0</v>
      </c>
      <c r="J1809" s="2926" t="n">
        <f aca="false">'Смета Внутр'!I1816</f>
        <v>0</v>
      </c>
    </row>
    <row r="1810" customFormat="false" ht="15" hidden="false" customHeight="true" outlineLevel="0" collapsed="false">
      <c r="B1810" s="1004" t="str">
        <f aca="false">'Смета Внутр'!B1817</f>
        <v>Доска сухая, 200*50мм</v>
      </c>
      <c r="C1810" s="1004" t="str">
        <f aca="false">'Смета Внутр'!C1817</f>
        <v>м3</v>
      </c>
      <c r="D1810" s="1018" t="n">
        <f aca="false">'Смета Внутр'!D1817</f>
        <v>0</v>
      </c>
      <c r="E1810" s="1004" t="n">
        <f aca="false">'Смета Внутр'!E1817</f>
        <v>9000</v>
      </c>
      <c r="F1810" s="1004" t="n">
        <f aca="false">'Смета Внутр'!F1817</f>
        <v>0</v>
      </c>
      <c r="G1810" s="1004" t="n">
        <f aca="false">IF(E1810&gt;F1810,E1810,F1810)</f>
        <v>9000</v>
      </c>
      <c r="H1810" s="1004" t="n">
        <f aca="false">'Смета Внутр'!G1817</f>
        <v>0</v>
      </c>
      <c r="I1810" s="1004" t="n">
        <f aca="false">'Смета Внутр'!H1817</f>
        <v>0</v>
      </c>
      <c r="J1810" s="1018" t="n">
        <f aca="false">'Смета Внутр'!I1817</f>
        <v>0</v>
      </c>
    </row>
    <row r="1811" customFormat="false" ht="15" hidden="false" customHeight="true" outlineLevel="0" collapsed="false">
      <c r="B1811" s="1004" t="str">
        <f aca="false">'Смета Внутр'!B1818</f>
        <v>Сосна влаж,100*25мм</v>
      </c>
      <c r="C1811" s="1004" t="str">
        <f aca="false">'Смета Внутр'!C1818</f>
        <v>м3</v>
      </c>
      <c r="D1811" s="1018" t="n">
        <f aca="false">'Смета Внутр'!D1818</f>
        <v>0</v>
      </c>
      <c r="E1811" s="1004" t="n">
        <f aca="false">'Смета Внутр'!E1818</f>
        <v>6500</v>
      </c>
      <c r="F1811" s="1004" t="n">
        <f aca="false">'Смета Внутр'!F1818</f>
        <v>0</v>
      </c>
      <c r="G1811" s="1004" t="n">
        <f aca="false">IF(E1811&gt;F1811,E1811,F1811)</f>
        <v>6500</v>
      </c>
      <c r="H1811" s="1004" t="n">
        <f aca="false">'Смета Внутр'!G1818</f>
        <v>0</v>
      </c>
      <c r="I1811" s="1004" t="n">
        <f aca="false">'Смета Внутр'!H1818</f>
        <v>0</v>
      </c>
      <c r="J1811" s="1018" t="n">
        <f aca="false">'Смета Внутр'!I1818</f>
        <v>0</v>
      </c>
    </row>
    <row r="1812" customFormat="false" ht="15" hidden="false" customHeight="true" outlineLevel="0" collapsed="false">
      <c r="B1812" s="1004" t="str">
        <f aca="false">'Смета Внутр'!B1819</f>
        <v>Доска сухая, калибр., 35*45мм</v>
      </c>
      <c r="C1812" s="1004" t="str">
        <f aca="false">'Смета Внутр'!C1819</f>
        <v>шт</v>
      </c>
      <c r="D1812" s="1018" t="n">
        <f aca="false">'Смета Внутр'!D1819</f>
        <v>0</v>
      </c>
      <c r="E1812" s="1004" t="n">
        <f aca="false">'Смета Внутр'!E1819</f>
        <v>12500</v>
      </c>
      <c r="F1812" s="1004" t="n">
        <f aca="false">'Смета Внутр'!F1819</f>
        <v>0</v>
      </c>
      <c r="G1812" s="1004" t="n">
        <f aca="false">IF(E1812&gt;F1812,E1812,F1812)</f>
        <v>12500</v>
      </c>
      <c r="H1812" s="1004" t="n">
        <f aca="false">'Смета Внутр'!G1819</f>
        <v>0</v>
      </c>
      <c r="I1812" s="1004" t="n">
        <f aca="false">'Смета Внутр'!H1819</f>
        <v>0</v>
      </c>
      <c r="J1812" s="1018" t="n">
        <f aca="false">'Смета Внутр'!I1819</f>
        <v>0</v>
      </c>
    </row>
    <row r="1813" customFormat="false" ht="15" hidden="false" customHeight="true" outlineLevel="0" collapsed="false">
      <c r="B1813" s="1004" t="str">
        <f aca="false">'Смета Внутр'!B1820</f>
        <v>нет ветроизоляции</v>
      </c>
      <c r="C1813" s="1004" t="str">
        <f aca="false">'Смета Внутр'!C1820</f>
        <v>м2</v>
      </c>
      <c r="D1813" s="1018" t="n">
        <f aca="false">'Смета Внутр'!D1820</f>
        <v>0</v>
      </c>
      <c r="E1813" s="1004" t="n">
        <f aca="false">'Смета Внутр'!E1820</f>
        <v>0</v>
      </c>
      <c r="F1813" s="1004" t="n">
        <f aca="false">'Смета Внутр'!F1820</f>
        <v>0</v>
      </c>
      <c r="G1813" s="1004" t="n">
        <f aca="false">IF(E1813&gt;F1813,E1813,F1813)</f>
        <v>0</v>
      </c>
      <c r="H1813" s="1004" t="n">
        <f aca="false">'Смета Внутр'!G1820</f>
        <v>0</v>
      </c>
      <c r="I1813" s="1004" t="n">
        <f aca="false">'Смета Внутр'!H1820</f>
        <v>0</v>
      </c>
      <c r="J1813" s="1018" t="n">
        <f aca="false">'Смета Внутр'!I1820</f>
        <v>0</v>
      </c>
    </row>
    <row r="1814" customFormat="false" ht="15" hidden="false" customHeight="true" outlineLevel="0" collapsed="false">
      <c r="B1814" s="1004" t="str">
        <f aca="false">'Смета Внутр'!B1821</f>
        <v>металлочерепица</v>
      </c>
      <c r="C1814" s="1004" t="str">
        <f aca="false">'Смета Внутр'!C1821</f>
        <v>м2</v>
      </c>
      <c r="D1814" s="1018" t="n">
        <f aca="false">'Смета Внутр'!D1821</f>
        <v>0</v>
      </c>
      <c r="E1814" s="1004" t="n">
        <f aca="false">'Смета Внутр'!E1821</f>
        <v>250</v>
      </c>
      <c r="F1814" s="1004" t="n">
        <f aca="false">'Смета Внутр'!F1821</f>
        <v>0</v>
      </c>
      <c r="G1814" s="1004" t="n">
        <f aca="false">IF(E1814&gt;F1814,E1814,F1814)</f>
        <v>250</v>
      </c>
      <c r="H1814" s="1004" t="n">
        <f aca="false">'Смета Внутр'!G1821</f>
        <v>0</v>
      </c>
      <c r="I1814" s="1004" t="n">
        <f aca="false">'Смета Внутр'!H1821</f>
        <v>0</v>
      </c>
      <c r="J1814" s="1018" t="n">
        <f aca="false">'Смета Внутр'!I1821</f>
        <v>0</v>
      </c>
    </row>
    <row r="1815" customFormat="false" ht="15" hidden="false" customHeight="true" outlineLevel="0" collapsed="false">
      <c r="B1815" s="1004" t="str">
        <f aca="false">'Смета Внутр'!B1822</f>
        <v>карнизная планка</v>
      </c>
      <c r="C1815" s="1004" t="str">
        <f aca="false">'Смета Внутр'!C1822</f>
        <v>м.п.</v>
      </c>
      <c r="D1815" s="1018" t="n">
        <f aca="false">'Смета Внутр'!D1822</f>
        <v>0</v>
      </c>
      <c r="E1815" s="1004" t="n">
        <f aca="false">'Смета Внутр'!E1822</f>
        <v>200</v>
      </c>
      <c r="F1815" s="1004" t="n">
        <f aca="false">'Смета Внутр'!F1822</f>
        <v>0</v>
      </c>
      <c r="G1815" s="1004" t="n">
        <f aca="false">IF(E1815&gt;F1815,E1815,F1815)</f>
        <v>200</v>
      </c>
      <c r="H1815" s="1004" t="n">
        <f aca="false">'Смета Внутр'!G1822</f>
        <v>0</v>
      </c>
      <c r="I1815" s="1004" t="n">
        <f aca="false">'Смета Внутр'!H1822</f>
        <v>0</v>
      </c>
      <c r="J1815" s="1018" t="n">
        <f aca="false">'Смета Внутр'!I1822</f>
        <v>0</v>
      </c>
    </row>
    <row r="1816" customFormat="false" ht="15" hidden="false" customHeight="true" outlineLevel="0" collapsed="false">
      <c r="B1816" s="1004" t="str">
        <f aca="false">'Смета Внутр'!B1823</f>
        <v>торцевая планка</v>
      </c>
      <c r="C1816" s="1004" t="str">
        <f aca="false">'Смета Внутр'!C1823</f>
        <v>м.п.</v>
      </c>
      <c r="D1816" s="1018" t="n">
        <f aca="false">'Смета Внутр'!D1823</f>
        <v>0</v>
      </c>
      <c r="E1816" s="1004" t="n">
        <f aca="false">'Смета Внутр'!E1823</f>
        <v>200</v>
      </c>
      <c r="F1816" s="1004" t="n">
        <f aca="false">'Смета Внутр'!F1823</f>
        <v>0</v>
      </c>
      <c r="G1816" s="1004" t="n">
        <f aca="false">IF(E1816&gt;F1816,E1816,F1816)</f>
        <v>200</v>
      </c>
      <c r="H1816" s="1004" t="n">
        <f aca="false">'Смета Внутр'!G1823</f>
        <v>0</v>
      </c>
      <c r="I1816" s="1004" t="n">
        <f aca="false">'Смета Внутр'!H1823</f>
        <v>0</v>
      </c>
      <c r="J1816" s="1018" t="n">
        <f aca="false">'Смета Внутр'!I1823</f>
        <v>0</v>
      </c>
    </row>
    <row r="1817" customFormat="false" ht="15" hidden="false" customHeight="true" outlineLevel="0" collapsed="false">
      <c r="B1817" s="1004" t="str">
        <f aca="false">'Смета Внутр'!B1824</f>
        <v>конек</v>
      </c>
      <c r="C1817" s="1004" t="str">
        <f aca="false">'Смета Внутр'!C1824</f>
        <v>м.п.</v>
      </c>
      <c r="D1817" s="1018" t="n">
        <f aca="false">'Смета Внутр'!D1824</f>
        <v>0</v>
      </c>
      <c r="E1817" s="1004" t="n">
        <f aca="false">'Смета Внутр'!E1824</f>
        <v>230</v>
      </c>
      <c r="F1817" s="1004" t="n">
        <f aca="false">'Смета Внутр'!F1824</f>
        <v>0</v>
      </c>
      <c r="G1817" s="1004" t="n">
        <f aca="false">IF(E1817&gt;F1817,E1817,F1817)</f>
        <v>230</v>
      </c>
      <c r="H1817" s="1004" t="n">
        <f aca="false">'Смета Внутр'!G1824</f>
        <v>0</v>
      </c>
      <c r="I1817" s="1004" t="n">
        <f aca="false">'Смета Внутр'!H1824</f>
        <v>0</v>
      </c>
      <c r="J1817" s="1018" t="n">
        <f aca="false">'Смета Внутр'!I1824</f>
        <v>0</v>
      </c>
    </row>
    <row r="1818" customFormat="false" ht="15" hidden="false" customHeight="true" outlineLevel="0" collapsed="false">
      <c r="B1818" s="1004" t="str">
        <f aca="false">'Смета Внутр'!B1825</f>
        <v>ондулин</v>
      </c>
      <c r="C1818" s="1004" t="str">
        <f aca="false">'Смета Внутр'!C1825</f>
        <v>м2</v>
      </c>
      <c r="D1818" s="1018" t="n">
        <f aca="false">'Смета Внутр'!D1825</f>
        <v>0</v>
      </c>
      <c r="E1818" s="1004" t="n">
        <f aca="false">'Смета Внутр'!E1825</f>
        <v>180</v>
      </c>
      <c r="F1818" s="1004" t="n">
        <f aca="false">'Смета Внутр'!F1825</f>
        <v>0</v>
      </c>
      <c r="G1818" s="1004" t="n">
        <f aca="false">IF(E1818&gt;F1818,E1818,F1818)</f>
        <v>180</v>
      </c>
      <c r="H1818" s="1004" t="n">
        <f aca="false">'Смета Внутр'!G1825</f>
        <v>0</v>
      </c>
      <c r="I1818" s="1004" t="n">
        <f aca="false">'Смета Внутр'!H1825</f>
        <v>0</v>
      </c>
      <c r="J1818" s="1018" t="n">
        <f aca="false">'Смета Внутр'!I1825</f>
        <v>0</v>
      </c>
    </row>
    <row r="1819" customFormat="false" ht="15" hidden="false" customHeight="true" outlineLevel="0" collapsed="false">
      <c r="B1819" s="1004" t="str">
        <f aca="false">'Смета Внутр'!B1826</f>
        <v>Карнизная планка</v>
      </c>
      <c r="C1819" s="1004" t="str">
        <f aca="false">'Смета Внутр'!C1826</f>
        <v>м.п.</v>
      </c>
      <c r="D1819" s="1018" t="n">
        <f aca="false">'Смета Внутр'!D1826</f>
        <v>0</v>
      </c>
      <c r="E1819" s="1004" t="n">
        <f aca="false">'Смета Внутр'!E1826</f>
        <v>190</v>
      </c>
      <c r="F1819" s="1004" t="n">
        <f aca="false">'Смета Внутр'!F1826</f>
        <v>0</v>
      </c>
      <c r="G1819" s="1004" t="n">
        <f aca="false">IF(E1819&gt;F1819,E1819,F1819)</f>
        <v>190</v>
      </c>
      <c r="H1819" s="1004" t="n">
        <f aca="false">'Смета Внутр'!G1826</f>
        <v>0</v>
      </c>
      <c r="I1819" s="1004" t="n">
        <f aca="false">'Смета Внутр'!H1826</f>
        <v>0</v>
      </c>
      <c r="J1819" s="1018" t="n">
        <f aca="false">'Смета Внутр'!I1826</f>
        <v>0</v>
      </c>
    </row>
    <row r="1820" customFormat="false" ht="15" hidden="false" customHeight="true" outlineLevel="0" collapsed="false">
      <c r="B1820" s="1004" t="str">
        <f aca="false">'Смета Внутр'!B1827</f>
        <v>Торцевая планка</v>
      </c>
      <c r="C1820" s="1004" t="str">
        <f aca="false">'Смета Внутр'!C1827</f>
        <v>м.п.</v>
      </c>
      <c r="D1820" s="1018" t="n">
        <f aca="false">'Смета Внутр'!D1827</f>
        <v>0</v>
      </c>
      <c r="E1820" s="1004" t="n">
        <f aca="false">'Смета Внутр'!E1827</f>
        <v>190</v>
      </c>
      <c r="F1820" s="1004" t="n">
        <f aca="false">'Смета Внутр'!F1827</f>
        <v>0</v>
      </c>
      <c r="G1820" s="1004" t="n">
        <f aca="false">IF(E1820&gt;F1820,E1820,F1820)</f>
        <v>190</v>
      </c>
      <c r="H1820" s="1004" t="n">
        <f aca="false">'Смета Внутр'!G1827</f>
        <v>0</v>
      </c>
      <c r="I1820" s="1004" t="n">
        <f aca="false">'Смета Внутр'!H1827</f>
        <v>0</v>
      </c>
      <c r="J1820" s="1018" t="n">
        <f aca="false">'Смета Внутр'!I1827</f>
        <v>0</v>
      </c>
    </row>
    <row r="1821" customFormat="false" ht="15" hidden="false" customHeight="true" outlineLevel="0" collapsed="false">
      <c r="B1821" s="1004" t="str">
        <f aca="false">'Смета Внутр'!B1828</f>
        <v>Конек</v>
      </c>
      <c r="C1821" s="1004" t="str">
        <f aca="false">'Смета Внутр'!C1828</f>
        <v>м.п.</v>
      </c>
      <c r="D1821" s="1018" t="n">
        <f aca="false">'Смета Внутр'!D1828</f>
        <v>0</v>
      </c>
      <c r="E1821" s="1004" t="n">
        <f aca="false">'Смета Внутр'!E1828</f>
        <v>200</v>
      </c>
      <c r="F1821" s="1004" t="n">
        <f aca="false">'Смета Внутр'!F1828</f>
        <v>0</v>
      </c>
      <c r="G1821" s="1004" t="n">
        <f aca="false">IF(E1821&gt;F1821,E1821,F1821)</f>
        <v>200</v>
      </c>
      <c r="H1821" s="1004" t="n">
        <f aca="false">'Смета Внутр'!G1828</f>
        <v>0</v>
      </c>
      <c r="I1821" s="1004" t="n">
        <f aca="false">'Смета Внутр'!H1828</f>
        <v>0</v>
      </c>
      <c r="J1821" s="1018" t="n">
        <f aca="false">'Смета Внутр'!I1828</f>
        <v>0</v>
      </c>
    </row>
    <row r="1822" customFormat="false" ht="15" hidden="false" customHeight="true" outlineLevel="0" collapsed="false">
      <c r="B1822" s="1004" t="str">
        <f aca="false">'Смета Внутр'!B1829</f>
        <v>Ендова нижняя</v>
      </c>
      <c r="C1822" s="1004" t="str">
        <f aca="false">'Смета Внутр'!C1829</f>
        <v>м.п.</v>
      </c>
      <c r="D1822" s="1018" t="n">
        <f aca="false">'Смета Внутр'!D1829</f>
        <v>0</v>
      </c>
      <c r="E1822" s="1004" t="n">
        <f aca="false">'Смета Внутр'!E1829</f>
        <v>160</v>
      </c>
      <c r="F1822" s="1004" t="n">
        <f aca="false">'Смета Внутр'!F1829</f>
        <v>0</v>
      </c>
      <c r="G1822" s="1004" t="n">
        <f aca="false">IF(E1822&gt;F1822,E1822,F1822)</f>
        <v>160</v>
      </c>
      <c r="H1822" s="1004" t="n">
        <f aca="false">'Смета Внутр'!G1829</f>
        <v>0</v>
      </c>
      <c r="I1822" s="1004" t="n">
        <f aca="false">'Смета Внутр'!H1829</f>
        <v>0</v>
      </c>
      <c r="J1822" s="1018" t="n">
        <f aca="false">'Смета Внутр'!I1829</f>
        <v>0</v>
      </c>
    </row>
    <row r="1823" customFormat="false" ht="15" hidden="false" customHeight="true" outlineLevel="0" collapsed="false">
      <c r="B1823" s="1004" t="str">
        <f aca="false">'Смета Внутр'!B1830</f>
        <v>Ендова верхняя</v>
      </c>
      <c r="C1823" s="1004" t="str">
        <f aca="false">'Смета Внутр'!C1830</f>
        <v>м.п.</v>
      </c>
      <c r="D1823" s="1018" t="n">
        <f aca="false">'Смета Внутр'!D1830</f>
        <v>0</v>
      </c>
      <c r="E1823" s="1004" t="n">
        <f aca="false">'Смета Внутр'!E1830</f>
        <v>190</v>
      </c>
      <c r="F1823" s="1004" t="n">
        <f aca="false">'Смета Внутр'!F1830</f>
        <v>0</v>
      </c>
      <c r="G1823" s="1004" t="n">
        <f aca="false">IF(E1823&gt;F1823,E1823,F1823)</f>
        <v>190</v>
      </c>
      <c r="H1823" s="1004" t="n">
        <f aca="false">'Смета Внутр'!G1830</f>
        <v>0</v>
      </c>
      <c r="I1823" s="1004" t="n">
        <f aca="false">'Смета Внутр'!H1830</f>
        <v>0</v>
      </c>
      <c r="J1823" s="1018" t="n">
        <f aca="false">'Смета Внутр'!I1830</f>
        <v>0</v>
      </c>
    </row>
    <row r="1824" customFormat="false" ht="15" hidden="false" customHeight="true" outlineLevel="0" collapsed="false">
      <c r="B1824" s="1004" t="str">
        <f aca="false">'Смета Внутр'!B1831</f>
        <v>Планка примыкания</v>
      </c>
      <c r="C1824" s="1004" t="str">
        <f aca="false">'Смета Внутр'!C1831</f>
        <v>м.п.</v>
      </c>
      <c r="D1824" s="1018" t="n">
        <f aca="false">'Смета Внутр'!D1831</f>
        <v>0</v>
      </c>
      <c r="E1824" s="1004" t="n">
        <f aca="false">'Смета Внутр'!E1831</f>
        <v>190</v>
      </c>
      <c r="F1824" s="1004" t="n">
        <f aca="false">'Смета Внутр'!F1831</f>
        <v>0</v>
      </c>
      <c r="G1824" s="1004" t="n">
        <f aca="false">IF(E1824&gt;F1824,E1824,F1824)</f>
        <v>190</v>
      </c>
      <c r="H1824" s="1004" t="n">
        <f aca="false">'Смета Внутр'!G1831</f>
        <v>0</v>
      </c>
      <c r="I1824" s="1004" t="n">
        <f aca="false">'Смета Внутр'!H1831</f>
        <v>0</v>
      </c>
      <c r="J1824" s="1018" t="n">
        <f aca="false">'Смета Внутр'!I1831</f>
        <v>0</v>
      </c>
    </row>
    <row r="1825" customFormat="false" ht="15" hidden="false" customHeight="true" outlineLevel="0" collapsed="false">
      <c r="B1825" s="1004" t="str">
        <f aca="false">'Смета Внутр'!B1832</f>
        <v>Крепеж для ондулина</v>
      </c>
      <c r="C1825" s="1004" t="str">
        <f aca="false">'Смета Внутр'!C1832</f>
        <v>шт</v>
      </c>
      <c r="D1825" s="1018" t="n">
        <f aca="false">'Смета Внутр'!D1832</f>
        <v>0</v>
      </c>
      <c r="E1825" s="1004" t="n">
        <f aca="false">'Смета Внутр'!E1832</f>
        <v>4.5</v>
      </c>
      <c r="F1825" s="1004" t="n">
        <f aca="false">'Смета Внутр'!F1832</f>
        <v>0</v>
      </c>
      <c r="G1825" s="1004" t="n">
        <f aca="false">IF(E1825&gt;F1825,E1825,F1825)</f>
        <v>4.5</v>
      </c>
      <c r="H1825" s="1004" t="n">
        <f aca="false">'Смета Внутр'!G1832</f>
        <v>0</v>
      </c>
      <c r="I1825" s="1004" t="n">
        <f aca="false">'Смета Внутр'!H1832</f>
        <v>0</v>
      </c>
      <c r="J1825" s="1018" t="n">
        <f aca="false">'Смета Внутр'!I1832</f>
        <v>0</v>
      </c>
    </row>
    <row r="1826" customFormat="false" ht="15" hidden="false" customHeight="true" outlineLevel="0" collapsed="false">
      <c r="B1826" s="1004" t="str">
        <f aca="false">'Смета Внутр'!B1833</f>
        <v>нет</v>
      </c>
      <c r="C1826" s="1004" t="str">
        <f aca="false">'Смета Внутр'!C1833</f>
        <v>м2</v>
      </c>
      <c r="D1826" s="1018" t="n">
        <f aca="false">'Смета Внутр'!D1833</f>
        <v>21.4120474499754</v>
      </c>
      <c r="E1826" s="1004" t="n">
        <f aca="false">'Смета Внутр'!E1833</f>
        <v>0</v>
      </c>
      <c r="F1826" s="1004" t="n">
        <f aca="false">'Смета Внутр'!F1833</f>
        <v>0</v>
      </c>
      <c r="G1826" s="1004" t="n">
        <f aca="false">IF(E1826&gt;F1826,E1826,F1826)</f>
        <v>0</v>
      </c>
      <c r="H1826" s="1004" t="n">
        <f aca="false">'Смета Внутр'!G1833</f>
        <v>0</v>
      </c>
      <c r="I1826" s="1004" t="n">
        <f aca="false">'Смета Внутр'!H1833</f>
        <v>0</v>
      </c>
      <c r="J1826" s="1018" t="n">
        <f aca="false">'Смета Внутр'!I1833</f>
        <v>0</v>
      </c>
    </row>
    <row r="1827" customFormat="false" ht="15" hidden="false" customHeight="true" outlineLevel="0" collapsed="false">
      <c r="B1827" s="1004" t="str">
        <f aca="false">'Смета Внутр'!B1834</f>
        <v>Рядовая черепица</v>
      </c>
      <c r="C1827" s="1004" t="str">
        <f aca="false">'Смета Внутр'!C1834</f>
        <v>м2</v>
      </c>
      <c r="D1827" s="1018" t="n">
        <f aca="false">'Смета Внутр'!D1834</f>
        <v>0</v>
      </c>
      <c r="E1827" s="1004" t="n">
        <f aca="false">'Смета Внутр'!E1834</f>
        <v>360</v>
      </c>
      <c r="F1827" s="1004" t="n">
        <f aca="false">'Смета Внутр'!F1834</f>
        <v>0</v>
      </c>
      <c r="G1827" s="1004" t="n">
        <f aca="false">IF(E1827&gt;F1827,E1827,F1827)</f>
        <v>360</v>
      </c>
      <c r="H1827" s="1004" t="n">
        <f aca="false">'Смета Внутр'!G1834</f>
        <v>0</v>
      </c>
      <c r="I1827" s="1004" t="n">
        <f aca="false">'Смета Внутр'!H1834</f>
        <v>0</v>
      </c>
      <c r="J1827" s="1018" t="n">
        <f aca="false">'Смета Внутр'!I1834</f>
        <v>0</v>
      </c>
    </row>
    <row r="1828" customFormat="false" ht="15" hidden="false" customHeight="true" outlineLevel="0" collapsed="false">
      <c r="B1828" s="1004" t="str">
        <f aca="false">'Смета Внутр'!B1835</f>
        <v>Металл оцинк защита (карниз)</v>
      </c>
      <c r="C1828" s="1004" t="str">
        <f aca="false">'Смета Внутр'!C1835</f>
        <v>м.п.</v>
      </c>
      <c r="D1828" s="1018" t="n">
        <f aca="false">'Смета Внутр'!D1835</f>
        <v>0</v>
      </c>
      <c r="E1828" s="1004" t="n">
        <f aca="false">'Смета Внутр'!E1835</f>
        <v>200</v>
      </c>
      <c r="F1828" s="1004" t="n">
        <f aca="false">'Смета Внутр'!F1835</f>
        <v>0</v>
      </c>
      <c r="G1828" s="1004" t="n">
        <f aca="false">IF(E1828&gt;F1828,E1828,F1828)</f>
        <v>200</v>
      </c>
      <c r="H1828" s="1004" t="n">
        <f aca="false">'Смета Внутр'!G1835</f>
        <v>0</v>
      </c>
      <c r="I1828" s="1004" t="n">
        <f aca="false">'Смета Внутр'!H1835</f>
        <v>0</v>
      </c>
      <c r="J1828" s="1018" t="n">
        <f aca="false">'Смета Внутр'!I1835</f>
        <v>0</v>
      </c>
    </row>
    <row r="1829" customFormat="false" ht="15" hidden="false" customHeight="true" outlineLevel="0" collapsed="false">
      <c r="B1829" s="1004" t="str">
        <f aca="false">'Смета Внутр'!B1836</f>
        <v>Подкладочный ковер</v>
      </c>
      <c r="C1829" s="1004" t="str">
        <f aca="false">'Смета Внутр'!C1836</f>
        <v>м.п.</v>
      </c>
      <c r="D1829" s="1018" t="n">
        <f aca="false">'Смета Внутр'!D1836</f>
        <v>0</v>
      </c>
      <c r="E1829" s="1004" t="n">
        <f aca="false">'Смета Внутр'!E1836</f>
        <v>220</v>
      </c>
      <c r="F1829" s="1004" t="n">
        <f aca="false">'Смета Внутр'!F1836</f>
        <v>0</v>
      </c>
      <c r="G1829" s="1004" t="n">
        <f aca="false">IF(E1829&gt;F1829,E1829,F1829)</f>
        <v>220</v>
      </c>
      <c r="H1829" s="1004" t="n">
        <f aca="false">'Смета Внутр'!G1836</f>
        <v>0</v>
      </c>
      <c r="I1829" s="1004" t="n">
        <f aca="false">'Смета Внутр'!H1836</f>
        <v>0</v>
      </c>
      <c r="J1829" s="1018" t="n">
        <f aca="false">'Смета Внутр'!I1836</f>
        <v>0</v>
      </c>
    </row>
    <row r="1830" customFormat="false" ht="15" hidden="false" customHeight="true" outlineLevel="0" collapsed="false">
      <c r="B1830" s="1004" t="str">
        <f aca="false">'Смета Внутр'!B1837</f>
        <v>Карнизная самоклеющаяся черепица</v>
      </c>
      <c r="C1830" s="1004" t="str">
        <f aca="false">'Смета Внутр'!C1837</f>
        <v>м.п.</v>
      </c>
      <c r="D1830" s="1018" t="n">
        <f aca="false">'Смета Внутр'!D1837</f>
        <v>0</v>
      </c>
      <c r="E1830" s="1004" t="n">
        <f aca="false">'Смета Внутр'!E1837</f>
        <v>220</v>
      </c>
      <c r="F1830" s="1004" t="n">
        <f aca="false">'Смета Внутр'!F1837</f>
        <v>0</v>
      </c>
      <c r="G1830" s="1004" t="n">
        <f aca="false">IF(E1830&gt;F1830,E1830,F1830)</f>
        <v>220</v>
      </c>
      <c r="H1830" s="1004" t="n">
        <f aca="false">'Смета Внутр'!G1837</f>
        <v>0</v>
      </c>
      <c r="I1830" s="1004" t="n">
        <f aca="false">'Смета Внутр'!H1837</f>
        <v>0</v>
      </c>
      <c r="J1830" s="1018" t="n">
        <f aca="false">'Смета Внутр'!I1837</f>
        <v>0</v>
      </c>
    </row>
    <row r="1831" customFormat="false" ht="15" hidden="false" customHeight="true" outlineLevel="0" collapsed="false">
      <c r="B1831" s="1004" t="str">
        <f aca="false">'Смета Внутр'!B1838</f>
        <v>Спец ковер ендова нижняя</v>
      </c>
      <c r="C1831" s="1004" t="str">
        <f aca="false">'Смета Внутр'!C1838</f>
        <v>м.п.</v>
      </c>
      <c r="D1831" s="1018" t="n">
        <f aca="false">'Смета Внутр'!D1838</f>
        <v>0</v>
      </c>
      <c r="E1831" s="1004" t="n">
        <f aca="false">'Смета Внутр'!E1838</f>
        <v>200</v>
      </c>
      <c r="F1831" s="1004" t="n">
        <f aca="false">'Смета Внутр'!F1838</f>
        <v>0</v>
      </c>
      <c r="G1831" s="1004" t="n">
        <f aca="false">IF(E1831&gt;F1831,E1831,F1831)</f>
        <v>200</v>
      </c>
      <c r="H1831" s="1004" t="n">
        <f aca="false">'Смета Внутр'!G1838</f>
        <v>0</v>
      </c>
      <c r="I1831" s="1004" t="n">
        <f aca="false">'Смета Внутр'!H1838</f>
        <v>0</v>
      </c>
      <c r="J1831" s="1018" t="n">
        <f aca="false">'Смета Внутр'!I1838</f>
        <v>0</v>
      </c>
    </row>
    <row r="1832" customFormat="false" ht="15" hidden="false" customHeight="true" outlineLevel="0" collapsed="false">
      <c r="B1832" s="1004" t="str">
        <f aca="false">'Смета Внутр'!B1839</f>
        <v>Коньковой элемент</v>
      </c>
      <c r="C1832" s="1004" t="str">
        <f aca="false">'Смета Внутр'!C1839</f>
        <v>м.п.</v>
      </c>
      <c r="D1832" s="1018" t="n">
        <f aca="false">'Смета Внутр'!D1839</f>
        <v>0</v>
      </c>
      <c r="E1832" s="1004" t="n">
        <f aca="false">'Смета Внутр'!E1839</f>
        <v>250</v>
      </c>
      <c r="F1832" s="1004" t="n">
        <f aca="false">'Смета Внутр'!F1839</f>
        <v>0</v>
      </c>
      <c r="G1832" s="1004" t="n">
        <f aca="false">IF(E1832&gt;F1832,E1832,F1832)</f>
        <v>250</v>
      </c>
      <c r="H1832" s="1004" t="n">
        <f aca="false">'Смета Внутр'!G1839</f>
        <v>0</v>
      </c>
      <c r="I1832" s="1004" t="n">
        <f aca="false">'Смета Внутр'!H1839</f>
        <v>0</v>
      </c>
      <c r="J1832" s="1018" t="n">
        <f aca="false">'Смета Внутр'!I1839</f>
        <v>0</v>
      </c>
    </row>
    <row r="1833" customFormat="false" ht="15" hidden="false" customHeight="true" outlineLevel="0" collapsed="false">
      <c r="B1833" s="1004" t="str">
        <f aca="false">'Смета Внутр'!B1840</f>
        <v>Планка премыкания</v>
      </c>
      <c r="C1833" s="1004" t="str">
        <f aca="false">'Смета Внутр'!C1840</f>
        <v>м.п.</v>
      </c>
      <c r="D1833" s="1018" t="n">
        <f aca="false">'Смета Внутр'!D1840</f>
        <v>0</v>
      </c>
      <c r="E1833" s="1004" t="n">
        <f aca="false">'Смета Внутр'!E1840</f>
        <v>200</v>
      </c>
      <c r="F1833" s="1004" t="n">
        <f aca="false">'Смета Внутр'!F1840</f>
        <v>0</v>
      </c>
      <c r="G1833" s="1004" t="n">
        <f aca="false">IF(E1833&gt;F1833,E1833,F1833)</f>
        <v>200</v>
      </c>
      <c r="H1833" s="1004" t="n">
        <f aca="false">'Смета Внутр'!G1840</f>
        <v>0</v>
      </c>
      <c r="I1833" s="1004" t="n">
        <f aca="false">'Смета Внутр'!H1840</f>
        <v>0</v>
      </c>
      <c r="J1833" s="1018" t="n">
        <f aca="false">'Смета Внутр'!I1840</f>
        <v>0</v>
      </c>
    </row>
    <row r="1834" customFormat="false" ht="15" hidden="false" customHeight="true" outlineLevel="0" collapsed="false">
      <c r="B1834" s="1004" t="str">
        <f aca="false">'Смета Внутр'!B1841</f>
        <v>Гвозди для крепления подкладочного ковра</v>
      </c>
      <c r="C1834" s="1004" t="str">
        <f aca="false">'Смета Внутр'!C1841</f>
        <v>шт</v>
      </c>
      <c r="D1834" s="1018" t="n">
        <f aca="false">'Смета Внутр'!D1841</f>
        <v>0</v>
      </c>
      <c r="E1834" s="1004" t="n">
        <f aca="false">'Смета Внутр'!E1841</f>
        <v>0.012</v>
      </c>
      <c r="F1834" s="1004" t="n">
        <f aca="false">'Смета Внутр'!F1841</f>
        <v>0</v>
      </c>
      <c r="G1834" s="1004" t="n">
        <f aca="false">IF(E1834&gt;F1834,E1834,F1834)</f>
        <v>0.012</v>
      </c>
      <c r="H1834" s="1004" t="n">
        <f aca="false">'Смета Внутр'!G1841</f>
        <v>0</v>
      </c>
      <c r="I1834" s="1004" t="n">
        <f aca="false">'Смета Внутр'!H1841</f>
        <v>0</v>
      </c>
      <c r="J1834" s="1018" t="n">
        <f aca="false">'Смета Внутр'!I1841</f>
        <v>0</v>
      </c>
    </row>
    <row r="1835" customFormat="false" ht="15" hidden="false" customHeight="true" outlineLevel="0" collapsed="false">
      <c r="B1835" s="1004" t="str">
        <f aca="false">'Смета Внутр'!B1842</f>
        <v>Гвозди для крепления черепицы</v>
      </c>
      <c r="C1835" s="1004" t="str">
        <f aca="false">'Смета Внутр'!C1842</f>
        <v>шт</v>
      </c>
      <c r="D1835" s="1018" t="n">
        <f aca="false">'Смета Внутр'!D1842</f>
        <v>0</v>
      </c>
      <c r="E1835" s="1004" t="n">
        <f aca="false">'Смета Внутр'!E1842</f>
        <v>0.25</v>
      </c>
      <c r="F1835" s="1004" t="n">
        <f aca="false">'Смета Внутр'!F1842</f>
        <v>0</v>
      </c>
      <c r="G1835" s="1004" t="n">
        <f aca="false">IF(E1835&gt;F1835,E1835,F1835)</f>
        <v>0.25</v>
      </c>
      <c r="H1835" s="1004" t="n">
        <f aca="false">'Смета Внутр'!G1842</f>
        <v>0</v>
      </c>
      <c r="I1835" s="1004" t="n">
        <f aca="false">'Смета Внутр'!H1842</f>
        <v>0</v>
      </c>
      <c r="J1835" s="1018" t="n">
        <f aca="false">'Смета Внутр'!I1842</f>
        <v>0</v>
      </c>
    </row>
    <row r="1836" customFormat="false" ht="15" hidden="false" customHeight="true" outlineLevel="0" collapsed="false">
      <c r="B1836" s="1004" t="str">
        <f aca="false">'Смета Внутр'!B1843</f>
        <v>Клей для монтажа черепицы</v>
      </c>
      <c r="C1836" s="1004" t="str">
        <f aca="false">'Смета Внутр'!C1843</f>
        <v>кг</v>
      </c>
      <c r="D1836" s="1018" t="n">
        <f aca="false">'Смета Внутр'!D1843</f>
        <v>0</v>
      </c>
      <c r="E1836" s="1004" t="n">
        <f aca="false">'Смета Внутр'!E1843</f>
        <v>250</v>
      </c>
      <c r="F1836" s="1004" t="n">
        <f aca="false">'Смета Внутр'!F1843</f>
        <v>0</v>
      </c>
      <c r="G1836" s="1004" t="n">
        <f aca="false">IF(E1836&gt;F1836,E1836,F1836)</f>
        <v>250</v>
      </c>
      <c r="H1836" s="1004" t="n">
        <f aca="false">'Смета Внутр'!G1843</f>
        <v>0</v>
      </c>
      <c r="I1836" s="1004" t="n">
        <f aca="false">'Смета Внутр'!H1843</f>
        <v>0</v>
      </c>
      <c r="J1836" s="1018" t="n">
        <f aca="false">'Смета Внутр'!I1843</f>
        <v>0</v>
      </c>
    </row>
    <row r="1837" customFormat="false" ht="15" hidden="false" customHeight="true" outlineLevel="0" collapsed="false">
      <c r="B1837" s="1004" t="str">
        <f aca="false">'Смета Внутр'!B1844</f>
        <v>желоб</v>
      </c>
      <c r="C1837" s="1004" t="str">
        <f aca="false">'Смета Внутр'!C1844</f>
        <v>м.п</v>
      </c>
      <c r="D1837" s="1018" t="n">
        <f aca="false">'Смета Внутр'!D1844</f>
        <v>7.6</v>
      </c>
      <c r="E1837" s="1004" t="n">
        <f aca="false">'Смета Внутр'!E1844</f>
        <v>300</v>
      </c>
      <c r="F1837" s="1004" t="n">
        <f aca="false">'Смета Внутр'!F1844</f>
        <v>0</v>
      </c>
      <c r="G1837" s="1004" t="n">
        <f aca="false">IF(E1837&gt;F1837,E1837,F1837)</f>
        <v>300</v>
      </c>
      <c r="H1837" s="1004" t="n">
        <f aca="false">'Смета Внутр'!G1844</f>
        <v>2280</v>
      </c>
      <c r="I1837" s="1004" t="n">
        <f aca="false">'Смета Внутр'!H1844</f>
        <v>0</v>
      </c>
      <c r="J1837" s="1018" t="n">
        <f aca="false">'Смета Внутр'!I1844</f>
        <v>0</v>
      </c>
    </row>
    <row r="1838" customFormat="false" ht="15" hidden="false" customHeight="true" outlineLevel="0" collapsed="false">
      <c r="B1838" s="1004" t="str">
        <f aca="false">'Смета Внутр'!B1845</f>
        <v>отвод</v>
      </c>
      <c r="C1838" s="1004" t="str">
        <f aca="false">'Смета Внутр'!C1845</f>
        <v>шт</v>
      </c>
      <c r="D1838" s="1018" t="n">
        <f aca="false">'Смета Внутр'!D1845</f>
        <v>0</v>
      </c>
      <c r="E1838" s="1004" t="n">
        <f aca="false">'Смета Внутр'!E1845</f>
        <v>250</v>
      </c>
      <c r="F1838" s="1004" t="n">
        <f aca="false">'Смета Внутр'!F1845</f>
        <v>0</v>
      </c>
      <c r="G1838" s="1004" t="n">
        <f aca="false">IF(E1838&gt;F1838,E1838,F1838)</f>
        <v>250</v>
      </c>
      <c r="H1838" s="1004" t="n">
        <f aca="false">'Смета Внутр'!G1845</f>
        <v>0</v>
      </c>
      <c r="I1838" s="1004" t="n">
        <f aca="false">'Смета Внутр'!H1845</f>
        <v>0</v>
      </c>
      <c r="J1838" s="1018" t="n">
        <f aca="false">'Смета Внутр'!I1845</f>
        <v>0</v>
      </c>
    </row>
    <row r="1839" customFormat="false" ht="15" hidden="false" customHeight="true" outlineLevel="0" collapsed="false">
      <c r="B1839" s="1004" t="str">
        <f aca="false">'Смета Внутр'!B1846</f>
        <v>труба водосточная</v>
      </c>
      <c r="C1839" s="1004" t="str">
        <f aca="false">'Смета Внутр'!C1846</f>
        <v>м.п.</v>
      </c>
      <c r="D1839" s="1018" t="n">
        <f aca="false">'Смета Внутр'!D1846</f>
        <v>3.7</v>
      </c>
      <c r="E1839" s="1004" t="n">
        <f aca="false">'Смета Внутр'!E1846</f>
        <v>300</v>
      </c>
      <c r="F1839" s="1004" t="n">
        <f aca="false">'Смета Внутр'!F1846</f>
        <v>0</v>
      </c>
      <c r="G1839" s="1004" t="n">
        <f aca="false">IF(E1839&gt;F1839,E1839,F1839)</f>
        <v>300</v>
      </c>
      <c r="H1839" s="1004" t="n">
        <f aca="false">'Смета Внутр'!G1846</f>
        <v>1110</v>
      </c>
      <c r="I1839" s="1004" t="n">
        <f aca="false">'Смета Внутр'!H1846</f>
        <v>0</v>
      </c>
      <c r="J1839" s="1018" t="n">
        <f aca="false">'Смета Внутр'!I1846</f>
        <v>0</v>
      </c>
    </row>
    <row r="1840" customFormat="false" ht="15" hidden="false" customHeight="true" outlineLevel="0" collapsed="false">
      <c r="B1840" s="1004" t="str">
        <f aca="false">'Смета Внутр'!B1847</f>
        <v>заглушка для желоба</v>
      </c>
      <c r="C1840" s="1004" t="str">
        <f aca="false">'Смета Внутр'!C1847</f>
        <v>шт</v>
      </c>
      <c r="D1840" s="1018" t="n">
        <f aca="false">'Смета Внутр'!D1847</f>
        <v>0</v>
      </c>
      <c r="E1840" s="1004" t="n">
        <f aca="false">'Смета Внутр'!E1847</f>
        <v>190</v>
      </c>
      <c r="F1840" s="1004" t="n">
        <f aca="false">'Смета Внутр'!F1847</f>
        <v>0</v>
      </c>
      <c r="G1840" s="1004" t="n">
        <f aca="false">IF(E1840&gt;F1840,E1840,F1840)</f>
        <v>190</v>
      </c>
      <c r="H1840" s="1004" t="n">
        <f aca="false">'Смета Внутр'!G1847</f>
        <v>0</v>
      </c>
      <c r="I1840" s="1004" t="n">
        <f aca="false">'Смета Внутр'!H1847</f>
        <v>0</v>
      </c>
      <c r="J1840" s="1018" t="n">
        <f aca="false">'Смета Внутр'!I1847</f>
        <v>0</v>
      </c>
    </row>
    <row r="1841" customFormat="false" ht="15" hidden="false" customHeight="true" outlineLevel="0" collapsed="false">
      <c r="B1841" s="1004" t="str">
        <f aca="false">'Смета Внутр'!B1848</f>
        <v>соеденитель для желоба</v>
      </c>
      <c r="C1841" s="1004" t="str">
        <f aca="false">'Смета Внутр'!C1848</f>
        <v>шт</v>
      </c>
      <c r="D1841" s="1018" t="n">
        <f aca="false">'Смета Внутр'!D1848</f>
        <v>0</v>
      </c>
      <c r="E1841" s="1004" t="n">
        <f aca="false">'Смета Внутр'!E1848</f>
        <v>180</v>
      </c>
      <c r="F1841" s="1004" t="n">
        <f aca="false">'Смета Внутр'!F1848</f>
        <v>0</v>
      </c>
      <c r="G1841" s="1004" t="n">
        <f aca="false">IF(E1841&gt;F1841,E1841,F1841)</f>
        <v>180</v>
      </c>
      <c r="H1841" s="1004" t="n">
        <f aca="false">'Смета Внутр'!G1848</f>
        <v>0</v>
      </c>
      <c r="I1841" s="1004" t="n">
        <f aca="false">'Смета Внутр'!H1848</f>
        <v>0</v>
      </c>
      <c r="J1841" s="1018" t="n">
        <f aca="false">'Смета Внутр'!I1848</f>
        <v>0</v>
      </c>
    </row>
    <row r="1842" customFormat="false" ht="15" hidden="false" customHeight="true" outlineLevel="0" collapsed="false">
      <c r="B1842" s="1004" t="str">
        <f aca="false">'Смета Внутр'!B1849</f>
        <v>кронштейн для желоба</v>
      </c>
      <c r="C1842" s="1004" t="str">
        <f aca="false">'Смета Внутр'!C1849</f>
        <v>шт</v>
      </c>
      <c r="D1842" s="1018" t="n">
        <f aca="false">'Смета Внутр'!D1849</f>
        <v>0</v>
      </c>
      <c r="E1842" s="1004" t="n">
        <f aca="false">'Смета Внутр'!E1849</f>
        <v>130</v>
      </c>
      <c r="F1842" s="1004" t="n">
        <f aca="false">'Смета Внутр'!F1849</f>
        <v>0</v>
      </c>
      <c r="G1842" s="1004" t="n">
        <f aca="false">IF(E1842&gt;F1842,E1842,F1842)</f>
        <v>130</v>
      </c>
      <c r="H1842" s="1004" t="n">
        <f aca="false">'Смета Внутр'!G1849</f>
        <v>0</v>
      </c>
      <c r="I1842" s="1004" t="n">
        <f aca="false">'Смета Внутр'!H1849</f>
        <v>0</v>
      </c>
      <c r="J1842" s="1018" t="n">
        <f aca="false">'Смета Внутр'!I1849</f>
        <v>0</v>
      </c>
    </row>
    <row r="1843" customFormat="false" ht="15" hidden="false" customHeight="true" outlineLevel="0" collapsed="false">
      <c r="B1843" s="1004" t="str">
        <f aca="false">'Смета Внутр'!B1850</f>
        <v>переход из желоба в трубу</v>
      </c>
      <c r="C1843" s="1004" t="str">
        <f aca="false">'Смета Внутр'!C1850</f>
        <v>шт</v>
      </c>
      <c r="D1843" s="1018" t="n">
        <f aca="false">'Смета Внутр'!D1850</f>
        <v>0</v>
      </c>
      <c r="E1843" s="1004" t="n">
        <f aca="false">'Смета Внутр'!E1850</f>
        <v>350</v>
      </c>
      <c r="F1843" s="1004" t="n">
        <f aca="false">'Смета Внутр'!F1850</f>
        <v>0</v>
      </c>
      <c r="G1843" s="1004" t="n">
        <f aca="false">IF(E1843&gt;F1843,E1843,F1843)</f>
        <v>350</v>
      </c>
      <c r="H1843" s="1004" t="n">
        <f aca="false">'Смета Внутр'!G1850</f>
        <v>0</v>
      </c>
      <c r="I1843" s="1004" t="n">
        <f aca="false">'Смета Внутр'!H1850</f>
        <v>0</v>
      </c>
      <c r="J1843" s="1018" t="n">
        <f aca="false">'Смета Внутр'!I1850</f>
        <v>0</v>
      </c>
    </row>
    <row r="1844" customFormat="false" ht="15" hidden="false" customHeight="true" outlineLevel="0" collapsed="false">
      <c r="B1844" s="1004" t="str">
        <f aca="false">'Смета Внутр'!B1851</f>
        <v>лента дельта мульти бэнд</v>
      </c>
      <c r="C1844" s="1004" t="str">
        <f aca="false">'Смета Внутр'!C1851</f>
        <v>шт</v>
      </c>
      <c r="D1844" s="1018" t="n">
        <f aca="false">'Смета Внутр'!D1851</f>
        <v>0</v>
      </c>
      <c r="E1844" s="1004" t="n">
        <f aca="false">'Смета Внутр'!E1851</f>
        <v>1200</v>
      </c>
      <c r="F1844" s="1004" t="n">
        <f aca="false">'Смета Внутр'!F1851</f>
        <v>0</v>
      </c>
      <c r="G1844" s="1004" t="n">
        <f aca="false">IF(E1844&gt;F1844,E1844,F1844)</f>
        <v>1200</v>
      </c>
      <c r="H1844" s="1004" t="n">
        <f aca="false">'Смета Внутр'!G1851</f>
        <v>0</v>
      </c>
      <c r="I1844" s="1004" t="n">
        <f aca="false">'Смета Внутр'!H1851</f>
        <v>0</v>
      </c>
      <c r="J1844" s="1018" t="n">
        <f aca="false">'Смета Внутр'!I1851</f>
        <v>0</v>
      </c>
    </row>
    <row r="1845" customFormat="false" ht="15" hidden="false" customHeight="true" outlineLevel="0" collapsed="false">
      <c r="B1845" s="1004" t="str">
        <f aca="false">'Смета Внутр'!B1852</f>
        <v>лента дельта sb-60</v>
      </c>
      <c r="C1845" s="1004" t="str">
        <f aca="false">'Смета Внутр'!C1852</f>
        <v>шт</v>
      </c>
      <c r="D1845" s="1018" t="n">
        <f aca="false">'Смета Внутр'!D1852</f>
        <v>0</v>
      </c>
      <c r="E1845" s="1004" t="n">
        <f aca="false">'Смета Внутр'!E1852</f>
        <v>1100</v>
      </c>
      <c r="F1845" s="1004" t="n">
        <f aca="false">'Смета Внутр'!F1852</f>
        <v>0</v>
      </c>
      <c r="G1845" s="1004" t="n">
        <f aca="false">IF(E1845&gt;F1845,E1845,F1845)</f>
        <v>1100</v>
      </c>
      <c r="H1845" s="1004" t="n">
        <f aca="false">'Смета Внутр'!G1852</f>
        <v>0</v>
      </c>
      <c r="I1845" s="1004" t="n">
        <f aca="false">'Смета Внутр'!H1852</f>
        <v>0</v>
      </c>
      <c r="J1845" s="1018" t="n">
        <f aca="false">'Смета Внутр'!I1852</f>
        <v>0</v>
      </c>
    </row>
    <row r="1846" customFormat="false" ht="15" hidden="false" customHeight="true" outlineLevel="0" collapsed="false">
      <c r="B1846" s="1004" t="str">
        <f aca="false">'Смета Внутр'!B1853</f>
        <v>Кровельный саморез</v>
      </c>
      <c r="C1846" s="1004" t="str">
        <f aca="false">'Смета Внутр'!C1853</f>
        <v>шт</v>
      </c>
      <c r="D1846" s="1018" t="n">
        <f aca="false">'Смета Внутр'!D1853</f>
        <v>0</v>
      </c>
      <c r="E1846" s="1004" t="n">
        <f aca="false">'Смета Внутр'!E1853</f>
        <v>2</v>
      </c>
      <c r="F1846" s="1004" t="n">
        <f aca="false">'Смета Внутр'!F1853</f>
        <v>0</v>
      </c>
      <c r="G1846" s="1004" t="n">
        <f aca="false">IF(E1846&gt;F1846,E1846,F1846)</f>
        <v>2</v>
      </c>
      <c r="H1846" s="1004" t="n">
        <f aca="false">'Смета Внутр'!G1853</f>
        <v>0</v>
      </c>
      <c r="I1846" s="1004" t="n">
        <f aca="false">'Смета Внутр'!H1853</f>
        <v>0</v>
      </c>
      <c r="J1846" s="1018" t="n">
        <f aca="false">'Смета Внутр'!I1853</f>
        <v>0</v>
      </c>
    </row>
    <row r="1847" customFormat="false" ht="15" hidden="false" customHeight="true" outlineLevel="0" collapsed="false">
      <c r="B1847" s="1004" t="str">
        <f aca="false">'Смета Внутр'!B1854</f>
        <v>Гвозди ершоные 3,4 x 60</v>
      </c>
      <c r="C1847" s="1004" t="str">
        <f aca="false">'Смета Внутр'!C1854</f>
        <v>кг</v>
      </c>
      <c r="D1847" s="1018" t="n">
        <f aca="false">'Смета Внутр'!D1854</f>
        <v>0</v>
      </c>
      <c r="E1847" s="1004" t="n">
        <f aca="false">'Смета Внутр'!E1854</f>
        <v>75.51</v>
      </c>
      <c r="F1847" s="1004" t="n">
        <f aca="false">'Смета Внутр'!F1854</f>
        <v>0</v>
      </c>
      <c r="G1847" s="1004" t="n">
        <f aca="false">IF(E1847&gt;F1847,E1847,F1847)</f>
        <v>75.51</v>
      </c>
      <c r="H1847" s="1004" t="n">
        <f aca="false">'Смета Внутр'!G1854</f>
        <v>0</v>
      </c>
      <c r="I1847" s="1004" t="n">
        <f aca="false">'Смета Внутр'!H1854</f>
        <v>0</v>
      </c>
      <c r="J1847" s="1018" t="n">
        <f aca="false">'Смета Внутр'!I1854</f>
        <v>0</v>
      </c>
    </row>
    <row r="1848" customFormat="false" ht="15" hidden="false" customHeight="true" outlineLevel="0" collapsed="false">
      <c r="B1848" s="1004" t="str">
        <f aca="false">'Смета Внутр'!B1855</f>
        <v>Гвозди ершоные 2,8 х 90</v>
      </c>
      <c r="C1848" s="1004" t="str">
        <f aca="false">'Смета Внутр'!C1855</f>
        <v>шт</v>
      </c>
      <c r="D1848" s="1018" t="n">
        <f aca="false">'Смета Внутр'!D1855</f>
        <v>0</v>
      </c>
      <c r="E1848" s="1004" t="n">
        <f aca="false">'Смета Внутр'!E1855</f>
        <v>76.49</v>
      </c>
      <c r="F1848" s="1004" t="n">
        <f aca="false">'Смета Внутр'!F1855</f>
        <v>0</v>
      </c>
      <c r="G1848" s="1004" t="n">
        <f aca="false">IF(E1848&gt;F1848,E1848,F1848)</f>
        <v>76.49</v>
      </c>
      <c r="H1848" s="1004" t="n">
        <f aca="false">'Смета Внутр'!G1855</f>
        <v>0</v>
      </c>
      <c r="I1848" s="1004" t="n">
        <f aca="false">'Смета Внутр'!H1855</f>
        <v>0</v>
      </c>
      <c r="J1848" s="1018" t="n">
        <f aca="false">'Смета Внутр'!I1855</f>
        <v>0</v>
      </c>
    </row>
    <row r="1849" customFormat="false" ht="15" hidden="false" customHeight="true" outlineLevel="0" collapsed="false">
      <c r="B1849" s="1004" t="str">
        <f aca="false">'Смета Внутр'!B1856</f>
        <v>Пластина соеденительная 100х240х2</v>
      </c>
      <c r="C1849" s="1004" t="str">
        <f aca="false">'Смета Внутр'!C1856</f>
        <v>шт</v>
      </c>
      <c r="D1849" s="1018" t="n">
        <f aca="false">'Смета Внутр'!D1856</f>
        <v>0</v>
      </c>
      <c r="E1849" s="1004" t="n">
        <f aca="false">'Смета Внутр'!E1856</f>
        <v>31.54</v>
      </c>
      <c r="F1849" s="1004" t="n">
        <f aca="false">'Смета Внутр'!F1856</f>
        <v>0</v>
      </c>
      <c r="G1849" s="1004" t="n">
        <f aca="false">IF(E1849&gt;F1849,E1849,F1849)</f>
        <v>31.54</v>
      </c>
      <c r="H1849" s="1004" t="n">
        <f aca="false">'Смета Внутр'!G1856</f>
        <v>0</v>
      </c>
      <c r="I1849" s="1004" t="n">
        <f aca="false">'Смета Внутр'!H1856</f>
        <v>0</v>
      </c>
      <c r="J1849" s="1018" t="n">
        <f aca="false">'Смета Внутр'!I1856</f>
        <v>0</v>
      </c>
    </row>
    <row r="1850" customFormat="false" ht="15" hidden="false" customHeight="true" outlineLevel="0" collapsed="false">
      <c r="B1850" s="1004" t="str">
        <f aca="false">'Смета Внутр'!B1857</f>
        <v>Уголок усиленный 90х70х55х2,5</v>
      </c>
      <c r="C1850" s="1004" t="str">
        <f aca="false">'Смета Внутр'!C1857</f>
        <v>шт</v>
      </c>
      <c r="D1850" s="1018" t="n">
        <f aca="false">'Смета Внутр'!D1857</f>
        <v>0</v>
      </c>
      <c r="E1850" s="1004" t="n">
        <f aca="false">'Смета Внутр'!E1857</f>
        <v>30</v>
      </c>
      <c r="F1850" s="1004" t="n">
        <f aca="false">'Смета Внутр'!F1857</f>
        <v>0</v>
      </c>
      <c r="G1850" s="1004" t="n">
        <f aca="false">IF(E1850&gt;F1850,E1850,F1850)</f>
        <v>30</v>
      </c>
      <c r="H1850" s="1004" t="n">
        <f aca="false">'Смета Внутр'!G1857</f>
        <v>0</v>
      </c>
      <c r="I1850" s="1004" t="n">
        <f aca="false">'Смета Внутр'!H1857</f>
        <v>0</v>
      </c>
      <c r="J1850" s="1018" t="n">
        <f aca="false">'Смета Внутр'!I1857</f>
        <v>0</v>
      </c>
    </row>
    <row r="1851" customFormat="false" ht="14.5" hidden="false" customHeight="false" outlineLevel="0" collapsed="false">
      <c r="B1851" s="2927" t="str">
        <f aca="false">'Смета Внутр'!B1858</f>
        <v>Итого материалы</v>
      </c>
      <c r="C1851" s="2927"/>
      <c r="D1851" s="2927"/>
      <c r="E1851" s="2927"/>
      <c r="F1851" s="2927"/>
      <c r="G1851" s="2927"/>
      <c r="H1851" s="1004" t="n">
        <f aca="false">'Смета Внутр'!G1858</f>
        <v>0</v>
      </c>
      <c r="I1851" s="1004" t="n">
        <f aca="false">'Смета Внутр'!H1858</f>
        <v>0</v>
      </c>
      <c r="J1851" s="1018" t="n">
        <f aca="false">'Смета Внутр'!I1858</f>
        <v>0</v>
      </c>
    </row>
    <row r="1852" customFormat="false" ht="15" hidden="false" customHeight="true" outlineLevel="0" collapsed="false">
      <c r="B1852" s="2881" t="str">
        <f aca="false">'Смета Внутр'!B1859</f>
        <v>Работы</v>
      </c>
      <c r="D1852" s="919"/>
      <c r="H1852" s="0" t="n">
        <f aca="false">'Смета Внутр'!G1859</f>
        <v>0</v>
      </c>
      <c r="I1852" s="0" t="n">
        <f aca="false">'Смета Внутр'!H1859</f>
        <v>0</v>
      </c>
      <c r="J1852" s="2926" t="n">
        <f aca="false">'Смета Внутр'!I1859</f>
        <v>0</v>
      </c>
    </row>
    <row r="1853" customFormat="false" ht="15" hidden="false" customHeight="true" outlineLevel="0" collapsed="false">
      <c r="B1853" s="1004" t="str">
        <f aca="false">'Смета Внутр'!B1860</f>
        <v>монтаж стропил</v>
      </c>
      <c r="C1853" s="1004" t="str">
        <f aca="false">'Смета Внутр'!C1860</f>
        <v>м2</v>
      </c>
      <c r="D1853" s="1018" t="n">
        <f aca="false">'Смета Внутр'!D1860</f>
        <v>0</v>
      </c>
      <c r="E1853" s="1004" t="n">
        <f aca="false">'Смета Внутр'!E1860</f>
        <v>450</v>
      </c>
      <c r="F1853" s="1004" t="n">
        <f aca="false">'Смета Внутр'!F1860</f>
        <v>0</v>
      </c>
      <c r="G1853" s="1004" t="n">
        <f aca="false">IF(E1853&gt;F1853,E1853,F1853)</f>
        <v>450</v>
      </c>
      <c r="H1853" s="1004" t="n">
        <f aca="false">'Смета Внутр'!G1860</f>
        <v>0</v>
      </c>
      <c r="I1853" s="1004" t="n">
        <f aca="false">'Смета Внутр'!H1860</f>
        <v>0</v>
      </c>
      <c r="J1853" s="1018" t="n">
        <f aca="false">'Смета Внутр'!I1860</f>
        <v>0</v>
      </c>
    </row>
    <row r="1854" customFormat="false" ht="15" hidden="false" customHeight="true" outlineLevel="0" collapsed="false">
      <c r="B1854" s="1004" t="str">
        <f aca="false">'Смета Внутр'!B1861</f>
        <v>обрешетка</v>
      </c>
      <c r="C1854" s="1004" t="str">
        <f aca="false">'Смета Внутр'!C1861</f>
        <v>м2</v>
      </c>
      <c r="D1854" s="1018" t="n">
        <f aca="false">'Смета Внутр'!D1861</f>
        <v>0</v>
      </c>
      <c r="E1854" s="1004" t="n">
        <f aca="false">'Смета Внутр'!E1861</f>
        <v>100</v>
      </c>
      <c r="F1854" s="1004" t="n">
        <f aca="false">'Смета Внутр'!F1861</f>
        <v>0</v>
      </c>
      <c r="G1854" s="1004" t="n">
        <f aca="false">IF(E1854&gt;F1854,E1854,F1854)</f>
        <v>100</v>
      </c>
      <c r="H1854" s="1004" t="n">
        <f aca="false">'Смета Внутр'!G1861</f>
        <v>0</v>
      </c>
      <c r="I1854" s="1004" t="n">
        <f aca="false">'Смета Внутр'!H1861</f>
        <v>0</v>
      </c>
      <c r="J1854" s="1018" t="n">
        <f aca="false">'Смета Внутр'!I1861</f>
        <v>0</v>
      </c>
    </row>
    <row r="1855" customFormat="false" ht="15" hidden="false" customHeight="true" outlineLevel="0" collapsed="false">
      <c r="B1855" s="1004" t="str">
        <f aca="false">'Смета Внутр'!B1862</f>
        <v>контробеш</v>
      </c>
      <c r="C1855" s="1004" t="str">
        <f aca="false">'Смета Внутр'!C1862</f>
        <v>м2</v>
      </c>
      <c r="D1855" s="1018" t="n">
        <f aca="false">'Смета Внутр'!D1862</f>
        <v>0</v>
      </c>
      <c r="E1855" s="1004" t="n">
        <f aca="false">'Смета Внутр'!E1862</f>
        <v>100</v>
      </c>
      <c r="F1855" s="1004" t="n">
        <f aca="false">'Смета Внутр'!F1862</f>
        <v>0</v>
      </c>
      <c r="G1855" s="1004" t="n">
        <f aca="false">IF(E1855&gt;F1855,E1855,F1855)</f>
        <v>100</v>
      </c>
      <c r="H1855" s="1004" t="n">
        <f aca="false">'Смета Внутр'!G1862</f>
        <v>0</v>
      </c>
      <c r="I1855" s="1004" t="n">
        <f aca="false">'Смета Внутр'!H1862</f>
        <v>0</v>
      </c>
      <c r="J1855" s="1018" t="n">
        <f aca="false">'Смета Внутр'!I1862</f>
        <v>0</v>
      </c>
    </row>
    <row r="1856" customFormat="false" ht="15" hidden="false" customHeight="true" outlineLevel="0" collapsed="false">
      <c r="B1856" s="1004" t="str">
        <f aca="false">'Смета Внутр'!B1863</f>
        <v>мембрана</v>
      </c>
      <c r="C1856" s="1004" t="str">
        <f aca="false">'Смета Внутр'!C1863</f>
        <v>м2</v>
      </c>
      <c r="D1856" s="1018" t="n">
        <f aca="false">'Смета Внутр'!D1863</f>
        <v>0</v>
      </c>
      <c r="E1856" s="1004" t="n">
        <f aca="false">'Смета Внутр'!E1863</f>
        <v>100</v>
      </c>
      <c r="F1856" s="1004" t="n">
        <f aca="false">'Смета Внутр'!F1863</f>
        <v>0</v>
      </c>
      <c r="G1856" s="1004" t="n">
        <f aca="false">IF(E1856&gt;F1856,E1856,F1856)</f>
        <v>100</v>
      </c>
      <c r="H1856" s="1004" t="n">
        <f aca="false">'Смета Внутр'!G1863</f>
        <v>0</v>
      </c>
      <c r="I1856" s="1004" t="n">
        <f aca="false">'Смета Внутр'!H1863</f>
        <v>0</v>
      </c>
      <c r="J1856" s="1018" t="n">
        <f aca="false">'Смета Внутр'!I1863</f>
        <v>0</v>
      </c>
    </row>
    <row r="1857" customFormat="false" ht="15" hidden="false" customHeight="true" outlineLevel="0" collapsed="false">
      <c r="B1857" s="1004" t="str">
        <f aca="false">'Смета Внутр'!B1864</f>
        <v>Монтаж металлочерепицы</v>
      </c>
      <c r="C1857" s="1004" t="str">
        <f aca="false">'Смета Внутр'!C1864</f>
        <v>м2</v>
      </c>
      <c r="D1857" s="1018" t="n">
        <f aca="false">'Смета Внутр'!D1864</f>
        <v>0</v>
      </c>
      <c r="E1857" s="1004" t="n">
        <f aca="false">'Смета Внутр'!E1864</f>
        <v>300</v>
      </c>
      <c r="F1857" s="1004" t="n">
        <f aca="false">'Смета Внутр'!F1864</f>
        <v>0</v>
      </c>
      <c r="G1857" s="1004" t="n">
        <f aca="false">IF(E1857&gt;F1857,E1857,F1857)</f>
        <v>300</v>
      </c>
      <c r="H1857" s="1004" t="n">
        <f aca="false">'Смета Внутр'!G1864</f>
        <v>0</v>
      </c>
      <c r="I1857" s="1004" t="n">
        <f aca="false">'Смета Внутр'!H1864</f>
        <v>0</v>
      </c>
      <c r="J1857" s="1018" t="n">
        <f aca="false">'Смета Внутр'!I1864</f>
        <v>0</v>
      </c>
    </row>
    <row r="1858" customFormat="false" ht="15" hidden="false" customHeight="true" outlineLevel="0" collapsed="false">
      <c r="B1858" s="1004" t="str">
        <f aca="false">'Смета Внутр'!B1865</f>
        <v>карнизная планка</v>
      </c>
      <c r="C1858" s="1004" t="str">
        <f aca="false">'Смета Внутр'!C1865</f>
        <v>м2</v>
      </c>
      <c r="D1858" s="1018" t="n">
        <f aca="false">'Смета Внутр'!D1865</f>
        <v>0</v>
      </c>
      <c r="E1858" s="1004" t="n">
        <f aca="false">'Смета Внутр'!E1865</f>
        <v>100</v>
      </c>
      <c r="F1858" s="1004" t="n">
        <f aca="false">'Смета Внутр'!F1865</f>
        <v>0</v>
      </c>
      <c r="G1858" s="1004" t="n">
        <f aca="false">IF(E1858&gt;F1858,E1858,F1858)</f>
        <v>100</v>
      </c>
      <c r="H1858" s="1004" t="n">
        <f aca="false">'Смета Внутр'!G1865</f>
        <v>0</v>
      </c>
      <c r="I1858" s="1004" t="n">
        <f aca="false">'Смета Внутр'!H1865</f>
        <v>0</v>
      </c>
      <c r="J1858" s="1018" t="n">
        <f aca="false">'Смета Внутр'!I1865</f>
        <v>0</v>
      </c>
    </row>
    <row r="1859" customFormat="false" ht="15" hidden="false" customHeight="true" outlineLevel="0" collapsed="false">
      <c r="B1859" s="1004" t="str">
        <f aca="false">'Смета Внутр'!B1866</f>
        <v>торцевая планка</v>
      </c>
      <c r="C1859" s="1004" t="str">
        <f aca="false">'Смета Внутр'!C1866</f>
        <v>м2</v>
      </c>
      <c r="D1859" s="1018" t="n">
        <f aca="false">'Смета Внутр'!D1866</f>
        <v>0</v>
      </c>
      <c r="E1859" s="1004" t="n">
        <f aca="false">'Смета Внутр'!E1866</f>
        <v>100</v>
      </c>
      <c r="F1859" s="1004" t="n">
        <f aca="false">'Смета Внутр'!F1866</f>
        <v>0</v>
      </c>
      <c r="G1859" s="1004" t="n">
        <f aca="false">IF(E1859&gt;F1859,E1859,F1859)</f>
        <v>100</v>
      </c>
      <c r="H1859" s="1004" t="n">
        <f aca="false">'Смета Внутр'!G1866</f>
        <v>0</v>
      </c>
      <c r="I1859" s="1004" t="n">
        <f aca="false">'Смета Внутр'!H1866</f>
        <v>0</v>
      </c>
      <c r="J1859" s="1018" t="n">
        <f aca="false">'Смета Внутр'!I1866</f>
        <v>0</v>
      </c>
    </row>
    <row r="1860" customFormat="false" ht="15" hidden="false" customHeight="true" outlineLevel="0" collapsed="false">
      <c r="B1860" s="1004" t="str">
        <f aca="false">'Смета Внутр'!B1867</f>
        <v>желоб водосточный</v>
      </c>
      <c r="C1860" s="1004" t="str">
        <f aca="false">'Смета Внутр'!C1867</f>
        <v>м.п.</v>
      </c>
      <c r="D1860" s="1018" t="n">
        <f aca="false">'Смета Внутр'!D1867</f>
        <v>0</v>
      </c>
      <c r="E1860" s="1004" t="n">
        <f aca="false">'Смета Внутр'!E1867</f>
        <v>300</v>
      </c>
      <c r="F1860" s="1004" t="n">
        <f aca="false">'Смета Внутр'!F1867</f>
        <v>0</v>
      </c>
      <c r="G1860" s="1004" t="n">
        <f aca="false">IF(E1860&gt;F1860,E1860,F1860)</f>
        <v>300</v>
      </c>
      <c r="H1860" s="1004" t="n">
        <f aca="false">'Смета Внутр'!G1867</f>
        <v>0</v>
      </c>
      <c r="I1860" s="1004" t="n">
        <f aca="false">'Смета Внутр'!H1867</f>
        <v>0</v>
      </c>
      <c r="J1860" s="1018" t="n">
        <f aca="false">'Смета Внутр'!I1867</f>
        <v>0</v>
      </c>
    </row>
    <row r="1861" customFormat="false" ht="15" hidden="false" customHeight="true" outlineLevel="0" collapsed="false">
      <c r="B1861" s="1004" t="str">
        <f aca="false">'Смета Внутр'!B1868</f>
        <v>труба водосточная</v>
      </c>
      <c r="C1861" s="1004" t="str">
        <f aca="false">'Смета Внутр'!C1868</f>
        <v>м.п.</v>
      </c>
      <c r="D1861" s="1018" t="n">
        <f aca="false">'Смета Внутр'!D1868</f>
        <v>0</v>
      </c>
      <c r="E1861" s="1004" t="n">
        <f aca="false">'Смета Внутр'!E1868</f>
        <v>300</v>
      </c>
      <c r="F1861" s="1004" t="n">
        <f aca="false">'Смета Внутр'!F1868</f>
        <v>0</v>
      </c>
      <c r="G1861" s="1004" t="n">
        <f aca="false">IF(E1861&gt;F1861,E1861,F1861)</f>
        <v>300</v>
      </c>
      <c r="H1861" s="1004" t="n">
        <f aca="false">'Смета Внутр'!G1868</f>
        <v>0</v>
      </c>
      <c r="I1861" s="1004" t="n">
        <f aca="false">'Смета Внутр'!H1868</f>
        <v>0</v>
      </c>
      <c r="J1861" s="1018" t="n">
        <f aca="false">'Смета Внутр'!I1868</f>
        <v>0</v>
      </c>
    </row>
    <row r="1862" customFormat="false" ht="15" hidden="false" customHeight="true" outlineLevel="0" collapsed="false">
      <c r="B1862" s="1004" t="str">
        <f aca="false">'Смета Внутр'!B1869</f>
        <v>Монтаж ондулина</v>
      </c>
      <c r="C1862" s="1004" t="str">
        <f aca="false">'Смета Внутр'!C1869</f>
        <v>м2</v>
      </c>
      <c r="D1862" s="1018" t="n">
        <f aca="false">'Смета Внутр'!D1869</f>
        <v>0</v>
      </c>
      <c r="E1862" s="1004" t="n">
        <f aca="false">'Смета Внутр'!E1869</f>
        <v>300</v>
      </c>
      <c r="F1862" s="1004" t="n">
        <f aca="false">'Смета Внутр'!F1869</f>
        <v>0</v>
      </c>
      <c r="G1862" s="1004" t="n">
        <f aca="false">IF(E1862&gt;F1862,E1862,F1862)</f>
        <v>300</v>
      </c>
      <c r="H1862" s="1004" t="n">
        <f aca="false">'Смета Внутр'!G1869</f>
        <v>0</v>
      </c>
      <c r="I1862" s="1004" t="n">
        <f aca="false">'Смета Внутр'!H1869</f>
        <v>0</v>
      </c>
      <c r="J1862" s="1018" t="n">
        <f aca="false">'Смета Внутр'!I1869</f>
        <v>0</v>
      </c>
    </row>
    <row r="1863" customFormat="false" ht="15" hidden="false" customHeight="true" outlineLevel="0" collapsed="false">
      <c r="B1863" s="1004" t="str">
        <f aca="false">'Смета Внутр'!B1870</f>
        <v>Монтаж фанеры/osb</v>
      </c>
      <c r="C1863" s="1004" t="str">
        <f aca="false">'Смета Внутр'!C1870</f>
        <v>м2</v>
      </c>
      <c r="D1863" s="1018" t="n">
        <f aca="false">'Смета Внутр'!D1870</f>
        <v>0</v>
      </c>
      <c r="E1863" s="1004" t="n">
        <f aca="false">'Смета Внутр'!E1870</f>
        <v>200</v>
      </c>
      <c r="F1863" s="1004" t="n">
        <f aca="false">'Смета Внутр'!F1870</f>
        <v>0</v>
      </c>
      <c r="G1863" s="1004" t="n">
        <f aca="false">IF(E1863&gt;F1863,E1863,F1863)</f>
        <v>200</v>
      </c>
      <c r="H1863" s="1004" t="n">
        <f aca="false">'Смета Внутр'!G1870</f>
        <v>0</v>
      </c>
      <c r="I1863" s="1004" t="n">
        <f aca="false">'Смета Внутр'!H1870</f>
        <v>0</v>
      </c>
      <c r="J1863" s="1018" t="n">
        <f aca="false">'Смета Внутр'!I1870</f>
        <v>0</v>
      </c>
    </row>
    <row r="1864" customFormat="false" ht="15" hidden="false" customHeight="true" outlineLevel="0" collapsed="false">
      <c r="B1864" s="1004" t="str">
        <f aca="false">'Смета Внутр'!B1871</f>
        <v>монтаж подкладочного ковра</v>
      </c>
      <c r="C1864" s="1004" t="str">
        <f aca="false">'Смета Внутр'!C1871</f>
        <v>м2</v>
      </c>
      <c r="D1864" s="1018" t="n">
        <f aca="false">'Смета Внутр'!D1871</f>
        <v>0</v>
      </c>
      <c r="E1864" s="1004" t="n">
        <f aca="false">'Смета Внутр'!E1871</f>
        <v>150</v>
      </c>
      <c r="F1864" s="1004" t="n">
        <f aca="false">'Смета Внутр'!F1871</f>
        <v>0</v>
      </c>
      <c r="G1864" s="1004" t="n">
        <f aca="false">IF(E1864&gt;F1864,E1864,F1864)</f>
        <v>150</v>
      </c>
      <c r="H1864" s="1004" t="n">
        <f aca="false">'Смета Внутр'!G1871</f>
        <v>0</v>
      </c>
      <c r="I1864" s="1004" t="n">
        <f aca="false">'Смета Внутр'!H1871</f>
        <v>0</v>
      </c>
      <c r="J1864" s="1018" t="n">
        <f aca="false">'Смета Внутр'!I1871</f>
        <v>0</v>
      </c>
    </row>
    <row r="1865" customFormat="false" ht="15" hidden="false" customHeight="true" outlineLevel="0" collapsed="false">
      <c r="B1865" s="1004" t="str">
        <f aca="false">'Смета Внутр'!B1872</f>
        <v>Монтаж мягкой кровли</v>
      </c>
      <c r="C1865" s="1004" t="str">
        <f aca="false">'Смета Внутр'!C1872</f>
        <v>м2</v>
      </c>
      <c r="D1865" s="1018" t="n">
        <f aca="false">'Смета Внутр'!D1872</f>
        <v>0</v>
      </c>
      <c r="E1865" s="1004" t="n">
        <f aca="false">'Смета Внутр'!E1872</f>
        <v>350</v>
      </c>
      <c r="F1865" s="1004" t="n">
        <f aca="false">'Смета Внутр'!F1872</f>
        <v>0</v>
      </c>
      <c r="G1865" s="1004" t="n">
        <f aca="false">IF(E1865&gt;F1865,E1865,F1865)</f>
        <v>350</v>
      </c>
      <c r="H1865" s="1004" t="n">
        <f aca="false">'Смета Внутр'!G1872</f>
        <v>0</v>
      </c>
      <c r="I1865" s="1004" t="n">
        <f aca="false">'Смета Внутр'!H1872</f>
        <v>0</v>
      </c>
      <c r="J1865" s="1018" t="n">
        <f aca="false">'Смета Внутр'!I1872</f>
        <v>0</v>
      </c>
    </row>
    <row r="1866" customFormat="false" ht="15" hidden="false" customHeight="true" outlineLevel="0" collapsed="false">
      <c r="B1866" s="2927" t="str">
        <f aca="false">'Смета Внутр'!B1873</f>
        <v>Итого работы</v>
      </c>
      <c r="C1866" s="2927"/>
      <c r="D1866" s="2927"/>
      <c r="E1866" s="2927"/>
      <c r="F1866" s="2927"/>
      <c r="G1866" s="2927"/>
      <c r="H1866" s="1004" t="n">
        <f aca="false">'Смета Внутр'!G1873</f>
        <v>0</v>
      </c>
      <c r="I1866" s="1004" t="n">
        <f aca="false">'Смета Внутр'!H1873</f>
        <v>0</v>
      </c>
      <c r="J1866" s="1018" t="n">
        <f aca="false">'Смета Внутр'!I1873</f>
        <v>0</v>
      </c>
    </row>
    <row r="1867" customFormat="false" ht="15" hidden="false" customHeight="true" outlineLevel="0" collapsed="false">
      <c r="B1867" s="2899" t="str">
        <f aca="false">'Смета Внутр'!B1874</f>
        <v>Кровля на крыльцо</v>
      </c>
      <c r="C1867" s="2899"/>
      <c r="D1867" s="2899"/>
      <c r="H1867" s="0" t="n">
        <f aca="false">'Смета Внутр'!G1874</f>
        <v>0</v>
      </c>
      <c r="I1867" s="0" t="n">
        <f aca="false">'Смета Внутр'!H1874</f>
        <v>0</v>
      </c>
      <c r="J1867" s="2893" t="n">
        <f aca="false">'Смета Внутр'!I1874</f>
        <v>0</v>
      </c>
    </row>
    <row r="1868" customFormat="false" ht="15" hidden="false" customHeight="true" outlineLevel="0" collapsed="false">
      <c r="B1868" s="2881" t="str">
        <f aca="false">'Смета Внутр'!B1875</f>
        <v>Материалы</v>
      </c>
      <c r="H1868" s="0" t="n">
        <f aca="false">'Смета Внутр'!G1875</f>
        <v>0</v>
      </c>
      <c r="I1868" s="0" t="n">
        <f aca="false">'Смета Внутр'!H1875</f>
        <v>0</v>
      </c>
      <c r="J1868" s="2893" t="n">
        <f aca="false">'Смета Внутр'!I1875</f>
        <v>0</v>
      </c>
    </row>
    <row r="1869" customFormat="false" ht="15" hidden="false" customHeight="true" outlineLevel="0" collapsed="false">
      <c r="B1869" s="2888" t="str">
        <f aca="false">'Смета Внутр'!B1876</f>
        <v>Доска сухая, 150*50мм</v>
      </c>
      <c r="C1869" s="2888" t="str">
        <f aca="false">'Смета Внутр'!C1876</f>
        <v>м3</v>
      </c>
      <c r="D1869" s="2897" t="n">
        <f aca="false">'Смета Внутр'!D1876</f>
        <v>0.158290972598336</v>
      </c>
      <c r="E1869" s="1004" t="n">
        <f aca="false">'Смета Внутр'!E1876</f>
        <v>9000</v>
      </c>
      <c r="F1869" s="1004" t="n">
        <f aca="false">'Смета Внутр'!F1876</f>
        <v>0</v>
      </c>
      <c r="G1869" s="2888" t="n">
        <f aca="false">IF(E1869&gt;F1869,E1869,F1869)</f>
        <v>9000</v>
      </c>
      <c r="H1869" s="1004" t="n">
        <f aca="false">'Смета Внутр'!G1876</f>
        <v>1424.61875338502</v>
      </c>
      <c r="I1869" s="1004" t="n">
        <f aca="false">'Смета Внутр'!H1876</f>
        <v>0</v>
      </c>
      <c r="J1869" s="2897" t="n">
        <f aca="false">'Смета Внутр'!I1876</f>
        <v>0</v>
      </c>
    </row>
    <row r="1870" customFormat="false" ht="15" hidden="false" customHeight="true" outlineLevel="0" collapsed="false">
      <c r="B1870" s="2888" t="str">
        <f aca="false">'Смета Внутр'!B1877</f>
        <v>Сосна влаж,100*25мм</v>
      </c>
      <c r="C1870" s="2888" t="str">
        <f aca="false">'Смета Внутр'!C1877</f>
        <v>м3</v>
      </c>
      <c r="D1870" s="2897" t="n">
        <f aca="false">'Смета Внутр'!D1877</f>
        <v>0.0461886835048411</v>
      </c>
      <c r="E1870" s="1004" t="n">
        <f aca="false">'Смета Внутр'!E1877</f>
        <v>6500</v>
      </c>
      <c r="F1870" s="1004" t="n">
        <f aca="false">'Смета Внутр'!F1877</f>
        <v>0</v>
      </c>
      <c r="G1870" s="2888" t="n">
        <f aca="false">IF(E1870&gt;F1870,E1870,F1870)</f>
        <v>6500</v>
      </c>
      <c r="H1870" s="1004" t="n">
        <f aca="false">'Смета Внутр'!G1877</f>
        <v>300.226442781467</v>
      </c>
      <c r="I1870" s="1004" t="n">
        <f aca="false">'Смета Внутр'!H1877</f>
        <v>0</v>
      </c>
      <c r="J1870" s="2897" t="n">
        <f aca="false">'Смета Внутр'!I1877</f>
        <v>0</v>
      </c>
    </row>
    <row r="1871" customFormat="false" ht="15" hidden="false" customHeight="true" outlineLevel="0" collapsed="false">
      <c r="B1871" s="2888" t="str">
        <f aca="false">'Смета Внутр'!B1878</f>
        <v>нет</v>
      </c>
      <c r="C1871" s="2888" t="str">
        <f aca="false">'Смета Внутр'!C1878</f>
        <v>м2</v>
      </c>
      <c r="D1871" s="2897" t="n">
        <f aca="false">'Смета Внутр'!D1878</f>
        <v>0</v>
      </c>
      <c r="E1871" s="1004" t="n">
        <f aca="false">'Смета Внутр'!E1878</f>
        <v>0</v>
      </c>
      <c r="F1871" s="1004" t="n">
        <f aca="false">'Смета Внутр'!F1878</f>
        <v>0</v>
      </c>
      <c r="G1871" s="2888" t="n">
        <f aca="false">IF(E1871&gt;F1871,E1871,F1871)</f>
        <v>0</v>
      </c>
      <c r="H1871" s="1004" t="n">
        <f aca="false">'Смета Внутр'!G1878</f>
        <v>0</v>
      </c>
      <c r="I1871" s="1004" t="n">
        <f aca="false">'Смета Внутр'!H1878</f>
        <v>0</v>
      </c>
      <c r="J1871" s="2897" t="n">
        <f aca="false">'Смета Внутр'!I1878</f>
        <v>0</v>
      </c>
    </row>
    <row r="1872" customFormat="false" ht="15" hidden="false" customHeight="true" outlineLevel="0" collapsed="false">
      <c r="B1872" s="1004" t="str">
        <f aca="false">'Смета Внутр'!B1879</f>
        <v>нет</v>
      </c>
      <c r="C1872" s="1004" t="str">
        <f aca="false">'Смета Внутр'!C1879</f>
        <v>м2</v>
      </c>
      <c r="D1872" s="1018" t="n">
        <f aca="false">'Смета Внутр'!D1879</f>
        <v>7.39018936077457</v>
      </c>
      <c r="E1872" s="1004" t="n">
        <f aca="false">'Смета Внутр'!E1879</f>
        <v>0</v>
      </c>
      <c r="F1872" s="1004" t="n">
        <f aca="false">'Смета Внутр'!F1879</f>
        <v>0</v>
      </c>
      <c r="G1872" s="1004" t="n">
        <f aca="false">IF(E1872&gt;F1872,E1872,F1872)</f>
        <v>0</v>
      </c>
      <c r="H1872" s="1004" t="n">
        <f aca="false">'Смета Внутр'!G1879</f>
        <v>0</v>
      </c>
      <c r="I1872" s="1004" t="n">
        <f aca="false">'Смета Внутр'!H1879</f>
        <v>0</v>
      </c>
      <c r="J1872" s="1018" t="n">
        <f aca="false">'Смета Внутр'!I1879</f>
        <v>0</v>
      </c>
    </row>
    <row r="1873" customFormat="false" ht="15" hidden="false" customHeight="true" outlineLevel="0" collapsed="false">
      <c r="B1873" s="2888" t="str">
        <f aca="false">'Смета Внутр'!B1880</f>
        <v>Мембраны Tyvek Solid</v>
      </c>
      <c r="C1873" s="2888" t="str">
        <f aca="false">'Смета Внутр'!C1880</f>
        <v>м2</v>
      </c>
      <c r="D1873" s="2897" t="n">
        <f aca="false">'Смета Внутр'!D1880</f>
        <v>7.39018936077457</v>
      </c>
      <c r="E1873" s="1004" t="n">
        <f aca="false">'Смета Внутр'!E1880</f>
        <v>99</v>
      </c>
      <c r="F1873" s="1004" t="n">
        <f aca="false">'Смета Внутр'!F1880</f>
        <v>0</v>
      </c>
      <c r="G1873" s="2888" t="n">
        <f aca="false">IF(E1873&gt;F1873,E1873,F1873)</f>
        <v>99</v>
      </c>
      <c r="H1873" s="1004" t="n">
        <f aca="false">'Смета Внутр'!G1880</f>
        <v>731.628746716682</v>
      </c>
      <c r="I1873" s="1004" t="n">
        <f aca="false">'Смета Внутр'!H1880</f>
        <v>0</v>
      </c>
      <c r="J1873" s="2897" t="n">
        <f aca="false">'Смета Внутр'!I1880</f>
        <v>0</v>
      </c>
    </row>
    <row r="1874" customFormat="false" ht="15" hidden="false" customHeight="true" outlineLevel="0" collapsed="false">
      <c r="B1874" s="2888" t="str">
        <f aca="false">'Смета Внутр'!B1881</f>
        <v>металлочерепица</v>
      </c>
      <c r="C1874" s="2888" t="str">
        <f aca="false">'Смета Внутр'!C1881</f>
        <v>м2</v>
      </c>
      <c r="D1874" s="2897" t="n">
        <f aca="false">'Смета Внутр'!D1881</f>
        <v>7.39018936077457</v>
      </c>
      <c r="E1874" s="1004" t="n">
        <f aca="false">'Смета Внутр'!E1881</f>
        <v>250</v>
      </c>
      <c r="F1874" s="1004" t="n">
        <f aca="false">'Смета Внутр'!F1881</f>
        <v>0</v>
      </c>
      <c r="G1874" s="2888" t="n">
        <f aca="false">IF(E1874&gt;F1874,E1874,F1874)</f>
        <v>250</v>
      </c>
      <c r="H1874" s="1004" t="n">
        <f aca="false">'Смета Внутр'!G1881</f>
        <v>1847.54734019364</v>
      </c>
      <c r="I1874" s="1004" t="n">
        <f aca="false">'Смета Внутр'!H1881</f>
        <v>0</v>
      </c>
      <c r="J1874" s="2897" t="n">
        <f aca="false">'Смета Внутр'!I1881</f>
        <v>0</v>
      </c>
    </row>
    <row r="1875" customFormat="false" ht="15" hidden="false" customHeight="true" outlineLevel="0" collapsed="false">
      <c r="B1875" s="2888" t="str">
        <f aca="false">'Смета Внутр'!B1882</f>
        <v>карнизная планка</v>
      </c>
      <c r="C1875" s="2888" t="str">
        <f aca="false">'Смета Внутр'!C1882</f>
        <v>м.п.</v>
      </c>
      <c r="D1875" s="2897" t="n">
        <f aca="false">'Смета Внутр'!D1882</f>
        <v>4.18</v>
      </c>
      <c r="E1875" s="1004" t="n">
        <f aca="false">'Смета Внутр'!E1882</f>
        <v>200</v>
      </c>
      <c r="F1875" s="1004" t="n">
        <f aca="false">'Смета Внутр'!F1882</f>
        <v>0</v>
      </c>
      <c r="G1875" s="2888" t="n">
        <f aca="false">IF(E1875&gt;F1875,E1875,F1875)</f>
        <v>200</v>
      </c>
      <c r="H1875" s="1004" t="n">
        <f aca="false">'Смета Внутр'!G1882</f>
        <v>836</v>
      </c>
      <c r="I1875" s="1004" t="n">
        <f aca="false">'Смета Внутр'!H1882</f>
        <v>0</v>
      </c>
      <c r="J1875" s="2897" t="n">
        <f aca="false">'Смета Внутр'!I1882</f>
        <v>0</v>
      </c>
    </row>
    <row r="1876" customFormat="false" ht="15" hidden="false" customHeight="true" outlineLevel="0" collapsed="false">
      <c r="B1876" s="2888" t="str">
        <f aca="false">'Смета Внутр'!B1883</f>
        <v>торцевая планка</v>
      </c>
      <c r="C1876" s="2888" t="str">
        <f aca="false">'Смета Внутр'!C1883</f>
        <v>м.п.</v>
      </c>
      <c r="D1876" s="2897" t="n">
        <f aca="false">'Смета Внутр'!D1883</f>
        <v>3.56544223546141</v>
      </c>
      <c r="E1876" s="1004" t="n">
        <f aca="false">'Смета Внутр'!E1883</f>
        <v>200</v>
      </c>
      <c r="F1876" s="1004" t="n">
        <f aca="false">'Смета Внутр'!F1883</f>
        <v>0</v>
      </c>
      <c r="G1876" s="2888" t="n">
        <f aca="false">IF(E1876&gt;F1876,E1876,F1876)</f>
        <v>200</v>
      </c>
      <c r="H1876" s="1004" t="n">
        <f aca="false">'Смета Внутр'!G1883</f>
        <v>713.088447092283</v>
      </c>
      <c r="I1876" s="1004" t="n">
        <f aca="false">'Смета Внутр'!H1883</f>
        <v>0</v>
      </c>
      <c r="J1876" s="2897" t="n">
        <f aca="false">'Смета Внутр'!I1883</f>
        <v>0</v>
      </c>
    </row>
    <row r="1877" customFormat="false" ht="15" hidden="false" customHeight="true" outlineLevel="0" collapsed="false">
      <c r="B1877" s="2888" t="str">
        <f aca="false">'Смета Внутр'!B1884</f>
        <v>конек</v>
      </c>
      <c r="C1877" s="2888" t="str">
        <f aca="false">'Смета Внутр'!C1884</f>
        <v>м.п.</v>
      </c>
      <c r="D1877" s="2897" t="n">
        <f aca="false">'Смета Внутр'!D1884</f>
        <v>0</v>
      </c>
      <c r="E1877" s="1004" t="n">
        <f aca="false">'Смета Внутр'!E1884</f>
        <v>230</v>
      </c>
      <c r="F1877" s="1004" t="n">
        <f aca="false">'Смета Внутр'!F1884</f>
        <v>0</v>
      </c>
      <c r="G1877" s="2888" t="n">
        <f aca="false">IF(E1877&gt;F1877,E1877,F1877)</f>
        <v>230</v>
      </c>
      <c r="H1877" s="1004" t="n">
        <f aca="false">'Смета Внутр'!G1884</f>
        <v>0</v>
      </c>
      <c r="I1877" s="1004" t="n">
        <f aca="false">'Смета Внутр'!H1884</f>
        <v>0</v>
      </c>
      <c r="J1877" s="2897" t="n">
        <f aca="false">'Смета Внутр'!I1884</f>
        <v>0</v>
      </c>
    </row>
    <row r="1878" customFormat="false" ht="15" hidden="false" customHeight="true" outlineLevel="0" collapsed="false">
      <c r="B1878" s="1004" t="str">
        <f aca="false">'Смета Внутр'!B1885</f>
        <v>ондулин</v>
      </c>
      <c r="C1878" s="1004" t="str">
        <f aca="false">'Смета Внутр'!C1885</f>
        <v>м2</v>
      </c>
      <c r="D1878" s="1018" t="n">
        <f aca="false">'Смета Внутр'!D1885</f>
        <v>0</v>
      </c>
      <c r="E1878" s="1004" t="n">
        <f aca="false">'Смета Внутр'!E1885</f>
        <v>180</v>
      </c>
      <c r="F1878" s="1004" t="n">
        <f aca="false">'Смета Внутр'!F1885</f>
        <v>0</v>
      </c>
      <c r="G1878" s="1004" t="n">
        <f aca="false">IF(E1878&gt;F1878,E1878,F1878)</f>
        <v>180</v>
      </c>
      <c r="H1878" s="1004" t="n">
        <f aca="false">'Смета Внутр'!G1885</f>
        <v>0</v>
      </c>
      <c r="I1878" s="1004" t="n">
        <f aca="false">'Смета Внутр'!H1885</f>
        <v>0</v>
      </c>
      <c r="J1878" s="1018" t="n">
        <f aca="false">'Смета Внутр'!I1885</f>
        <v>0</v>
      </c>
    </row>
    <row r="1879" customFormat="false" ht="15" hidden="false" customHeight="true" outlineLevel="0" collapsed="false">
      <c r="B1879" s="1004" t="str">
        <f aca="false">'Смета Внутр'!B1886</f>
        <v>Карнизная планка</v>
      </c>
      <c r="C1879" s="1004" t="str">
        <f aca="false">'Смета Внутр'!C1886</f>
        <v>м.п.</v>
      </c>
      <c r="D1879" s="1018" t="n">
        <f aca="false">'Смета Внутр'!D1886</f>
        <v>0</v>
      </c>
      <c r="E1879" s="1004" t="n">
        <f aca="false">'Смета Внутр'!E1886</f>
        <v>190</v>
      </c>
      <c r="F1879" s="1004" t="n">
        <f aca="false">'Смета Внутр'!F1886</f>
        <v>0</v>
      </c>
      <c r="G1879" s="1004" t="n">
        <f aca="false">IF(E1879&gt;F1879,E1879,F1879)</f>
        <v>190</v>
      </c>
      <c r="H1879" s="1004" t="n">
        <f aca="false">'Смета Внутр'!G1886</f>
        <v>0</v>
      </c>
      <c r="I1879" s="1004" t="n">
        <f aca="false">'Смета Внутр'!H1886</f>
        <v>0</v>
      </c>
      <c r="J1879" s="1018" t="n">
        <f aca="false">'Смета Внутр'!I1886</f>
        <v>0</v>
      </c>
    </row>
    <row r="1880" customFormat="false" ht="15" hidden="false" customHeight="true" outlineLevel="0" collapsed="false">
      <c r="B1880" s="1004" t="str">
        <f aca="false">'Смета Внутр'!B1887</f>
        <v>Торцевая планка</v>
      </c>
      <c r="C1880" s="1004" t="str">
        <f aca="false">'Смета Внутр'!C1887</f>
        <v>м.п.</v>
      </c>
      <c r="D1880" s="1018" t="n">
        <f aca="false">'Смета Внутр'!D1887</f>
        <v>0</v>
      </c>
      <c r="E1880" s="1004" t="n">
        <f aca="false">'Смета Внутр'!E1887</f>
        <v>190</v>
      </c>
      <c r="F1880" s="1004" t="n">
        <f aca="false">'Смета Внутр'!F1887</f>
        <v>0</v>
      </c>
      <c r="G1880" s="1004" t="n">
        <f aca="false">IF(E1880&gt;F1880,E1880,F1880)</f>
        <v>190</v>
      </c>
      <c r="H1880" s="1004" t="n">
        <f aca="false">'Смета Внутр'!G1887</f>
        <v>0</v>
      </c>
      <c r="I1880" s="1004" t="n">
        <f aca="false">'Смета Внутр'!H1887</f>
        <v>0</v>
      </c>
      <c r="J1880" s="1018" t="n">
        <f aca="false">'Смета Внутр'!I1887</f>
        <v>0</v>
      </c>
    </row>
    <row r="1881" customFormat="false" ht="15" hidden="false" customHeight="true" outlineLevel="0" collapsed="false">
      <c r="B1881" s="1004" t="str">
        <f aca="false">'Смета Внутр'!B1888</f>
        <v>Конек</v>
      </c>
      <c r="C1881" s="1004" t="str">
        <f aca="false">'Смета Внутр'!C1888</f>
        <v>м.п.</v>
      </c>
      <c r="D1881" s="1018" t="n">
        <f aca="false">'Смета Внутр'!D1888</f>
        <v>0</v>
      </c>
      <c r="E1881" s="1004" t="n">
        <f aca="false">'Смета Внутр'!E1888</f>
        <v>200</v>
      </c>
      <c r="F1881" s="1004" t="n">
        <f aca="false">'Смета Внутр'!F1888</f>
        <v>0</v>
      </c>
      <c r="G1881" s="1004" t="n">
        <f aca="false">IF(E1881&gt;F1881,E1881,F1881)</f>
        <v>200</v>
      </c>
      <c r="H1881" s="1004" t="n">
        <f aca="false">'Смета Внутр'!G1888</f>
        <v>0</v>
      </c>
      <c r="I1881" s="1004" t="n">
        <f aca="false">'Смета Внутр'!H1888</f>
        <v>0</v>
      </c>
      <c r="J1881" s="1018" t="n">
        <f aca="false">'Смета Внутр'!I1888</f>
        <v>0</v>
      </c>
    </row>
    <row r="1882" customFormat="false" ht="15" hidden="false" customHeight="true" outlineLevel="0" collapsed="false">
      <c r="B1882" s="1004" t="str">
        <f aca="false">'Смета Внутр'!B1889</f>
        <v>Ендова нижняя</v>
      </c>
      <c r="C1882" s="1004" t="str">
        <f aca="false">'Смета Внутр'!C1889</f>
        <v>м.п.</v>
      </c>
      <c r="D1882" s="1018" t="n">
        <f aca="false">'Смета Внутр'!D1889</f>
        <v>0</v>
      </c>
      <c r="E1882" s="1004" t="n">
        <f aca="false">'Смета Внутр'!E1889</f>
        <v>160</v>
      </c>
      <c r="F1882" s="1004" t="n">
        <f aca="false">'Смета Внутр'!F1889</f>
        <v>0</v>
      </c>
      <c r="G1882" s="1004" t="n">
        <f aca="false">IF(E1882&gt;F1882,E1882,F1882)</f>
        <v>160</v>
      </c>
      <c r="H1882" s="1004" t="n">
        <f aca="false">'Смета Внутр'!G1889</f>
        <v>0</v>
      </c>
      <c r="I1882" s="1004" t="n">
        <f aca="false">'Смета Внутр'!H1889</f>
        <v>0</v>
      </c>
      <c r="J1882" s="1018" t="n">
        <f aca="false">'Смета Внутр'!I1889</f>
        <v>0</v>
      </c>
    </row>
    <row r="1883" customFormat="false" ht="15" hidden="false" customHeight="true" outlineLevel="0" collapsed="false">
      <c r="B1883" s="1004" t="str">
        <f aca="false">'Смета Внутр'!B1890</f>
        <v>Ендова верхняя</v>
      </c>
      <c r="C1883" s="1004" t="str">
        <f aca="false">'Смета Внутр'!C1890</f>
        <v>м.п.</v>
      </c>
      <c r="D1883" s="1018" t="n">
        <f aca="false">'Смета Внутр'!D1890</f>
        <v>0</v>
      </c>
      <c r="E1883" s="1004" t="n">
        <f aca="false">'Смета Внутр'!E1890</f>
        <v>190</v>
      </c>
      <c r="F1883" s="1004" t="n">
        <f aca="false">'Смета Внутр'!F1890</f>
        <v>0</v>
      </c>
      <c r="G1883" s="1004" t="n">
        <f aca="false">IF(E1883&gt;F1883,E1883,F1883)</f>
        <v>190</v>
      </c>
      <c r="H1883" s="1004" t="n">
        <f aca="false">'Смета Внутр'!G1890</f>
        <v>0</v>
      </c>
      <c r="I1883" s="1004" t="n">
        <f aca="false">'Смета Внутр'!H1890</f>
        <v>0</v>
      </c>
      <c r="J1883" s="1018" t="n">
        <f aca="false">'Смета Внутр'!I1890</f>
        <v>0</v>
      </c>
    </row>
    <row r="1884" customFormat="false" ht="15" hidden="false" customHeight="true" outlineLevel="0" collapsed="false">
      <c r="B1884" s="1004" t="str">
        <f aca="false">'Смета Внутр'!B1891</f>
        <v>Планка примыкания</v>
      </c>
      <c r="C1884" s="1004" t="str">
        <f aca="false">'Смета Внутр'!C1891</f>
        <v>м.п.</v>
      </c>
      <c r="D1884" s="1018" t="n">
        <f aca="false">'Смета Внутр'!D1891</f>
        <v>0</v>
      </c>
      <c r="E1884" s="1004" t="n">
        <f aca="false">'Смета Внутр'!E1891</f>
        <v>190</v>
      </c>
      <c r="F1884" s="1004" t="n">
        <f aca="false">'Смета Внутр'!F1891</f>
        <v>0</v>
      </c>
      <c r="G1884" s="1004" t="n">
        <f aca="false">IF(E1884&gt;F1884,E1884,F1884)</f>
        <v>190</v>
      </c>
      <c r="H1884" s="1004" t="n">
        <f aca="false">'Смета Внутр'!G1891</f>
        <v>0</v>
      </c>
      <c r="I1884" s="1004" t="n">
        <f aca="false">'Смета Внутр'!H1891</f>
        <v>0</v>
      </c>
      <c r="J1884" s="1018" t="n">
        <f aca="false">'Смета Внутр'!I1891</f>
        <v>0</v>
      </c>
    </row>
    <row r="1885" customFormat="false" ht="15" hidden="false" customHeight="true" outlineLevel="0" collapsed="false">
      <c r="B1885" s="1004" t="str">
        <f aca="false">'Смета Внутр'!B1892</f>
        <v>Крепеж для ондулина</v>
      </c>
      <c r="C1885" s="1004" t="str">
        <f aca="false">'Смета Внутр'!C1892</f>
        <v>шт</v>
      </c>
      <c r="D1885" s="1018" t="n">
        <f aca="false">'Смета Внутр'!D1892</f>
        <v>0</v>
      </c>
      <c r="E1885" s="1004" t="n">
        <f aca="false">'Смета Внутр'!E1892</f>
        <v>4.5</v>
      </c>
      <c r="F1885" s="1004" t="n">
        <f aca="false">'Смета Внутр'!F1892</f>
        <v>0</v>
      </c>
      <c r="G1885" s="1004" t="n">
        <f aca="false">IF(E1885&gt;F1885,E1885,F1885)</f>
        <v>4.5</v>
      </c>
      <c r="H1885" s="1004" t="n">
        <f aca="false">'Смета Внутр'!G1892</f>
        <v>0</v>
      </c>
      <c r="I1885" s="1004" t="n">
        <f aca="false">'Смета Внутр'!H1892</f>
        <v>0</v>
      </c>
      <c r="J1885" s="1018" t="n">
        <f aca="false">'Смета Внутр'!I1892</f>
        <v>0</v>
      </c>
    </row>
    <row r="1886" customFormat="false" ht="15" hidden="false" customHeight="true" outlineLevel="0" collapsed="false">
      <c r="B1886" s="1004" t="str">
        <f aca="false">'Смета Внутр'!B1893</f>
        <v>Рядовая черепица</v>
      </c>
      <c r="C1886" s="1004" t="str">
        <f aca="false">'Смета Внутр'!C1893</f>
        <v>м2</v>
      </c>
      <c r="D1886" s="1018" t="n">
        <f aca="false">'Смета Внутр'!D1893</f>
        <v>0</v>
      </c>
      <c r="E1886" s="1004" t="n">
        <f aca="false">'Смета Внутр'!E1893</f>
        <v>360</v>
      </c>
      <c r="F1886" s="1004" t="n">
        <f aca="false">'Смета Внутр'!F1893</f>
        <v>0</v>
      </c>
      <c r="G1886" s="1004" t="n">
        <f aca="false">IF(E1886&gt;F1886,E1886,F1886)</f>
        <v>360</v>
      </c>
      <c r="H1886" s="1004" t="n">
        <f aca="false">'Смета Внутр'!G1893</f>
        <v>0</v>
      </c>
      <c r="I1886" s="1004" t="n">
        <f aca="false">'Смета Внутр'!H1893</f>
        <v>0</v>
      </c>
      <c r="J1886" s="1018" t="n">
        <f aca="false">'Смета Внутр'!I1893</f>
        <v>0</v>
      </c>
    </row>
    <row r="1887" customFormat="false" ht="15" hidden="false" customHeight="true" outlineLevel="0" collapsed="false">
      <c r="B1887" s="1004" t="str">
        <f aca="false">'Смета Внутр'!B1894</f>
        <v>Металл оцинк защита (карниз)</v>
      </c>
      <c r="C1887" s="1004" t="str">
        <f aca="false">'Смета Внутр'!C1894</f>
        <v>м.п.</v>
      </c>
      <c r="D1887" s="1018" t="n">
        <f aca="false">'Смета Внутр'!D1894</f>
        <v>0</v>
      </c>
      <c r="E1887" s="1004" t="n">
        <f aca="false">'Смета Внутр'!E1894</f>
        <v>200</v>
      </c>
      <c r="F1887" s="1004" t="n">
        <f aca="false">'Смета Внутр'!F1894</f>
        <v>0</v>
      </c>
      <c r="G1887" s="1004" t="n">
        <f aca="false">IF(E1887&gt;F1887,E1887,F1887)</f>
        <v>200</v>
      </c>
      <c r="H1887" s="1004" t="n">
        <f aca="false">'Смета Внутр'!G1894</f>
        <v>0</v>
      </c>
      <c r="I1887" s="1004" t="n">
        <f aca="false">'Смета Внутр'!H1894</f>
        <v>0</v>
      </c>
      <c r="J1887" s="1018" t="n">
        <f aca="false">'Смета Внутр'!I1894</f>
        <v>0</v>
      </c>
    </row>
    <row r="1888" customFormat="false" ht="15" hidden="false" customHeight="true" outlineLevel="0" collapsed="false">
      <c r="B1888" s="1004" t="str">
        <f aca="false">'Смета Внутр'!B1895</f>
        <v>Подкладочный ковер</v>
      </c>
      <c r="C1888" s="1004" t="str">
        <f aca="false">'Смета Внутр'!C1895</f>
        <v>м.п.</v>
      </c>
      <c r="D1888" s="1018" t="n">
        <f aca="false">'Смета Внутр'!D1895</f>
        <v>0</v>
      </c>
      <c r="E1888" s="1004" t="n">
        <f aca="false">'Смета Внутр'!E1895</f>
        <v>220</v>
      </c>
      <c r="F1888" s="1004" t="n">
        <f aca="false">'Смета Внутр'!F1895</f>
        <v>0</v>
      </c>
      <c r="G1888" s="1004" t="n">
        <f aca="false">IF(E1888&gt;F1888,E1888,F1888)</f>
        <v>220</v>
      </c>
      <c r="H1888" s="1004" t="n">
        <f aca="false">'Смета Внутр'!G1895</f>
        <v>0</v>
      </c>
      <c r="I1888" s="1004" t="n">
        <f aca="false">'Смета Внутр'!H1895</f>
        <v>0</v>
      </c>
      <c r="J1888" s="1018" t="n">
        <f aca="false">'Смета Внутр'!I1895</f>
        <v>0</v>
      </c>
    </row>
    <row r="1889" customFormat="false" ht="15" hidden="false" customHeight="true" outlineLevel="0" collapsed="false">
      <c r="B1889" s="1004" t="str">
        <f aca="false">'Смета Внутр'!B1896</f>
        <v>Карнизная самоклеющаяся черепица</v>
      </c>
      <c r="C1889" s="1004" t="str">
        <f aca="false">'Смета Внутр'!C1896</f>
        <v>м.п.</v>
      </c>
      <c r="D1889" s="1018" t="n">
        <f aca="false">'Смета Внутр'!D1896</f>
        <v>0</v>
      </c>
      <c r="E1889" s="1004" t="n">
        <f aca="false">'Смета Внутр'!E1896</f>
        <v>220</v>
      </c>
      <c r="F1889" s="1004" t="n">
        <f aca="false">'Смета Внутр'!F1896</f>
        <v>0</v>
      </c>
      <c r="G1889" s="1004" t="n">
        <f aca="false">IF(E1889&gt;F1889,E1889,F1889)</f>
        <v>220</v>
      </c>
      <c r="H1889" s="1004" t="n">
        <f aca="false">'Смета Внутр'!G1896</f>
        <v>0</v>
      </c>
      <c r="I1889" s="1004" t="n">
        <f aca="false">'Смета Внутр'!H1896</f>
        <v>0</v>
      </c>
      <c r="J1889" s="1018" t="n">
        <f aca="false">'Смета Внутр'!I1896</f>
        <v>0</v>
      </c>
    </row>
    <row r="1890" customFormat="false" ht="15" hidden="false" customHeight="true" outlineLevel="0" collapsed="false">
      <c r="B1890" s="1004" t="str">
        <f aca="false">'Смета Внутр'!B1897</f>
        <v>Спец ковер ендова нижняя</v>
      </c>
      <c r="C1890" s="1004" t="str">
        <f aca="false">'Смета Внутр'!C1897</f>
        <v>м.п.</v>
      </c>
      <c r="D1890" s="1018" t="n">
        <f aca="false">'Смета Внутр'!D1897</f>
        <v>0</v>
      </c>
      <c r="E1890" s="1004" t="n">
        <f aca="false">'Смета Внутр'!E1897</f>
        <v>200</v>
      </c>
      <c r="F1890" s="1004" t="n">
        <f aca="false">'Смета Внутр'!F1897</f>
        <v>0</v>
      </c>
      <c r="G1890" s="1004" t="n">
        <f aca="false">IF(E1890&gt;F1890,E1890,F1890)</f>
        <v>200</v>
      </c>
      <c r="H1890" s="1004" t="n">
        <f aca="false">'Смета Внутр'!G1897</f>
        <v>0</v>
      </c>
      <c r="I1890" s="1004" t="n">
        <f aca="false">'Смета Внутр'!H1897</f>
        <v>0</v>
      </c>
      <c r="J1890" s="1018" t="n">
        <f aca="false">'Смета Внутр'!I1897</f>
        <v>0</v>
      </c>
    </row>
    <row r="1891" customFormat="false" ht="15" hidden="false" customHeight="true" outlineLevel="0" collapsed="false">
      <c r="B1891" s="1004" t="str">
        <f aca="false">'Смета Внутр'!B1898</f>
        <v>Коньковой элемент</v>
      </c>
      <c r="C1891" s="1004" t="str">
        <f aca="false">'Смета Внутр'!C1898</f>
        <v>м.п.</v>
      </c>
      <c r="D1891" s="1018" t="n">
        <f aca="false">'Смета Внутр'!D1898</f>
        <v>0</v>
      </c>
      <c r="E1891" s="1004" t="n">
        <f aca="false">'Смета Внутр'!E1898</f>
        <v>250</v>
      </c>
      <c r="F1891" s="1004" t="n">
        <f aca="false">'Смета Внутр'!F1898</f>
        <v>0</v>
      </c>
      <c r="G1891" s="1004" t="n">
        <f aca="false">IF(E1891&gt;F1891,E1891,F1891)</f>
        <v>250</v>
      </c>
      <c r="H1891" s="1004" t="n">
        <f aca="false">'Смета Внутр'!G1898</f>
        <v>0</v>
      </c>
      <c r="I1891" s="1004" t="n">
        <f aca="false">'Смета Внутр'!H1898</f>
        <v>0</v>
      </c>
      <c r="J1891" s="1018" t="n">
        <f aca="false">'Смета Внутр'!I1898</f>
        <v>0</v>
      </c>
    </row>
    <row r="1892" customFormat="false" ht="15" hidden="false" customHeight="true" outlineLevel="0" collapsed="false">
      <c r="B1892" s="1004" t="str">
        <f aca="false">'Смета Внутр'!B1899</f>
        <v>Планка премыкания</v>
      </c>
      <c r="C1892" s="1004" t="str">
        <f aca="false">'Смета Внутр'!C1899</f>
        <v>м.п.</v>
      </c>
      <c r="D1892" s="1018" t="n">
        <f aca="false">'Смета Внутр'!D1899</f>
        <v>0</v>
      </c>
      <c r="E1892" s="1004" t="n">
        <f aca="false">'Смета Внутр'!E1899</f>
        <v>200</v>
      </c>
      <c r="F1892" s="1004" t="n">
        <f aca="false">'Смета Внутр'!F1899</f>
        <v>0</v>
      </c>
      <c r="G1892" s="1004" t="n">
        <f aca="false">IF(E1892&gt;F1892,E1892,F1892)</f>
        <v>200</v>
      </c>
      <c r="H1892" s="1004" t="n">
        <f aca="false">'Смета Внутр'!G1899</f>
        <v>0</v>
      </c>
      <c r="I1892" s="1004" t="n">
        <f aca="false">'Смета Внутр'!H1899</f>
        <v>0</v>
      </c>
      <c r="J1892" s="1018" t="n">
        <f aca="false">'Смета Внутр'!I1899</f>
        <v>0</v>
      </c>
    </row>
    <row r="1893" customFormat="false" ht="15" hidden="false" customHeight="true" outlineLevel="0" collapsed="false">
      <c r="B1893" s="1004" t="str">
        <f aca="false">'Смета Внутр'!B1900</f>
        <v>Гвозди для крепления подкладочного ковра</v>
      </c>
      <c r="C1893" s="1004" t="str">
        <f aca="false">'Смета Внутр'!C1900</f>
        <v>шт</v>
      </c>
      <c r="D1893" s="1018" t="n">
        <f aca="false">'Смета Внутр'!D1900</f>
        <v>0</v>
      </c>
      <c r="E1893" s="1004" t="n">
        <f aca="false">'Смета Внутр'!E1900</f>
        <v>0.012</v>
      </c>
      <c r="F1893" s="1004" t="n">
        <f aca="false">'Смета Внутр'!F1900</f>
        <v>0</v>
      </c>
      <c r="G1893" s="1004" t="n">
        <f aca="false">IF(E1893&gt;F1893,E1893,F1893)</f>
        <v>0.012</v>
      </c>
      <c r="H1893" s="1004" t="n">
        <f aca="false">'Смета Внутр'!G1900</f>
        <v>0</v>
      </c>
      <c r="I1893" s="1004" t="n">
        <f aca="false">'Смета Внутр'!H1900</f>
        <v>0</v>
      </c>
      <c r="J1893" s="1018" t="n">
        <f aca="false">'Смета Внутр'!I1900</f>
        <v>0</v>
      </c>
    </row>
    <row r="1894" customFormat="false" ht="15" hidden="false" customHeight="true" outlineLevel="0" collapsed="false">
      <c r="B1894" s="1004" t="str">
        <f aca="false">'Смета Внутр'!B1901</f>
        <v>Гвозди для крепления черепицы</v>
      </c>
      <c r="C1894" s="1004" t="str">
        <f aca="false">'Смета Внутр'!C1901</f>
        <v>шт</v>
      </c>
      <c r="D1894" s="1018" t="n">
        <f aca="false">'Смета Внутр'!D1901</f>
        <v>0</v>
      </c>
      <c r="E1894" s="1004" t="n">
        <f aca="false">'Смета Внутр'!E1901</f>
        <v>0.25</v>
      </c>
      <c r="F1894" s="1004" t="n">
        <f aca="false">'Смета Внутр'!F1901</f>
        <v>0</v>
      </c>
      <c r="G1894" s="1004" t="n">
        <f aca="false">IF(E1894&gt;F1894,E1894,F1894)</f>
        <v>0.25</v>
      </c>
      <c r="H1894" s="1004" t="n">
        <f aca="false">'Смета Внутр'!G1901</f>
        <v>0</v>
      </c>
      <c r="I1894" s="1004" t="n">
        <f aca="false">'Смета Внутр'!H1901</f>
        <v>0</v>
      </c>
      <c r="J1894" s="1018" t="n">
        <f aca="false">'Смета Внутр'!I1901</f>
        <v>0</v>
      </c>
    </row>
    <row r="1895" customFormat="false" ht="15" hidden="false" customHeight="true" outlineLevel="0" collapsed="false">
      <c r="B1895" s="1004" t="str">
        <f aca="false">'Смета Внутр'!B1902</f>
        <v>Клей для монтажа черепицы</v>
      </c>
      <c r="C1895" s="1004" t="str">
        <f aca="false">'Смета Внутр'!C1902</f>
        <v>кг</v>
      </c>
      <c r="D1895" s="1018" t="n">
        <f aca="false">'Смета Внутр'!D1902</f>
        <v>0</v>
      </c>
      <c r="E1895" s="1004" t="n">
        <f aca="false">'Смета Внутр'!E1902</f>
        <v>250</v>
      </c>
      <c r="F1895" s="1004" t="n">
        <f aca="false">'Смета Внутр'!F1902</f>
        <v>0</v>
      </c>
      <c r="G1895" s="1004" t="n">
        <f aca="false">IF(E1895&gt;F1895,E1895,F1895)</f>
        <v>250</v>
      </c>
      <c r="H1895" s="1004" t="n">
        <f aca="false">'Смета Внутр'!G1902</f>
        <v>0</v>
      </c>
      <c r="I1895" s="1004" t="n">
        <f aca="false">'Смета Внутр'!H1902</f>
        <v>0</v>
      </c>
      <c r="J1895" s="1018" t="n">
        <f aca="false">'Смета Внутр'!I1902</f>
        <v>0</v>
      </c>
    </row>
    <row r="1896" customFormat="false" ht="15" hidden="false" customHeight="true" outlineLevel="0" collapsed="false">
      <c r="B1896" s="2888" t="str">
        <f aca="false">'Смета Внутр'!B1903</f>
        <v>желоб</v>
      </c>
      <c r="C1896" s="2888" t="str">
        <f aca="false">'Смета Внутр'!C1903</f>
        <v>м.п</v>
      </c>
      <c r="D1896" s="2897" t="n">
        <f aca="false">'Смета Внутр'!D1903</f>
        <v>4.18</v>
      </c>
      <c r="E1896" s="1004" t="n">
        <f aca="false">'Смета Внутр'!E1903</f>
        <v>300</v>
      </c>
      <c r="F1896" s="1004" t="n">
        <f aca="false">'Смета Внутр'!F1903</f>
        <v>0</v>
      </c>
      <c r="G1896" s="2888" t="n">
        <f aca="false">IF(E1896&gt;F1896,E1896,F1896)</f>
        <v>300</v>
      </c>
      <c r="H1896" s="1004" t="n">
        <f aca="false">'Смета Внутр'!G1903</f>
        <v>1254</v>
      </c>
      <c r="I1896" s="1004" t="n">
        <f aca="false">'Смета Внутр'!H1903</f>
        <v>0</v>
      </c>
      <c r="J1896" s="2897" t="n">
        <f aca="false">'Смета Внутр'!I1903</f>
        <v>0</v>
      </c>
    </row>
    <row r="1897" customFormat="false" ht="15" hidden="false" customHeight="true" outlineLevel="0" collapsed="false">
      <c r="B1897" s="2888" t="str">
        <f aca="false">'Смета Внутр'!B1904</f>
        <v>отвод</v>
      </c>
      <c r="C1897" s="2888" t="str">
        <f aca="false">'Смета Внутр'!C1904</f>
        <v>шт</v>
      </c>
      <c r="D1897" s="2897" t="n">
        <f aca="false">'Смета Внутр'!D1904</f>
        <v>2</v>
      </c>
      <c r="E1897" s="1004" t="n">
        <f aca="false">'Смета Внутр'!E1904</f>
        <v>250</v>
      </c>
      <c r="F1897" s="1004" t="n">
        <f aca="false">'Смета Внутр'!F1904</f>
        <v>0</v>
      </c>
      <c r="G1897" s="2888" t="n">
        <f aca="false">IF(E1897&gt;F1897,E1897,F1897)</f>
        <v>250</v>
      </c>
      <c r="H1897" s="1004" t="n">
        <f aca="false">'Смета Внутр'!G1904</f>
        <v>500</v>
      </c>
      <c r="I1897" s="1004" t="n">
        <f aca="false">'Смета Внутр'!H1904</f>
        <v>0</v>
      </c>
      <c r="J1897" s="2897" t="n">
        <f aca="false">'Смета Внутр'!I1904</f>
        <v>0</v>
      </c>
    </row>
    <row r="1898" customFormat="false" ht="15" hidden="false" customHeight="true" outlineLevel="0" collapsed="false">
      <c r="B1898" s="2888" t="str">
        <f aca="false">'Смета Внутр'!B1905</f>
        <v>труба водосточная</v>
      </c>
      <c r="C1898" s="2888" t="str">
        <f aca="false">'Смета Внутр'!C1905</f>
        <v>м.п.</v>
      </c>
      <c r="D1898" s="2897" t="n">
        <f aca="false">'Смета Внутр'!D1905</f>
        <v>0</v>
      </c>
      <c r="E1898" s="1004" t="n">
        <f aca="false">'Смета Внутр'!E1905</f>
        <v>300</v>
      </c>
      <c r="F1898" s="1004" t="n">
        <f aca="false">'Смета Внутр'!F1905</f>
        <v>0</v>
      </c>
      <c r="G1898" s="2888" t="n">
        <f aca="false">IF(E1898&gt;F1898,E1898,F1898)</f>
        <v>300</v>
      </c>
      <c r="H1898" s="1004" t="n">
        <f aca="false">'Смета Внутр'!G1905</f>
        <v>0</v>
      </c>
      <c r="I1898" s="1004" t="n">
        <f aca="false">'Смета Внутр'!H1905</f>
        <v>0</v>
      </c>
      <c r="J1898" s="2897" t="n">
        <f aca="false">'Смета Внутр'!I1905</f>
        <v>0</v>
      </c>
    </row>
    <row r="1899" customFormat="false" ht="15" hidden="false" customHeight="true" outlineLevel="0" collapsed="false">
      <c r="B1899" s="2888" t="str">
        <f aca="false">'Смета Внутр'!B1906</f>
        <v>заглушка для желоба</v>
      </c>
      <c r="C1899" s="2888" t="str">
        <f aca="false">'Смета Внутр'!C1906</f>
        <v>шт</v>
      </c>
      <c r="D1899" s="2897" t="n">
        <f aca="false">'Смета Внутр'!D1906</f>
        <v>2</v>
      </c>
      <c r="E1899" s="1004" t="n">
        <f aca="false">'Смета Внутр'!E1906</f>
        <v>190</v>
      </c>
      <c r="F1899" s="1004" t="n">
        <f aca="false">'Смета Внутр'!F1906</f>
        <v>0</v>
      </c>
      <c r="G1899" s="2888" t="n">
        <f aca="false">IF(E1899&gt;F1899,E1899,F1899)</f>
        <v>190</v>
      </c>
      <c r="H1899" s="1004" t="n">
        <f aca="false">'Смета Внутр'!G1906</f>
        <v>380</v>
      </c>
      <c r="I1899" s="1004" t="n">
        <f aca="false">'Смета Внутр'!H1906</f>
        <v>0</v>
      </c>
      <c r="J1899" s="2897" t="n">
        <f aca="false">'Смета Внутр'!I1906</f>
        <v>0</v>
      </c>
    </row>
    <row r="1900" customFormat="false" ht="15" hidden="false" customHeight="true" outlineLevel="0" collapsed="false">
      <c r="B1900" s="2888" t="str">
        <f aca="false">'Смета Внутр'!B1907</f>
        <v>соеденитель для желоба</v>
      </c>
      <c r="C1900" s="2888" t="str">
        <f aca="false">'Смета Внутр'!C1907</f>
        <v>шт</v>
      </c>
      <c r="D1900" s="2897" t="n">
        <f aca="false">'Смета Внутр'!D1907</f>
        <v>2</v>
      </c>
      <c r="E1900" s="1004" t="n">
        <f aca="false">'Смета Внутр'!E1907</f>
        <v>180</v>
      </c>
      <c r="F1900" s="1004" t="n">
        <f aca="false">'Смета Внутр'!F1907</f>
        <v>0</v>
      </c>
      <c r="G1900" s="2888" t="n">
        <f aca="false">IF(E1900&gt;F1900,E1900,F1900)</f>
        <v>180</v>
      </c>
      <c r="H1900" s="1004" t="n">
        <f aca="false">'Смета Внутр'!G1907</f>
        <v>360</v>
      </c>
      <c r="I1900" s="1004" t="n">
        <f aca="false">'Смета Внутр'!H1907</f>
        <v>0</v>
      </c>
      <c r="J1900" s="2897" t="n">
        <f aca="false">'Смета Внутр'!I1907</f>
        <v>0</v>
      </c>
    </row>
    <row r="1901" customFormat="false" ht="15" hidden="false" customHeight="true" outlineLevel="0" collapsed="false">
      <c r="B1901" s="2888" t="str">
        <f aca="false">'Смета Внутр'!B1908</f>
        <v>кронштейн для желоба</v>
      </c>
      <c r="C1901" s="2888" t="str">
        <f aca="false">'Смета Внутр'!C1908</f>
        <v>шт</v>
      </c>
      <c r="D1901" s="2897" t="n">
        <f aca="false">'Смета Внутр'!D1908</f>
        <v>10.45</v>
      </c>
      <c r="E1901" s="1004" t="n">
        <f aca="false">'Смета Внутр'!E1908</f>
        <v>130</v>
      </c>
      <c r="F1901" s="1004" t="n">
        <f aca="false">'Смета Внутр'!F1908</f>
        <v>0</v>
      </c>
      <c r="G1901" s="2888" t="n">
        <f aca="false">IF(E1901&gt;F1901,E1901,F1901)</f>
        <v>130</v>
      </c>
      <c r="H1901" s="1004" t="n">
        <f aca="false">'Смета Внутр'!G1908</f>
        <v>1358.5</v>
      </c>
      <c r="I1901" s="1004" t="n">
        <f aca="false">'Смета Внутр'!H1908</f>
        <v>0</v>
      </c>
      <c r="J1901" s="2897" t="n">
        <f aca="false">'Смета Внутр'!I1908</f>
        <v>0</v>
      </c>
    </row>
    <row r="1902" customFormat="false" ht="15" hidden="false" customHeight="true" outlineLevel="0" collapsed="false">
      <c r="B1902" s="2888" t="str">
        <f aca="false">'Смета Внутр'!B1909</f>
        <v>переход из желоба в трубу</v>
      </c>
      <c r="C1902" s="2888" t="str">
        <f aca="false">'Смета Внутр'!C1909</f>
        <v>шт</v>
      </c>
      <c r="D1902" s="2897" t="n">
        <f aca="false">'Смета Внутр'!D1909</f>
        <v>2</v>
      </c>
      <c r="E1902" s="1004" t="n">
        <f aca="false">'Смета Внутр'!E1909</f>
        <v>350</v>
      </c>
      <c r="F1902" s="1004" t="n">
        <f aca="false">'Смета Внутр'!F1909</f>
        <v>0</v>
      </c>
      <c r="G1902" s="2888" t="n">
        <f aca="false">IF(E1902&gt;F1902,E1902,F1902)</f>
        <v>350</v>
      </c>
      <c r="H1902" s="1004" t="n">
        <f aca="false">'Смета Внутр'!G1909</f>
        <v>700</v>
      </c>
      <c r="I1902" s="1004" t="n">
        <f aca="false">'Смета Внутр'!H1909</f>
        <v>0</v>
      </c>
      <c r="J1902" s="2897" t="n">
        <f aca="false">'Смета Внутр'!I1909</f>
        <v>0</v>
      </c>
    </row>
    <row r="1903" customFormat="false" ht="15" hidden="false" customHeight="true" outlineLevel="0" collapsed="false">
      <c r="B1903" s="2888" t="str">
        <f aca="false">'Смета Внутр'!B1910</f>
        <v>лента дельта мульти бэнд</v>
      </c>
      <c r="C1903" s="2888" t="str">
        <f aca="false">'Смета Внутр'!C1910</f>
        <v>шт</v>
      </c>
      <c r="D1903" s="2897" t="n">
        <f aca="false">'Смета Внутр'!D1910</f>
        <v>0.175956889542252</v>
      </c>
      <c r="E1903" s="1004" t="n">
        <f aca="false">'Смета Внутр'!E1910</f>
        <v>1200</v>
      </c>
      <c r="F1903" s="1004" t="n">
        <f aca="false">'Смета Внутр'!F1910</f>
        <v>0</v>
      </c>
      <c r="G1903" s="2888" t="n">
        <f aca="false">IF(E1903&gt;F1903,E1903,F1903)</f>
        <v>1200</v>
      </c>
      <c r="H1903" s="1004" t="n">
        <f aca="false">'Смета Внутр'!G1910</f>
        <v>211.148267450702</v>
      </c>
      <c r="I1903" s="1004" t="n">
        <f aca="false">'Смета Внутр'!H1910</f>
        <v>0</v>
      </c>
      <c r="J1903" s="2897" t="n">
        <f aca="false">'Смета Внутр'!I1910</f>
        <v>0</v>
      </c>
    </row>
    <row r="1904" customFormat="false" ht="15" hidden="false" customHeight="true" outlineLevel="0" collapsed="false">
      <c r="B1904" s="2888" t="str">
        <f aca="false">'Смета Внутр'!B1911</f>
        <v>лента дельта sb-60</v>
      </c>
      <c r="C1904" s="2888" t="str">
        <f aca="false">'Смета Внутр'!C1911</f>
        <v>шт</v>
      </c>
      <c r="D1904" s="2897" t="n">
        <f aca="false">'Смета Внутр'!D1911</f>
        <v>0.136855358532862</v>
      </c>
      <c r="E1904" s="1004" t="n">
        <f aca="false">'Смета Внутр'!E1911</f>
        <v>1100</v>
      </c>
      <c r="F1904" s="1004" t="n">
        <f aca="false">'Смета Внутр'!F1911</f>
        <v>0</v>
      </c>
      <c r="G1904" s="2888" t="n">
        <f aca="false">IF(E1904&gt;F1904,E1904,F1904)</f>
        <v>1100</v>
      </c>
      <c r="H1904" s="1004" t="n">
        <f aca="false">'Смета Внутр'!G1911</f>
        <v>150.540894386149</v>
      </c>
      <c r="I1904" s="1004" t="n">
        <f aca="false">'Смета Внутр'!H1911</f>
        <v>0</v>
      </c>
      <c r="J1904" s="2897" t="n">
        <f aca="false">'Смета Внутр'!I1911</f>
        <v>0</v>
      </c>
    </row>
    <row r="1905" customFormat="false" ht="15" hidden="false" customHeight="true" outlineLevel="0" collapsed="false">
      <c r="B1905" s="2888" t="str">
        <f aca="false">'Смета Внутр'!B1912</f>
        <v>Кровельный саморез</v>
      </c>
      <c r="C1905" s="2888" t="str">
        <f aca="false">'Смета Внутр'!C1912</f>
        <v>шт</v>
      </c>
      <c r="D1905" s="2897" t="n">
        <f aca="false">'Смета Внутр'!D1912</f>
        <v>73.9018936077457</v>
      </c>
      <c r="E1905" s="1004" t="n">
        <f aca="false">'Смета Внутр'!E1912</f>
        <v>2</v>
      </c>
      <c r="F1905" s="1004" t="n">
        <f aca="false">'Смета Внутр'!F1912</f>
        <v>0</v>
      </c>
      <c r="G1905" s="2888" t="n">
        <f aca="false">IF(E1905&gt;F1905,E1905,F1905)</f>
        <v>2</v>
      </c>
      <c r="H1905" s="1004" t="n">
        <f aca="false">'Смета Внутр'!G1912</f>
        <v>147.803787215491</v>
      </c>
      <c r="I1905" s="1004" t="n">
        <f aca="false">'Смета Внутр'!H1912</f>
        <v>0</v>
      </c>
      <c r="J1905" s="2897" t="n">
        <f aca="false">'Смета Внутр'!I1912</f>
        <v>0</v>
      </c>
    </row>
    <row r="1906" customFormat="false" ht="14.5" hidden="false" customHeight="false" outlineLevel="0" collapsed="false">
      <c r="B1906" s="2896" t="str">
        <f aca="false">'Смета Внутр'!B1913</f>
        <v>Итого материалы</v>
      </c>
      <c r="C1906" s="2896"/>
      <c r="D1906" s="2896"/>
      <c r="E1906" s="2896"/>
      <c r="F1906" s="2896"/>
      <c r="G1906" s="2896"/>
      <c r="H1906" s="1004" t="n">
        <f aca="false">'Смета Внутр'!G1913</f>
        <v>0</v>
      </c>
      <c r="I1906" s="1004" t="n">
        <f aca="false">'Смета Внутр'!H1913</f>
        <v>0</v>
      </c>
      <c r="J1906" s="2897" t="n">
        <f aca="false">'Смета Внутр'!I1913</f>
        <v>0</v>
      </c>
    </row>
    <row r="1907" customFormat="false" ht="15" hidden="false" customHeight="true" outlineLevel="0" collapsed="false">
      <c r="B1907" s="2881" t="str">
        <f aca="false">'Смета Внутр'!B1914</f>
        <v>Работы</v>
      </c>
      <c r="H1907" s="0" t="n">
        <f aca="false">'Смета Внутр'!G1914</f>
        <v>0</v>
      </c>
      <c r="I1907" s="0" t="n">
        <f aca="false">'Смета Внутр'!H1914</f>
        <v>0</v>
      </c>
      <c r="J1907" s="2893" t="n">
        <f aca="false">'Смета Внутр'!I1914</f>
        <v>0</v>
      </c>
    </row>
    <row r="1908" customFormat="false" ht="15" hidden="false" customHeight="true" outlineLevel="0" collapsed="false">
      <c r="B1908" s="2888" t="str">
        <f aca="false">'Смета Внутр'!B1915</f>
        <v>монтаж стропил</v>
      </c>
      <c r="C1908" s="2888" t="str">
        <f aca="false">'Смета Внутр'!C1915</f>
        <v>м2</v>
      </c>
      <c r="D1908" s="2897" t="n">
        <f aca="false">'Смета Внутр'!D1915</f>
        <v>6.15849113397881</v>
      </c>
      <c r="E1908" s="1004" t="n">
        <f aca="false">'Смета Внутр'!E1915</f>
        <v>450</v>
      </c>
      <c r="F1908" s="1004" t="n">
        <f aca="false">'Смета Внутр'!F1915</f>
        <v>0</v>
      </c>
      <c r="G1908" s="2888" t="n">
        <f aca="false">IF(E1908&gt;F1908,E1908,F1908)</f>
        <v>450</v>
      </c>
      <c r="H1908" s="1004" t="n">
        <f aca="false">'Смета Внутр'!G1915</f>
        <v>2771.32101029046</v>
      </c>
      <c r="I1908" s="1004" t="n">
        <f aca="false">'Смета Внутр'!H1915</f>
        <v>0</v>
      </c>
      <c r="J1908" s="2897" t="n">
        <f aca="false">'Смета Внутр'!I1915</f>
        <v>0</v>
      </c>
    </row>
    <row r="1909" customFormat="false" ht="15" hidden="false" customHeight="true" outlineLevel="0" collapsed="false">
      <c r="B1909" s="2888" t="str">
        <f aca="false">'Смета Внутр'!B1916</f>
        <v>обрешетка</v>
      </c>
      <c r="C1909" s="2888" t="str">
        <f aca="false">'Смета Внутр'!C1916</f>
        <v>м2</v>
      </c>
      <c r="D1909" s="2897" t="n">
        <f aca="false">'Смета Внутр'!D1916</f>
        <v>6.15849113397881</v>
      </c>
      <c r="E1909" s="1004" t="n">
        <f aca="false">'Смета Внутр'!E1916</f>
        <v>100</v>
      </c>
      <c r="F1909" s="1004" t="n">
        <f aca="false">'Смета Внутр'!F1916</f>
        <v>0</v>
      </c>
      <c r="G1909" s="2888" t="n">
        <f aca="false">IF(E1909&gt;F1909,E1909,F1909)</f>
        <v>100</v>
      </c>
      <c r="H1909" s="1004" t="n">
        <f aca="false">'Смета Внутр'!G1916</f>
        <v>615.849113397881</v>
      </c>
      <c r="I1909" s="1004" t="n">
        <f aca="false">'Смета Внутр'!H1916</f>
        <v>0</v>
      </c>
      <c r="J1909" s="2897" t="n">
        <f aca="false">'Смета Внутр'!I1916</f>
        <v>0</v>
      </c>
    </row>
    <row r="1910" customFormat="false" ht="15" hidden="false" customHeight="true" outlineLevel="0" collapsed="false">
      <c r="B1910" s="2888" t="str">
        <f aca="false">'Смета Внутр'!B1917</f>
        <v>контробеш</v>
      </c>
      <c r="C1910" s="2888" t="str">
        <f aca="false">'Смета Внутр'!C1917</f>
        <v>м2</v>
      </c>
      <c r="D1910" s="2897" t="n">
        <f aca="false">'Смета Внутр'!D1917</f>
        <v>0</v>
      </c>
      <c r="E1910" s="1004" t="n">
        <f aca="false">'Смета Внутр'!E1917</f>
        <v>100</v>
      </c>
      <c r="F1910" s="1004" t="n">
        <f aca="false">'Смета Внутр'!F1917</f>
        <v>0</v>
      </c>
      <c r="G1910" s="2888" t="n">
        <f aca="false">IF(E1910&gt;F1910,E1910,F1910)</f>
        <v>100</v>
      </c>
      <c r="H1910" s="1004" t="n">
        <f aca="false">'Смета Внутр'!G1917</f>
        <v>0</v>
      </c>
      <c r="I1910" s="1004" t="n">
        <f aca="false">'Смета Внутр'!H1917</f>
        <v>0</v>
      </c>
      <c r="J1910" s="2897" t="n">
        <f aca="false">'Смета Внутр'!I1917</f>
        <v>0</v>
      </c>
    </row>
    <row r="1911" customFormat="false" ht="15" hidden="false" customHeight="true" outlineLevel="0" collapsed="false">
      <c r="B1911" s="2888" t="str">
        <f aca="false">'Смета Внутр'!B1918</f>
        <v>мембрана</v>
      </c>
      <c r="C1911" s="2888" t="str">
        <f aca="false">'Смета Внутр'!C1918</f>
        <v>м2</v>
      </c>
      <c r="D1911" s="2897" t="n">
        <f aca="false">'Смета Внутр'!D1918</f>
        <v>6.15849113397881</v>
      </c>
      <c r="E1911" s="1004" t="n">
        <f aca="false">'Смета Внутр'!E1918</f>
        <v>100</v>
      </c>
      <c r="F1911" s="1004" t="n">
        <f aca="false">'Смета Внутр'!F1918</f>
        <v>0</v>
      </c>
      <c r="G1911" s="2888" t="n">
        <f aca="false">IF(E1911&gt;F1911,E1911,F1911)</f>
        <v>100</v>
      </c>
      <c r="H1911" s="1004" t="n">
        <f aca="false">'Смета Внутр'!G1918</f>
        <v>615.849113397881</v>
      </c>
      <c r="I1911" s="1004" t="n">
        <f aca="false">'Смета Внутр'!H1918</f>
        <v>0</v>
      </c>
      <c r="J1911" s="2897" t="n">
        <f aca="false">'Смета Внутр'!I1918</f>
        <v>0</v>
      </c>
    </row>
    <row r="1912" customFormat="false" ht="15" hidden="false" customHeight="true" outlineLevel="0" collapsed="false">
      <c r="B1912" s="2888" t="str">
        <f aca="false">'Смета Внутр'!B1919</f>
        <v>Монтаж металлочерепицы</v>
      </c>
      <c r="C1912" s="2888" t="str">
        <f aca="false">'Смета Внутр'!C1919</f>
        <v>м2</v>
      </c>
      <c r="D1912" s="2897" t="n">
        <f aca="false">'Смета Внутр'!D1919</f>
        <v>6.15849113397881</v>
      </c>
      <c r="E1912" s="1004" t="n">
        <f aca="false">'Смета Внутр'!E1919</f>
        <v>300</v>
      </c>
      <c r="F1912" s="1004" t="n">
        <f aca="false">'Смета Внутр'!F1919</f>
        <v>0</v>
      </c>
      <c r="G1912" s="2888" t="n">
        <f aca="false">IF(E1912&gt;F1912,E1912,F1912)</f>
        <v>300</v>
      </c>
      <c r="H1912" s="1004" t="n">
        <f aca="false">'Смета Внутр'!G1919</f>
        <v>1847.54734019364</v>
      </c>
      <c r="I1912" s="1004" t="n">
        <f aca="false">'Смета Внутр'!H1919</f>
        <v>0</v>
      </c>
      <c r="J1912" s="2897" t="n">
        <f aca="false">'Смета Внутр'!I1919</f>
        <v>0</v>
      </c>
    </row>
    <row r="1913" customFormat="false" ht="15" hidden="false" customHeight="true" outlineLevel="0" collapsed="false">
      <c r="B1913" s="2888" t="str">
        <f aca="false">'Смета Внутр'!B1920</f>
        <v>карнизная планка</v>
      </c>
      <c r="C1913" s="2888" t="str">
        <f aca="false">'Смета Внутр'!C1920</f>
        <v>м2</v>
      </c>
      <c r="D1913" s="2897" t="n">
        <f aca="false">'Смета Внутр'!D1920</f>
        <v>4.18</v>
      </c>
      <c r="E1913" s="1004" t="n">
        <f aca="false">'Смета Внутр'!E1920</f>
        <v>100</v>
      </c>
      <c r="F1913" s="1004" t="n">
        <f aca="false">'Смета Внутр'!F1920</f>
        <v>0</v>
      </c>
      <c r="G1913" s="2888" t="n">
        <f aca="false">IF(E1913&gt;F1913,E1913,F1913)</f>
        <v>100</v>
      </c>
      <c r="H1913" s="1004" t="n">
        <f aca="false">'Смета Внутр'!G1920</f>
        <v>418</v>
      </c>
      <c r="I1913" s="1004" t="n">
        <f aca="false">'Смета Внутр'!H1920</f>
        <v>0</v>
      </c>
      <c r="J1913" s="2897" t="n">
        <f aca="false">'Смета Внутр'!I1920</f>
        <v>0</v>
      </c>
    </row>
    <row r="1914" customFormat="false" ht="15" hidden="false" customHeight="true" outlineLevel="0" collapsed="false">
      <c r="B1914" s="2888" t="str">
        <f aca="false">'Смета Внутр'!B1921</f>
        <v>торцевая планка</v>
      </c>
      <c r="C1914" s="2888" t="str">
        <f aca="false">'Смета Внутр'!C1921</f>
        <v>м2</v>
      </c>
      <c r="D1914" s="2897" t="n">
        <f aca="false">'Смета Внутр'!D1921</f>
        <v>3.56544223546141</v>
      </c>
      <c r="E1914" s="1004" t="n">
        <f aca="false">'Смета Внутр'!E1921</f>
        <v>100</v>
      </c>
      <c r="F1914" s="1004" t="n">
        <f aca="false">'Смета Внутр'!F1921</f>
        <v>0</v>
      </c>
      <c r="G1914" s="2888" t="n">
        <f aca="false">IF(E1914&gt;F1914,E1914,F1914)</f>
        <v>100</v>
      </c>
      <c r="H1914" s="1004" t="n">
        <f aca="false">'Смета Внутр'!G1921</f>
        <v>356.544223546141</v>
      </c>
      <c r="I1914" s="1004" t="n">
        <f aca="false">'Смета Внутр'!H1921</f>
        <v>0</v>
      </c>
      <c r="J1914" s="2897" t="n">
        <f aca="false">'Смета Внутр'!I1921</f>
        <v>0</v>
      </c>
    </row>
    <row r="1915" customFormat="false" ht="15" hidden="false" customHeight="true" outlineLevel="0" collapsed="false">
      <c r="B1915" s="2888" t="str">
        <f aca="false">'Смета Внутр'!B1922</f>
        <v>желоб водосточный</v>
      </c>
      <c r="C1915" s="2888" t="str">
        <f aca="false">'Смета Внутр'!C1922</f>
        <v>м.п.</v>
      </c>
      <c r="D1915" s="2897" t="n">
        <f aca="false">'Смета Внутр'!D1922</f>
        <v>4.18</v>
      </c>
      <c r="E1915" s="1004" t="n">
        <f aca="false">'Смета Внутр'!E1922</f>
        <v>300</v>
      </c>
      <c r="F1915" s="1004" t="n">
        <f aca="false">'Смета Внутр'!F1922</f>
        <v>0</v>
      </c>
      <c r="G1915" s="2888" t="n">
        <f aca="false">IF(E1915&gt;F1915,E1915,F1915)</f>
        <v>300</v>
      </c>
      <c r="H1915" s="1004" t="n">
        <f aca="false">'Смета Внутр'!G1922</f>
        <v>1254</v>
      </c>
      <c r="I1915" s="1004" t="n">
        <f aca="false">'Смета Внутр'!H1922</f>
        <v>0</v>
      </c>
      <c r="J1915" s="2897" t="n">
        <f aca="false">'Смета Внутр'!I1922</f>
        <v>0</v>
      </c>
    </row>
    <row r="1916" customFormat="false" ht="15" hidden="false" customHeight="true" outlineLevel="0" collapsed="false">
      <c r="B1916" s="2888" t="str">
        <f aca="false">'Смета Внутр'!B1923</f>
        <v>труба водосточная</v>
      </c>
      <c r="C1916" s="2888" t="str">
        <f aca="false">'Смета Внутр'!C1923</f>
        <v>м.п.</v>
      </c>
      <c r="D1916" s="2897" t="n">
        <f aca="false">'Смета Внутр'!D1923</f>
        <v>0</v>
      </c>
      <c r="E1916" s="1004" t="n">
        <f aca="false">'Смета Внутр'!E1923</f>
        <v>300</v>
      </c>
      <c r="F1916" s="1004" t="n">
        <f aca="false">'Смета Внутр'!F1923</f>
        <v>0</v>
      </c>
      <c r="G1916" s="2888" t="n">
        <f aca="false">IF(E1916&gt;F1916,E1916,F1916)</f>
        <v>300</v>
      </c>
      <c r="H1916" s="1004" t="n">
        <f aca="false">'Смета Внутр'!G1923</f>
        <v>0</v>
      </c>
      <c r="I1916" s="1004" t="n">
        <f aca="false">'Смета Внутр'!H1923</f>
        <v>0</v>
      </c>
      <c r="J1916" s="2897" t="n">
        <f aca="false">'Смета Внутр'!I1923</f>
        <v>0</v>
      </c>
    </row>
    <row r="1917" customFormat="false" ht="15" hidden="false" customHeight="true" outlineLevel="0" collapsed="false">
      <c r="B1917" s="1004" t="str">
        <f aca="false">'Смета Внутр'!B1924</f>
        <v>Монтаж ондулина</v>
      </c>
      <c r="C1917" s="1004" t="str">
        <f aca="false">'Смета Внутр'!C1924</f>
        <v>м2</v>
      </c>
      <c r="D1917" s="1018" t="n">
        <f aca="false">'Смета Внутр'!D1924</f>
        <v>0</v>
      </c>
      <c r="E1917" s="1004" t="n">
        <f aca="false">'Смета Внутр'!E1924</f>
        <v>300</v>
      </c>
      <c r="F1917" s="1004" t="n">
        <f aca="false">'Смета Внутр'!F1924</f>
        <v>0</v>
      </c>
      <c r="G1917" s="1004" t="n">
        <f aca="false">IF(E1917&gt;F1917,E1917,F1917)</f>
        <v>300</v>
      </c>
      <c r="H1917" s="1004" t="n">
        <f aca="false">'Смета Внутр'!G1924</f>
        <v>0</v>
      </c>
      <c r="I1917" s="1004" t="n">
        <f aca="false">'Смета Внутр'!H1924</f>
        <v>0</v>
      </c>
      <c r="J1917" s="1018" t="n">
        <f aca="false">'Смета Внутр'!I1924</f>
        <v>0</v>
      </c>
    </row>
    <row r="1918" customFormat="false" ht="15" hidden="false" customHeight="true" outlineLevel="0" collapsed="false">
      <c r="B1918" s="1004" t="str">
        <f aca="false">'Смета Внутр'!B1925</f>
        <v>Монтаж фанеры/osb</v>
      </c>
      <c r="C1918" s="1004" t="str">
        <f aca="false">'Смета Внутр'!C1925</f>
        <v>м2</v>
      </c>
      <c r="D1918" s="1018" t="n">
        <f aca="false">'Смета Внутр'!D1925</f>
        <v>0</v>
      </c>
      <c r="E1918" s="1004" t="n">
        <f aca="false">'Смета Внутр'!E1925</f>
        <v>200</v>
      </c>
      <c r="F1918" s="1004" t="n">
        <f aca="false">'Смета Внутр'!F1925</f>
        <v>0</v>
      </c>
      <c r="G1918" s="1004" t="n">
        <f aca="false">IF(E1918&gt;F1918,E1918,F1918)</f>
        <v>200</v>
      </c>
      <c r="H1918" s="1004" t="n">
        <f aca="false">'Смета Внутр'!G1925</f>
        <v>0</v>
      </c>
      <c r="I1918" s="1004" t="n">
        <f aca="false">'Смета Внутр'!H1925</f>
        <v>0</v>
      </c>
      <c r="J1918" s="1018" t="n">
        <f aca="false">'Смета Внутр'!I1925</f>
        <v>0</v>
      </c>
    </row>
    <row r="1919" customFormat="false" ht="15" hidden="false" customHeight="true" outlineLevel="0" collapsed="false">
      <c r="B1919" s="1004" t="str">
        <f aca="false">'Смета Внутр'!B1926</f>
        <v>монтаж подкладочного ковра</v>
      </c>
      <c r="C1919" s="1004" t="str">
        <f aca="false">'Смета Внутр'!C1926</f>
        <v>м2</v>
      </c>
      <c r="D1919" s="1018" t="n">
        <f aca="false">'Смета Внутр'!D1926</f>
        <v>0</v>
      </c>
      <c r="E1919" s="1004" t="n">
        <f aca="false">'Смета Внутр'!E1926</f>
        <v>150</v>
      </c>
      <c r="F1919" s="1004" t="n">
        <f aca="false">'Смета Внутр'!F1926</f>
        <v>0</v>
      </c>
      <c r="G1919" s="1004" t="n">
        <f aca="false">IF(E1919&gt;F1919,E1919,F1919)</f>
        <v>150</v>
      </c>
      <c r="H1919" s="1004" t="n">
        <f aca="false">'Смета Внутр'!G1926</f>
        <v>0</v>
      </c>
      <c r="I1919" s="1004" t="n">
        <f aca="false">'Смета Внутр'!H1926</f>
        <v>0</v>
      </c>
      <c r="J1919" s="1018" t="n">
        <f aca="false">'Смета Внутр'!I1926</f>
        <v>0</v>
      </c>
    </row>
    <row r="1920" customFormat="false" ht="15" hidden="false" customHeight="true" outlineLevel="0" collapsed="false">
      <c r="B1920" s="1004" t="str">
        <f aca="false">'Смета Внутр'!B1927</f>
        <v>Монтаж мягкой кровли</v>
      </c>
      <c r="C1920" s="1004" t="str">
        <f aca="false">'Смета Внутр'!C1927</f>
        <v>м2</v>
      </c>
      <c r="D1920" s="1018" t="n">
        <f aca="false">'Смета Внутр'!D1927</f>
        <v>0</v>
      </c>
      <c r="E1920" s="1004" t="n">
        <f aca="false">'Смета Внутр'!E1927</f>
        <v>350</v>
      </c>
      <c r="F1920" s="1004" t="n">
        <f aca="false">'Смета Внутр'!F1927</f>
        <v>0</v>
      </c>
      <c r="G1920" s="1004" t="n">
        <f aca="false">IF(E1920&gt;F1920,E1920,F1920)</f>
        <v>350</v>
      </c>
      <c r="H1920" s="1004" t="n">
        <f aca="false">'Смета Внутр'!G1927</f>
        <v>0</v>
      </c>
      <c r="I1920" s="1004" t="n">
        <f aca="false">'Смета Внутр'!H1927</f>
        <v>0</v>
      </c>
      <c r="J1920" s="1018" t="n">
        <f aca="false">'Смета Внутр'!I1927</f>
        <v>0</v>
      </c>
    </row>
    <row r="1921" customFormat="false" ht="15" hidden="false" customHeight="true" outlineLevel="0" collapsed="false">
      <c r="B1921" s="1004" t="str">
        <f aca="false">'Смета Внутр'!B1928</f>
        <v>Монтаж планки примыкания</v>
      </c>
      <c r="C1921" s="1004" t="str">
        <f aca="false">'Смета Внутр'!C1928</f>
        <v>м.п.</v>
      </c>
      <c r="D1921" s="1018" t="n">
        <f aca="false">'Смета Внутр'!D1928</f>
        <v>0</v>
      </c>
      <c r="E1921" s="1004" t="n">
        <f aca="false">'Смета Внутр'!E1928</f>
        <v>200</v>
      </c>
      <c r="F1921" s="1004" t="n">
        <f aca="false">'Смета Внутр'!F1928</f>
        <v>0</v>
      </c>
      <c r="G1921" s="1004" t="n">
        <f aca="false">IF(E1921&gt;F1921,E1921,F1921)</f>
        <v>200</v>
      </c>
      <c r="H1921" s="1004" t="n">
        <f aca="false">'Смета Внутр'!G1928</f>
        <v>0</v>
      </c>
      <c r="I1921" s="1004" t="n">
        <f aca="false">'Смета Внутр'!H1928</f>
        <v>0</v>
      </c>
      <c r="J1921" s="1018" t="n">
        <f aca="false">'Смета Внутр'!I1928</f>
        <v>0</v>
      </c>
    </row>
    <row r="1922" customFormat="false" ht="15" hidden="false" customHeight="true" outlineLevel="0" collapsed="false">
      <c r="B1922" s="2896" t="str">
        <f aca="false">'Смета Внутр'!B1929</f>
        <v>Итого работы</v>
      </c>
      <c r="C1922" s="2896"/>
      <c r="D1922" s="2896"/>
      <c r="E1922" s="2896"/>
      <c r="F1922" s="2896"/>
      <c r="G1922" s="2896"/>
      <c r="H1922" s="1004" t="n">
        <f aca="false">'Смета Внутр'!G1929</f>
        <v>0</v>
      </c>
      <c r="I1922" s="1004" t="n">
        <f aca="false">'Смета Внутр'!H1929</f>
        <v>0</v>
      </c>
      <c r="J1922" s="2897" t="n">
        <f aca="false">'Смета Внутр'!I1929</f>
        <v>0</v>
      </c>
    </row>
    <row r="1923" customFormat="false" ht="15" hidden="false" customHeight="true" outlineLevel="0" collapsed="false">
      <c r="B1923" s="2925" t="str">
        <f aca="false">'Смета Внутр'!B1930</f>
        <v>Окна и двери</v>
      </c>
      <c r="C1923" s="2925"/>
      <c r="D1923" s="2925"/>
      <c r="H1923" s="0" t="n">
        <f aca="false">'Смета Внутр'!G1930</f>
        <v>0</v>
      </c>
      <c r="I1923" s="0" t="n">
        <f aca="false">'Смета Внутр'!H1930</f>
        <v>0</v>
      </c>
      <c r="J1923" s="2926" t="n">
        <f aca="false">'Смета Внутр'!I1930</f>
        <v>0</v>
      </c>
    </row>
    <row r="1924" customFormat="false" ht="15" hidden="false" customHeight="true" outlineLevel="0" collapsed="false">
      <c r="B1924" s="2881" t="str">
        <f aca="false">'Смета Внутр'!B1931</f>
        <v>Материалы</v>
      </c>
      <c r="D1924" s="919"/>
      <c r="H1924" s="0" t="n">
        <f aca="false">'Смета Внутр'!G1931</f>
        <v>0</v>
      </c>
      <c r="I1924" s="0" t="n">
        <f aca="false">'Смета Внутр'!H1931</f>
        <v>0</v>
      </c>
      <c r="J1924" s="2926" t="n">
        <f aca="false">'Смета Внутр'!I1931</f>
        <v>0</v>
      </c>
    </row>
    <row r="1925" customFormat="false" ht="15" hidden="false" customHeight="true" outlineLevel="0" collapsed="false">
      <c r="B1925" s="1004" t="str">
        <f aca="false">'Смета Внутр'!B1932</f>
        <v>окна</v>
      </c>
      <c r="C1925" s="1004" t="str">
        <f aca="false">'Смета Внутр'!C1932</f>
        <v>м2</v>
      </c>
      <c r="D1925" s="1018" t="n">
        <f aca="false">'Смета Внутр'!D1932</f>
        <v>1.2</v>
      </c>
      <c r="E1925" s="1004" t="n">
        <f aca="false">'Смета Внутр'!E1932</f>
        <v>3500</v>
      </c>
      <c r="F1925" s="1004" t="n">
        <f aca="false">'Смета Внутр'!F1932</f>
        <v>0</v>
      </c>
      <c r="G1925" s="1004" t="n">
        <f aca="false">IF(E1925&gt;F1925,E1925,F1925)</f>
        <v>3500</v>
      </c>
      <c r="H1925" s="1004" t="n">
        <f aca="false">'Смета Внутр'!G1932</f>
        <v>4200</v>
      </c>
      <c r="I1925" s="1004" t="n">
        <f aca="false">'Смета Внутр'!H1932</f>
        <v>0</v>
      </c>
      <c r="J1925" s="1018" t="n">
        <f aca="false">'Смета Внутр'!I1932</f>
        <v>0</v>
      </c>
    </row>
    <row r="1926" customFormat="false" ht="15" hidden="false" customHeight="true" outlineLevel="0" collapsed="false">
      <c r="B1926" s="1004" t="str">
        <f aca="false">'Смета Внутр'!B1933</f>
        <v>подоконник</v>
      </c>
      <c r="C1926" s="1004" t="str">
        <f aca="false">'Смета Внутр'!C1933</f>
        <v>м.п.</v>
      </c>
      <c r="D1926" s="1018" t="n">
        <f aca="false">'Смета Внутр'!D1933</f>
        <v>1</v>
      </c>
      <c r="E1926" s="1004" t="n">
        <f aca="false">'Смета Внутр'!E1933</f>
        <v>200</v>
      </c>
      <c r="F1926" s="1004" t="n">
        <f aca="false">'Смета Внутр'!F1933</f>
        <v>0</v>
      </c>
      <c r="G1926" s="1004" t="n">
        <f aca="false">IF(E1926&gt;F1926,E1926,F1926)</f>
        <v>200</v>
      </c>
      <c r="H1926" s="1004" t="n">
        <f aca="false">'Смета Внутр'!G1933</f>
        <v>200</v>
      </c>
      <c r="I1926" s="1004" t="n">
        <f aca="false">'Смета Внутр'!H1933</f>
        <v>0</v>
      </c>
      <c r="J1926" s="1018" t="n">
        <f aca="false">'Смета Внутр'!I1933</f>
        <v>0</v>
      </c>
    </row>
    <row r="1927" customFormat="false" ht="15" hidden="false" customHeight="true" outlineLevel="0" collapsed="false">
      <c r="B1927" s="1004" t="str">
        <f aca="false">'Смета Внутр'!B1934</f>
        <v>направляющие для откосов внутр</v>
      </c>
      <c r="C1927" s="1004" t="str">
        <f aca="false">'Смета Внутр'!C1934</f>
        <v>шт</v>
      </c>
      <c r="D1927" s="1018" t="n">
        <f aca="false">'Смета Внутр'!D1934</f>
        <v>3.4</v>
      </c>
      <c r="E1927" s="1004" t="n">
        <f aca="false">'Смета Внутр'!E1934</f>
        <v>50</v>
      </c>
      <c r="F1927" s="1004" t="n">
        <f aca="false">'Смета Внутр'!F1934</f>
        <v>0</v>
      </c>
      <c r="G1927" s="1004" t="n">
        <f aca="false">IF(E1927&gt;F1927,E1927,F1927)</f>
        <v>50</v>
      </c>
      <c r="H1927" s="1004" t="n">
        <f aca="false">'Смета Внутр'!G1934</f>
        <v>170</v>
      </c>
      <c r="I1927" s="1004" t="n">
        <f aca="false">'Смета Внутр'!H1934</f>
        <v>0</v>
      </c>
      <c r="J1927" s="1018" t="n">
        <f aca="false">'Смета Внутр'!I1934</f>
        <v>0</v>
      </c>
    </row>
    <row r="1928" customFormat="false" ht="15" hidden="false" customHeight="true" outlineLevel="0" collapsed="false">
      <c r="B1928" s="1004" t="str">
        <f aca="false">'Смета Внутр'!B1935</f>
        <v>откосы внутр</v>
      </c>
      <c r="C1928" s="1004" t="str">
        <f aca="false">'Смета Внутр'!C1935</f>
        <v>шт</v>
      </c>
      <c r="D1928" s="1018" t="n">
        <f aca="false">'Смета Внутр'!D1935</f>
        <v>3.4</v>
      </c>
      <c r="E1928" s="1004" t="n">
        <f aca="false">'Смета Внутр'!E1935</f>
        <v>100</v>
      </c>
      <c r="F1928" s="1004" t="n">
        <f aca="false">'Смета Внутр'!F1935</f>
        <v>0</v>
      </c>
      <c r="G1928" s="1004" t="n">
        <f aca="false">IF(E1928&gt;F1928,E1928,F1928)</f>
        <v>100</v>
      </c>
      <c r="H1928" s="1004" t="n">
        <f aca="false">'Смета Внутр'!G1935</f>
        <v>340</v>
      </c>
      <c r="I1928" s="1004" t="n">
        <f aca="false">'Смета Внутр'!H1935</f>
        <v>0</v>
      </c>
      <c r="J1928" s="1018" t="n">
        <f aca="false">'Смета Внутр'!I1935</f>
        <v>0</v>
      </c>
    </row>
    <row r="1929" customFormat="false" ht="15" hidden="false" customHeight="true" outlineLevel="0" collapsed="false">
      <c r="B1929" s="1004" t="str">
        <f aca="false">'Смета Внутр'!B1936</f>
        <v>уголок для откосов внутр</v>
      </c>
      <c r="C1929" s="1004" t="str">
        <f aca="false">'Смета Внутр'!C1936</f>
        <v>шт</v>
      </c>
      <c r="D1929" s="1018" t="n">
        <f aca="false">'Смета Внутр'!D1936</f>
        <v>3.4</v>
      </c>
      <c r="E1929" s="1004" t="n">
        <f aca="false">'Смета Внутр'!E1936</f>
        <v>50</v>
      </c>
      <c r="F1929" s="1004" t="n">
        <f aca="false">'Смета Внутр'!F1936</f>
        <v>0</v>
      </c>
      <c r="G1929" s="1004" t="n">
        <f aca="false">IF(E1929&gt;F1929,E1929,F1929)</f>
        <v>50</v>
      </c>
      <c r="H1929" s="1004" t="n">
        <f aca="false">'Смета Внутр'!G1936</f>
        <v>170</v>
      </c>
      <c r="I1929" s="1004" t="n">
        <f aca="false">'Смета Внутр'!H1936</f>
        <v>0</v>
      </c>
      <c r="J1929" s="1018" t="n">
        <f aca="false">'Смета Внутр'!I1936</f>
        <v>0</v>
      </c>
    </row>
    <row r="1930" customFormat="false" ht="15" hidden="false" customHeight="true" outlineLevel="0" collapsed="false">
      <c r="B1930" s="1004" t="str">
        <f aca="false">'Смета Внутр'!B1937</f>
        <v>отлив</v>
      </c>
      <c r="C1930" s="1004" t="str">
        <f aca="false">'Смета Внутр'!C1937</f>
        <v>шт</v>
      </c>
      <c r="D1930" s="1018" t="n">
        <f aca="false">'Смета Внутр'!D1937</f>
        <v>0</v>
      </c>
      <c r="E1930" s="1004" t="n">
        <f aca="false">'Смета Внутр'!E1937</f>
        <v>130</v>
      </c>
      <c r="F1930" s="1004" t="n">
        <f aca="false">'Смета Внутр'!F1937</f>
        <v>0</v>
      </c>
      <c r="G1930" s="1004" t="n">
        <f aca="false">IF(E1930&gt;F1930,E1930,F1930)</f>
        <v>130</v>
      </c>
      <c r="H1930" s="1004" t="n">
        <f aca="false">'Смета Внутр'!G1937</f>
        <v>0</v>
      </c>
      <c r="I1930" s="1004" t="n">
        <f aca="false">'Смета Внутр'!H1937</f>
        <v>0</v>
      </c>
      <c r="J1930" s="1018" t="n">
        <f aca="false">'Смета Внутр'!I1937</f>
        <v>0</v>
      </c>
    </row>
    <row r="1931" customFormat="false" ht="15" hidden="false" customHeight="true" outlineLevel="0" collapsed="false">
      <c r="B1931" s="1004" t="str">
        <f aca="false">'Смета Внутр'!B1938</f>
        <v>откосы нар</v>
      </c>
      <c r="C1931" s="1004" t="str">
        <f aca="false">'Смета Внутр'!C1938</f>
        <v>шт</v>
      </c>
      <c r="D1931" s="1018" t="n">
        <f aca="false">'Смета Внутр'!D1938</f>
        <v>0</v>
      </c>
      <c r="E1931" s="1004" t="n">
        <f aca="false">'Смета Внутр'!E1938</f>
        <v>150</v>
      </c>
      <c r="F1931" s="1004" t="n">
        <f aca="false">'Смета Внутр'!F1938</f>
        <v>0</v>
      </c>
      <c r="G1931" s="1004" t="n">
        <f aca="false">IF(E1931&gt;F1931,E1931,F1931)</f>
        <v>150</v>
      </c>
      <c r="H1931" s="1004" t="n">
        <f aca="false">'Смета Внутр'!G1938</f>
        <v>0</v>
      </c>
      <c r="I1931" s="1004" t="n">
        <f aca="false">'Смета Внутр'!H1938</f>
        <v>0</v>
      </c>
      <c r="J1931" s="1018" t="n">
        <f aca="false">'Смета Внутр'!I1938</f>
        <v>0</v>
      </c>
    </row>
    <row r="1932" customFormat="false" ht="15" hidden="false" customHeight="true" outlineLevel="0" collapsed="false">
      <c r="B1932" s="1004" t="str">
        <f aca="false">'Смета Внутр'!B1939</f>
        <v>направляющие для откосов нар</v>
      </c>
      <c r="C1932" s="1004" t="str">
        <f aca="false">'Смета Внутр'!C1939</f>
        <v>шт</v>
      </c>
      <c r="D1932" s="1018" t="n">
        <f aca="false">'Смета Внутр'!D1939</f>
        <v>0</v>
      </c>
      <c r="E1932" s="1004" t="n">
        <f aca="false">'Смета Внутр'!E1939</f>
        <v>80</v>
      </c>
      <c r="F1932" s="1004" t="n">
        <f aca="false">'Смета Внутр'!F1939</f>
        <v>0</v>
      </c>
      <c r="G1932" s="1004" t="n">
        <f aca="false">IF(E1932&gt;F1932,E1932,F1932)</f>
        <v>80</v>
      </c>
      <c r="H1932" s="1004" t="n">
        <f aca="false">'Смета Внутр'!G1939</f>
        <v>0</v>
      </c>
      <c r="I1932" s="1004" t="n">
        <f aca="false">'Смета Внутр'!H1939</f>
        <v>0</v>
      </c>
      <c r="J1932" s="1018" t="n">
        <f aca="false">'Смета Внутр'!I1939</f>
        <v>0</v>
      </c>
    </row>
    <row r="1933" customFormat="false" ht="15" hidden="false" customHeight="true" outlineLevel="0" collapsed="false">
      <c r="B1933" s="1004" t="str">
        <f aca="false">'Смета Внутр'!B1940</f>
        <v>уголок для откосов нар</v>
      </c>
      <c r="C1933" s="1004" t="str">
        <f aca="false">'Смета Внутр'!C1940</f>
        <v>шт</v>
      </c>
      <c r="D1933" s="1018" t="n">
        <f aca="false">'Смета Внутр'!D1940</f>
        <v>0</v>
      </c>
      <c r="E1933" s="1004" t="n">
        <f aca="false">'Смета Внутр'!E1940</f>
        <v>60</v>
      </c>
      <c r="F1933" s="1004" t="n">
        <f aca="false">'Смета Внутр'!F1940</f>
        <v>0</v>
      </c>
      <c r="G1933" s="1004" t="n">
        <f aca="false">IF(E1933&gt;F1933,E1933,F1933)</f>
        <v>60</v>
      </c>
      <c r="H1933" s="1004" t="n">
        <f aca="false">'Смета Внутр'!G1940</f>
        <v>0</v>
      </c>
      <c r="I1933" s="1004" t="n">
        <f aca="false">'Смета Внутр'!H1940</f>
        <v>0</v>
      </c>
      <c r="J1933" s="1018" t="n">
        <f aca="false">'Смета Внутр'!I1940</f>
        <v>0</v>
      </c>
    </row>
    <row r="1934" customFormat="false" ht="15" hidden="false" customHeight="true" outlineLevel="0" collapsed="false">
      <c r="B1934" s="1004" t="str">
        <f aca="false">'Смета Внутр'!B1941</f>
        <v>ветроизоляция окон</v>
      </c>
      <c r="C1934" s="1004" t="str">
        <f aca="false">'Смета Внутр'!C1941</f>
        <v>м.п.</v>
      </c>
      <c r="D1934" s="1018" t="n">
        <f aca="false">'Смета Внутр'!D1941</f>
        <v>0</v>
      </c>
      <c r="E1934" s="1004" t="n">
        <f aca="false">'Смета Внутр'!E1941</f>
        <v>40</v>
      </c>
      <c r="F1934" s="1004" t="n">
        <f aca="false">'Смета Внутр'!F1941</f>
        <v>0</v>
      </c>
      <c r="G1934" s="1004" t="n">
        <f aca="false">IF(E1934&gt;F1934,E1934,F1934)</f>
        <v>40</v>
      </c>
      <c r="H1934" s="1004" t="n">
        <f aca="false">'Смета Внутр'!G1941</f>
        <v>0</v>
      </c>
      <c r="I1934" s="1004" t="n">
        <f aca="false">'Смета Внутр'!H1941</f>
        <v>0</v>
      </c>
      <c r="J1934" s="1018" t="n">
        <f aca="false">'Смета Внутр'!I1941</f>
        <v>0</v>
      </c>
    </row>
    <row r="1935" customFormat="false" ht="15" hidden="false" customHeight="true" outlineLevel="0" collapsed="false">
      <c r="B1935" s="1004" t="str">
        <f aca="false">'Смета Внутр'!B1942</f>
        <v>пароизоляция окон</v>
      </c>
      <c r="C1935" s="1004" t="str">
        <f aca="false">'Смета Внутр'!C1942</f>
        <v>шт</v>
      </c>
      <c r="D1935" s="1018" t="n">
        <f aca="false">'Смета Внутр'!D1942</f>
        <v>3.4</v>
      </c>
      <c r="E1935" s="1004" t="n">
        <f aca="false">'Смета Внутр'!E1942</f>
        <v>40</v>
      </c>
      <c r="F1935" s="1004" t="n">
        <f aca="false">'Смета Внутр'!F1942</f>
        <v>0</v>
      </c>
      <c r="G1935" s="1004" t="n">
        <f aca="false">IF(E1935&gt;F1935,E1935,F1935)</f>
        <v>40</v>
      </c>
      <c r="H1935" s="1004" t="n">
        <f aca="false">'Смета Внутр'!G1942</f>
        <v>136</v>
      </c>
      <c r="I1935" s="1004" t="n">
        <f aca="false">'Смета Внутр'!H1942</f>
        <v>0</v>
      </c>
      <c r="J1935" s="1018" t="n">
        <f aca="false">'Смета Внутр'!I1942</f>
        <v>0</v>
      </c>
    </row>
    <row r="1936" customFormat="false" ht="15" hidden="false" customHeight="true" outlineLevel="0" collapsed="false">
      <c r="B1936" s="1004" t="str">
        <f aca="false">'Смета Внутр'!B1943</f>
        <v>крепления</v>
      </c>
      <c r="C1936" s="1004" t="str">
        <f aca="false">'Смета Внутр'!C1943</f>
        <v>шт</v>
      </c>
      <c r="D1936" s="1018" t="n">
        <f aca="false">'Смета Внутр'!D1943</f>
        <v>8</v>
      </c>
      <c r="E1936" s="1004" t="n">
        <f aca="false">'Смета Внутр'!E1943</f>
        <v>15</v>
      </c>
      <c r="F1936" s="1004" t="n">
        <f aca="false">'Смета Внутр'!F1943</f>
        <v>0</v>
      </c>
      <c r="G1936" s="1004" t="n">
        <f aca="false">IF(E1936&gt;F1936,E1936,F1936)</f>
        <v>15</v>
      </c>
      <c r="H1936" s="1004" t="n">
        <f aca="false">'Смета Внутр'!G1943</f>
        <v>120</v>
      </c>
      <c r="I1936" s="1004" t="n">
        <f aca="false">'Смета Внутр'!H1943</f>
        <v>0</v>
      </c>
      <c r="J1936" s="1018" t="n">
        <f aca="false">'Смета Внутр'!I1943</f>
        <v>0</v>
      </c>
    </row>
    <row r="1937" customFormat="false" ht="15" hidden="false" customHeight="true" outlineLevel="0" collapsed="false">
      <c r="B1937" s="1004" t="str">
        <f aca="false">'Смета Внутр'!B1944</f>
        <v>Пена монтажная, всесезонняя 800мл</v>
      </c>
      <c r="C1937" s="1004" t="str">
        <f aca="false">'Смета Внутр'!C1944</f>
        <v>шт</v>
      </c>
      <c r="D1937" s="1018" t="n">
        <f aca="false">'Смета Внутр'!D1944</f>
        <v>1</v>
      </c>
      <c r="E1937" s="1004" t="n">
        <f aca="false">'Смета Внутр'!E1944</f>
        <v>300</v>
      </c>
      <c r="F1937" s="1004" t="n">
        <f aca="false">'Смета Внутр'!F1944</f>
        <v>0</v>
      </c>
      <c r="G1937" s="1004" t="n">
        <f aca="false">IF(E1937&gt;F1937,E1937,F1937)</f>
        <v>300</v>
      </c>
      <c r="H1937" s="1004" t="n">
        <f aca="false">'Смета Внутр'!G1944</f>
        <v>300</v>
      </c>
      <c r="I1937" s="1004" t="n">
        <f aca="false">'Смета Внутр'!H1944</f>
        <v>0</v>
      </c>
      <c r="J1937" s="1018" t="n">
        <f aca="false">'Смета Внутр'!I1944</f>
        <v>0</v>
      </c>
    </row>
    <row r="1938" customFormat="false" ht="15" hidden="false" customHeight="true" outlineLevel="0" collapsed="false">
      <c r="B1938" s="1004" t="str">
        <f aca="false">'Смета Внутр'!B1945</f>
        <v>Французские окна</v>
      </c>
      <c r="C1938" s="1004" t="str">
        <f aca="false">'Смета Внутр'!C1945</f>
        <v>м2</v>
      </c>
      <c r="D1938" s="1018" t="n">
        <f aca="false">'Смета Внутр'!D1945</f>
        <v>0</v>
      </c>
      <c r="E1938" s="1004" t="n">
        <f aca="false">'Смета Внутр'!E1945</f>
        <v>6000</v>
      </c>
      <c r="F1938" s="1004" t="n">
        <f aca="false">'Смета Внутр'!F1945</f>
        <v>0</v>
      </c>
      <c r="G1938" s="1004" t="n">
        <f aca="false">IF(E1938&gt;F1938,E1938,F1938)</f>
        <v>6000</v>
      </c>
      <c r="H1938" s="1004" t="n">
        <f aca="false">'Смета Внутр'!G1945</f>
        <v>0</v>
      </c>
      <c r="I1938" s="1004" t="n">
        <f aca="false">'Смета Внутр'!H1945</f>
        <v>0</v>
      </c>
      <c r="J1938" s="1018" t="n">
        <f aca="false">'Смета Внутр'!I1945</f>
        <v>0</v>
      </c>
    </row>
    <row r="1939" customFormat="false" ht="15" hidden="false" customHeight="true" outlineLevel="0" collapsed="false">
      <c r="B1939" s="1004" t="str">
        <f aca="false">'Смета Внутр'!B1946</f>
        <v>анкерный болт для крепления окно фр</v>
      </c>
      <c r="C1939" s="1004" t="str">
        <f aca="false">'Смета Внутр'!C1946</f>
        <v>шт</v>
      </c>
      <c r="D1939" s="1018" t="n">
        <f aca="false">'Смета Внутр'!D1946</f>
        <v>0</v>
      </c>
      <c r="E1939" s="1004" t="n">
        <f aca="false">'Смета Внутр'!E1946</f>
        <v>20</v>
      </c>
      <c r="F1939" s="1004" t="n">
        <f aca="false">'Смета Внутр'!F1946</f>
        <v>0</v>
      </c>
      <c r="G1939" s="1004" t="n">
        <f aca="false">IF(E1939&gt;F1939,E1939,F1939)</f>
        <v>20</v>
      </c>
      <c r="H1939" s="1004" t="n">
        <f aca="false">'Смета Внутр'!G1946</f>
        <v>0</v>
      </c>
      <c r="I1939" s="1004" t="n">
        <f aca="false">'Смета Внутр'!H1946</f>
        <v>0</v>
      </c>
      <c r="J1939" s="1018" t="n">
        <f aca="false">'Смета Внутр'!I1946</f>
        <v>0</v>
      </c>
    </row>
    <row r="1940" customFormat="false" ht="15" hidden="false" customHeight="true" outlineLevel="0" collapsed="false">
      <c r="B1940" s="1004" t="str">
        <f aca="false">'Смета Внутр'!B1947</f>
        <v>Пена монтажная, всесезонняя 800мл</v>
      </c>
      <c r="C1940" s="1004" t="str">
        <f aca="false">'Смета Внутр'!C1947</f>
        <v>шт</v>
      </c>
      <c r="D1940" s="1018" t="n">
        <f aca="false">'Смета Внутр'!D1947</f>
        <v>0</v>
      </c>
      <c r="E1940" s="1004" t="n">
        <f aca="false">'Смета Внутр'!E1947</f>
        <v>300</v>
      </c>
      <c r="F1940" s="1004" t="n">
        <f aca="false">'Смета Внутр'!F1947</f>
        <v>0</v>
      </c>
      <c r="G1940" s="1004" t="n">
        <f aca="false">IF(E1940&gt;F1940,E1940,F1940)</f>
        <v>300</v>
      </c>
      <c r="H1940" s="1004" t="n">
        <f aca="false">'Смета Внутр'!G1947</f>
        <v>0</v>
      </c>
      <c r="I1940" s="1004" t="n">
        <f aca="false">'Смета Внутр'!H1947</f>
        <v>0</v>
      </c>
      <c r="J1940" s="1018" t="n">
        <f aca="false">'Смета Внутр'!I1947</f>
        <v>0</v>
      </c>
    </row>
    <row r="1941" customFormat="false" ht="15" hidden="false" customHeight="true" outlineLevel="0" collapsed="false">
      <c r="B1941" s="1004" t="str">
        <f aca="false">'Смета Внутр'!B1948</f>
        <v>пластины для крепления</v>
      </c>
      <c r="C1941" s="1004" t="str">
        <f aca="false">'Смета Внутр'!C1948</f>
        <v>шт</v>
      </c>
      <c r="D1941" s="1018" t="n">
        <f aca="false">'Смета Внутр'!D1948</f>
        <v>0</v>
      </c>
      <c r="E1941" s="1004" t="n">
        <f aca="false">'Смета Внутр'!E1948</f>
        <v>25</v>
      </c>
      <c r="F1941" s="1004" t="n">
        <f aca="false">'Смета Внутр'!F1948</f>
        <v>0</v>
      </c>
      <c r="G1941" s="1004" t="n">
        <f aca="false">IF(E1941&gt;F1941,E1941,F1941)</f>
        <v>25</v>
      </c>
      <c r="H1941" s="1004" t="n">
        <f aca="false">'Смета Внутр'!G1948</f>
        <v>0</v>
      </c>
      <c r="I1941" s="1004" t="n">
        <f aca="false">'Смета Внутр'!H1948</f>
        <v>0</v>
      </c>
      <c r="J1941" s="1018" t="n">
        <f aca="false">'Смета Внутр'!I1948</f>
        <v>0</v>
      </c>
    </row>
    <row r="1942" customFormat="false" ht="15" hidden="false" customHeight="true" outlineLevel="0" collapsed="false">
      <c r="B1942" s="1004" t="str">
        <f aca="false">'Смета Внутр'!B1949</f>
        <v>Двери входные</v>
      </c>
      <c r="C1942" s="1004" t="str">
        <f aca="false">'Смета Внутр'!C1949</f>
        <v>шт</v>
      </c>
      <c r="D1942" s="1018" t="n">
        <f aca="false">'Смета Внутр'!D1949</f>
        <v>0</v>
      </c>
      <c r="E1942" s="1004" t="n">
        <f aca="false">'Смета Внутр'!E1949</f>
        <v>12000</v>
      </c>
      <c r="F1942" s="1004" t="n">
        <f aca="false">'Смета Внутр'!F1949</f>
        <v>0</v>
      </c>
      <c r="G1942" s="1004" t="n">
        <f aca="false">IF(E1942&gt;F1942,E1942,F1942)</f>
        <v>12000</v>
      </c>
      <c r="H1942" s="1004" t="n">
        <f aca="false">'Смета Внутр'!G1949</f>
        <v>0</v>
      </c>
      <c r="I1942" s="1004" t="n">
        <f aca="false">'Смета Внутр'!H1949</f>
        <v>0</v>
      </c>
      <c r="J1942" s="1018" t="n">
        <f aca="false">'Смета Внутр'!I1949</f>
        <v>0</v>
      </c>
    </row>
    <row r="1943" customFormat="false" ht="15" hidden="false" customHeight="true" outlineLevel="0" collapsed="false">
      <c r="B1943" s="1004" t="str">
        <f aca="false">'Смета Внутр'!B1950</f>
        <v>Анкер болт, 12*200</v>
      </c>
      <c r="C1943" s="1004" t="str">
        <f aca="false">'Смета Внутр'!C1950</f>
        <v>шт</v>
      </c>
      <c r="D1943" s="1018" t="n">
        <f aca="false">'Смета Внутр'!D1950</f>
        <v>0</v>
      </c>
      <c r="E1943" s="1004" t="n">
        <f aca="false">'Смета Внутр'!E1950</f>
        <v>0</v>
      </c>
      <c r="F1943" s="1004" t="n">
        <f aca="false">'Смета Внутр'!F1950</f>
        <v>0</v>
      </c>
      <c r="G1943" s="1004" t="n">
        <f aca="false">IF(E1943&gt;F1943,E1943,F1943)</f>
        <v>0</v>
      </c>
      <c r="H1943" s="1004" t="n">
        <f aca="false">'Смета Внутр'!G1950</f>
        <v>0</v>
      </c>
      <c r="I1943" s="1004" t="n">
        <f aca="false">'Смета Внутр'!H1950</f>
        <v>0</v>
      </c>
      <c r="J1943" s="1018" t="n">
        <f aca="false">'Смета Внутр'!I1950</f>
        <v>0</v>
      </c>
    </row>
    <row r="1944" customFormat="false" ht="15" hidden="false" customHeight="true" outlineLevel="0" collapsed="false">
      <c r="B1944" s="1004" t="str">
        <f aca="false">'Смета Внутр'!B1951</f>
        <v>Пена монтажная</v>
      </c>
      <c r="C1944" s="1004" t="str">
        <f aca="false">'Смета Внутр'!C1951</f>
        <v>шт</v>
      </c>
      <c r="D1944" s="1018" t="n">
        <f aca="false">'Смета Внутр'!D1951</f>
        <v>0</v>
      </c>
      <c r="E1944" s="1004" t="n">
        <f aca="false">'Смета Внутр'!E1951</f>
        <v>0</v>
      </c>
      <c r="F1944" s="1004" t="n">
        <f aca="false">'Смета Внутр'!F1951</f>
        <v>0</v>
      </c>
      <c r="G1944" s="1004" t="n">
        <f aca="false">IF(E1944&gt;F1944,E1944,F1944)</f>
        <v>0</v>
      </c>
      <c r="H1944" s="1004" t="n">
        <f aca="false">'Смета Внутр'!G1951</f>
        <v>0</v>
      </c>
      <c r="I1944" s="1004" t="n">
        <f aca="false">'Смета Внутр'!H1951</f>
        <v>0</v>
      </c>
      <c r="J1944" s="1018" t="n">
        <f aca="false">'Смета Внутр'!I1951</f>
        <v>0</v>
      </c>
    </row>
    <row r="1945" customFormat="false" ht="14.5" hidden="false" customHeight="false" outlineLevel="0" collapsed="false">
      <c r="B1945" s="2927" t="str">
        <f aca="false">'Смета Внутр'!B1952</f>
        <v>Итого материалы</v>
      </c>
      <c r="C1945" s="2927"/>
      <c r="D1945" s="2927"/>
      <c r="E1945" s="2927"/>
      <c r="F1945" s="2927"/>
      <c r="G1945" s="2927"/>
      <c r="H1945" s="1004" t="n">
        <f aca="false">'Смета Внутр'!G1952</f>
        <v>0</v>
      </c>
      <c r="I1945" s="1004" t="n">
        <f aca="false">'Смета Внутр'!H1952</f>
        <v>0</v>
      </c>
      <c r="J1945" s="1018" t="n">
        <f aca="false">'Смета Внутр'!I1952</f>
        <v>0</v>
      </c>
    </row>
    <row r="1946" customFormat="false" ht="15" hidden="false" customHeight="true" outlineLevel="0" collapsed="false">
      <c r="B1946" s="2881" t="str">
        <f aca="false">'Смета Внутр'!B1953</f>
        <v>Работы</v>
      </c>
      <c r="D1946" s="919"/>
      <c r="H1946" s="0" t="n">
        <f aca="false">'Смета Внутр'!G1953</f>
        <v>0</v>
      </c>
      <c r="I1946" s="0" t="n">
        <f aca="false">'Смета Внутр'!H1953</f>
        <v>0</v>
      </c>
      <c r="J1946" s="2926" t="n">
        <f aca="false">'Смета Внутр'!I1953</f>
        <v>0</v>
      </c>
    </row>
    <row r="1947" customFormat="false" ht="15" hidden="false" customHeight="true" outlineLevel="0" collapsed="false">
      <c r="B1947" s="1004" t="str">
        <f aca="false">'Смета Внутр'!B1954</f>
        <v>монтаж окон</v>
      </c>
      <c r="C1947" s="1004" t="str">
        <f aca="false">'Смета Внутр'!C1954</f>
        <v>шт</v>
      </c>
      <c r="D1947" s="1018" t="n">
        <f aca="false">'Смета Внутр'!D1954</f>
        <v>1</v>
      </c>
      <c r="E1947" s="1004" t="n">
        <f aca="false">'Смета Внутр'!E1954</f>
        <v>1000</v>
      </c>
      <c r="F1947" s="1004" t="n">
        <f aca="false">'Смета Внутр'!F1954</f>
        <v>0</v>
      </c>
      <c r="G1947" s="1004" t="n">
        <f aca="false">IF(E1947&gt;F1947,E1947,F1947)</f>
        <v>1000</v>
      </c>
      <c r="H1947" s="1004" t="n">
        <f aca="false">'Смета Внутр'!G1954</f>
        <v>1000</v>
      </c>
      <c r="I1947" s="1004" t="n">
        <f aca="false">'Смета Внутр'!H1954</f>
        <v>0</v>
      </c>
      <c r="J1947" s="1018" t="n">
        <f aca="false">'Смета Внутр'!I1954</f>
        <v>0</v>
      </c>
    </row>
    <row r="1948" customFormat="false" ht="15" hidden="false" customHeight="true" outlineLevel="0" collapsed="false">
      <c r="B1948" s="1004" t="str">
        <f aca="false">'Смета Внутр'!B1955</f>
        <v>монтаж подоконника</v>
      </c>
      <c r="C1948" s="1004" t="str">
        <f aca="false">'Смета Внутр'!C1955</f>
        <v>шт</v>
      </c>
      <c r="D1948" s="1018" t="n">
        <f aca="false">'Смета Внутр'!D1955</f>
        <v>1</v>
      </c>
      <c r="E1948" s="1004" t="n">
        <f aca="false">'Смета Внутр'!E1955</f>
        <v>400</v>
      </c>
      <c r="F1948" s="1004" t="n">
        <f aca="false">'Смета Внутр'!F1955</f>
        <v>0</v>
      </c>
      <c r="G1948" s="1004" t="n">
        <f aca="false">IF(E1948&gt;F1948,E1948,F1948)</f>
        <v>400</v>
      </c>
      <c r="H1948" s="1004" t="n">
        <f aca="false">'Смета Внутр'!G1955</f>
        <v>400</v>
      </c>
      <c r="I1948" s="1004" t="n">
        <f aca="false">'Смета Внутр'!H1955</f>
        <v>0</v>
      </c>
      <c r="J1948" s="1018" t="n">
        <f aca="false">'Смета Внутр'!I1955</f>
        <v>0</v>
      </c>
    </row>
    <row r="1949" customFormat="false" ht="15" hidden="false" customHeight="true" outlineLevel="0" collapsed="false">
      <c r="B1949" s="1004" t="str">
        <f aca="false">'Смета Внутр'!B1956</f>
        <v>монтаж откосов вн</v>
      </c>
      <c r="C1949" s="1004" t="str">
        <f aca="false">'Смета Внутр'!C1956</f>
        <v>шт</v>
      </c>
      <c r="D1949" s="1018" t="n">
        <f aca="false">'Смета Внутр'!D1956</f>
        <v>3.4</v>
      </c>
      <c r="E1949" s="1004" t="n">
        <f aca="false">'Смета Внутр'!E1956</f>
        <v>150</v>
      </c>
      <c r="F1949" s="1004" t="n">
        <f aca="false">'Смета Внутр'!F1956</f>
        <v>0</v>
      </c>
      <c r="G1949" s="1004" t="n">
        <f aca="false">IF(E1949&gt;F1949,E1949,F1949)</f>
        <v>150</v>
      </c>
      <c r="H1949" s="1004" t="n">
        <f aca="false">'Смета Внутр'!G1956</f>
        <v>510</v>
      </c>
      <c r="I1949" s="1004" t="n">
        <f aca="false">'Смета Внутр'!H1956</f>
        <v>0</v>
      </c>
      <c r="J1949" s="1018" t="n">
        <f aca="false">'Смета Внутр'!I1956</f>
        <v>0</v>
      </c>
    </row>
    <row r="1950" customFormat="false" ht="15" hidden="false" customHeight="true" outlineLevel="0" collapsed="false">
      <c r="B1950" s="1004" t="str">
        <f aca="false">'Смета Внутр'!B1957</f>
        <v>монтаж направл вн</v>
      </c>
      <c r="C1950" s="1004" t="str">
        <f aca="false">'Смета Внутр'!C1957</f>
        <v>шт</v>
      </c>
      <c r="D1950" s="1018" t="n">
        <f aca="false">'Смета Внутр'!D1957</f>
        <v>3.4</v>
      </c>
      <c r="E1950" s="1004" t="n">
        <f aca="false">'Смета Внутр'!E1957</f>
        <v>50</v>
      </c>
      <c r="F1950" s="1004" t="n">
        <f aca="false">'Смета Внутр'!F1957</f>
        <v>0</v>
      </c>
      <c r="G1950" s="1004" t="n">
        <f aca="false">IF(E1950&gt;F1950,E1950,F1950)</f>
        <v>50</v>
      </c>
      <c r="H1950" s="1004" t="n">
        <f aca="false">'Смета Внутр'!G1957</f>
        <v>170</v>
      </c>
      <c r="I1950" s="1004" t="n">
        <f aca="false">'Смета Внутр'!H1957</f>
        <v>0</v>
      </c>
      <c r="J1950" s="1018" t="n">
        <f aca="false">'Смета Внутр'!I1957</f>
        <v>0</v>
      </c>
    </row>
    <row r="1951" customFormat="false" ht="15" hidden="false" customHeight="true" outlineLevel="0" collapsed="false">
      <c r="B1951" s="1004" t="str">
        <f aca="false">'Смета Внутр'!B1958</f>
        <v>монтаж уголков вн</v>
      </c>
      <c r="C1951" s="1004" t="str">
        <f aca="false">'Смета Внутр'!C1958</f>
        <v>шт</v>
      </c>
      <c r="D1951" s="1018" t="n">
        <f aca="false">'Смета Внутр'!D1958</f>
        <v>3.4</v>
      </c>
      <c r="E1951" s="1004" t="n">
        <f aca="false">'Смета Внутр'!E1958</f>
        <v>50</v>
      </c>
      <c r="F1951" s="1004" t="n">
        <f aca="false">'Смета Внутр'!F1958</f>
        <v>0</v>
      </c>
      <c r="G1951" s="1004" t="n">
        <f aca="false">IF(E1951&gt;F1951,E1951,F1951)</f>
        <v>50</v>
      </c>
      <c r="H1951" s="1004" t="n">
        <f aca="false">'Смета Внутр'!G1958</f>
        <v>170</v>
      </c>
      <c r="I1951" s="1004" t="n">
        <f aca="false">'Смета Внутр'!H1958</f>
        <v>0</v>
      </c>
      <c r="J1951" s="1018" t="n">
        <f aca="false">'Смета Внутр'!I1958</f>
        <v>0</v>
      </c>
    </row>
    <row r="1952" customFormat="false" ht="15" hidden="false" customHeight="true" outlineLevel="0" collapsed="false">
      <c r="B1952" s="1004" t="str">
        <f aca="false">'Смета Внутр'!B1959</f>
        <v>монтаж отлива</v>
      </c>
      <c r="C1952" s="1004" t="str">
        <f aca="false">'Смета Внутр'!C1959</f>
        <v>шт</v>
      </c>
      <c r="D1952" s="1018" t="n">
        <f aca="false">'Смета Внутр'!D1959</f>
        <v>0</v>
      </c>
      <c r="E1952" s="1004" t="n">
        <f aca="false">'Смета Внутр'!E1959</f>
        <v>150</v>
      </c>
      <c r="F1952" s="1004" t="n">
        <f aca="false">'Смета Внутр'!F1959</f>
        <v>0</v>
      </c>
      <c r="G1952" s="1004" t="n">
        <f aca="false">IF(E1952&gt;F1952,E1952,F1952)</f>
        <v>150</v>
      </c>
      <c r="H1952" s="1004" t="n">
        <f aca="false">'Смета Внутр'!G1959</f>
        <v>0</v>
      </c>
      <c r="I1952" s="1004" t="n">
        <f aca="false">'Смета Внутр'!H1959</f>
        <v>0</v>
      </c>
      <c r="J1952" s="1018" t="n">
        <f aca="false">'Смета Внутр'!I1959</f>
        <v>0</v>
      </c>
    </row>
    <row r="1953" customFormat="false" ht="15" hidden="false" customHeight="true" outlineLevel="0" collapsed="false">
      <c r="B1953" s="1004" t="str">
        <f aca="false">'Смета Внутр'!B1960</f>
        <v>монтаж откосов</v>
      </c>
      <c r="C1953" s="1004" t="str">
        <f aca="false">'Смета Внутр'!C1960</f>
        <v>шт</v>
      </c>
      <c r="D1953" s="1018" t="n">
        <f aca="false">'Смета Внутр'!D1960</f>
        <v>0</v>
      </c>
      <c r="E1953" s="1004" t="n">
        <f aca="false">'Смета Внутр'!E1960</f>
        <v>250</v>
      </c>
      <c r="F1953" s="1004" t="n">
        <f aca="false">'Смета Внутр'!F1960</f>
        <v>0</v>
      </c>
      <c r="G1953" s="1004" t="n">
        <f aca="false">IF(E1953&gt;F1953,E1953,F1953)</f>
        <v>250</v>
      </c>
      <c r="H1953" s="1004" t="n">
        <f aca="false">'Смета Внутр'!G1960</f>
        <v>0</v>
      </c>
      <c r="I1953" s="1004" t="n">
        <f aca="false">'Смета Внутр'!H1960</f>
        <v>0</v>
      </c>
      <c r="J1953" s="1018" t="n">
        <f aca="false">'Смета Внутр'!I1960</f>
        <v>0</v>
      </c>
    </row>
    <row r="1954" customFormat="false" ht="15" hidden="false" customHeight="true" outlineLevel="0" collapsed="false">
      <c r="B1954" s="1004" t="str">
        <f aca="false">'Смета Внутр'!B1961</f>
        <v>монтаж направляющ</v>
      </c>
      <c r="C1954" s="1004" t="str">
        <f aca="false">'Смета Внутр'!C1961</f>
        <v>шт</v>
      </c>
      <c r="D1954" s="1018" t="n">
        <f aca="false">'Смета Внутр'!D1961</f>
        <v>0</v>
      </c>
      <c r="E1954" s="1004" t="n">
        <f aca="false">'Смета Внутр'!E1961</f>
        <v>50</v>
      </c>
      <c r="F1954" s="1004" t="n">
        <f aca="false">'Смета Внутр'!F1961</f>
        <v>0</v>
      </c>
      <c r="G1954" s="1004" t="n">
        <f aca="false">IF(E1954&gt;F1954,E1954,F1954)</f>
        <v>50</v>
      </c>
      <c r="H1954" s="1004" t="n">
        <f aca="false">'Смета Внутр'!G1961</f>
        <v>0</v>
      </c>
      <c r="I1954" s="1004" t="n">
        <f aca="false">'Смета Внутр'!H1961</f>
        <v>0</v>
      </c>
      <c r="J1954" s="1018" t="n">
        <f aca="false">'Смета Внутр'!I1961</f>
        <v>0</v>
      </c>
    </row>
    <row r="1955" customFormat="false" ht="15" hidden="false" customHeight="true" outlineLevel="0" collapsed="false">
      <c r="B1955" s="1004" t="str">
        <f aca="false">'Смета Внутр'!B1962</f>
        <v>монтаж уголков</v>
      </c>
      <c r="C1955" s="1004" t="str">
        <f aca="false">'Смета Внутр'!C1962</f>
        <v>шт</v>
      </c>
      <c r="D1955" s="1018" t="n">
        <f aca="false">'Смета Внутр'!D1962</f>
        <v>0</v>
      </c>
      <c r="E1955" s="1004" t="n">
        <f aca="false">'Смета Внутр'!E1962</f>
        <v>50</v>
      </c>
      <c r="F1955" s="1004" t="n">
        <f aca="false">'Смета Внутр'!F1962</f>
        <v>0</v>
      </c>
      <c r="G1955" s="1004" t="n">
        <f aca="false">IF(E1955&gt;F1955,E1955,F1955)</f>
        <v>50</v>
      </c>
      <c r="H1955" s="1004" t="n">
        <f aca="false">'Смета Внутр'!G1962</f>
        <v>0</v>
      </c>
      <c r="I1955" s="1004" t="n">
        <f aca="false">'Смета Внутр'!H1962</f>
        <v>0</v>
      </c>
      <c r="J1955" s="1018" t="n">
        <f aca="false">'Смета Внутр'!I1962</f>
        <v>0</v>
      </c>
    </row>
    <row r="1956" customFormat="false" ht="15" hidden="false" customHeight="true" outlineLevel="0" collapsed="false">
      <c r="B1956" s="1004" t="str">
        <f aca="false">'Смета Внутр'!B1963</f>
        <v>монтаж ветроизоляции</v>
      </c>
      <c r="C1956" s="1004" t="str">
        <f aca="false">'Смета Внутр'!C1963</f>
        <v>м.п.</v>
      </c>
      <c r="D1956" s="1018" t="n">
        <f aca="false">'Смета Внутр'!D1963</f>
        <v>0</v>
      </c>
      <c r="E1956" s="1004" t="n">
        <f aca="false">'Смета Внутр'!E1963</f>
        <v>50</v>
      </c>
      <c r="F1956" s="1004" t="n">
        <f aca="false">'Смета Внутр'!F1963</f>
        <v>0</v>
      </c>
      <c r="G1956" s="1004" t="n">
        <f aca="false">IF(E1956&gt;F1956,E1956,F1956)</f>
        <v>50</v>
      </c>
      <c r="H1956" s="1004" t="n">
        <f aca="false">'Смета Внутр'!G1963</f>
        <v>0</v>
      </c>
      <c r="I1956" s="1004" t="n">
        <f aca="false">'Смета Внутр'!H1963</f>
        <v>0</v>
      </c>
      <c r="J1956" s="1018" t="n">
        <f aca="false">'Смета Внутр'!I1963</f>
        <v>0</v>
      </c>
    </row>
    <row r="1957" customFormat="false" ht="15" hidden="false" customHeight="true" outlineLevel="0" collapsed="false">
      <c r="B1957" s="1004" t="str">
        <f aca="false">'Смета Внутр'!B1964</f>
        <v>монтаж пароизоляции</v>
      </c>
      <c r="C1957" s="1004" t="str">
        <f aca="false">'Смета Внутр'!C1964</f>
        <v>м.п.</v>
      </c>
      <c r="D1957" s="1018" t="n">
        <f aca="false">'Смета Внутр'!D1964</f>
        <v>3.4</v>
      </c>
      <c r="E1957" s="1004" t="n">
        <f aca="false">'Смета Внутр'!E1964</f>
        <v>50</v>
      </c>
      <c r="F1957" s="1004" t="n">
        <f aca="false">'Смета Внутр'!F1964</f>
        <v>0</v>
      </c>
      <c r="G1957" s="1004" t="n">
        <f aca="false">IF(E1957&gt;F1957,E1957,F1957)</f>
        <v>50</v>
      </c>
      <c r="H1957" s="1004" t="n">
        <f aca="false">'Смета Внутр'!G1964</f>
        <v>170</v>
      </c>
      <c r="I1957" s="1004" t="n">
        <f aca="false">'Смета Внутр'!H1964</f>
        <v>0</v>
      </c>
      <c r="J1957" s="1018" t="n">
        <f aca="false">'Смета Внутр'!I1964</f>
        <v>0</v>
      </c>
    </row>
    <row r="1958" customFormat="false" ht="15" hidden="false" customHeight="true" outlineLevel="0" collapsed="false">
      <c r="B1958" s="1004" t="str">
        <f aca="false">'Смета Внутр'!B1965</f>
        <v>Двери входные</v>
      </c>
      <c r="C1958" s="1004" t="str">
        <f aca="false">'Смета Внутр'!C1965</f>
        <v>шт</v>
      </c>
      <c r="D1958" s="1018" t="n">
        <f aca="false">'Смета Внутр'!D1965</f>
        <v>0</v>
      </c>
      <c r="E1958" s="1004" t="n">
        <f aca="false">'Смета Внутр'!E1965</f>
        <v>2000</v>
      </c>
      <c r="F1958" s="1004" t="n">
        <f aca="false">'Смета Внутр'!F1965</f>
        <v>0</v>
      </c>
      <c r="G1958" s="1004" t="n">
        <f aca="false">IF(E1958&gt;F1958,E1958,F1958)</f>
        <v>2000</v>
      </c>
      <c r="H1958" s="1004" t="n">
        <f aca="false">'Смета Внутр'!G1965</f>
        <v>0</v>
      </c>
      <c r="I1958" s="1004" t="n">
        <f aca="false">'Смета Внутр'!H1965</f>
        <v>0</v>
      </c>
      <c r="J1958" s="1018" t="n">
        <f aca="false">'Смета Внутр'!I1965</f>
        <v>0</v>
      </c>
    </row>
    <row r="1959" customFormat="false" ht="15" hidden="false" customHeight="true" outlineLevel="0" collapsed="false">
      <c r="B1959" s="1004" t="str">
        <f aca="false">'Смета Внутр'!B1966</f>
        <v>монтаж франццзских окон</v>
      </c>
      <c r="C1959" s="1004" t="str">
        <f aca="false">'Смета Внутр'!C1966</f>
        <v>шт</v>
      </c>
      <c r="D1959" s="1018" t="n">
        <f aca="false">'Смета Внутр'!D1966</f>
        <v>0</v>
      </c>
      <c r="E1959" s="1004" t="n">
        <f aca="false">'Смета Внутр'!E1966</f>
        <v>4500</v>
      </c>
      <c r="F1959" s="1004" t="n">
        <f aca="false">'Смета Внутр'!F1966</f>
        <v>0</v>
      </c>
      <c r="G1959" s="1004" t="n">
        <f aca="false">IF(E1959&gt;F1959,E1959,F1959)</f>
        <v>4500</v>
      </c>
      <c r="H1959" s="1004" t="n">
        <f aca="false">'Смета Внутр'!G1966</f>
        <v>0</v>
      </c>
      <c r="I1959" s="1004" t="n">
        <f aca="false">'Смета Внутр'!H1966</f>
        <v>0</v>
      </c>
      <c r="J1959" s="1018" t="n">
        <f aca="false">'Смета Внутр'!I1966</f>
        <v>0</v>
      </c>
    </row>
    <row r="1960" customFormat="false" ht="15" hidden="false" customHeight="true" outlineLevel="0" collapsed="false">
      <c r="B1960" s="2927" t="str">
        <f aca="false">'Смета Внутр'!B1967</f>
        <v>Итого работы</v>
      </c>
      <c r="C1960" s="2927"/>
      <c r="D1960" s="2927"/>
      <c r="E1960" s="2927"/>
      <c r="F1960" s="2927"/>
      <c r="G1960" s="2927"/>
      <c r="H1960" s="1004" t="n">
        <f aca="false">'Смета Внутр'!G1967</f>
        <v>0</v>
      </c>
      <c r="I1960" s="1004" t="n">
        <f aca="false">'Смета Внутр'!H1967</f>
        <v>0</v>
      </c>
      <c r="J1960" s="1018" t="n">
        <f aca="false">'Смета Внутр'!I1967</f>
        <v>0</v>
      </c>
    </row>
    <row r="1961" customFormat="false" ht="15" hidden="false" customHeight="true" outlineLevel="0" collapsed="false">
      <c r="B1961" s="2925" t="str">
        <f aca="false">'Смета Внутр'!B1968</f>
        <v>Лестница деревянная</v>
      </c>
      <c r="C1961" s="2925"/>
      <c r="D1961" s="2925"/>
      <c r="H1961" s="0" t="n">
        <f aca="false">'Смета Внутр'!G1968</f>
        <v>0</v>
      </c>
      <c r="I1961" s="0" t="n">
        <f aca="false">'Смета Внутр'!H1968</f>
        <v>0</v>
      </c>
      <c r="J1961" s="2926" t="n">
        <f aca="false">'Смета Внутр'!I1968</f>
        <v>0</v>
      </c>
    </row>
    <row r="1962" customFormat="false" ht="15" hidden="false" customHeight="true" outlineLevel="0" collapsed="false">
      <c r="B1962" s="2881" t="str">
        <f aca="false">'Смета Внутр'!B1969</f>
        <v>Материалы</v>
      </c>
      <c r="D1962" s="919"/>
      <c r="H1962" s="0" t="n">
        <f aca="false">'Смета Внутр'!G1969</f>
        <v>0</v>
      </c>
      <c r="I1962" s="0" t="n">
        <f aca="false">'Смета Внутр'!H1969</f>
        <v>0</v>
      </c>
      <c r="J1962" s="2926" t="n">
        <f aca="false">'Смета Внутр'!I1969</f>
        <v>0</v>
      </c>
    </row>
    <row r="1963" customFormat="false" ht="15" hidden="false" customHeight="true" outlineLevel="0" collapsed="false">
      <c r="B1963" s="1004" t="str">
        <f aca="false">'Смета Внутр'!B1970</f>
        <v>ступени хвоя</v>
      </c>
      <c r="C1963" s="1004" t="str">
        <f aca="false">'Смета Внутр'!C1970</f>
        <v>шт</v>
      </c>
      <c r="D1963" s="1018" t="n">
        <f aca="false">'Смета Внутр'!D1970</f>
        <v>18</v>
      </c>
      <c r="E1963" s="1004" t="n">
        <f aca="false">'Смета Внутр'!E1970</f>
        <v>400</v>
      </c>
      <c r="F1963" s="1004" t="n">
        <f aca="false">'Смета Внутр'!F1970</f>
        <v>0</v>
      </c>
      <c r="G1963" s="1004" t="n">
        <f aca="false">IF(E1963&gt;F1963,E1963,F1963)</f>
        <v>400</v>
      </c>
      <c r="H1963" s="1004" t="n">
        <f aca="false">'Смета Внутр'!G1970</f>
        <v>7200</v>
      </c>
      <c r="I1963" s="1004" t="n">
        <f aca="false">'Смета Внутр'!H1970</f>
        <v>0</v>
      </c>
      <c r="J1963" s="1018" t="n">
        <f aca="false">'Смета Внутр'!I1970</f>
        <v>0</v>
      </c>
    </row>
    <row r="1964" customFormat="false" ht="15" hidden="false" customHeight="true" outlineLevel="0" collapsed="false">
      <c r="B1964" s="1004" t="str">
        <f aca="false">'Смета Внутр'!B1971</f>
        <v>площадка хвоя</v>
      </c>
      <c r="C1964" s="1004" t="str">
        <f aca="false">'Смета Внутр'!C1971</f>
        <v>шт</v>
      </c>
      <c r="D1964" s="1018" t="n">
        <f aca="false">'Смета Внутр'!D1971</f>
        <v>1</v>
      </c>
      <c r="E1964" s="1004" t="n">
        <f aca="false">'Смета Внутр'!E1971</f>
        <v>2000</v>
      </c>
      <c r="F1964" s="1004" t="n">
        <f aca="false">'Смета Внутр'!F1971</f>
        <v>0</v>
      </c>
      <c r="G1964" s="1004" t="n">
        <f aca="false">IF(E1964&gt;F1964,E1964,F1964)</f>
        <v>2000</v>
      </c>
      <c r="H1964" s="1004" t="n">
        <f aca="false">'Смета Внутр'!G1971</f>
        <v>2000</v>
      </c>
      <c r="I1964" s="1004" t="n">
        <f aca="false">'Смета Внутр'!H1971</f>
        <v>0</v>
      </c>
      <c r="J1964" s="1018" t="n">
        <f aca="false">'Смета Внутр'!I1971</f>
        <v>0</v>
      </c>
    </row>
    <row r="1965" customFormat="false" ht="15" hidden="false" customHeight="true" outlineLevel="0" collapsed="false">
      <c r="B1965" s="1004" t="str">
        <f aca="false">'Смета Внутр'!B1972</f>
        <v>столб под площадку, 2м</v>
      </c>
      <c r="C1965" s="1004" t="str">
        <f aca="false">'Смета Внутр'!C1972</f>
        <v>шт</v>
      </c>
      <c r="D1965" s="1018" t="n">
        <f aca="false">'Смета Внутр'!D1972</f>
        <v>4</v>
      </c>
      <c r="E1965" s="1004" t="n">
        <f aca="false">'Смета Внутр'!E1972</f>
        <v>1000</v>
      </c>
      <c r="F1965" s="1004" t="n">
        <f aca="false">'Смета Внутр'!F1972</f>
        <v>0</v>
      </c>
      <c r="G1965" s="1004" t="n">
        <f aca="false">IF(E1965&gt;F1965,E1965,F1965)</f>
        <v>1000</v>
      </c>
      <c r="H1965" s="1004" t="n">
        <f aca="false">'Смета Внутр'!G1972</f>
        <v>4000</v>
      </c>
      <c r="I1965" s="1004" t="n">
        <f aca="false">'Смета Внутр'!H1972</f>
        <v>0</v>
      </c>
      <c r="J1965" s="1018" t="n">
        <f aca="false">'Смета Внутр'!I1972</f>
        <v>0</v>
      </c>
    </row>
    <row r="1966" customFormat="false" ht="15" hidden="false" customHeight="true" outlineLevel="0" collapsed="false">
      <c r="B1966" s="1004" t="str">
        <f aca="false">'Смета Внутр'!B1973</f>
        <v>столб обвязка перил 1 и 2 этажа</v>
      </c>
      <c r="C1966" s="1004" t="str">
        <f aca="false">'Смета Внутр'!C1973</f>
        <v>шт</v>
      </c>
      <c r="D1966" s="1018" t="n">
        <f aca="false">'Смета Внутр'!D1973</f>
        <v>1</v>
      </c>
      <c r="E1966" s="1004" t="n">
        <f aca="false">'Смета Внутр'!E1973</f>
        <v>900</v>
      </c>
      <c r="F1966" s="1004" t="n">
        <f aca="false">'Смета Внутр'!F1973</f>
        <v>0</v>
      </c>
      <c r="G1966" s="1004" t="n">
        <f aca="false">IF(E1966&gt;F1966,E1966,F1966)</f>
        <v>900</v>
      </c>
      <c r="H1966" s="1004" t="n">
        <f aca="false">'Смета Внутр'!G1973</f>
        <v>900</v>
      </c>
      <c r="I1966" s="1004" t="n">
        <f aca="false">'Смета Внутр'!H1973</f>
        <v>0</v>
      </c>
      <c r="J1966" s="1018" t="n">
        <f aca="false">'Смета Внутр'!I1973</f>
        <v>0</v>
      </c>
    </row>
    <row r="1967" customFormat="false" ht="15" hidden="false" customHeight="true" outlineLevel="0" collapsed="false">
      <c r="B1967" s="1004" t="str">
        <f aca="false">'Смета Внутр'!B1974</f>
        <v>балясина 80*80, первая</v>
      </c>
      <c r="C1967" s="1004" t="str">
        <f aca="false">'Смета Внутр'!C1974</f>
        <v>шт</v>
      </c>
      <c r="D1967" s="1018" t="n">
        <f aca="false">'Смета Внутр'!D1974</f>
        <v>2</v>
      </c>
      <c r="E1967" s="1004" t="n">
        <f aca="false">'Смета Внутр'!E1974</f>
        <v>500</v>
      </c>
      <c r="F1967" s="1004" t="n">
        <f aca="false">'Смета Внутр'!F1974</f>
        <v>0</v>
      </c>
      <c r="G1967" s="1004" t="n">
        <f aca="false">IF(E1967&gt;F1967,E1967,F1967)</f>
        <v>500</v>
      </c>
      <c r="H1967" s="1004" t="n">
        <f aca="false">'Смета Внутр'!G1974</f>
        <v>1000</v>
      </c>
      <c r="I1967" s="1004" t="n">
        <f aca="false">'Смета Внутр'!H1974</f>
        <v>0</v>
      </c>
      <c r="J1967" s="1018" t="n">
        <f aca="false">'Смета Внутр'!I1974</f>
        <v>0</v>
      </c>
    </row>
    <row r="1968" customFormat="false" ht="15" hidden="false" customHeight="true" outlineLevel="0" collapsed="false">
      <c r="B1968" s="1004" t="str">
        <f aca="false">'Смета Внутр'!B1975</f>
        <v>тетева, 3м.п.</v>
      </c>
      <c r="C1968" s="1004" t="str">
        <f aca="false">'Смета Внутр'!C1975</f>
        <v>шт</v>
      </c>
      <c r="D1968" s="1018" t="n">
        <f aca="false">'Смета Внутр'!D1975</f>
        <v>4</v>
      </c>
      <c r="E1968" s="1004" t="n">
        <f aca="false">'Смета Внутр'!E1975</f>
        <v>1500</v>
      </c>
      <c r="F1968" s="1004" t="n">
        <f aca="false">'Смета Внутр'!F1975</f>
        <v>0</v>
      </c>
      <c r="G1968" s="1004" t="n">
        <f aca="false">IF(E1968&gt;F1968,E1968,F1968)</f>
        <v>1500</v>
      </c>
      <c r="H1968" s="1004" t="n">
        <f aca="false">'Смета Внутр'!G1975</f>
        <v>6000</v>
      </c>
      <c r="I1968" s="1004" t="n">
        <f aca="false">'Смета Внутр'!H1975</f>
        <v>0</v>
      </c>
      <c r="J1968" s="1018" t="n">
        <f aca="false">'Смета Внутр'!I1975</f>
        <v>0</v>
      </c>
    </row>
    <row r="1969" customFormat="false" ht="15" hidden="false" customHeight="true" outlineLevel="0" collapsed="false">
      <c r="B1969" s="1004" t="str">
        <f aca="false">'Смета Внутр'!B1976</f>
        <v>крепления для ступеней, болт</v>
      </c>
      <c r="C1969" s="1004" t="str">
        <f aca="false">'Смета Внутр'!C1976</f>
        <v>шт</v>
      </c>
      <c r="D1969" s="1018" t="n">
        <f aca="false">'Смета Внутр'!D1976</f>
        <v>108</v>
      </c>
      <c r="E1969" s="1004" t="n">
        <f aca="false">'Смета Внутр'!E1976</f>
        <v>15</v>
      </c>
      <c r="F1969" s="1004" t="n">
        <f aca="false">'Смета Внутр'!F1976</f>
        <v>0</v>
      </c>
      <c r="G1969" s="1004" t="n">
        <f aca="false">IF(E1969&gt;F1969,E1969,F1969)</f>
        <v>15</v>
      </c>
      <c r="H1969" s="1004" t="n">
        <f aca="false">'Смета Внутр'!G1976</f>
        <v>1620</v>
      </c>
      <c r="I1969" s="1004" t="n">
        <f aca="false">'Смета Внутр'!H1976</f>
        <v>0</v>
      </c>
      <c r="J1969" s="1018" t="n">
        <f aca="false">'Смета Внутр'!I1976</f>
        <v>0</v>
      </c>
    </row>
    <row r="1970" customFormat="false" ht="15" hidden="false" customHeight="true" outlineLevel="0" collapsed="false">
      <c r="B1970" s="1004" t="str">
        <f aca="false">'Смета Внутр'!B1977</f>
        <v>крепления для площадки</v>
      </c>
      <c r="C1970" s="1004" t="str">
        <f aca="false">'Смета Внутр'!C1977</f>
        <v>шт</v>
      </c>
      <c r="D1970" s="1018" t="n">
        <f aca="false">'Смета Внутр'!D1977</f>
        <v>8</v>
      </c>
      <c r="E1970" s="1004" t="n">
        <f aca="false">'Смета Внутр'!E1977</f>
        <v>20</v>
      </c>
      <c r="F1970" s="1004" t="n">
        <f aca="false">'Смета Внутр'!F1977</f>
        <v>0</v>
      </c>
      <c r="G1970" s="1004" t="n">
        <f aca="false">IF(E1970&gt;F1970,E1970,F1970)</f>
        <v>20</v>
      </c>
      <c r="H1970" s="1004" t="n">
        <f aca="false">'Смета Внутр'!G1977</f>
        <v>160</v>
      </c>
      <c r="I1970" s="1004" t="n">
        <f aca="false">'Смета Внутр'!H1977</f>
        <v>0</v>
      </c>
      <c r="J1970" s="1018" t="n">
        <f aca="false">'Смета Внутр'!I1977</f>
        <v>0</v>
      </c>
    </row>
    <row r="1971" customFormat="false" ht="15" hidden="false" customHeight="true" outlineLevel="0" collapsed="false">
      <c r="B1971" s="1004" t="str">
        <f aca="false">'Смета Внутр'!B1978</f>
        <v>поручни</v>
      </c>
      <c r="C1971" s="1004" t="str">
        <f aca="false">'Смета Внутр'!C1978</f>
        <v>шт</v>
      </c>
      <c r="D1971" s="1018" t="n">
        <f aca="false">'Смета Внутр'!D1978</f>
        <v>4</v>
      </c>
      <c r="E1971" s="1004" t="n">
        <f aca="false">'Смета Внутр'!E1978</f>
        <v>200</v>
      </c>
      <c r="F1971" s="1004" t="n">
        <f aca="false">'Смета Внутр'!F1978</f>
        <v>0</v>
      </c>
      <c r="G1971" s="1004" t="n">
        <f aca="false">IF(E1971&gt;F1971,E1971,F1971)</f>
        <v>200</v>
      </c>
      <c r="H1971" s="1004" t="n">
        <f aca="false">'Смета Внутр'!G1978</f>
        <v>800</v>
      </c>
      <c r="I1971" s="1004" t="n">
        <f aca="false">'Смета Внутр'!H1978</f>
        <v>0</v>
      </c>
      <c r="J1971" s="1018" t="n">
        <f aca="false">'Смета Внутр'!I1978</f>
        <v>0</v>
      </c>
    </row>
    <row r="1972" customFormat="false" ht="15" hidden="false" customHeight="true" outlineLevel="0" collapsed="false">
      <c r="B1972" s="1004" t="str">
        <f aca="false">'Смета Внутр'!B1979</f>
        <v>балясины</v>
      </c>
      <c r="C1972" s="1004" t="str">
        <f aca="false">'Смета Внутр'!C1979</f>
        <v>шт</v>
      </c>
      <c r="D1972" s="1018" t="n">
        <f aca="false">'Смета Внутр'!D1979</f>
        <v>25</v>
      </c>
      <c r="E1972" s="1004" t="n">
        <f aca="false">'Смета Внутр'!E1979</f>
        <v>100</v>
      </c>
      <c r="F1972" s="1004" t="n">
        <f aca="false">'Смета Внутр'!F1979</f>
        <v>0</v>
      </c>
      <c r="G1972" s="1004" t="n">
        <f aca="false">IF(E1972&gt;F1972,E1972,F1972)</f>
        <v>100</v>
      </c>
      <c r="H1972" s="1004" t="n">
        <f aca="false">'Смета Внутр'!G1979</f>
        <v>2500</v>
      </c>
      <c r="I1972" s="1004" t="n">
        <f aca="false">'Смета Внутр'!H1979</f>
        <v>0</v>
      </c>
      <c r="J1972" s="1018" t="n">
        <f aca="false">'Смета Внутр'!I1979</f>
        <v>0</v>
      </c>
    </row>
    <row r="1973" customFormat="false" ht="14.5" hidden="false" customHeight="false" outlineLevel="0" collapsed="false">
      <c r="B1973" s="2927" t="str">
        <f aca="false">'Смета Внутр'!B1980</f>
        <v>Итого материалы</v>
      </c>
      <c r="C1973" s="2927"/>
      <c r="D1973" s="2927"/>
      <c r="E1973" s="2927"/>
      <c r="F1973" s="2927"/>
      <c r="G1973" s="2927"/>
      <c r="H1973" s="1004" t="n">
        <f aca="false">'Смета Внутр'!G1980</f>
        <v>0</v>
      </c>
      <c r="I1973" s="1004" t="n">
        <f aca="false">'Смета Внутр'!H1980</f>
        <v>0</v>
      </c>
      <c r="J1973" s="1018" t="n">
        <f aca="false">'Смета Внутр'!I1980</f>
        <v>0</v>
      </c>
    </row>
    <row r="1974" customFormat="false" ht="15" hidden="false" customHeight="true" outlineLevel="0" collapsed="false">
      <c r="B1974" s="2881" t="str">
        <f aca="false">'Смета Внутр'!B1981</f>
        <v>Работы</v>
      </c>
      <c r="D1974" s="919"/>
      <c r="H1974" s="0" t="n">
        <f aca="false">'Смета Внутр'!G1981</f>
        <v>0</v>
      </c>
      <c r="I1974" s="0" t="n">
        <f aca="false">'Смета Внутр'!H1981</f>
        <v>0</v>
      </c>
      <c r="J1974" s="2926" t="n">
        <f aca="false">'Смета Внутр'!I1981</f>
        <v>0</v>
      </c>
    </row>
    <row r="1975" customFormat="false" ht="15" hidden="false" customHeight="true" outlineLevel="0" collapsed="false">
      <c r="B1975" s="1004" t="str">
        <f aca="false">'Смета Внутр'!B1982</f>
        <v>сборка лестницы</v>
      </c>
      <c r="C1975" s="1004" t="str">
        <f aca="false">'Смета Внутр'!C1982</f>
        <v>шт</v>
      </c>
      <c r="D1975" s="1018" t="n">
        <f aca="false">'Смета Внутр'!D1982</f>
        <v>1</v>
      </c>
      <c r="E1975" s="1004" t="n">
        <f aca="false">'Смета Внутр'!E1982</f>
        <v>20000</v>
      </c>
      <c r="F1975" s="1004" t="n">
        <f aca="false">'Смета Внутр'!F1982</f>
        <v>0</v>
      </c>
      <c r="G1975" s="1004" t="n">
        <f aca="false">IF(E1975&gt;F1975,E1975,F1975)</f>
        <v>20000</v>
      </c>
      <c r="H1975" s="1004" t="n">
        <f aca="false">'Смета Внутр'!G1982</f>
        <v>20000</v>
      </c>
      <c r="I1975" s="1004" t="n">
        <f aca="false">'Смета Внутр'!H1982</f>
        <v>0</v>
      </c>
      <c r="J1975" s="1018" t="n">
        <f aca="false">'Смета Внутр'!I1982</f>
        <v>0</v>
      </c>
    </row>
    <row r="1976" customFormat="false" ht="15" hidden="false" customHeight="true" outlineLevel="0" collapsed="false">
      <c r="B1976" s="2927" t="str">
        <f aca="false">'Смета Внутр'!B1983</f>
        <v>Итого работы</v>
      </c>
      <c r="C1976" s="2927"/>
      <c r="D1976" s="2927"/>
      <c r="E1976" s="2927"/>
      <c r="F1976" s="2927"/>
      <c r="G1976" s="2927"/>
      <c r="H1976" s="1004" t="n">
        <f aca="false">'Смета Внутр'!G1983</f>
        <v>0</v>
      </c>
      <c r="I1976" s="1004" t="n">
        <f aca="false">'Смета Внутр'!H1983</f>
        <v>0</v>
      </c>
      <c r="J1976" s="1018" t="n">
        <f aca="false">'Смета Внутр'!I1983</f>
        <v>0</v>
      </c>
    </row>
    <row r="1977" customFormat="false" ht="15" hidden="false" customHeight="true" outlineLevel="0" collapsed="false">
      <c r="B1977" s="2928" t="str">
        <f aca="false">'Смета Внутр'!B1984</f>
        <v>Лестница бетонная</v>
      </c>
      <c r="C1977" s="2928"/>
      <c r="D1977" s="2928"/>
      <c r="E1977" s="2928"/>
      <c r="F1977" s="2928"/>
      <c r="G1977" s="2928"/>
      <c r="H1977" s="2928"/>
      <c r="I1977" s="2928"/>
      <c r="J1977" s="2928"/>
    </row>
    <row r="1978" customFormat="false" ht="15" hidden="false" customHeight="true" outlineLevel="0" collapsed="false">
      <c r="B1978" s="2929" t="str">
        <f aca="false">'Смета Внутр'!B1985</f>
        <v>Материалы</v>
      </c>
      <c r="C1978" s="2929"/>
      <c r="D1978" s="2929"/>
      <c r="E1978" s="2929"/>
      <c r="F1978" s="2929"/>
      <c r="G1978" s="2929"/>
      <c r="H1978" s="2929"/>
      <c r="I1978" s="2929"/>
      <c r="J1978" s="2929"/>
    </row>
    <row r="1979" customFormat="false" ht="15" hidden="false" customHeight="true" outlineLevel="0" collapsed="false">
      <c r="B1979" s="2594" t="str">
        <f aca="false">'Смета Внутр'!B1986</f>
        <v>Арматура А1 8 мм</v>
      </c>
      <c r="C1979" s="2594" t="str">
        <f aca="false">'Смета Внутр'!C1986</f>
        <v>м.п.</v>
      </c>
      <c r="D1979" s="2594" t="n">
        <f aca="false">'Смета Внутр'!D1986</f>
        <v>52</v>
      </c>
      <c r="E1979" s="2594" t="n">
        <f aca="false">'Смета Внутр'!E1986</f>
        <v>17.538</v>
      </c>
      <c r="F1979" s="2594" t="n">
        <f aca="false">'Смета Внутр'!F1986</f>
        <v>0</v>
      </c>
      <c r="G1979" s="1004" t="n">
        <f aca="false">IF(E1979&gt;F1979,E1979,F1979)</f>
        <v>17.538</v>
      </c>
      <c r="H1979" s="2594" t="n">
        <f aca="false">'Смета Внутр'!H1986</f>
        <v>0</v>
      </c>
      <c r="I1979" s="2594" t="n">
        <f aca="false">'Смета Внутр'!I1986</f>
        <v>0</v>
      </c>
      <c r="J1979" s="2315" t="n">
        <f aca="false">'Смета Внутр'!I1986</f>
        <v>0</v>
      </c>
    </row>
    <row r="1980" customFormat="false" ht="15" hidden="false" customHeight="true" outlineLevel="0" collapsed="false">
      <c r="B1980" s="2594" t="str">
        <f aca="false">'Смета Внутр'!B1987</f>
        <v>Доска 50/150</v>
      </c>
      <c r="C1980" s="2594" t="str">
        <f aca="false">'Смета Внутр'!C1987</f>
        <v>м.п.</v>
      </c>
      <c r="D1980" s="2594" t="n">
        <f aca="false">'Смета Внутр'!D1987</f>
        <v>10</v>
      </c>
      <c r="E1980" s="2594" t="n">
        <f aca="false">'Смета Внутр'!E1987</f>
        <v>67.5</v>
      </c>
      <c r="F1980" s="2594" t="n">
        <f aca="false">'Смета Внутр'!F1987</f>
        <v>0</v>
      </c>
      <c r="G1980" s="1004" t="n">
        <f aca="false">IF(E1980&gt;F1980,E1980,F1980)</f>
        <v>67.5</v>
      </c>
      <c r="H1980" s="2594" t="n">
        <f aca="false">'Смета Внутр'!H1987</f>
        <v>0</v>
      </c>
      <c r="I1980" s="2594" t="n">
        <f aca="false">'Смета Внутр'!I1987</f>
        <v>0</v>
      </c>
      <c r="J1980" s="2315" t="n">
        <f aca="false">'Смета Внутр'!I1987</f>
        <v>0</v>
      </c>
    </row>
    <row r="1981" customFormat="false" ht="15" hidden="false" customHeight="true" outlineLevel="0" collapsed="false">
      <c r="B1981" s="2594" t="str">
        <f aca="false">'Смета Внутр'!B1988</f>
        <v>OSB-3 КНР (для наружных работ), 12мм</v>
      </c>
      <c r="C1981" s="2594" t="str">
        <f aca="false">'Смета Внутр'!C1988</f>
        <v>м2</v>
      </c>
      <c r="D1981" s="2594" t="n">
        <f aca="false">'Смета Внутр'!D1988</f>
        <v>7</v>
      </c>
      <c r="E1981" s="2594" t="n">
        <f aca="false">'Смета Внутр'!E1988</f>
        <v>245</v>
      </c>
      <c r="F1981" s="2594" t="n">
        <f aca="false">'Смета Внутр'!F1988</f>
        <v>0</v>
      </c>
      <c r="G1981" s="1004" t="n">
        <f aca="false">IF(E1981&gt;F1981,E1981,F1981)</f>
        <v>245</v>
      </c>
      <c r="H1981" s="2594" t="n">
        <f aca="false">'Смета Внутр'!H1988</f>
        <v>0</v>
      </c>
      <c r="I1981" s="2594" t="n">
        <f aca="false">'Смета Внутр'!I1988</f>
        <v>0</v>
      </c>
      <c r="J1981" s="2315" t="n">
        <f aca="false">'Смета Внутр'!I1988</f>
        <v>0</v>
      </c>
    </row>
    <row r="1982" customFormat="false" ht="15" hidden="false" customHeight="true" outlineLevel="0" collapsed="false">
      <c r="B1982" s="2594" t="str">
        <f aca="false">'Смета Внутр'!B1989</f>
        <v>Бетон, м350</v>
      </c>
      <c r="C1982" s="2594" t="str">
        <f aca="false">'Смета Внутр'!C1989</f>
        <v>м3</v>
      </c>
      <c r="D1982" s="2594" t="n">
        <f aca="false">'Смета Внутр'!D1989</f>
        <v>0.424</v>
      </c>
      <c r="E1982" s="2594" t="n">
        <f aca="false">'Смета Внутр'!E1989</f>
        <v>3500</v>
      </c>
      <c r="F1982" s="2594" t="n">
        <f aca="false">'Смета Внутр'!F1989</f>
        <v>0</v>
      </c>
      <c r="G1982" s="1004" t="n">
        <f aca="false">IF(E1982&gt;F1982,E1982,F1982)</f>
        <v>3500</v>
      </c>
      <c r="H1982" s="2594" t="n">
        <f aca="false">'Смета Внутр'!H1989</f>
        <v>0</v>
      </c>
      <c r="I1982" s="2594" t="n">
        <f aca="false">'Смета Внутр'!I1989</f>
        <v>0</v>
      </c>
      <c r="J1982" s="2315" t="n">
        <f aca="false">'Смета Внутр'!I1989</f>
        <v>0</v>
      </c>
    </row>
    <row r="1983" customFormat="false" ht="15" hidden="false" customHeight="true" outlineLevel="0" collapsed="false">
      <c r="B1983" s="2594" t="str">
        <f aca="false">'Смета Внутр'!B1990</f>
        <v>Саморезы 3,5 x 55</v>
      </c>
      <c r="C1983" s="2594" t="str">
        <f aca="false">'Смета Внутр'!C1990</f>
        <v>кг</v>
      </c>
      <c r="D1983" s="2594" t="n">
        <f aca="false">'Смета Внутр'!D1990</f>
        <v>1</v>
      </c>
      <c r="E1983" s="2594" t="n">
        <f aca="false">'Смета Внутр'!E1990</f>
        <v>105.62</v>
      </c>
      <c r="F1983" s="2594" t="n">
        <f aca="false">'Смета Внутр'!F1990</f>
        <v>0</v>
      </c>
      <c r="G1983" s="1004" t="n">
        <f aca="false">IF(E1983&gt;F1983,E1983,F1983)</f>
        <v>105.62</v>
      </c>
      <c r="H1983" s="2594" t="n">
        <f aca="false">'Смета Внутр'!H1990</f>
        <v>0</v>
      </c>
      <c r="I1983" s="2594" t="n">
        <f aca="false">'Смета Внутр'!I1990</f>
        <v>0</v>
      </c>
      <c r="J1983" s="2315" t="n">
        <f aca="false">'Смета Внутр'!I1990</f>
        <v>0</v>
      </c>
    </row>
    <row r="1984" customFormat="false" ht="15" hidden="false" customHeight="true" outlineLevel="0" collapsed="false">
      <c r="B1984" s="2594" t="str">
        <f aca="false">'Смета Внутр'!B1991</f>
        <v>Нет техники</v>
      </c>
      <c r="C1984" s="2594" t="str">
        <f aca="false">'Смета Внутр'!C1991</f>
        <v>час</v>
      </c>
      <c r="D1984" s="2594" t="n">
        <f aca="false">'Смета Внутр'!D1991</f>
        <v>0</v>
      </c>
      <c r="E1984" s="2594" t="n">
        <f aca="false">'Смета Внутр'!E1991</f>
        <v>0</v>
      </c>
      <c r="F1984" s="2594" t="n">
        <f aca="false">'Смета Внутр'!F1991</f>
        <v>0</v>
      </c>
      <c r="G1984" s="1004" t="n">
        <f aca="false">IF(E1984&gt;F1984,E1984,F1984)</f>
        <v>0</v>
      </c>
      <c r="H1984" s="2594" t="n">
        <f aca="false">'Смета Внутр'!H1991</f>
        <v>0</v>
      </c>
      <c r="I1984" s="2594" t="n">
        <f aca="false">'Смета Внутр'!I1991</f>
        <v>0</v>
      </c>
      <c r="J1984" s="2315" t="n">
        <f aca="false">'Смета Внутр'!I1991</f>
        <v>0</v>
      </c>
    </row>
    <row r="1985" customFormat="false" ht="15" hidden="false" customHeight="true" outlineLevel="0" collapsed="false">
      <c r="B1985" s="2594" t="str">
        <f aca="false">'Смета Внутр'!B1992</f>
        <v>Нет техники</v>
      </c>
      <c r="C1985" s="2594" t="str">
        <f aca="false">'Смета Внутр'!C1992</f>
        <v>шт.</v>
      </c>
      <c r="D1985" s="2594" t="n">
        <f aca="false">'Смета Внутр'!D1992</f>
        <v>3</v>
      </c>
      <c r="E1985" s="2594" t="n">
        <f aca="false">'Смета Внутр'!E1992</f>
        <v>0</v>
      </c>
      <c r="F1985" s="2594" t="n">
        <f aca="false">'Смета Внутр'!F1992</f>
        <v>0</v>
      </c>
      <c r="G1985" s="1004" t="n">
        <f aca="false">IF(E1985&gt;F1985,E1985,F1985)</f>
        <v>0</v>
      </c>
      <c r="H1985" s="2594" t="n">
        <f aca="false">'Смета Внутр'!H1992</f>
        <v>0</v>
      </c>
      <c r="I1985" s="2594" t="n">
        <f aca="false">'Смета Внутр'!I1992</f>
        <v>0</v>
      </c>
      <c r="J1985" s="2315" t="n">
        <f aca="false">'Смета Внутр'!I1992</f>
        <v>0</v>
      </c>
    </row>
    <row r="1986" customFormat="false" ht="15" hidden="false" customHeight="true" outlineLevel="0" collapsed="false">
      <c r="B1986" s="2594" t="str">
        <f aca="false">'Смета Внутр'!B1993</f>
        <v>Доп. Расходы</v>
      </c>
      <c r="C1986" s="2594" t="str">
        <f aca="false">'Смета Внутр'!C1993</f>
        <v>руб.</v>
      </c>
      <c r="D1986" s="2594" t="n">
        <f aca="false">'Смета Внутр'!D1993</f>
        <v>1</v>
      </c>
      <c r="E1986" s="2594" t="n">
        <f aca="false">'Смета Внутр'!E1993</f>
        <v>2000</v>
      </c>
      <c r="F1986" s="2594" t="n">
        <f aca="false">'Смета Внутр'!F1993</f>
        <v>0</v>
      </c>
      <c r="G1986" s="1004" t="n">
        <f aca="false">IF(E1986&gt;F1986,E1986,F1986)</f>
        <v>2000</v>
      </c>
      <c r="H1986" s="2594" t="n">
        <f aca="false">'Смета Внутр'!H1993</f>
        <v>0</v>
      </c>
      <c r="I1986" s="2594" t="n">
        <f aca="false">'Смета Внутр'!I1993</f>
        <v>0</v>
      </c>
      <c r="J1986" s="2315" t="n">
        <f aca="false">'Смета Внутр'!I1993</f>
        <v>0</v>
      </c>
    </row>
    <row r="1987" customFormat="false" ht="15" hidden="false" customHeight="true" outlineLevel="0" collapsed="false">
      <c r="B1987" s="2935" t="str">
        <f aca="false">'Смета Внутр'!B1994</f>
        <v>Итого материалы</v>
      </c>
      <c r="C1987" s="2935"/>
      <c r="D1987" s="2935"/>
      <c r="E1987" s="2935"/>
      <c r="F1987" s="2935"/>
      <c r="G1987" s="2935"/>
      <c r="H1987" s="1116"/>
      <c r="I1987" s="1116"/>
      <c r="J1987" s="2315" t="n">
        <f aca="false">'Смета Внутр'!I1994</f>
        <v>0</v>
      </c>
    </row>
    <row r="1988" customFormat="false" ht="15" hidden="false" customHeight="true" outlineLevel="0" collapsed="false">
      <c r="B1988" s="2929" t="str">
        <f aca="false">'Смета Внутр'!B1995</f>
        <v>Работы</v>
      </c>
      <c r="C1988" s="2929"/>
      <c r="D1988" s="2929"/>
      <c r="E1988" s="2929"/>
      <c r="F1988" s="2929"/>
      <c r="G1988" s="2929"/>
      <c r="H1988" s="2929"/>
      <c r="I1988" s="2929"/>
      <c r="J1988" s="2929"/>
    </row>
    <row r="1989" customFormat="false" ht="15" hidden="false" customHeight="true" outlineLevel="0" collapsed="false">
      <c r="B1989" s="2594" t="str">
        <f aca="false">'Смета Внутр'!B1996</f>
        <v>Монтаж лестницы</v>
      </c>
      <c r="C1989" s="2594" t="str">
        <f aca="false">'Смета Внутр'!C1996</f>
        <v>руб.</v>
      </c>
      <c r="D1989" s="2594" t="n">
        <f aca="false">'Смета Внутр'!D1996</f>
        <v>1</v>
      </c>
      <c r="E1989" s="2594" t="n">
        <f aca="false">'Смета Внутр'!E1996</f>
        <v>50000</v>
      </c>
      <c r="F1989" s="2594" t="n">
        <f aca="false">'Смета Внутр'!F1996</f>
        <v>0</v>
      </c>
      <c r="G1989" s="1004" t="n">
        <f aca="false">IF(E1989&gt;F1989,E1989,F1989)</f>
        <v>50000</v>
      </c>
      <c r="H1989" s="2594" t="n">
        <f aca="false">'Смета Внутр'!H1996</f>
        <v>0</v>
      </c>
      <c r="I1989" s="2594" t="n">
        <f aca="false">'Смета Внутр'!I1996</f>
        <v>0</v>
      </c>
      <c r="J1989" s="2315" t="n">
        <f aca="false">'Смета Внутр'!I1996</f>
        <v>0</v>
      </c>
    </row>
    <row r="1990" customFormat="false" ht="15" hidden="false" customHeight="true" outlineLevel="0" collapsed="false">
      <c r="B1990" s="2936" t="str">
        <f aca="false">'Смета Внутр'!B1997</f>
        <v>Итого работы</v>
      </c>
      <c r="C1990" s="2936"/>
      <c r="D1990" s="2936"/>
      <c r="E1990" s="2936"/>
      <c r="F1990" s="2936"/>
      <c r="G1990" s="2936"/>
      <c r="H1990" s="1116"/>
      <c r="I1990" s="1116"/>
      <c r="J1990" s="2315" t="n">
        <f aca="false">'Смета Внутр'!I1997</f>
        <v>0</v>
      </c>
    </row>
    <row r="1991" customFormat="false" ht="15" hidden="false" customHeight="true" outlineLevel="0" collapsed="false">
      <c r="B1991" s="2932" t="str">
        <f aca="false">'Смета Внутр'!B1998</f>
        <v>Лестница готовая</v>
      </c>
      <c r="C1991" s="2932"/>
      <c r="D1991" s="2932"/>
      <c r="E1991" s="2932"/>
      <c r="F1991" s="2932"/>
      <c r="G1991" s="2932"/>
      <c r="H1991" s="2932"/>
      <c r="I1991" s="2932"/>
      <c r="J1991" s="2932"/>
    </row>
    <row r="1992" customFormat="false" ht="15" hidden="false" customHeight="true" outlineLevel="0" collapsed="false">
      <c r="B1992" s="2929" t="str">
        <f aca="false">'Смета Внутр'!B1999</f>
        <v>Материалы</v>
      </c>
      <c r="C1992" s="2929"/>
      <c r="D1992" s="2929"/>
      <c r="E1992" s="2929"/>
      <c r="F1992" s="2929"/>
      <c r="G1992" s="2929"/>
      <c r="H1992" s="2929"/>
      <c r="I1992" s="2929"/>
      <c r="J1992" s="2929"/>
    </row>
    <row r="1993" customFormat="false" ht="15" hidden="false" customHeight="true" outlineLevel="0" collapsed="false">
      <c r="B1993" s="2594" t="str">
        <f aca="false">'Смета Внутр'!B2000</f>
        <v>Бетонная лестница 2</v>
      </c>
      <c r="C1993" s="2594" t="str">
        <f aca="false">'Смета Внутр'!C2000</f>
        <v>шт.</v>
      </c>
      <c r="D1993" s="2594" t="n">
        <f aca="false">'Смета Внутр'!D2000</f>
        <v>1</v>
      </c>
      <c r="E1993" s="2594" t="n">
        <f aca="false">'Смета Внутр'!E2000</f>
        <v>30000</v>
      </c>
      <c r="F1993" s="2594" t="n">
        <f aca="false">'Смета Внутр'!F2000</f>
        <v>0</v>
      </c>
      <c r="G1993" s="1004" t="n">
        <f aca="false">IF(E1993&gt;F1993,E1993,F1993)</f>
        <v>30000</v>
      </c>
      <c r="H1993" s="2594" t="n">
        <f aca="false">'Смета Внутр'!H2000</f>
        <v>0</v>
      </c>
      <c r="I1993" s="2594" t="n">
        <f aca="false">'Смета Внутр'!I2000</f>
        <v>0</v>
      </c>
      <c r="J1993" s="2315" t="n">
        <f aca="false">'Смета Внутр'!I2000</f>
        <v>0</v>
      </c>
    </row>
    <row r="1994" customFormat="false" ht="15" hidden="false" customHeight="true" outlineLevel="0" collapsed="false">
      <c r="B1994" s="2594" t="str">
        <f aca="false">'Смета Внутр'!B2001</f>
        <v>Нет</v>
      </c>
      <c r="C1994" s="2594" t="str">
        <f aca="false">'Смета Внутр'!C2001</f>
        <v>шт.</v>
      </c>
      <c r="D1994" s="2594" t="n">
        <f aca="false">'Смета Внутр'!D2001</f>
        <v>2</v>
      </c>
      <c r="E1994" s="2594" t="n">
        <f aca="false">'Смета Внутр'!E2001</f>
        <v>0</v>
      </c>
      <c r="F1994" s="2594" t="n">
        <f aca="false">'Смета Внутр'!F2001</f>
        <v>0</v>
      </c>
      <c r="G1994" s="1004" t="n">
        <f aca="false">IF(E1994&gt;F1994,E1994,F1994)</f>
        <v>0</v>
      </c>
      <c r="H1994" s="2594" t="n">
        <f aca="false">'Смета Внутр'!H2001</f>
        <v>0</v>
      </c>
      <c r="I1994" s="2594" t="n">
        <f aca="false">'Смета Внутр'!I2001</f>
        <v>0</v>
      </c>
      <c r="J1994" s="2315" t="n">
        <f aca="false">'Смета Внутр'!I2001</f>
        <v>0</v>
      </c>
    </row>
    <row r="1995" customFormat="false" ht="15" hidden="false" customHeight="true" outlineLevel="0" collapsed="false">
      <c r="B1995" s="2594" t="str">
        <f aca="false">'Смета Внутр'!B2002</f>
        <v>Доп. Расходы</v>
      </c>
      <c r="C1995" s="2594" t="str">
        <f aca="false">'Смета Внутр'!C2002</f>
        <v>руб.</v>
      </c>
      <c r="D1995" s="2594" t="n">
        <f aca="false">'Смета Внутр'!D2002</f>
        <v>1</v>
      </c>
      <c r="E1995" s="2594" t="n">
        <f aca="false">'Смета Внутр'!E2002</f>
        <v>2000</v>
      </c>
      <c r="F1995" s="2594" t="n">
        <f aca="false">'Смета Внутр'!F2002</f>
        <v>0</v>
      </c>
      <c r="G1995" s="1004" t="n">
        <f aca="false">IF(E1995&gt;F1995,E1995,F1995)</f>
        <v>2000</v>
      </c>
      <c r="H1995" s="2594" t="n">
        <f aca="false">'Смета Внутр'!H2002</f>
        <v>0</v>
      </c>
      <c r="I1995" s="2594" t="n">
        <f aca="false">'Смета Внутр'!I2002</f>
        <v>0</v>
      </c>
      <c r="J1995" s="2315" t="n">
        <f aca="false">'Смета Внутр'!I2002</f>
        <v>0</v>
      </c>
    </row>
    <row r="1996" customFormat="false" ht="15" hidden="false" customHeight="true" outlineLevel="0" collapsed="false">
      <c r="B1996" s="2594" t="str">
        <f aca="false">'Смета Внутр'!B2003</f>
        <v>Нет техники</v>
      </c>
      <c r="C1996" s="2594" t="str">
        <f aca="false">'Смета Внутр'!C2003</f>
        <v>час</v>
      </c>
      <c r="D1996" s="2594" t="n">
        <f aca="false">'Смета Внутр'!D2003</f>
        <v>0</v>
      </c>
      <c r="E1996" s="2594" t="n">
        <f aca="false">'Смета Внутр'!E2003</f>
        <v>0</v>
      </c>
      <c r="F1996" s="2594" t="n">
        <f aca="false">'Смета Внутр'!F2003</f>
        <v>0</v>
      </c>
      <c r="G1996" s="1004" t="n">
        <f aca="false">IF(E1996&gt;F1996,E1996,F1996)</f>
        <v>0</v>
      </c>
      <c r="H1996" s="2594" t="n">
        <f aca="false">'Смета Внутр'!H2003</f>
        <v>0</v>
      </c>
      <c r="I1996" s="2594" t="n">
        <f aca="false">'Смета Внутр'!I2003</f>
        <v>0</v>
      </c>
      <c r="J1996" s="2315" t="n">
        <f aca="false">'Смета Внутр'!I2003</f>
        <v>0</v>
      </c>
    </row>
    <row r="1997" customFormat="false" ht="15" hidden="false" customHeight="true" outlineLevel="0" collapsed="false">
      <c r="B1997" s="2594" t="str">
        <f aca="false">'Смета Внутр'!B2004</f>
        <v>Нет техники</v>
      </c>
      <c r="C1997" s="2594" t="str">
        <f aca="false">'Смета Внутр'!C2004</f>
        <v>шт.</v>
      </c>
      <c r="D1997" s="2594" t="n">
        <f aca="false">'Смета Внутр'!D2004</f>
        <v>3</v>
      </c>
      <c r="E1997" s="2594" t="n">
        <f aca="false">'Смета Внутр'!E2004</f>
        <v>0</v>
      </c>
      <c r="F1997" s="2594" t="n">
        <f aca="false">'Смета Внутр'!F2004</f>
        <v>0</v>
      </c>
      <c r="G1997" s="1004" t="n">
        <f aca="false">IF(E1997&gt;F1997,E1997,F1997)</f>
        <v>0</v>
      </c>
      <c r="H1997" s="2594" t="n">
        <f aca="false">'Смета Внутр'!H2004</f>
        <v>0</v>
      </c>
      <c r="I1997" s="2594" t="n">
        <f aca="false">'Смета Внутр'!I2004</f>
        <v>0</v>
      </c>
      <c r="J1997" s="2315" t="n">
        <f aca="false">'Смета Внутр'!I2004</f>
        <v>0</v>
      </c>
    </row>
    <row r="1998" customFormat="false" ht="15" hidden="false" customHeight="true" outlineLevel="0" collapsed="false">
      <c r="B1998" s="2927" t="str">
        <f aca="false">'Смета Внутр'!B2005</f>
        <v>Итого материалы</v>
      </c>
      <c r="C1998" s="2927"/>
      <c r="D1998" s="2927"/>
      <c r="E1998" s="2927"/>
      <c r="F1998" s="2927"/>
      <c r="G1998" s="2927"/>
      <c r="H1998" s="1116"/>
      <c r="I1998" s="1116"/>
      <c r="J1998" s="2315" t="n">
        <f aca="false">'Смета Внутр'!I2005</f>
        <v>0</v>
      </c>
    </row>
    <row r="1999" customFormat="false" ht="15" hidden="false" customHeight="true" outlineLevel="0" collapsed="false">
      <c r="B1999" s="2929" t="str">
        <f aca="false">'Смета Внутр'!B2006</f>
        <v>Работы</v>
      </c>
      <c r="C1999" s="2929"/>
      <c r="D1999" s="2929"/>
      <c r="E1999" s="2929"/>
      <c r="F1999" s="2929"/>
      <c r="G1999" s="2929"/>
      <c r="H1999" s="2929"/>
      <c r="I1999" s="2929"/>
      <c r="J1999" s="2929"/>
    </row>
    <row r="2000" customFormat="false" ht="15" hidden="false" customHeight="true" outlineLevel="0" collapsed="false">
      <c r="B2000" s="2594" t="str">
        <f aca="false">'Смета Внутр'!B2007</f>
        <v>Монтаж готовой бетонной лестницы 2</v>
      </c>
      <c r="C2000" s="2594" t="str">
        <f aca="false">'Смета Внутр'!C2007</f>
        <v>руб.</v>
      </c>
      <c r="D2000" s="2594" t="n">
        <f aca="false">'Смета Внутр'!D2007</f>
        <v>1</v>
      </c>
      <c r="E2000" s="2594" t="n">
        <f aca="false">'Смета Внутр'!E2007</f>
        <v>10000</v>
      </c>
      <c r="F2000" s="2594" t="n">
        <f aca="false">'Смета Внутр'!F2007</f>
        <v>0</v>
      </c>
      <c r="G2000" s="1004" t="n">
        <f aca="false">IF(E2000&gt;F2000,E2000,F2000)</f>
        <v>10000</v>
      </c>
      <c r="H2000" s="2594" t="n">
        <f aca="false">'Смета Внутр'!H2007</f>
        <v>0</v>
      </c>
      <c r="I2000" s="2594" t="n">
        <f aca="false">'Смета Внутр'!I2007</f>
        <v>0</v>
      </c>
      <c r="J2000" s="2594" t="n">
        <f aca="false">'Смета Внутр'!I2007</f>
        <v>0</v>
      </c>
    </row>
    <row r="2001" customFormat="false" ht="15" hidden="false" customHeight="true" outlineLevel="0" collapsed="false">
      <c r="B2001" s="2927" t="str">
        <f aca="false">'Смета Внутр'!B2008</f>
        <v>Итого работы</v>
      </c>
      <c r="C2001" s="2927"/>
      <c r="D2001" s="2927"/>
      <c r="E2001" s="2927"/>
      <c r="F2001" s="2927"/>
      <c r="G2001" s="2927"/>
      <c r="H2001" s="1116"/>
      <c r="I2001" s="1116"/>
      <c r="J2001" s="2315" t="n">
        <f aca="false">'Смета Внутр'!I2008</f>
        <v>0</v>
      </c>
    </row>
    <row r="2002" customFormat="false" ht="15" hidden="false" customHeight="true" outlineLevel="0" collapsed="false">
      <c r="B2002" s="2934" t="str">
        <f aca="false">'Смета Внутр'!B2009</f>
        <v>Мансардные окна</v>
      </c>
      <c r="C2002" s="2934"/>
      <c r="D2002" s="2934"/>
      <c r="H2002" s="0" t="n">
        <f aca="false">'Смета Внутр'!G2009</f>
        <v>0</v>
      </c>
      <c r="I2002" s="0" t="n">
        <f aca="false">'Смета Внутр'!H2009</f>
        <v>0</v>
      </c>
      <c r="J2002" s="2926" t="n">
        <f aca="false">'Смета Внутр'!I2009</f>
        <v>0</v>
      </c>
    </row>
    <row r="2003" customFormat="false" ht="15" hidden="false" customHeight="true" outlineLevel="0" collapsed="false">
      <c r="B2003" s="2881" t="str">
        <f aca="false">'Смета Внутр'!B2010</f>
        <v>Материалы</v>
      </c>
      <c r="D2003" s="919"/>
      <c r="H2003" s="0" t="n">
        <f aca="false">'Смета Внутр'!G2010</f>
        <v>0</v>
      </c>
      <c r="I2003" s="0" t="n">
        <f aca="false">'Смета Внутр'!H2010</f>
        <v>0</v>
      </c>
      <c r="J2003" s="2926" t="n">
        <f aca="false">'Смета Внутр'!I2010</f>
        <v>0</v>
      </c>
    </row>
    <row r="2004" customFormat="false" ht="15" hidden="false" customHeight="true" outlineLevel="0" collapsed="false">
      <c r="B2004" s="1004" t="str">
        <f aca="false">'Смета Внутр'!B2011</f>
        <v>MR10 78X160</v>
      </c>
      <c r="C2004" s="1004" t="str">
        <f aca="false">'Смета Внутр'!C2011</f>
        <v>шт</v>
      </c>
      <c r="D2004" s="1018" t="n">
        <f aca="false">'Смета Внутр'!D2011</f>
        <v>1</v>
      </c>
      <c r="E2004" s="1004" t="n">
        <f aca="false">'Смета Внутр'!E2011</f>
        <v>22353</v>
      </c>
      <c r="F2004" s="1004" t="n">
        <f aca="false">'Смета Внутр'!F2011</f>
        <v>0</v>
      </c>
      <c r="G2004" s="1004" t="n">
        <f aca="false">IF(E2004&gt;F2004,E2004,F2004)</f>
        <v>22353</v>
      </c>
      <c r="H2004" s="1004" t="n">
        <f aca="false">'Смета Внутр'!G2011</f>
        <v>22353</v>
      </c>
      <c r="I2004" s="1004" t="n">
        <f aca="false">'Смета Внутр'!H2011</f>
        <v>0</v>
      </c>
      <c r="J2004" s="1018" t="n">
        <f aca="false">'Смета Внутр'!I2011</f>
        <v>0</v>
      </c>
    </row>
    <row r="2005" customFormat="false" ht="15" hidden="false" customHeight="true" outlineLevel="0" collapsed="false">
      <c r="B2005" s="1004" t="str">
        <f aca="false">'Смета Внутр'!B2012</f>
        <v>MR08 78X140</v>
      </c>
      <c r="C2005" s="1004" t="str">
        <f aca="false">'Смета Внутр'!C2012</f>
        <v>шт</v>
      </c>
      <c r="D2005" s="1018" t="n">
        <f aca="false">'Смета Внутр'!D2012</f>
        <v>2</v>
      </c>
      <c r="E2005" s="1004" t="n">
        <f aca="false">'Смета Внутр'!E2012</f>
        <v>21506</v>
      </c>
      <c r="F2005" s="1004" t="n">
        <f aca="false">'Смета Внутр'!F2012</f>
        <v>0</v>
      </c>
      <c r="G2005" s="1004" t="n">
        <f aca="false">IF(E2005&gt;F2005,E2005,F2005)</f>
        <v>21506</v>
      </c>
      <c r="H2005" s="1004" t="n">
        <f aca="false">'Смета Внутр'!G2012</f>
        <v>43012</v>
      </c>
      <c r="I2005" s="1004" t="n">
        <f aca="false">'Смета Внутр'!H2012</f>
        <v>0</v>
      </c>
      <c r="J2005" s="1018" t="n">
        <f aca="false">'Смета Внутр'!I2012</f>
        <v>0</v>
      </c>
    </row>
    <row r="2006" customFormat="false" ht="15" hidden="false" customHeight="true" outlineLevel="0" collapsed="false">
      <c r="B2006" s="1004" t="str">
        <f aca="false">'Смета Внутр'!B2013</f>
        <v>MR10 78X160</v>
      </c>
      <c r="C2006" s="1004" t="str">
        <f aca="false">'Смета Внутр'!C2013</f>
        <v>шт</v>
      </c>
      <c r="D2006" s="1018" t="n">
        <f aca="false">'Смета Внутр'!D2013</f>
        <v>5</v>
      </c>
      <c r="E2006" s="1004" t="n">
        <f aca="false">'Смета Внутр'!E2013</f>
        <v>22353</v>
      </c>
      <c r="F2006" s="1004" t="n">
        <f aca="false">'Смета Внутр'!F2013</f>
        <v>0</v>
      </c>
      <c r="G2006" s="1004" t="n">
        <f aca="false">IF(E2006&gt;F2006,E2006,F2006)</f>
        <v>22353</v>
      </c>
      <c r="H2006" s="1004" t="n">
        <f aca="false">'Смета Внутр'!G2013</f>
        <v>111765</v>
      </c>
      <c r="I2006" s="1004" t="n">
        <f aca="false">'Смета Внутр'!H2013</f>
        <v>0</v>
      </c>
      <c r="J2006" s="1018" t="n">
        <f aca="false">'Смета Внутр'!I2013</f>
        <v>0</v>
      </c>
    </row>
    <row r="2007" customFormat="false" ht="15" hidden="false" customHeight="true" outlineLevel="0" collapsed="false">
      <c r="B2007" s="1004" t="str">
        <f aca="false">'Смета Внутр'!B2014</f>
        <v>MR04 78X98</v>
      </c>
      <c r="C2007" s="1004" t="str">
        <f aca="false">'Смета Внутр'!C2014</f>
        <v>шт</v>
      </c>
      <c r="D2007" s="1018" t="n">
        <f aca="false">'Смета Внутр'!D2014</f>
        <v>0</v>
      </c>
      <c r="E2007" s="1004" t="n">
        <f aca="false">'Смета Внутр'!E2014</f>
        <v>18658</v>
      </c>
      <c r="F2007" s="1004" t="n">
        <f aca="false">'Смета Внутр'!F2014</f>
        <v>0</v>
      </c>
      <c r="G2007" s="1004" t="n">
        <f aca="false">IF(E2007&gt;F2007,E2007,F2007)</f>
        <v>18658</v>
      </c>
      <c r="H2007" s="1004" t="n">
        <f aca="false">'Смета Внутр'!G2014</f>
        <v>0</v>
      </c>
      <c r="I2007" s="1004" t="n">
        <f aca="false">'Смета Внутр'!H2014</f>
        <v>0</v>
      </c>
      <c r="J2007" s="1018" t="n">
        <f aca="false">'Смета Внутр'!I2014</f>
        <v>0</v>
      </c>
    </row>
    <row r="2008" customFormat="false" ht="14.5" hidden="false" customHeight="false" outlineLevel="0" collapsed="false">
      <c r="B2008" s="2927" t="str">
        <f aca="false">'Смета Внутр'!B2015</f>
        <v>Итого материалы</v>
      </c>
      <c r="C2008" s="2927"/>
      <c r="D2008" s="2927"/>
      <c r="E2008" s="2927"/>
      <c r="F2008" s="2927"/>
      <c r="G2008" s="2927"/>
      <c r="H2008" s="1004" t="n">
        <f aca="false">'Смета Внутр'!G2015</f>
        <v>0</v>
      </c>
      <c r="I2008" s="1004" t="n">
        <f aca="false">'Смета Внутр'!H2015</f>
        <v>0</v>
      </c>
      <c r="J2008" s="1018" t="n">
        <f aca="false">'Смета Внутр'!I2015</f>
        <v>0</v>
      </c>
    </row>
    <row r="2009" customFormat="false" ht="15" hidden="false" customHeight="true" outlineLevel="0" collapsed="false">
      <c r="B2009" s="2881" t="str">
        <f aca="false">'Смета Внутр'!B2016</f>
        <v>Работы</v>
      </c>
      <c r="D2009" s="919"/>
      <c r="H2009" s="0" t="n">
        <f aca="false">'Смета Внутр'!G2016</f>
        <v>0</v>
      </c>
      <c r="I2009" s="0" t="n">
        <f aca="false">'Смета Внутр'!H2016</f>
        <v>0</v>
      </c>
      <c r="J2009" s="2926" t="n">
        <f aca="false">'Смета Внутр'!I2016</f>
        <v>0</v>
      </c>
    </row>
    <row r="2010" customFormat="false" ht="15" hidden="false" customHeight="true" outlineLevel="0" collapsed="false">
      <c r="B2010" s="1004" t="str">
        <f aca="false">'Смета Внутр'!B2017</f>
        <v>MR10 78X160</v>
      </c>
      <c r="C2010" s="1004" t="str">
        <f aca="false">'Смета Внутр'!C2017</f>
        <v>шт</v>
      </c>
      <c r="D2010" s="1018" t="n">
        <f aca="false">'Смета Внутр'!D2017</f>
        <v>1</v>
      </c>
      <c r="E2010" s="1004" t="n">
        <f aca="false">'Смета Внутр'!E2017</f>
        <v>4200</v>
      </c>
      <c r="F2010" s="1004" t="n">
        <f aca="false">'Смета Внутр'!F2017</f>
        <v>0</v>
      </c>
      <c r="G2010" s="1004" t="n">
        <f aca="false">IF(E2010&gt;F2010,E2010,F2010)</f>
        <v>4200</v>
      </c>
      <c r="H2010" s="1004" t="n">
        <f aca="false">'Смета Внутр'!G2017</f>
        <v>4200</v>
      </c>
      <c r="I2010" s="1004" t="n">
        <f aca="false">'Смета Внутр'!H2017</f>
        <v>0</v>
      </c>
      <c r="J2010" s="1018" t="n">
        <f aca="false">'Смета Внутр'!I2017</f>
        <v>0</v>
      </c>
    </row>
    <row r="2011" customFormat="false" ht="15" hidden="false" customHeight="true" outlineLevel="0" collapsed="false">
      <c r="B2011" s="1004" t="str">
        <f aca="false">'Смета Внутр'!B2018</f>
        <v>MR08 78X140</v>
      </c>
      <c r="C2011" s="1004" t="str">
        <f aca="false">'Смета Внутр'!C2018</f>
        <v>шт</v>
      </c>
      <c r="D2011" s="1018" t="n">
        <f aca="false">'Смета Внутр'!D2018</f>
        <v>2</v>
      </c>
      <c r="E2011" s="1004" t="n">
        <f aca="false">'Смета Внутр'!E2018</f>
        <v>4000</v>
      </c>
      <c r="F2011" s="1004" t="n">
        <f aca="false">'Смета Внутр'!F2018</f>
        <v>0</v>
      </c>
      <c r="G2011" s="1004" t="n">
        <f aca="false">IF(E2011&gt;F2011,E2011,F2011)</f>
        <v>4000</v>
      </c>
      <c r="H2011" s="1004" t="n">
        <f aca="false">'Смета Внутр'!G2018</f>
        <v>8000</v>
      </c>
      <c r="I2011" s="1004" t="n">
        <f aca="false">'Смета Внутр'!H2018</f>
        <v>0</v>
      </c>
      <c r="J2011" s="1018" t="n">
        <f aca="false">'Смета Внутр'!I2018</f>
        <v>0</v>
      </c>
    </row>
    <row r="2012" customFormat="false" ht="15" hidden="false" customHeight="true" outlineLevel="0" collapsed="false">
      <c r="B2012" s="1004" t="str">
        <f aca="false">'Смета Внутр'!B2019</f>
        <v>MR10 78X160</v>
      </c>
      <c r="C2012" s="1004" t="str">
        <f aca="false">'Смета Внутр'!C2019</f>
        <v>шт</v>
      </c>
      <c r="D2012" s="1018" t="n">
        <f aca="false">'Смета Внутр'!D2019</f>
        <v>5</v>
      </c>
      <c r="E2012" s="1004" t="n">
        <f aca="false">'Смета Внутр'!E2019</f>
        <v>4200</v>
      </c>
      <c r="F2012" s="1004" t="n">
        <f aca="false">'Смета Внутр'!F2019</f>
        <v>0</v>
      </c>
      <c r="G2012" s="1004" t="n">
        <f aca="false">IF(E2012&gt;F2012,E2012,F2012)</f>
        <v>4200</v>
      </c>
      <c r="H2012" s="1004" t="n">
        <f aca="false">'Смета Внутр'!G2019</f>
        <v>21000</v>
      </c>
      <c r="I2012" s="1004" t="n">
        <f aca="false">'Смета Внутр'!H2019</f>
        <v>0</v>
      </c>
      <c r="J2012" s="1018" t="n">
        <f aca="false">'Смета Внутр'!I2019</f>
        <v>0</v>
      </c>
    </row>
    <row r="2013" customFormat="false" ht="15" hidden="false" customHeight="true" outlineLevel="0" collapsed="false">
      <c r="B2013" s="1004" t="str">
        <f aca="false">'Смета Внутр'!B2020</f>
        <v>MR04 78X98</v>
      </c>
      <c r="C2013" s="1004" t="str">
        <f aca="false">'Смета Внутр'!C2020</f>
        <v>шт</v>
      </c>
      <c r="D2013" s="1018" t="n">
        <f aca="false">'Смета Внутр'!D2020</f>
        <v>0</v>
      </c>
      <c r="E2013" s="1004" t="n">
        <f aca="false">'Смета Внутр'!E2020</f>
        <v>3700</v>
      </c>
      <c r="F2013" s="1004" t="n">
        <f aca="false">'Смета Внутр'!F2020</f>
        <v>0</v>
      </c>
      <c r="G2013" s="1004" t="n">
        <f aca="false">IF(E2013&gt;F2013,E2013,F2013)</f>
        <v>3700</v>
      </c>
      <c r="H2013" s="1004" t="n">
        <f aca="false">'Смета Внутр'!G2020</f>
        <v>0</v>
      </c>
      <c r="I2013" s="1004" t="n">
        <f aca="false">'Смета Внутр'!H2020</f>
        <v>0</v>
      </c>
      <c r="J2013" s="1018" t="n">
        <f aca="false">'Смета Внутр'!I2020</f>
        <v>0</v>
      </c>
    </row>
    <row r="2014" customFormat="false" ht="15" hidden="false" customHeight="true" outlineLevel="0" collapsed="false">
      <c r="B2014" s="2927" t="str">
        <f aca="false">'Смета Внутр'!B2021</f>
        <v>Итого работы</v>
      </c>
      <c r="C2014" s="2927"/>
      <c r="D2014" s="2927"/>
      <c r="E2014" s="2927"/>
      <c r="F2014" s="2927"/>
      <c r="G2014" s="2927"/>
      <c r="H2014" s="1004" t="n">
        <f aca="false">'Смета Внутр'!G2021</f>
        <v>0</v>
      </c>
      <c r="I2014" s="1004" t="n">
        <f aca="false">'Смета Внутр'!H2021</f>
        <v>0</v>
      </c>
      <c r="J2014" s="1018" t="n">
        <f aca="false">'Смета Внутр'!I2021</f>
        <v>0</v>
      </c>
    </row>
    <row r="2015" customFormat="false" ht="15" hidden="false" customHeight="true" outlineLevel="0" collapsed="false">
      <c r="B2015" s="2925" t="str">
        <f aca="false">'Смета Внутр'!B2022</f>
        <v>Отделка внешняя</v>
      </c>
      <c r="C2015" s="2925"/>
      <c r="D2015" s="2925"/>
      <c r="H2015" s="0" t="n">
        <f aca="false">'Смета Внутр'!G2022</f>
        <v>0</v>
      </c>
      <c r="I2015" s="0" t="n">
        <f aca="false">'Смета Внутр'!H2022</f>
        <v>0</v>
      </c>
      <c r="J2015" s="2926" t="n">
        <f aca="false">'Смета Внутр'!I2022</f>
        <v>0</v>
      </c>
    </row>
    <row r="2016" customFormat="false" ht="15" hidden="false" customHeight="true" outlineLevel="0" collapsed="false">
      <c r="B2016" s="2881" t="str">
        <f aca="false">'Смета Внутр'!B2023</f>
        <v>Материалы</v>
      </c>
      <c r="D2016" s="919"/>
      <c r="H2016" s="0" t="n">
        <f aca="false">'Смета Внутр'!G2023</f>
        <v>0</v>
      </c>
      <c r="I2016" s="0" t="n">
        <f aca="false">'Смета Внутр'!H2023</f>
        <v>0</v>
      </c>
      <c r="J2016" s="2926" t="n">
        <f aca="false">'Смета Внутр'!I2023</f>
        <v>0</v>
      </c>
    </row>
    <row r="2017" customFormat="false" ht="15" hidden="false" customHeight="true" outlineLevel="0" collapsed="false">
      <c r="B2017" s="2937" t="str">
        <f aca="false">'Смета Внутр'!B2024</f>
        <v>дом, стены</v>
      </c>
      <c r="C2017" s="2937"/>
      <c r="D2017" s="2937"/>
      <c r="E2017" s="2937"/>
      <c r="F2017" s="2937"/>
      <c r="G2017" s="2937"/>
      <c r="H2017" s="1004" t="n">
        <f aca="false">'Смета Внутр'!G2024</f>
        <v>0</v>
      </c>
      <c r="I2017" s="1004" t="n">
        <f aca="false">'Смета Внутр'!H2024</f>
        <v>0</v>
      </c>
      <c r="J2017" s="2938" t="n">
        <f aca="false">'Смета Внутр'!I2024</f>
        <v>0</v>
      </c>
    </row>
    <row r="2018" customFormat="false" ht="15" hidden="false" customHeight="true" outlineLevel="0" collapsed="false">
      <c r="B2018" s="1004" t="str">
        <f aca="false">'Смета Внутр'!B2025</f>
        <v>Г-образный профиль 40*40, 9мм</v>
      </c>
      <c r="C2018" s="1004" t="str">
        <f aca="false">'Смета Внутр'!C2025</f>
        <v>м.п.</v>
      </c>
      <c r="D2018" s="1018" t="n">
        <f aca="false">'Смета Внутр'!D2025</f>
        <v>243.54</v>
      </c>
      <c r="E2018" s="1004" t="n">
        <f aca="false">'Смета Внутр'!E2025</f>
        <v>47</v>
      </c>
      <c r="F2018" s="1004" t="n">
        <f aca="false">'Смета Внутр'!F2025</f>
        <v>0</v>
      </c>
      <c r="G2018" s="1004" t="n">
        <f aca="false">IF(E2018&gt;F2018,E2018,F2018)</f>
        <v>47</v>
      </c>
      <c r="H2018" s="1004" t="n">
        <f aca="false">'Смета Внутр'!G2025</f>
        <v>11446.38</v>
      </c>
      <c r="I2018" s="1004" t="n">
        <f aca="false">'Смета Внутр'!H2025</f>
        <v>0</v>
      </c>
      <c r="J2018" s="1018" t="n">
        <f aca="false">'Смета Внутр'!I2025</f>
        <v>0</v>
      </c>
    </row>
    <row r="2019" customFormat="false" ht="15" hidden="false" customHeight="true" outlineLevel="0" collapsed="false">
      <c r="B2019" s="1004" t="str">
        <f aca="false">'Смета Внутр'!B2026</f>
        <v>Фасадный кронштейн КК 90</v>
      </c>
      <c r="C2019" s="1004" t="str">
        <f aca="false">'Смета Внутр'!C2026</f>
        <v>шт</v>
      </c>
      <c r="D2019" s="1018" t="n">
        <f aca="false">'Смета Внутр'!D2026</f>
        <v>584.496</v>
      </c>
      <c r="E2019" s="1004" t="n">
        <f aca="false">'Смета Внутр'!E2026</f>
        <v>15</v>
      </c>
      <c r="F2019" s="1004" t="n">
        <f aca="false">'Смета Внутр'!F2026</f>
        <v>0</v>
      </c>
      <c r="G2019" s="1004" t="n">
        <f aca="false">IF(E2019&gt;F2019,E2019,F2019)</f>
        <v>15</v>
      </c>
      <c r="H2019" s="1004" t="n">
        <f aca="false">'Смета Внутр'!G2026</f>
        <v>8767.44</v>
      </c>
      <c r="I2019" s="1004" t="n">
        <f aca="false">'Смета Внутр'!H2026</f>
        <v>0</v>
      </c>
      <c r="J2019" s="1018" t="n">
        <f aca="false">'Смета Внутр'!I2026</f>
        <v>0</v>
      </c>
    </row>
    <row r="2020" customFormat="false" ht="15" hidden="false" customHeight="true" outlineLevel="0" collapsed="false">
      <c r="B2020" s="1004" t="str">
        <f aca="false">'Смета Внутр'!B2027</f>
        <v>Саморезы 3,5 x 45</v>
      </c>
      <c r="C2020" s="1004" t="str">
        <f aca="false">'Смета Внутр'!C2027</f>
        <v>шт</v>
      </c>
      <c r="D2020" s="1018" t="n">
        <f aca="false">'Смета Внутр'!D2027</f>
        <v>1168.992</v>
      </c>
      <c r="E2020" s="1004" t="n">
        <f aca="false">'Смета Внутр'!E2027</f>
        <v>0.25</v>
      </c>
      <c r="F2020" s="1004" t="n">
        <f aca="false">'Смета Внутр'!F2027</f>
        <v>0</v>
      </c>
      <c r="G2020" s="1004" t="n">
        <f aca="false">IF(E2020&gt;F2020,E2020,F2020)</f>
        <v>0.25</v>
      </c>
      <c r="H2020" s="1004" t="n">
        <f aca="false">'Смета Внутр'!G2027</f>
        <v>292.248</v>
      </c>
      <c r="I2020" s="1004" t="n">
        <f aca="false">'Смета Внутр'!H2027</f>
        <v>0</v>
      </c>
      <c r="J2020" s="1018" t="n">
        <f aca="false">'Смета Внутр'!I2027</f>
        <v>0</v>
      </c>
    </row>
    <row r="2021" customFormat="false" ht="15" hidden="false" customHeight="true" outlineLevel="0" collapsed="false">
      <c r="B2021" s="1004" t="str">
        <f aca="false">'Смета Внутр'!B2028</f>
        <v>Болты анкерные с гайкой 10,0 х 97</v>
      </c>
      <c r="C2021" s="1004" t="str">
        <f aca="false">'Смета Внутр'!C2028</f>
        <v>шт</v>
      </c>
      <c r="D2021" s="1018" t="n">
        <f aca="false">'Смета Внутр'!D2028</f>
        <v>1168.992</v>
      </c>
      <c r="E2021" s="1004" t="n">
        <f aca="false">'Смета Внутр'!E2028</f>
        <v>7.4</v>
      </c>
      <c r="F2021" s="1004" t="n">
        <f aca="false">'Смета Внутр'!F2028</f>
        <v>0</v>
      </c>
      <c r="G2021" s="1004" t="n">
        <f aca="false">IF(E2021&gt;F2021,E2021,F2021)</f>
        <v>7.4</v>
      </c>
      <c r="H2021" s="1004" t="n">
        <f aca="false">'Смета Внутр'!G2028</f>
        <v>8650.5408</v>
      </c>
      <c r="I2021" s="1004" t="n">
        <f aca="false">'Смета Внутр'!H2028</f>
        <v>0</v>
      </c>
      <c r="J2021" s="1018" t="n">
        <f aca="false">'Смета Внутр'!I2028</f>
        <v>0</v>
      </c>
    </row>
    <row r="2022" customFormat="false" ht="15" hidden="false" customHeight="true" outlineLevel="0" collapsed="false">
      <c r="B2022" s="1004" t="str">
        <f aca="false">'Смета Внутр'!B2029</f>
        <v>0,7НФ/150/75 Аренберг</v>
      </c>
      <c r="C2022" s="1004" t="str">
        <f aca="false">'Смета Внутр'!C2029</f>
        <v>м2</v>
      </c>
      <c r="D2022" s="1018" t="n">
        <f aca="false">'Смета Внутр'!D2029</f>
        <v>95.04</v>
      </c>
      <c r="E2022" s="1004" t="n">
        <f aca="false">'Смета Внутр'!E2029</f>
        <v>1052</v>
      </c>
      <c r="F2022" s="1004" t="n">
        <f aca="false">'Смета Внутр'!F2029</f>
        <v>0</v>
      </c>
      <c r="G2022" s="1004" t="n">
        <f aca="false">IF(E2022&gt;F2022,E2022,F2022)</f>
        <v>1052</v>
      </c>
      <c r="H2022" s="1004" t="n">
        <f aca="false">'Смета Внутр'!G2029</f>
        <v>99982.08</v>
      </c>
      <c r="I2022" s="1004" t="n">
        <f aca="false">'Смета Внутр'!H2029</f>
        <v>0</v>
      </c>
      <c r="J2022" s="1018" t="n">
        <f aca="false">'Смета Внутр'!I2029</f>
        <v>0</v>
      </c>
    </row>
    <row r="2023" customFormat="false" ht="15" hidden="false" customHeight="true" outlineLevel="0" collapsed="false">
      <c r="B2023" s="1004" t="str">
        <f aca="false">'Смета Внутр'!B2030</f>
        <v>Цемент, мешок, 50кг</v>
      </c>
      <c r="C2023" s="1004" t="str">
        <f aca="false">'Смета Внутр'!C2030</f>
        <v>меш</v>
      </c>
      <c r="D2023" s="1018" t="n">
        <f aca="false">'Смета Внутр'!D2030</f>
        <v>532.224</v>
      </c>
      <c r="E2023" s="1004" t="n">
        <f aca="false">'Смета Внутр'!E2030</f>
        <v>250</v>
      </c>
      <c r="F2023" s="1004" t="n">
        <f aca="false">'Смета Внутр'!F2030</f>
        <v>0</v>
      </c>
      <c r="G2023" s="1004" t="n">
        <f aca="false">IF(E2023&gt;F2023,E2023,F2023)</f>
        <v>250</v>
      </c>
      <c r="H2023" s="1004" t="n">
        <f aca="false">'Смета Внутр'!G2030</f>
        <v>133056</v>
      </c>
      <c r="I2023" s="1004" t="n">
        <f aca="false">'Смета Внутр'!H2030</f>
        <v>0</v>
      </c>
      <c r="J2023" s="1018" t="n">
        <f aca="false">'Смета Внутр'!I2030</f>
        <v>0</v>
      </c>
    </row>
    <row r="2024" customFormat="false" ht="15" hidden="false" customHeight="true" outlineLevel="0" collapsed="false">
      <c r="B2024" s="1004" t="str">
        <f aca="false">'Смета Внутр'!B2031</f>
        <v>Песок, м3</v>
      </c>
      <c r="C2024" s="1004" t="str">
        <f aca="false">'Смета Внутр'!C2031</f>
        <v>м3</v>
      </c>
      <c r="D2024" s="1018" t="n">
        <f aca="false">'Смета Внутр'!D2031</f>
        <v>38.016</v>
      </c>
      <c r="E2024" s="1004" t="n">
        <f aca="false">'Смета Внутр'!E2031</f>
        <v>250</v>
      </c>
      <c r="F2024" s="1004" t="n">
        <f aca="false">'Смета Внутр'!F2031</f>
        <v>0</v>
      </c>
      <c r="G2024" s="1004" t="n">
        <f aca="false">IF(E2024&gt;F2024,E2024,F2024)</f>
        <v>250</v>
      </c>
      <c r="H2024" s="1004" t="n">
        <f aca="false">'Смета Внутр'!G2031</f>
        <v>9504</v>
      </c>
      <c r="I2024" s="1004" t="n">
        <f aca="false">'Смета Внутр'!H2031</f>
        <v>0</v>
      </c>
      <c r="J2024" s="1018" t="n">
        <f aca="false">'Смета Внутр'!I2031</f>
        <v>0</v>
      </c>
    </row>
    <row r="2025" customFormat="false" ht="15" hidden="false" customHeight="true" outlineLevel="0" collapsed="false">
      <c r="B2025" s="1004" t="str">
        <f aca="false">'Смета Внутр'!B2032</f>
        <v>Кладочная сетка, 100*100/150*150/200*200мм</v>
      </c>
      <c r="C2025" s="1004" t="str">
        <f aca="false">'Смета Внутр'!C2032</f>
        <v>м2</v>
      </c>
      <c r="D2025" s="1018" t="n">
        <f aca="false">'Смета Внутр'!D2032</f>
        <v>19.8</v>
      </c>
      <c r="E2025" s="1004" t="n">
        <f aca="false">'Смета Внутр'!E2032</f>
        <v>70</v>
      </c>
      <c r="F2025" s="1004" t="n">
        <f aca="false">'Смета Внутр'!F2032</f>
        <v>0</v>
      </c>
      <c r="G2025" s="1004" t="n">
        <f aca="false">IF(E2025&gt;F2025,E2025,F2025)</f>
        <v>70</v>
      </c>
      <c r="H2025" s="1004" t="n">
        <f aca="false">'Смета Внутр'!G2032</f>
        <v>1386</v>
      </c>
      <c r="I2025" s="1004" t="n">
        <f aca="false">'Смета Внутр'!H2032</f>
        <v>0</v>
      </c>
      <c r="J2025" s="1018" t="n">
        <f aca="false">'Смета Внутр'!I2032</f>
        <v>0</v>
      </c>
    </row>
    <row r="2026" customFormat="false" ht="15" hidden="false" customHeight="true" outlineLevel="0" collapsed="false">
      <c r="B2026" s="1004" t="str">
        <f aca="false">'Смета Внутр'!B2033</f>
        <v>сайдинг виниловый</v>
      </c>
      <c r="C2026" s="1004" t="str">
        <f aca="false">'Смета Внутр'!C2033</f>
        <v>м2</v>
      </c>
      <c r="D2026" s="1018" t="n">
        <f aca="false">'Смета Внутр'!D2033</f>
        <v>0</v>
      </c>
      <c r="E2026" s="1004" t="n">
        <f aca="false">'Смета Внутр'!E2033</f>
        <v>350</v>
      </c>
      <c r="F2026" s="1004" t="n">
        <f aca="false">'Смета Внутр'!F2033</f>
        <v>0</v>
      </c>
      <c r="G2026" s="1004" t="n">
        <f aca="false">IF(E2026&gt;F2026,E2026,F2026)</f>
        <v>350</v>
      </c>
      <c r="H2026" s="1004" t="n">
        <f aca="false">'Смета Внутр'!G2033</f>
        <v>0</v>
      </c>
      <c r="I2026" s="1004" t="n">
        <f aca="false">'Смета Внутр'!H2033</f>
        <v>0</v>
      </c>
      <c r="J2026" s="1018" t="n">
        <f aca="false">'Смета Внутр'!I2033</f>
        <v>0</v>
      </c>
    </row>
    <row r="2027" customFormat="false" ht="15" hidden="false" customHeight="true" outlineLevel="0" collapsed="false">
      <c r="B2027" s="1004" t="str">
        <f aca="false">'Смета Внутр'!B2034</f>
        <v>доборные элементы для винил сайдинга</v>
      </c>
      <c r="C2027" s="1004" t="str">
        <f aca="false">'Смета Внутр'!C2034</f>
        <v>шт</v>
      </c>
      <c r="D2027" s="1018" t="n">
        <f aca="false">'Смета Внутр'!D2034</f>
        <v>0</v>
      </c>
      <c r="E2027" s="1004" t="n">
        <f aca="false">'Смета Внутр'!E2034</f>
        <v>300</v>
      </c>
      <c r="F2027" s="1004" t="n">
        <f aca="false">'Смета Внутр'!F2034</f>
        <v>0</v>
      </c>
      <c r="G2027" s="1004" t="n">
        <f aca="false">IF(E2027&gt;F2027,E2027,F2027)</f>
        <v>300</v>
      </c>
      <c r="H2027" s="1004" t="n">
        <f aca="false">'Смета Внутр'!G2034</f>
        <v>0</v>
      </c>
      <c r="I2027" s="1004" t="n">
        <f aca="false">'Смета Внутр'!H2034</f>
        <v>0</v>
      </c>
      <c r="J2027" s="1018" t="n">
        <f aca="false">'Смета Внутр'!I2034</f>
        <v>0</v>
      </c>
    </row>
    <row r="2028" customFormat="false" ht="15" hidden="false" customHeight="true" outlineLevel="0" collapsed="false">
      <c r="B2028" s="1004" t="str">
        <f aca="false">'Смета Внутр'!B2035</f>
        <v>сайдинг металлический</v>
      </c>
      <c r="C2028" s="1004" t="str">
        <f aca="false">'Смета Внутр'!C2035</f>
        <v>м2</v>
      </c>
      <c r="D2028" s="1018" t="n">
        <f aca="false">'Смета Внутр'!D2035</f>
        <v>0</v>
      </c>
      <c r="E2028" s="1004" t="n">
        <f aca="false">'Смета Внутр'!E2035</f>
        <v>550</v>
      </c>
      <c r="F2028" s="1004" t="n">
        <f aca="false">'Смета Внутр'!F2035</f>
        <v>0</v>
      </c>
      <c r="G2028" s="1004" t="n">
        <f aca="false">IF(E2028&gt;F2028,E2028,F2028)</f>
        <v>550</v>
      </c>
      <c r="H2028" s="1004" t="n">
        <f aca="false">'Смета Внутр'!G2035</f>
        <v>0</v>
      </c>
      <c r="I2028" s="1004" t="n">
        <f aca="false">'Смета Внутр'!H2035</f>
        <v>0</v>
      </c>
      <c r="J2028" s="1018" t="n">
        <f aca="false">'Смета Внутр'!I2035</f>
        <v>0</v>
      </c>
    </row>
    <row r="2029" customFormat="false" ht="15" hidden="false" customHeight="true" outlineLevel="0" collapsed="false">
      <c r="B2029" s="1004" t="str">
        <f aca="false">'Смета Внутр'!B2036</f>
        <v>доборные элементы для метал сайдинга</v>
      </c>
      <c r="C2029" s="1004" t="str">
        <f aca="false">'Смета Внутр'!C2036</f>
        <v>шт</v>
      </c>
      <c r="D2029" s="1018" t="n">
        <f aca="false">'Смета Внутр'!D2036</f>
        <v>0</v>
      </c>
      <c r="E2029" s="1004" t="n">
        <f aca="false">'Смета Внутр'!E2036</f>
        <v>350</v>
      </c>
      <c r="F2029" s="1004" t="n">
        <f aca="false">'Смета Внутр'!F2036</f>
        <v>0</v>
      </c>
      <c r="G2029" s="1004" t="n">
        <f aca="false">IF(E2029&gt;F2029,E2029,F2029)</f>
        <v>350</v>
      </c>
      <c r="H2029" s="1004" t="n">
        <f aca="false">'Смета Внутр'!G2036</f>
        <v>0</v>
      </c>
      <c r="I2029" s="1004" t="n">
        <f aca="false">'Смета Внутр'!H2036</f>
        <v>0</v>
      </c>
      <c r="J2029" s="1018" t="n">
        <f aca="false">'Смета Внутр'!I2036</f>
        <v>0</v>
      </c>
    </row>
    <row r="2030" customFormat="false" ht="15" hidden="false" customHeight="true" outlineLevel="0" collapsed="false">
      <c r="B2030" s="1004" t="n">
        <f aca="false">'Смета Внутр'!B2037</f>
        <v>0</v>
      </c>
      <c r="C2030" s="1004" t="str">
        <f aca="false">'Смета Внутр'!C2037</f>
        <v>м2</v>
      </c>
      <c r="D2030" s="1018" t="n">
        <f aca="false">'Смета Внутр'!D2037</f>
        <v>0</v>
      </c>
      <c r="E2030" s="1004" t="n">
        <f aca="false">'Смета Внутр'!E2037</f>
        <v>0</v>
      </c>
      <c r="F2030" s="1004" t="n">
        <f aca="false">'Смета Внутр'!F2037</f>
        <v>0</v>
      </c>
      <c r="G2030" s="1004" t="n">
        <f aca="false">IF(E2030&gt;F2030,E2030,F2030)</f>
        <v>0</v>
      </c>
      <c r="H2030" s="1004" t="n">
        <f aca="false">'Смета Внутр'!G2037</f>
        <v>0</v>
      </c>
      <c r="I2030" s="1004" t="n">
        <f aca="false">'Смета Внутр'!H2037</f>
        <v>0</v>
      </c>
      <c r="J2030" s="1018" t="n">
        <f aca="false">'Смета Внутр'!I2037</f>
        <v>0</v>
      </c>
    </row>
    <row r="2031" customFormat="false" ht="15" hidden="false" customHeight="true" outlineLevel="0" collapsed="false">
      <c r="B2031" s="1004" t="str">
        <f aca="false">'Смета Внутр'!B2038</f>
        <v>крепления для планкена, змейка</v>
      </c>
      <c r="C2031" s="1004" t="str">
        <f aca="false">'Смета Внутр'!C2038</f>
        <v>шт</v>
      </c>
      <c r="D2031" s="1018" t="n">
        <f aca="false">'Смета Внутр'!D2038</f>
        <v>0</v>
      </c>
      <c r="E2031" s="1004" t="n">
        <f aca="false">'Смета Внутр'!E2038</f>
        <v>15</v>
      </c>
      <c r="F2031" s="1004" t="n">
        <f aca="false">'Смета Внутр'!F2038</f>
        <v>0</v>
      </c>
      <c r="G2031" s="1004" t="n">
        <f aca="false">IF(E2031&gt;F2031,E2031,F2031)</f>
        <v>15</v>
      </c>
      <c r="H2031" s="1004" t="n">
        <f aca="false">'Смета Внутр'!G2038</f>
        <v>0</v>
      </c>
      <c r="I2031" s="1004" t="n">
        <f aca="false">'Смета Внутр'!H2038</f>
        <v>0</v>
      </c>
      <c r="J2031" s="1018" t="n">
        <f aca="false">'Смета Внутр'!I2038</f>
        <v>0</v>
      </c>
    </row>
    <row r="2032" customFormat="false" ht="15" hidden="false" customHeight="true" outlineLevel="0" collapsed="false">
      <c r="B2032" s="1004" t="n">
        <f aca="false">'Смета Внутр'!B2039</f>
        <v>0</v>
      </c>
      <c r="C2032" s="1004" t="str">
        <f aca="false">'Смета Внутр'!C2039</f>
        <v>м2</v>
      </c>
      <c r="D2032" s="1018" t="n">
        <f aca="false">'Смета Внутр'!D2039</f>
        <v>0</v>
      </c>
      <c r="E2032" s="1004" t="n">
        <f aca="false">'Смета Внутр'!E2039</f>
        <v>1000</v>
      </c>
      <c r="F2032" s="1004" t="n">
        <f aca="false">'Смета Внутр'!F2039</f>
        <v>0</v>
      </c>
      <c r="G2032" s="1004" t="n">
        <f aca="false">IF(E2032&gt;F2032,E2032,F2032)</f>
        <v>1000</v>
      </c>
      <c r="H2032" s="1004" t="n">
        <f aca="false">'Смета Внутр'!G2039</f>
        <v>0</v>
      </c>
      <c r="I2032" s="1004" t="n">
        <f aca="false">'Смета Внутр'!H2039</f>
        <v>0</v>
      </c>
      <c r="J2032" s="1018" t="n">
        <f aca="false">'Смета Внутр'!I2039</f>
        <v>0</v>
      </c>
    </row>
    <row r="2033" customFormat="false" ht="15" hidden="false" customHeight="true" outlineLevel="0" collapsed="false">
      <c r="B2033" s="1004" t="n">
        <f aca="false">'Смета Внутр'!B2040</f>
        <v>0</v>
      </c>
      <c r="C2033" s="1004" t="str">
        <f aca="false">'Смета Внутр'!C2040</f>
        <v>м2</v>
      </c>
      <c r="D2033" s="1018" t="n">
        <f aca="false">'Смета Внутр'!D2040</f>
        <v>0</v>
      </c>
      <c r="E2033" s="1004" t="n">
        <f aca="false">'Смета Внутр'!E2040</f>
        <v>0</v>
      </c>
      <c r="F2033" s="1004" t="n">
        <f aca="false">'Смета Внутр'!F2040</f>
        <v>0</v>
      </c>
      <c r="G2033" s="1004" t="n">
        <f aca="false">IF(E2033&gt;F2033,E2033,F2033)</f>
        <v>0</v>
      </c>
      <c r="H2033" s="1004" t="n">
        <f aca="false">'Смета Внутр'!G2040</f>
        <v>0</v>
      </c>
      <c r="I2033" s="1004" t="n">
        <f aca="false">'Смета Внутр'!H2040</f>
        <v>0</v>
      </c>
      <c r="J2033" s="1018" t="n">
        <f aca="false">'Смета Внутр'!I2040</f>
        <v>0</v>
      </c>
    </row>
    <row r="2034" customFormat="false" ht="15" hidden="false" customHeight="true" outlineLevel="0" collapsed="false">
      <c r="B2034" s="1004" t="str">
        <f aca="false">'Смета Внутр'!B2041</f>
        <v>клей для камня</v>
      </c>
      <c r="C2034" s="1004" t="str">
        <f aca="false">'Смета Внутр'!C2041</f>
        <v>меш</v>
      </c>
      <c r="D2034" s="1018" t="n">
        <f aca="false">'Смета Внутр'!D2041</f>
        <v>0</v>
      </c>
      <c r="E2034" s="1004" t="n">
        <f aca="false">'Смета Внутр'!E2041</f>
        <v>250</v>
      </c>
      <c r="F2034" s="1004" t="n">
        <f aca="false">'Смета Внутр'!F2041</f>
        <v>0</v>
      </c>
      <c r="G2034" s="1004" t="n">
        <f aca="false">IF(E2034&gt;F2034,E2034,F2034)</f>
        <v>250</v>
      </c>
      <c r="H2034" s="1004" t="n">
        <f aca="false">'Смета Внутр'!G2041</f>
        <v>0</v>
      </c>
      <c r="I2034" s="1004" t="n">
        <f aca="false">'Смета Внутр'!H2041</f>
        <v>0</v>
      </c>
      <c r="J2034" s="1018" t="n">
        <f aca="false">'Смета Внутр'!I2041</f>
        <v>0</v>
      </c>
    </row>
    <row r="2035" customFormat="false" ht="15" hidden="false" customHeight="true" outlineLevel="0" collapsed="false">
      <c r="B2035" s="1004" t="str">
        <f aca="false">'Смета Внутр'!B2042</f>
        <v>Грунт  1</v>
      </c>
      <c r="C2035" s="1004" t="str">
        <f aca="false">'Смета Внутр'!C2042</f>
        <v>л</v>
      </c>
      <c r="D2035" s="1018" t="n">
        <f aca="false">'Смета Внутр'!D2042</f>
        <v>95.04</v>
      </c>
      <c r="E2035" s="1004" t="n">
        <f aca="false">'Смета Внутр'!E2042</f>
        <v>100</v>
      </c>
      <c r="F2035" s="1004" t="n">
        <f aca="false">'Смета Внутр'!F2042</f>
        <v>0</v>
      </c>
      <c r="G2035" s="1004" t="n">
        <f aca="false">IF(E2035&gt;F2035,E2035,F2035)</f>
        <v>100</v>
      </c>
      <c r="H2035" s="1004" t="n">
        <f aca="false">'Смета Внутр'!G2042</f>
        <v>9504</v>
      </c>
      <c r="I2035" s="1004" t="n">
        <f aca="false">'Смета Внутр'!H2042</f>
        <v>0</v>
      </c>
      <c r="J2035" s="1018" t="n">
        <f aca="false">'Смета Внутр'!I2042</f>
        <v>0</v>
      </c>
    </row>
    <row r="2036" customFormat="false" ht="15" hidden="false" customHeight="true" outlineLevel="0" collapsed="false">
      <c r="B2036" s="1004" t="str">
        <f aca="false">'Смета Внутр'!B2043</f>
        <v>"Тонерол" Антисептик  бесцветный  1л</v>
      </c>
      <c r="C2036" s="1004" t="str">
        <f aca="false">'Смета Внутр'!C2043</f>
        <v>л</v>
      </c>
      <c r="D2036" s="1018" t="n">
        <f aca="false">'Смета Внутр'!D2043</f>
        <v>0</v>
      </c>
      <c r="E2036" s="1004" t="n">
        <f aca="false">'Смета Внутр'!E2043</f>
        <v>305</v>
      </c>
      <c r="F2036" s="1004" t="n">
        <f aca="false">'Смета Внутр'!F2043</f>
        <v>0</v>
      </c>
      <c r="G2036" s="1004" t="n">
        <f aca="false">IF(E2036&gt;F2036,E2036,F2036)</f>
        <v>305</v>
      </c>
      <c r="H2036" s="1004" t="n">
        <f aca="false">'Смета Внутр'!G2043</f>
        <v>0</v>
      </c>
      <c r="I2036" s="1004" t="n">
        <f aca="false">'Смета Внутр'!H2043</f>
        <v>0</v>
      </c>
      <c r="J2036" s="1018" t="n">
        <f aca="false">'Смета Внутр'!I2043</f>
        <v>0</v>
      </c>
    </row>
    <row r="2037" customFormat="false" ht="15" hidden="false" customHeight="true" outlineLevel="0" collapsed="false">
      <c r="B2037" s="1004" t="str">
        <f aca="false">'Смета Внутр'!B2044</f>
        <v>Лак для поверхностей 1</v>
      </c>
      <c r="C2037" s="1004" t="str">
        <f aca="false">'Смета Внутр'!C2044</f>
        <v>л</v>
      </c>
      <c r="D2037" s="1018" t="n">
        <f aca="false">'Смета Внутр'!D2044</f>
        <v>0</v>
      </c>
      <c r="E2037" s="1004" t="n">
        <f aca="false">'Смета Внутр'!E2044</f>
        <v>120</v>
      </c>
      <c r="F2037" s="1004" t="n">
        <f aca="false">'Смета Внутр'!F2044</f>
        <v>0</v>
      </c>
      <c r="G2037" s="1004" t="n">
        <f aca="false">IF(E2037&gt;F2037,E2037,F2037)</f>
        <v>120</v>
      </c>
      <c r="H2037" s="1004" t="n">
        <f aca="false">'Смета Внутр'!G2044</f>
        <v>0</v>
      </c>
      <c r="I2037" s="1004" t="n">
        <f aca="false">'Смета Внутр'!H2044</f>
        <v>0</v>
      </c>
      <c r="J2037" s="1018" t="n">
        <f aca="false">'Смета Внутр'!I2044</f>
        <v>0</v>
      </c>
    </row>
    <row r="2038" customFormat="false" ht="15" hidden="false" customHeight="true" outlineLevel="0" collapsed="false">
      <c r="B2038" s="1004" t="str">
        <f aca="false">'Смета Внутр'!B2045</f>
        <v>Плитный,28кг/м3, технониколь, 100мм</v>
      </c>
      <c r="C2038" s="1004" t="str">
        <f aca="false">'Смета Внутр'!C2045</f>
        <v>м3</v>
      </c>
      <c r="D2038" s="1018" t="n">
        <f aca="false">'Смета Внутр'!D2045</f>
        <v>11.88</v>
      </c>
      <c r="E2038" s="1004" t="n">
        <f aca="false">'Смета Внутр'!E2045</f>
        <v>1700</v>
      </c>
      <c r="F2038" s="1004" t="n">
        <f aca="false">'Смета Внутр'!F2045</f>
        <v>0</v>
      </c>
      <c r="G2038" s="1004" t="n">
        <f aca="false">IF(E2038&gt;F2038,E2038,F2038)</f>
        <v>1700</v>
      </c>
      <c r="H2038" s="1004" t="n">
        <f aca="false">'Смета Внутр'!G2045</f>
        <v>20196</v>
      </c>
      <c r="I2038" s="1004" t="n">
        <f aca="false">'Смета Внутр'!H2045</f>
        <v>0</v>
      </c>
      <c r="J2038" s="1018" t="n">
        <f aca="false">'Смета Внутр'!I2045</f>
        <v>0</v>
      </c>
    </row>
    <row r="2039" customFormat="false" ht="15" hidden="false" customHeight="true" outlineLevel="0" collapsed="false">
      <c r="B2039" s="1004" t="n">
        <f aca="false">'Смета Внутр'!B2046</f>
        <v>0</v>
      </c>
      <c r="C2039" s="1004" t="str">
        <f aca="false">'Смета Внутр'!C2046</f>
        <v>меш</v>
      </c>
      <c r="D2039" s="1018" t="n">
        <f aca="false">'Смета Внутр'!D2046</f>
        <v>0</v>
      </c>
      <c r="E2039" s="1004" t="n">
        <f aca="false">'Смета Внутр'!E2046</f>
        <v>0</v>
      </c>
      <c r="F2039" s="1004" t="n">
        <f aca="false">'Смета Внутр'!F2046</f>
        <v>0</v>
      </c>
      <c r="G2039" s="1004" t="n">
        <f aca="false">IF(E2039&gt;F2039,E2039,F2039)</f>
        <v>0</v>
      </c>
      <c r="H2039" s="1004" t="n">
        <f aca="false">'Смета Внутр'!G2046</f>
        <v>0</v>
      </c>
      <c r="I2039" s="1004" t="n">
        <f aca="false">'Смета Внутр'!H2046</f>
        <v>0</v>
      </c>
      <c r="J2039" s="1018" t="n">
        <f aca="false">'Смета Внутр'!I2046</f>
        <v>0</v>
      </c>
    </row>
    <row r="2040" customFormat="false" ht="15" hidden="false" customHeight="true" outlineLevel="0" collapsed="false">
      <c r="B2040" s="1004" t="str">
        <f aca="false">'Смета Внутр'!B2047</f>
        <v>Сетка штукатурная ПВС 40 Оцинкованная рулон</v>
      </c>
      <c r="C2040" s="1004" t="str">
        <f aca="false">'Смета Внутр'!C2047</f>
        <v>м2</v>
      </c>
      <c r="D2040" s="1018" t="n">
        <f aca="false">'Смета Внутр'!D2047</f>
        <v>0</v>
      </c>
      <c r="E2040" s="1004" t="n">
        <f aca="false">'Смета Внутр'!E2047</f>
        <v>15</v>
      </c>
      <c r="F2040" s="1004" t="n">
        <f aca="false">'Смета Внутр'!F2047</f>
        <v>0</v>
      </c>
      <c r="G2040" s="1004" t="n">
        <f aca="false">IF(E2040&gt;F2040,E2040,F2040)</f>
        <v>15</v>
      </c>
      <c r="H2040" s="1004" t="n">
        <f aca="false">'Смета Внутр'!G2047</f>
        <v>0</v>
      </c>
      <c r="I2040" s="1004" t="n">
        <f aca="false">'Смета Внутр'!H2047</f>
        <v>0</v>
      </c>
      <c r="J2040" s="1018" t="n">
        <f aca="false">'Смета Внутр'!I2047</f>
        <v>0</v>
      </c>
    </row>
    <row r="2041" customFormat="false" ht="15" hidden="false" customHeight="true" outlineLevel="0" collapsed="false">
      <c r="B2041" s="1004" t="str">
        <f aca="false">'Смета Внутр'!B2048</f>
        <v>Штукатурка для наружних работ</v>
      </c>
      <c r="C2041" s="1004" t="str">
        <f aca="false">'Смета Внутр'!C2048</f>
        <v>м2</v>
      </c>
      <c r="D2041" s="1018" t="n">
        <f aca="false">'Смета Внутр'!D2048</f>
        <v>0</v>
      </c>
      <c r="E2041" s="1004" t="n">
        <f aca="false">'Смета Внутр'!E2048</f>
        <v>390</v>
      </c>
      <c r="F2041" s="1004" t="n">
        <f aca="false">'Смета Внутр'!F2048</f>
        <v>0</v>
      </c>
      <c r="G2041" s="1004" t="n">
        <f aca="false">IF(E2041&gt;F2041,E2041,F2041)</f>
        <v>390</v>
      </c>
      <c r="H2041" s="1004" t="n">
        <f aca="false">'Смета Внутр'!G2048</f>
        <v>0</v>
      </c>
      <c r="I2041" s="1004" t="n">
        <f aca="false">'Смета Внутр'!H2048</f>
        <v>0</v>
      </c>
      <c r="J2041" s="1018" t="n">
        <f aca="false">'Смета Внутр'!I2048</f>
        <v>0</v>
      </c>
    </row>
    <row r="2042" customFormat="false" ht="15" hidden="false" customHeight="true" outlineLevel="0" collapsed="false">
      <c r="B2042" s="2937" t="str">
        <f aca="false">'Смета Внутр'!B2049</f>
        <v>цоколь</v>
      </c>
      <c r="C2042" s="2937"/>
      <c r="D2042" s="2937"/>
      <c r="E2042" s="2937"/>
      <c r="F2042" s="2937"/>
      <c r="G2042" s="2937"/>
      <c r="H2042" s="1004" t="n">
        <f aca="false">'Смета Внутр'!G2049</f>
        <v>0</v>
      </c>
      <c r="I2042" s="1004" t="n">
        <f aca="false">'Смета Внутр'!H2049</f>
        <v>0</v>
      </c>
      <c r="J2042" s="2938" t="n">
        <f aca="false">'Смета Внутр'!I2049</f>
        <v>0</v>
      </c>
    </row>
    <row r="2043" customFormat="false" ht="15" hidden="false" customHeight="true" outlineLevel="0" collapsed="false">
      <c r="B2043" s="1004" t="str">
        <f aca="false">'Смета Внутр'!B2050</f>
        <v>отлив металлический</v>
      </c>
      <c r="C2043" s="1004" t="str">
        <f aca="false">'Смета Внутр'!C2050</f>
        <v>м.п.</v>
      </c>
      <c r="D2043" s="1018" t="n">
        <f aca="false">'Смета Внутр'!D2050</f>
        <v>56</v>
      </c>
      <c r="E2043" s="1004" t="n">
        <f aca="false">'Смета Внутр'!E2050</f>
        <v>100</v>
      </c>
      <c r="F2043" s="1004" t="n">
        <f aca="false">'Смета Внутр'!F2050</f>
        <v>0</v>
      </c>
      <c r="G2043" s="1004" t="n">
        <f aca="false">IF(E2043&gt;F2043,E2043,F2043)</f>
        <v>100</v>
      </c>
      <c r="H2043" s="1004" t="n">
        <f aca="false">'Смета Внутр'!G2050</f>
        <v>5600</v>
      </c>
      <c r="I2043" s="1004" t="n">
        <f aca="false">'Смета Внутр'!H2050</f>
        <v>0</v>
      </c>
      <c r="J2043" s="1018" t="n">
        <f aca="false">'Смета Внутр'!I2050</f>
        <v>0</v>
      </c>
    </row>
    <row r="2044" customFormat="false" ht="15" hidden="false" customHeight="true" outlineLevel="0" collapsed="false">
      <c r="B2044" s="1004" t="str">
        <f aca="false">'Смета Внутр'!B2051</f>
        <v>сайдинг металлический</v>
      </c>
      <c r="C2044" s="1004" t="str">
        <f aca="false">'Смета Внутр'!C2051</f>
        <v>м2</v>
      </c>
      <c r="D2044" s="1018" t="n">
        <f aca="false">'Смета Внутр'!D2051</f>
        <v>0</v>
      </c>
      <c r="E2044" s="1004" t="n">
        <f aca="false">'Смета Внутр'!E2051</f>
        <v>550</v>
      </c>
      <c r="F2044" s="1004" t="n">
        <f aca="false">'Смета Внутр'!F2051</f>
        <v>0</v>
      </c>
      <c r="G2044" s="1004" t="n">
        <f aca="false">IF(E2044&gt;F2044,E2044,F2044)</f>
        <v>550</v>
      </c>
      <c r="H2044" s="1004" t="n">
        <f aca="false">'Смета Внутр'!G2051</f>
        <v>0</v>
      </c>
      <c r="I2044" s="1004" t="n">
        <f aca="false">'Смета Внутр'!H2051</f>
        <v>0</v>
      </c>
      <c r="J2044" s="1018" t="n">
        <f aca="false">'Смета Внутр'!I2051</f>
        <v>0</v>
      </c>
    </row>
    <row r="2045" customFormat="false" ht="15" hidden="false" customHeight="true" outlineLevel="0" collapsed="false">
      <c r="B2045" s="1004" t="str">
        <f aca="false">'Смета Внутр'!B2052</f>
        <v>камень природный</v>
      </c>
      <c r="C2045" s="1004" t="str">
        <f aca="false">'Смета Внутр'!C2052</f>
        <v>м2</v>
      </c>
      <c r="D2045" s="1018" t="n">
        <f aca="false">'Смета Внутр'!D2052</f>
        <v>22.4</v>
      </c>
      <c r="E2045" s="1004" t="n">
        <f aca="false">'Смета Внутр'!E2052</f>
        <v>600</v>
      </c>
      <c r="F2045" s="1004" t="n">
        <f aca="false">'Смета Внутр'!F2052</f>
        <v>0</v>
      </c>
      <c r="G2045" s="1004" t="n">
        <f aca="false">IF(E2045&gt;F2045,E2045,F2045)</f>
        <v>600</v>
      </c>
      <c r="H2045" s="1004" t="n">
        <f aca="false">'Смета Внутр'!G2052</f>
        <v>13440</v>
      </c>
      <c r="I2045" s="1004" t="n">
        <f aca="false">'Смета Внутр'!H2052</f>
        <v>0</v>
      </c>
      <c r="J2045" s="1018" t="n">
        <f aca="false">'Смета Внутр'!I2052</f>
        <v>0</v>
      </c>
    </row>
    <row r="2046" customFormat="false" ht="15" hidden="false" customHeight="true" outlineLevel="0" collapsed="false">
      <c r="B2046" s="1004" t="str">
        <f aca="false">'Смета Внутр'!B2053</f>
        <v>камень искуственный</v>
      </c>
      <c r="C2046" s="1004" t="str">
        <f aca="false">'Смета Внутр'!C2053</f>
        <v>м2</v>
      </c>
      <c r="D2046" s="1018" t="n">
        <f aca="false">'Смета Внутр'!D2053</f>
        <v>0</v>
      </c>
      <c r="E2046" s="1004" t="n">
        <f aca="false">'Смета Внутр'!E2053</f>
        <v>1000</v>
      </c>
      <c r="F2046" s="1004" t="n">
        <f aca="false">'Смета Внутр'!F2053</f>
        <v>0</v>
      </c>
      <c r="G2046" s="1004" t="n">
        <f aca="false">IF(E2046&gt;F2046,E2046,F2046)</f>
        <v>1000</v>
      </c>
      <c r="H2046" s="1004" t="n">
        <f aca="false">'Смета Внутр'!G2053</f>
        <v>0</v>
      </c>
      <c r="I2046" s="1004" t="n">
        <f aca="false">'Смета Внутр'!H2053</f>
        <v>0</v>
      </c>
      <c r="J2046" s="1018" t="n">
        <f aca="false">'Смета Внутр'!I2053</f>
        <v>0</v>
      </c>
    </row>
    <row r="2047" customFormat="false" ht="15" hidden="false" customHeight="true" outlineLevel="0" collapsed="false">
      <c r="B2047" s="1004" t="str">
        <f aca="false">'Смета Внутр'!B2054</f>
        <v>клей для камня</v>
      </c>
      <c r="C2047" s="1004" t="str">
        <f aca="false">'Смета Внутр'!C2054</f>
        <v>меш</v>
      </c>
      <c r="D2047" s="1018" t="n">
        <f aca="false">'Смета Внутр'!D2054</f>
        <v>7.46666666666667</v>
      </c>
      <c r="E2047" s="1004" t="n">
        <f aca="false">'Смета Внутр'!E2054</f>
        <v>250</v>
      </c>
      <c r="F2047" s="1004" t="n">
        <f aca="false">'Смета Внутр'!F2054</f>
        <v>0</v>
      </c>
      <c r="G2047" s="1004" t="n">
        <f aca="false">IF(E2047&gt;F2047,E2047,F2047)</f>
        <v>250</v>
      </c>
      <c r="H2047" s="1004" t="n">
        <f aca="false">'Смета Внутр'!G2054</f>
        <v>1866.66666666667</v>
      </c>
      <c r="I2047" s="1004" t="n">
        <f aca="false">'Смета Внутр'!H2054</f>
        <v>0</v>
      </c>
      <c r="J2047" s="1018" t="n">
        <f aca="false">'Смета Внутр'!I2054</f>
        <v>0</v>
      </c>
    </row>
    <row r="2048" customFormat="false" ht="15" hidden="false" customHeight="true" outlineLevel="0" collapsed="false">
      <c r="B2048" s="1004" t="str">
        <f aca="false">'Смета Внутр'!B2055</f>
        <v>Грунт  1</v>
      </c>
      <c r="C2048" s="1004" t="str">
        <f aca="false">'Смета Внутр'!C2055</f>
        <v>л</v>
      </c>
      <c r="D2048" s="1018" t="n">
        <f aca="false">'Смета Внутр'!D2055</f>
        <v>0</v>
      </c>
      <c r="E2048" s="1004" t="n">
        <f aca="false">'Смета Внутр'!E2055</f>
        <v>100</v>
      </c>
      <c r="F2048" s="1004" t="n">
        <f aca="false">'Смета Внутр'!F2055</f>
        <v>0</v>
      </c>
      <c r="G2048" s="1004" t="n">
        <f aca="false">IF(E2048&gt;F2048,E2048,F2048)</f>
        <v>100</v>
      </c>
      <c r="H2048" s="1004" t="n">
        <f aca="false">'Смета Внутр'!G2055</f>
        <v>0</v>
      </c>
      <c r="I2048" s="1004" t="n">
        <f aca="false">'Смета Внутр'!H2055</f>
        <v>0</v>
      </c>
      <c r="J2048" s="1018" t="n">
        <f aca="false">'Смета Внутр'!I2055</f>
        <v>0</v>
      </c>
    </row>
    <row r="2049" customFormat="false" ht="15" hidden="false" customHeight="true" outlineLevel="0" collapsed="false">
      <c r="B2049" s="1004" t="str">
        <f aca="false">'Смета Внутр'!B2056</f>
        <v>нет</v>
      </c>
      <c r="C2049" s="1004" t="str">
        <f aca="false">'Смета Внутр'!C2056</f>
        <v>м.п.</v>
      </c>
      <c r="D2049" s="1018" t="n">
        <f aca="false">'Смета Внутр'!D2056</f>
        <v>45.28</v>
      </c>
      <c r="E2049" s="1004" t="n">
        <f aca="false">'Смета Внутр'!E2056</f>
        <v>0</v>
      </c>
      <c r="F2049" s="1004" t="n">
        <f aca="false">'Смета Внутр'!F2056</f>
        <v>0</v>
      </c>
      <c r="G2049" s="1004" t="n">
        <f aca="false">IF(E2049&gt;F2049,E2049,F2049)</f>
        <v>0</v>
      </c>
      <c r="H2049" s="1004" t="n">
        <f aca="false">'Смета Внутр'!G2056</f>
        <v>0</v>
      </c>
      <c r="I2049" s="1004" t="n">
        <f aca="false">'Смета Внутр'!H2056</f>
        <v>0</v>
      </c>
      <c r="J2049" s="1018" t="n">
        <f aca="false">'Смета Внутр'!I2056</f>
        <v>0</v>
      </c>
    </row>
    <row r="2050" customFormat="false" ht="15" hidden="false" customHeight="true" outlineLevel="0" collapsed="false">
      <c r="B2050" s="1004" t="str">
        <f aca="false">'Смета Внутр'!B2057</f>
        <v>Фасадный кронштейн КК 120</v>
      </c>
      <c r="C2050" s="1004" t="str">
        <f aca="false">'Смета Внутр'!C2057</f>
        <v>шт</v>
      </c>
      <c r="D2050" s="1018" t="n">
        <f aca="false">'Смета Внутр'!D2057</f>
        <v>168</v>
      </c>
      <c r="E2050" s="1004" t="n">
        <f aca="false">'Смета Внутр'!E2057</f>
        <v>19</v>
      </c>
      <c r="F2050" s="1004" t="n">
        <f aca="false">'Смета Внутр'!F2057</f>
        <v>0</v>
      </c>
      <c r="G2050" s="1004" t="n">
        <f aca="false">IF(E2050&gt;F2050,E2050,F2050)</f>
        <v>19</v>
      </c>
      <c r="H2050" s="1004" t="n">
        <f aca="false">'Смета Внутр'!G2057</f>
        <v>3192</v>
      </c>
      <c r="I2050" s="1004" t="n">
        <f aca="false">'Смета Внутр'!H2057</f>
        <v>0</v>
      </c>
      <c r="J2050" s="1018" t="n">
        <f aca="false">'Смета Внутр'!I2057</f>
        <v>0</v>
      </c>
    </row>
    <row r="2051" customFormat="false" ht="15" hidden="false" customHeight="true" outlineLevel="0" collapsed="false">
      <c r="B2051" s="1004" t="str">
        <f aca="false">'Смета Внутр'!B2058</f>
        <v>Болты анкерные с гайкой 10,0 х 97</v>
      </c>
      <c r="C2051" s="1004" t="str">
        <f aca="false">'Смета Внутр'!C2058</f>
        <v>шт</v>
      </c>
      <c r="D2051" s="1018" t="n">
        <f aca="false">'Смета Внутр'!D2058</f>
        <v>336</v>
      </c>
      <c r="E2051" s="1004" t="n">
        <f aca="false">'Смета Внутр'!E2058</f>
        <v>7.4</v>
      </c>
      <c r="F2051" s="1004" t="n">
        <f aca="false">'Смета Внутр'!F2058</f>
        <v>0</v>
      </c>
      <c r="G2051" s="1004" t="n">
        <f aca="false">IF(E2051&gt;F2051,E2051,F2051)</f>
        <v>7.4</v>
      </c>
      <c r="H2051" s="1004" t="n">
        <f aca="false">'Смета Внутр'!G2058</f>
        <v>2486.4</v>
      </c>
      <c r="I2051" s="1004" t="n">
        <f aca="false">'Смета Внутр'!H2058</f>
        <v>0</v>
      </c>
      <c r="J2051" s="1018" t="n">
        <f aca="false">'Смета Внутр'!I2058</f>
        <v>0</v>
      </c>
    </row>
    <row r="2052" customFormat="false" ht="15" hidden="false" customHeight="true" outlineLevel="0" collapsed="false">
      <c r="B2052" s="1004" t="str">
        <f aca="false">'Смета Внутр'!B2059</f>
        <v>Саморезы 3,5 x 45</v>
      </c>
      <c r="C2052" s="1004" t="str">
        <f aca="false">'Смета Внутр'!C2059</f>
        <v>шт</v>
      </c>
      <c r="D2052" s="1018" t="n">
        <f aca="false">'Смета Внутр'!D2059</f>
        <v>336</v>
      </c>
      <c r="E2052" s="1004" t="n">
        <f aca="false">'Смета Внутр'!E2059</f>
        <v>0.25</v>
      </c>
      <c r="F2052" s="1004" t="n">
        <f aca="false">'Смета Внутр'!F2059</f>
        <v>0</v>
      </c>
      <c r="G2052" s="1004" t="n">
        <f aca="false">IF(E2052&gt;F2052,E2052,F2052)</f>
        <v>0.25</v>
      </c>
      <c r="H2052" s="1004" t="n">
        <f aca="false">'Смета Внутр'!G2059</f>
        <v>84</v>
      </c>
      <c r="I2052" s="1004" t="n">
        <f aca="false">'Смета Внутр'!H2059</f>
        <v>0</v>
      </c>
      <c r="J2052" s="1018" t="n">
        <f aca="false">'Смета Внутр'!I2059</f>
        <v>0</v>
      </c>
    </row>
    <row r="2053" customFormat="false" ht="15" hidden="false" customHeight="true" outlineLevel="0" collapsed="false">
      <c r="B2053" s="1004" t="str">
        <f aca="false">'Смета Внутр'!B2060</f>
        <v>Плоский шифер 8 мм</v>
      </c>
      <c r="C2053" s="1004" t="str">
        <f aca="false">'Смета Внутр'!C2060</f>
        <v>м2</v>
      </c>
      <c r="D2053" s="1018" t="n">
        <f aca="false">'Смета Внутр'!D2060</f>
        <v>0</v>
      </c>
      <c r="E2053" s="1004" t="n">
        <f aca="false">'Смета Внутр'!E2060</f>
        <v>85</v>
      </c>
      <c r="F2053" s="1004" t="n">
        <f aca="false">'Смета Внутр'!F2060</f>
        <v>0</v>
      </c>
      <c r="G2053" s="1004" t="n">
        <f aca="false">IF(E2053&gt;F2053,E2053,F2053)</f>
        <v>85</v>
      </c>
      <c r="H2053" s="1004" t="n">
        <f aca="false">'Смета Внутр'!G2060</f>
        <v>0</v>
      </c>
      <c r="I2053" s="1004" t="n">
        <f aca="false">'Смета Внутр'!H2060</f>
        <v>0</v>
      </c>
      <c r="J2053" s="1018" t="n">
        <f aca="false">'Смета Внутр'!I2060</f>
        <v>0</v>
      </c>
    </row>
    <row r="2054" customFormat="false" ht="15" hidden="false" customHeight="true" outlineLevel="0" collapsed="false">
      <c r="B2054" s="1004" t="str">
        <f aca="false">'Смета Внутр'!B2061</f>
        <v>кровля, подшивка свесов</v>
      </c>
      <c r="C2054" s="1004"/>
      <c r="D2054" s="1018"/>
      <c r="E2054" s="1004"/>
      <c r="F2054" s="1004"/>
      <c r="G2054" s="1004"/>
      <c r="H2054" s="1004" t="n">
        <f aca="false">'Смета Внутр'!G2061</f>
        <v>0</v>
      </c>
      <c r="I2054" s="1004" t="n">
        <f aca="false">'Смета Внутр'!H2061</f>
        <v>0</v>
      </c>
      <c r="J2054" s="1018" t="n">
        <f aca="false">'Смета Внутр'!I2061</f>
        <v>0</v>
      </c>
    </row>
    <row r="2055" customFormat="false" ht="15" hidden="false" customHeight="true" outlineLevel="0" collapsed="false">
      <c r="B2055" s="1004" t="str">
        <f aca="false">'Смета Внутр'!B2062</f>
        <v>планкен</v>
      </c>
      <c r="C2055" s="1004" t="str">
        <f aca="false">'Смета Внутр'!C2062</f>
        <v>м2</v>
      </c>
      <c r="D2055" s="1018" t="n">
        <f aca="false">'Смета Внутр'!D2062</f>
        <v>0</v>
      </c>
      <c r="E2055" s="1004" t="n">
        <f aca="false">'Смета Внутр'!E2062</f>
        <v>0</v>
      </c>
      <c r="F2055" s="1004" t="n">
        <f aca="false">'Смета Внутр'!F2062</f>
        <v>0</v>
      </c>
      <c r="G2055" s="1004" t="n">
        <f aca="false">IF(E2055&gt;F2055,E2055,F2055)</f>
        <v>0</v>
      </c>
      <c r="H2055" s="1004" t="n">
        <f aca="false">'Смета Внутр'!G2062</f>
        <v>0</v>
      </c>
      <c r="I2055" s="1004" t="n">
        <f aca="false">'Смета Внутр'!H2062</f>
        <v>0</v>
      </c>
      <c r="J2055" s="1018" t="n">
        <f aca="false">'Смета Внутр'!I2062</f>
        <v>0</v>
      </c>
    </row>
    <row r="2056" customFormat="false" ht="15" hidden="false" customHeight="true" outlineLevel="0" collapsed="false">
      <c r="B2056" s="1004" t="str">
        <f aca="false">'Смета Внутр'!B2063</f>
        <v>Доска сухая, калибр., 35*45мм</v>
      </c>
      <c r="C2056" s="1004" t="str">
        <f aca="false">'Смета Внутр'!C2063</f>
        <v>м.п.</v>
      </c>
      <c r="D2056" s="1018" t="n">
        <f aca="false">'Смета Внутр'!D2063</f>
        <v>112</v>
      </c>
      <c r="E2056" s="1004" t="n">
        <f aca="false">'Смета Внутр'!E2063</f>
        <v>19.6875</v>
      </c>
      <c r="F2056" s="1004" t="n">
        <f aca="false">'Смета Внутр'!F2063</f>
        <v>0</v>
      </c>
      <c r="G2056" s="1004" t="n">
        <f aca="false">IF(E2056&gt;F2056,E2056,F2056)</f>
        <v>19.6875</v>
      </c>
      <c r="H2056" s="1004" t="n">
        <f aca="false">'Смета Внутр'!G2063</f>
        <v>2205</v>
      </c>
      <c r="I2056" s="1004" t="n">
        <f aca="false">'Смета Внутр'!H2063</f>
        <v>0</v>
      </c>
      <c r="J2056" s="1018" t="n">
        <f aca="false">'Смета Внутр'!I2063</f>
        <v>0</v>
      </c>
    </row>
    <row r="2057" customFormat="false" ht="15" hidden="false" customHeight="true" outlineLevel="0" collapsed="false">
      <c r="B2057" s="1004" t="str">
        <f aca="false">'Смета Внутр'!B2064</f>
        <v>сайдинг</v>
      </c>
      <c r="C2057" s="1004" t="str">
        <f aca="false">'Смета Внутр'!C2064</f>
        <v>м2</v>
      </c>
      <c r="D2057" s="1018" t="n">
        <f aca="false">'Смета Внутр'!D2064</f>
        <v>0</v>
      </c>
      <c r="E2057" s="1004" t="n">
        <f aca="false">'Смета Внутр'!E2064</f>
        <v>350</v>
      </c>
      <c r="F2057" s="1004" t="n">
        <f aca="false">'Смета Внутр'!F2064</f>
        <v>0</v>
      </c>
      <c r="G2057" s="1004" t="n">
        <f aca="false">IF(E2057&gt;F2057,E2057,F2057)</f>
        <v>350</v>
      </c>
      <c r="H2057" s="1004" t="n">
        <f aca="false">'Смета Внутр'!G2064</f>
        <v>0</v>
      </c>
      <c r="I2057" s="1004" t="n">
        <f aca="false">'Смета Внутр'!H2064</f>
        <v>0</v>
      </c>
      <c r="J2057" s="1018" t="n">
        <f aca="false">'Смета Внутр'!I2064</f>
        <v>0</v>
      </c>
    </row>
    <row r="2058" customFormat="false" ht="15" hidden="false" customHeight="true" outlineLevel="0" collapsed="false">
      <c r="B2058" s="1004" t="str">
        <f aca="false">'Смета Внутр'!B2065</f>
        <v>торцевая планка винил</v>
      </c>
      <c r="C2058" s="1004" t="str">
        <f aca="false">'Смета Внутр'!C2065</f>
        <v>м.п.</v>
      </c>
      <c r="D2058" s="1018" t="n">
        <f aca="false">'Смета Внутр'!D2065</f>
        <v>0</v>
      </c>
      <c r="E2058" s="1004" t="n">
        <f aca="false">'Смета Внутр'!E2065</f>
        <v>60</v>
      </c>
      <c r="F2058" s="1004" t="n">
        <f aca="false">'Смета Внутр'!F2065</f>
        <v>0</v>
      </c>
      <c r="G2058" s="1004" t="n">
        <f aca="false">IF(E2058&gt;F2058,E2058,F2058)</f>
        <v>60</v>
      </c>
      <c r="H2058" s="1004" t="n">
        <f aca="false">'Смета Внутр'!G2065</f>
        <v>0</v>
      </c>
      <c r="I2058" s="1004" t="n">
        <f aca="false">'Смета Внутр'!H2065</f>
        <v>0</v>
      </c>
      <c r="J2058" s="1018" t="n">
        <f aca="false">'Смета Внутр'!I2065</f>
        <v>0</v>
      </c>
    </row>
    <row r="2059" customFormat="false" ht="15" hidden="false" customHeight="true" outlineLevel="0" collapsed="false">
      <c r="B2059" s="1004" t="str">
        <f aca="false">'Смета Внутр'!B2066</f>
        <v>стартовый профиль для сайдинга</v>
      </c>
      <c r="C2059" s="1004" t="str">
        <f aca="false">'Смета Внутр'!C2066</f>
        <v>м.п.</v>
      </c>
      <c r="D2059" s="1018" t="n">
        <f aca="false">'Смета Внутр'!D2066</f>
        <v>0</v>
      </c>
      <c r="E2059" s="1004" t="n">
        <f aca="false">'Смета Внутр'!E2066</f>
        <v>40</v>
      </c>
      <c r="F2059" s="1004" t="n">
        <f aca="false">'Смета Внутр'!F2066</f>
        <v>0</v>
      </c>
      <c r="G2059" s="1004" t="n">
        <f aca="false">IF(E2059&gt;F2059,E2059,F2059)</f>
        <v>40</v>
      </c>
      <c r="H2059" s="1004" t="n">
        <f aca="false">'Смета Внутр'!G2066</f>
        <v>0</v>
      </c>
      <c r="I2059" s="1004" t="n">
        <f aca="false">'Смета Внутр'!H2066</f>
        <v>0</v>
      </c>
      <c r="J2059" s="1018" t="n">
        <f aca="false">'Смета Внутр'!I2066</f>
        <v>0</v>
      </c>
    </row>
    <row r="2060" customFormat="false" ht="15" hidden="false" customHeight="true" outlineLevel="0" collapsed="false">
      <c r="B2060" s="1004" t="str">
        <f aca="false">'Смета Внутр'!B2067</f>
        <v>Саморезы 3,5 x 45</v>
      </c>
      <c r="C2060" s="1004" t="str">
        <f aca="false">'Смета Внутр'!C2067</f>
        <v>шт</v>
      </c>
      <c r="D2060" s="1018" t="n">
        <f aca="false">'Смета Внутр'!D2067</f>
        <v>336</v>
      </c>
      <c r="E2060" s="1004" t="n">
        <f aca="false">'Смета Внутр'!E2067</f>
        <v>0.25</v>
      </c>
      <c r="F2060" s="1004" t="n">
        <f aca="false">'Смета Внутр'!F2067</f>
        <v>0</v>
      </c>
      <c r="G2060" s="1004" t="n">
        <f aca="false">IF(E2060&gt;F2060,E2060,F2060)</f>
        <v>0.25</v>
      </c>
      <c r="H2060" s="1004" t="n">
        <f aca="false">'Смета Внутр'!G2067</f>
        <v>84</v>
      </c>
      <c r="I2060" s="1004" t="n">
        <f aca="false">'Смета Внутр'!H2067</f>
        <v>0</v>
      </c>
      <c r="J2060" s="1018" t="n">
        <f aca="false">'Смета Внутр'!I2067</f>
        <v>0</v>
      </c>
    </row>
    <row r="2061" customFormat="false" ht="15" hidden="false" customHeight="true" outlineLevel="0" collapsed="false">
      <c r="B2061" s="1004" t="str">
        <f aca="false">'Смета Внутр'!B2068</f>
        <v>Саморезы 4,2 х 75</v>
      </c>
      <c r="C2061" s="1004" t="str">
        <f aca="false">'Смета Внутр'!C2068</f>
        <v>шт</v>
      </c>
      <c r="D2061" s="1018" t="n">
        <f aca="false">'Смета Внутр'!D2068</f>
        <v>0</v>
      </c>
      <c r="E2061" s="1004" t="n">
        <f aca="false">'Смета Внутр'!E2068</f>
        <v>0.45</v>
      </c>
      <c r="F2061" s="1004" t="n">
        <f aca="false">'Смета Внутр'!F2068</f>
        <v>0</v>
      </c>
      <c r="G2061" s="1004" t="n">
        <f aca="false">IF(E2061&gt;F2061,E2061,F2061)</f>
        <v>0.45</v>
      </c>
      <c r="H2061" s="1004" t="n">
        <f aca="false">'Смета Внутр'!G2068</f>
        <v>0</v>
      </c>
      <c r="I2061" s="1004" t="n">
        <f aca="false">'Смета Внутр'!H2068</f>
        <v>0</v>
      </c>
      <c r="J2061" s="1018" t="n">
        <f aca="false">'Смета Внутр'!I2068</f>
        <v>0</v>
      </c>
    </row>
    <row r="2062" customFormat="false" ht="14.5" hidden="false" customHeight="false" outlineLevel="0" collapsed="false">
      <c r="B2062" s="2927" t="str">
        <f aca="false">'Смета Внутр'!B2069</f>
        <v>Итого материалы</v>
      </c>
      <c r="C2062" s="2927"/>
      <c r="D2062" s="2927"/>
      <c r="E2062" s="2927"/>
      <c r="F2062" s="2927"/>
      <c r="G2062" s="2927"/>
      <c r="H2062" s="1004" t="n">
        <f aca="false">'Смета Внутр'!G2069</f>
        <v>0</v>
      </c>
      <c r="I2062" s="1004" t="n">
        <f aca="false">'Смета Внутр'!H2069</f>
        <v>0</v>
      </c>
      <c r="J2062" s="1018" t="n">
        <f aca="false">'Смета Внутр'!I2069</f>
        <v>0</v>
      </c>
    </row>
    <row r="2063" customFormat="false" ht="15" hidden="false" customHeight="true" outlineLevel="0" collapsed="false">
      <c r="B2063" s="2881" t="str">
        <f aca="false">'Смета Внутр'!B2070</f>
        <v>Работы</v>
      </c>
      <c r="D2063" s="919"/>
      <c r="H2063" s="0" t="n">
        <f aca="false">'Смета Внутр'!G2070</f>
        <v>0</v>
      </c>
      <c r="I2063" s="0" t="n">
        <f aca="false">'Смета Внутр'!H2070</f>
        <v>0</v>
      </c>
      <c r="J2063" s="2926" t="n">
        <f aca="false">'Смета Внутр'!I2070</f>
        <v>0</v>
      </c>
    </row>
    <row r="2064" customFormat="false" ht="15" hidden="false" customHeight="true" outlineLevel="0" collapsed="false">
      <c r="B2064" s="2937" t="str">
        <f aca="false">'Смета Внутр'!B2071</f>
        <v>стены</v>
      </c>
      <c r="C2064" s="2937"/>
      <c r="D2064" s="2937"/>
      <c r="E2064" s="2937"/>
      <c r="F2064" s="2937"/>
      <c r="G2064" s="2937"/>
      <c r="H2064" s="1004" t="n">
        <f aca="false">'Смета Внутр'!G2071</f>
        <v>0</v>
      </c>
      <c r="I2064" s="1004" t="n">
        <f aca="false">'Смета Внутр'!H2071</f>
        <v>0</v>
      </c>
      <c r="J2064" s="2938" t="n">
        <f aca="false">'Смета Внутр'!I2071</f>
        <v>0</v>
      </c>
    </row>
    <row r="2065" customFormat="false" ht="15" hidden="false" customHeight="true" outlineLevel="0" collapsed="false">
      <c r="B2065" s="1004" t="str">
        <f aca="false">'Смета Внутр'!B2072</f>
        <v>кладка кирпича облицов</v>
      </c>
      <c r="C2065" s="1004" t="str">
        <f aca="false">'Смета Внутр'!C2072</f>
        <v>м2</v>
      </c>
      <c r="D2065" s="1018" t="n">
        <f aca="false">'Смета Внутр'!D2072</f>
        <v>118.8</v>
      </c>
      <c r="E2065" s="1004" t="n">
        <f aca="false">'Смета Внутр'!E2072</f>
        <v>500</v>
      </c>
      <c r="F2065" s="1004" t="n">
        <f aca="false">'Смета Внутр'!F2072</f>
        <v>0</v>
      </c>
      <c r="G2065" s="1004" t="n">
        <f aca="false">IF(E2065&gt;F2065,E2065,F2065)</f>
        <v>500</v>
      </c>
      <c r="H2065" s="1004" t="n">
        <f aca="false">'Смета Внутр'!G2072</f>
        <v>59400</v>
      </c>
      <c r="I2065" s="1004" t="n">
        <f aca="false">'Смета Внутр'!H2072</f>
        <v>0</v>
      </c>
      <c r="J2065" s="1018" t="n">
        <f aca="false">'Смета Внутр'!I2072</f>
        <v>0</v>
      </c>
    </row>
    <row r="2066" customFormat="false" ht="15" hidden="false" customHeight="true" outlineLevel="0" collapsed="false">
      <c r="B2066" s="1004" t="str">
        <f aca="false">'Смета Внутр'!B2073</f>
        <v>монтаж подсистемы</v>
      </c>
      <c r="C2066" s="1004" t="str">
        <f aca="false">'Смета Внутр'!C2073</f>
        <v>м2</v>
      </c>
      <c r="D2066" s="1018" t="n">
        <f aca="false">'Смета Внутр'!D2073</f>
        <v>118.8</v>
      </c>
      <c r="E2066" s="1004" t="n">
        <f aca="false">'Смета Внутр'!E2073</f>
        <v>200</v>
      </c>
      <c r="F2066" s="1004" t="n">
        <f aca="false">'Смета Внутр'!F2073</f>
        <v>0</v>
      </c>
      <c r="G2066" s="1004" t="n">
        <f aca="false">IF(E2066&gt;F2066,E2066,F2066)</f>
        <v>200</v>
      </c>
      <c r="H2066" s="1004" t="n">
        <f aca="false">'Смета Внутр'!G2073</f>
        <v>23760</v>
      </c>
      <c r="I2066" s="1004" t="n">
        <f aca="false">'Смета Внутр'!H2073</f>
        <v>0</v>
      </c>
      <c r="J2066" s="1018" t="n">
        <f aca="false">'Смета Внутр'!I2073</f>
        <v>0</v>
      </c>
    </row>
    <row r="2067" customFormat="false" ht="15" hidden="false" customHeight="true" outlineLevel="0" collapsed="false">
      <c r="B2067" s="1004" t="str">
        <f aca="false">'Смета Внутр'!B2074</f>
        <v>сайдинг виниловый</v>
      </c>
      <c r="C2067" s="1004" t="str">
        <f aca="false">'Смета Внутр'!C2074</f>
        <v>м2</v>
      </c>
      <c r="D2067" s="1018" t="n">
        <f aca="false">'Смета Внутр'!D2074</f>
        <v>0</v>
      </c>
      <c r="E2067" s="1004" t="n">
        <f aca="false">'Смета Внутр'!E2074</f>
        <v>300</v>
      </c>
      <c r="F2067" s="1004" t="n">
        <f aca="false">'Смета Внутр'!F2074</f>
        <v>0</v>
      </c>
      <c r="G2067" s="1004" t="n">
        <f aca="false">IF(E2067&gt;F2067,E2067,F2067)</f>
        <v>300</v>
      </c>
      <c r="H2067" s="1004" t="n">
        <f aca="false">'Смета Внутр'!G2074</f>
        <v>0</v>
      </c>
      <c r="I2067" s="1004" t="n">
        <f aca="false">'Смета Внутр'!H2074</f>
        <v>0</v>
      </c>
      <c r="J2067" s="1018" t="n">
        <f aca="false">'Смета Внутр'!I2074</f>
        <v>0</v>
      </c>
    </row>
    <row r="2068" customFormat="false" ht="15" hidden="false" customHeight="true" outlineLevel="0" collapsed="false">
      <c r="B2068" s="1004" t="str">
        <f aca="false">'Смета Внутр'!B2075</f>
        <v>сайдинг металл</v>
      </c>
      <c r="C2068" s="1004" t="str">
        <f aca="false">'Смета Внутр'!C2075</f>
        <v>м2</v>
      </c>
      <c r="D2068" s="1018" t="n">
        <f aca="false">'Смета Внутр'!D2075</f>
        <v>0</v>
      </c>
      <c r="E2068" s="1004" t="n">
        <f aca="false">'Смета Внутр'!E2075</f>
        <v>350</v>
      </c>
      <c r="F2068" s="1004" t="n">
        <f aca="false">'Смета Внутр'!F2075</f>
        <v>0</v>
      </c>
      <c r="G2068" s="1004" t="n">
        <f aca="false">IF(E2068&gt;F2068,E2068,F2068)</f>
        <v>350</v>
      </c>
      <c r="H2068" s="1004" t="n">
        <f aca="false">'Смета Внутр'!G2075</f>
        <v>0</v>
      </c>
      <c r="I2068" s="1004" t="n">
        <f aca="false">'Смета Внутр'!H2075</f>
        <v>0</v>
      </c>
      <c r="J2068" s="1018" t="n">
        <f aca="false">'Смета Внутр'!I2075</f>
        <v>0</v>
      </c>
    </row>
    <row r="2069" customFormat="false" ht="15" hidden="false" customHeight="true" outlineLevel="0" collapsed="false">
      <c r="B2069" s="1004" t="str">
        <f aca="false">'Смета Внутр'!B2076</f>
        <v>планкен</v>
      </c>
      <c r="C2069" s="1004" t="str">
        <f aca="false">'Смета Внутр'!C2076</f>
        <v>м2</v>
      </c>
      <c r="D2069" s="1018" t="n">
        <f aca="false">'Смета Внутр'!D2076</f>
        <v>0</v>
      </c>
      <c r="E2069" s="1004" t="n">
        <f aca="false">'Смета Внутр'!E2076</f>
        <v>500</v>
      </c>
      <c r="F2069" s="1004" t="n">
        <f aca="false">'Смета Внутр'!F2076</f>
        <v>0</v>
      </c>
      <c r="G2069" s="1004" t="n">
        <f aca="false">IF(E2069&gt;F2069,E2069,F2069)</f>
        <v>500</v>
      </c>
      <c r="H2069" s="1004" t="n">
        <f aca="false">'Смета Внутр'!G2076</f>
        <v>0</v>
      </c>
      <c r="I2069" s="1004" t="n">
        <f aca="false">'Смета Внутр'!H2076</f>
        <v>0</v>
      </c>
      <c r="J2069" s="1018" t="n">
        <f aca="false">'Смета Внутр'!I2076</f>
        <v>0</v>
      </c>
    </row>
    <row r="2070" customFormat="false" ht="15" hidden="false" customHeight="true" outlineLevel="0" collapsed="false">
      <c r="B2070" s="1004" t="str">
        <f aca="false">'Смета Внутр'!B2077</f>
        <v>камень</v>
      </c>
      <c r="C2070" s="1004" t="str">
        <f aca="false">'Смета Внутр'!C2077</f>
        <v>м2</v>
      </c>
      <c r="D2070" s="1018" t="n">
        <f aca="false">'Смета Внутр'!D2077</f>
        <v>0</v>
      </c>
      <c r="E2070" s="1004" t="n">
        <f aca="false">'Смета Внутр'!E2077</f>
        <v>600</v>
      </c>
      <c r="F2070" s="1004" t="n">
        <f aca="false">'Смета Внутр'!F2077</f>
        <v>0</v>
      </c>
      <c r="G2070" s="1004" t="n">
        <f aca="false">IF(E2070&gt;F2070,E2070,F2070)</f>
        <v>600</v>
      </c>
      <c r="H2070" s="1004" t="n">
        <f aca="false">'Смета Внутр'!G2077</f>
        <v>0</v>
      </c>
      <c r="I2070" s="1004" t="n">
        <f aca="false">'Смета Внутр'!H2077</f>
        <v>0</v>
      </c>
      <c r="J2070" s="1018" t="n">
        <f aca="false">'Смета Внутр'!I2077</f>
        <v>0</v>
      </c>
    </row>
    <row r="2071" customFormat="false" ht="15" hidden="false" customHeight="true" outlineLevel="0" collapsed="false">
      <c r="B2071" s="1004" t="str">
        <f aca="false">'Смета Внутр'!B2078</f>
        <v>окрашивание поверхности</v>
      </c>
      <c r="C2071" s="1004" t="str">
        <f aca="false">'Смета Внутр'!C2078</f>
        <v>м2</v>
      </c>
      <c r="D2071" s="1018" t="n">
        <f aca="false">'Смета Внутр'!D2078</f>
        <v>0</v>
      </c>
      <c r="E2071" s="1004" t="n">
        <f aca="false">'Смета Внутр'!E2078</f>
        <v>200</v>
      </c>
      <c r="F2071" s="1004" t="n">
        <f aca="false">'Смета Внутр'!F2078</f>
        <v>0</v>
      </c>
      <c r="G2071" s="1004" t="n">
        <f aca="false">IF(E2071&gt;F2071,E2071,F2071)</f>
        <v>200</v>
      </c>
      <c r="H2071" s="1004" t="n">
        <f aca="false">'Смета Внутр'!G2078</f>
        <v>0</v>
      </c>
      <c r="I2071" s="1004" t="n">
        <f aca="false">'Смета Внутр'!H2078</f>
        <v>0</v>
      </c>
      <c r="J2071" s="1018" t="n">
        <f aca="false">'Смета Внутр'!I2078</f>
        <v>0</v>
      </c>
    </row>
    <row r="2072" customFormat="false" ht="15" hidden="false" customHeight="true" outlineLevel="0" collapsed="false">
      <c r="B2072" s="1004" t="str">
        <f aca="false">'Смета Внутр'!B2079</f>
        <v>лакирование пов-ти</v>
      </c>
      <c r="C2072" s="1004" t="str">
        <f aca="false">'Смета Внутр'!C2079</f>
        <v>м2</v>
      </c>
      <c r="D2072" s="1018" t="n">
        <f aca="false">'Смета Внутр'!D2079</f>
        <v>0</v>
      </c>
      <c r="E2072" s="1004" t="n">
        <f aca="false">'Смета Внутр'!E2079</f>
        <v>300</v>
      </c>
      <c r="F2072" s="1004" t="n">
        <f aca="false">'Смета Внутр'!F2079</f>
        <v>0</v>
      </c>
      <c r="G2072" s="1004" t="n">
        <f aca="false">IF(E2072&gt;F2072,E2072,F2072)</f>
        <v>300</v>
      </c>
      <c r="H2072" s="1004" t="n">
        <f aca="false">'Смета Внутр'!G2079</f>
        <v>0</v>
      </c>
      <c r="I2072" s="1004" t="n">
        <f aca="false">'Смета Внутр'!H2079</f>
        <v>0</v>
      </c>
      <c r="J2072" s="1018" t="n">
        <f aca="false">'Смета Внутр'!I2079</f>
        <v>0</v>
      </c>
    </row>
    <row r="2073" customFormat="false" ht="15" hidden="false" customHeight="true" outlineLevel="0" collapsed="false">
      <c r="B2073" s="1004" t="str">
        <f aca="false">'Смета Внутр'!B2080</f>
        <v>монтаж плоский шифер</v>
      </c>
      <c r="C2073" s="1004" t="str">
        <f aca="false">'Смета Внутр'!C2080</f>
        <v>м2</v>
      </c>
      <c r="D2073" s="1018" t="n">
        <f aca="false">'Смета Внутр'!D2080</f>
        <v>0</v>
      </c>
      <c r="E2073" s="1004" t="n">
        <f aca="false">'Смета Внутр'!E2080</f>
        <v>120</v>
      </c>
      <c r="F2073" s="1004" t="n">
        <f aca="false">'Смета Внутр'!F2080</f>
        <v>0</v>
      </c>
      <c r="G2073" s="1004" t="n">
        <f aca="false">IF(E2073&gt;F2073,E2073,F2073)</f>
        <v>120</v>
      </c>
      <c r="H2073" s="1004" t="n">
        <f aca="false">'Смета Внутр'!G2080</f>
        <v>0</v>
      </c>
      <c r="I2073" s="1004" t="n">
        <f aca="false">'Смета Внутр'!H2080</f>
        <v>0</v>
      </c>
      <c r="J2073" s="1018" t="n">
        <f aca="false">'Смета Внутр'!I2080</f>
        <v>0</v>
      </c>
    </row>
    <row r="2074" customFormat="false" ht="15" hidden="false" customHeight="true" outlineLevel="0" collapsed="false">
      <c r="B2074" s="1004" t="str">
        <f aca="false">'Смета Внутр'!B2081</f>
        <v>имитация бруса</v>
      </c>
      <c r="C2074" s="1004" t="str">
        <f aca="false">'Смета Внутр'!C2081</f>
        <v>м2</v>
      </c>
      <c r="D2074" s="1018" t="n">
        <f aca="false">'Смета Внутр'!D2081</f>
        <v>0</v>
      </c>
      <c r="E2074" s="1004" t="n">
        <f aca="false">'Смета Внутр'!E2081</f>
        <v>400</v>
      </c>
      <c r="F2074" s="1004" t="n">
        <f aca="false">'Смета Внутр'!F2081</f>
        <v>0</v>
      </c>
      <c r="G2074" s="1004" t="n">
        <f aca="false">IF(E2074&gt;F2074,E2074,F2074)</f>
        <v>400</v>
      </c>
      <c r="H2074" s="1004" t="n">
        <f aca="false">'Смета Внутр'!G2081</f>
        <v>0</v>
      </c>
      <c r="I2074" s="1004" t="n">
        <f aca="false">'Смета Внутр'!H2081</f>
        <v>0</v>
      </c>
      <c r="J2074" s="1018" t="n">
        <f aca="false">'Смета Внутр'!I2081</f>
        <v>0</v>
      </c>
    </row>
    <row r="2075" customFormat="false" ht="15" hidden="false" customHeight="true" outlineLevel="0" collapsed="false">
      <c r="B2075" s="1004" t="str">
        <f aca="false">'Смета Внутр'!B2082</f>
        <v>Утепление наружних стен</v>
      </c>
      <c r="C2075" s="1004" t="str">
        <f aca="false">'Смета Внутр'!C2082</f>
        <v>м2</v>
      </c>
      <c r="D2075" s="1018" t="n">
        <f aca="false">'Смета Внутр'!D2082</f>
        <v>118.8</v>
      </c>
      <c r="E2075" s="1004" t="n">
        <f aca="false">'Смета Внутр'!E2082</f>
        <v>200</v>
      </c>
      <c r="F2075" s="1004" t="n">
        <f aca="false">'Смета Внутр'!F2082</f>
        <v>0</v>
      </c>
      <c r="G2075" s="1004" t="n">
        <f aca="false">IF(E2075&gt;F2075,E2075,F2075)</f>
        <v>200</v>
      </c>
      <c r="H2075" s="1004" t="n">
        <f aca="false">'Смета Внутр'!G2082</f>
        <v>23760</v>
      </c>
      <c r="I2075" s="1004" t="n">
        <f aca="false">'Смета Внутр'!H2082</f>
        <v>0</v>
      </c>
      <c r="J2075" s="1018" t="n">
        <f aca="false">'Смета Внутр'!I2082</f>
        <v>0</v>
      </c>
    </row>
    <row r="2076" customFormat="false" ht="15" hidden="false" customHeight="true" outlineLevel="0" collapsed="false">
      <c r="B2076" s="1004" t="str">
        <f aca="false">'Смета Внутр'!B2083</f>
        <v>Оштукатуривание поверхности, подготовка</v>
      </c>
      <c r="C2076" s="1004" t="str">
        <f aca="false">'Смета Внутр'!C2083</f>
        <v>м2</v>
      </c>
      <c r="D2076" s="1018" t="n">
        <f aca="false">'Смета Внутр'!D2083</f>
        <v>0</v>
      </c>
      <c r="E2076" s="1004" t="n">
        <f aca="false">'Смета Внутр'!E2083</f>
        <v>400</v>
      </c>
      <c r="F2076" s="1004" t="n">
        <f aca="false">'Смета Внутр'!F2083</f>
        <v>0</v>
      </c>
      <c r="G2076" s="1004" t="n">
        <f aca="false">IF(E2076&gt;F2076,E2076,F2076)</f>
        <v>400</v>
      </c>
      <c r="H2076" s="1004" t="n">
        <f aca="false">'Смета Внутр'!G2083</f>
        <v>0</v>
      </c>
      <c r="I2076" s="1004" t="n">
        <f aca="false">'Смета Внутр'!H2083</f>
        <v>0</v>
      </c>
      <c r="J2076" s="1018" t="n">
        <f aca="false">'Смета Внутр'!I2083</f>
        <v>0</v>
      </c>
    </row>
    <row r="2077" customFormat="false" ht="15" hidden="false" customHeight="true" outlineLevel="0" collapsed="false">
      <c r="B2077" s="1004" t="str">
        <f aca="false">'Смета Внутр'!B2084</f>
        <v>Наклейка сетки</v>
      </c>
      <c r="C2077" s="1004" t="str">
        <f aca="false">'Смета Внутр'!C2084</f>
        <v>м2</v>
      </c>
      <c r="D2077" s="1018" t="n">
        <f aca="false">'Смета Внутр'!D2084</f>
        <v>0</v>
      </c>
      <c r="E2077" s="1004" t="n">
        <f aca="false">'Смета Внутр'!E2084</f>
        <v>200</v>
      </c>
      <c r="F2077" s="1004" t="n">
        <f aca="false">'Смета Внутр'!F2084</f>
        <v>0</v>
      </c>
      <c r="G2077" s="1004" t="n">
        <f aca="false">IF(E2077&gt;F2077,E2077,F2077)</f>
        <v>200</v>
      </c>
      <c r="H2077" s="1004" t="n">
        <f aca="false">'Смета Внутр'!G2084</f>
        <v>0</v>
      </c>
      <c r="I2077" s="1004" t="n">
        <f aca="false">'Смета Внутр'!H2084</f>
        <v>0</v>
      </c>
      <c r="J2077" s="1018" t="n">
        <f aca="false">'Смета Внутр'!I2084</f>
        <v>0</v>
      </c>
    </row>
    <row r="2078" customFormat="false" ht="15" hidden="false" customHeight="true" outlineLevel="0" collapsed="false">
      <c r="B2078" s="1004" t="str">
        <f aca="false">'Смета Внутр'!B2085</f>
        <v>Нанесение декоративной штукатурки</v>
      </c>
      <c r="C2078" s="1004" t="str">
        <f aca="false">'Смета Внутр'!C2085</f>
        <v>м2</v>
      </c>
      <c r="D2078" s="1018" t="n">
        <f aca="false">'Смета Внутр'!D2085</f>
        <v>0</v>
      </c>
      <c r="E2078" s="1004" t="n">
        <f aca="false">'Смета Внутр'!E2085</f>
        <v>600</v>
      </c>
      <c r="F2078" s="1004" t="n">
        <f aca="false">'Смета Внутр'!F2085</f>
        <v>0</v>
      </c>
      <c r="G2078" s="1004" t="n">
        <f aca="false">IF(E2078&gt;F2078,E2078,F2078)</f>
        <v>600</v>
      </c>
      <c r="H2078" s="1004" t="n">
        <f aca="false">'Смета Внутр'!G2085</f>
        <v>0</v>
      </c>
      <c r="I2078" s="1004" t="n">
        <f aca="false">'Смета Внутр'!H2085</f>
        <v>0</v>
      </c>
      <c r="J2078" s="1018" t="n">
        <f aca="false">'Смета Внутр'!I2085</f>
        <v>0</v>
      </c>
    </row>
    <row r="2079" customFormat="false" ht="15" hidden="false" customHeight="true" outlineLevel="0" collapsed="false">
      <c r="B2079" s="2937" t="str">
        <f aca="false">'Смета Внутр'!B2086</f>
        <v>цоколь</v>
      </c>
      <c r="C2079" s="2937"/>
      <c r="D2079" s="2937"/>
      <c r="E2079" s="2937"/>
      <c r="F2079" s="2937"/>
      <c r="G2079" s="2937"/>
      <c r="H2079" s="1004" t="n">
        <f aca="false">'Смета Внутр'!G2086</f>
        <v>0</v>
      </c>
      <c r="I2079" s="1004" t="n">
        <f aca="false">'Смета Внутр'!H2086</f>
        <v>0</v>
      </c>
      <c r="J2079" s="2938" t="n">
        <f aca="false">'Смета Внутр'!I2086</f>
        <v>0</v>
      </c>
    </row>
    <row r="2080" customFormat="false" ht="15" hidden="false" customHeight="true" outlineLevel="0" collapsed="false">
      <c r="B2080" s="1004" t="str">
        <f aca="false">'Смета Внутр'!B2087</f>
        <v>монтаж подсистемы</v>
      </c>
      <c r="C2080" s="1004" t="str">
        <f aca="false">'Смета Внутр'!C2087</f>
        <v>м2</v>
      </c>
      <c r="D2080" s="1018" t="n">
        <f aca="false">'Смета Внутр'!D2087</f>
        <v>0</v>
      </c>
      <c r="E2080" s="1004" t="n">
        <f aca="false">'Смета Внутр'!E2087</f>
        <v>200</v>
      </c>
      <c r="F2080" s="1004" t="n">
        <f aca="false">'Смета Внутр'!F2087</f>
        <v>0</v>
      </c>
      <c r="G2080" s="1004" t="n">
        <f aca="false">IF(E2080&gt;F2080,E2080,F2080)</f>
        <v>200</v>
      </c>
      <c r="H2080" s="1004" t="n">
        <f aca="false">'Смета Внутр'!G2087</f>
        <v>0</v>
      </c>
      <c r="I2080" s="1004" t="n">
        <f aca="false">'Смета Внутр'!H2087</f>
        <v>0</v>
      </c>
      <c r="J2080" s="1018" t="n">
        <f aca="false">'Смета Внутр'!I2087</f>
        <v>0</v>
      </c>
    </row>
    <row r="2081" customFormat="false" ht="15" hidden="false" customHeight="true" outlineLevel="0" collapsed="false">
      <c r="B2081" s="1004" t="str">
        <f aca="false">'Смета Внутр'!B2088</f>
        <v>монтаж отлив</v>
      </c>
      <c r="C2081" s="1004" t="str">
        <f aca="false">'Смета Внутр'!C2088</f>
        <v>м.п.</v>
      </c>
      <c r="D2081" s="1018" t="n">
        <f aca="false">'Смета Внутр'!D2088</f>
        <v>56</v>
      </c>
      <c r="E2081" s="1004" t="n">
        <f aca="false">'Смета Внутр'!E2088</f>
        <v>120</v>
      </c>
      <c r="F2081" s="1004" t="n">
        <f aca="false">'Смета Внутр'!F2088</f>
        <v>0</v>
      </c>
      <c r="G2081" s="1004" t="n">
        <f aca="false">IF(E2081&gt;F2081,E2081,F2081)</f>
        <v>120</v>
      </c>
      <c r="H2081" s="1004" t="n">
        <f aca="false">'Смета Внутр'!G2088</f>
        <v>6720</v>
      </c>
      <c r="I2081" s="1004" t="n">
        <f aca="false">'Смета Внутр'!H2088</f>
        <v>0</v>
      </c>
      <c r="J2081" s="1018" t="n">
        <f aca="false">'Смета Внутр'!I2088</f>
        <v>0</v>
      </c>
    </row>
    <row r="2082" customFormat="false" ht="15" hidden="false" customHeight="true" outlineLevel="0" collapsed="false">
      <c r="B2082" s="1004" t="str">
        <f aca="false">'Смета Внутр'!B2089</f>
        <v>монтаж плоский шифер</v>
      </c>
      <c r="C2082" s="1004" t="str">
        <f aca="false">'Смета Внутр'!C2089</f>
        <v>м2</v>
      </c>
      <c r="D2082" s="1018" t="n">
        <f aca="false">'Смета Внутр'!D2089</f>
        <v>22.4</v>
      </c>
      <c r="E2082" s="1004" t="n">
        <f aca="false">'Смета Внутр'!E2089</f>
        <v>120</v>
      </c>
      <c r="F2082" s="1004" t="n">
        <f aca="false">'Смета Внутр'!F2089</f>
        <v>0</v>
      </c>
      <c r="G2082" s="1004" t="n">
        <f aca="false">IF(E2082&gt;F2082,E2082,F2082)</f>
        <v>120</v>
      </c>
      <c r="H2082" s="1004" t="n">
        <f aca="false">'Смета Внутр'!G2089</f>
        <v>2688</v>
      </c>
      <c r="I2082" s="1004" t="n">
        <f aca="false">'Смета Внутр'!H2089</f>
        <v>0</v>
      </c>
      <c r="J2082" s="1018" t="n">
        <f aca="false">'Смета Внутр'!I2089</f>
        <v>0</v>
      </c>
    </row>
    <row r="2083" customFormat="false" ht="15" hidden="false" customHeight="true" outlineLevel="0" collapsed="false">
      <c r="B2083" s="1004" t="str">
        <f aca="false">'Смета Внутр'!B2090</f>
        <v>сайдинг металл сайдинг</v>
      </c>
      <c r="C2083" s="1004" t="str">
        <f aca="false">'Смета Внутр'!C2090</f>
        <v>м2</v>
      </c>
      <c r="D2083" s="1018" t="n">
        <f aca="false">'Смета Внутр'!D2090</f>
        <v>0</v>
      </c>
      <c r="E2083" s="1004" t="n">
        <f aca="false">'Смета Внутр'!E2090</f>
        <v>350</v>
      </c>
      <c r="F2083" s="1004" t="n">
        <f aca="false">'Смета Внутр'!F2090</f>
        <v>0</v>
      </c>
      <c r="G2083" s="1004" t="n">
        <f aca="false">IF(E2083&gt;F2083,E2083,F2083)</f>
        <v>350</v>
      </c>
      <c r="H2083" s="1004" t="n">
        <f aca="false">'Смета Внутр'!G2090</f>
        <v>0</v>
      </c>
      <c r="I2083" s="1004" t="n">
        <f aca="false">'Смета Внутр'!H2090</f>
        <v>0</v>
      </c>
      <c r="J2083" s="1018" t="n">
        <f aca="false">'Смета Внутр'!I2090</f>
        <v>0</v>
      </c>
    </row>
    <row r="2084" customFormat="false" ht="15" hidden="false" customHeight="true" outlineLevel="0" collapsed="false">
      <c r="B2084" s="1004" t="str">
        <f aca="false">'Смета Внутр'!B2091</f>
        <v>монтаж камень природ</v>
      </c>
      <c r="C2084" s="1004" t="str">
        <f aca="false">'Смета Внутр'!C2091</f>
        <v>м2</v>
      </c>
      <c r="D2084" s="1018" t="n">
        <f aca="false">'Смета Внутр'!D2091</f>
        <v>22.4</v>
      </c>
      <c r="E2084" s="1004" t="n">
        <f aca="false">'Смета Внутр'!E2091</f>
        <v>900</v>
      </c>
      <c r="F2084" s="1004" t="n">
        <f aca="false">'Смета Внутр'!F2091</f>
        <v>0</v>
      </c>
      <c r="G2084" s="1004" t="n">
        <f aca="false">IF(E2084&gt;F2084,E2084,F2084)</f>
        <v>900</v>
      </c>
      <c r="H2084" s="1004" t="n">
        <f aca="false">'Смета Внутр'!G2091</f>
        <v>20160</v>
      </c>
      <c r="I2084" s="1004" t="n">
        <f aca="false">'Смета Внутр'!H2091</f>
        <v>0</v>
      </c>
      <c r="J2084" s="1018" t="n">
        <f aca="false">'Смета Внутр'!I2091</f>
        <v>0</v>
      </c>
    </row>
    <row r="2085" customFormat="false" ht="15" hidden="false" customHeight="true" outlineLevel="0" collapsed="false">
      <c r="B2085" s="1004" t="str">
        <f aca="false">'Смета Внутр'!B2092</f>
        <v>монтаж камень искуст-ый</v>
      </c>
      <c r="C2085" s="1004" t="str">
        <f aca="false">'Смета Внутр'!C2092</f>
        <v>м2</v>
      </c>
      <c r="D2085" s="1018" t="n">
        <f aca="false">'Смета Внутр'!D2092</f>
        <v>0</v>
      </c>
      <c r="E2085" s="1004" t="n">
        <f aca="false">'Смета Внутр'!E2092</f>
        <v>800</v>
      </c>
      <c r="F2085" s="1004" t="n">
        <f aca="false">'Смета Внутр'!F2092</f>
        <v>0</v>
      </c>
      <c r="G2085" s="1004" t="n">
        <f aca="false">IF(E2085&gt;F2085,E2085,F2085)</f>
        <v>800</v>
      </c>
      <c r="H2085" s="1004" t="n">
        <f aca="false">'Смета Внутр'!G2092</f>
        <v>0</v>
      </c>
      <c r="I2085" s="1004" t="n">
        <f aca="false">'Смета Внутр'!H2092</f>
        <v>0</v>
      </c>
      <c r="J2085" s="1018" t="n">
        <f aca="false">'Смета Внутр'!I2092</f>
        <v>0</v>
      </c>
    </row>
    <row r="2086" customFormat="false" ht="15" hidden="false" customHeight="true" outlineLevel="0" collapsed="false">
      <c r="B2086" s="1004" t="str">
        <f aca="false">'Смета Внутр'!B2093</f>
        <v>карнизы</v>
      </c>
      <c r="C2086" s="1004"/>
      <c r="D2086" s="1018"/>
      <c r="E2086" s="1004"/>
      <c r="F2086" s="1004"/>
      <c r="G2086" s="1004"/>
      <c r="H2086" s="1004" t="n">
        <f aca="false">'Смета Внутр'!G2093</f>
        <v>0</v>
      </c>
      <c r="I2086" s="1004" t="n">
        <f aca="false">'Смета Внутр'!H2093</f>
        <v>0</v>
      </c>
      <c r="J2086" s="1018" t="n">
        <f aca="false">'Смета Внутр'!I2093</f>
        <v>0</v>
      </c>
    </row>
    <row r="2087" customFormat="false" ht="15" hidden="false" customHeight="true" outlineLevel="0" collapsed="false">
      <c r="B2087" s="1004" t="str">
        <f aca="false">'Смета Внутр'!B2094</f>
        <v>планкен</v>
      </c>
      <c r="C2087" s="1004" t="str">
        <f aca="false">'Смета Внутр'!C2094</f>
        <v>м2</v>
      </c>
      <c r="D2087" s="1018" t="n">
        <f aca="false">'Смета Внутр'!D2094</f>
        <v>0</v>
      </c>
      <c r="E2087" s="1004" t="n">
        <f aca="false">'Смета Внутр'!E2094</f>
        <v>600</v>
      </c>
      <c r="F2087" s="1004" t="n">
        <f aca="false">'Смета Внутр'!F2094</f>
        <v>0</v>
      </c>
      <c r="G2087" s="1004" t="n">
        <f aca="false">IF(E2087&gt;F2087,E2087,F2087)</f>
        <v>600</v>
      </c>
      <c r="H2087" s="1004" t="n">
        <f aca="false">'Смета Внутр'!G2094</f>
        <v>0</v>
      </c>
      <c r="I2087" s="1004" t="n">
        <f aca="false">'Смета Внутр'!H2094</f>
        <v>0</v>
      </c>
      <c r="J2087" s="1018" t="n">
        <f aca="false">'Смета Внутр'!I2094</f>
        <v>0</v>
      </c>
    </row>
    <row r="2088" customFormat="false" ht="15" hidden="false" customHeight="true" outlineLevel="0" collapsed="false">
      <c r="B2088" s="1004" t="str">
        <f aca="false">'Смета Внутр'!B2095</f>
        <v>сайдинг</v>
      </c>
      <c r="C2088" s="1004" t="str">
        <f aca="false">'Смета Внутр'!C2095</f>
        <v>м2</v>
      </c>
      <c r="D2088" s="1018" t="n">
        <f aca="false">'Смета Внутр'!D2095</f>
        <v>0</v>
      </c>
      <c r="E2088" s="1004" t="n">
        <f aca="false">'Смета Внутр'!E2095</f>
        <v>500</v>
      </c>
      <c r="F2088" s="1004" t="n">
        <f aca="false">'Смета Внутр'!F2095</f>
        <v>0</v>
      </c>
      <c r="G2088" s="1004" t="n">
        <f aca="false">IF(E2088&gt;F2088,E2088,F2088)</f>
        <v>500</v>
      </c>
      <c r="H2088" s="1004" t="n">
        <f aca="false">'Смета Внутр'!G2095</f>
        <v>0</v>
      </c>
      <c r="I2088" s="1004" t="n">
        <f aca="false">'Смета Внутр'!H2095</f>
        <v>0</v>
      </c>
      <c r="J2088" s="1018" t="n">
        <f aca="false">'Смета Внутр'!I2095</f>
        <v>0</v>
      </c>
    </row>
    <row r="2089" customFormat="false" ht="15" hidden="false" customHeight="true" outlineLevel="0" collapsed="false">
      <c r="B2089" s="1004" t="str">
        <f aca="false">'Смета Внутр'!B2096</f>
        <v>монтаж леса стрительные</v>
      </c>
      <c r="C2089" s="1004" t="str">
        <f aca="false">'Смета Внутр'!C2096</f>
        <v>м2</v>
      </c>
      <c r="D2089" s="1018" t="n">
        <f aca="false">'Смета Внутр'!D2096</f>
        <v>118.8</v>
      </c>
      <c r="E2089" s="1004" t="n">
        <f aca="false">'Смета Внутр'!E2096</f>
        <v>100</v>
      </c>
      <c r="F2089" s="1004" t="n">
        <f aca="false">'Смета Внутр'!F2096</f>
        <v>0</v>
      </c>
      <c r="G2089" s="1004" t="n">
        <f aca="false">IF(E2089&gt;F2089,E2089,F2089)</f>
        <v>100</v>
      </c>
      <c r="H2089" s="1004" t="n">
        <f aca="false">'Смета Внутр'!G2096</f>
        <v>11880</v>
      </c>
      <c r="I2089" s="1004" t="n">
        <f aca="false">'Смета Внутр'!H2096</f>
        <v>0</v>
      </c>
      <c r="J2089" s="1018" t="n">
        <f aca="false">'Смета Внутр'!I2096</f>
        <v>0</v>
      </c>
    </row>
    <row r="2090" customFormat="false" ht="15" hidden="false" customHeight="true" outlineLevel="0" collapsed="false">
      <c r="B2090" s="2927" t="str">
        <f aca="false">'Смета Внутр'!B2097</f>
        <v>Итого работы</v>
      </c>
      <c r="C2090" s="2927"/>
      <c r="D2090" s="2927"/>
      <c r="E2090" s="2927"/>
      <c r="F2090" s="2927"/>
      <c r="G2090" s="2927"/>
      <c r="H2090" s="1004" t="n">
        <f aca="false">'Смета Внутр'!G2097</f>
        <v>0</v>
      </c>
      <c r="I2090" s="1004" t="n">
        <f aca="false">'Смета Внутр'!H2097</f>
        <v>0</v>
      </c>
      <c r="J2090" s="1018" t="n">
        <f aca="false">'Смета Внутр'!I2097</f>
        <v>0</v>
      </c>
    </row>
    <row r="2091" customFormat="false" ht="15" hidden="false" customHeight="true" outlineLevel="0" collapsed="false">
      <c r="B2091" s="2899" t="str">
        <f aca="false">'Смета Внутр'!B2098</f>
        <v>Чистовая отделка</v>
      </c>
      <c r="C2091" s="2899"/>
      <c r="D2091" s="2899"/>
      <c r="H2091" s="0" t="n">
        <f aca="false">'Смета Внутр'!G2098</f>
        <v>0</v>
      </c>
      <c r="I2091" s="0" t="n">
        <f aca="false">'Смета Внутр'!H2098</f>
        <v>0</v>
      </c>
      <c r="J2091" s="2893" t="n">
        <f aca="false">'Смета Внутр'!I2098</f>
        <v>0</v>
      </c>
    </row>
    <row r="2092" customFormat="false" ht="15" hidden="false" customHeight="true" outlineLevel="0" collapsed="false">
      <c r="B2092" s="2881" t="str">
        <f aca="false">'Смета Внутр'!B2099</f>
        <v>Материалы</v>
      </c>
      <c r="H2092" s="0" t="n">
        <f aca="false">'Смета Внутр'!G2099</f>
        <v>0</v>
      </c>
      <c r="I2092" s="0" t="n">
        <f aca="false">'Смета Внутр'!H2099</f>
        <v>0</v>
      </c>
      <c r="J2092" s="2893" t="n">
        <f aca="false">'Смета Внутр'!I2099</f>
        <v>0</v>
      </c>
    </row>
    <row r="2093" customFormat="false" ht="15" hidden="false" customHeight="true" outlineLevel="0" collapsed="false">
      <c r="B2093" s="2889" t="str">
        <f aca="false">'Смета Внутр'!B2100</f>
        <v>Стены</v>
      </c>
      <c r="C2093" s="2889"/>
      <c r="D2093" s="2889"/>
      <c r="E2093" s="2889"/>
      <c r="F2093" s="2889"/>
      <c r="G2093" s="2889"/>
      <c r="H2093" s="1004" t="n">
        <f aca="false">'Смета Внутр'!G2100</f>
        <v>0</v>
      </c>
      <c r="I2093" s="1004" t="n">
        <f aca="false">'Смета Внутр'!H2100</f>
        <v>0</v>
      </c>
      <c r="J2093" s="2895" t="n">
        <f aca="false">'Смета Внутр'!I2100</f>
        <v>0</v>
      </c>
    </row>
    <row r="2094" customFormat="false" ht="15" hidden="false" customHeight="true" outlineLevel="0" collapsed="false">
      <c r="B2094" s="1004" t="str">
        <f aca="false">'Смета Внутр'!B2101</f>
        <v>ГКЛ, 12мм</v>
      </c>
      <c r="C2094" s="1004" t="str">
        <f aca="false">'Смета Внутр'!C2101</f>
        <v>м2</v>
      </c>
      <c r="D2094" s="1018" t="n">
        <f aca="false">'Смета Внутр'!D2101</f>
        <v>0</v>
      </c>
      <c r="E2094" s="1004" t="n">
        <f aca="false">'Смета Внутр'!E2101</f>
        <v>90</v>
      </c>
      <c r="F2094" s="1004" t="n">
        <f aca="false">'Смета Внутр'!F2101</f>
        <v>0</v>
      </c>
      <c r="G2094" s="1004" t="n">
        <f aca="false">IF(E2094&gt;F2094,E2094,F2094)</f>
        <v>90</v>
      </c>
      <c r="H2094" s="1004" t="n">
        <f aca="false">'Смета Внутр'!G2101</f>
        <v>0</v>
      </c>
      <c r="I2094" s="1004" t="n">
        <f aca="false">'Смета Внутр'!H2101</f>
        <v>0</v>
      </c>
      <c r="J2094" s="1018" t="n">
        <f aca="false">'Смета Внутр'!I2101</f>
        <v>0</v>
      </c>
    </row>
    <row r="2095" customFormat="false" ht="15" hidden="false" customHeight="true" outlineLevel="0" collapsed="false">
      <c r="B2095" s="1004" t="str">
        <f aca="false">'Смета Внутр'!B2102</f>
        <v>профиль 60/27/3000</v>
      </c>
      <c r="C2095" s="1004" t="str">
        <f aca="false">'Смета Внутр'!C2102</f>
        <v>шт</v>
      </c>
      <c r="D2095" s="1018" t="n">
        <f aca="false">'Смета Внутр'!D2102</f>
        <v>0</v>
      </c>
      <c r="E2095" s="1004" t="n">
        <f aca="false">'Смета Внутр'!E2102</f>
        <v>100</v>
      </c>
      <c r="F2095" s="1004" t="n">
        <f aca="false">'Смета Внутр'!F2102</f>
        <v>0</v>
      </c>
      <c r="G2095" s="1004" t="n">
        <f aca="false">IF(E2095&gt;F2095,E2095,F2095)</f>
        <v>100</v>
      </c>
      <c r="H2095" s="1004" t="n">
        <f aca="false">'Смета Внутр'!G2102</f>
        <v>0</v>
      </c>
      <c r="I2095" s="1004" t="n">
        <f aca="false">'Смета Внутр'!H2102</f>
        <v>0</v>
      </c>
      <c r="J2095" s="1018" t="n">
        <f aca="false">'Смета Внутр'!I2102</f>
        <v>0</v>
      </c>
    </row>
    <row r="2096" customFormat="false" ht="15" hidden="false" customHeight="true" outlineLevel="0" collapsed="false">
      <c r="B2096" s="1004" t="str">
        <f aca="false">'Смета Внутр'!B2103</f>
        <v>профиль 27/28/3000</v>
      </c>
      <c r="C2096" s="1004" t="str">
        <f aca="false">'Смета Внутр'!C2103</f>
        <v>шт</v>
      </c>
      <c r="D2096" s="1018" t="n">
        <f aca="false">'Смета Внутр'!D2103</f>
        <v>0</v>
      </c>
      <c r="E2096" s="1004" t="n">
        <f aca="false">'Смета Внутр'!E2103</f>
        <v>100</v>
      </c>
      <c r="F2096" s="1004" t="n">
        <f aca="false">'Смета Внутр'!F2103</f>
        <v>0</v>
      </c>
      <c r="G2096" s="1004" t="n">
        <f aca="false">IF(E2096&gt;F2096,E2096,F2096)</f>
        <v>100</v>
      </c>
      <c r="H2096" s="1004" t="n">
        <f aca="false">'Смета Внутр'!G2103</f>
        <v>0</v>
      </c>
      <c r="I2096" s="1004" t="n">
        <f aca="false">'Смета Внутр'!H2103</f>
        <v>0</v>
      </c>
      <c r="J2096" s="1018" t="n">
        <f aca="false">'Смета Внутр'!I2103</f>
        <v>0</v>
      </c>
    </row>
    <row r="2097" customFormat="false" ht="15" hidden="false" customHeight="true" outlineLevel="0" collapsed="false">
      <c r="B2097" s="1004" t="str">
        <f aca="false">'Смета Внутр'!B2104</f>
        <v>подвес прямой</v>
      </c>
      <c r="C2097" s="1004" t="str">
        <f aca="false">'Смета Внутр'!C2104</f>
        <v>шт</v>
      </c>
      <c r="D2097" s="1018" t="n">
        <f aca="false">'Смета Внутр'!D2104</f>
        <v>0</v>
      </c>
      <c r="E2097" s="1004" t="n">
        <f aca="false">'Смета Внутр'!E2104</f>
        <v>9</v>
      </c>
      <c r="F2097" s="1004" t="n">
        <f aca="false">'Смета Внутр'!F2104</f>
        <v>0</v>
      </c>
      <c r="G2097" s="1004" t="n">
        <f aca="false">IF(E2097&gt;F2097,E2097,F2097)</f>
        <v>9</v>
      </c>
      <c r="H2097" s="1004" t="n">
        <f aca="false">'Смета Внутр'!G2104</f>
        <v>0</v>
      </c>
      <c r="I2097" s="1004" t="n">
        <f aca="false">'Смета Внутр'!H2104</f>
        <v>0</v>
      </c>
      <c r="J2097" s="1018" t="n">
        <f aca="false">'Смета Внутр'!I2104</f>
        <v>0</v>
      </c>
    </row>
    <row r="2098" customFormat="false" ht="15" hidden="false" customHeight="true" outlineLevel="0" collapsed="false">
      <c r="B2098" s="1004" t="str">
        <f aca="false">'Смета Внутр'!B2105</f>
        <v>саморез металл/металл, 13мм</v>
      </c>
      <c r="C2098" s="1004" t="str">
        <f aca="false">'Смета Внутр'!C2105</f>
        <v>шт</v>
      </c>
      <c r="D2098" s="1018" t="n">
        <f aca="false">'Смета Внутр'!D2105</f>
        <v>0</v>
      </c>
      <c r="E2098" s="1004" t="n">
        <f aca="false">'Смета Внутр'!E2105</f>
        <v>0.025</v>
      </c>
      <c r="F2098" s="1004" t="n">
        <f aca="false">'Смета Внутр'!F2105</f>
        <v>0</v>
      </c>
      <c r="G2098" s="1004" t="n">
        <f aca="false">IF(E2098&gt;F2098,E2098,F2098)</f>
        <v>0.025</v>
      </c>
      <c r="H2098" s="1004" t="n">
        <f aca="false">'Смета Внутр'!G2105</f>
        <v>0</v>
      </c>
      <c r="I2098" s="1004" t="n">
        <f aca="false">'Смета Внутр'!H2105</f>
        <v>0</v>
      </c>
      <c r="J2098" s="1018" t="n">
        <f aca="false">'Смета Внутр'!I2105</f>
        <v>0</v>
      </c>
    </row>
    <row r="2099" customFormat="false" ht="15" hidden="false" customHeight="true" outlineLevel="0" collapsed="false">
      <c r="B2099" s="1004" t="str">
        <f aca="false">'Смета Внутр'!B2106</f>
        <v>саморез гкл/металл, 25мм</v>
      </c>
      <c r="C2099" s="1004" t="str">
        <f aca="false">'Смета Внутр'!C2106</f>
        <v>шт</v>
      </c>
      <c r="D2099" s="1018" t="n">
        <f aca="false">'Смета Внутр'!D2106</f>
        <v>0</v>
      </c>
      <c r="E2099" s="1004" t="n">
        <f aca="false">'Смета Внутр'!E2106</f>
        <v>0.025</v>
      </c>
      <c r="F2099" s="1004" t="n">
        <f aca="false">'Смета Внутр'!F2106</f>
        <v>0</v>
      </c>
      <c r="G2099" s="1004" t="n">
        <f aca="false">IF(E2099&gt;F2099,E2099,F2099)</f>
        <v>0.025</v>
      </c>
      <c r="H2099" s="1004" t="n">
        <f aca="false">'Смета Внутр'!G2106</f>
        <v>0</v>
      </c>
      <c r="I2099" s="1004" t="n">
        <f aca="false">'Смета Внутр'!H2106</f>
        <v>0</v>
      </c>
      <c r="J2099" s="1018" t="n">
        <f aca="false">'Смета Внутр'!I2106</f>
        <v>0</v>
      </c>
    </row>
    <row r="2100" customFormat="false" ht="15" hidden="false" customHeight="true" outlineLevel="0" collapsed="false">
      <c r="B2100" s="1004" t="str">
        <f aca="false">'Смета Внутр'!B2107</f>
        <v>грунтовка, 10л</v>
      </c>
      <c r="C2100" s="1004" t="str">
        <f aca="false">'Смета Внутр'!C2107</f>
        <v>шт</v>
      </c>
      <c r="D2100" s="1018" t="n">
        <f aca="false">'Смета Внутр'!D2107</f>
        <v>0</v>
      </c>
      <c r="E2100" s="1004" t="n">
        <f aca="false">'Смета Внутр'!E2107</f>
        <v>500</v>
      </c>
      <c r="F2100" s="1004" t="n">
        <f aca="false">'Смета Внутр'!F2107</f>
        <v>0</v>
      </c>
      <c r="G2100" s="1004" t="n">
        <f aca="false">IF(E2100&gt;F2100,E2100,F2100)</f>
        <v>500</v>
      </c>
      <c r="H2100" s="1004" t="n">
        <f aca="false">'Смета Внутр'!G2107</f>
        <v>0</v>
      </c>
      <c r="I2100" s="1004" t="n">
        <f aca="false">'Смета Внутр'!H2107</f>
        <v>0</v>
      </c>
      <c r="J2100" s="1018" t="n">
        <f aca="false">'Смета Внутр'!I2107</f>
        <v>0</v>
      </c>
    </row>
    <row r="2101" customFormat="false" ht="15" hidden="false" customHeight="true" outlineLevel="0" collapsed="false">
      <c r="B2101" s="1004" t="str">
        <f aca="false">'Смета Внутр'!B2108</f>
        <v>шпаклевка для швов, 25кг</v>
      </c>
      <c r="C2101" s="1004" t="str">
        <f aca="false">'Смета Внутр'!C2108</f>
        <v>шт</v>
      </c>
      <c r="D2101" s="1018" t="n">
        <f aca="false">'Смета Внутр'!D2108</f>
        <v>0</v>
      </c>
      <c r="E2101" s="1004" t="n">
        <f aca="false">'Смета Внутр'!E2108</f>
        <v>500</v>
      </c>
      <c r="F2101" s="1004" t="n">
        <f aca="false">'Смета Внутр'!F2108</f>
        <v>0</v>
      </c>
      <c r="G2101" s="1004" t="n">
        <f aca="false">IF(E2101&gt;F2101,E2101,F2101)</f>
        <v>500</v>
      </c>
      <c r="H2101" s="1004" t="n">
        <f aca="false">'Смета Внутр'!G2108</f>
        <v>0</v>
      </c>
      <c r="I2101" s="1004" t="n">
        <f aca="false">'Смета Внутр'!H2108</f>
        <v>0</v>
      </c>
      <c r="J2101" s="1018" t="n">
        <f aca="false">'Смета Внутр'!I2108</f>
        <v>0</v>
      </c>
    </row>
    <row r="2102" customFormat="false" ht="15" hidden="false" customHeight="true" outlineLevel="0" collapsed="false">
      <c r="B2102" s="1004" t="str">
        <f aca="false">'Смета Внутр'!B2109</f>
        <v>шпаклевка финишная, 25кг</v>
      </c>
      <c r="C2102" s="1004" t="str">
        <f aca="false">'Смета Внутр'!C2109</f>
        <v>шт</v>
      </c>
      <c r="D2102" s="1018" t="n">
        <f aca="false">'Смета Внутр'!D2109</f>
        <v>0</v>
      </c>
      <c r="E2102" s="1004" t="n">
        <f aca="false">'Смета Внутр'!E2109</f>
        <v>400</v>
      </c>
      <c r="F2102" s="1004" t="n">
        <f aca="false">'Смета Внутр'!F2109</f>
        <v>0</v>
      </c>
      <c r="G2102" s="1004" t="n">
        <f aca="false">IF(E2102&gt;F2102,E2102,F2102)</f>
        <v>400</v>
      </c>
      <c r="H2102" s="1004" t="n">
        <f aca="false">'Смета Внутр'!G2109</f>
        <v>0</v>
      </c>
      <c r="I2102" s="1004" t="n">
        <f aca="false">'Смета Внутр'!H2109</f>
        <v>0</v>
      </c>
      <c r="J2102" s="1018" t="n">
        <f aca="false">'Смета Внутр'!I2109</f>
        <v>0</v>
      </c>
    </row>
    <row r="2103" customFormat="false" ht="15" hidden="false" customHeight="true" outlineLevel="0" collapsed="false">
      <c r="B2103" s="1004" t="str">
        <f aca="false">'Смета Внутр'!B2110</f>
        <v>серпянка для швов, 50м.п.</v>
      </c>
      <c r="C2103" s="1004" t="str">
        <f aca="false">'Смета Внутр'!C2110</f>
        <v>шт</v>
      </c>
      <c r="D2103" s="1018" t="n">
        <f aca="false">'Смета Внутр'!D2110</f>
        <v>0</v>
      </c>
      <c r="E2103" s="1004" t="n">
        <f aca="false">'Смета Внутр'!E2110</f>
        <v>100</v>
      </c>
      <c r="F2103" s="1004" t="n">
        <f aca="false">'Смета Внутр'!F2110</f>
        <v>0</v>
      </c>
      <c r="G2103" s="1004" t="n">
        <f aca="false">IF(E2103&gt;F2103,E2103,F2103)</f>
        <v>100</v>
      </c>
      <c r="H2103" s="1004" t="n">
        <f aca="false">'Смета Внутр'!G2110</f>
        <v>0</v>
      </c>
      <c r="I2103" s="1004" t="n">
        <f aca="false">'Смета Внутр'!H2110</f>
        <v>0</v>
      </c>
      <c r="J2103" s="1018" t="n">
        <f aca="false">'Смета Внутр'!I2110</f>
        <v>0</v>
      </c>
    </row>
    <row r="2104" customFormat="false" ht="15" hidden="false" customHeight="true" outlineLevel="0" collapsed="false">
      <c r="B2104" s="1004" t="str">
        <f aca="false">'Смета Внутр'!B2111</f>
        <v>обои</v>
      </c>
      <c r="C2104" s="1004" t="str">
        <f aca="false">'Смета Внутр'!C2111</f>
        <v>м2</v>
      </c>
      <c r="D2104" s="1018" t="n">
        <f aca="false">'Смета Внутр'!D2111</f>
        <v>0</v>
      </c>
      <c r="E2104" s="1004" t="n">
        <f aca="false">'Смета Внутр'!E2111</f>
        <v>30</v>
      </c>
      <c r="F2104" s="1004" t="n">
        <f aca="false">'Смета Внутр'!F2111</f>
        <v>0</v>
      </c>
      <c r="G2104" s="1004" t="n">
        <f aca="false">IF(E2104&gt;F2104,E2104,F2104)</f>
        <v>30</v>
      </c>
      <c r="H2104" s="1004" t="n">
        <f aca="false">'Смета Внутр'!G2111</f>
        <v>0</v>
      </c>
      <c r="I2104" s="1004" t="n">
        <f aca="false">'Смета Внутр'!H2111</f>
        <v>0</v>
      </c>
      <c r="J2104" s="1018" t="n">
        <f aca="false">'Смета Внутр'!I2111</f>
        <v>0</v>
      </c>
    </row>
    <row r="2105" customFormat="false" ht="15" hidden="false" customHeight="true" outlineLevel="0" collapsed="false">
      <c r="B2105" s="1004" t="str">
        <f aca="false">'Смета Внутр'!B2112</f>
        <v>клей обойный</v>
      </c>
      <c r="C2105" s="1004" t="str">
        <f aca="false">'Смета Внутр'!C2112</f>
        <v>шт</v>
      </c>
      <c r="D2105" s="1018" t="n">
        <f aca="false">'Смета Внутр'!D2112</f>
        <v>0</v>
      </c>
      <c r="E2105" s="1004" t="n">
        <f aca="false">'Смета Внутр'!E2112</f>
        <v>120</v>
      </c>
      <c r="F2105" s="1004" t="n">
        <f aca="false">'Смета Внутр'!F2112</f>
        <v>0</v>
      </c>
      <c r="G2105" s="1004" t="n">
        <f aca="false">IF(E2105&gt;F2105,E2105,F2105)</f>
        <v>120</v>
      </c>
      <c r="H2105" s="1004" t="n">
        <f aca="false">'Смета Внутр'!G2112</f>
        <v>0</v>
      </c>
      <c r="I2105" s="1004" t="n">
        <f aca="false">'Смета Внутр'!H2112</f>
        <v>0</v>
      </c>
      <c r="J2105" s="1018" t="n">
        <f aca="false">'Смета Внутр'!I2112</f>
        <v>0</v>
      </c>
    </row>
    <row r="2106" customFormat="false" ht="15" hidden="false" customHeight="true" outlineLevel="0" collapsed="false">
      <c r="B2106" s="1004" t="str">
        <f aca="false">'Смета Внутр'!B2113</f>
        <v>краска для стен, 10л</v>
      </c>
      <c r="C2106" s="1004" t="str">
        <f aca="false">'Смета Внутр'!C2113</f>
        <v>шт</v>
      </c>
      <c r="D2106" s="1018" t="n">
        <f aca="false">'Смета Внутр'!D2113</f>
        <v>0</v>
      </c>
      <c r="E2106" s="1004" t="n">
        <f aca="false">'Смета Внутр'!E2113</f>
        <v>900</v>
      </c>
      <c r="F2106" s="1004" t="n">
        <f aca="false">'Смета Внутр'!F2113</f>
        <v>0</v>
      </c>
      <c r="G2106" s="1004" t="n">
        <f aca="false">IF(E2106&gt;F2106,E2106,F2106)</f>
        <v>900</v>
      </c>
      <c r="H2106" s="1004" t="n">
        <f aca="false">'Смета Внутр'!G2113</f>
        <v>0</v>
      </c>
      <c r="I2106" s="1004" t="n">
        <f aca="false">'Смета Внутр'!H2113</f>
        <v>0</v>
      </c>
      <c r="J2106" s="1018" t="n">
        <f aca="false">'Смета Внутр'!I2113</f>
        <v>0</v>
      </c>
    </row>
    <row r="2107" customFormat="false" ht="15" hidden="false" customHeight="true" outlineLevel="0" collapsed="false">
      <c r="B2107" s="1004" t="str">
        <f aca="false">'Смета Внутр'!B2114</f>
        <v>имитация бруса</v>
      </c>
      <c r="C2107" s="1004" t="str">
        <f aca="false">'Смета Внутр'!C2114</f>
        <v>м2</v>
      </c>
      <c r="D2107" s="1018" t="n">
        <f aca="false">'Смета Внутр'!D2114</f>
        <v>0</v>
      </c>
      <c r="E2107" s="1004" t="n">
        <f aca="false">'Смета Внутр'!E2114</f>
        <v>350</v>
      </c>
      <c r="F2107" s="1004" t="n">
        <f aca="false">'Смета Внутр'!F2114</f>
        <v>0</v>
      </c>
      <c r="G2107" s="1004" t="n">
        <f aca="false">IF(E2107&gt;F2107,E2107,F2107)</f>
        <v>350</v>
      </c>
      <c r="H2107" s="1004" t="n">
        <f aca="false">'Смета Внутр'!G2114</f>
        <v>0</v>
      </c>
      <c r="I2107" s="1004" t="n">
        <f aca="false">'Смета Внутр'!H2114</f>
        <v>0</v>
      </c>
      <c r="J2107" s="1018" t="n">
        <f aca="false">'Смета Внутр'!I2114</f>
        <v>0</v>
      </c>
    </row>
    <row r="2108" customFormat="false" ht="15" hidden="false" customHeight="true" outlineLevel="0" collapsed="false">
      <c r="B2108" s="1004" t="str">
        <f aca="false">'Смета Внутр'!B2115</f>
        <v>блокхаус</v>
      </c>
      <c r="C2108" s="1004" t="str">
        <f aca="false">'Смета Внутр'!C2115</f>
        <v>м2</v>
      </c>
      <c r="D2108" s="1018" t="n">
        <f aca="false">'Смета Внутр'!D2115</f>
        <v>0</v>
      </c>
      <c r="E2108" s="1004" t="n">
        <f aca="false">'Смета Внутр'!E2115</f>
        <v>500</v>
      </c>
      <c r="F2108" s="1004" t="n">
        <f aca="false">'Смета Внутр'!F2115</f>
        <v>0</v>
      </c>
      <c r="G2108" s="1004" t="n">
        <f aca="false">IF(E2108&gt;F2108,E2108,F2108)</f>
        <v>500</v>
      </c>
      <c r="H2108" s="1004" t="n">
        <f aca="false">'Смета Внутр'!G2115</f>
        <v>0</v>
      </c>
      <c r="I2108" s="1004" t="n">
        <f aca="false">'Смета Внутр'!H2115</f>
        <v>0</v>
      </c>
      <c r="J2108" s="1018" t="n">
        <f aca="false">'Смета Внутр'!I2115</f>
        <v>0</v>
      </c>
    </row>
    <row r="2109" customFormat="false" ht="15" hidden="false" customHeight="true" outlineLevel="0" collapsed="false">
      <c r="B2109" s="2888" t="str">
        <f aca="false">'Смета Внутр'!B2116</f>
        <v>вагонка</v>
      </c>
      <c r="C2109" s="2888" t="str">
        <f aca="false">'Смета Внутр'!C2116</f>
        <v>м2</v>
      </c>
      <c r="D2109" s="2897" t="n">
        <f aca="false">'Смета Внутр'!D2116</f>
        <v>0</v>
      </c>
      <c r="E2109" s="1004" t="n">
        <f aca="false">'Смета Внутр'!E2116</f>
        <v>250</v>
      </c>
      <c r="F2109" s="1004" t="n">
        <f aca="false">'Смета Внутр'!F2116</f>
        <v>0</v>
      </c>
      <c r="G2109" s="2888" t="n">
        <f aca="false">IF(E2109&gt;F2109,E2109,F2109)</f>
        <v>250</v>
      </c>
      <c r="H2109" s="1004" t="n">
        <f aca="false">'Смета Внутр'!G2116</f>
        <v>0</v>
      </c>
      <c r="I2109" s="1004" t="n">
        <f aca="false">'Смета Внутр'!H2116</f>
        <v>0</v>
      </c>
      <c r="J2109" s="2897" t="n">
        <f aca="false">'Смета Внутр'!I2116</f>
        <v>0</v>
      </c>
    </row>
    <row r="2110" customFormat="false" ht="15" hidden="false" customHeight="true" outlineLevel="0" collapsed="false">
      <c r="B2110" s="1004" t="str">
        <f aca="false">'Смета Внутр'!B2117</f>
        <v>подсистема, брусок</v>
      </c>
      <c r="C2110" s="1004" t="str">
        <f aca="false">'Смета Внутр'!C2117</f>
        <v>м.п.</v>
      </c>
      <c r="D2110" s="1018" t="n">
        <f aca="false">'Смета Внутр'!D2117</f>
        <v>0</v>
      </c>
      <c r="E2110" s="1004" t="n">
        <f aca="false">'Смета Внутр'!E2117</f>
        <v>6</v>
      </c>
      <c r="F2110" s="1004" t="n">
        <f aca="false">'Смета Внутр'!F2117</f>
        <v>0</v>
      </c>
      <c r="G2110" s="1004" t="n">
        <f aca="false">IF(E2110&gt;F2110,E2110,F2110)</f>
        <v>6</v>
      </c>
      <c r="H2110" s="1004" t="n">
        <f aca="false">'Смета Внутр'!G2117</f>
        <v>0</v>
      </c>
      <c r="I2110" s="1004" t="n">
        <f aca="false">'Смета Внутр'!H2117</f>
        <v>0</v>
      </c>
      <c r="J2110" s="1018" t="n">
        <f aca="false">'Смета Внутр'!I2117</f>
        <v>0</v>
      </c>
    </row>
    <row r="2111" customFormat="false" ht="15" hidden="false" customHeight="true" outlineLevel="0" collapsed="false">
      <c r="B2111" s="1004" t="str">
        <f aca="false">'Смета Внутр'!B2118</f>
        <v>уголок крепежный</v>
      </c>
      <c r="C2111" s="1004" t="str">
        <f aca="false">'Смета Внутр'!C2118</f>
        <v>шт</v>
      </c>
      <c r="D2111" s="1018" t="n">
        <f aca="false">'Смета Внутр'!D2118</f>
        <v>0</v>
      </c>
      <c r="E2111" s="1004" t="n">
        <f aca="false">'Смета Внутр'!E2118</f>
        <v>8</v>
      </c>
      <c r="F2111" s="1004" t="n">
        <f aca="false">'Смета Внутр'!F2118</f>
        <v>0</v>
      </c>
      <c r="G2111" s="1004" t="n">
        <f aca="false">IF(E2111&gt;F2111,E2111,F2111)</f>
        <v>8</v>
      </c>
      <c r="H2111" s="1004" t="n">
        <f aca="false">'Смета Внутр'!G2118</f>
        <v>0</v>
      </c>
      <c r="I2111" s="1004" t="n">
        <f aca="false">'Смета Внутр'!H2118</f>
        <v>0</v>
      </c>
      <c r="J2111" s="1018" t="n">
        <f aca="false">'Смета Внутр'!I2118</f>
        <v>0</v>
      </c>
    </row>
    <row r="2112" customFormat="false" ht="15" hidden="false" customHeight="true" outlineLevel="0" collapsed="false">
      <c r="B2112" s="1004" t="str">
        <f aca="false">'Смета Внутр'!B2119</f>
        <v>гвозди/саморезы для крепления подсистемы</v>
      </c>
      <c r="C2112" s="1004" t="str">
        <f aca="false">'Смета Внутр'!C2119</f>
        <v>шт</v>
      </c>
      <c r="D2112" s="1018" t="n">
        <f aca="false">'Смета Внутр'!D2119</f>
        <v>0</v>
      </c>
      <c r="E2112" s="1004" t="n">
        <f aca="false">'Смета Внутр'!E2119</f>
        <v>0.02</v>
      </c>
      <c r="F2112" s="1004" t="n">
        <f aca="false">'Смета Внутр'!F2119</f>
        <v>0</v>
      </c>
      <c r="G2112" s="1004" t="n">
        <f aca="false">IF(E2112&gt;F2112,E2112,F2112)</f>
        <v>0.02</v>
      </c>
      <c r="H2112" s="1004" t="n">
        <f aca="false">'Смета Внутр'!G2119</f>
        <v>0</v>
      </c>
      <c r="I2112" s="1004" t="n">
        <f aca="false">'Смета Внутр'!H2119</f>
        <v>0</v>
      </c>
      <c r="J2112" s="1018" t="n">
        <f aca="false">'Смета Внутр'!I2119</f>
        <v>0</v>
      </c>
    </row>
    <row r="2113" customFormat="false" ht="15" hidden="false" customHeight="true" outlineLevel="0" collapsed="false">
      <c r="B2113" s="2888" t="str">
        <f aca="false">'Смета Внутр'!B2120</f>
        <v>гвозди/саморезы для крепления</v>
      </c>
      <c r="C2113" s="2888" t="str">
        <f aca="false">'Смета Внутр'!C2120</f>
        <v>шт</v>
      </c>
      <c r="D2113" s="2897" t="n">
        <f aca="false">'Смета Внутр'!D2120</f>
        <v>0</v>
      </c>
      <c r="E2113" s="1004" t="n">
        <f aca="false">'Смета Внутр'!E2120</f>
        <v>0.02</v>
      </c>
      <c r="F2113" s="1004" t="n">
        <f aca="false">'Смета Внутр'!F2120</f>
        <v>0</v>
      </c>
      <c r="G2113" s="2888" t="n">
        <f aca="false">IF(E2113&gt;F2113,E2113,F2113)</f>
        <v>0.02</v>
      </c>
      <c r="H2113" s="1004" t="n">
        <f aca="false">'Смета Внутр'!G2120</f>
        <v>0</v>
      </c>
      <c r="I2113" s="1004" t="n">
        <f aca="false">'Смета Внутр'!H2120</f>
        <v>0</v>
      </c>
      <c r="J2113" s="2897" t="n">
        <f aca="false">'Смета Внутр'!I2120</f>
        <v>0</v>
      </c>
    </row>
    <row r="2114" customFormat="false" ht="15" hidden="false" customHeight="true" outlineLevel="0" collapsed="false">
      <c r="B2114" s="1004" t="str">
        <f aca="false">'Смета Внутр'!B2121</f>
        <v>Монтаж евровагонка</v>
      </c>
      <c r="C2114" s="1004" t="str">
        <f aca="false">'Смета Внутр'!C2121</f>
        <v>м2</v>
      </c>
      <c r="D2114" s="1018" t="n">
        <f aca="false">'Смета Внутр'!D2121</f>
        <v>0</v>
      </c>
      <c r="E2114" s="1004" t="n">
        <f aca="false">'Смета Внутр'!E2121</f>
        <v>400</v>
      </c>
      <c r="F2114" s="1004" t="n">
        <f aca="false">'Смета Внутр'!F2121</f>
        <v>0</v>
      </c>
      <c r="G2114" s="1004" t="n">
        <f aca="false">IF(E2114&gt;F2114,E2114,F2114)</f>
        <v>400</v>
      </c>
      <c r="H2114" s="1004" t="n">
        <f aca="false">'Смета Внутр'!G2121</f>
        <v>0</v>
      </c>
      <c r="I2114" s="1004" t="n">
        <f aca="false">'Смета Внутр'!H2121</f>
        <v>0</v>
      </c>
      <c r="J2114" s="1018" t="n">
        <f aca="false">'Смета Внутр'!I2121</f>
        <v>0</v>
      </c>
    </row>
    <row r="2115" customFormat="false" ht="15" hidden="false" customHeight="true" outlineLevel="0" collapsed="false">
      <c r="B2115" s="1004" t="str">
        <f aca="false">'Смета Внутр'!B2122</f>
        <v>Монтаж вагонка штиль</v>
      </c>
      <c r="C2115" s="1004" t="str">
        <f aca="false">'Смета Внутр'!C2122</f>
        <v>м2</v>
      </c>
      <c r="D2115" s="1018" t="n">
        <f aca="false">'Смета Внутр'!D2122</f>
        <v>0</v>
      </c>
      <c r="E2115" s="1004" t="n">
        <f aca="false">'Смета Внутр'!E2122</f>
        <v>400</v>
      </c>
      <c r="F2115" s="1004" t="n">
        <f aca="false">'Смета Внутр'!F2122</f>
        <v>0</v>
      </c>
      <c r="G2115" s="1004" t="n">
        <f aca="false">IF(E2115&gt;F2115,E2115,F2115)</f>
        <v>400</v>
      </c>
      <c r="H2115" s="1004" t="n">
        <f aca="false">'Смета Внутр'!G2122</f>
        <v>0</v>
      </c>
      <c r="I2115" s="1004" t="n">
        <f aca="false">'Смета Внутр'!H2122</f>
        <v>0</v>
      </c>
      <c r="J2115" s="1018" t="n">
        <f aca="false">'Смета Внутр'!I2122</f>
        <v>0</v>
      </c>
    </row>
    <row r="2116" customFormat="false" ht="15" hidden="false" customHeight="true" outlineLevel="0" collapsed="false">
      <c r="B2116" s="1004" t="str">
        <f aca="false">'Смета Внутр'!B2123</f>
        <v>Монтаж софт лайн</v>
      </c>
      <c r="C2116" s="1004" t="str">
        <f aca="false">'Смета Внутр'!C2123</f>
        <v>м2</v>
      </c>
      <c r="D2116" s="1018" t="n">
        <f aca="false">'Смета Внутр'!D2123</f>
        <v>0</v>
      </c>
      <c r="E2116" s="1004" t="n">
        <f aca="false">'Смета Внутр'!E2123</f>
        <v>400</v>
      </c>
      <c r="F2116" s="1004" t="n">
        <f aca="false">'Смета Внутр'!F2123</f>
        <v>0</v>
      </c>
      <c r="G2116" s="1004" t="n">
        <f aca="false">IF(E2116&gt;F2116,E2116,F2116)</f>
        <v>400</v>
      </c>
      <c r="H2116" s="1004" t="n">
        <f aca="false">'Смета Внутр'!G2123</f>
        <v>0</v>
      </c>
      <c r="I2116" s="1004" t="n">
        <f aca="false">'Смета Внутр'!H2123</f>
        <v>0</v>
      </c>
      <c r="J2116" s="1018" t="n">
        <f aca="false">'Смета Внутр'!I2123</f>
        <v>0</v>
      </c>
    </row>
    <row r="2117" customFormat="false" ht="15" hidden="false" customHeight="true" outlineLevel="0" collapsed="false">
      <c r="B2117" s="1004" t="str">
        <f aca="false">'Смета Внутр'!B2124</f>
        <v>Монтаж блокхаус</v>
      </c>
      <c r="C2117" s="1004" t="str">
        <f aca="false">'Смета Внутр'!C2124</f>
        <v>м2</v>
      </c>
      <c r="D2117" s="1018" t="n">
        <f aca="false">'Смета Внутр'!D2124</f>
        <v>0</v>
      </c>
      <c r="E2117" s="1004" t="n">
        <f aca="false">'Смета Внутр'!E2124</f>
        <v>400</v>
      </c>
      <c r="F2117" s="1004" t="n">
        <f aca="false">'Смета Внутр'!F2124</f>
        <v>0</v>
      </c>
      <c r="G2117" s="1004" t="n">
        <f aca="false">IF(E2117&gt;F2117,E2117,F2117)</f>
        <v>400</v>
      </c>
      <c r="H2117" s="1004" t="n">
        <f aca="false">'Смета Внутр'!G2124</f>
        <v>0</v>
      </c>
      <c r="I2117" s="1004" t="n">
        <f aca="false">'Смета Внутр'!H2124</f>
        <v>0</v>
      </c>
      <c r="J2117" s="1018" t="n">
        <f aca="false">'Смета Внутр'!I2124</f>
        <v>0</v>
      </c>
    </row>
    <row r="2118" customFormat="false" ht="15" hidden="false" customHeight="true" outlineLevel="0" collapsed="false">
      <c r="B2118" s="2889" t="str">
        <f aca="false">'Смета Внутр'!B2125</f>
        <v>Потолок</v>
      </c>
      <c r="C2118" s="2889"/>
      <c r="D2118" s="2889"/>
      <c r="E2118" s="2889"/>
      <c r="F2118" s="2889"/>
      <c r="G2118" s="2889"/>
      <c r="H2118" s="1004" t="n">
        <f aca="false">'Смета Внутр'!G2125</f>
        <v>0</v>
      </c>
      <c r="I2118" s="1004" t="n">
        <f aca="false">'Смета Внутр'!H2125</f>
        <v>0</v>
      </c>
      <c r="J2118" s="2895" t="n">
        <f aca="false">'Смета Внутр'!I2125</f>
        <v>0</v>
      </c>
    </row>
    <row r="2119" customFormat="false" ht="15" hidden="false" customHeight="true" outlineLevel="0" collapsed="false">
      <c r="B2119" s="1004" t="str">
        <f aca="false">'Смета Внутр'!B2126</f>
        <v>ГКЛ, 9мм</v>
      </c>
      <c r="C2119" s="1004" t="str">
        <f aca="false">'Смета Внутр'!C2126</f>
        <v>м2</v>
      </c>
      <c r="D2119" s="1018" t="n">
        <f aca="false">'Смета Внутр'!D2126</f>
        <v>0</v>
      </c>
      <c r="E2119" s="1004" t="n">
        <f aca="false">'Смета Внутр'!E2126</f>
        <v>80</v>
      </c>
      <c r="F2119" s="1004" t="n">
        <f aca="false">'Смета Внутр'!F2126</f>
        <v>0</v>
      </c>
      <c r="G2119" s="1004" t="n">
        <f aca="false">IF(E2119&gt;F2119,E2119,F2119)</f>
        <v>80</v>
      </c>
      <c r="H2119" s="1004" t="n">
        <f aca="false">'Смета Внутр'!G2126</f>
        <v>0</v>
      </c>
      <c r="I2119" s="1004" t="n">
        <f aca="false">'Смета Внутр'!H2126</f>
        <v>0</v>
      </c>
      <c r="J2119" s="1018" t="n">
        <f aca="false">'Смета Внутр'!I2126</f>
        <v>0</v>
      </c>
    </row>
    <row r="2120" customFormat="false" ht="15" hidden="false" customHeight="true" outlineLevel="0" collapsed="false">
      <c r="B2120" s="1004" t="str">
        <f aca="false">'Смета Внутр'!B2127</f>
        <v>профиль 60/27/3000</v>
      </c>
      <c r="C2120" s="1004" t="str">
        <f aca="false">'Смета Внутр'!C2127</f>
        <v>шт</v>
      </c>
      <c r="D2120" s="1018" t="n">
        <f aca="false">'Смета Внутр'!D2127</f>
        <v>0</v>
      </c>
      <c r="E2120" s="1004" t="n">
        <f aca="false">'Смета Внутр'!E2127</f>
        <v>100</v>
      </c>
      <c r="F2120" s="1004" t="n">
        <f aca="false">'Смета Внутр'!F2127</f>
        <v>0</v>
      </c>
      <c r="G2120" s="1004" t="n">
        <f aca="false">IF(E2120&gt;F2120,E2120,F2120)</f>
        <v>100</v>
      </c>
      <c r="H2120" s="1004" t="n">
        <f aca="false">'Смета Внутр'!G2127</f>
        <v>0</v>
      </c>
      <c r="I2120" s="1004" t="n">
        <f aca="false">'Смета Внутр'!H2127</f>
        <v>0</v>
      </c>
      <c r="J2120" s="1018" t="n">
        <f aca="false">'Смета Внутр'!I2127</f>
        <v>0</v>
      </c>
    </row>
    <row r="2121" customFormat="false" ht="15" hidden="false" customHeight="true" outlineLevel="0" collapsed="false">
      <c r="B2121" s="1004" t="str">
        <f aca="false">'Смета Внутр'!B2128</f>
        <v>профиль 27/28/3000</v>
      </c>
      <c r="C2121" s="1004" t="str">
        <f aca="false">'Смета Внутр'!C2128</f>
        <v>шт</v>
      </c>
      <c r="D2121" s="1018" t="n">
        <f aca="false">'Смета Внутр'!D2128</f>
        <v>0</v>
      </c>
      <c r="E2121" s="1004" t="n">
        <f aca="false">'Смета Внутр'!E2128</f>
        <v>100</v>
      </c>
      <c r="F2121" s="1004" t="n">
        <f aca="false">'Смета Внутр'!F2128</f>
        <v>0</v>
      </c>
      <c r="G2121" s="1004" t="n">
        <f aca="false">IF(E2121&gt;F2121,E2121,F2121)</f>
        <v>100</v>
      </c>
      <c r="H2121" s="1004" t="n">
        <f aca="false">'Смета Внутр'!G2128</f>
        <v>0</v>
      </c>
      <c r="I2121" s="1004" t="n">
        <f aca="false">'Смета Внутр'!H2128</f>
        <v>0</v>
      </c>
      <c r="J2121" s="1018" t="n">
        <f aca="false">'Смета Внутр'!I2128</f>
        <v>0</v>
      </c>
    </row>
    <row r="2122" customFormat="false" ht="15" hidden="false" customHeight="true" outlineLevel="0" collapsed="false">
      <c r="B2122" s="1004" t="str">
        <f aca="false">'Смета Внутр'!B2129</f>
        <v>подвес прямой</v>
      </c>
      <c r="C2122" s="1004" t="str">
        <f aca="false">'Смета Внутр'!C2129</f>
        <v>шт</v>
      </c>
      <c r="D2122" s="1018" t="n">
        <f aca="false">'Смета Внутр'!D2129</f>
        <v>0</v>
      </c>
      <c r="E2122" s="1004" t="n">
        <f aca="false">'Смета Внутр'!E2129</f>
        <v>9</v>
      </c>
      <c r="F2122" s="1004" t="n">
        <f aca="false">'Смета Внутр'!F2129</f>
        <v>0</v>
      </c>
      <c r="G2122" s="1004" t="n">
        <f aca="false">IF(E2122&gt;F2122,E2122,F2122)</f>
        <v>9</v>
      </c>
      <c r="H2122" s="1004" t="n">
        <f aca="false">'Смета Внутр'!G2129</f>
        <v>0</v>
      </c>
      <c r="I2122" s="1004" t="n">
        <f aca="false">'Смета Внутр'!H2129</f>
        <v>0</v>
      </c>
      <c r="J2122" s="1018" t="n">
        <f aca="false">'Смета Внутр'!I2129</f>
        <v>0</v>
      </c>
    </row>
    <row r="2123" customFormat="false" ht="15" hidden="false" customHeight="true" outlineLevel="0" collapsed="false">
      <c r="B2123" s="1004" t="str">
        <f aca="false">'Смета Внутр'!B2130</f>
        <v>саморез металл/металл, 13мм</v>
      </c>
      <c r="C2123" s="1004" t="str">
        <f aca="false">'Смета Внутр'!C2130</f>
        <v>шт</v>
      </c>
      <c r="D2123" s="1018" t="n">
        <f aca="false">'Смета Внутр'!D2130</f>
        <v>0</v>
      </c>
      <c r="E2123" s="1004" t="n">
        <f aca="false">'Смета Внутр'!E2130</f>
        <v>0.025</v>
      </c>
      <c r="F2123" s="1004" t="n">
        <f aca="false">'Смета Внутр'!F2130</f>
        <v>0</v>
      </c>
      <c r="G2123" s="1004" t="n">
        <f aca="false">IF(E2123&gt;F2123,E2123,F2123)</f>
        <v>0.025</v>
      </c>
      <c r="H2123" s="1004" t="n">
        <f aca="false">'Смета Внутр'!G2130</f>
        <v>0</v>
      </c>
      <c r="I2123" s="1004" t="n">
        <f aca="false">'Смета Внутр'!H2130</f>
        <v>0</v>
      </c>
      <c r="J2123" s="1018" t="n">
        <f aca="false">'Смета Внутр'!I2130</f>
        <v>0</v>
      </c>
    </row>
    <row r="2124" customFormat="false" ht="15" hidden="false" customHeight="true" outlineLevel="0" collapsed="false">
      <c r="B2124" s="1004" t="str">
        <f aca="false">'Смета Внутр'!B2131</f>
        <v>саморез гкл/металл, 25мм</v>
      </c>
      <c r="C2124" s="1004" t="str">
        <f aca="false">'Смета Внутр'!C2131</f>
        <v>шт</v>
      </c>
      <c r="D2124" s="1018" t="n">
        <f aca="false">'Смета Внутр'!D2131</f>
        <v>0</v>
      </c>
      <c r="E2124" s="1004" t="n">
        <f aca="false">'Смета Внутр'!E2131</f>
        <v>0.025</v>
      </c>
      <c r="F2124" s="1004" t="n">
        <f aca="false">'Смета Внутр'!F2131</f>
        <v>0</v>
      </c>
      <c r="G2124" s="1004" t="n">
        <f aca="false">IF(E2124&gt;F2124,E2124,F2124)</f>
        <v>0.025</v>
      </c>
      <c r="H2124" s="1004" t="n">
        <f aca="false">'Смета Внутр'!G2131</f>
        <v>0</v>
      </c>
      <c r="I2124" s="1004" t="n">
        <f aca="false">'Смета Внутр'!H2131</f>
        <v>0</v>
      </c>
      <c r="J2124" s="1018" t="n">
        <f aca="false">'Смета Внутр'!I2131</f>
        <v>0</v>
      </c>
    </row>
    <row r="2125" customFormat="false" ht="15" hidden="false" customHeight="true" outlineLevel="0" collapsed="false">
      <c r="B2125" s="1004" t="str">
        <f aca="false">'Смета Внутр'!B2132</f>
        <v>грунтовка, 10л</v>
      </c>
      <c r="C2125" s="1004" t="str">
        <f aca="false">'Смета Внутр'!C2132</f>
        <v>шт</v>
      </c>
      <c r="D2125" s="1018" t="n">
        <f aca="false">'Смета Внутр'!D2132</f>
        <v>0</v>
      </c>
      <c r="E2125" s="1004" t="n">
        <f aca="false">'Смета Внутр'!E2132</f>
        <v>500</v>
      </c>
      <c r="F2125" s="1004" t="n">
        <f aca="false">'Смета Внутр'!F2132</f>
        <v>0</v>
      </c>
      <c r="G2125" s="1004" t="n">
        <f aca="false">IF(E2125&gt;F2125,E2125,F2125)</f>
        <v>500</v>
      </c>
      <c r="H2125" s="1004" t="n">
        <f aca="false">'Смета Внутр'!G2132</f>
        <v>0</v>
      </c>
      <c r="I2125" s="1004" t="n">
        <f aca="false">'Смета Внутр'!H2132</f>
        <v>0</v>
      </c>
      <c r="J2125" s="1018" t="n">
        <f aca="false">'Смета Внутр'!I2132</f>
        <v>0</v>
      </c>
    </row>
    <row r="2126" customFormat="false" ht="15" hidden="false" customHeight="true" outlineLevel="0" collapsed="false">
      <c r="B2126" s="1004" t="str">
        <f aca="false">'Смета Внутр'!B2133</f>
        <v>шпаклевка для швов, 25кг</v>
      </c>
      <c r="C2126" s="1004" t="str">
        <f aca="false">'Смета Внутр'!C2133</f>
        <v>шт</v>
      </c>
      <c r="D2126" s="1018" t="n">
        <f aca="false">'Смета Внутр'!D2133</f>
        <v>0</v>
      </c>
      <c r="E2126" s="1004" t="n">
        <f aca="false">'Смета Внутр'!E2133</f>
        <v>500</v>
      </c>
      <c r="F2126" s="1004" t="n">
        <f aca="false">'Смета Внутр'!F2133</f>
        <v>0</v>
      </c>
      <c r="G2126" s="1004" t="n">
        <f aca="false">IF(E2126&gt;F2126,E2126,F2126)</f>
        <v>500</v>
      </c>
      <c r="H2126" s="1004" t="n">
        <f aca="false">'Смета Внутр'!G2133</f>
        <v>0</v>
      </c>
      <c r="I2126" s="1004" t="n">
        <f aca="false">'Смета Внутр'!H2133</f>
        <v>0</v>
      </c>
      <c r="J2126" s="1018" t="n">
        <f aca="false">'Смета Внутр'!I2133</f>
        <v>0</v>
      </c>
    </row>
    <row r="2127" customFormat="false" ht="15" hidden="false" customHeight="true" outlineLevel="0" collapsed="false">
      <c r="B2127" s="1004" t="str">
        <f aca="false">'Смета Внутр'!B2134</f>
        <v>шпаклевка финишная, 25кг</v>
      </c>
      <c r="C2127" s="1004" t="str">
        <f aca="false">'Смета Внутр'!C2134</f>
        <v>шт</v>
      </c>
      <c r="D2127" s="1018" t="n">
        <f aca="false">'Смета Внутр'!D2134</f>
        <v>0</v>
      </c>
      <c r="E2127" s="1004" t="n">
        <f aca="false">'Смета Внутр'!E2134</f>
        <v>400</v>
      </c>
      <c r="F2127" s="1004" t="n">
        <f aca="false">'Смета Внутр'!F2134</f>
        <v>0</v>
      </c>
      <c r="G2127" s="1004" t="n">
        <f aca="false">IF(E2127&gt;F2127,E2127,F2127)</f>
        <v>400</v>
      </c>
      <c r="H2127" s="1004" t="n">
        <f aca="false">'Смета Внутр'!G2134</f>
        <v>0</v>
      </c>
      <c r="I2127" s="1004" t="n">
        <f aca="false">'Смета Внутр'!H2134</f>
        <v>0</v>
      </c>
      <c r="J2127" s="1018" t="n">
        <f aca="false">'Смета Внутр'!I2134</f>
        <v>0</v>
      </c>
    </row>
    <row r="2128" customFormat="false" ht="15" hidden="false" customHeight="true" outlineLevel="0" collapsed="false">
      <c r="B2128" s="1004" t="str">
        <f aca="false">'Смета Внутр'!B2135</f>
        <v>серпянка для швов, 50м.п.</v>
      </c>
      <c r="C2128" s="1004" t="str">
        <f aca="false">'Смета Внутр'!C2135</f>
        <v>шт</v>
      </c>
      <c r="D2128" s="1018" t="n">
        <f aca="false">'Смета Внутр'!D2135</f>
        <v>0</v>
      </c>
      <c r="E2128" s="1004" t="n">
        <f aca="false">'Смета Внутр'!E2135</f>
        <v>100</v>
      </c>
      <c r="F2128" s="1004" t="n">
        <f aca="false">'Смета Внутр'!F2135</f>
        <v>0</v>
      </c>
      <c r="G2128" s="1004" t="n">
        <f aca="false">IF(E2128&gt;F2128,E2128,F2128)</f>
        <v>100</v>
      </c>
      <c r="H2128" s="1004" t="n">
        <f aca="false">'Смета Внутр'!G2135</f>
        <v>0</v>
      </c>
      <c r="I2128" s="1004" t="n">
        <f aca="false">'Смета Внутр'!H2135</f>
        <v>0</v>
      </c>
      <c r="J2128" s="1018" t="n">
        <f aca="false">'Смета Внутр'!I2135</f>
        <v>0</v>
      </c>
    </row>
    <row r="2129" customFormat="false" ht="15" hidden="false" customHeight="true" outlineLevel="0" collapsed="false">
      <c r="B2129" s="1004" t="str">
        <f aca="false">'Смета Внутр'!B2136</f>
        <v>краска для потолков, 10л</v>
      </c>
      <c r="C2129" s="1004" t="str">
        <f aca="false">'Смета Внутр'!C2136</f>
        <v>шт</v>
      </c>
      <c r="D2129" s="1018" t="n">
        <f aca="false">'Смета Внутр'!D2136</f>
        <v>0</v>
      </c>
      <c r="E2129" s="1004" t="n">
        <f aca="false">'Смета Внутр'!E2136</f>
        <v>1200</v>
      </c>
      <c r="F2129" s="1004" t="n">
        <f aca="false">'Смета Внутр'!F2136</f>
        <v>0</v>
      </c>
      <c r="G2129" s="1004" t="n">
        <f aca="false">IF(E2129&gt;F2129,E2129,F2129)</f>
        <v>1200</v>
      </c>
      <c r="H2129" s="1004" t="n">
        <f aca="false">'Смета Внутр'!G2136</f>
        <v>0</v>
      </c>
      <c r="I2129" s="1004" t="n">
        <f aca="false">'Смета Внутр'!H2136</f>
        <v>0</v>
      </c>
      <c r="J2129" s="1018" t="n">
        <f aca="false">'Смета Внутр'!I2136</f>
        <v>0</v>
      </c>
    </row>
    <row r="2130" customFormat="false" ht="15" hidden="false" customHeight="true" outlineLevel="0" collapsed="false">
      <c r="B2130" s="1004" t="str">
        <f aca="false">'Смета Внутр'!B2137</f>
        <v>багет 1мп</v>
      </c>
      <c r="C2130" s="1004" t="str">
        <f aca="false">'Смета Внутр'!C2137</f>
        <v>м.п.</v>
      </c>
      <c r="D2130" s="1018" t="n">
        <f aca="false">'Смета Внутр'!D2137</f>
        <v>0</v>
      </c>
      <c r="E2130" s="1004" t="n">
        <f aca="false">'Смета Внутр'!E2137</f>
        <v>10</v>
      </c>
      <c r="F2130" s="1004" t="n">
        <f aca="false">'Смета Внутр'!F2137</f>
        <v>0</v>
      </c>
      <c r="G2130" s="1004" t="n">
        <f aca="false">IF(E2130&gt;F2130,E2130,F2130)</f>
        <v>10</v>
      </c>
      <c r="H2130" s="1004" t="n">
        <f aca="false">'Смета Внутр'!G2137</f>
        <v>0</v>
      </c>
      <c r="I2130" s="1004" t="n">
        <f aca="false">'Смета Внутр'!H2137</f>
        <v>0</v>
      </c>
      <c r="J2130" s="1018" t="n">
        <f aca="false">'Смета Внутр'!I2137</f>
        <v>0</v>
      </c>
    </row>
    <row r="2131" customFormat="false" ht="15" hidden="false" customHeight="true" outlineLevel="0" collapsed="false">
      <c r="B2131" s="1004" t="str">
        <f aca="false">'Смета Внутр'!B2138</f>
        <v>шпаклевка для багета, 5 кг</v>
      </c>
      <c r="C2131" s="1004" t="str">
        <f aca="false">'Смета Внутр'!C2138</f>
        <v>шт</v>
      </c>
      <c r="D2131" s="1018" t="n">
        <f aca="false">'Смета Внутр'!D2138</f>
        <v>0</v>
      </c>
      <c r="E2131" s="1004" t="n">
        <f aca="false">'Смета Внутр'!E2138</f>
        <v>100</v>
      </c>
      <c r="F2131" s="1004" t="n">
        <f aca="false">'Смета Внутр'!F2138</f>
        <v>0</v>
      </c>
      <c r="G2131" s="1004" t="n">
        <f aca="false">IF(E2131&gt;F2131,E2131,F2131)</f>
        <v>100</v>
      </c>
      <c r="H2131" s="1004" t="n">
        <f aca="false">'Смета Внутр'!G2138</f>
        <v>0</v>
      </c>
      <c r="I2131" s="1004" t="n">
        <f aca="false">'Смета Внутр'!H2138</f>
        <v>0</v>
      </c>
      <c r="J2131" s="1018" t="n">
        <f aca="false">'Смета Внутр'!I2138</f>
        <v>0</v>
      </c>
    </row>
    <row r="2132" customFormat="false" ht="15" hidden="false" customHeight="true" outlineLevel="0" collapsed="false">
      <c r="B2132" s="1004" t="str">
        <f aca="false">'Смета Внутр'!B2139</f>
        <v>краска для багета, 5 л</v>
      </c>
      <c r="C2132" s="1004" t="str">
        <f aca="false">'Смета Внутр'!C2139</f>
        <v>шт</v>
      </c>
      <c r="D2132" s="1018" t="n">
        <f aca="false">'Смета Внутр'!D2139</f>
        <v>0</v>
      </c>
      <c r="E2132" s="1004" t="n">
        <f aca="false">'Смета Внутр'!E2139</f>
        <v>190</v>
      </c>
      <c r="F2132" s="1004" t="n">
        <f aca="false">'Смета Внутр'!F2139</f>
        <v>0</v>
      </c>
      <c r="G2132" s="1004" t="n">
        <f aca="false">IF(E2132&gt;F2132,E2132,F2132)</f>
        <v>190</v>
      </c>
      <c r="H2132" s="1004" t="n">
        <f aca="false">'Смета Внутр'!G2139</f>
        <v>0</v>
      </c>
      <c r="I2132" s="1004" t="n">
        <f aca="false">'Смета Внутр'!H2139</f>
        <v>0</v>
      </c>
      <c r="J2132" s="1018" t="n">
        <f aca="false">'Смета Внутр'!I2139</f>
        <v>0</v>
      </c>
    </row>
    <row r="2133" customFormat="false" ht="15" hidden="false" customHeight="true" outlineLevel="0" collapsed="false">
      <c r="B2133" s="1004" t="str">
        <f aca="false">'Смета Внутр'!B2140</f>
        <v>наждачная бумага финишная</v>
      </c>
      <c r="C2133" s="1004" t="str">
        <f aca="false">'Смета Внутр'!C2140</f>
        <v>м2</v>
      </c>
      <c r="D2133" s="1018" t="n">
        <f aca="false">'Смета Внутр'!D2140</f>
        <v>0</v>
      </c>
      <c r="E2133" s="1004" t="n">
        <f aca="false">'Смета Внутр'!E2140</f>
        <v>120</v>
      </c>
      <c r="F2133" s="1004" t="n">
        <f aca="false">'Смета Внутр'!F2140</f>
        <v>0</v>
      </c>
      <c r="G2133" s="1004" t="n">
        <f aca="false">IF(E2133&gt;F2133,E2133,F2133)</f>
        <v>120</v>
      </c>
      <c r="H2133" s="1004" t="n">
        <f aca="false">'Смета Внутр'!G2140</f>
        <v>0</v>
      </c>
      <c r="I2133" s="1004" t="n">
        <f aca="false">'Смета Внутр'!H2140</f>
        <v>0</v>
      </c>
      <c r="J2133" s="1018" t="n">
        <f aca="false">'Смета Внутр'!I2140</f>
        <v>0</v>
      </c>
    </row>
    <row r="2134" customFormat="false" ht="15" hidden="false" customHeight="true" outlineLevel="0" collapsed="false">
      <c r="B2134" s="1004" t="str">
        <f aca="false">'Смета Внутр'!B2141</f>
        <v>натяжной потолок</v>
      </c>
      <c r="C2134" s="1004" t="str">
        <f aca="false">'Смета Внутр'!C2141</f>
        <v>м2</v>
      </c>
      <c r="D2134" s="1018" t="n">
        <f aca="false">'Смета Внутр'!D2141</f>
        <v>0</v>
      </c>
      <c r="E2134" s="1004" t="n">
        <f aca="false">'Смета Внутр'!E2141</f>
        <v>400</v>
      </c>
      <c r="F2134" s="1004" t="n">
        <f aca="false">'Смета Внутр'!F2141</f>
        <v>0</v>
      </c>
      <c r="G2134" s="1004" t="n">
        <f aca="false">IF(E2134&gt;F2134,E2134,F2134)</f>
        <v>400</v>
      </c>
      <c r="H2134" s="1004" t="n">
        <f aca="false">'Смета Внутр'!G2141</f>
        <v>0</v>
      </c>
      <c r="I2134" s="1004" t="n">
        <f aca="false">'Смета Внутр'!H2141</f>
        <v>0</v>
      </c>
      <c r="J2134" s="1018" t="n">
        <f aca="false">'Смета Внутр'!I2141</f>
        <v>0</v>
      </c>
    </row>
    <row r="2135" customFormat="false" ht="15" hidden="false" customHeight="true" outlineLevel="0" collapsed="false">
      <c r="B2135" s="1004" t="str">
        <f aca="false">'Смета Внутр'!B2142</f>
        <v>имитация бруса</v>
      </c>
      <c r="C2135" s="1004" t="str">
        <f aca="false">'Смета Внутр'!C2142</f>
        <v>м2</v>
      </c>
      <c r="D2135" s="1018" t="n">
        <f aca="false">'Смета Внутр'!D2142</f>
        <v>0</v>
      </c>
      <c r="E2135" s="1004" t="n">
        <f aca="false">'Смета Внутр'!E2142</f>
        <v>350</v>
      </c>
      <c r="F2135" s="1004" t="n">
        <f aca="false">'Смета Внутр'!F2142</f>
        <v>0</v>
      </c>
      <c r="G2135" s="1004" t="n">
        <f aca="false">IF(E2135&gt;F2135,E2135,F2135)</f>
        <v>350</v>
      </c>
      <c r="H2135" s="1004" t="n">
        <f aca="false">'Смета Внутр'!G2142</f>
        <v>0</v>
      </c>
      <c r="I2135" s="1004" t="n">
        <f aca="false">'Смета Внутр'!H2142</f>
        <v>0</v>
      </c>
      <c r="J2135" s="1018" t="n">
        <f aca="false">'Смета Внутр'!I2142</f>
        <v>0</v>
      </c>
    </row>
    <row r="2136" customFormat="false" ht="15" hidden="false" customHeight="true" outlineLevel="0" collapsed="false">
      <c r="B2136" s="1004" t="str">
        <f aca="false">'Смета Внутр'!B2143</f>
        <v>блокхаус</v>
      </c>
      <c r="C2136" s="1004" t="str">
        <f aca="false">'Смета Внутр'!C2143</f>
        <v>м2</v>
      </c>
      <c r="D2136" s="1018" t="n">
        <f aca="false">'Смета Внутр'!D2143</f>
        <v>0</v>
      </c>
      <c r="E2136" s="1004" t="n">
        <f aca="false">'Смета Внутр'!E2143</f>
        <v>500</v>
      </c>
      <c r="F2136" s="1004" t="n">
        <f aca="false">'Смета Внутр'!F2143</f>
        <v>0</v>
      </c>
      <c r="G2136" s="1004" t="n">
        <f aca="false">IF(E2136&gt;F2136,E2136,F2136)</f>
        <v>500</v>
      </c>
      <c r="H2136" s="1004" t="n">
        <f aca="false">'Смета Внутр'!G2143</f>
        <v>0</v>
      </c>
      <c r="I2136" s="1004" t="n">
        <f aca="false">'Смета Внутр'!H2143</f>
        <v>0</v>
      </c>
      <c r="J2136" s="1018" t="n">
        <f aca="false">'Смета Внутр'!I2143</f>
        <v>0</v>
      </c>
    </row>
    <row r="2137" customFormat="false" ht="15" hidden="false" customHeight="true" outlineLevel="0" collapsed="false">
      <c r="B2137" s="2888" t="str">
        <f aca="false">'Смета Внутр'!B2144</f>
        <v>вагонка</v>
      </c>
      <c r="C2137" s="2888" t="str">
        <f aca="false">'Смета Внутр'!C2144</f>
        <v>м2</v>
      </c>
      <c r="D2137" s="2897" t="n">
        <f aca="false">'Смета Внутр'!D2144</f>
        <v>0</v>
      </c>
      <c r="E2137" s="1004" t="n">
        <f aca="false">'Смета Внутр'!E2144</f>
        <v>250</v>
      </c>
      <c r="F2137" s="1004" t="n">
        <f aca="false">'Смета Внутр'!F2144</f>
        <v>0</v>
      </c>
      <c r="G2137" s="2888" t="n">
        <f aca="false">IF(E2137&gt;F2137,E2137,F2137)</f>
        <v>250</v>
      </c>
      <c r="H2137" s="1004" t="n">
        <f aca="false">'Смета Внутр'!G2144</f>
        <v>0</v>
      </c>
      <c r="I2137" s="1004" t="n">
        <f aca="false">'Смета Внутр'!H2144</f>
        <v>0</v>
      </c>
      <c r="J2137" s="2897" t="n">
        <f aca="false">'Смета Внутр'!I2144</f>
        <v>0</v>
      </c>
    </row>
    <row r="2138" customFormat="false" ht="15" hidden="false" customHeight="true" outlineLevel="0" collapsed="false">
      <c r="B2138" s="1004" t="str">
        <f aca="false">'Смета Внутр'!B2145</f>
        <v>подсистема, брусок</v>
      </c>
      <c r="C2138" s="1004" t="str">
        <f aca="false">'Смета Внутр'!C2145</f>
        <v>м.п.</v>
      </c>
      <c r="D2138" s="1018" t="n">
        <f aca="false">'Смета Внутр'!D2145</f>
        <v>0</v>
      </c>
      <c r="E2138" s="1004" t="n">
        <f aca="false">'Смета Внутр'!E2145</f>
        <v>6</v>
      </c>
      <c r="F2138" s="1004" t="n">
        <f aca="false">'Смета Внутр'!F2145</f>
        <v>0</v>
      </c>
      <c r="G2138" s="1004" t="n">
        <f aca="false">IF(E2138&gt;F2138,E2138,F2138)</f>
        <v>6</v>
      </c>
      <c r="H2138" s="1004" t="n">
        <f aca="false">'Смета Внутр'!G2145</f>
        <v>0</v>
      </c>
      <c r="I2138" s="1004" t="n">
        <f aca="false">'Смета Внутр'!H2145</f>
        <v>0</v>
      </c>
      <c r="J2138" s="1018" t="n">
        <f aca="false">'Смета Внутр'!I2145</f>
        <v>0</v>
      </c>
    </row>
    <row r="2139" customFormat="false" ht="15" hidden="false" customHeight="true" outlineLevel="0" collapsed="false">
      <c r="B2139" s="1004" t="str">
        <f aca="false">'Смета Внутр'!B2146</f>
        <v>уголок крепежный</v>
      </c>
      <c r="C2139" s="1004" t="str">
        <f aca="false">'Смета Внутр'!C2146</f>
        <v>шт</v>
      </c>
      <c r="D2139" s="1018" t="n">
        <f aca="false">'Смета Внутр'!D2146</f>
        <v>0</v>
      </c>
      <c r="E2139" s="1004" t="n">
        <f aca="false">'Смета Внутр'!E2146</f>
        <v>8</v>
      </c>
      <c r="F2139" s="1004" t="n">
        <f aca="false">'Смета Внутр'!F2146</f>
        <v>0</v>
      </c>
      <c r="G2139" s="1004" t="n">
        <f aca="false">IF(E2139&gt;F2139,E2139,F2139)</f>
        <v>8</v>
      </c>
      <c r="H2139" s="1004" t="n">
        <f aca="false">'Смета Внутр'!G2146</f>
        <v>0</v>
      </c>
      <c r="I2139" s="1004" t="n">
        <f aca="false">'Смета Внутр'!H2146</f>
        <v>0</v>
      </c>
      <c r="J2139" s="1018" t="n">
        <f aca="false">'Смета Внутр'!I2146</f>
        <v>0</v>
      </c>
    </row>
    <row r="2140" customFormat="false" ht="15" hidden="false" customHeight="true" outlineLevel="0" collapsed="false">
      <c r="B2140" s="1004" t="str">
        <f aca="false">'Смета Внутр'!B2147</f>
        <v>гвозди/саморезы для крепления подсистемы</v>
      </c>
      <c r="C2140" s="1004" t="str">
        <f aca="false">'Смета Внутр'!C2147</f>
        <v>шт</v>
      </c>
      <c r="D2140" s="1018" t="n">
        <f aca="false">'Смета Внутр'!D2147</f>
        <v>0</v>
      </c>
      <c r="E2140" s="1004" t="n">
        <f aca="false">'Смета Внутр'!E2147</f>
        <v>0.02</v>
      </c>
      <c r="F2140" s="1004" t="n">
        <f aca="false">'Смета Внутр'!F2147</f>
        <v>0</v>
      </c>
      <c r="G2140" s="1004" t="n">
        <f aca="false">IF(E2140&gt;F2140,E2140,F2140)</f>
        <v>0.02</v>
      </c>
      <c r="H2140" s="1004" t="n">
        <f aca="false">'Смета Внутр'!G2147</f>
        <v>0</v>
      </c>
      <c r="I2140" s="1004" t="n">
        <f aca="false">'Смета Внутр'!H2147</f>
        <v>0</v>
      </c>
      <c r="J2140" s="1018" t="n">
        <f aca="false">'Смета Внутр'!I2147</f>
        <v>0</v>
      </c>
    </row>
    <row r="2141" customFormat="false" ht="15" hidden="false" customHeight="true" outlineLevel="0" collapsed="false">
      <c r="B2141" s="2888" t="str">
        <f aca="false">'Смета Внутр'!B2148</f>
        <v>гвозди/саморезы для крепления</v>
      </c>
      <c r="C2141" s="2888" t="str">
        <f aca="false">'Смета Внутр'!C2148</f>
        <v>шт</v>
      </c>
      <c r="D2141" s="2897" t="n">
        <f aca="false">'Смета Внутр'!D2148</f>
        <v>0</v>
      </c>
      <c r="E2141" s="1004" t="n">
        <f aca="false">'Смета Внутр'!E2148</f>
        <v>0.02</v>
      </c>
      <c r="F2141" s="1004" t="n">
        <f aca="false">'Смета Внутр'!F2148</f>
        <v>0</v>
      </c>
      <c r="G2141" s="2888" t="n">
        <f aca="false">IF(E2141&gt;F2141,E2141,F2141)</f>
        <v>0.02</v>
      </c>
      <c r="H2141" s="1004" t="n">
        <f aca="false">'Смета Внутр'!G2148</f>
        <v>0</v>
      </c>
      <c r="I2141" s="1004" t="n">
        <f aca="false">'Смета Внутр'!H2148</f>
        <v>0</v>
      </c>
      <c r="J2141" s="2897" t="n">
        <f aca="false">'Смета Внутр'!I2148</f>
        <v>0</v>
      </c>
    </row>
    <row r="2142" customFormat="false" ht="15" hidden="false" customHeight="true" outlineLevel="0" collapsed="false">
      <c r="B2142" s="2937" t="str">
        <f aca="false">'Смета Внутр'!B2149</f>
        <v>Пол</v>
      </c>
      <c r="C2142" s="2937"/>
      <c r="D2142" s="2937"/>
      <c r="E2142" s="2937"/>
      <c r="F2142" s="2937"/>
      <c r="G2142" s="2937"/>
      <c r="H2142" s="1004" t="n">
        <f aca="false">'Смета Внутр'!G2149</f>
        <v>0</v>
      </c>
      <c r="I2142" s="1004" t="n">
        <f aca="false">'Смета Внутр'!H2149</f>
        <v>0</v>
      </c>
      <c r="J2142" s="2938" t="n">
        <f aca="false">'Смета Внутр'!I2149</f>
        <v>0</v>
      </c>
    </row>
    <row r="2143" customFormat="false" ht="15" hidden="false" customHeight="true" outlineLevel="0" collapsed="false">
      <c r="B2143" s="1004" t="str">
        <f aca="false">'Смета Внутр'!B2150</f>
        <v>подложка под покрытие</v>
      </c>
      <c r="C2143" s="1004" t="str">
        <f aca="false">'Смета Внутр'!C2150</f>
        <v>м2</v>
      </c>
      <c r="D2143" s="1018" t="n">
        <f aca="false">'Смета Внутр'!D2150</f>
        <v>0</v>
      </c>
      <c r="E2143" s="1004" t="n">
        <f aca="false">'Смета Внутр'!E2150</f>
        <v>50</v>
      </c>
      <c r="F2143" s="1004" t="n">
        <f aca="false">'Смета Внутр'!F2150</f>
        <v>0</v>
      </c>
      <c r="G2143" s="1004" t="n">
        <f aca="false">IF(E2143&gt;F2143,E2143,F2143)</f>
        <v>50</v>
      </c>
      <c r="H2143" s="1004" t="n">
        <f aca="false">'Смета Внутр'!G2150</f>
        <v>0</v>
      </c>
      <c r="I2143" s="1004" t="n">
        <f aca="false">'Смета Внутр'!H2150</f>
        <v>0</v>
      </c>
      <c r="J2143" s="1018" t="n">
        <f aca="false">'Смета Внутр'!I2150</f>
        <v>0</v>
      </c>
    </row>
    <row r="2144" customFormat="false" ht="15" hidden="false" customHeight="true" outlineLevel="0" collapsed="false">
      <c r="B2144" s="1004" t="str">
        <f aca="false">'Смета Внутр'!B2151</f>
        <v>линолеум</v>
      </c>
      <c r="C2144" s="1004" t="str">
        <f aca="false">'Смета Внутр'!C2151</f>
        <v>м2</v>
      </c>
      <c r="D2144" s="1018" t="n">
        <f aca="false">'Смета Внутр'!D2151</f>
        <v>0</v>
      </c>
      <c r="E2144" s="1004" t="n">
        <f aca="false">'Смета Внутр'!E2151</f>
        <v>350</v>
      </c>
      <c r="F2144" s="1004" t="n">
        <f aca="false">'Смета Внутр'!F2151</f>
        <v>0</v>
      </c>
      <c r="G2144" s="1004" t="n">
        <f aca="false">IF(E2144&gt;F2144,E2144,F2144)</f>
        <v>350</v>
      </c>
      <c r="H2144" s="1004" t="n">
        <f aca="false">'Смета Внутр'!G2151</f>
        <v>0</v>
      </c>
      <c r="I2144" s="1004" t="n">
        <f aca="false">'Смета Внутр'!H2151</f>
        <v>0</v>
      </c>
      <c r="J2144" s="1018" t="n">
        <f aca="false">'Смета Внутр'!I2151</f>
        <v>0</v>
      </c>
    </row>
    <row r="2145" customFormat="false" ht="15" hidden="false" customHeight="true" outlineLevel="0" collapsed="false">
      <c r="B2145" s="1004" t="str">
        <f aca="false">'Смета Внутр'!B2152</f>
        <v>ламинат</v>
      </c>
      <c r="C2145" s="1004" t="str">
        <f aca="false">'Смета Внутр'!C2152</f>
        <v>м2</v>
      </c>
      <c r="D2145" s="1018" t="n">
        <f aca="false">'Смета Внутр'!D2152</f>
        <v>94</v>
      </c>
      <c r="E2145" s="1004" t="n">
        <f aca="false">'Смета Внутр'!E2152</f>
        <v>450</v>
      </c>
      <c r="F2145" s="1004" t="n">
        <f aca="false">'Смета Внутр'!F2152</f>
        <v>0</v>
      </c>
      <c r="G2145" s="1004" t="n">
        <f aca="false">IF(E2145&gt;F2145,E2145,F2145)</f>
        <v>450</v>
      </c>
      <c r="H2145" s="1004" t="n">
        <f aca="false">'Смета Внутр'!G2152</f>
        <v>42300</v>
      </c>
      <c r="I2145" s="1004" t="n">
        <f aca="false">'Смета Внутр'!H2152</f>
        <v>0</v>
      </c>
      <c r="J2145" s="1018" t="n">
        <f aca="false">'Смета Внутр'!I2152</f>
        <v>0</v>
      </c>
    </row>
    <row r="2146" customFormat="false" ht="15" hidden="false" customHeight="true" outlineLevel="0" collapsed="false">
      <c r="B2146" s="1004" t="str">
        <f aca="false">'Смета Внутр'!B2153</f>
        <v>уголки, расходные материалы</v>
      </c>
      <c r="C2146" s="1004" t="str">
        <f aca="false">'Смета Внутр'!C2153</f>
        <v>шт</v>
      </c>
      <c r="D2146" s="1018" t="n">
        <f aca="false">'Смета Внутр'!D2153</f>
        <v>0</v>
      </c>
      <c r="E2146" s="1004" t="n">
        <f aca="false">'Смета Внутр'!E2153</f>
        <v>35</v>
      </c>
      <c r="F2146" s="1004" t="n">
        <f aca="false">'Смета Внутр'!F2153</f>
        <v>0</v>
      </c>
      <c r="G2146" s="1004" t="n">
        <f aca="false">IF(E2146&gt;F2146,E2146,F2146)</f>
        <v>35</v>
      </c>
      <c r="H2146" s="1004" t="n">
        <f aca="false">'Смета Внутр'!G2153</f>
        <v>0</v>
      </c>
      <c r="I2146" s="1004" t="n">
        <f aca="false">'Смета Внутр'!H2153</f>
        <v>0</v>
      </c>
      <c r="J2146" s="1018" t="n">
        <f aca="false">'Смета Внутр'!I2153</f>
        <v>0</v>
      </c>
    </row>
    <row r="2147" customFormat="false" ht="15" hidden="false" customHeight="true" outlineLevel="0" collapsed="false">
      <c r="B2147" s="1004" t="str">
        <f aca="false">'Смета Внутр'!B2154</f>
        <v>плинтус</v>
      </c>
      <c r="C2147" s="1004" t="str">
        <f aca="false">'Смета Внутр'!C2154</f>
        <v>м.п.</v>
      </c>
      <c r="D2147" s="1018" t="n">
        <f aca="false">'Смета Внутр'!D2154</f>
        <v>0</v>
      </c>
      <c r="E2147" s="1004" t="n">
        <f aca="false">'Смета Внутр'!E2154</f>
        <v>35</v>
      </c>
      <c r="F2147" s="1004" t="n">
        <f aca="false">'Смета Внутр'!F2154</f>
        <v>0</v>
      </c>
      <c r="G2147" s="1004" t="n">
        <f aca="false">IF(E2147&gt;F2147,E2147,F2147)</f>
        <v>35</v>
      </c>
      <c r="H2147" s="1004" t="n">
        <f aca="false">'Смета Внутр'!G2154</f>
        <v>0</v>
      </c>
      <c r="I2147" s="1004" t="n">
        <f aca="false">'Смета Внутр'!H2154</f>
        <v>0</v>
      </c>
      <c r="J2147" s="1018" t="n">
        <f aca="false">'Смета Внутр'!I2154</f>
        <v>0</v>
      </c>
    </row>
    <row r="2148" customFormat="false" ht="15" hidden="false" customHeight="true" outlineLevel="0" collapsed="false">
      <c r="B2148" s="1004" t="str">
        <f aca="false">'Смета Внутр'!B2155</f>
        <v>кафель</v>
      </c>
      <c r="C2148" s="1004" t="str">
        <f aca="false">'Смета Внутр'!C2155</f>
        <v>м2</v>
      </c>
      <c r="D2148" s="1018" t="n">
        <f aca="false">'Смета Внутр'!D2155</f>
        <v>0</v>
      </c>
      <c r="E2148" s="1004" t="n">
        <f aca="false">'Смета Внутр'!E2155</f>
        <v>500</v>
      </c>
      <c r="F2148" s="1004" t="n">
        <f aca="false">'Смета Внутр'!F2155</f>
        <v>0</v>
      </c>
      <c r="G2148" s="1004" t="n">
        <f aca="false">IF(E2148&gt;F2148,E2148,F2148)</f>
        <v>500</v>
      </c>
      <c r="H2148" s="1004" t="n">
        <f aca="false">'Смета Внутр'!G2155</f>
        <v>0</v>
      </c>
      <c r="I2148" s="1004" t="n">
        <f aca="false">'Смета Внутр'!H2155</f>
        <v>0</v>
      </c>
      <c r="J2148" s="1018" t="n">
        <f aca="false">'Смета Внутр'!I2155</f>
        <v>0</v>
      </c>
    </row>
    <row r="2149" customFormat="false" ht="15" hidden="false" customHeight="true" outlineLevel="0" collapsed="false">
      <c r="B2149" s="1004" t="str">
        <f aca="false">'Смета Внутр'!B2156</f>
        <v>клей для кафеля, 25кг</v>
      </c>
      <c r="C2149" s="1004" t="str">
        <f aca="false">'Смета Внутр'!C2156</f>
        <v>шт</v>
      </c>
      <c r="D2149" s="1018" t="n">
        <f aca="false">'Смета Внутр'!D2156</f>
        <v>0</v>
      </c>
      <c r="E2149" s="1004" t="n">
        <f aca="false">'Смета Внутр'!E2156</f>
        <v>250</v>
      </c>
      <c r="F2149" s="1004" t="n">
        <f aca="false">'Смета Внутр'!F2156</f>
        <v>0</v>
      </c>
      <c r="G2149" s="1004" t="n">
        <f aca="false">IF(E2149&gt;F2149,E2149,F2149)</f>
        <v>250</v>
      </c>
      <c r="H2149" s="1004" t="n">
        <f aca="false">'Смета Внутр'!G2156</f>
        <v>0</v>
      </c>
      <c r="I2149" s="1004" t="n">
        <f aca="false">'Смета Внутр'!H2156</f>
        <v>0</v>
      </c>
      <c r="J2149" s="1018" t="n">
        <f aca="false">'Смета Внутр'!I2156</f>
        <v>0</v>
      </c>
    </row>
    <row r="2150" customFormat="false" ht="15" hidden="false" customHeight="true" outlineLevel="0" collapsed="false">
      <c r="B2150" s="1004" t="str">
        <f aca="false">'Смета Внутр'!B2157</f>
        <v>грунтовка, 10л</v>
      </c>
      <c r="C2150" s="1004" t="str">
        <f aca="false">'Смета Внутр'!C2157</f>
        <v>шт</v>
      </c>
      <c r="D2150" s="1018" t="n">
        <f aca="false">'Смета Внутр'!D2157</f>
        <v>0</v>
      </c>
      <c r="E2150" s="1004" t="n">
        <f aca="false">'Смета Внутр'!E2157</f>
        <v>500</v>
      </c>
      <c r="F2150" s="1004" t="n">
        <f aca="false">'Смета Внутр'!F2157</f>
        <v>0</v>
      </c>
      <c r="G2150" s="1004" t="n">
        <f aca="false">IF(E2150&gt;F2150,E2150,F2150)</f>
        <v>500</v>
      </c>
      <c r="H2150" s="1004" t="n">
        <f aca="false">'Смета Внутр'!G2157</f>
        <v>0</v>
      </c>
      <c r="I2150" s="1004" t="n">
        <f aca="false">'Смета Внутр'!H2157</f>
        <v>0</v>
      </c>
      <c r="J2150" s="1018" t="n">
        <f aca="false">'Смета Внутр'!I2157</f>
        <v>0</v>
      </c>
    </row>
    <row r="2151" customFormat="false" ht="15" hidden="false" customHeight="true" outlineLevel="0" collapsed="false">
      <c r="B2151" s="1004" t="str">
        <f aca="false">'Смета Внутр'!B2158</f>
        <v>крестики, 100шт</v>
      </c>
      <c r="C2151" s="1004" t="str">
        <f aca="false">'Смета Внутр'!C2158</f>
        <v>шт</v>
      </c>
      <c r="D2151" s="1018" t="n">
        <f aca="false">'Смета Внутр'!D2158</f>
        <v>0</v>
      </c>
      <c r="E2151" s="1004" t="n">
        <f aca="false">'Смета Внутр'!E2158</f>
        <v>200</v>
      </c>
      <c r="F2151" s="1004" t="n">
        <f aca="false">'Смета Внутр'!F2158</f>
        <v>0</v>
      </c>
      <c r="G2151" s="1004" t="n">
        <f aca="false">IF(E2151&gt;F2151,E2151,F2151)</f>
        <v>200</v>
      </c>
      <c r="H2151" s="1004" t="n">
        <f aca="false">'Смета Внутр'!G2158</f>
        <v>0</v>
      </c>
      <c r="I2151" s="1004" t="n">
        <f aca="false">'Смета Внутр'!H2158</f>
        <v>0</v>
      </c>
      <c r="J2151" s="1018" t="n">
        <f aca="false">'Смета Внутр'!I2158</f>
        <v>0</v>
      </c>
    </row>
    <row r="2152" customFormat="false" ht="15" hidden="false" customHeight="true" outlineLevel="0" collapsed="false">
      <c r="B2152" s="1004" t="str">
        <f aca="false">'Смета Внутр'!B2159</f>
        <v>затирка для швов</v>
      </c>
      <c r="C2152" s="1004" t="str">
        <f aca="false">'Смета Внутр'!C2159</f>
        <v>шт</v>
      </c>
      <c r="D2152" s="1018" t="n">
        <f aca="false">'Смета Внутр'!D2159</f>
        <v>0</v>
      </c>
      <c r="E2152" s="1004" t="n">
        <f aca="false">'Смета Внутр'!E2159</f>
        <v>400</v>
      </c>
      <c r="F2152" s="1004" t="n">
        <f aca="false">'Смета Внутр'!F2159</f>
        <v>0</v>
      </c>
      <c r="G2152" s="1004" t="n">
        <f aca="false">IF(E2152&gt;F2152,E2152,F2152)</f>
        <v>400</v>
      </c>
      <c r="H2152" s="1004" t="n">
        <f aca="false">'Смета Внутр'!G2159</f>
        <v>0</v>
      </c>
      <c r="I2152" s="1004" t="n">
        <f aca="false">'Смета Внутр'!H2159</f>
        <v>0</v>
      </c>
      <c r="J2152" s="1018" t="n">
        <f aca="false">'Смета Внутр'!I2159</f>
        <v>0</v>
      </c>
    </row>
    <row r="2153" customFormat="false" ht="15" hidden="false" customHeight="true" outlineLevel="0" collapsed="false">
      <c r="B2153" s="2937" t="str">
        <f aca="false">'Смета Внутр'!B2160</f>
        <v>санузел/ванная</v>
      </c>
      <c r="C2153" s="2937"/>
      <c r="D2153" s="2937"/>
      <c r="E2153" s="2937"/>
      <c r="F2153" s="2937"/>
      <c r="G2153" s="2937"/>
      <c r="H2153" s="1004" t="n">
        <f aca="false">'Смета Внутр'!G2160</f>
        <v>0</v>
      </c>
      <c r="I2153" s="1004" t="n">
        <f aca="false">'Смета Внутр'!H2160</f>
        <v>0</v>
      </c>
      <c r="J2153" s="2938" t="n">
        <f aca="false">'Смета Внутр'!I2160</f>
        <v>0</v>
      </c>
    </row>
    <row r="2154" customFormat="false" ht="15" hidden="false" customHeight="true" outlineLevel="0" collapsed="false">
      <c r="B2154" s="1004" t="str">
        <f aca="false">'Смета Внутр'!B2161</f>
        <v>кафель стены</v>
      </c>
      <c r="C2154" s="1004" t="str">
        <f aca="false">'Смета Внутр'!C2161</f>
        <v>м2</v>
      </c>
      <c r="D2154" s="1018" t="n">
        <f aca="false">'Смета Внутр'!D2161</f>
        <v>0</v>
      </c>
      <c r="E2154" s="1004" t="n">
        <f aca="false">'Смета Внутр'!E2161</f>
        <v>500</v>
      </c>
      <c r="F2154" s="1004" t="n">
        <f aca="false">'Смета Внутр'!F2161</f>
        <v>0</v>
      </c>
      <c r="G2154" s="1004" t="n">
        <f aca="false">IF(E2154&gt;F2154,E2154,F2154)</f>
        <v>500</v>
      </c>
      <c r="H2154" s="1004" t="n">
        <f aca="false">'Смета Внутр'!G2161</f>
        <v>0</v>
      </c>
      <c r="I2154" s="1004" t="n">
        <f aca="false">'Смета Внутр'!H2161</f>
        <v>0</v>
      </c>
      <c r="J2154" s="1018" t="n">
        <f aca="false">'Смета Внутр'!I2161</f>
        <v>0</v>
      </c>
    </row>
    <row r="2155" customFormat="false" ht="15" hidden="false" customHeight="true" outlineLevel="0" collapsed="false">
      <c r="B2155" s="1004" t="str">
        <f aca="false">'Смета Внутр'!B2162</f>
        <v>кафель потолок</v>
      </c>
      <c r="C2155" s="1004" t="str">
        <f aca="false">'Смета Внутр'!C2162</f>
        <v>м2</v>
      </c>
      <c r="D2155" s="1018" t="n">
        <f aca="false">'Смета Внутр'!D2162</f>
        <v>0</v>
      </c>
      <c r="E2155" s="1004" t="n">
        <f aca="false">'Смета Внутр'!E2162</f>
        <v>500</v>
      </c>
      <c r="F2155" s="1004" t="n">
        <f aca="false">'Смета Внутр'!F2162</f>
        <v>0</v>
      </c>
      <c r="G2155" s="1004" t="n">
        <f aca="false">IF(E2155&gt;F2155,E2155,F2155)</f>
        <v>500</v>
      </c>
      <c r="H2155" s="1004" t="n">
        <f aca="false">'Смета Внутр'!G2162</f>
        <v>0</v>
      </c>
      <c r="I2155" s="1004" t="n">
        <f aca="false">'Смета Внутр'!H2162</f>
        <v>0</v>
      </c>
      <c r="J2155" s="1018" t="n">
        <f aca="false">'Смета Внутр'!I2162</f>
        <v>0</v>
      </c>
    </row>
    <row r="2156" customFormat="false" ht="15" hidden="false" customHeight="true" outlineLevel="0" collapsed="false">
      <c r="B2156" s="1004" t="str">
        <f aca="false">'Смета Внутр'!B2163</f>
        <v>кафель пол</v>
      </c>
      <c r="C2156" s="1004" t="str">
        <f aca="false">'Смета Внутр'!C2163</f>
        <v>м2</v>
      </c>
      <c r="D2156" s="1018" t="n">
        <f aca="false">'Смета Внутр'!D2163</f>
        <v>0</v>
      </c>
      <c r="E2156" s="1004" t="n">
        <f aca="false">'Смета Внутр'!E2163</f>
        <v>500</v>
      </c>
      <c r="F2156" s="1004" t="n">
        <f aca="false">'Смета Внутр'!F2163</f>
        <v>0</v>
      </c>
      <c r="G2156" s="1004" t="n">
        <f aca="false">IF(E2156&gt;F2156,E2156,F2156)</f>
        <v>500</v>
      </c>
      <c r="H2156" s="1004" t="n">
        <f aca="false">'Смета Внутр'!G2163</f>
        <v>0</v>
      </c>
      <c r="I2156" s="1004" t="n">
        <f aca="false">'Смета Внутр'!H2163</f>
        <v>0</v>
      </c>
      <c r="J2156" s="1018" t="n">
        <f aca="false">'Смета Внутр'!I2163</f>
        <v>0</v>
      </c>
    </row>
    <row r="2157" customFormat="false" ht="15" hidden="false" customHeight="true" outlineLevel="0" collapsed="false">
      <c r="B2157" s="1004" t="str">
        <f aca="false">'Смета Внутр'!B2164</f>
        <v>клей для кафеля, 25кг</v>
      </c>
      <c r="C2157" s="1004" t="str">
        <f aca="false">'Смета Внутр'!C2164</f>
        <v>шт</v>
      </c>
      <c r="D2157" s="1018" t="n">
        <f aca="false">'Смета Внутр'!D2164</f>
        <v>0</v>
      </c>
      <c r="E2157" s="1004" t="n">
        <f aca="false">'Смета Внутр'!E2164</f>
        <v>250</v>
      </c>
      <c r="F2157" s="1004" t="n">
        <f aca="false">'Смета Внутр'!F2164</f>
        <v>0</v>
      </c>
      <c r="G2157" s="1004" t="n">
        <f aca="false">IF(E2157&gt;F2157,E2157,F2157)</f>
        <v>250</v>
      </c>
      <c r="H2157" s="1004" t="n">
        <f aca="false">'Смета Внутр'!G2164</f>
        <v>0</v>
      </c>
      <c r="I2157" s="1004" t="n">
        <f aca="false">'Смета Внутр'!H2164</f>
        <v>0</v>
      </c>
      <c r="J2157" s="1018" t="n">
        <f aca="false">'Смета Внутр'!I2164</f>
        <v>0</v>
      </c>
    </row>
    <row r="2158" customFormat="false" ht="15" hidden="false" customHeight="true" outlineLevel="0" collapsed="false">
      <c r="B2158" s="1004" t="str">
        <f aca="false">'Смета Внутр'!B2165</f>
        <v>грунтовка, 10л</v>
      </c>
      <c r="C2158" s="1004" t="str">
        <f aca="false">'Смета Внутр'!C2165</f>
        <v>шт</v>
      </c>
      <c r="D2158" s="1018" t="n">
        <f aca="false">'Смета Внутр'!D2165</f>
        <v>0</v>
      </c>
      <c r="E2158" s="1004" t="n">
        <f aca="false">'Смета Внутр'!E2165</f>
        <v>500</v>
      </c>
      <c r="F2158" s="1004" t="n">
        <f aca="false">'Смета Внутр'!F2165</f>
        <v>0</v>
      </c>
      <c r="G2158" s="1004" t="n">
        <f aca="false">IF(E2158&gt;F2158,E2158,F2158)</f>
        <v>500</v>
      </c>
      <c r="H2158" s="1004" t="n">
        <f aca="false">'Смета Внутр'!G2165</f>
        <v>0</v>
      </c>
      <c r="I2158" s="1004" t="n">
        <f aca="false">'Смета Внутр'!H2165</f>
        <v>0</v>
      </c>
      <c r="J2158" s="1018" t="n">
        <f aca="false">'Смета Внутр'!I2165</f>
        <v>0</v>
      </c>
    </row>
    <row r="2159" customFormat="false" ht="15" hidden="false" customHeight="true" outlineLevel="0" collapsed="false">
      <c r="B2159" s="1004" t="str">
        <f aca="false">'Смета Внутр'!B2166</f>
        <v>крестики, 100 шт</v>
      </c>
      <c r="C2159" s="1004" t="str">
        <f aca="false">'Смета Внутр'!C2166</f>
        <v>шт</v>
      </c>
      <c r="D2159" s="1018" t="n">
        <f aca="false">'Смета Внутр'!D2166</f>
        <v>0</v>
      </c>
      <c r="E2159" s="1004" t="n">
        <f aca="false">'Смета Внутр'!E2166</f>
        <v>200</v>
      </c>
      <c r="F2159" s="1004" t="n">
        <f aca="false">'Смета Внутр'!F2166</f>
        <v>0</v>
      </c>
      <c r="G2159" s="1004" t="n">
        <f aca="false">IF(E2159&gt;F2159,E2159,F2159)</f>
        <v>200</v>
      </c>
      <c r="H2159" s="1004" t="n">
        <f aca="false">'Смета Внутр'!G2166</f>
        <v>0</v>
      </c>
      <c r="I2159" s="1004" t="n">
        <f aca="false">'Смета Внутр'!H2166</f>
        <v>0</v>
      </c>
      <c r="J2159" s="1018" t="n">
        <f aca="false">'Смета Внутр'!I2166</f>
        <v>0</v>
      </c>
    </row>
    <row r="2160" customFormat="false" ht="15" hidden="false" customHeight="true" outlineLevel="0" collapsed="false">
      <c r="B2160" s="1004" t="str">
        <f aca="false">'Смета Внутр'!B2167</f>
        <v>затирка для швов</v>
      </c>
      <c r="C2160" s="1004" t="str">
        <f aca="false">'Смета Внутр'!C2167</f>
        <v>шт</v>
      </c>
      <c r="D2160" s="1018" t="n">
        <f aca="false">'Смета Внутр'!D2167</f>
        <v>0</v>
      </c>
      <c r="E2160" s="1004" t="n">
        <f aca="false">'Смета Внутр'!E2167</f>
        <v>400</v>
      </c>
      <c r="F2160" s="1004" t="n">
        <f aca="false">'Смета Внутр'!F2167</f>
        <v>0</v>
      </c>
      <c r="G2160" s="1004" t="n">
        <f aca="false">IF(E2160&gt;F2160,E2160,F2160)</f>
        <v>400</v>
      </c>
      <c r="H2160" s="1004" t="n">
        <f aca="false">'Смета Внутр'!G2167</f>
        <v>0</v>
      </c>
      <c r="I2160" s="1004" t="n">
        <f aca="false">'Смета Внутр'!H2167</f>
        <v>0</v>
      </c>
      <c r="J2160" s="1018" t="n">
        <f aca="false">'Смета Внутр'!I2167</f>
        <v>0</v>
      </c>
    </row>
    <row r="2161" customFormat="false" ht="15" hidden="false" customHeight="true" outlineLevel="0" collapsed="false">
      <c r="B2161" s="1004" t="str">
        <f aca="false">'Смета Внутр'!B2168</f>
        <v>стеновые панели пластик стены</v>
      </c>
      <c r="C2161" s="1004" t="str">
        <f aca="false">'Смета Внутр'!C2168</f>
        <v>м2</v>
      </c>
      <c r="D2161" s="1018" t="n">
        <f aca="false">'Смета Внутр'!D2168</f>
        <v>0</v>
      </c>
      <c r="E2161" s="1004" t="n">
        <f aca="false">'Смета Внутр'!E2168</f>
        <v>250</v>
      </c>
      <c r="F2161" s="1004" t="n">
        <f aca="false">'Смета Внутр'!F2168</f>
        <v>0</v>
      </c>
      <c r="G2161" s="1004" t="n">
        <f aca="false">IF(E2161&gt;F2161,E2161,F2161)</f>
        <v>250</v>
      </c>
      <c r="H2161" s="1004" t="n">
        <f aca="false">'Смета Внутр'!G2168</f>
        <v>0</v>
      </c>
      <c r="I2161" s="1004" t="n">
        <f aca="false">'Смета Внутр'!H2168</f>
        <v>0</v>
      </c>
      <c r="J2161" s="1018" t="n">
        <f aca="false">'Смета Внутр'!I2168</f>
        <v>0</v>
      </c>
    </row>
    <row r="2162" customFormat="false" ht="15" hidden="false" customHeight="true" outlineLevel="0" collapsed="false">
      <c r="B2162" s="1004" t="str">
        <f aca="false">'Смета Внутр'!B2169</f>
        <v>стеновые панели пластик потолок</v>
      </c>
      <c r="C2162" s="1004" t="str">
        <f aca="false">'Смета Внутр'!C2169</f>
        <v>м2</v>
      </c>
      <c r="D2162" s="1018" t="n">
        <f aca="false">'Смета Внутр'!D2169</f>
        <v>0</v>
      </c>
      <c r="E2162" s="1004" t="n">
        <f aca="false">'Смета Внутр'!E2169</f>
        <v>250</v>
      </c>
      <c r="F2162" s="1004" t="n">
        <f aca="false">'Смета Внутр'!F2169</f>
        <v>0</v>
      </c>
      <c r="G2162" s="1004" t="n">
        <f aca="false">IF(E2162&gt;F2162,E2162,F2162)</f>
        <v>250</v>
      </c>
      <c r="H2162" s="1004" t="n">
        <f aca="false">'Смета Внутр'!G2169</f>
        <v>0</v>
      </c>
      <c r="I2162" s="1004" t="n">
        <f aca="false">'Смета Внутр'!H2169</f>
        <v>0</v>
      </c>
      <c r="J2162" s="1018" t="n">
        <f aca="false">'Смета Внутр'!I2169</f>
        <v>0</v>
      </c>
    </row>
    <row r="2163" customFormat="false" ht="15" hidden="false" customHeight="true" outlineLevel="0" collapsed="false">
      <c r="B2163" s="1004" t="str">
        <f aca="false">'Смета Внутр'!B2170</f>
        <v>скобы для крепления панелей, 1000шт/уп</v>
      </c>
      <c r="C2163" s="1004" t="str">
        <f aca="false">'Смета Внутр'!C2170</f>
        <v>шт</v>
      </c>
      <c r="D2163" s="1018" t="n">
        <f aca="false">'Смета Внутр'!D2170</f>
        <v>0</v>
      </c>
      <c r="E2163" s="1004" t="n">
        <f aca="false">'Смета Внутр'!E2170</f>
        <v>120</v>
      </c>
      <c r="F2163" s="1004" t="n">
        <f aca="false">'Смета Внутр'!F2170</f>
        <v>0</v>
      </c>
      <c r="G2163" s="1004" t="n">
        <f aca="false">IF(E2163&gt;F2163,E2163,F2163)</f>
        <v>120</v>
      </c>
      <c r="H2163" s="1004" t="n">
        <f aca="false">'Смета Внутр'!G2170</f>
        <v>0</v>
      </c>
      <c r="I2163" s="1004" t="n">
        <f aca="false">'Смета Внутр'!H2170</f>
        <v>0</v>
      </c>
      <c r="J2163" s="1018" t="n">
        <f aca="false">'Смета Внутр'!I2170</f>
        <v>0</v>
      </c>
    </row>
    <row r="2164" customFormat="false" ht="15" hidden="false" customHeight="true" outlineLevel="0" collapsed="false">
      <c r="B2164" s="1004" t="str">
        <f aca="false">'Смета Внутр'!B2171</f>
        <v>натяжной потолок</v>
      </c>
      <c r="C2164" s="1004" t="str">
        <f aca="false">'Смета Внутр'!C2171</f>
        <v>м2</v>
      </c>
      <c r="D2164" s="1018" t="n">
        <f aca="false">'Смета Внутр'!D2171</f>
        <v>0</v>
      </c>
      <c r="E2164" s="1004" t="n">
        <f aca="false">'Смета Внутр'!E2171</f>
        <v>400</v>
      </c>
      <c r="F2164" s="1004" t="n">
        <f aca="false">'Смета Внутр'!F2171</f>
        <v>0</v>
      </c>
      <c r="G2164" s="1004" t="n">
        <f aca="false">IF(E2164&gt;F2164,E2164,F2164)</f>
        <v>400</v>
      </c>
      <c r="H2164" s="1004" t="n">
        <f aca="false">'Смета Внутр'!G2171</f>
        <v>0</v>
      </c>
      <c r="I2164" s="1004" t="n">
        <f aca="false">'Смета Внутр'!H2171</f>
        <v>0</v>
      </c>
      <c r="J2164" s="1018" t="n">
        <f aca="false">'Смета Внутр'!I2171</f>
        <v>0</v>
      </c>
    </row>
    <row r="2165" customFormat="false" ht="15" hidden="false" customHeight="true" outlineLevel="0" collapsed="false">
      <c r="B2165" s="1004" t="str">
        <f aca="false">'Смета Внутр'!B2172</f>
        <v>Двери межкомнатные</v>
      </c>
      <c r="C2165" s="1004"/>
      <c r="D2165" s="1018"/>
      <c r="E2165" s="1004"/>
      <c r="F2165" s="1004"/>
      <c r="G2165" s="1004"/>
      <c r="H2165" s="1004" t="n">
        <f aca="false">'Смета Внутр'!G2172</f>
        <v>0</v>
      </c>
      <c r="I2165" s="1004" t="n">
        <f aca="false">'Смета Внутр'!H2172</f>
        <v>0</v>
      </c>
      <c r="J2165" s="1018" t="n">
        <f aca="false">'Смета Внутр'!I2172</f>
        <v>0</v>
      </c>
    </row>
    <row r="2166" customFormat="false" ht="15" hidden="false" customHeight="true" outlineLevel="0" collapsed="false">
      <c r="B2166" s="1004" t="str">
        <f aca="false">'Смета Внутр'!B2173</f>
        <v>двери межкомнатные</v>
      </c>
      <c r="C2166" s="1004" t="str">
        <f aca="false">'Смета Внутр'!C2173</f>
        <v>шт</v>
      </c>
      <c r="D2166" s="1018" t="n">
        <f aca="false">'Смета Внутр'!D2173</f>
        <v>0</v>
      </c>
      <c r="E2166" s="1004" t="n">
        <f aca="false">'Смета Внутр'!E2173</f>
        <v>1900</v>
      </c>
      <c r="F2166" s="1004" t="n">
        <f aca="false">'Смета Внутр'!F2173</f>
        <v>0</v>
      </c>
      <c r="G2166" s="1004" t="n">
        <f aca="false">IF(E2166&gt;F2166,E2166,F2166)</f>
        <v>1900</v>
      </c>
      <c r="H2166" s="1004" t="n">
        <f aca="false">'Смета Внутр'!G2173</f>
        <v>0</v>
      </c>
      <c r="I2166" s="1004" t="n">
        <f aca="false">'Смета Внутр'!H2173</f>
        <v>0</v>
      </c>
      <c r="J2166" s="1018" t="n">
        <f aca="false">'Смета Внутр'!I2173</f>
        <v>0</v>
      </c>
    </row>
    <row r="2167" customFormat="false" ht="15" hidden="false" customHeight="true" outlineLevel="0" collapsed="false">
      <c r="B2167" s="1004" t="str">
        <f aca="false">'Смета Внутр'!B2174</f>
        <v>пена монтажная для дверей</v>
      </c>
      <c r="C2167" s="1004" t="str">
        <f aca="false">'Смета Внутр'!C2174</f>
        <v>шт</v>
      </c>
      <c r="D2167" s="1018" t="n">
        <f aca="false">'Смета Внутр'!D2174</f>
        <v>0</v>
      </c>
      <c r="E2167" s="1004" t="n">
        <f aca="false">'Смета Внутр'!E2174</f>
        <v>250</v>
      </c>
      <c r="F2167" s="1004" t="n">
        <f aca="false">'Смета Внутр'!F2174</f>
        <v>0</v>
      </c>
      <c r="G2167" s="1004" t="n">
        <f aca="false">IF(E2167&gt;F2167,E2167,F2167)</f>
        <v>250</v>
      </c>
      <c r="H2167" s="1004" t="n">
        <f aca="false">'Смета Внутр'!G2174</f>
        <v>0</v>
      </c>
      <c r="I2167" s="1004" t="n">
        <f aca="false">'Смета Внутр'!H2174</f>
        <v>0</v>
      </c>
      <c r="J2167" s="1018" t="n">
        <f aca="false">'Смета Внутр'!I2174</f>
        <v>0</v>
      </c>
    </row>
    <row r="2168" customFormat="false" ht="15" hidden="false" customHeight="true" outlineLevel="0" collapsed="false">
      <c r="B2168" s="1004" t="str">
        <f aca="false">'Смета Внутр'!B2175</f>
        <v>порожки металлические</v>
      </c>
      <c r="C2168" s="1004" t="str">
        <f aca="false">'Смета Внутр'!C2175</f>
        <v>шт</v>
      </c>
      <c r="D2168" s="1018" t="n">
        <f aca="false">'Смета Внутр'!D2175</f>
        <v>0</v>
      </c>
      <c r="E2168" s="1004" t="n">
        <f aca="false">'Смета Внутр'!E2175</f>
        <v>100</v>
      </c>
      <c r="F2168" s="1004" t="n">
        <f aca="false">'Смета Внутр'!F2175</f>
        <v>0</v>
      </c>
      <c r="G2168" s="1004" t="n">
        <f aca="false">IF(E2168&gt;F2168,E2168,F2168)</f>
        <v>100</v>
      </c>
      <c r="H2168" s="1004" t="n">
        <f aca="false">'Смета Внутр'!G2175</f>
        <v>0</v>
      </c>
      <c r="I2168" s="1004" t="n">
        <f aca="false">'Смета Внутр'!H2175</f>
        <v>0</v>
      </c>
      <c r="J2168" s="1018" t="n">
        <f aca="false">'Смета Внутр'!I2175</f>
        <v>0</v>
      </c>
    </row>
    <row r="2169" customFormat="false" ht="15" hidden="false" customHeight="true" outlineLevel="0" collapsed="false">
      <c r="B2169" s="1004" t="str">
        <f aca="false">'Смета Внутр'!B2176</f>
        <v>отбойник для дверей</v>
      </c>
      <c r="C2169" s="1004" t="str">
        <f aca="false">'Смета Внутр'!C2176</f>
        <v>шт</v>
      </c>
      <c r="D2169" s="1018" t="n">
        <f aca="false">'Смета Внутр'!D2176</f>
        <v>0</v>
      </c>
      <c r="E2169" s="1004" t="n">
        <f aca="false">'Смета Внутр'!E2176</f>
        <v>100</v>
      </c>
      <c r="F2169" s="1004" t="n">
        <f aca="false">'Смета Внутр'!F2176</f>
        <v>0</v>
      </c>
      <c r="G2169" s="1004" t="n">
        <f aca="false">IF(E2169&gt;F2169,E2169,F2169)</f>
        <v>100</v>
      </c>
      <c r="H2169" s="1004" t="n">
        <f aca="false">'Смета Внутр'!G2176</f>
        <v>0</v>
      </c>
      <c r="I2169" s="1004" t="n">
        <f aca="false">'Смета Внутр'!H2176</f>
        <v>0</v>
      </c>
      <c r="J2169" s="1018" t="n">
        <f aca="false">'Смета Внутр'!I2176</f>
        <v>0</v>
      </c>
    </row>
    <row r="2170" customFormat="false" ht="15" hidden="false" customHeight="true" outlineLevel="0" collapsed="false">
      <c r="B2170" s="1004" t="str">
        <f aca="false">'Смета Внутр'!B2177</f>
        <v>коробка для дверей</v>
      </c>
      <c r="C2170" s="1004" t="str">
        <f aca="false">'Смета Внутр'!C2177</f>
        <v>шт</v>
      </c>
      <c r="D2170" s="1018" t="n">
        <f aca="false">'Смета Внутр'!D2177</f>
        <v>0</v>
      </c>
      <c r="E2170" s="1004" t="n">
        <f aca="false">'Смета Внутр'!E2177</f>
        <v>250</v>
      </c>
      <c r="F2170" s="1004" t="n">
        <f aca="false">'Смета Внутр'!F2177</f>
        <v>0</v>
      </c>
      <c r="G2170" s="1004" t="n">
        <f aca="false">IF(E2170&gt;F2170,E2170,F2170)</f>
        <v>250</v>
      </c>
      <c r="H2170" s="1004" t="n">
        <f aca="false">'Смета Внутр'!G2177</f>
        <v>0</v>
      </c>
      <c r="I2170" s="1004" t="n">
        <f aca="false">'Смета Внутр'!H2177</f>
        <v>0</v>
      </c>
      <c r="J2170" s="1018" t="n">
        <f aca="false">'Смета Внутр'!I2177</f>
        <v>0</v>
      </c>
    </row>
    <row r="2171" customFormat="false" ht="15" hidden="false" customHeight="true" outlineLevel="0" collapsed="false">
      <c r="B2171" s="1004" t="str">
        <f aca="false">'Смета Внутр'!B2178</f>
        <v>наличник на дверь, комплект</v>
      </c>
      <c r="C2171" s="1004" t="str">
        <f aca="false">'Смета Внутр'!C2178</f>
        <v>шт</v>
      </c>
      <c r="D2171" s="1018" t="n">
        <f aca="false">'Смета Внутр'!D2178</f>
        <v>0</v>
      </c>
      <c r="E2171" s="1004" t="n">
        <f aca="false">'Смета Внутр'!E2178</f>
        <v>500</v>
      </c>
      <c r="F2171" s="1004" t="n">
        <f aca="false">'Смета Внутр'!F2178</f>
        <v>0</v>
      </c>
      <c r="G2171" s="1004" t="n">
        <f aca="false">IF(E2171&gt;F2171,E2171,F2171)</f>
        <v>500</v>
      </c>
      <c r="H2171" s="1004" t="n">
        <f aca="false">'Смета Внутр'!G2178</f>
        <v>0</v>
      </c>
      <c r="I2171" s="1004" t="n">
        <f aca="false">'Смета Внутр'!H2178</f>
        <v>0</v>
      </c>
      <c r="J2171" s="1018" t="n">
        <f aca="false">'Смета Внутр'!I2178</f>
        <v>0</v>
      </c>
    </row>
    <row r="2172" customFormat="false" ht="14.5" hidden="false" customHeight="false" outlineLevel="0" collapsed="false">
      <c r="B2172" s="2896" t="str">
        <f aca="false">'Смета Внутр'!B2179</f>
        <v>Итого материалы</v>
      </c>
      <c r="C2172" s="2896"/>
      <c r="D2172" s="2896"/>
      <c r="E2172" s="2896"/>
      <c r="F2172" s="2896"/>
      <c r="G2172" s="2896"/>
      <c r="H2172" s="1004" t="n">
        <f aca="false">'Смета Внутр'!G2179</f>
        <v>0</v>
      </c>
      <c r="I2172" s="1004" t="n">
        <f aca="false">'Смета Внутр'!H2179</f>
        <v>0</v>
      </c>
      <c r="J2172" s="2897" t="n">
        <f aca="false">'Смета Внутр'!I2179</f>
        <v>0</v>
      </c>
    </row>
    <row r="2173" customFormat="false" ht="15" hidden="false" customHeight="true" outlineLevel="0" collapsed="false">
      <c r="B2173" s="2881" t="str">
        <f aca="false">'Смета Внутр'!B2180</f>
        <v>Работы</v>
      </c>
      <c r="H2173" s="0" t="n">
        <f aca="false">'Смета Внутр'!G2180</f>
        <v>0</v>
      </c>
      <c r="I2173" s="0" t="n">
        <f aca="false">'Смета Внутр'!H2180</f>
        <v>0</v>
      </c>
      <c r="J2173" s="2893" t="n">
        <f aca="false">'Смета Внутр'!I2180</f>
        <v>0</v>
      </c>
    </row>
    <row r="2174" customFormat="false" ht="15" hidden="false" customHeight="true" outlineLevel="0" collapsed="false">
      <c r="B2174" s="2889" t="str">
        <f aca="false">'Смета Внутр'!B2181</f>
        <v>стены</v>
      </c>
      <c r="C2174" s="2889"/>
      <c r="D2174" s="2889"/>
      <c r="E2174" s="2889"/>
      <c r="F2174" s="2889"/>
      <c r="G2174" s="2889"/>
      <c r="H2174" s="1004" t="n">
        <f aca="false">'Смета Внутр'!G2181</f>
        <v>0</v>
      </c>
      <c r="I2174" s="1004" t="n">
        <f aca="false">'Смета Внутр'!H2181</f>
        <v>0</v>
      </c>
      <c r="J2174" s="2895" t="n">
        <f aca="false">'Смета Внутр'!I2181</f>
        <v>0</v>
      </c>
    </row>
    <row r="2175" customFormat="false" ht="15" hidden="false" customHeight="true" outlineLevel="0" collapsed="false">
      <c r="B2175" s="1004" t="str">
        <f aca="false">'Смета Внутр'!B2182</f>
        <v>монтаж гкл стены</v>
      </c>
      <c r="C2175" s="1004" t="str">
        <f aca="false">'Смета Внутр'!C2182</f>
        <v>м2</v>
      </c>
      <c r="D2175" s="1018" t="n">
        <f aca="false">'Смета Внутр'!D2182</f>
        <v>0</v>
      </c>
      <c r="E2175" s="1004" t="n">
        <f aca="false">'Смета Внутр'!E2182</f>
        <v>100</v>
      </c>
      <c r="F2175" s="1004" t="n">
        <f aca="false">'Смета Внутр'!F2182</f>
        <v>0</v>
      </c>
      <c r="G2175" s="1004" t="n">
        <f aca="false">IF(E2175&gt;F2175,E2175,F2175)</f>
        <v>100</v>
      </c>
      <c r="H2175" s="1004" t="n">
        <f aca="false">'Смета Внутр'!G2182</f>
        <v>0</v>
      </c>
      <c r="I2175" s="1004" t="n">
        <f aca="false">'Смета Внутр'!H2182</f>
        <v>0</v>
      </c>
      <c r="J2175" s="1018" t="n">
        <f aca="false">'Смета Внутр'!I2182</f>
        <v>0</v>
      </c>
    </row>
    <row r="2176" customFormat="false" ht="15" hidden="false" customHeight="true" outlineLevel="0" collapsed="false">
      <c r="B2176" s="1004" t="str">
        <f aca="false">'Смета Внутр'!B2183</f>
        <v>монтаж подсистемы</v>
      </c>
      <c r="C2176" s="1004" t="str">
        <f aca="false">'Смета Внутр'!C2183</f>
        <v>м2</v>
      </c>
      <c r="D2176" s="1018" t="n">
        <f aca="false">'Смета Внутр'!D2183</f>
        <v>0</v>
      </c>
      <c r="E2176" s="1004" t="n">
        <f aca="false">'Смета Внутр'!E2183</f>
        <v>90</v>
      </c>
      <c r="F2176" s="1004" t="n">
        <f aca="false">'Смета Внутр'!F2183</f>
        <v>0</v>
      </c>
      <c r="G2176" s="1004" t="n">
        <f aca="false">IF(E2176&gt;F2176,E2176,F2176)</f>
        <v>90</v>
      </c>
      <c r="H2176" s="1004" t="n">
        <f aca="false">'Смета Внутр'!G2183</f>
        <v>0</v>
      </c>
      <c r="I2176" s="1004" t="n">
        <f aca="false">'Смета Внутр'!H2183</f>
        <v>0</v>
      </c>
      <c r="J2176" s="1018" t="n">
        <f aca="false">'Смета Внутр'!I2183</f>
        <v>0</v>
      </c>
    </row>
    <row r="2177" customFormat="false" ht="15" hidden="false" customHeight="true" outlineLevel="0" collapsed="false">
      <c r="B2177" s="1004" t="str">
        <f aca="false">'Смета Внутр'!B2184</f>
        <v>шпаклевка швов стены</v>
      </c>
      <c r="C2177" s="1004" t="str">
        <f aca="false">'Смета Внутр'!C2184</f>
        <v>м2</v>
      </c>
      <c r="D2177" s="1018" t="n">
        <f aca="false">'Смета Внутр'!D2184</f>
        <v>0</v>
      </c>
      <c r="E2177" s="1004" t="n">
        <f aca="false">'Смета Внутр'!E2184</f>
        <v>50</v>
      </c>
      <c r="F2177" s="1004" t="n">
        <f aca="false">'Смета Внутр'!F2184</f>
        <v>0</v>
      </c>
      <c r="G2177" s="1004" t="n">
        <f aca="false">IF(E2177&gt;F2177,E2177,F2177)</f>
        <v>50</v>
      </c>
      <c r="H2177" s="1004" t="n">
        <f aca="false">'Смета Внутр'!G2184</f>
        <v>0</v>
      </c>
      <c r="I2177" s="1004" t="n">
        <f aca="false">'Смета Внутр'!H2184</f>
        <v>0</v>
      </c>
      <c r="J2177" s="1018" t="n">
        <f aca="false">'Смета Внутр'!I2184</f>
        <v>0</v>
      </c>
    </row>
    <row r="2178" customFormat="false" ht="15" hidden="false" customHeight="true" outlineLevel="0" collapsed="false">
      <c r="B2178" s="1004" t="str">
        <f aca="false">'Смета Внутр'!B2185</f>
        <v>шпаклевка финишная стены</v>
      </c>
      <c r="C2178" s="1004" t="str">
        <f aca="false">'Смета Внутр'!C2185</f>
        <v>м2</v>
      </c>
      <c r="D2178" s="1018" t="n">
        <f aca="false">'Смета Внутр'!D2185</f>
        <v>0</v>
      </c>
      <c r="E2178" s="1004" t="n">
        <f aca="false">'Смета Внутр'!E2185</f>
        <v>100</v>
      </c>
      <c r="F2178" s="1004" t="n">
        <f aca="false">'Смета Внутр'!F2185</f>
        <v>0</v>
      </c>
      <c r="G2178" s="1004" t="n">
        <f aca="false">IF(E2178&gt;F2178,E2178,F2178)</f>
        <v>100</v>
      </c>
      <c r="H2178" s="1004" t="n">
        <f aca="false">'Смета Внутр'!G2185</f>
        <v>0</v>
      </c>
      <c r="I2178" s="1004" t="n">
        <f aca="false">'Смета Внутр'!H2185</f>
        <v>0</v>
      </c>
      <c r="J2178" s="1018" t="n">
        <f aca="false">'Смета Внутр'!I2185</f>
        <v>0</v>
      </c>
    </row>
    <row r="2179" customFormat="false" ht="15" hidden="false" customHeight="true" outlineLevel="0" collapsed="false">
      <c r="B2179" s="1004" t="str">
        <f aca="false">'Смета Внутр'!B2186</f>
        <v>оклейка обои</v>
      </c>
      <c r="C2179" s="1004" t="str">
        <f aca="false">'Смета Внутр'!C2186</f>
        <v>м2</v>
      </c>
      <c r="D2179" s="1018" t="n">
        <f aca="false">'Смета Внутр'!D2186</f>
        <v>0</v>
      </c>
      <c r="E2179" s="1004" t="n">
        <f aca="false">'Смета Внутр'!E2186</f>
        <v>120</v>
      </c>
      <c r="F2179" s="1004" t="n">
        <f aca="false">'Смета Внутр'!F2186</f>
        <v>0</v>
      </c>
      <c r="G2179" s="1004" t="n">
        <f aca="false">IF(E2179&gt;F2179,E2179,F2179)</f>
        <v>120</v>
      </c>
      <c r="H2179" s="1004" t="n">
        <f aca="false">'Смета Внутр'!G2186</f>
        <v>0</v>
      </c>
      <c r="I2179" s="1004" t="n">
        <f aca="false">'Смета Внутр'!H2186</f>
        <v>0</v>
      </c>
      <c r="J2179" s="1018" t="n">
        <f aca="false">'Смета Внутр'!I2186</f>
        <v>0</v>
      </c>
    </row>
    <row r="2180" customFormat="false" ht="15" hidden="false" customHeight="true" outlineLevel="0" collapsed="false">
      <c r="B2180" s="1004" t="str">
        <f aca="false">'Смета Внутр'!B2187</f>
        <v>покраска стен</v>
      </c>
      <c r="C2180" s="1004" t="str">
        <f aca="false">'Смета Внутр'!C2187</f>
        <v>м2</v>
      </c>
      <c r="D2180" s="1018" t="n">
        <f aca="false">'Смета Внутр'!D2187</f>
        <v>0</v>
      </c>
      <c r="E2180" s="1004" t="n">
        <f aca="false">'Смета Внутр'!E2187</f>
        <v>100</v>
      </c>
      <c r="F2180" s="1004" t="n">
        <f aca="false">'Смета Внутр'!F2187</f>
        <v>0</v>
      </c>
      <c r="G2180" s="1004" t="n">
        <f aca="false">IF(E2180&gt;F2180,E2180,F2180)</f>
        <v>100</v>
      </c>
      <c r="H2180" s="1004" t="n">
        <f aca="false">'Смета Внутр'!G2187</f>
        <v>0</v>
      </c>
      <c r="I2180" s="1004" t="n">
        <f aca="false">'Смета Внутр'!H2187</f>
        <v>0</v>
      </c>
      <c r="J2180" s="1018" t="n">
        <f aca="false">'Смета Внутр'!I2187</f>
        <v>0</v>
      </c>
    </row>
    <row r="2181" customFormat="false" ht="15" hidden="false" customHeight="true" outlineLevel="0" collapsed="false">
      <c r="B2181" s="1004" t="str">
        <f aca="false">'Смета Внутр'!B2188</f>
        <v>имитация бруса</v>
      </c>
      <c r="C2181" s="1004" t="str">
        <f aca="false">'Смета Внутр'!C2188</f>
        <v>м2</v>
      </c>
      <c r="D2181" s="1018" t="n">
        <f aca="false">'Смета Внутр'!D2188</f>
        <v>0</v>
      </c>
      <c r="E2181" s="1004" t="n">
        <f aca="false">'Смета Внутр'!E2188</f>
        <v>400</v>
      </c>
      <c r="F2181" s="1004" t="n">
        <f aca="false">'Смета Внутр'!F2188</f>
        <v>0</v>
      </c>
      <c r="G2181" s="1004" t="n">
        <f aca="false">IF(E2181&gt;F2181,E2181,F2181)</f>
        <v>400</v>
      </c>
      <c r="H2181" s="1004" t="n">
        <f aca="false">'Смета Внутр'!G2188</f>
        <v>0</v>
      </c>
      <c r="I2181" s="1004" t="n">
        <f aca="false">'Смета Внутр'!H2188</f>
        <v>0</v>
      </c>
      <c r="J2181" s="1018" t="n">
        <f aca="false">'Смета Внутр'!I2188</f>
        <v>0</v>
      </c>
    </row>
    <row r="2182" customFormat="false" ht="15" hidden="false" customHeight="true" outlineLevel="0" collapsed="false">
      <c r="B2182" s="1004" t="str">
        <f aca="false">'Смета Внутр'!B2189</f>
        <v>блокхаус</v>
      </c>
      <c r="C2182" s="1004" t="str">
        <f aca="false">'Смета Внутр'!C2189</f>
        <v>м2</v>
      </c>
      <c r="D2182" s="1018" t="n">
        <f aca="false">'Смета Внутр'!D2189</f>
        <v>0</v>
      </c>
      <c r="E2182" s="1004" t="n">
        <f aca="false">'Смета Внутр'!E2189</f>
        <v>400</v>
      </c>
      <c r="F2182" s="1004" t="n">
        <f aca="false">'Смета Внутр'!F2189</f>
        <v>0</v>
      </c>
      <c r="G2182" s="1004" t="n">
        <f aca="false">IF(E2182&gt;F2182,E2182,F2182)</f>
        <v>400</v>
      </c>
      <c r="H2182" s="1004" t="n">
        <f aca="false">'Смета Внутр'!G2189</f>
        <v>0</v>
      </c>
      <c r="I2182" s="1004" t="n">
        <f aca="false">'Смета Внутр'!H2189</f>
        <v>0</v>
      </c>
      <c r="J2182" s="1018" t="n">
        <f aca="false">'Смета Внутр'!I2189</f>
        <v>0</v>
      </c>
    </row>
    <row r="2183" customFormat="false" ht="15" hidden="false" customHeight="true" outlineLevel="0" collapsed="false">
      <c r="B2183" s="2888" t="str">
        <f aca="false">'Смета Внутр'!B2190</f>
        <v>вагонка</v>
      </c>
      <c r="C2183" s="2888" t="str">
        <f aca="false">'Смета Внутр'!C2190</f>
        <v>м2</v>
      </c>
      <c r="D2183" s="2897" t="n">
        <f aca="false">'Смета Внутр'!D2190</f>
        <v>0</v>
      </c>
      <c r="E2183" s="1004" t="n">
        <f aca="false">'Смета Внутр'!E2190</f>
        <v>400</v>
      </c>
      <c r="F2183" s="1004" t="n">
        <f aca="false">'Смета Внутр'!F2190</f>
        <v>0</v>
      </c>
      <c r="G2183" s="2888" t="n">
        <f aca="false">IF(E2183&gt;F2183,E2183,F2183)</f>
        <v>400</v>
      </c>
      <c r="H2183" s="1004" t="n">
        <f aca="false">'Смета Внутр'!G2190</f>
        <v>0</v>
      </c>
      <c r="I2183" s="1004" t="n">
        <f aca="false">'Смета Внутр'!H2190</f>
        <v>0</v>
      </c>
      <c r="J2183" s="2897" t="n">
        <f aca="false">'Смета Внутр'!I2190</f>
        <v>0</v>
      </c>
    </row>
    <row r="2184" customFormat="false" ht="15" hidden="false" customHeight="true" outlineLevel="0" collapsed="false">
      <c r="B2184" s="1004" t="str">
        <f aca="false">'Смета Внутр'!B2191</f>
        <v>подсистема, брусок</v>
      </c>
      <c r="C2184" s="1004" t="str">
        <f aca="false">'Смета Внутр'!C2191</f>
        <v>м2</v>
      </c>
      <c r="D2184" s="1018" t="n">
        <f aca="false">'Смета Внутр'!D2191</f>
        <v>0</v>
      </c>
      <c r="E2184" s="1004" t="n">
        <f aca="false">'Смета Внутр'!E2191</f>
        <v>100</v>
      </c>
      <c r="F2184" s="1004" t="n">
        <f aca="false">'Смета Внутр'!F2191</f>
        <v>0</v>
      </c>
      <c r="G2184" s="1004" t="n">
        <f aca="false">IF(E2184&gt;F2184,E2184,F2184)</f>
        <v>100</v>
      </c>
      <c r="H2184" s="1004" t="n">
        <f aca="false">'Смета Внутр'!G2191</f>
        <v>0</v>
      </c>
      <c r="I2184" s="1004" t="n">
        <f aca="false">'Смета Внутр'!H2191</f>
        <v>0</v>
      </c>
      <c r="J2184" s="1018" t="n">
        <f aca="false">'Смета Внутр'!I2191</f>
        <v>0</v>
      </c>
    </row>
    <row r="2185" customFormat="false" ht="15" hidden="false" customHeight="true" outlineLevel="0" collapsed="false">
      <c r="B2185" s="2889" t="str">
        <f aca="false">'Смета Внутр'!B2192</f>
        <v>потолок</v>
      </c>
      <c r="C2185" s="2889"/>
      <c r="D2185" s="2889"/>
      <c r="E2185" s="2889"/>
      <c r="F2185" s="2889"/>
      <c r="G2185" s="2889"/>
      <c r="H2185" s="1004" t="n">
        <f aca="false">'Смета Внутр'!G2192</f>
        <v>0</v>
      </c>
      <c r="I2185" s="1004" t="n">
        <f aca="false">'Смета Внутр'!H2192</f>
        <v>0</v>
      </c>
      <c r="J2185" s="2895" t="n">
        <f aca="false">'Смета Внутр'!I2192</f>
        <v>0</v>
      </c>
    </row>
    <row r="2186" customFormat="false" ht="15" hidden="false" customHeight="true" outlineLevel="0" collapsed="false">
      <c r="B2186" s="1004" t="str">
        <f aca="false">'Смета Внутр'!B2193</f>
        <v>монтаж гкл потолок</v>
      </c>
      <c r="C2186" s="1004" t="str">
        <f aca="false">'Смета Внутр'!C2193</f>
        <v>м2</v>
      </c>
      <c r="D2186" s="1018" t="n">
        <f aca="false">'Смета Внутр'!D2193</f>
        <v>0</v>
      </c>
      <c r="E2186" s="1004" t="n">
        <f aca="false">'Смета Внутр'!E2193</f>
        <v>150</v>
      </c>
      <c r="F2186" s="1004" t="n">
        <f aca="false">'Смета Внутр'!F2193</f>
        <v>0</v>
      </c>
      <c r="G2186" s="1004" t="n">
        <f aca="false">IF(E2186&gt;F2186,E2186,F2186)</f>
        <v>150</v>
      </c>
      <c r="H2186" s="1004" t="n">
        <f aca="false">'Смета Внутр'!G2193</f>
        <v>0</v>
      </c>
      <c r="I2186" s="1004" t="n">
        <f aca="false">'Смета Внутр'!H2193</f>
        <v>0</v>
      </c>
      <c r="J2186" s="1018" t="n">
        <f aca="false">'Смета Внутр'!I2193</f>
        <v>0</v>
      </c>
    </row>
    <row r="2187" customFormat="false" ht="15" hidden="false" customHeight="true" outlineLevel="0" collapsed="false">
      <c r="B2187" s="1004" t="str">
        <f aca="false">'Смета Внутр'!B2194</f>
        <v>монтаж подсистемы</v>
      </c>
      <c r="C2187" s="1004" t="str">
        <f aca="false">'Смета Внутр'!C2194</f>
        <v>м2</v>
      </c>
      <c r="D2187" s="1018" t="n">
        <f aca="false">'Смета Внутр'!D2194</f>
        <v>0</v>
      </c>
      <c r="E2187" s="1004" t="n">
        <f aca="false">'Смета Внутр'!E2194</f>
        <v>120</v>
      </c>
      <c r="F2187" s="1004" t="n">
        <f aca="false">'Смета Внутр'!F2194</f>
        <v>0</v>
      </c>
      <c r="G2187" s="1004" t="n">
        <f aca="false">IF(E2187&gt;F2187,E2187,F2187)</f>
        <v>120</v>
      </c>
      <c r="H2187" s="1004" t="n">
        <f aca="false">'Смета Внутр'!G2194</f>
        <v>0</v>
      </c>
      <c r="I2187" s="1004" t="n">
        <f aca="false">'Смета Внутр'!H2194</f>
        <v>0</v>
      </c>
      <c r="J2187" s="1018" t="n">
        <f aca="false">'Смета Внутр'!I2194</f>
        <v>0</v>
      </c>
    </row>
    <row r="2188" customFormat="false" ht="15" hidden="false" customHeight="true" outlineLevel="0" collapsed="false">
      <c r="B2188" s="1004" t="str">
        <f aca="false">'Смета Внутр'!B2195</f>
        <v>шпаклевка швов потолок</v>
      </c>
      <c r="C2188" s="1004" t="str">
        <f aca="false">'Смета Внутр'!C2195</f>
        <v>м2</v>
      </c>
      <c r="D2188" s="1018" t="n">
        <f aca="false">'Смета Внутр'!D2195</f>
        <v>0</v>
      </c>
      <c r="E2188" s="1004" t="n">
        <f aca="false">'Смета Внутр'!E2195</f>
        <v>80</v>
      </c>
      <c r="F2188" s="1004" t="n">
        <f aca="false">'Смета Внутр'!F2195</f>
        <v>0</v>
      </c>
      <c r="G2188" s="1004" t="n">
        <f aca="false">IF(E2188&gt;F2188,E2188,F2188)</f>
        <v>80</v>
      </c>
      <c r="H2188" s="1004" t="n">
        <f aca="false">'Смета Внутр'!G2195</f>
        <v>0</v>
      </c>
      <c r="I2188" s="1004" t="n">
        <f aca="false">'Смета Внутр'!H2195</f>
        <v>0</v>
      </c>
      <c r="J2188" s="1018" t="n">
        <f aca="false">'Смета Внутр'!I2195</f>
        <v>0</v>
      </c>
    </row>
    <row r="2189" customFormat="false" ht="15" hidden="false" customHeight="true" outlineLevel="0" collapsed="false">
      <c r="B2189" s="1004" t="str">
        <f aca="false">'Смета Внутр'!B2196</f>
        <v>шпаклевка финишная пот</v>
      </c>
      <c r="C2189" s="1004" t="str">
        <f aca="false">'Смета Внутр'!C2196</f>
        <v>м2</v>
      </c>
      <c r="D2189" s="1018" t="n">
        <f aca="false">'Смета Внутр'!D2196</f>
        <v>0</v>
      </c>
      <c r="E2189" s="1004" t="n">
        <f aca="false">'Смета Внутр'!E2196</f>
        <v>100</v>
      </c>
      <c r="F2189" s="1004" t="n">
        <f aca="false">'Смета Внутр'!F2196</f>
        <v>0</v>
      </c>
      <c r="G2189" s="1004" t="n">
        <f aca="false">IF(E2189&gt;F2189,E2189,F2189)</f>
        <v>100</v>
      </c>
      <c r="H2189" s="1004" t="n">
        <f aca="false">'Смета Внутр'!G2196</f>
        <v>0</v>
      </c>
      <c r="I2189" s="1004" t="n">
        <f aca="false">'Смета Внутр'!H2196</f>
        <v>0</v>
      </c>
      <c r="J2189" s="1018" t="n">
        <f aca="false">'Смета Внутр'!I2196</f>
        <v>0</v>
      </c>
    </row>
    <row r="2190" customFormat="false" ht="15" hidden="false" customHeight="true" outlineLevel="0" collapsed="false">
      <c r="B2190" s="1004" t="str">
        <f aca="false">'Смета Внутр'!B2197</f>
        <v>окраска потолка</v>
      </c>
      <c r="C2190" s="1004" t="str">
        <f aca="false">'Смета Внутр'!C2197</f>
        <v>м2</v>
      </c>
      <c r="D2190" s="1018" t="n">
        <f aca="false">'Смета Внутр'!D2197</f>
        <v>0</v>
      </c>
      <c r="E2190" s="1004" t="n">
        <f aca="false">'Смета Внутр'!E2197</f>
        <v>150</v>
      </c>
      <c r="F2190" s="1004" t="n">
        <f aca="false">'Смета Внутр'!F2197</f>
        <v>0</v>
      </c>
      <c r="G2190" s="1004" t="n">
        <f aca="false">IF(E2190&gt;F2190,E2190,F2190)</f>
        <v>150</v>
      </c>
      <c r="H2190" s="1004" t="n">
        <f aca="false">'Смета Внутр'!G2197</f>
        <v>0</v>
      </c>
      <c r="I2190" s="1004" t="n">
        <f aca="false">'Смета Внутр'!H2197</f>
        <v>0</v>
      </c>
      <c r="J2190" s="1018" t="n">
        <f aca="false">'Смета Внутр'!I2197</f>
        <v>0</v>
      </c>
    </row>
    <row r="2191" customFormat="false" ht="15" hidden="false" customHeight="true" outlineLevel="0" collapsed="false">
      <c r="B2191" s="1004" t="str">
        <f aca="false">'Смета Внутр'!B2198</f>
        <v>натяжной потолок</v>
      </c>
      <c r="C2191" s="1004" t="str">
        <f aca="false">'Смета Внутр'!C2198</f>
        <v>м2</v>
      </c>
      <c r="D2191" s="1018" t="n">
        <f aca="false">'Смета Внутр'!D2198</f>
        <v>0</v>
      </c>
      <c r="E2191" s="1004" t="n">
        <f aca="false">'Смета Внутр'!E2198</f>
        <v>300</v>
      </c>
      <c r="F2191" s="1004" t="n">
        <f aca="false">'Смета Внутр'!F2198</f>
        <v>0</v>
      </c>
      <c r="G2191" s="1004" t="n">
        <f aca="false">IF(E2191&gt;F2191,E2191,F2191)</f>
        <v>300</v>
      </c>
      <c r="H2191" s="1004" t="n">
        <f aca="false">'Смета Внутр'!G2198</f>
        <v>0</v>
      </c>
      <c r="I2191" s="1004" t="n">
        <f aca="false">'Смета Внутр'!H2198</f>
        <v>0</v>
      </c>
      <c r="J2191" s="1018" t="n">
        <f aca="false">'Смета Внутр'!I2198</f>
        <v>0</v>
      </c>
    </row>
    <row r="2192" customFormat="false" ht="15" hidden="false" customHeight="true" outlineLevel="0" collapsed="false">
      <c r="B2192" s="1004" t="str">
        <f aca="false">'Смета Внутр'!B2199</f>
        <v>багем монтаж</v>
      </c>
      <c r="C2192" s="1004" t="str">
        <f aca="false">'Смета Внутр'!C2199</f>
        <v>м.п.</v>
      </c>
      <c r="D2192" s="1018" t="n">
        <f aca="false">'Смета Внутр'!D2199</f>
        <v>0</v>
      </c>
      <c r="E2192" s="1004" t="n">
        <f aca="false">'Смета Внутр'!E2199</f>
        <v>50</v>
      </c>
      <c r="F2192" s="1004" t="n">
        <f aca="false">'Смета Внутр'!F2199</f>
        <v>0</v>
      </c>
      <c r="G2192" s="1004" t="n">
        <f aca="false">IF(E2192&gt;F2192,E2192,F2192)</f>
        <v>50</v>
      </c>
      <c r="H2192" s="1004" t="n">
        <f aca="false">'Смета Внутр'!G2199</f>
        <v>0</v>
      </c>
      <c r="I2192" s="1004" t="n">
        <f aca="false">'Смета Внутр'!H2199</f>
        <v>0</v>
      </c>
      <c r="J2192" s="1018" t="n">
        <f aca="false">'Смета Внутр'!I2199</f>
        <v>0</v>
      </c>
    </row>
    <row r="2193" customFormat="false" ht="15" hidden="false" customHeight="true" outlineLevel="0" collapsed="false">
      <c r="B2193" s="1004" t="str">
        <f aca="false">'Смета Внутр'!B2200</f>
        <v>багет шпаклевка</v>
      </c>
      <c r="C2193" s="1004" t="str">
        <f aca="false">'Смета Внутр'!C2200</f>
        <v>м.п.</v>
      </c>
      <c r="D2193" s="1018" t="n">
        <f aca="false">'Смета Внутр'!D2200</f>
        <v>0</v>
      </c>
      <c r="E2193" s="1004" t="n">
        <f aca="false">'Смета Внутр'!E2200</f>
        <v>50</v>
      </c>
      <c r="F2193" s="1004" t="n">
        <f aca="false">'Смета Внутр'!F2200</f>
        <v>0</v>
      </c>
      <c r="G2193" s="1004" t="n">
        <f aca="false">IF(E2193&gt;F2193,E2193,F2193)</f>
        <v>50</v>
      </c>
      <c r="H2193" s="1004" t="n">
        <f aca="false">'Смета Внутр'!G2200</f>
        <v>0</v>
      </c>
      <c r="I2193" s="1004" t="n">
        <f aca="false">'Смета Внутр'!H2200</f>
        <v>0</v>
      </c>
      <c r="J2193" s="1018" t="n">
        <f aca="false">'Смета Внутр'!I2200</f>
        <v>0</v>
      </c>
    </row>
    <row r="2194" customFormat="false" ht="15" hidden="false" customHeight="true" outlineLevel="0" collapsed="false">
      <c r="B2194" s="1004" t="str">
        <f aca="false">'Смета Внутр'!B2201</f>
        <v>багет покраска</v>
      </c>
      <c r="C2194" s="1004" t="str">
        <f aca="false">'Смета Внутр'!C2201</f>
        <v>м.п.</v>
      </c>
      <c r="D2194" s="1018" t="n">
        <f aca="false">'Смета Внутр'!D2201</f>
        <v>0</v>
      </c>
      <c r="E2194" s="1004" t="n">
        <f aca="false">'Смета Внутр'!E2201</f>
        <v>50</v>
      </c>
      <c r="F2194" s="1004" t="n">
        <f aca="false">'Смета Внутр'!F2201</f>
        <v>0</v>
      </c>
      <c r="G2194" s="1004" t="n">
        <f aca="false">IF(E2194&gt;F2194,E2194,F2194)</f>
        <v>50</v>
      </c>
      <c r="H2194" s="1004" t="n">
        <f aca="false">'Смета Внутр'!G2201</f>
        <v>0</v>
      </c>
      <c r="I2194" s="1004" t="n">
        <f aca="false">'Смета Внутр'!H2201</f>
        <v>0</v>
      </c>
      <c r="J2194" s="1018" t="n">
        <f aca="false">'Смета Внутр'!I2201</f>
        <v>0</v>
      </c>
    </row>
    <row r="2195" customFormat="false" ht="15" hidden="false" customHeight="true" outlineLevel="0" collapsed="false">
      <c r="B2195" s="1004" t="str">
        <f aca="false">'Смета Внутр'!B2202</f>
        <v>имитация бруса</v>
      </c>
      <c r="C2195" s="1004" t="str">
        <f aca="false">'Смета Внутр'!C2202</f>
        <v>м2</v>
      </c>
      <c r="D2195" s="1018" t="n">
        <f aca="false">'Смета Внутр'!D2202</f>
        <v>0</v>
      </c>
      <c r="E2195" s="1004" t="n">
        <f aca="false">'Смета Внутр'!E2202</f>
        <v>400</v>
      </c>
      <c r="F2195" s="1004" t="n">
        <f aca="false">'Смета Внутр'!F2202</f>
        <v>0</v>
      </c>
      <c r="G2195" s="1004" t="n">
        <f aca="false">IF(E2195&gt;F2195,E2195,F2195)</f>
        <v>400</v>
      </c>
      <c r="H2195" s="1004" t="n">
        <f aca="false">'Смета Внутр'!G2202</f>
        <v>0</v>
      </c>
      <c r="I2195" s="1004" t="n">
        <f aca="false">'Смета Внутр'!H2202</f>
        <v>0</v>
      </c>
      <c r="J2195" s="1018" t="n">
        <f aca="false">'Смета Внутр'!I2202</f>
        <v>0</v>
      </c>
    </row>
    <row r="2196" customFormat="false" ht="15" hidden="false" customHeight="true" outlineLevel="0" collapsed="false">
      <c r="B2196" s="1004" t="str">
        <f aca="false">'Смета Внутр'!B2203</f>
        <v>блокхаус</v>
      </c>
      <c r="C2196" s="1004" t="str">
        <f aca="false">'Смета Внутр'!C2203</f>
        <v>м2</v>
      </c>
      <c r="D2196" s="1018" t="n">
        <f aca="false">'Смета Внутр'!D2203</f>
        <v>0</v>
      </c>
      <c r="E2196" s="1004" t="n">
        <f aca="false">'Смета Внутр'!E2203</f>
        <v>400</v>
      </c>
      <c r="F2196" s="1004" t="n">
        <f aca="false">'Смета Внутр'!F2203</f>
        <v>0</v>
      </c>
      <c r="G2196" s="1004" t="n">
        <f aca="false">IF(E2196&gt;F2196,E2196,F2196)</f>
        <v>400</v>
      </c>
      <c r="H2196" s="1004" t="n">
        <f aca="false">'Смета Внутр'!G2203</f>
        <v>0</v>
      </c>
      <c r="I2196" s="1004" t="n">
        <f aca="false">'Смета Внутр'!H2203</f>
        <v>0</v>
      </c>
      <c r="J2196" s="1018" t="n">
        <f aca="false">'Смета Внутр'!I2203</f>
        <v>0</v>
      </c>
    </row>
    <row r="2197" customFormat="false" ht="15" hidden="false" customHeight="true" outlineLevel="0" collapsed="false">
      <c r="B2197" s="2888" t="str">
        <f aca="false">'Смета Внутр'!B2204</f>
        <v>вагонка</v>
      </c>
      <c r="C2197" s="2888" t="str">
        <f aca="false">'Смета Внутр'!C2204</f>
        <v>м2</v>
      </c>
      <c r="D2197" s="2897" t="n">
        <f aca="false">'Смета Внутр'!D2204</f>
        <v>0</v>
      </c>
      <c r="E2197" s="1004" t="n">
        <f aca="false">'Смета Внутр'!E2204</f>
        <v>400</v>
      </c>
      <c r="F2197" s="1004" t="n">
        <f aca="false">'Смета Внутр'!F2204</f>
        <v>0</v>
      </c>
      <c r="G2197" s="2888" t="n">
        <f aca="false">IF(E2197&gt;F2197,E2197,F2197)</f>
        <v>400</v>
      </c>
      <c r="H2197" s="1004" t="n">
        <f aca="false">'Смета Внутр'!G2204</f>
        <v>0</v>
      </c>
      <c r="I2197" s="1004" t="n">
        <f aca="false">'Смета Внутр'!H2204</f>
        <v>0</v>
      </c>
      <c r="J2197" s="2897" t="n">
        <f aca="false">'Смета Внутр'!I2204</f>
        <v>0</v>
      </c>
    </row>
    <row r="2198" customFormat="false" ht="15" hidden="false" customHeight="true" outlineLevel="0" collapsed="false">
      <c r="B2198" s="1004" t="str">
        <f aca="false">'Смета Внутр'!B2205</f>
        <v>подсистема, брусок</v>
      </c>
      <c r="C2198" s="1004" t="str">
        <f aca="false">'Смета Внутр'!C2205</f>
        <v>м2</v>
      </c>
      <c r="D2198" s="1018" t="n">
        <f aca="false">'Смета Внутр'!D2205</f>
        <v>0</v>
      </c>
      <c r="E2198" s="1004" t="n">
        <f aca="false">'Смета Внутр'!E2205</f>
        <v>100</v>
      </c>
      <c r="F2198" s="1004" t="n">
        <f aca="false">'Смета Внутр'!F2205</f>
        <v>0</v>
      </c>
      <c r="G2198" s="1004" t="n">
        <f aca="false">IF(E2198&gt;F2198,E2198,F2198)</f>
        <v>100</v>
      </c>
      <c r="H2198" s="1004" t="n">
        <f aca="false">'Смета Внутр'!G2205</f>
        <v>0</v>
      </c>
      <c r="I2198" s="1004" t="n">
        <f aca="false">'Смета Внутр'!H2205</f>
        <v>0</v>
      </c>
      <c r="J2198" s="1018" t="n">
        <f aca="false">'Смета Внутр'!I2205</f>
        <v>0</v>
      </c>
    </row>
    <row r="2199" customFormat="false" ht="15" hidden="false" customHeight="true" outlineLevel="0" collapsed="false">
      <c r="B2199" s="2937" t="str">
        <f aca="false">'Смета Внутр'!B2206</f>
        <v>пол</v>
      </c>
      <c r="C2199" s="2937"/>
      <c r="D2199" s="2937"/>
      <c r="E2199" s="2937"/>
      <c r="F2199" s="2937"/>
      <c r="G2199" s="2937"/>
      <c r="H2199" s="1004" t="n">
        <f aca="false">'Смета Внутр'!G2206</f>
        <v>0</v>
      </c>
      <c r="I2199" s="1004" t="n">
        <f aca="false">'Смета Внутр'!H2206</f>
        <v>0</v>
      </c>
      <c r="J2199" s="2938" t="n">
        <f aca="false">'Смета Внутр'!I2206</f>
        <v>0</v>
      </c>
    </row>
    <row r="2200" customFormat="false" ht="15" hidden="false" customHeight="true" outlineLevel="0" collapsed="false">
      <c r="B2200" s="1004" t="str">
        <f aca="false">'Смета Внутр'!B2207</f>
        <v>подложка</v>
      </c>
      <c r="C2200" s="1004" t="str">
        <f aca="false">'Смета Внутр'!C2207</f>
        <v>м2</v>
      </c>
      <c r="D2200" s="1018" t="n">
        <f aca="false">'Смета Внутр'!D2207</f>
        <v>94</v>
      </c>
      <c r="E2200" s="1004" t="n">
        <f aca="false">'Смета Внутр'!E2207</f>
        <v>30</v>
      </c>
      <c r="F2200" s="1004" t="n">
        <f aca="false">'Смета Внутр'!F2207</f>
        <v>0</v>
      </c>
      <c r="G2200" s="1004" t="n">
        <f aca="false">IF(E2200&gt;F2200,E2200,F2200)</f>
        <v>30</v>
      </c>
      <c r="H2200" s="1004" t="n">
        <f aca="false">'Смета Внутр'!G2207</f>
        <v>2820</v>
      </c>
      <c r="I2200" s="1004" t="n">
        <f aca="false">'Смета Внутр'!H2207</f>
        <v>0</v>
      </c>
      <c r="J2200" s="1018" t="n">
        <f aca="false">'Смета Внутр'!I2207</f>
        <v>0</v>
      </c>
    </row>
    <row r="2201" customFormat="false" ht="15" hidden="false" customHeight="true" outlineLevel="0" collapsed="false">
      <c r="B2201" s="1004" t="str">
        <f aca="false">'Смета Внутр'!B2208</f>
        <v>линолеум</v>
      </c>
      <c r="C2201" s="1004" t="str">
        <f aca="false">'Смета Внутр'!C2208</f>
        <v>м2</v>
      </c>
      <c r="D2201" s="1018" t="n">
        <f aca="false">'Смета Внутр'!D2208</f>
        <v>0</v>
      </c>
      <c r="E2201" s="1004" t="n">
        <f aca="false">'Смета Внутр'!E2208</f>
        <v>150</v>
      </c>
      <c r="F2201" s="1004" t="n">
        <f aca="false">'Смета Внутр'!F2208</f>
        <v>0</v>
      </c>
      <c r="G2201" s="1004" t="n">
        <f aca="false">IF(E2201&gt;F2201,E2201,F2201)</f>
        <v>150</v>
      </c>
      <c r="H2201" s="1004" t="n">
        <f aca="false">'Смета Внутр'!G2208</f>
        <v>0</v>
      </c>
      <c r="I2201" s="1004" t="n">
        <f aca="false">'Смета Внутр'!H2208</f>
        <v>0</v>
      </c>
      <c r="J2201" s="1018" t="n">
        <f aca="false">'Смета Внутр'!I2208</f>
        <v>0</v>
      </c>
    </row>
    <row r="2202" customFormat="false" ht="15" hidden="false" customHeight="true" outlineLevel="0" collapsed="false">
      <c r="B2202" s="1004" t="str">
        <f aca="false">'Смета Внутр'!B2209</f>
        <v>ламинат</v>
      </c>
      <c r="C2202" s="1004" t="str">
        <f aca="false">'Смета Внутр'!C2209</f>
        <v>м2</v>
      </c>
      <c r="D2202" s="1018" t="n">
        <f aca="false">'Смета Внутр'!D2209</f>
        <v>94</v>
      </c>
      <c r="E2202" s="1004" t="n">
        <f aca="false">'Смета Внутр'!E2209</f>
        <v>150</v>
      </c>
      <c r="F2202" s="1004" t="n">
        <f aca="false">'Смета Внутр'!F2209</f>
        <v>0</v>
      </c>
      <c r="G2202" s="1004" t="n">
        <f aca="false">IF(E2202&gt;F2202,E2202,F2202)</f>
        <v>150</v>
      </c>
      <c r="H2202" s="1004" t="n">
        <f aca="false">'Смета Внутр'!G2209</f>
        <v>14100</v>
      </c>
      <c r="I2202" s="1004" t="n">
        <f aca="false">'Смета Внутр'!H2209</f>
        <v>0</v>
      </c>
      <c r="J2202" s="1018" t="n">
        <f aca="false">'Смета Внутр'!I2209</f>
        <v>0</v>
      </c>
    </row>
    <row r="2203" customFormat="false" ht="15" hidden="false" customHeight="true" outlineLevel="0" collapsed="false">
      <c r="B2203" s="1004" t="str">
        <f aca="false">'Смета Внутр'!B2210</f>
        <v>плинтус</v>
      </c>
      <c r="C2203" s="1004" t="str">
        <f aca="false">'Смета Внутр'!C2210</f>
        <v>м.п.</v>
      </c>
      <c r="D2203" s="1018" t="n">
        <f aca="false">'Смета Внутр'!D2210</f>
        <v>0</v>
      </c>
      <c r="E2203" s="1004" t="n">
        <f aca="false">'Смета Внутр'!E2210</f>
        <v>150</v>
      </c>
      <c r="F2203" s="1004" t="n">
        <f aca="false">'Смета Внутр'!F2210</f>
        <v>0</v>
      </c>
      <c r="G2203" s="1004" t="n">
        <f aca="false">IF(E2203&gt;F2203,E2203,F2203)</f>
        <v>150</v>
      </c>
      <c r="H2203" s="1004" t="n">
        <f aca="false">'Смета Внутр'!G2210</f>
        <v>0</v>
      </c>
      <c r="I2203" s="1004" t="n">
        <f aca="false">'Смета Внутр'!H2210</f>
        <v>0</v>
      </c>
      <c r="J2203" s="1018" t="n">
        <f aca="false">'Смета Внутр'!I2210</f>
        <v>0</v>
      </c>
    </row>
    <row r="2204" customFormat="false" ht="15" hidden="false" customHeight="true" outlineLevel="0" collapsed="false">
      <c r="B2204" s="1004" t="str">
        <f aca="false">'Смета Внутр'!B2211</f>
        <v>кафель</v>
      </c>
      <c r="C2204" s="1004" t="str">
        <f aca="false">'Смета Внутр'!C2211</f>
        <v>м2</v>
      </c>
      <c r="D2204" s="1018" t="n">
        <f aca="false">'Смета Внутр'!D2211</f>
        <v>0</v>
      </c>
      <c r="E2204" s="1004" t="n">
        <f aca="false">'Смета Внутр'!E2211</f>
        <v>600</v>
      </c>
      <c r="F2204" s="1004" t="n">
        <f aca="false">'Смета Внутр'!F2211</f>
        <v>0</v>
      </c>
      <c r="G2204" s="1004" t="n">
        <f aca="false">IF(E2204&gt;F2204,E2204,F2204)</f>
        <v>600</v>
      </c>
      <c r="H2204" s="1004" t="n">
        <f aca="false">'Смета Внутр'!G2211</f>
        <v>0</v>
      </c>
      <c r="I2204" s="1004" t="n">
        <f aca="false">'Смета Внутр'!H2211</f>
        <v>0</v>
      </c>
      <c r="J2204" s="1018" t="n">
        <f aca="false">'Смета Внутр'!I2211</f>
        <v>0</v>
      </c>
    </row>
    <row r="2205" customFormat="false" ht="15" hidden="false" customHeight="true" outlineLevel="0" collapsed="false">
      <c r="B2205" s="2937" t="str">
        <f aca="false">'Смета Внутр'!B2212</f>
        <v>санузел/ванная</v>
      </c>
      <c r="C2205" s="2937"/>
      <c r="D2205" s="2937"/>
      <c r="E2205" s="2937"/>
      <c r="F2205" s="2937"/>
      <c r="G2205" s="2937"/>
      <c r="H2205" s="1004" t="n">
        <f aca="false">'Смета Внутр'!G2212</f>
        <v>0</v>
      </c>
      <c r="I2205" s="1004" t="n">
        <f aca="false">'Смета Внутр'!H2212</f>
        <v>0</v>
      </c>
      <c r="J2205" s="2938" t="n">
        <f aca="false">'Смета Внутр'!I2212</f>
        <v>0</v>
      </c>
    </row>
    <row r="2206" customFormat="false" ht="15" hidden="false" customHeight="true" outlineLevel="0" collapsed="false">
      <c r="B2206" s="1004" t="str">
        <f aca="false">'Смета Внутр'!B2213</f>
        <v>кафель стены</v>
      </c>
      <c r="C2206" s="1004" t="str">
        <f aca="false">'Смета Внутр'!C2213</f>
        <v>м2</v>
      </c>
      <c r="D2206" s="1018" t="n">
        <f aca="false">'Смета Внутр'!D2213</f>
        <v>0</v>
      </c>
      <c r="E2206" s="1004" t="n">
        <f aca="false">'Смета Внутр'!E2213</f>
        <v>600</v>
      </c>
      <c r="F2206" s="1004" t="n">
        <f aca="false">'Смета Внутр'!F2213</f>
        <v>0</v>
      </c>
      <c r="G2206" s="1004" t="n">
        <f aca="false">IF(E2206&gt;F2206,E2206,F2206)</f>
        <v>600</v>
      </c>
      <c r="H2206" s="1004" t="n">
        <f aca="false">'Смета Внутр'!G2213</f>
        <v>0</v>
      </c>
      <c r="I2206" s="1004" t="n">
        <f aca="false">'Смета Внутр'!H2213</f>
        <v>0</v>
      </c>
      <c r="J2206" s="1018" t="n">
        <f aca="false">'Смета Внутр'!I2213</f>
        <v>0</v>
      </c>
    </row>
    <row r="2207" customFormat="false" ht="15" hidden="false" customHeight="true" outlineLevel="0" collapsed="false">
      <c r="B2207" s="1004" t="str">
        <f aca="false">'Смета Внутр'!B2214</f>
        <v>кафель потолок</v>
      </c>
      <c r="C2207" s="1004" t="str">
        <f aca="false">'Смета Внутр'!C2214</f>
        <v>м2</v>
      </c>
      <c r="D2207" s="1018" t="n">
        <f aca="false">'Смета Внутр'!D2214</f>
        <v>0</v>
      </c>
      <c r="E2207" s="1004" t="n">
        <f aca="false">'Смета Внутр'!E2214</f>
        <v>600</v>
      </c>
      <c r="F2207" s="1004" t="n">
        <f aca="false">'Смета Внутр'!F2214</f>
        <v>0</v>
      </c>
      <c r="G2207" s="1004" t="n">
        <f aca="false">IF(E2207&gt;F2207,E2207,F2207)</f>
        <v>600</v>
      </c>
      <c r="H2207" s="1004" t="n">
        <f aca="false">'Смета Внутр'!G2214</f>
        <v>0</v>
      </c>
      <c r="I2207" s="1004" t="n">
        <f aca="false">'Смета Внутр'!H2214</f>
        <v>0</v>
      </c>
      <c r="J2207" s="1018" t="n">
        <f aca="false">'Смета Внутр'!I2214</f>
        <v>0</v>
      </c>
    </row>
    <row r="2208" customFormat="false" ht="15" hidden="false" customHeight="true" outlineLevel="0" collapsed="false">
      <c r="B2208" s="1004" t="str">
        <f aca="false">'Смета Внутр'!B2215</f>
        <v>кафель пол</v>
      </c>
      <c r="C2208" s="1004" t="str">
        <f aca="false">'Смета Внутр'!C2215</f>
        <v>м2</v>
      </c>
      <c r="D2208" s="1018" t="n">
        <f aca="false">'Смета Внутр'!D2215</f>
        <v>0</v>
      </c>
      <c r="E2208" s="1004" t="n">
        <f aca="false">'Смета Внутр'!E2215</f>
        <v>600</v>
      </c>
      <c r="F2208" s="1004" t="n">
        <f aca="false">'Смета Внутр'!F2215</f>
        <v>0</v>
      </c>
      <c r="G2208" s="1004" t="n">
        <f aca="false">IF(E2208&gt;F2208,E2208,F2208)</f>
        <v>600</v>
      </c>
      <c r="H2208" s="1004" t="n">
        <f aca="false">'Смета Внутр'!G2215</f>
        <v>0</v>
      </c>
      <c r="I2208" s="1004" t="n">
        <f aca="false">'Смета Внутр'!H2215</f>
        <v>0</v>
      </c>
      <c r="J2208" s="1018" t="n">
        <f aca="false">'Смета Внутр'!I2215</f>
        <v>0</v>
      </c>
    </row>
    <row r="2209" customFormat="false" ht="15" hidden="false" customHeight="true" outlineLevel="0" collapsed="false">
      <c r="B2209" s="1004" t="str">
        <f aca="false">'Смета Внутр'!B2216</f>
        <v>панели пластик стены</v>
      </c>
      <c r="C2209" s="1004" t="str">
        <f aca="false">'Смета Внутр'!C2216</f>
        <v>м2</v>
      </c>
      <c r="D2209" s="1018" t="n">
        <f aca="false">'Смета Внутр'!D2216</f>
        <v>0</v>
      </c>
      <c r="E2209" s="1004" t="n">
        <f aca="false">'Смета Внутр'!E2216</f>
        <v>150</v>
      </c>
      <c r="F2209" s="1004" t="n">
        <f aca="false">'Смета Внутр'!F2216</f>
        <v>0</v>
      </c>
      <c r="G2209" s="1004" t="n">
        <f aca="false">IF(E2209&gt;F2209,E2209,F2209)</f>
        <v>150</v>
      </c>
      <c r="H2209" s="1004" t="n">
        <f aca="false">'Смета Внутр'!G2216</f>
        <v>0</v>
      </c>
      <c r="I2209" s="1004" t="n">
        <f aca="false">'Смета Внутр'!H2216</f>
        <v>0</v>
      </c>
      <c r="J2209" s="1018" t="n">
        <f aca="false">'Смета Внутр'!I2216</f>
        <v>0</v>
      </c>
    </row>
    <row r="2210" customFormat="false" ht="15" hidden="false" customHeight="true" outlineLevel="0" collapsed="false">
      <c r="B2210" s="1004" t="str">
        <f aca="false">'Смета Внутр'!B2217</f>
        <v>панели пластик потолок</v>
      </c>
      <c r="C2210" s="1004" t="str">
        <f aca="false">'Смета Внутр'!C2217</f>
        <v>м2</v>
      </c>
      <c r="D2210" s="1018" t="n">
        <f aca="false">'Смета Внутр'!D2217</f>
        <v>0</v>
      </c>
      <c r="E2210" s="1004" t="n">
        <f aca="false">'Смета Внутр'!E2217</f>
        <v>150</v>
      </c>
      <c r="F2210" s="1004" t="n">
        <f aca="false">'Смета Внутр'!F2217</f>
        <v>0</v>
      </c>
      <c r="G2210" s="1004" t="n">
        <f aca="false">IF(E2210&gt;F2210,E2210,F2210)</f>
        <v>150</v>
      </c>
      <c r="H2210" s="1004" t="n">
        <f aca="false">'Смета Внутр'!G2217</f>
        <v>0</v>
      </c>
      <c r="I2210" s="1004" t="n">
        <f aca="false">'Смета Внутр'!H2217</f>
        <v>0</v>
      </c>
      <c r="J2210" s="1018" t="n">
        <f aca="false">'Смета Внутр'!I2217</f>
        <v>0</v>
      </c>
    </row>
    <row r="2211" customFormat="false" ht="15" hidden="false" customHeight="true" outlineLevel="0" collapsed="false">
      <c r="B2211" s="1004" t="str">
        <f aca="false">'Смета Внутр'!B2218</f>
        <v>натяжной потолок</v>
      </c>
      <c r="C2211" s="1004" t="str">
        <f aca="false">'Смета Внутр'!C2218</f>
        <v>м2</v>
      </c>
      <c r="D2211" s="1018" t="n">
        <f aca="false">'Смета Внутр'!D2218</f>
        <v>0</v>
      </c>
      <c r="E2211" s="1004" t="n">
        <f aca="false">'Смета Внутр'!E2218</f>
        <v>300</v>
      </c>
      <c r="F2211" s="1004" t="n">
        <f aca="false">'Смета Внутр'!F2218</f>
        <v>0</v>
      </c>
      <c r="G2211" s="1004" t="n">
        <f aca="false">IF(E2211&gt;F2211,E2211,F2211)</f>
        <v>300</v>
      </c>
      <c r="H2211" s="1004" t="n">
        <f aca="false">'Смета Внутр'!G2218</f>
        <v>0</v>
      </c>
      <c r="I2211" s="1004" t="n">
        <f aca="false">'Смета Внутр'!H2218</f>
        <v>0</v>
      </c>
      <c r="J2211" s="1018" t="n">
        <f aca="false">'Смета Внутр'!I2218</f>
        <v>0</v>
      </c>
    </row>
    <row r="2212" customFormat="false" ht="15" hidden="false" customHeight="true" outlineLevel="0" collapsed="false">
      <c r="B2212" s="1004" t="str">
        <f aca="false">'Смета Внутр'!B2219</f>
        <v>Двери межкомнатные</v>
      </c>
      <c r="C2212" s="1004"/>
      <c r="D2212" s="1018"/>
      <c r="E2212" s="1004"/>
      <c r="F2212" s="1004"/>
      <c r="G2212" s="1004"/>
      <c r="H2212" s="1004" t="n">
        <f aca="false">'Смета Внутр'!G2219</f>
        <v>0</v>
      </c>
      <c r="I2212" s="1004" t="n">
        <f aca="false">'Смета Внутр'!H2219</f>
        <v>0</v>
      </c>
      <c r="J2212" s="1018" t="n">
        <f aca="false">'Смета Внутр'!I2219</f>
        <v>0</v>
      </c>
    </row>
    <row r="2213" customFormat="false" ht="15" hidden="false" customHeight="true" outlineLevel="0" collapsed="false">
      <c r="B2213" s="1004" t="str">
        <f aca="false">'Смета Внутр'!B2220</f>
        <v>устанвка дверей</v>
      </c>
      <c r="C2213" s="1004" t="str">
        <f aca="false">'Смета Внутр'!C2220</f>
        <v>шт</v>
      </c>
      <c r="D2213" s="1018" t="n">
        <f aca="false">'Смета Внутр'!D2220</f>
        <v>0</v>
      </c>
      <c r="E2213" s="1004" t="n">
        <f aca="false">'Смета Внутр'!E2220</f>
        <v>1200</v>
      </c>
      <c r="F2213" s="1004" t="n">
        <f aca="false">'Смета Внутр'!F2220</f>
        <v>0</v>
      </c>
      <c r="G2213" s="1004" t="n">
        <f aca="false">IF(E2213&gt;F2213,E2213,F2213)</f>
        <v>1200</v>
      </c>
      <c r="H2213" s="1004" t="n">
        <f aca="false">'Смета Внутр'!G2220</f>
        <v>0</v>
      </c>
      <c r="I2213" s="1004" t="n">
        <f aca="false">'Смета Внутр'!H2220</f>
        <v>0</v>
      </c>
      <c r="J2213" s="1018" t="n">
        <f aca="false">'Смета Внутр'!I2220</f>
        <v>0</v>
      </c>
    </row>
    <row r="2214" customFormat="false" ht="15" hidden="false" customHeight="true" outlineLevel="0" collapsed="false">
      <c r="B2214" s="1004" t="str">
        <f aca="false">'Смета Внутр'!B2221</f>
        <v>монтаж коробки</v>
      </c>
      <c r="C2214" s="1004" t="str">
        <f aca="false">'Смета Внутр'!C2221</f>
        <v>шт</v>
      </c>
      <c r="D2214" s="1018" t="n">
        <f aca="false">'Смета Внутр'!D2221</f>
        <v>0</v>
      </c>
      <c r="E2214" s="1004" t="n">
        <f aca="false">'Смета Внутр'!E2221</f>
        <v>250</v>
      </c>
      <c r="F2214" s="1004" t="n">
        <f aca="false">'Смета Внутр'!F2221</f>
        <v>0</v>
      </c>
      <c r="G2214" s="1004" t="n">
        <f aca="false">IF(E2214&gt;F2214,E2214,F2214)</f>
        <v>250</v>
      </c>
      <c r="H2214" s="1004" t="n">
        <f aca="false">'Смета Внутр'!G2221</f>
        <v>0</v>
      </c>
      <c r="I2214" s="1004" t="n">
        <f aca="false">'Смета Внутр'!H2221</f>
        <v>0</v>
      </c>
      <c r="J2214" s="1018" t="n">
        <f aca="false">'Смета Внутр'!I2221</f>
        <v>0</v>
      </c>
    </row>
    <row r="2215" customFormat="false" ht="15" hidden="false" customHeight="true" outlineLevel="0" collapsed="false">
      <c r="B2215" s="1004" t="str">
        <f aca="false">'Смета Внутр'!B2222</f>
        <v>монтаж наличников</v>
      </c>
      <c r="C2215" s="1004" t="str">
        <f aca="false">'Смета Внутр'!C2222</f>
        <v>шт</v>
      </c>
      <c r="D2215" s="1018" t="n">
        <f aca="false">'Смета Внутр'!D2222</f>
        <v>0</v>
      </c>
      <c r="E2215" s="1004" t="n">
        <f aca="false">'Смета Внутр'!E2222</f>
        <v>250</v>
      </c>
      <c r="F2215" s="1004" t="n">
        <f aca="false">'Смета Внутр'!F2222</f>
        <v>0</v>
      </c>
      <c r="G2215" s="1004" t="n">
        <f aca="false">IF(E2215&gt;F2215,E2215,F2215)</f>
        <v>250</v>
      </c>
      <c r="H2215" s="1004" t="n">
        <f aca="false">'Смета Внутр'!G2222</f>
        <v>0</v>
      </c>
      <c r="I2215" s="1004" t="n">
        <f aca="false">'Смета Внутр'!H2222</f>
        <v>0</v>
      </c>
      <c r="J2215" s="1018" t="n">
        <f aca="false">'Смета Внутр'!I2222</f>
        <v>0</v>
      </c>
    </row>
    <row r="2216" customFormat="false" ht="15" hidden="false" customHeight="true" outlineLevel="0" collapsed="false">
      <c r="B2216" s="1004" t="str">
        <f aca="false">'Смета Внутр'!B2223</f>
        <v>монтаж порожков</v>
      </c>
      <c r="C2216" s="1004" t="str">
        <f aca="false">'Смета Внутр'!C2223</f>
        <v>шт</v>
      </c>
      <c r="D2216" s="1018" t="n">
        <f aca="false">'Смета Внутр'!D2223</f>
        <v>0</v>
      </c>
      <c r="E2216" s="1004" t="n">
        <f aca="false">'Смета Внутр'!E2223</f>
        <v>100</v>
      </c>
      <c r="F2216" s="1004" t="n">
        <f aca="false">'Смета Внутр'!F2223</f>
        <v>0</v>
      </c>
      <c r="G2216" s="1004" t="n">
        <f aca="false">IF(E2216&gt;F2216,E2216,F2216)</f>
        <v>100</v>
      </c>
      <c r="H2216" s="1004" t="n">
        <f aca="false">'Смета Внутр'!G2223</f>
        <v>0</v>
      </c>
      <c r="I2216" s="1004" t="n">
        <f aca="false">'Смета Внутр'!H2223</f>
        <v>0</v>
      </c>
      <c r="J2216" s="1018" t="n">
        <f aca="false">'Смета Внутр'!I2223</f>
        <v>0</v>
      </c>
    </row>
    <row r="2217" customFormat="false" ht="15" hidden="false" customHeight="true" outlineLevel="0" collapsed="false">
      <c r="B2217" s="1004" t="str">
        <f aca="false">'Смета Внутр'!B2224</f>
        <v>монтаж отбойников</v>
      </c>
      <c r="C2217" s="1004" t="str">
        <f aca="false">'Смета Внутр'!C2224</f>
        <v>шт</v>
      </c>
      <c r="D2217" s="1018" t="n">
        <f aca="false">'Смета Внутр'!D2224</f>
        <v>0</v>
      </c>
      <c r="E2217" s="1004" t="n">
        <f aca="false">'Смета Внутр'!E2224</f>
        <v>80</v>
      </c>
      <c r="F2217" s="1004" t="n">
        <f aca="false">'Смета Внутр'!F2224</f>
        <v>0</v>
      </c>
      <c r="G2217" s="1004" t="n">
        <f aca="false">IF(E2217&gt;F2217,E2217,F2217)</f>
        <v>80</v>
      </c>
      <c r="H2217" s="1004" t="n">
        <f aca="false">'Смета Внутр'!G2224</f>
        <v>0</v>
      </c>
      <c r="I2217" s="1004" t="n">
        <f aca="false">'Смета Внутр'!H2224</f>
        <v>0</v>
      </c>
      <c r="J2217" s="1018" t="n">
        <f aca="false">'Смета Внутр'!I2224</f>
        <v>0</v>
      </c>
    </row>
    <row r="2218" customFormat="false" ht="15" hidden="false" customHeight="true" outlineLevel="0" collapsed="false">
      <c r="B2218" s="2896" t="str">
        <f aca="false">'Смета Внутр'!B2225</f>
        <v>Итого работы</v>
      </c>
      <c r="C2218" s="2896"/>
      <c r="D2218" s="2896"/>
      <c r="E2218" s="2896"/>
      <c r="F2218" s="2896"/>
      <c r="G2218" s="2896"/>
      <c r="H2218" s="1004" t="n">
        <f aca="false">'Смета Внутр'!G2225</f>
        <v>0</v>
      </c>
      <c r="I2218" s="1004" t="n">
        <f aca="false">'Смета Внутр'!H2225</f>
        <v>0</v>
      </c>
      <c r="J2218" s="2897" t="n">
        <f aca="false">'Смета Внутр'!I2225</f>
        <v>0</v>
      </c>
    </row>
    <row r="2219" customFormat="false" ht="15" hidden="false" customHeight="true" outlineLevel="0" collapsed="false">
      <c r="B2219" s="2925" t="str">
        <f aca="false">'Смета Внутр'!B2226</f>
        <v>Электрика</v>
      </c>
      <c r="C2219" s="2925"/>
      <c r="D2219" s="2925"/>
      <c r="H2219" s="0" t="n">
        <f aca="false">'Смета Внутр'!G2226</f>
        <v>0</v>
      </c>
      <c r="I2219" s="0" t="n">
        <f aca="false">'Смета Внутр'!H2226</f>
        <v>0</v>
      </c>
      <c r="J2219" s="2926" t="n">
        <f aca="false">'Смета Внутр'!I2226</f>
        <v>0</v>
      </c>
    </row>
    <row r="2220" customFormat="false" ht="15" hidden="false" customHeight="true" outlineLevel="0" collapsed="false">
      <c r="B2220" s="2881" t="str">
        <f aca="false">'Смета Внутр'!B2227</f>
        <v>Материалы</v>
      </c>
      <c r="D2220" s="919"/>
      <c r="H2220" s="0" t="n">
        <f aca="false">'Смета Внутр'!G2227</f>
        <v>0</v>
      </c>
      <c r="I2220" s="0" t="n">
        <f aca="false">'Смета Внутр'!H2227</f>
        <v>0</v>
      </c>
      <c r="J2220" s="2926" t="n">
        <f aca="false">'Смета Внутр'!I2227</f>
        <v>0</v>
      </c>
    </row>
    <row r="2221" customFormat="false" ht="15" hidden="false" customHeight="true" outlineLevel="0" collapsed="false">
      <c r="B2221" s="1004" t="str">
        <f aca="false">'Смета Внутр'!B2228</f>
        <v>Кабель ВВГнг(А)-LS 3х2,5 0,66</v>
      </c>
      <c r="C2221" s="1004" t="str">
        <f aca="false">'Смета Внутр'!C2228</f>
        <v>м.п.</v>
      </c>
      <c r="D2221" s="1018" t="n">
        <f aca="false">'Смета Внутр'!D2228</f>
        <v>111.4</v>
      </c>
      <c r="E2221" s="1004" t="n">
        <f aca="false">'Смета Внутр'!E2228</f>
        <v>47.36</v>
      </c>
      <c r="F2221" s="1004" t="n">
        <f aca="false">'Смета Внутр'!F2228</f>
        <v>0</v>
      </c>
      <c r="G2221" s="1004" t="n">
        <f aca="false">IF(E2221&gt;F2221,E2221,F2221)</f>
        <v>47.36</v>
      </c>
      <c r="H2221" s="1004" t="n">
        <f aca="false">'Смета Внутр'!G2228</f>
        <v>5275.904</v>
      </c>
      <c r="I2221" s="1004" t="n">
        <f aca="false">'Смета Внутр'!H2228</f>
        <v>0</v>
      </c>
      <c r="J2221" s="1018" t="n">
        <f aca="false">'Смета Внутр'!I2228</f>
        <v>0</v>
      </c>
    </row>
    <row r="2222" customFormat="false" ht="15" hidden="false" customHeight="true" outlineLevel="0" collapsed="false">
      <c r="B2222" s="1004" t="str">
        <f aca="false">'Смета Внутр'!B2229</f>
        <v>Труба ПВХ гофрировонная гибкая 20</v>
      </c>
      <c r="C2222" s="1004" t="str">
        <f aca="false">'Смета Внутр'!C2229</f>
        <v>м.п.</v>
      </c>
      <c r="D2222" s="1018" t="n">
        <f aca="false">'Смета Внутр'!D2229</f>
        <v>122.54</v>
      </c>
      <c r="E2222" s="1004" t="n">
        <f aca="false">'Смета Внутр'!E2229</f>
        <v>5.02</v>
      </c>
      <c r="F2222" s="1004" t="n">
        <f aca="false">'Смета Внутр'!F2229</f>
        <v>0</v>
      </c>
      <c r="G2222" s="1004" t="n">
        <f aca="false">IF(E2222&gt;F2222,E2222,F2222)</f>
        <v>5.02</v>
      </c>
      <c r="H2222" s="1004" t="n">
        <f aca="false">'Смета Внутр'!G2229</f>
        <v>615.1508</v>
      </c>
      <c r="I2222" s="1004" t="n">
        <f aca="false">'Смета Внутр'!H2229</f>
        <v>0</v>
      </c>
      <c r="J2222" s="1018" t="n">
        <f aca="false">'Смета Внутр'!I2229</f>
        <v>0</v>
      </c>
    </row>
    <row r="2223" customFormat="false" ht="15" hidden="false" customHeight="true" outlineLevel="0" collapsed="false">
      <c r="B2223" s="1004" t="str">
        <f aca="false">'Смета Внутр'!B2230</f>
        <v>Кабель ВВГнг(А)-LS 3х1,5 0,66</v>
      </c>
      <c r="C2223" s="1004" t="str">
        <f aca="false">'Смета Внутр'!C2230</f>
        <v>м.п.</v>
      </c>
      <c r="D2223" s="1018" t="n">
        <f aca="false">'Смета Внутр'!D2230</f>
        <v>186.8</v>
      </c>
      <c r="E2223" s="1004" t="n">
        <f aca="false">'Смета Внутр'!E2230</f>
        <v>29.81</v>
      </c>
      <c r="F2223" s="1004" t="n">
        <f aca="false">'Смета Внутр'!F2230</f>
        <v>0</v>
      </c>
      <c r="G2223" s="1004" t="n">
        <f aca="false">IF(E2223&gt;F2223,E2223,F2223)</f>
        <v>29.81</v>
      </c>
      <c r="H2223" s="1004" t="n">
        <f aca="false">'Смета Внутр'!G2230</f>
        <v>5568.508</v>
      </c>
      <c r="I2223" s="1004" t="n">
        <f aca="false">'Смета Внутр'!H2230</f>
        <v>0</v>
      </c>
      <c r="J2223" s="1018" t="n">
        <f aca="false">'Смета Внутр'!I2230</f>
        <v>0</v>
      </c>
    </row>
    <row r="2224" customFormat="false" ht="15" hidden="false" customHeight="true" outlineLevel="0" collapsed="false">
      <c r="B2224" s="1004" t="str">
        <f aca="false">'Смета Внутр'!B2231</f>
        <v>Труба ПВХ гофрировонная гибкая 25</v>
      </c>
      <c r="C2224" s="1004" t="str">
        <f aca="false">'Смета Внутр'!C2231</f>
        <v>м.п.</v>
      </c>
      <c r="D2224" s="1018" t="n">
        <f aca="false">'Смета Внутр'!D2231</f>
        <v>205.48</v>
      </c>
      <c r="E2224" s="1004" t="n">
        <f aca="false">'Смета Внутр'!E2231</f>
        <v>6.38</v>
      </c>
      <c r="F2224" s="1004" t="n">
        <f aca="false">'Смета Внутр'!F2231</f>
        <v>0</v>
      </c>
      <c r="G2224" s="1004" t="n">
        <f aca="false">IF(E2224&gt;F2224,E2224,F2224)</f>
        <v>6.38</v>
      </c>
      <c r="H2224" s="1004" t="n">
        <f aca="false">'Смета Внутр'!G2231</f>
        <v>1310.9624</v>
      </c>
      <c r="I2224" s="1004" t="n">
        <f aca="false">'Смета Внутр'!H2231</f>
        <v>0</v>
      </c>
      <c r="J2224" s="1018" t="n">
        <f aca="false">'Смета Внутр'!I2231</f>
        <v>0</v>
      </c>
    </row>
    <row r="2225" customFormat="false" ht="15" hidden="false" customHeight="true" outlineLevel="0" collapsed="false">
      <c r="B2225" s="1004" t="str">
        <f aca="false">'Смета Внутр'!B2232</f>
        <v>Кабель ВВГнг(А)-LS 3х4 0,66</v>
      </c>
      <c r="C2225" s="1004" t="str">
        <f aca="false">'Смета Внутр'!C2232</f>
        <v>м.п.</v>
      </c>
      <c r="D2225" s="1018" t="n">
        <f aca="false">'Смета Внутр'!D2232</f>
        <v>75</v>
      </c>
      <c r="E2225" s="1004" t="n">
        <f aca="false">'Смета Внутр'!E2232</f>
        <v>68</v>
      </c>
      <c r="F2225" s="1004" t="n">
        <f aca="false">'Смета Внутр'!F2232</f>
        <v>0</v>
      </c>
      <c r="G2225" s="1004" t="n">
        <f aca="false">IF(E2225&gt;F2225,E2225,F2225)</f>
        <v>68</v>
      </c>
      <c r="H2225" s="1004" t="n">
        <f aca="false">'Смета Внутр'!G2232</f>
        <v>5100</v>
      </c>
      <c r="I2225" s="1004" t="n">
        <f aca="false">'Смета Внутр'!H2232</f>
        <v>0</v>
      </c>
      <c r="J2225" s="1018" t="n">
        <f aca="false">'Смета Внутр'!I2232</f>
        <v>0</v>
      </c>
    </row>
    <row r="2226" customFormat="false" ht="15" hidden="false" customHeight="true" outlineLevel="0" collapsed="false">
      <c r="B2226" s="1004" t="str">
        <f aca="false">'Смета Внутр'!B2233</f>
        <v>Труба ПВХ гофрировонная гибкая 32</v>
      </c>
      <c r="C2226" s="1004" t="str">
        <f aca="false">'Смета Внутр'!C2233</f>
        <v>м.п.</v>
      </c>
      <c r="D2226" s="1018" t="n">
        <f aca="false">'Смета Внутр'!D2233</f>
        <v>82.5</v>
      </c>
      <c r="E2226" s="1004" t="n">
        <f aca="false">'Смета Внутр'!E2233</f>
        <v>6.38</v>
      </c>
      <c r="F2226" s="1004" t="n">
        <f aca="false">'Смета Внутр'!F2233</f>
        <v>0</v>
      </c>
      <c r="G2226" s="1004" t="n">
        <f aca="false">IF(E2226&gt;F2226,E2226,F2226)</f>
        <v>6.38</v>
      </c>
      <c r="H2226" s="1004" t="n">
        <f aca="false">'Смета Внутр'!G2233</f>
        <v>526.35</v>
      </c>
      <c r="I2226" s="1004" t="n">
        <f aca="false">'Смета Внутр'!H2233</f>
        <v>0</v>
      </c>
      <c r="J2226" s="1018" t="n">
        <f aca="false">'Смета Внутр'!I2233</f>
        <v>0</v>
      </c>
    </row>
    <row r="2227" customFormat="false" ht="15" hidden="false" customHeight="true" outlineLevel="0" collapsed="false">
      <c r="B2227" s="1004" t="str">
        <f aca="false">'Смета Внутр'!B2234</f>
        <v>крепления для гофры</v>
      </c>
      <c r="C2227" s="1004" t="str">
        <f aca="false">'Смета Внутр'!C2234</f>
        <v>шт</v>
      </c>
      <c r="D2227" s="1018" t="n">
        <f aca="false">'Смета Внутр'!D2234</f>
        <v>400</v>
      </c>
      <c r="E2227" s="1004" t="n">
        <f aca="false">'Смета Внутр'!E2234</f>
        <v>1</v>
      </c>
      <c r="F2227" s="1004" t="n">
        <f aca="false">'Смета Внутр'!F2234</f>
        <v>0</v>
      </c>
      <c r="G2227" s="1004" t="n">
        <f aca="false">IF(E2227&gt;F2227,E2227,F2227)</f>
        <v>1</v>
      </c>
      <c r="H2227" s="1004" t="n">
        <f aca="false">'Смета Внутр'!G2234</f>
        <v>400</v>
      </c>
      <c r="I2227" s="1004" t="n">
        <f aca="false">'Смета Внутр'!H2234</f>
        <v>0</v>
      </c>
      <c r="J2227" s="1018" t="n">
        <f aca="false">'Смета Внутр'!I2234</f>
        <v>0</v>
      </c>
    </row>
    <row r="2228" customFormat="false" ht="15" hidden="false" customHeight="true" outlineLevel="0" collapsed="false">
      <c r="B2228" s="1004" t="str">
        <f aca="false">'Смета Внутр'!B2235</f>
        <v>саморез для крепления гофры</v>
      </c>
      <c r="C2228" s="1004" t="str">
        <f aca="false">'Смета Внутр'!C2235</f>
        <v>шт</v>
      </c>
      <c r="D2228" s="1018" t="n">
        <f aca="false">'Смета Внутр'!D2235</f>
        <v>800</v>
      </c>
      <c r="E2228" s="1004" t="n">
        <f aca="false">'Смета Внутр'!E2235</f>
        <v>0.25</v>
      </c>
      <c r="F2228" s="1004" t="n">
        <f aca="false">'Смета Внутр'!F2235</f>
        <v>0</v>
      </c>
      <c r="G2228" s="1004" t="n">
        <f aca="false">IF(E2228&gt;F2228,E2228,F2228)</f>
        <v>0.25</v>
      </c>
      <c r="H2228" s="1004" t="n">
        <f aca="false">'Смета Внутр'!G2235</f>
        <v>200</v>
      </c>
      <c r="I2228" s="1004" t="n">
        <f aca="false">'Смета Внутр'!H2235</f>
        <v>0</v>
      </c>
      <c r="J2228" s="1018" t="n">
        <f aca="false">'Смета Внутр'!I2235</f>
        <v>0</v>
      </c>
    </row>
    <row r="2229" customFormat="false" ht="15" hidden="false" customHeight="true" outlineLevel="0" collapsed="false">
      <c r="B2229" s="1004" t="str">
        <f aca="false">'Смета Внутр'!B2236</f>
        <v>Коробка распределения</v>
      </c>
      <c r="C2229" s="1004" t="str">
        <f aca="false">'Смета Внутр'!C2236</f>
        <v>шт</v>
      </c>
      <c r="D2229" s="1018" t="n">
        <f aca="false">'Смета Внутр'!D2236</f>
        <v>6</v>
      </c>
      <c r="E2229" s="1004" t="n">
        <f aca="false">'Смета Внутр'!E2236</f>
        <v>20</v>
      </c>
      <c r="F2229" s="1004" t="n">
        <f aca="false">'Смета Внутр'!F2236</f>
        <v>0</v>
      </c>
      <c r="G2229" s="1004" t="n">
        <f aca="false">IF(E2229&gt;F2229,E2229,F2229)</f>
        <v>20</v>
      </c>
      <c r="H2229" s="1004" t="n">
        <f aca="false">'Смета Внутр'!G2236</f>
        <v>120</v>
      </c>
      <c r="I2229" s="1004" t="n">
        <f aca="false">'Смета Внутр'!H2236</f>
        <v>0</v>
      </c>
      <c r="J2229" s="1018" t="n">
        <f aca="false">'Смета Внутр'!I2236</f>
        <v>0</v>
      </c>
    </row>
    <row r="2230" customFormat="false" ht="15" hidden="false" customHeight="true" outlineLevel="0" collapsed="false">
      <c r="B2230" s="1004" t="str">
        <f aca="false">'Смета Внутр'!B2237</f>
        <v>Вага</v>
      </c>
      <c r="C2230" s="1004" t="str">
        <f aca="false">'Смета Внутр'!C2237</f>
        <v>шт</v>
      </c>
      <c r="D2230" s="1018" t="n">
        <f aca="false">'Смета Внутр'!D2237</f>
        <v>480</v>
      </c>
      <c r="E2230" s="1004" t="n">
        <f aca="false">'Смета Внутр'!E2237</f>
        <v>10</v>
      </c>
      <c r="F2230" s="1004" t="n">
        <f aca="false">'Смета Внутр'!F2237</f>
        <v>0</v>
      </c>
      <c r="G2230" s="1004" t="n">
        <f aca="false">IF(E2230&gt;F2230,E2230,F2230)</f>
        <v>10</v>
      </c>
      <c r="H2230" s="1004" t="n">
        <f aca="false">'Смета Внутр'!G2237</f>
        <v>4800</v>
      </c>
      <c r="I2230" s="1004" t="n">
        <f aca="false">'Смета Внутр'!H2237</f>
        <v>0</v>
      </c>
      <c r="J2230" s="1018" t="n">
        <f aca="false">'Смета Внутр'!I2237</f>
        <v>0</v>
      </c>
    </row>
    <row r="2231" customFormat="false" ht="15" hidden="false" customHeight="true" outlineLevel="0" collapsed="false">
      <c r="B2231" s="1004" t="str">
        <f aca="false">'Смета Внутр'!B2238</f>
        <v>Щиток электрический</v>
      </c>
      <c r="C2231" s="1004" t="str">
        <f aca="false">'Смета Внутр'!C2238</f>
        <v>шт</v>
      </c>
      <c r="D2231" s="1018" t="n">
        <f aca="false">'Смета Внутр'!D2238</f>
        <v>1</v>
      </c>
      <c r="E2231" s="1004" t="n">
        <f aca="false">'Смета Внутр'!E2238</f>
        <v>1200</v>
      </c>
      <c r="F2231" s="1004" t="n">
        <f aca="false">'Смета Внутр'!F2238</f>
        <v>0</v>
      </c>
      <c r="G2231" s="1004" t="n">
        <f aca="false">IF(E2231&gt;F2231,E2231,F2231)</f>
        <v>1200</v>
      </c>
      <c r="H2231" s="1004" t="n">
        <f aca="false">'Смета Внутр'!G2238</f>
        <v>1200</v>
      </c>
      <c r="I2231" s="1004" t="n">
        <f aca="false">'Смета Внутр'!H2238</f>
        <v>0</v>
      </c>
      <c r="J2231" s="1018" t="n">
        <f aca="false">'Смета Внутр'!I2238</f>
        <v>0</v>
      </c>
    </row>
    <row r="2232" customFormat="false" ht="15" hidden="false" customHeight="true" outlineLevel="0" collapsed="false">
      <c r="B2232" s="1004" t="str">
        <f aca="false">'Смета Внутр'!B2239</f>
        <v>автомат, 3 полюса, 32амп</v>
      </c>
      <c r="C2232" s="1004" t="str">
        <f aca="false">'Смета Внутр'!C2239</f>
        <v>шт</v>
      </c>
      <c r="D2232" s="1018" t="n">
        <f aca="false">'Смета Внутр'!D2239</f>
        <v>2</v>
      </c>
      <c r="E2232" s="1004" t="n">
        <f aca="false">'Смета Внутр'!E2239</f>
        <v>180</v>
      </c>
      <c r="F2232" s="1004" t="n">
        <f aca="false">'Смета Внутр'!F2239</f>
        <v>0</v>
      </c>
      <c r="G2232" s="1004" t="n">
        <f aca="false">IF(E2232&gt;F2232,E2232,F2232)</f>
        <v>180</v>
      </c>
      <c r="H2232" s="1004" t="n">
        <f aca="false">'Смета Внутр'!G2239</f>
        <v>360</v>
      </c>
      <c r="I2232" s="1004" t="n">
        <f aca="false">'Смета Внутр'!H2239</f>
        <v>0</v>
      </c>
      <c r="J2232" s="1018" t="n">
        <f aca="false">'Смета Внутр'!I2239</f>
        <v>0</v>
      </c>
    </row>
    <row r="2233" customFormat="false" ht="15" hidden="false" customHeight="true" outlineLevel="0" collapsed="false">
      <c r="B2233" s="1004" t="str">
        <f aca="false">'Смета Внутр'!B2240</f>
        <v>автомат, 1 полюс, 16амп</v>
      </c>
      <c r="C2233" s="1004" t="str">
        <f aca="false">'Смета Внутр'!C2240</f>
        <v>шт</v>
      </c>
      <c r="D2233" s="1018" t="n">
        <f aca="false">'Смета Внутр'!D2240</f>
        <v>20</v>
      </c>
      <c r="E2233" s="1004" t="n">
        <f aca="false">'Смета Внутр'!E2240</f>
        <v>70</v>
      </c>
      <c r="F2233" s="1004" t="n">
        <f aca="false">'Смета Внутр'!F2240</f>
        <v>0</v>
      </c>
      <c r="G2233" s="1004" t="n">
        <f aca="false">IF(E2233&gt;F2233,E2233,F2233)</f>
        <v>70</v>
      </c>
      <c r="H2233" s="1004" t="n">
        <f aca="false">'Смета Внутр'!G2240</f>
        <v>1400</v>
      </c>
      <c r="I2233" s="1004" t="n">
        <f aca="false">'Смета Внутр'!H2240</f>
        <v>0</v>
      </c>
      <c r="J2233" s="1018" t="n">
        <f aca="false">'Смета Внутр'!I2240</f>
        <v>0</v>
      </c>
    </row>
    <row r="2234" customFormat="false" ht="15" hidden="false" customHeight="true" outlineLevel="0" collapsed="false">
      <c r="B2234" s="1004" t="str">
        <f aca="false">'Смета Внутр'!B2241</f>
        <v>автомат, 1 полюс, 25 амп</v>
      </c>
      <c r="C2234" s="1004" t="str">
        <f aca="false">'Смета Внутр'!C2241</f>
        <v>шт</v>
      </c>
      <c r="D2234" s="1018" t="n">
        <f aca="false">'Смета Внутр'!D2241</f>
        <v>2</v>
      </c>
      <c r="E2234" s="1004" t="n">
        <f aca="false">'Смета Внутр'!E2241</f>
        <v>167</v>
      </c>
      <c r="F2234" s="1004" t="n">
        <f aca="false">'Смета Внутр'!F2241</f>
        <v>0</v>
      </c>
      <c r="G2234" s="1004" t="n">
        <f aca="false">IF(E2234&gt;F2234,E2234,F2234)</f>
        <v>167</v>
      </c>
      <c r="H2234" s="1004" t="n">
        <f aca="false">'Смета Внутр'!G2241</f>
        <v>334</v>
      </c>
      <c r="I2234" s="1004" t="n">
        <f aca="false">'Смета Внутр'!H2241</f>
        <v>0</v>
      </c>
      <c r="J2234" s="1018" t="n">
        <f aca="false">'Смета Внутр'!I2241</f>
        <v>0</v>
      </c>
    </row>
    <row r="2235" customFormat="false" ht="15" hidden="false" customHeight="true" outlineLevel="0" collapsed="false">
      <c r="B2235" s="1004" t="str">
        <f aca="false">'Смета Внутр'!B2242</f>
        <v>Коробка электрическая</v>
      </c>
      <c r="C2235" s="1004" t="str">
        <f aca="false">'Смета Внутр'!C2242</f>
        <v>шт</v>
      </c>
      <c r="D2235" s="1018" t="n">
        <f aca="false">'Смета Внутр'!D2242</f>
        <v>60</v>
      </c>
      <c r="E2235" s="1004" t="n">
        <f aca="false">'Смета Внутр'!E2242</f>
        <v>6</v>
      </c>
      <c r="F2235" s="1004" t="n">
        <f aca="false">'Смета Внутр'!F2242</f>
        <v>0</v>
      </c>
      <c r="G2235" s="1004" t="n">
        <f aca="false">IF(E2235&gt;F2235,E2235,F2235)</f>
        <v>6</v>
      </c>
      <c r="H2235" s="1004" t="n">
        <f aca="false">'Смета Внутр'!G2242</f>
        <v>360</v>
      </c>
      <c r="I2235" s="1004" t="n">
        <f aca="false">'Смета Внутр'!H2242</f>
        <v>0</v>
      </c>
      <c r="J2235" s="1018" t="n">
        <f aca="false">'Смета Внутр'!I2242</f>
        <v>0</v>
      </c>
    </row>
    <row r="2236" customFormat="false" ht="15" hidden="false" customHeight="true" outlineLevel="0" collapsed="false">
      <c r="B2236" s="1004" t="str">
        <f aca="false">'Смета Внутр'!B2243</f>
        <v>Розетка 2</v>
      </c>
      <c r="C2236" s="1004" t="str">
        <f aca="false">'Смета Внутр'!C2243</f>
        <v>шт</v>
      </c>
      <c r="D2236" s="1018" t="n">
        <f aca="false">'Смета Внутр'!D2243</f>
        <v>40</v>
      </c>
      <c r="E2236" s="1004" t="n">
        <f aca="false">'Смета Внутр'!E2243</f>
        <v>100</v>
      </c>
      <c r="F2236" s="1004" t="n">
        <f aca="false">'Смета Внутр'!F2243</f>
        <v>0</v>
      </c>
      <c r="G2236" s="1004" t="n">
        <f aca="false">IF(E2236&gt;F2236,E2236,F2236)</f>
        <v>100</v>
      </c>
      <c r="H2236" s="1004" t="n">
        <f aca="false">'Смета Внутр'!G2243</f>
        <v>4000</v>
      </c>
      <c r="I2236" s="1004" t="n">
        <f aca="false">'Смета Внутр'!H2243</f>
        <v>0</v>
      </c>
      <c r="J2236" s="1018" t="n">
        <f aca="false">'Смета Внутр'!I2243</f>
        <v>0</v>
      </c>
    </row>
    <row r="2237" customFormat="false" ht="15" hidden="false" customHeight="true" outlineLevel="0" collapsed="false">
      <c r="B2237" s="1004" t="str">
        <f aca="false">'Смета Внутр'!B2244</f>
        <v>Выключатель 3</v>
      </c>
      <c r="C2237" s="1004" t="str">
        <f aca="false">'Смета Внутр'!C2244</f>
        <v>шт</v>
      </c>
      <c r="D2237" s="1018" t="n">
        <f aca="false">'Смета Внутр'!D2244</f>
        <v>20</v>
      </c>
      <c r="E2237" s="1004" t="n">
        <f aca="false">'Смета Внутр'!E2244</f>
        <v>100</v>
      </c>
      <c r="F2237" s="1004" t="n">
        <f aca="false">'Смета Внутр'!F2244</f>
        <v>0</v>
      </c>
      <c r="G2237" s="1004" t="n">
        <f aca="false">IF(E2237&gt;F2237,E2237,F2237)</f>
        <v>100</v>
      </c>
      <c r="H2237" s="1004" t="n">
        <f aca="false">'Смета Внутр'!G2244</f>
        <v>2000</v>
      </c>
      <c r="I2237" s="1004" t="n">
        <f aca="false">'Смета Внутр'!H2244</f>
        <v>0</v>
      </c>
      <c r="J2237" s="1018" t="n">
        <f aca="false">'Смета Внутр'!I2244</f>
        <v>0</v>
      </c>
    </row>
    <row r="2238" customFormat="false" ht="14.5" hidden="false" customHeight="false" outlineLevel="0" collapsed="false">
      <c r="B2238" s="2927" t="str">
        <f aca="false">'Смета Внутр'!B2245</f>
        <v>Итого материалы</v>
      </c>
      <c r="C2238" s="2927"/>
      <c r="D2238" s="2927"/>
      <c r="E2238" s="2927"/>
      <c r="F2238" s="2927"/>
      <c r="G2238" s="2927"/>
      <c r="H2238" s="1004" t="n">
        <f aca="false">'Смета Внутр'!G2245</f>
        <v>0</v>
      </c>
      <c r="I2238" s="1004" t="n">
        <f aca="false">'Смета Внутр'!H2245</f>
        <v>0</v>
      </c>
      <c r="J2238" s="1018" t="n">
        <f aca="false">'Смета Внутр'!I2245</f>
        <v>0</v>
      </c>
    </row>
    <row r="2239" customFormat="false" ht="15" hidden="false" customHeight="true" outlineLevel="0" collapsed="false">
      <c r="B2239" s="2881" t="str">
        <f aca="false">'Смета Внутр'!B2246</f>
        <v>Работы</v>
      </c>
      <c r="D2239" s="919"/>
      <c r="H2239" s="0" t="n">
        <f aca="false">'Смета Внутр'!G2246</f>
        <v>0</v>
      </c>
      <c r="I2239" s="0" t="n">
        <f aca="false">'Смета Внутр'!H2246</f>
        <v>0</v>
      </c>
      <c r="J2239" s="2926" t="n">
        <f aca="false">'Смета Внутр'!I2246</f>
        <v>0</v>
      </c>
    </row>
    <row r="2240" customFormat="false" ht="15" hidden="false" customHeight="true" outlineLevel="0" collapsed="false">
      <c r="B2240" s="1004" t="str">
        <f aca="false">'Смета Внутр'!B2247</f>
        <v>монтаж кабеля</v>
      </c>
      <c r="C2240" s="1004" t="str">
        <f aca="false">'Смета Внутр'!C2247</f>
        <v>м.п.</v>
      </c>
      <c r="D2240" s="1018" t="n">
        <f aca="false">'Смета Внутр'!D2247</f>
        <v>373.2</v>
      </c>
      <c r="E2240" s="1004" t="n">
        <f aca="false">'Смета Внутр'!E2247</f>
        <v>100</v>
      </c>
      <c r="F2240" s="1004" t="n">
        <f aca="false">'Смета Внутр'!F2247</f>
        <v>0</v>
      </c>
      <c r="G2240" s="1004" t="n">
        <f aca="false">IF(E2240&gt;F2240,E2240,F2240)</f>
        <v>100</v>
      </c>
      <c r="H2240" s="1004" t="n">
        <f aca="false">'Смета Внутр'!G2247</f>
        <v>37320</v>
      </c>
      <c r="I2240" s="1004" t="n">
        <f aca="false">'Смета Внутр'!H2247</f>
        <v>0</v>
      </c>
      <c r="J2240" s="1018" t="n">
        <f aca="false">'Смета Внутр'!I2247</f>
        <v>0</v>
      </c>
    </row>
    <row r="2241" customFormat="false" ht="15" hidden="false" customHeight="true" outlineLevel="0" collapsed="false">
      <c r="B2241" s="1004" t="str">
        <f aca="false">'Смета Внутр'!B2248</f>
        <v>монтаж гофры</v>
      </c>
      <c r="C2241" s="1004" t="str">
        <f aca="false">'Смета Внутр'!C2248</f>
        <v>м.п.</v>
      </c>
      <c r="D2241" s="1018" t="n">
        <f aca="false">'Смета Внутр'!D2248</f>
        <v>373.2</v>
      </c>
      <c r="E2241" s="1004" t="n">
        <f aca="false">'Смета Внутр'!E2248</f>
        <v>50</v>
      </c>
      <c r="F2241" s="1004" t="n">
        <f aca="false">'Смета Внутр'!F2248</f>
        <v>0</v>
      </c>
      <c r="G2241" s="1004" t="n">
        <f aca="false">IF(E2241&gt;F2241,E2241,F2241)</f>
        <v>50</v>
      </c>
      <c r="H2241" s="1004" t="n">
        <f aca="false">'Смета Внутр'!G2248</f>
        <v>18660</v>
      </c>
      <c r="I2241" s="1004" t="n">
        <f aca="false">'Смета Внутр'!H2248</f>
        <v>0</v>
      </c>
      <c r="J2241" s="1018" t="n">
        <f aca="false">'Смета Внутр'!I2248</f>
        <v>0</v>
      </c>
    </row>
    <row r="2242" customFormat="false" ht="15" hidden="false" customHeight="true" outlineLevel="0" collapsed="false">
      <c r="B2242" s="1004" t="str">
        <f aca="false">'Смета Внутр'!B2249</f>
        <v>монтаж коробок распр</v>
      </c>
      <c r="C2242" s="1004" t="str">
        <f aca="false">'Смета Внутр'!C2249</f>
        <v>шт.</v>
      </c>
      <c r="D2242" s="1018" t="n">
        <f aca="false">'Смета Внутр'!D2249</f>
        <v>6</v>
      </c>
      <c r="E2242" s="1004" t="n">
        <f aca="false">'Смета Внутр'!E2249</f>
        <v>500</v>
      </c>
      <c r="F2242" s="1004" t="n">
        <f aca="false">'Смета Внутр'!F2249</f>
        <v>0</v>
      </c>
      <c r="G2242" s="1004" t="n">
        <f aca="false">IF(E2242&gt;F2242,E2242,F2242)</f>
        <v>500</v>
      </c>
      <c r="H2242" s="1004" t="n">
        <f aca="false">'Смета Внутр'!G2249</f>
        <v>3000</v>
      </c>
      <c r="I2242" s="1004" t="n">
        <f aca="false">'Смета Внутр'!H2249</f>
        <v>0</v>
      </c>
      <c r="J2242" s="1018" t="n">
        <f aca="false">'Смета Внутр'!I2249</f>
        <v>0</v>
      </c>
    </row>
    <row r="2243" customFormat="false" ht="15" hidden="false" customHeight="true" outlineLevel="0" collapsed="false">
      <c r="B2243" s="1004" t="str">
        <f aca="false">'Смета Внутр'!B2250</f>
        <v>монтаж коробок роз</v>
      </c>
      <c r="C2243" s="1004" t="str">
        <f aca="false">'Смета Внутр'!C2250</f>
        <v>шт.</v>
      </c>
      <c r="D2243" s="1018" t="n">
        <f aca="false">'Смета Внутр'!D2250</f>
        <v>40</v>
      </c>
      <c r="E2243" s="1004" t="n">
        <f aca="false">'Смета Внутр'!E2250</f>
        <v>200</v>
      </c>
      <c r="F2243" s="1004" t="n">
        <f aca="false">'Смета Внутр'!F2250</f>
        <v>0</v>
      </c>
      <c r="G2243" s="1004" t="n">
        <f aca="false">IF(E2243&gt;F2243,E2243,F2243)</f>
        <v>200</v>
      </c>
      <c r="H2243" s="1004" t="n">
        <f aca="false">'Смета Внутр'!G2250</f>
        <v>8000</v>
      </c>
      <c r="I2243" s="1004" t="n">
        <f aca="false">'Смета Внутр'!H2250</f>
        <v>0</v>
      </c>
      <c r="J2243" s="1018" t="n">
        <f aca="false">'Смета Внутр'!I2250</f>
        <v>0</v>
      </c>
    </row>
    <row r="2244" customFormat="false" ht="15" hidden="false" customHeight="true" outlineLevel="0" collapsed="false">
      <c r="B2244" s="1004" t="str">
        <f aca="false">'Смета Внутр'!B2251</f>
        <v>монтаж коробок выкл</v>
      </c>
      <c r="C2244" s="1004" t="str">
        <f aca="false">'Смета Внутр'!C2251</f>
        <v>шт.</v>
      </c>
      <c r="D2244" s="1018" t="n">
        <f aca="false">'Смета Внутр'!D2251</f>
        <v>20</v>
      </c>
      <c r="E2244" s="1004" t="n">
        <f aca="false">'Смета Внутр'!E2251</f>
        <v>200</v>
      </c>
      <c r="F2244" s="1004" t="n">
        <f aca="false">'Смета Внутр'!F2251</f>
        <v>0</v>
      </c>
      <c r="G2244" s="1004" t="n">
        <f aca="false">IF(E2244&gt;F2244,E2244,F2244)</f>
        <v>200</v>
      </c>
      <c r="H2244" s="1004" t="n">
        <f aca="false">'Смета Внутр'!G2251</f>
        <v>4000</v>
      </c>
      <c r="I2244" s="1004" t="n">
        <f aca="false">'Смета Внутр'!H2251</f>
        <v>0</v>
      </c>
      <c r="J2244" s="1018" t="n">
        <f aca="false">'Смета Внутр'!I2251</f>
        <v>0</v>
      </c>
    </row>
    <row r="2245" customFormat="false" ht="15" hidden="false" customHeight="true" outlineLevel="0" collapsed="false">
      <c r="B2245" s="1004" t="str">
        <f aca="false">'Смета Внутр'!B2252</f>
        <v>монтаж щитка</v>
      </c>
      <c r="C2245" s="1004" t="str">
        <f aca="false">'Смета Внутр'!C2252</f>
        <v>шт.</v>
      </c>
      <c r="D2245" s="1018" t="n">
        <f aca="false">'Смета Внутр'!D2252</f>
        <v>1</v>
      </c>
      <c r="E2245" s="1004" t="n">
        <f aca="false">'Смета Внутр'!E2252</f>
        <v>6000</v>
      </c>
      <c r="F2245" s="1004" t="n">
        <f aca="false">'Смета Внутр'!F2252</f>
        <v>0</v>
      </c>
      <c r="G2245" s="1004" t="n">
        <f aca="false">IF(E2245&gt;F2245,E2245,F2245)</f>
        <v>6000</v>
      </c>
      <c r="H2245" s="1004" t="n">
        <f aca="false">'Смета Внутр'!G2252</f>
        <v>6000</v>
      </c>
      <c r="I2245" s="1004" t="n">
        <f aca="false">'Смета Внутр'!H2252</f>
        <v>0</v>
      </c>
      <c r="J2245" s="1018" t="n">
        <f aca="false">'Смета Внутр'!I2252</f>
        <v>0</v>
      </c>
    </row>
    <row r="2246" customFormat="false" ht="15" hidden="false" customHeight="true" outlineLevel="0" collapsed="false">
      <c r="B2246" s="1004" t="str">
        <f aca="false">'Смета Внутр'!B2253</f>
        <v>установка розеток</v>
      </c>
      <c r="C2246" s="1004" t="str">
        <f aca="false">'Смета Внутр'!C2253</f>
        <v>шт.</v>
      </c>
      <c r="D2246" s="1018" t="n">
        <f aca="false">'Смета Внутр'!D2253</f>
        <v>40</v>
      </c>
      <c r="E2246" s="1004" t="n">
        <f aca="false">'Смета Внутр'!E2253</f>
        <v>250</v>
      </c>
      <c r="F2246" s="1004" t="n">
        <f aca="false">'Смета Внутр'!F2253</f>
        <v>0</v>
      </c>
      <c r="G2246" s="1004" t="n">
        <f aca="false">IF(E2246&gt;F2246,E2246,F2246)</f>
        <v>250</v>
      </c>
      <c r="H2246" s="1004" t="n">
        <f aca="false">'Смета Внутр'!G2253</f>
        <v>10000</v>
      </c>
      <c r="I2246" s="1004" t="n">
        <f aca="false">'Смета Внутр'!H2253</f>
        <v>0</v>
      </c>
      <c r="J2246" s="1018" t="n">
        <f aca="false">'Смета Внутр'!I2253</f>
        <v>0</v>
      </c>
    </row>
    <row r="2247" customFormat="false" ht="15" hidden="false" customHeight="true" outlineLevel="0" collapsed="false">
      <c r="B2247" s="1004" t="str">
        <f aca="false">'Смета Внутр'!B2254</f>
        <v>установка выключателей</v>
      </c>
      <c r="C2247" s="1004" t="str">
        <f aca="false">'Смета Внутр'!C2254</f>
        <v>шт.</v>
      </c>
      <c r="D2247" s="1018" t="n">
        <f aca="false">'Смета Внутр'!D2254</f>
        <v>20</v>
      </c>
      <c r="E2247" s="1004" t="n">
        <f aca="false">'Смета Внутр'!E2254</f>
        <v>250</v>
      </c>
      <c r="F2247" s="1004" t="n">
        <f aca="false">'Смета Внутр'!F2254</f>
        <v>0</v>
      </c>
      <c r="G2247" s="1004" t="n">
        <f aca="false">IF(E2247&gt;F2247,E2247,F2247)</f>
        <v>250</v>
      </c>
      <c r="H2247" s="1004" t="n">
        <f aca="false">'Смета Внутр'!G2254</f>
        <v>5000</v>
      </c>
      <c r="I2247" s="1004" t="n">
        <f aca="false">'Смета Внутр'!H2254</f>
        <v>0</v>
      </c>
      <c r="J2247" s="1018" t="n">
        <f aca="false">'Смета Внутр'!I2254</f>
        <v>0</v>
      </c>
    </row>
    <row r="2248" customFormat="false" ht="15" hidden="false" customHeight="true" outlineLevel="0" collapsed="false">
      <c r="B2248" s="2927" t="str">
        <f aca="false">'Смета Внутр'!B2255</f>
        <v>Итого работы</v>
      </c>
      <c r="C2248" s="2927"/>
      <c r="D2248" s="2927"/>
      <c r="E2248" s="2927"/>
      <c r="F2248" s="2927"/>
      <c r="G2248" s="2927"/>
      <c r="H2248" s="1004" t="n">
        <f aca="false">'Смета Внутр'!G2255</f>
        <v>0</v>
      </c>
      <c r="I2248" s="1004" t="n">
        <f aca="false">'Смета Внутр'!H2255</f>
        <v>0</v>
      </c>
      <c r="J2248" s="1018" t="n">
        <f aca="false">'Смета Внутр'!I2255</f>
        <v>0</v>
      </c>
    </row>
    <row r="2249" customFormat="false" ht="15" hidden="false" customHeight="true" outlineLevel="0" collapsed="false">
      <c r="B2249" s="2939" t="str">
        <f aca="false">'Смета Внутр'!B2256</f>
        <v>Отопление радиаторное, холодное и горячее водоснабжение</v>
      </c>
      <c r="C2249" s="2939"/>
      <c r="D2249" s="2939"/>
      <c r="H2249" s="0" t="n">
        <f aca="false">'Смета Внутр'!G2256</f>
        <v>0</v>
      </c>
      <c r="I2249" s="0" t="n">
        <f aca="false">'Смета Внутр'!H2256</f>
        <v>0</v>
      </c>
      <c r="J2249" s="2926" t="n">
        <f aca="false">'Смета Внутр'!I2256</f>
        <v>0</v>
      </c>
    </row>
    <row r="2250" customFormat="false" ht="15" hidden="false" customHeight="true" outlineLevel="0" collapsed="false">
      <c r="B2250" s="2881" t="str">
        <f aca="false">'Смета Внутр'!B2257</f>
        <v>Материалы</v>
      </c>
      <c r="D2250" s="919"/>
      <c r="H2250" s="0" t="n">
        <f aca="false">'Смета Внутр'!G2257</f>
        <v>0</v>
      </c>
      <c r="I2250" s="0" t="n">
        <f aca="false">'Смета Внутр'!H2257</f>
        <v>0</v>
      </c>
      <c r="J2250" s="2926" t="n">
        <f aca="false">'Смета Внутр'!I2257</f>
        <v>0</v>
      </c>
    </row>
    <row r="2251" customFormat="false" ht="15" hidden="false" customHeight="true" outlineLevel="0" collapsed="false">
      <c r="B2251" s="1004" t="str">
        <f aca="false">'Смета Внутр'!B2258</f>
        <v>труба диам 25/32 отопление</v>
      </c>
      <c r="C2251" s="1004" t="str">
        <f aca="false">'Смета Внутр'!C2258</f>
        <v>м.п.</v>
      </c>
      <c r="D2251" s="1018" t="n">
        <f aca="false">'Смета Внутр'!D2258</f>
        <v>150.8</v>
      </c>
      <c r="E2251" s="1004" t="n">
        <f aca="false">'Смета Внутр'!E2258</f>
        <v>40</v>
      </c>
      <c r="F2251" s="1004" t="n">
        <f aca="false">'Смета Внутр'!F2258</f>
        <v>0</v>
      </c>
      <c r="G2251" s="1004" t="n">
        <f aca="false">IF(E2251&gt;F2251,E2251,F2251)</f>
        <v>40</v>
      </c>
      <c r="H2251" s="1004" t="n">
        <f aca="false">'Смета Внутр'!G2258</f>
        <v>6032</v>
      </c>
      <c r="I2251" s="1004" t="n">
        <f aca="false">'Смета Внутр'!H2258</f>
        <v>0</v>
      </c>
      <c r="J2251" s="1018" t="n">
        <f aca="false">'Смета Внутр'!I2258</f>
        <v>0</v>
      </c>
    </row>
    <row r="2252" customFormat="false" ht="15" hidden="false" customHeight="true" outlineLevel="0" collapsed="false">
      <c r="B2252" s="1004" t="str">
        <f aca="false">'Смета Внутр'!B2259</f>
        <v>соеденители для трубы</v>
      </c>
      <c r="C2252" s="1004" t="str">
        <f aca="false">'Смета Внутр'!C2259</f>
        <v>шт</v>
      </c>
      <c r="D2252" s="1018" t="n">
        <f aca="false">'Смета Внутр'!D2259</f>
        <v>50.2666666666667</v>
      </c>
      <c r="E2252" s="1004" t="n">
        <f aca="false">'Смета Внутр'!E2259</f>
        <v>10</v>
      </c>
      <c r="F2252" s="1004" t="n">
        <f aca="false">'Смета Внутр'!F2259</f>
        <v>0</v>
      </c>
      <c r="G2252" s="1004" t="n">
        <f aca="false">IF(E2252&gt;F2252,E2252,F2252)</f>
        <v>10</v>
      </c>
      <c r="H2252" s="1004" t="n">
        <f aca="false">'Смета Внутр'!G2259</f>
        <v>502.666666666667</v>
      </c>
      <c r="I2252" s="1004" t="n">
        <f aca="false">'Смета Внутр'!H2259</f>
        <v>0</v>
      </c>
      <c r="J2252" s="1018" t="n">
        <f aca="false">'Смета Внутр'!I2259</f>
        <v>0</v>
      </c>
    </row>
    <row r="2253" customFormat="false" ht="15" hidden="false" customHeight="true" outlineLevel="0" collapsed="false">
      <c r="B2253" s="1004" t="str">
        <f aca="false">'Смета Внутр'!B2260</f>
        <v>уголок 90 град</v>
      </c>
      <c r="C2253" s="1004" t="str">
        <f aca="false">'Смета Внутр'!C2260</f>
        <v>шт</v>
      </c>
      <c r="D2253" s="1018" t="n">
        <f aca="false">'Смета Внутр'!D2260</f>
        <v>60.32</v>
      </c>
      <c r="E2253" s="1004" t="n">
        <f aca="false">'Смета Внутр'!E2260</f>
        <v>10</v>
      </c>
      <c r="F2253" s="1004" t="n">
        <f aca="false">'Смета Внутр'!F2260</f>
        <v>0</v>
      </c>
      <c r="G2253" s="1004" t="n">
        <f aca="false">IF(E2253&gt;F2253,E2253,F2253)</f>
        <v>10</v>
      </c>
      <c r="H2253" s="1004" t="n">
        <f aca="false">'Смета Внутр'!G2260</f>
        <v>603.2</v>
      </c>
      <c r="I2253" s="1004" t="n">
        <f aca="false">'Смета Внутр'!H2260</f>
        <v>0</v>
      </c>
      <c r="J2253" s="1018" t="n">
        <f aca="false">'Смета Внутр'!I2260</f>
        <v>0</v>
      </c>
    </row>
    <row r="2254" customFormat="false" ht="15" hidden="false" customHeight="true" outlineLevel="0" collapsed="false">
      <c r="B2254" s="1004" t="str">
        <f aca="false">'Смета Внутр'!B2261</f>
        <v>радиаторы, 1 секция</v>
      </c>
      <c r="C2254" s="1004" t="str">
        <f aca="false">'Смета Внутр'!C2261</f>
        <v>шт</v>
      </c>
      <c r="D2254" s="1018" t="n">
        <f aca="false">'Смета Внутр'!D2261</f>
        <v>50</v>
      </c>
      <c r="E2254" s="1004" t="n">
        <f aca="false">'Смета Внутр'!E2261</f>
        <v>300</v>
      </c>
      <c r="F2254" s="1004" t="n">
        <f aca="false">'Смета Внутр'!F2261</f>
        <v>0</v>
      </c>
      <c r="G2254" s="1004" t="n">
        <f aca="false">IF(E2254&gt;F2254,E2254,F2254)</f>
        <v>300</v>
      </c>
      <c r="H2254" s="1004" t="n">
        <f aca="false">'Смета Внутр'!G2261</f>
        <v>15000</v>
      </c>
      <c r="I2254" s="1004" t="n">
        <f aca="false">'Смета Внутр'!H2261</f>
        <v>0</v>
      </c>
      <c r="J2254" s="1018" t="n">
        <f aca="false">'Смета Внутр'!I2261</f>
        <v>0</v>
      </c>
    </row>
    <row r="2255" customFormat="false" ht="15" hidden="false" customHeight="true" outlineLevel="0" collapsed="false">
      <c r="B2255" s="1004" t="str">
        <f aca="false">'Смета Внутр'!B2262</f>
        <v>комплектующие для радиаторов</v>
      </c>
      <c r="C2255" s="1004" t="str">
        <f aca="false">'Смета Внутр'!C2262</f>
        <v>шт</v>
      </c>
      <c r="D2255" s="1018" t="n">
        <f aca="false">'Смета Внутр'!D2262</f>
        <v>50</v>
      </c>
      <c r="E2255" s="1004" t="n">
        <f aca="false">'Смета Внутр'!E2262</f>
        <v>250</v>
      </c>
      <c r="F2255" s="1004" t="n">
        <f aca="false">'Смета Внутр'!F2262</f>
        <v>0</v>
      </c>
      <c r="G2255" s="1004" t="n">
        <f aca="false">IF(E2255&gt;F2255,E2255,F2255)</f>
        <v>250</v>
      </c>
      <c r="H2255" s="1004" t="n">
        <f aca="false">'Смета Внутр'!G2262</f>
        <v>12500</v>
      </c>
      <c r="I2255" s="1004" t="n">
        <f aca="false">'Смета Внутр'!H2262</f>
        <v>0</v>
      </c>
      <c r="J2255" s="1018" t="n">
        <f aca="false">'Смета Внутр'!I2262</f>
        <v>0</v>
      </c>
    </row>
    <row r="2256" customFormat="false" ht="15" hidden="false" customHeight="true" outlineLevel="0" collapsed="false">
      <c r="B2256" s="1004" t="str">
        <f aca="false">'Смета Внутр'!B2263</f>
        <v>кран американка ду 25/32 для радиаторов</v>
      </c>
      <c r="C2256" s="1004" t="str">
        <f aca="false">'Смета Внутр'!C2263</f>
        <v>шт</v>
      </c>
      <c r="D2256" s="1018" t="n">
        <f aca="false">'Смета Внутр'!D2263</f>
        <v>100</v>
      </c>
      <c r="E2256" s="1004" t="n">
        <f aca="false">'Смета Внутр'!E2263</f>
        <v>300</v>
      </c>
      <c r="F2256" s="1004" t="n">
        <f aca="false">'Смета Внутр'!F2263</f>
        <v>0</v>
      </c>
      <c r="G2256" s="1004" t="n">
        <f aca="false">IF(E2256&gt;F2256,E2256,F2256)</f>
        <v>300</v>
      </c>
      <c r="H2256" s="1004" t="n">
        <f aca="false">'Смета Внутр'!G2263</f>
        <v>30000</v>
      </c>
      <c r="I2256" s="1004" t="n">
        <f aca="false">'Смета Внутр'!H2263</f>
        <v>0</v>
      </c>
      <c r="J2256" s="1018" t="n">
        <f aca="false">'Смета Внутр'!I2263</f>
        <v>0</v>
      </c>
    </row>
    <row r="2257" customFormat="false" ht="15" hidden="false" customHeight="true" outlineLevel="0" collapsed="false">
      <c r="B2257" s="1004" t="str">
        <f aca="false">'Смета Внутр'!B2264</f>
        <v>кран гайка/резьба ду 25/32</v>
      </c>
      <c r="C2257" s="1004" t="str">
        <f aca="false">'Смета Внутр'!C2264</f>
        <v>шт</v>
      </c>
      <c r="D2257" s="1018" t="n">
        <f aca="false">'Смета Внутр'!D2264</f>
        <v>100</v>
      </c>
      <c r="E2257" s="1004" t="n">
        <f aca="false">'Смета Внутр'!E2264</f>
        <v>200</v>
      </c>
      <c r="F2257" s="1004" t="n">
        <f aca="false">'Смета Внутр'!F2264</f>
        <v>0</v>
      </c>
      <c r="G2257" s="1004" t="n">
        <f aca="false">IF(E2257&gt;F2257,E2257,F2257)</f>
        <v>200</v>
      </c>
      <c r="H2257" s="1004" t="n">
        <f aca="false">'Смета Внутр'!G2264</f>
        <v>20000</v>
      </c>
      <c r="I2257" s="1004" t="n">
        <f aca="false">'Смета Внутр'!H2264</f>
        <v>0</v>
      </c>
      <c r="J2257" s="1018" t="n">
        <f aca="false">'Смета Внутр'!I2264</f>
        <v>0</v>
      </c>
    </row>
    <row r="2258" customFormat="false" ht="15" hidden="false" customHeight="true" outlineLevel="0" collapsed="false">
      <c r="B2258" s="1004" t="str">
        <f aca="false">'Смета Внутр'!B2265</f>
        <v>труба диам 20 вода</v>
      </c>
      <c r="C2258" s="1004" t="str">
        <f aca="false">'Смета Внутр'!C2265</f>
        <v>м.п.</v>
      </c>
      <c r="D2258" s="1018" t="n">
        <f aca="false">'Смета Внутр'!D2265</f>
        <v>30</v>
      </c>
      <c r="E2258" s="1004" t="n">
        <f aca="false">'Смета Внутр'!E2265</f>
        <v>36</v>
      </c>
      <c r="F2258" s="1004" t="n">
        <f aca="false">'Смета Внутр'!F2265</f>
        <v>0</v>
      </c>
      <c r="G2258" s="1004" t="n">
        <f aca="false">IF(E2258&gt;F2258,E2258,F2258)</f>
        <v>36</v>
      </c>
      <c r="H2258" s="1004" t="n">
        <f aca="false">'Смета Внутр'!G2265</f>
        <v>1080</v>
      </c>
      <c r="I2258" s="1004" t="n">
        <f aca="false">'Смета Внутр'!H2265</f>
        <v>0</v>
      </c>
      <c r="J2258" s="1018" t="n">
        <f aca="false">'Смета Внутр'!I2265</f>
        <v>0</v>
      </c>
    </row>
    <row r="2259" customFormat="false" ht="15" hidden="false" customHeight="true" outlineLevel="0" collapsed="false">
      <c r="B2259" s="1004" t="str">
        <f aca="false">'Смета Внутр'!B2266</f>
        <v>комплектующие для хол и гор водоснаб</v>
      </c>
      <c r="C2259" s="1004" t="str">
        <f aca="false">'Смета Внутр'!C2266</f>
        <v>шт</v>
      </c>
      <c r="D2259" s="1018" t="n">
        <f aca="false">'Смета Внутр'!D2266</f>
        <v>1</v>
      </c>
      <c r="E2259" s="1004" t="n">
        <f aca="false">'Смета Внутр'!E2266</f>
        <v>100</v>
      </c>
      <c r="F2259" s="1004" t="n">
        <f aca="false">'Смета Внутр'!F2266</f>
        <v>0</v>
      </c>
      <c r="G2259" s="1004" t="n">
        <f aca="false">IF(E2259&gt;F2259,E2259,F2259)</f>
        <v>100</v>
      </c>
      <c r="H2259" s="1004" t="n">
        <f aca="false">'Смета Внутр'!G2266</f>
        <v>100</v>
      </c>
      <c r="I2259" s="1004" t="n">
        <f aca="false">'Смета Внутр'!H2266</f>
        <v>0</v>
      </c>
      <c r="J2259" s="1018" t="n">
        <f aca="false">'Смета Внутр'!I2266</f>
        <v>0</v>
      </c>
    </row>
    <row r="2260" customFormat="false" ht="15" hidden="false" customHeight="true" outlineLevel="0" collapsed="false">
      <c r="B2260" s="1004" t="str">
        <f aca="false">'Смета Внутр'!B2267</f>
        <v>соеденители для трубы</v>
      </c>
      <c r="C2260" s="1004" t="str">
        <f aca="false">'Смета Внутр'!C2267</f>
        <v>шт</v>
      </c>
      <c r="D2260" s="1018" t="n">
        <f aca="false">'Смета Внутр'!D2267</f>
        <v>10</v>
      </c>
      <c r="E2260" s="1004" t="n">
        <f aca="false">'Смета Внутр'!E2267</f>
        <v>10</v>
      </c>
      <c r="F2260" s="1004" t="n">
        <f aca="false">'Смета Внутр'!F2267</f>
        <v>0</v>
      </c>
      <c r="G2260" s="1004" t="n">
        <f aca="false">IF(E2260&gt;F2260,E2260,F2260)</f>
        <v>10</v>
      </c>
      <c r="H2260" s="1004" t="n">
        <f aca="false">'Смета Внутр'!G2267</f>
        <v>100</v>
      </c>
      <c r="I2260" s="1004" t="n">
        <f aca="false">'Смета Внутр'!H2267</f>
        <v>0</v>
      </c>
      <c r="J2260" s="1018" t="n">
        <f aca="false">'Смета Внутр'!I2267</f>
        <v>0</v>
      </c>
    </row>
    <row r="2261" customFormat="false" ht="15" hidden="false" customHeight="true" outlineLevel="0" collapsed="false">
      <c r="B2261" s="1004" t="str">
        <f aca="false">'Смета Внутр'!B2268</f>
        <v>уголок 90 град</v>
      </c>
      <c r="C2261" s="1004" t="str">
        <f aca="false">'Смета Внутр'!C2268</f>
        <v>шт</v>
      </c>
      <c r="D2261" s="1018" t="n">
        <f aca="false">'Смета Внутр'!D2268</f>
        <v>15</v>
      </c>
      <c r="E2261" s="1004" t="n">
        <f aca="false">'Смета Внутр'!E2268</f>
        <v>10</v>
      </c>
      <c r="F2261" s="1004" t="n">
        <f aca="false">'Смета Внутр'!F2268</f>
        <v>0</v>
      </c>
      <c r="G2261" s="1004" t="n">
        <f aca="false">IF(E2261&gt;F2261,E2261,F2261)</f>
        <v>10</v>
      </c>
      <c r="H2261" s="1004" t="n">
        <f aca="false">'Смета Внутр'!G2268</f>
        <v>150</v>
      </c>
      <c r="I2261" s="1004" t="n">
        <f aca="false">'Смета Внутр'!H2268</f>
        <v>0</v>
      </c>
      <c r="J2261" s="1018" t="n">
        <f aca="false">'Смета Внутр'!I2268</f>
        <v>0</v>
      </c>
    </row>
    <row r="2262" customFormat="false" ht="14.5" hidden="false" customHeight="false" outlineLevel="0" collapsed="false">
      <c r="B2262" s="2927" t="str">
        <f aca="false">'Смета Внутр'!B2269</f>
        <v>Итого материалы</v>
      </c>
      <c r="C2262" s="2927"/>
      <c r="D2262" s="2927"/>
      <c r="E2262" s="2927"/>
      <c r="F2262" s="2927"/>
      <c r="G2262" s="2927"/>
      <c r="H2262" s="1004" t="n">
        <f aca="false">'Смета Внутр'!G2269</f>
        <v>0</v>
      </c>
      <c r="I2262" s="1004" t="n">
        <f aca="false">'Смета Внутр'!H2269</f>
        <v>0</v>
      </c>
      <c r="J2262" s="1018" t="n">
        <f aca="false">'Смета Внутр'!I2269</f>
        <v>0</v>
      </c>
    </row>
    <row r="2263" customFormat="false" ht="15" hidden="false" customHeight="true" outlineLevel="0" collapsed="false">
      <c r="B2263" s="2881" t="str">
        <f aca="false">'Смета Внутр'!B2270</f>
        <v>Работы</v>
      </c>
      <c r="D2263" s="919"/>
      <c r="H2263" s="0" t="n">
        <f aca="false">'Смета Внутр'!G2270</f>
        <v>0</v>
      </c>
      <c r="I2263" s="0" t="n">
        <f aca="false">'Смета Внутр'!H2270</f>
        <v>0</v>
      </c>
      <c r="J2263" s="2926" t="n">
        <f aca="false">'Смета Внутр'!I2270</f>
        <v>0</v>
      </c>
    </row>
    <row r="2264" customFormat="false" ht="15" hidden="false" customHeight="true" outlineLevel="0" collapsed="false">
      <c r="B2264" s="1004" t="str">
        <f aca="false">'Смета Внутр'!B2271</f>
        <v>монтаж трубы</v>
      </c>
      <c r="C2264" s="1004" t="str">
        <f aca="false">'Смета Внутр'!C2271</f>
        <v>м.п.</v>
      </c>
      <c r="D2264" s="1018" t="n">
        <f aca="false">'Смета Внутр'!D2271</f>
        <v>180.8</v>
      </c>
      <c r="E2264" s="1004" t="n">
        <f aca="false">'Смета Внутр'!E2271</f>
        <v>200</v>
      </c>
      <c r="F2264" s="1004" t="n">
        <f aca="false">'Смета Внутр'!F2271</f>
        <v>0</v>
      </c>
      <c r="G2264" s="1004" t="n">
        <f aca="false">IF(E2264&gt;F2264,E2264,F2264)</f>
        <v>200</v>
      </c>
      <c r="H2264" s="1004" t="n">
        <f aca="false">'Смета Внутр'!G2271</f>
        <v>36160</v>
      </c>
      <c r="I2264" s="1004" t="n">
        <f aca="false">'Смета Внутр'!H2271</f>
        <v>0</v>
      </c>
      <c r="J2264" s="1018" t="n">
        <f aca="false">'Смета Внутр'!I2271</f>
        <v>0</v>
      </c>
    </row>
    <row r="2265" customFormat="false" ht="15" hidden="false" customHeight="true" outlineLevel="0" collapsed="false">
      <c r="B2265" s="1004" t="str">
        <f aca="false">'Смета Внутр'!B2272</f>
        <v>установка радиаторов</v>
      </c>
      <c r="C2265" s="1004" t="str">
        <f aca="false">'Смета Внутр'!C2272</f>
        <v>шт</v>
      </c>
      <c r="D2265" s="1018" t="n">
        <f aca="false">'Смета Внутр'!D2272</f>
        <v>5</v>
      </c>
      <c r="E2265" s="1004" t="n">
        <f aca="false">'Смета Внутр'!E2272</f>
        <v>1000</v>
      </c>
      <c r="F2265" s="1004" t="n">
        <f aca="false">'Смета Внутр'!F2272</f>
        <v>0</v>
      </c>
      <c r="G2265" s="1004" t="n">
        <f aca="false">IF(E2265&gt;F2265,E2265,F2265)</f>
        <v>1000</v>
      </c>
      <c r="H2265" s="1004" t="n">
        <f aca="false">'Смета Внутр'!G2272</f>
        <v>5000</v>
      </c>
      <c r="I2265" s="1004" t="n">
        <f aca="false">'Смета Внутр'!H2272</f>
        <v>0</v>
      </c>
      <c r="J2265" s="1018" t="n">
        <f aca="false">'Смета Внутр'!I2272</f>
        <v>0</v>
      </c>
    </row>
    <row r="2266" customFormat="false" ht="15" hidden="false" customHeight="true" outlineLevel="0" collapsed="false">
      <c r="B2266" s="1004" t="str">
        <f aca="false">'Смета Внутр'!B2273</f>
        <v>монтаж трубы</v>
      </c>
      <c r="C2266" s="1004" t="str">
        <f aca="false">'Смета Внутр'!C2273</f>
        <v>м.п.</v>
      </c>
      <c r="D2266" s="1018" t="n">
        <f aca="false">'Смета Внутр'!D2273</f>
        <v>30</v>
      </c>
      <c r="E2266" s="1004" t="n">
        <f aca="false">'Смета Внутр'!E2273</f>
        <v>200</v>
      </c>
      <c r="F2266" s="1004" t="n">
        <f aca="false">'Смета Внутр'!F2273</f>
        <v>0</v>
      </c>
      <c r="G2266" s="1004" t="n">
        <f aca="false">IF(E2266&gt;F2266,E2266,F2266)</f>
        <v>200</v>
      </c>
      <c r="H2266" s="1004" t="n">
        <f aca="false">'Смета Внутр'!G2273</f>
        <v>6000</v>
      </c>
      <c r="I2266" s="1004" t="n">
        <f aca="false">'Смета Внутр'!H2273</f>
        <v>0</v>
      </c>
      <c r="J2266" s="1018" t="n">
        <f aca="false">'Смета Внутр'!I2273</f>
        <v>0</v>
      </c>
    </row>
    <row r="2267" customFormat="false" ht="15" hidden="false" customHeight="true" outlineLevel="0" collapsed="false">
      <c r="B2267" s="2927" t="str">
        <f aca="false">'Смета Внутр'!B2274</f>
        <v>Итого работы</v>
      </c>
      <c r="C2267" s="2927"/>
      <c r="D2267" s="2927"/>
      <c r="E2267" s="2927"/>
      <c r="F2267" s="2927"/>
      <c r="G2267" s="2927"/>
      <c r="H2267" s="1004" t="n">
        <f aca="false">'Смета Внутр'!G2274</f>
        <v>0</v>
      </c>
      <c r="I2267" s="1004" t="n">
        <f aca="false">'Смета Внутр'!H2274</f>
        <v>0</v>
      </c>
      <c r="J2267" s="1018" t="n">
        <f aca="false">'Смета Внутр'!I2274</f>
        <v>0</v>
      </c>
    </row>
    <row r="2268" customFormat="false" ht="15" hidden="false" customHeight="true" outlineLevel="0" collapsed="false">
      <c r="B2268" s="2925" t="str">
        <f aca="false">'Смета Внутр'!B2275</f>
        <v>Скважина</v>
      </c>
      <c r="C2268" s="2925"/>
      <c r="D2268" s="2925"/>
      <c r="H2268" s="0" t="n">
        <f aca="false">'Смета Внутр'!G2275</f>
        <v>0</v>
      </c>
      <c r="I2268" s="0" t="n">
        <f aca="false">'Смета Внутр'!H2275</f>
        <v>0</v>
      </c>
      <c r="J2268" s="2926" t="n">
        <f aca="false">'Смета Внутр'!I2275</f>
        <v>0</v>
      </c>
    </row>
    <row r="2269" customFormat="false" ht="15" hidden="false" customHeight="true" outlineLevel="0" collapsed="false">
      <c r="B2269" s="2881" t="str">
        <f aca="false">'Смета Внутр'!B2276</f>
        <v>Материалы</v>
      </c>
      <c r="D2269" s="919"/>
      <c r="H2269" s="0" t="n">
        <f aca="false">'Смета Внутр'!G2276</f>
        <v>0</v>
      </c>
      <c r="I2269" s="0" t="n">
        <f aca="false">'Смета Внутр'!H2276</f>
        <v>0</v>
      </c>
      <c r="J2269" s="2926" t="n">
        <f aca="false">'Смета Внутр'!I2276</f>
        <v>0</v>
      </c>
    </row>
    <row r="2270" customFormat="false" ht="15" hidden="false" customHeight="true" outlineLevel="0" collapsed="false">
      <c r="B2270" s="1004" t="str">
        <f aca="false">'Смета Внутр'!B2277</f>
        <v>насос малыш</v>
      </c>
      <c r="C2270" s="1004" t="str">
        <f aca="false">'Смета Внутр'!C2277</f>
        <v>шт</v>
      </c>
      <c r="D2270" s="1018" t="n">
        <f aca="false">'Смета Внутр'!D2277</f>
        <v>1</v>
      </c>
      <c r="E2270" s="1004" t="n">
        <f aca="false">'Смета Внутр'!E2277</f>
        <v>2500</v>
      </c>
      <c r="F2270" s="1004" t="n">
        <f aca="false">'Смета Внутр'!F2277</f>
        <v>0</v>
      </c>
      <c r="G2270" s="1004" t="n">
        <f aca="false">IF(E2270&gt;F2270,E2270,F2270)</f>
        <v>2500</v>
      </c>
      <c r="H2270" s="1004" t="n">
        <f aca="false">'Смета Внутр'!G2277</f>
        <v>2500</v>
      </c>
      <c r="I2270" s="1004" t="n">
        <f aca="false">'Смета Внутр'!H2277</f>
        <v>0</v>
      </c>
      <c r="J2270" s="1018" t="n">
        <f aca="false">'Смета Внутр'!I2277</f>
        <v>0</v>
      </c>
    </row>
    <row r="2271" customFormat="false" ht="15" hidden="false" customHeight="true" outlineLevel="0" collapsed="false">
      <c r="B2271" s="1004" t="str">
        <f aca="false">'Смета Внутр'!B2278</f>
        <v>шланг для насоса</v>
      </c>
      <c r="C2271" s="1004" t="str">
        <f aca="false">'Смета Внутр'!C2278</f>
        <v>м.п.</v>
      </c>
      <c r="D2271" s="1018" t="n">
        <f aca="false">'Смета Внутр'!D2278</f>
        <v>72</v>
      </c>
      <c r="E2271" s="1004" t="n">
        <f aca="false">'Смета Внутр'!E2278</f>
        <v>19</v>
      </c>
      <c r="F2271" s="1004" t="n">
        <f aca="false">'Смета Внутр'!F2278</f>
        <v>0</v>
      </c>
      <c r="G2271" s="1004" t="n">
        <f aca="false">IF(E2271&gt;F2271,E2271,F2271)</f>
        <v>19</v>
      </c>
      <c r="H2271" s="1004" t="n">
        <f aca="false">'Смета Внутр'!G2278</f>
        <v>1368</v>
      </c>
      <c r="I2271" s="1004" t="n">
        <f aca="false">'Смета Внутр'!H2278</f>
        <v>0</v>
      </c>
      <c r="J2271" s="1018" t="n">
        <f aca="false">'Смета Внутр'!I2278</f>
        <v>0</v>
      </c>
    </row>
    <row r="2272" customFormat="false" ht="15" hidden="false" customHeight="true" outlineLevel="0" collapsed="false">
      <c r="B2272" s="1004" t="str">
        <f aca="false">'Смета Внутр'!B2279</f>
        <v>тросик для насоса</v>
      </c>
      <c r="C2272" s="1004" t="str">
        <f aca="false">'Смета Внутр'!C2279</f>
        <v>м.п.</v>
      </c>
      <c r="D2272" s="1018" t="n">
        <f aca="false">'Смета Внутр'!D2279</f>
        <v>72</v>
      </c>
      <c r="E2272" s="1004" t="n">
        <f aca="false">'Смета Внутр'!E2279</f>
        <v>5</v>
      </c>
      <c r="F2272" s="1004" t="n">
        <f aca="false">'Смета Внутр'!F2279</f>
        <v>0</v>
      </c>
      <c r="G2272" s="1004" t="n">
        <f aca="false">IF(E2272&gt;F2272,E2272,F2272)</f>
        <v>5</v>
      </c>
      <c r="H2272" s="1004" t="n">
        <f aca="false">'Смета Внутр'!G2279</f>
        <v>360</v>
      </c>
      <c r="I2272" s="1004" t="n">
        <f aca="false">'Смета Внутр'!H2279</f>
        <v>0</v>
      </c>
      <c r="J2272" s="1018" t="n">
        <f aca="false">'Смета Внутр'!I2279</f>
        <v>0</v>
      </c>
    </row>
    <row r="2273" customFormat="false" ht="15" hidden="false" customHeight="true" outlineLevel="0" collapsed="false">
      <c r="B2273" s="1004" t="str">
        <f aca="false">'Смета Внутр'!B2280</f>
        <v>изолента</v>
      </c>
      <c r="C2273" s="1004" t="str">
        <f aca="false">'Смета Внутр'!C2280</f>
        <v>рул</v>
      </c>
      <c r="D2273" s="1018" t="n">
        <f aca="false">'Смета Внутр'!D2280</f>
        <v>1</v>
      </c>
      <c r="E2273" s="1004" t="n">
        <f aca="false">'Смета Внутр'!E2280</f>
        <v>100</v>
      </c>
      <c r="F2273" s="1004" t="n">
        <f aca="false">'Смета Внутр'!F2280</f>
        <v>0</v>
      </c>
      <c r="G2273" s="1004" t="n">
        <f aca="false">IF(E2273&gt;F2273,E2273,F2273)</f>
        <v>100</v>
      </c>
      <c r="H2273" s="1004" t="n">
        <f aca="false">'Смета Внутр'!G2280</f>
        <v>100</v>
      </c>
      <c r="I2273" s="1004" t="n">
        <f aca="false">'Смета Внутр'!H2280</f>
        <v>0</v>
      </c>
      <c r="J2273" s="1018" t="n">
        <f aca="false">'Смета Внутр'!I2280</f>
        <v>0</v>
      </c>
    </row>
    <row r="2274" customFormat="false" ht="15" hidden="false" customHeight="true" outlineLevel="0" collapsed="false">
      <c r="B2274" s="1004" t="str">
        <f aca="false">'Смета Внутр'!B2281</f>
        <v>гидроаккумулятор, 80л</v>
      </c>
      <c r="C2274" s="1004" t="str">
        <f aca="false">'Смета Внутр'!C2281</f>
        <v>шт</v>
      </c>
      <c r="D2274" s="1018" t="n">
        <f aca="false">'Смета Внутр'!D2281</f>
        <v>1</v>
      </c>
      <c r="E2274" s="1004" t="n">
        <f aca="false">'Смета Внутр'!E2281</f>
        <v>8000</v>
      </c>
      <c r="F2274" s="1004" t="n">
        <f aca="false">'Смета Внутр'!F2281</f>
        <v>0</v>
      </c>
      <c r="G2274" s="1004" t="n">
        <f aca="false">IF(E2274&gt;F2274,E2274,F2274)</f>
        <v>8000</v>
      </c>
      <c r="H2274" s="1004" t="n">
        <f aca="false">'Смета Внутр'!G2281</f>
        <v>8000</v>
      </c>
      <c r="I2274" s="1004" t="n">
        <f aca="false">'Смета Внутр'!H2281</f>
        <v>0</v>
      </c>
      <c r="J2274" s="1018" t="n">
        <f aca="false">'Смета Внутр'!I2281</f>
        <v>0</v>
      </c>
    </row>
    <row r="2275" customFormat="false" ht="15" hidden="false" customHeight="true" outlineLevel="0" collapsed="false">
      <c r="B2275" s="1004" t="str">
        <f aca="false">'Смета Внутр'!B2282</f>
        <v>автоматика</v>
      </c>
      <c r="C2275" s="1004" t="str">
        <f aca="false">'Смета Внутр'!C2282</f>
        <v>шт</v>
      </c>
      <c r="D2275" s="1018" t="n">
        <f aca="false">'Смета Внутр'!D2282</f>
        <v>1</v>
      </c>
      <c r="E2275" s="1004" t="n">
        <f aca="false">'Смета Внутр'!E2282</f>
        <v>10000</v>
      </c>
      <c r="F2275" s="1004" t="n">
        <f aca="false">'Смета Внутр'!F2282</f>
        <v>0</v>
      </c>
      <c r="G2275" s="1004" t="n">
        <f aca="false">IF(E2275&gt;F2275,E2275,F2275)</f>
        <v>10000</v>
      </c>
      <c r="H2275" s="1004" t="n">
        <f aca="false">'Смета Внутр'!G2282</f>
        <v>10000</v>
      </c>
      <c r="I2275" s="1004" t="n">
        <f aca="false">'Смета Внутр'!H2282</f>
        <v>0</v>
      </c>
      <c r="J2275" s="1018" t="n">
        <f aca="false">'Смета Внутр'!I2282</f>
        <v>0</v>
      </c>
    </row>
    <row r="2276" customFormat="false" ht="15" hidden="false" customHeight="true" outlineLevel="0" collapsed="false">
      <c r="B2276" s="1004" t="str">
        <f aca="false">'Смета Внутр'!B2283</f>
        <v>пнд труба</v>
      </c>
      <c r="C2276" s="1004" t="str">
        <f aca="false">'Смета Внутр'!C2283</f>
        <v>м.п.</v>
      </c>
      <c r="D2276" s="1018" t="n">
        <f aca="false">'Смета Внутр'!D2283</f>
        <v>72</v>
      </c>
      <c r="E2276" s="1004" t="n">
        <f aca="false">'Смета Внутр'!E2283</f>
        <v>35</v>
      </c>
      <c r="F2276" s="1004" t="n">
        <f aca="false">'Смета Внутр'!F2283</f>
        <v>0</v>
      </c>
      <c r="G2276" s="1004" t="n">
        <f aca="false">IF(E2276&gt;F2276,E2276,F2276)</f>
        <v>35</v>
      </c>
      <c r="H2276" s="1004" t="n">
        <f aca="false">'Смета Внутр'!G2283</f>
        <v>2520</v>
      </c>
      <c r="I2276" s="1004" t="n">
        <f aca="false">'Смета Внутр'!H2283</f>
        <v>0</v>
      </c>
      <c r="J2276" s="1018" t="n">
        <f aca="false">'Смета Внутр'!I2283</f>
        <v>0</v>
      </c>
    </row>
    <row r="2277" customFormat="false" ht="15" hidden="false" customHeight="true" outlineLevel="0" collapsed="false">
      <c r="B2277" s="1004" t="str">
        <f aca="false">'Смета Внутр'!B2284</f>
        <v>скорлупа утепления двойная</v>
      </c>
      <c r="C2277" s="1004" t="str">
        <f aca="false">'Смета Внутр'!C2284</f>
        <v>м.п.</v>
      </c>
      <c r="D2277" s="1018" t="n">
        <f aca="false">'Смета Внутр'!D2284</f>
        <v>10</v>
      </c>
      <c r="E2277" s="1004" t="n">
        <f aca="false">'Смета Внутр'!E2284</f>
        <v>500</v>
      </c>
      <c r="F2277" s="1004" t="n">
        <f aca="false">'Смета Внутр'!F2284</f>
        <v>0</v>
      </c>
      <c r="G2277" s="1004" t="n">
        <f aca="false">IF(E2277&gt;F2277,E2277,F2277)</f>
        <v>500</v>
      </c>
      <c r="H2277" s="1004" t="n">
        <f aca="false">'Смета Внутр'!G2284</f>
        <v>5000</v>
      </c>
      <c r="I2277" s="1004" t="n">
        <f aca="false">'Смета Внутр'!H2284</f>
        <v>0</v>
      </c>
      <c r="J2277" s="1018" t="n">
        <f aca="false">'Смета Внутр'!I2284</f>
        <v>0</v>
      </c>
    </row>
    <row r="2278" customFormat="false" ht="15" hidden="false" customHeight="true" outlineLevel="0" collapsed="false">
      <c r="B2278" s="1004" t="str">
        <f aca="false">'Смета Внутр'!B2285</f>
        <v>скважинный адаптер</v>
      </c>
      <c r="C2278" s="1004" t="str">
        <f aca="false">'Смета Внутр'!C2285</f>
        <v>шт</v>
      </c>
      <c r="D2278" s="1018" t="n">
        <f aca="false">'Смета Внутр'!D2285</f>
        <v>1</v>
      </c>
      <c r="E2278" s="1004" t="n">
        <f aca="false">'Смета Внутр'!E2285</f>
        <v>3000</v>
      </c>
      <c r="F2278" s="1004" t="n">
        <f aca="false">'Смета Внутр'!F2285</f>
        <v>0</v>
      </c>
      <c r="G2278" s="1004" t="n">
        <f aca="false">IF(E2278&gt;F2278,E2278,F2278)</f>
        <v>3000</v>
      </c>
      <c r="H2278" s="1004" t="n">
        <f aca="false">'Смета Внутр'!G2285</f>
        <v>3000</v>
      </c>
      <c r="I2278" s="1004" t="n">
        <f aca="false">'Смета Внутр'!H2285</f>
        <v>0</v>
      </c>
      <c r="J2278" s="1018" t="n">
        <f aca="false">'Смета Внутр'!I2285</f>
        <v>0</v>
      </c>
    </row>
    <row r="2279" customFormat="false" ht="14.5" hidden="false" customHeight="false" outlineLevel="0" collapsed="false">
      <c r="B2279" s="2927" t="str">
        <f aca="false">'Смета Внутр'!B2286</f>
        <v>Итого материалы</v>
      </c>
      <c r="C2279" s="2927"/>
      <c r="D2279" s="2927"/>
      <c r="E2279" s="2927"/>
      <c r="F2279" s="2927"/>
      <c r="G2279" s="2927"/>
      <c r="H2279" s="1004" t="n">
        <f aca="false">'Смета Внутр'!G2286</f>
        <v>0</v>
      </c>
      <c r="I2279" s="1004" t="n">
        <f aca="false">'Смета Внутр'!H2286</f>
        <v>0</v>
      </c>
      <c r="J2279" s="1018" t="n">
        <f aca="false">'Смета Внутр'!I2286</f>
        <v>0</v>
      </c>
    </row>
    <row r="2280" customFormat="false" ht="15" hidden="false" customHeight="true" outlineLevel="0" collapsed="false">
      <c r="B2280" s="2881" t="str">
        <f aca="false">'Смета Внутр'!B2287</f>
        <v>Работы</v>
      </c>
      <c r="D2280" s="919"/>
      <c r="H2280" s="0" t="n">
        <f aca="false">'Смета Внутр'!G2287</f>
        <v>0</v>
      </c>
      <c r="I2280" s="0" t="n">
        <f aca="false">'Смета Внутр'!H2287</f>
        <v>0</v>
      </c>
      <c r="J2280" s="2926" t="n">
        <f aca="false">'Смета Внутр'!I2287</f>
        <v>0</v>
      </c>
    </row>
    <row r="2281" customFormat="false" ht="15" hidden="false" customHeight="true" outlineLevel="0" collapsed="false">
      <c r="B2281" s="1004" t="str">
        <f aca="false">'Смета Внутр'!B2288</f>
        <v>контроль за земляными</v>
      </c>
      <c r="C2281" s="1004" t="str">
        <f aca="false">'Смета Внутр'!C2288</f>
        <v>шт</v>
      </c>
      <c r="D2281" s="1018" t="n">
        <f aca="false">'Смета Внутр'!D2288</f>
        <v>1</v>
      </c>
      <c r="E2281" s="1004" t="n">
        <f aca="false">'Смета Внутр'!E2288</f>
        <v>1500</v>
      </c>
      <c r="F2281" s="1004" t="n">
        <f aca="false">'Смета Внутр'!F2288</f>
        <v>0</v>
      </c>
      <c r="G2281" s="1004" t="n">
        <f aca="false">IF(E2281&gt;F2281,E2281,F2281)</f>
        <v>1500</v>
      </c>
      <c r="H2281" s="1004" t="n">
        <f aca="false">'Смета Внутр'!G2288</f>
        <v>1500</v>
      </c>
      <c r="I2281" s="1004" t="n">
        <f aca="false">'Смета Внутр'!H2288</f>
        <v>0</v>
      </c>
      <c r="J2281" s="1018" t="n">
        <f aca="false">'Смета Внутр'!I2288</f>
        <v>0</v>
      </c>
    </row>
    <row r="2282" customFormat="false" ht="15" hidden="false" customHeight="true" outlineLevel="0" collapsed="false">
      <c r="B2282" s="1004" t="str">
        <f aca="false">'Смета Внутр'!B2289</f>
        <v>контроль за бурением</v>
      </c>
      <c r="C2282" s="1004" t="str">
        <f aca="false">'Смета Внутр'!C2289</f>
        <v>шт</v>
      </c>
      <c r="D2282" s="1018" t="n">
        <f aca="false">'Смета Внутр'!D2289</f>
        <v>1</v>
      </c>
      <c r="E2282" s="1004" t="n">
        <f aca="false">'Смета Внутр'!E2289</f>
        <v>1500</v>
      </c>
      <c r="F2282" s="1004" t="n">
        <f aca="false">'Смета Внутр'!F2289</f>
        <v>0</v>
      </c>
      <c r="G2282" s="1004" t="n">
        <f aca="false">IF(E2282&gt;F2282,E2282,F2282)</f>
        <v>1500</v>
      </c>
      <c r="H2282" s="1004" t="n">
        <f aca="false">'Смета Внутр'!G2289</f>
        <v>1500</v>
      </c>
      <c r="I2282" s="1004" t="n">
        <f aca="false">'Смета Внутр'!H2289</f>
        <v>0</v>
      </c>
      <c r="J2282" s="1018" t="n">
        <f aca="false">'Смета Внутр'!I2289</f>
        <v>0</v>
      </c>
    </row>
    <row r="2283" customFormat="false" ht="15" hidden="false" customHeight="true" outlineLevel="0" collapsed="false">
      <c r="B2283" s="1004" t="str">
        <f aca="false">'Смета Внутр'!B2290</f>
        <v>установка скваж адап</v>
      </c>
      <c r="C2283" s="1004" t="str">
        <f aca="false">'Смета Внутр'!C2290</f>
        <v>шт</v>
      </c>
      <c r="D2283" s="1018" t="n">
        <f aca="false">'Смета Внутр'!D2290</f>
        <v>1</v>
      </c>
      <c r="E2283" s="1004" t="n">
        <f aca="false">'Смета Внутр'!E2290</f>
        <v>3000</v>
      </c>
      <c r="F2283" s="1004" t="n">
        <f aca="false">'Смета Внутр'!F2290</f>
        <v>0</v>
      </c>
      <c r="G2283" s="1004" t="n">
        <f aca="false">IF(E2283&gt;F2283,E2283,F2283)</f>
        <v>3000</v>
      </c>
      <c r="H2283" s="1004" t="n">
        <f aca="false">'Смета Внутр'!G2290</f>
        <v>3000</v>
      </c>
      <c r="I2283" s="1004" t="n">
        <f aca="false">'Смета Внутр'!H2290</f>
        <v>0</v>
      </c>
      <c r="J2283" s="1018" t="n">
        <f aca="false">'Смета Внутр'!I2290</f>
        <v>0</v>
      </c>
    </row>
    <row r="2284" customFormat="false" ht="15" hidden="false" customHeight="true" outlineLevel="0" collapsed="false">
      <c r="B2284" s="1004" t="str">
        <f aca="false">'Смета Внутр'!B2291</f>
        <v>установка гидроаккум</v>
      </c>
      <c r="C2284" s="1004" t="str">
        <f aca="false">'Смета Внутр'!C2291</f>
        <v>шт</v>
      </c>
      <c r="D2284" s="1018" t="n">
        <f aca="false">'Смета Внутр'!D2291</f>
        <v>1</v>
      </c>
      <c r="E2284" s="1004" t="n">
        <f aca="false">'Смета Внутр'!E2291</f>
        <v>2500</v>
      </c>
      <c r="F2284" s="1004" t="n">
        <f aca="false">'Смета Внутр'!F2291</f>
        <v>0</v>
      </c>
      <c r="G2284" s="1004" t="n">
        <f aca="false">IF(E2284&gt;F2284,E2284,F2284)</f>
        <v>2500</v>
      </c>
      <c r="H2284" s="1004" t="n">
        <f aca="false">'Смета Внутр'!G2291</f>
        <v>2500</v>
      </c>
      <c r="I2284" s="1004" t="n">
        <f aca="false">'Смета Внутр'!H2291</f>
        <v>0</v>
      </c>
      <c r="J2284" s="1018" t="n">
        <f aca="false">'Смета Внутр'!I2291</f>
        <v>0</v>
      </c>
    </row>
    <row r="2285" customFormat="false" ht="15" hidden="false" customHeight="true" outlineLevel="0" collapsed="false">
      <c r="B2285" s="1004" t="str">
        <f aca="false">'Смета Внутр'!B2292</f>
        <v>монтаж автоматики</v>
      </c>
      <c r="C2285" s="1004" t="str">
        <f aca="false">'Смета Внутр'!C2292</f>
        <v>шт</v>
      </c>
      <c r="D2285" s="1018" t="n">
        <f aca="false">'Смета Внутр'!D2292</f>
        <v>1</v>
      </c>
      <c r="E2285" s="1004" t="n">
        <f aca="false">'Смета Внутр'!E2292</f>
        <v>4000</v>
      </c>
      <c r="F2285" s="1004" t="n">
        <f aca="false">'Смета Внутр'!F2292</f>
        <v>0</v>
      </c>
      <c r="G2285" s="1004" t="n">
        <f aca="false">IF(E2285&gt;F2285,E2285,F2285)</f>
        <v>4000</v>
      </c>
      <c r="H2285" s="1004" t="n">
        <f aca="false">'Смета Внутр'!G2292</f>
        <v>4000</v>
      </c>
      <c r="I2285" s="1004" t="n">
        <f aca="false">'Смета Внутр'!H2292</f>
        <v>0</v>
      </c>
      <c r="J2285" s="1018" t="n">
        <f aca="false">'Смета Внутр'!I2292</f>
        <v>0</v>
      </c>
    </row>
    <row r="2286" customFormat="false" ht="15" hidden="false" customHeight="true" outlineLevel="0" collapsed="false">
      <c r="B2286" s="1004" t="str">
        <f aca="false">'Смета Внутр'!B2293</f>
        <v>прокладка пнд с утепл</v>
      </c>
      <c r="C2286" s="1004" t="str">
        <f aca="false">'Смета Внутр'!C2293</f>
        <v>м.п.</v>
      </c>
      <c r="D2286" s="1018" t="n">
        <f aca="false">'Смета Внутр'!D2293</f>
        <v>10</v>
      </c>
      <c r="E2286" s="1004" t="n">
        <f aca="false">'Смета Внутр'!E2293</f>
        <v>500</v>
      </c>
      <c r="F2286" s="1004" t="n">
        <f aca="false">'Смета Внутр'!F2293</f>
        <v>0</v>
      </c>
      <c r="G2286" s="1004" t="n">
        <f aca="false">IF(E2286&gt;F2286,E2286,F2286)</f>
        <v>500</v>
      </c>
      <c r="H2286" s="1004" t="n">
        <f aca="false">'Смета Внутр'!G2293</f>
        <v>5000</v>
      </c>
      <c r="I2286" s="1004" t="n">
        <f aca="false">'Смета Внутр'!H2293</f>
        <v>0</v>
      </c>
      <c r="J2286" s="1018" t="n">
        <f aca="false">'Смета Внутр'!I2293</f>
        <v>0</v>
      </c>
    </row>
    <row r="2287" customFormat="false" ht="15" hidden="false" customHeight="true" outlineLevel="0" collapsed="false">
      <c r="B2287" s="2927" t="str">
        <f aca="false">'Смета Внутр'!B2294</f>
        <v>Итого работы</v>
      </c>
      <c r="C2287" s="2927"/>
      <c r="D2287" s="2927"/>
      <c r="E2287" s="2927"/>
      <c r="F2287" s="2927"/>
      <c r="G2287" s="2927"/>
      <c r="H2287" s="1004" t="n">
        <f aca="false">'Смета Внутр'!G2294</f>
        <v>0</v>
      </c>
      <c r="I2287" s="1004" t="n">
        <f aca="false">'Смета Внутр'!H2294</f>
        <v>0</v>
      </c>
      <c r="J2287" s="1018" t="n">
        <f aca="false">'Смета Внутр'!I2294</f>
        <v>0</v>
      </c>
    </row>
    <row r="2288" customFormat="false" ht="15" hidden="false" customHeight="true" outlineLevel="0" collapsed="false">
      <c r="B2288" s="2925" t="str">
        <f aca="false">'Смета Внутр'!B2295</f>
        <v>Септик с утепленной канализацией</v>
      </c>
      <c r="C2288" s="2925"/>
      <c r="D2288" s="2925"/>
      <c r="H2288" s="0" t="n">
        <f aca="false">'Смета Внутр'!G2295</f>
        <v>0</v>
      </c>
      <c r="I2288" s="0" t="n">
        <f aca="false">'Смета Внутр'!H2295</f>
        <v>0</v>
      </c>
      <c r="J2288" s="2926" t="n">
        <f aca="false">'Смета Внутр'!I2295</f>
        <v>0</v>
      </c>
    </row>
    <row r="2289" customFormat="false" ht="15" hidden="false" customHeight="true" outlineLevel="0" collapsed="false">
      <c r="B2289" s="2881" t="str">
        <f aca="false">'Смета Внутр'!B2296</f>
        <v>Материалы</v>
      </c>
      <c r="D2289" s="919"/>
      <c r="H2289" s="0" t="n">
        <f aca="false">'Смета Внутр'!G2296</f>
        <v>0</v>
      </c>
      <c r="I2289" s="0" t="n">
        <f aca="false">'Смета Внутр'!H2296</f>
        <v>0</v>
      </c>
      <c r="J2289" s="2926" t="n">
        <f aca="false">'Смета Внутр'!I2296</f>
        <v>0</v>
      </c>
    </row>
    <row r="2290" customFormat="false" ht="15" hidden="false" customHeight="true" outlineLevel="0" collapsed="false">
      <c r="B2290" s="1004" t="str">
        <f aca="false">'Смета Внутр'!B2297</f>
        <v>дно бетонное, диаметр 1,5м.п.</v>
      </c>
      <c r="C2290" s="1004" t="str">
        <f aca="false">'Смета Внутр'!C2297</f>
        <v>шт</v>
      </c>
      <c r="D2290" s="1018" t="n">
        <f aca="false">'Смета Внутр'!D2297</f>
        <v>1</v>
      </c>
      <c r="E2290" s="1004" t="n">
        <f aca="false">'Смета Внутр'!E2297</f>
        <v>2000</v>
      </c>
      <c r="F2290" s="1004" t="n">
        <f aca="false">'Смета Внутр'!F2297</f>
        <v>0</v>
      </c>
      <c r="G2290" s="1004" t="n">
        <f aca="false">IF(E2290&gt;F2290,E2290,F2290)</f>
        <v>2000</v>
      </c>
      <c r="H2290" s="1004" t="n">
        <f aca="false">'Смета Внутр'!G2297</f>
        <v>2000</v>
      </c>
      <c r="I2290" s="1004" t="n">
        <f aca="false">'Смета Внутр'!H2297</f>
        <v>0</v>
      </c>
      <c r="J2290" s="1018" t="n">
        <f aca="false">'Смета Внутр'!I2297</f>
        <v>0</v>
      </c>
    </row>
    <row r="2291" customFormat="false" ht="15" hidden="false" customHeight="true" outlineLevel="0" collapsed="false">
      <c r="B2291" s="1004" t="str">
        <f aca="false">'Смета Внутр'!B2298</f>
        <v>кольцо бетонное, диаметр 1,5м.п.</v>
      </c>
      <c r="C2291" s="1004" t="str">
        <f aca="false">'Смета Внутр'!C2298</f>
        <v>шт</v>
      </c>
      <c r="D2291" s="1018" t="n">
        <f aca="false">'Смета Внутр'!D2298</f>
        <v>3</v>
      </c>
      <c r="E2291" s="1004" t="n">
        <f aca="false">'Смета Внутр'!E2298</f>
        <v>2800</v>
      </c>
      <c r="F2291" s="1004" t="n">
        <f aca="false">'Смета Внутр'!F2298</f>
        <v>0</v>
      </c>
      <c r="G2291" s="1004" t="n">
        <f aca="false">IF(E2291&gt;F2291,E2291,F2291)</f>
        <v>2800</v>
      </c>
      <c r="H2291" s="1004" t="n">
        <f aca="false">'Смета Внутр'!G2298</f>
        <v>8400</v>
      </c>
      <c r="I2291" s="1004" t="n">
        <f aca="false">'Смета Внутр'!H2298</f>
        <v>0</v>
      </c>
      <c r="J2291" s="1018" t="n">
        <f aca="false">'Смета Внутр'!I2298</f>
        <v>0</v>
      </c>
    </row>
    <row r="2292" customFormat="false" ht="15" hidden="false" customHeight="true" outlineLevel="0" collapsed="false">
      <c r="B2292" s="1004" t="str">
        <f aca="false">'Смета Внутр'!B2299</f>
        <v>крышка бетонная, диаметр 1,5м.п.</v>
      </c>
      <c r="C2292" s="1004" t="str">
        <f aca="false">'Смета Внутр'!C2299</f>
        <v>шт</v>
      </c>
      <c r="D2292" s="1018" t="n">
        <f aca="false">'Смета Внутр'!D2299</f>
        <v>1</v>
      </c>
      <c r="E2292" s="1004" t="n">
        <f aca="false">'Смета Внутр'!E2299</f>
        <v>4000</v>
      </c>
      <c r="F2292" s="1004" t="n">
        <f aca="false">'Смета Внутр'!F2299</f>
        <v>0</v>
      </c>
      <c r="G2292" s="1004" t="n">
        <f aca="false">IF(E2292&gt;F2292,E2292,F2292)</f>
        <v>4000</v>
      </c>
      <c r="H2292" s="1004" t="n">
        <f aca="false">'Смета Внутр'!G2299</f>
        <v>4000</v>
      </c>
      <c r="I2292" s="1004" t="n">
        <f aca="false">'Смета Внутр'!H2299</f>
        <v>0</v>
      </c>
      <c r="J2292" s="1018" t="n">
        <f aca="false">'Смета Внутр'!I2299</f>
        <v>0</v>
      </c>
    </row>
    <row r="2293" customFormat="false" ht="15" hidden="false" customHeight="true" outlineLevel="0" collapsed="false">
      <c r="B2293" s="1004" t="str">
        <f aca="false">'Смета Внутр'!B2300</f>
        <v>Нет люка для крышки</v>
      </c>
      <c r="C2293" s="1004" t="str">
        <f aca="false">'Смета Внутр'!C2300</f>
        <v>шт</v>
      </c>
      <c r="D2293" s="1018" t="n">
        <f aca="false">'Смета Внутр'!D2300</f>
        <v>0</v>
      </c>
      <c r="E2293" s="1004" t="n">
        <f aca="false">'Смета Внутр'!E2300</f>
        <v>0</v>
      </c>
      <c r="F2293" s="1004" t="n">
        <f aca="false">'Смета Внутр'!F2300</f>
        <v>0</v>
      </c>
      <c r="G2293" s="1004" t="n">
        <f aca="false">IF(E2293&gt;F2293,E2293,F2293)</f>
        <v>0</v>
      </c>
      <c r="H2293" s="1004" t="n">
        <f aca="false">'Смета Внутр'!G2300</f>
        <v>0</v>
      </c>
      <c r="I2293" s="1004" t="n">
        <f aca="false">'Смета Внутр'!H2300</f>
        <v>0</v>
      </c>
      <c r="J2293" s="1018" t="n">
        <f aca="false">'Смета Внутр'!I2300</f>
        <v>0</v>
      </c>
    </row>
    <row r="2294" customFormat="false" ht="15" hidden="false" customHeight="true" outlineLevel="0" collapsed="false">
      <c r="B2294" s="1004" t="str">
        <f aca="false">'Смета Внутр'!B2301</f>
        <v>Горловина для септика бетонная</v>
      </c>
      <c r="C2294" s="1004" t="str">
        <f aca="false">'Смета Внутр'!C2301</f>
        <v>шт</v>
      </c>
      <c r="D2294" s="1018" t="n">
        <f aca="false">'Смета Внутр'!D2301</f>
        <v>1</v>
      </c>
      <c r="E2294" s="1004" t="n">
        <f aca="false">'Смета Внутр'!E2301</f>
        <v>1000</v>
      </c>
      <c r="F2294" s="1004" t="n">
        <f aca="false">'Смета Внутр'!F2301</f>
        <v>0</v>
      </c>
      <c r="G2294" s="1004" t="n">
        <f aca="false">IF(E2294&gt;F2294,E2294,F2294)</f>
        <v>1000</v>
      </c>
      <c r="H2294" s="1004" t="n">
        <f aca="false">'Смета Внутр'!G2301</f>
        <v>1000</v>
      </c>
      <c r="I2294" s="1004" t="n">
        <f aca="false">'Смета Внутр'!H2301</f>
        <v>0</v>
      </c>
      <c r="J2294" s="1018" t="n">
        <f aca="false">'Смета Внутр'!I2301</f>
        <v>0</v>
      </c>
    </row>
    <row r="2295" customFormat="false" ht="15" hidden="false" customHeight="true" outlineLevel="0" collapsed="false">
      <c r="B2295" s="1004" t="str">
        <f aca="false">'Смета Внутр'!B2302</f>
        <v>Труба канализационная D110</v>
      </c>
      <c r="C2295" s="1004" t="str">
        <f aca="false">'Смета Внутр'!C2302</f>
        <v>м.п.</v>
      </c>
      <c r="D2295" s="1018" t="n">
        <f aca="false">'Смета Внутр'!D2302</f>
        <v>10</v>
      </c>
      <c r="E2295" s="1004" t="n">
        <f aca="false">'Смета Внутр'!E2302</f>
        <v>70</v>
      </c>
      <c r="F2295" s="1004" t="n">
        <f aca="false">'Смета Внутр'!F2302</f>
        <v>0</v>
      </c>
      <c r="G2295" s="1004" t="n">
        <f aca="false">IF(E2295&gt;F2295,E2295,F2295)</f>
        <v>70</v>
      </c>
      <c r="H2295" s="1004" t="n">
        <f aca="false">'Смета Внутр'!G2302</f>
        <v>700</v>
      </c>
      <c r="I2295" s="1004" t="n">
        <f aca="false">'Смета Внутр'!H2302</f>
        <v>0</v>
      </c>
      <c r="J2295" s="1018" t="n">
        <f aca="false">'Смета Внутр'!I2302</f>
        <v>0</v>
      </c>
    </row>
    <row r="2296" customFormat="false" ht="15" hidden="false" customHeight="true" outlineLevel="0" collapsed="false">
      <c r="B2296" s="1004" t="str">
        <f aca="false">'Смета Внутр'!B2303</f>
        <v>утепление для канализационной трубы</v>
      </c>
      <c r="C2296" s="1004" t="str">
        <f aca="false">'Смета Внутр'!C2303</f>
        <v>м.п.</v>
      </c>
      <c r="D2296" s="1018" t="n">
        <f aca="false">'Смета Внутр'!D2303</f>
        <v>8</v>
      </c>
      <c r="E2296" s="1004" t="n">
        <f aca="false">'Смета Внутр'!E2303</f>
        <v>300</v>
      </c>
      <c r="F2296" s="1004" t="n">
        <f aca="false">'Смета Внутр'!F2303</f>
        <v>0</v>
      </c>
      <c r="G2296" s="1004" t="n">
        <f aca="false">IF(E2296&gt;F2296,E2296,F2296)</f>
        <v>300</v>
      </c>
      <c r="H2296" s="1004" t="n">
        <f aca="false">'Смета Внутр'!G2303</f>
        <v>2400</v>
      </c>
      <c r="I2296" s="1004" t="n">
        <f aca="false">'Смета Внутр'!H2303</f>
        <v>0</v>
      </c>
      <c r="J2296" s="1018" t="n">
        <f aca="false">'Смета Внутр'!I2303</f>
        <v>0</v>
      </c>
    </row>
    <row r="2297" customFormat="false" ht="15" hidden="false" customHeight="true" outlineLevel="0" collapsed="false">
      <c r="B2297" s="1004" t="str">
        <f aca="false">'Смета Внутр'!B2304</f>
        <v>раствор для бетонирования</v>
      </c>
      <c r="C2297" s="1004" t="str">
        <f aca="false">'Смета Внутр'!C2304</f>
        <v>шт</v>
      </c>
      <c r="D2297" s="1018" t="n">
        <f aca="false">'Смета Внутр'!D2304</f>
        <v>3</v>
      </c>
      <c r="E2297" s="1004" t="n">
        <f aca="false">'Смета Внутр'!E2304</f>
        <v>100</v>
      </c>
      <c r="F2297" s="1004" t="n">
        <f aca="false">'Смета Внутр'!F2304</f>
        <v>0</v>
      </c>
      <c r="G2297" s="1004" t="n">
        <f aca="false">IF(E2297&gt;F2297,E2297,F2297)</f>
        <v>100</v>
      </c>
      <c r="H2297" s="1004" t="n">
        <f aca="false">'Смета Внутр'!G2304</f>
        <v>300</v>
      </c>
      <c r="I2297" s="1004" t="n">
        <f aca="false">'Смета Внутр'!H2304</f>
        <v>0</v>
      </c>
      <c r="J2297" s="1018" t="n">
        <f aca="false">'Смета Внутр'!I2304</f>
        <v>0</v>
      </c>
    </row>
    <row r="2298" customFormat="false" ht="15" hidden="false" customHeight="true" outlineLevel="0" collapsed="false">
      <c r="B2298" s="1004" t="str">
        <f aca="false">'Смета Внутр'!B2305</f>
        <v>скотч для скорлупы утепления</v>
      </c>
      <c r="C2298" s="1004" t="str">
        <f aca="false">'Смета Внутр'!C2305</f>
        <v>шт</v>
      </c>
      <c r="D2298" s="1018" t="n">
        <f aca="false">'Смета Внутр'!D2305</f>
        <v>3</v>
      </c>
      <c r="E2298" s="1004" t="n">
        <f aca="false">'Смета Внутр'!E2305</f>
        <v>100</v>
      </c>
      <c r="F2298" s="1004" t="n">
        <f aca="false">'Смета Внутр'!F2305</f>
        <v>0</v>
      </c>
      <c r="G2298" s="1004" t="n">
        <f aca="false">IF(E2298&gt;F2298,E2298,F2298)</f>
        <v>100</v>
      </c>
      <c r="H2298" s="1004" t="n">
        <f aca="false">'Смета Внутр'!G2305</f>
        <v>300</v>
      </c>
      <c r="I2298" s="1004" t="n">
        <f aca="false">'Смета Внутр'!H2305</f>
        <v>0</v>
      </c>
      <c r="J2298" s="1018" t="n">
        <f aca="false">'Смета Внутр'!I2305</f>
        <v>0</v>
      </c>
    </row>
    <row r="2299" customFormat="false" ht="15" hidden="false" customHeight="true" outlineLevel="0" collapsed="false">
      <c r="B2299" s="1004" t="str">
        <f aca="false">'Смета Внутр'!B2306</f>
        <v>дно бетонное, диаметр 2м.п.</v>
      </c>
      <c r="C2299" s="1004" t="str">
        <f aca="false">'Смета Внутр'!C2306</f>
        <v>шт</v>
      </c>
      <c r="D2299" s="1018" t="n">
        <f aca="false">'Смета Внутр'!D2306</f>
        <v>1</v>
      </c>
      <c r="E2299" s="1004" t="n">
        <f aca="false">'Смета Внутр'!E2306</f>
        <v>2000</v>
      </c>
      <c r="F2299" s="1004" t="n">
        <f aca="false">'Смета Внутр'!F2306</f>
        <v>0</v>
      </c>
      <c r="G2299" s="1004" t="n">
        <f aca="false">IF(E2299&gt;F2299,E2299,F2299)</f>
        <v>2000</v>
      </c>
      <c r="H2299" s="1004" t="n">
        <f aca="false">'Смета Внутр'!G2306</f>
        <v>2000</v>
      </c>
      <c r="I2299" s="1004" t="n">
        <f aca="false">'Смета Внутр'!H2306</f>
        <v>0</v>
      </c>
      <c r="J2299" s="1018" t="n">
        <f aca="false">'Смета Внутр'!I2306</f>
        <v>0</v>
      </c>
    </row>
    <row r="2300" customFormat="false" ht="15" hidden="false" customHeight="true" outlineLevel="0" collapsed="false">
      <c r="B2300" s="1004" t="str">
        <f aca="false">'Смета Внутр'!B2307</f>
        <v>кольцо бетонное, диаметр 2м.п.</v>
      </c>
      <c r="C2300" s="1004" t="str">
        <f aca="false">'Смета Внутр'!C2307</f>
        <v>шт</v>
      </c>
      <c r="D2300" s="1018" t="n">
        <f aca="false">'Смета Внутр'!D2307</f>
        <v>3</v>
      </c>
      <c r="E2300" s="1004" t="n">
        <f aca="false">'Смета Внутр'!E2307</f>
        <v>3300</v>
      </c>
      <c r="F2300" s="1004" t="n">
        <f aca="false">'Смета Внутр'!F2307</f>
        <v>0</v>
      </c>
      <c r="G2300" s="1004" t="n">
        <f aca="false">IF(E2300&gt;F2300,E2300,F2300)</f>
        <v>3300</v>
      </c>
      <c r="H2300" s="1004" t="n">
        <f aca="false">'Смета Внутр'!G2307</f>
        <v>9900</v>
      </c>
      <c r="I2300" s="1004" t="n">
        <f aca="false">'Смета Внутр'!H2307</f>
        <v>0</v>
      </c>
      <c r="J2300" s="1018" t="n">
        <f aca="false">'Смета Внутр'!I2307</f>
        <v>0</v>
      </c>
    </row>
    <row r="2301" customFormat="false" ht="15" hidden="false" customHeight="true" outlineLevel="0" collapsed="false">
      <c r="B2301" s="1004" t="str">
        <f aca="false">'Смета Внутр'!B2308</f>
        <v>крышка бетонная, диаметр 2м.п.</v>
      </c>
      <c r="C2301" s="1004" t="str">
        <f aca="false">'Смета Внутр'!C2308</f>
        <v>шт</v>
      </c>
      <c r="D2301" s="1018" t="n">
        <f aca="false">'Смета Внутр'!D2308</f>
        <v>1</v>
      </c>
      <c r="E2301" s="1004" t="n">
        <f aca="false">'Смета Внутр'!E2308</f>
        <v>4000</v>
      </c>
      <c r="F2301" s="1004" t="n">
        <f aca="false">'Смета Внутр'!F2308</f>
        <v>0</v>
      </c>
      <c r="G2301" s="1004" t="n">
        <f aca="false">IF(E2301&gt;F2301,E2301,F2301)</f>
        <v>4000</v>
      </c>
      <c r="H2301" s="1004" t="n">
        <f aca="false">'Смета Внутр'!G2308</f>
        <v>4000</v>
      </c>
      <c r="I2301" s="1004" t="n">
        <f aca="false">'Смета Внутр'!H2308</f>
        <v>0</v>
      </c>
      <c r="J2301" s="1018" t="n">
        <f aca="false">'Смета Внутр'!I2308</f>
        <v>0</v>
      </c>
    </row>
    <row r="2302" customFormat="false" ht="15" hidden="false" customHeight="true" outlineLevel="0" collapsed="false">
      <c r="B2302" s="1004" t="str">
        <f aca="false">'Смета Внутр'!B2309</f>
        <v>Нет люка для крышки</v>
      </c>
      <c r="C2302" s="1004" t="str">
        <f aca="false">'Смета Внутр'!C2309</f>
        <v>шт</v>
      </c>
      <c r="D2302" s="1018" t="n">
        <f aca="false">'Смета Внутр'!D2309</f>
        <v>0</v>
      </c>
      <c r="E2302" s="1004" t="n">
        <f aca="false">'Смета Внутр'!E2309</f>
        <v>0</v>
      </c>
      <c r="F2302" s="1004" t="n">
        <f aca="false">'Смета Внутр'!F2309</f>
        <v>0</v>
      </c>
      <c r="G2302" s="1004" t="n">
        <f aca="false">IF(E2302&gt;F2302,E2302,F2302)</f>
        <v>0</v>
      </c>
      <c r="H2302" s="1004" t="n">
        <f aca="false">'Смета Внутр'!G2309</f>
        <v>0</v>
      </c>
      <c r="I2302" s="1004" t="n">
        <f aca="false">'Смета Внутр'!H2309</f>
        <v>0</v>
      </c>
      <c r="J2302" s="1018" t="n">
        <f aca="false">'Смета Внутр'!I2309</f>
        <v>0</v>
      </c>
    </row>
    <row r="2303" customFormat="false" ht="14.5" hidden="false" customHeight="false" outlineLevel="0" collapsed="false">
      <c r="B2303" s="2927" t="str">
        <f aca="false">'Смета Внутр'!B2310</f>
        <v>Итого материалы</v>
      </c>
      <c r="C2303" s="2927"/>
      <c r="D2303" s="2927"/>
      <c r="E2303" s="2927"/>
      <c r="F2303" s="2927"/>
      <c r="G2303" s="2927"/>
      <c r="H2303" s="1004" t="n">
        <f aca="false">'Смета Внутр'!G2310</f>
        <v>0</v>
      </c>
      <c r="I2303" s="1004" t="n">
        <f aca="false">'Смета Внутр'!H2310</f>
        <v>0</v>
      </c>
      <c r="J2303" s="1018" t="n">
        <f aca="false">'Смета Внутр'!I2310</f>
        <v>0</v>
      </c>
    </row>
    <row r="2304" customFormat="false" ht="15" hidden="false" customHeight="true" outlineLevel="0" collapsed="false">
      <c r="B2304" s="2881" t="str">
        <f aca="false">'Смета Внутр'!B2311</f>
        <v>Работы</v>
      </c>
      <c r="D2304" s="919"/>
      <c r="H2304" s="0" t="n">
        <f aca="false">'Смета Внутр'!G2311</f>
        <v>0</v>
      </c>
      <c r="I2304" s="0" t="n">
        <f aca="false">'Смета Внутр'!H2311</f>
        <v>0</v>
      </c>
      <c r="J2304" s="2926" t="n">
        <f aca="false">'Смета Внутр'!I2311</f>
        <v>0</v>
      </c>
    </row>
    <row r="2305" customFormat="false" ht="15" hidden="false" customHeight="true" outlineLevel="0" collapsed="false">
      <c r="B2305" s="1004" t="str">
        <f aca="false">'Смета Внутр'!B2312</f>
        <v>монтаж дна</v>
      </c>
      <c r="C2305" s="1004" t="str">
        <f aca="false">'Смета Внутр'!C2312</f>
        <v>шт</v>
      </c>
      <c r="D2305" s="1018" t="n">
        <f aca="false">'Смета Внутр'!D2312</f>
        <v>2</v>
      </c>
      <c r="E2305" s="1004" t="n">
        <f aca="false">'Смета Внутр'!E2312</f>
        <v>1000</v>
      </c>
      <c r="F2305" s="1004" t="n">
        <f aca="false">'Смета Внутр'!F2312</f>
        <v>0</v>
      </c>
      <c r="G2305" s="1004" t="n">
        <f aca="false">IF(E2305&gt;F2305,E2305,F2305)</f>
        <v>1000</v>
      </c>
      <c r="H2305" s="1004" t="n">
        <f aca="false">'Смета Внутр'!G2312</f>
        <v>2000</v>
      </c>
      <c r="I2305" s="1004" t="n">
        <f aca="false">'Смета Внутр'!H2312</f>
        <v>0</v>
      </c>
      <c r="J2305" s="1018" t="n">
        <f aca="false">'Смета Внутр'!I2312</f>
        <v>0</v>
      </c>
    </row>
    <row r="2306" customFormat="false" ht="15" hidden="false" customHeight="true" outlineLevel="0" collapsed="false">
      <c r="B2306" s="1004" t="str">
        <f aca="false">'Смета Внутр'!B2313</f>
        <v>монтаж колец</v>
      </c>
      <c r="C2306" s="1004" t="str">
        <f aca="false">'Смета Внутр'!C2313</f>
        <v>шт</v>
      </c>
      <c r="D2306" s="1018" t="n">
        <f aca="false">'Смета Внутр'!D2313</f>
        <v>6</v>
      </c>
      <c r="E2306" s="1004" t="n">
        <f aca="false">'Смета Внутр'!E2313</f>
        <v>1000</v>
      </c>
      <c r="F2306" s="1004" t="n">
        <f aca="false">'Смета Внутр'!F2313</f>
        <v>0</v>
      </c>
      <c r="G2306" s="1004" t="n">
        <f aca="false">IF(E2306&gt;F2306,E2306,F2306)</f>
        <v>1000</v>
      </c>
      <c r="H2306" s="1004" t="n">
        <f aca="false">'Смета Внутр'!G2313</f>
        <v>6000</v>
      </c>
      <c r="I2306" s="1004" t="n">
        <f aca="false">'Смета Внутр'!H2313</f>
        <v>0</v>
      </c>
      <c r="J2306" s="1018" t="n">
        <f aca="false">'Смета Внутр'!I2313</f>
        <v>0</v>
      </c>
    </row>
    <row r="2307" customFormat="false" ht="15" hidden="false" customHeight="true" outlineLevel="0" collapsed="false">
      <c r="B2307" s="1004" t="str">
        <f aca="false">'Смета Внутр'!B2314</f>
        <v>монтаж крышки</v>
      </c>
      <c r="C2307" s="1004" t="str">
        <f aca="false">'Смета Внутр'!C2314</f>
        <v>шт</v>
      </c>
      <c r="D2307" s="1018" t="n">
        <f aca="false">'Смета Внутр'!D2314</f>
        <v>2</v>
      </c>
      <c r="E2307" s="1004" t="n">
        <f aca="false">'Смета Внутр'!E2314</f>
        <v>1000</v>
      </c>
      <c r="F2307" s="1004" t="n">
        <f aca="false">'Смета Внутр'!F2314</f>
        <v>0</v>
      </c>
      <c r="G2307" s="1004" t="n">
        <f aca="false">IF(E2307&gt;F2307,E2307,F2307)</f>
        <v>1000</v>
      </c>
      <c r="H2307" s="1004" t="n">
        <f aca="false">'Смета Внутр'!G2314</f>
        <v>2000</v>
      </c>
      <c r="I2307" s="1004" t="n">
        <f aca="false">'Смета Внутр'!H2314</f>
        <v>0</v>
      </c>
      <c r="J2307" s="1018" t="n">
        <f aca="false">'Смета Внутр'!I2314</f>
        <v>0</v>
      </c>
    </row>
    <row r="2308" customFormat="false" ht="15" hidden="false" customHeight="true" outlineLevel="0" collapsed="false">
      <c r="B2308" s="1004" t="str">
        <f aca="false">'Смета Внутр'!B2315</f>
        <v>монтаж люка</v>
      </c>
      <c r="C2308" s="1004" t="str">
        <f aca="false">'Смета Внутр'!C2315</f>
        <v>шт</v>
      </c>
      <c r="D2308" s="1018" t="n">
        <f aca="false">'Смета Внутр'!D2315</f>
        <v>0</v>
      </c>
      <c r="E2308" s="1004" t="n">
        <f aca="false">'Смета Внутр'!E2315</f>
        <v>1000</v>
      </c>
      <c r="F2308" s="1004" t="n">
        <f aca="false">'Смета Внутр'!F2315</f>
        <v>0</v>
      </c>
      <c r="G2308" s="1004" t="n">
        <f aca="false">IF(E2308&gt;F2308,E2308,F2308)</f>
        <v>1000</v>
      </c>
      <c r="H2308" s="1004" t="n">
        <f aca="false">'Смета Внутр'!G2315</f>
        <v>0</v>
      </c>
      <c r="I2308" s="1004" t="n">
        <f aca="false">'Смета Внутр'!H2315</f>
        <v>0</v>
      </c>
      <c r="J2308" s="1018" t="n">
        <f aca="false">'Смета Внутр'!I2315</f>
        <v>0</v>
      </c>
    </row>
    <row r="2309" customFormat="false" ht="15" hidden="false" customHeight="true" outlineLevel="0" collapsed="false">
      <c r="B2309" s="1004" t="str">
        <f aca="false">'Смета Внутр'!B2316</f>
        <v>монтаж горловины</v>
      </c>
      <c r="C2309" s="1004" t="str">
        <f aca="false">'Смета Внутр'!C2316</f>
        <v>м.п.</v>
      </c>
      <c r="D2309" s="1018" t="n">
        <f aca="false">'Смета Внутр'!D2316</f>
        <v>1</v>
      </c>
      <c r="E2309" s="1004" t="n">
        <f aca="false">'Смета Внутр'!E2316</f>
        <v>800</v>
      </c>
      <c r="F2309" s="1004" t="n">
        <f aca="false">'Смета Внутр'!F2316</f>
        <v>0</v>
      </c>
      <c r="G2309" s="1004" t="n">
        <f aca="false">IF(E2309&gt;F2309,E2309,F2309)</f>
        <v>800</v>
      </c>
      <c r="H2309" s="1004" t="n">
        <f aca="false">'Смета Внутр'!G2316</f>
        <v>800</v>
      </c>
      <c r="I2309" s="1004" t="n">
        <f aca="false">'Смета Внутр'!H2316</f>
        <v>0</v>
      </c>
      <c r="J2309" s="1018" t="n">
        <f aca="false">'Смета Внутр'!I2316</f>
        <v>0</v>
      </c>
    </row>
    <row r="2310" customFormat="false" ht="15" hidden="false" customHeight="true" outlineLevel="0" collapsed="false">
      <c r="B2310" s="1004" t="str">
        <f aca="false">'Смета Внутр'!B2317</f>
        <v>м/ж ут-ной канал</v>
      </c>
      <c r="C2310" s="1004" t="str">
        <f aca="false">'Смета Внутр'!C2317</f>
        <v>шт</v>
      </c>
      <c r="D2310" s="1018" t="n">
        <f aca="false">'Смета Внутр'!D2317</f>
        <v>10</v>
      </c>
      <c r="E2310" s="1004" t="n">
        <f aca="false">'Смета Внутр'!E2317</f>
        <v>500</v>
      </c>
      <c r="F2310" s="1004" t="n">
        <f aca="false">'Смета Внутр'!F2317</f>
        <v>0</v>
      </c>
      <c r="G2310" s="1004" t="n">
        <f aca="false">IF(E2310&gt;F2310,E2310,F2310)</f>
        <v>500</v>
      </c>
      <c r="H2310" s="1004" t="n">
        <f aca="false">'Смета Внутр'!G2317</f>
        <v>5000</v>
      </c>
      <c r="I2310" s="1004" t="n">
        <f aca="false">'Смета Внутр'!H2317</f>
        <v>0</v>
      </c>
      <c r="J2310" s="1018" t="n">
        <f aca="false">'Смета Внутр'!I2317</f>
        <v>0</v>
      </c>
    </row>
    <row r="2311" customFormat="false" ht="15" hidden="false" customHeight="true" outlineLevel="0" collapsed="false">
      <c r="B2311" s="1004" t="str">
        <f aca="false">'Смета Внутр'!B2318</f>
        <v>бетонирование</v>
      </c>
      <c r="C2311" s="1004" t="str">
        <f aca="false">'Смета Внутр'!C2318</f>
        <v>шт</v>
      </c>
      <c r="D2311" s="1018" t="n">
        <f aca="false">'Смета Внутр'!D2318</f>
        <v>1</v>
      </c>
      <c r="E2311" s="1004" t="n">
        <f aca="false">'Смета Внутр'!E2318</f>
        <v>2500</v>
      </c>
      <c r="F2311" s="1004" t="n">
        <f aca="false">'Смета Внутр'!F2318</f>
        <v>0</v>
      </c>
      <c r="G2311" s="1004" t="n">
        <f aca="false">IF(E2311&gt;F2311,E2311,F2311)</f>
        <v>2500</v>
      </c>
      <c r="H2311" s="1004" t="n">
        <f aca="false">'Смета Внутр'!G2318</f>
        <v>2500</v>
      </c>
      <c r="I2311" s="1004" t="n">
        <f aca="false">'Смета Внутр'!H2318</f>
        <v>0</v>
      </c>
      <c r="J2311" s="1018" t="n">
        <f aca="false">'Смета Внутр'!I2318</f>
        <v>0</v>
      </c>
    </row>
    <row r="2312" customFormat="false" ht="15" hidden="false" customHeight="true" outlineLevel="0" collapsed="false">
      <c r="B2312" s="2927" t="str">
        <f aca="false">'Смета Внутр'!B2319</f>
        <v>Итого работы</v>
      </c>
      <c r="C2312" s="2927"/>
      <c r="D2312" s="2927"/>
      <c r="E2312" s="2927"/>
      <c r="F2312" s="2927"/>
      <c r="G2312" s="2927"/>
      <c r="H2312" s="1004" t="n">
        <f aca="false">'Смета Внутр'!G2319</f>
        <v>0</v>
      </c>
      <c r="I2312" s="1004" t="n">
        <f aca="false">'Смета Внутр'!H2319</f>
        <v>0</v>
      </c>
      <c r="J2312" s="1018" t="n">
        <f aca="false">'Смета Внутр'!I2319</f>
        <v>0</v>
      </c>
    </row>
    <row r="2313" customFormat="false" ht="15" hidden="false" customHeight="true" outlineLevel="0" collapsed="false">
      <c r="B2313" s="2925" t="str">
        <f aca="false">'Смета Внутр'!B2320</f>
        <v>Котельная</v>
      </c>
      <c r="C2313" s="2925"/>
      <c r="D2313" s="2925"/>
      <c r="H2313" s="0" t="n">
        <f aca="false">'Смета Внутр'!G2320</f>
        <v>0</v>
      </c>
      <c r="I2313" s="0" t="n">
        <f aca="false">'Смета Внутр'!H2320</f>
        <v>0</v>
      </c>
      <c r="J2313" s="2926" t="n">
        <f aca="false">'Смета Внутр'!I2320</f>
        <v>0</v>
      </c>
    </row>
    <row r="2314" customFormat="false" ht="15" hidden="false" customHeight="true" outlineLevel="0" collapsed="false">
      <c r="B2314" s="2881" t="str">
        <f aca="false">'Смета Внутр'!B2321</f>
        <v>Материалы</v>
      </c>
      <c r="D2314" s="919"/>
      <c r="H2314" s="0" t="n">
        <f aca="false">'Смета Внутр'!G2321</f>
        <v>0</v>
      </c>
      <c r="I2314" s="0" t="n">
        <f aca="false">'Смета Внутр'!H2321</f>
        <v>0</v>
      </c>
      <c r="J2314" s="2926" t="n">
        <f aca="false">'Смета Внутр'!I2321</f>
        <v>0</v>
      </c>
    </row>
    <row r="2315" customFormat="false" ht="15" hidden="false" customHeight="true" outlineLevel="0" collapsed="false">
      <c r="B2315" s="1004" t="str">
        <f aca="false">'Смета Внутр'!B2322</f>
        <v>котел</v>
      </c>
      <c r="C2315" s="1004" t="str">
        <f aca="false">'Смета Внутр'!C2322</f>
        <v>шт</v>
      </c>
      <c r="D2315" s="1018" t="n">
        <f aca="false">'Смета Внутр'!D2322</f>
        <v>1</v>
      </c>
      <c r="E2315" s="1004" t="n">
        <f aca="false">'Смета Внутр'!E2322</f>
        <v>30000</v>
      </c>
      <c r="F2315" s="1004" t="n">
        <f aca="false">'Смета Внутр'!F2322</f>
        <v>0</v>
      </c>
      <c r="G2315" s="1004" t="n">
        <f aca="false">IF(E2315&gt;F2315,E2315,F2315)</f>
        <v>30000</v>
      </c>
      <c r="H2315" s="1004" t="n">
        <f aca="false">'Смета Внутр'!G2322</f>
        <v>30000</v>
      </c>
      <c r="I2315" s="1004" t="n">
        <f aca="false">'Смета Внутр'!H2322</f>
        <v>0</v>
      </c>
      <c r="J2315" s="1018" t="n">
        <f aca="false">'Смета Внутр'!I2322</f>
        <v>0</v>
      </c>
    </row>
    <row r="2316" customFormat="false" ht="15" hidden="false" customHeight="true" outlineLevel="0" collapsed="false">
      <c r="B2316" s="1004" t="str">
        <f aca="false">'Смета Внутр'!B2323</f>
        <v>бойлер</v>
      </c>
      <c r="C2316" s="1004" t="str">
        <f aca="false">'Смета Внутр'!C2323</f>
        <v>шт</v>
      </c>
      <c r="D2316" s="1018" t="n">
        <f aca="false">'Смета Внутр'!D2323</f>
        <v>1</v>
      </c>
      <c r="E2316" s="1004" t="n">
        <f aca="false">'Смета Внутр'!E2323</f>
        <v>10000</v>
      </c>
      <c r="F2316" s="1004" t="n">
        <f aca="false">'Смета Внутр'!F2323</f>
        <v>0</v>
      </c>
      <c r="G2316" s="1004" t="n">
        <f aca="false">IF(E2316&gt;F2316,E2316,F2316)</f>
        <v>10000</v>
      </c>
      <c r="H2316" s="1004" t="n">
        <f aca="false">'Смета Внутр'!G2323</f>
        <v>10000</v>
      </c>
      <c r="I2316" s="1004" t="n">
        <f aca="false">'Смета Внутр'!H2323</f>
        <v>0</v>
      </c>
      <c r="J2316" s="1018" t="n">
        <f aca="false">'Смета Внутр'!I2323</f>
        <v>0</v>
      </c>
    </row>
    <row r="2317" customFormat="false" ht="15" hidden="false" customHeight="true" outlineLevel="0" collapsed="false">
      <c r="B2317" s="1004" t="str">
        <f aca="false">'Смета Внутр'!B2324</f>
        <v>гребенка</v>
      </c>
      <c r="C2317" s="1004" t="str">
        <f aca="false">'Смета Внутр'!C2324</f>
        <v>шт</v>
      </c>
      <c r="D2317" s="1018" t="n">
        <f aca="false">'Смета Внутр'!D2324</f>
        <v>1</v>
      </c>
      <c r="E2317" s="1004" t="n">
        <f aca="false">'Смета Внутр'!E2324</f>
        <v>5000</v>
      </c>
      <c r="F2317" s="1004" t="n">
        <f aca="false">'Смета Внутр'!F2324</f>
        <v>0</v>
      </c>
      <c r="G2317" s="1004" t="n">
        <f aca="false">IF(E2317&gt;F2317,E2317,F2317)</f>
        <v>5000</v>
      </c>
      <c r="H2317" s="1004" t="n">
        <f aca="false">'Смета Внутр'!G2324</f>
        <v>5000</v>
      </c>
      <c r="I2317" s="1004" t="n">
        <f aca="false">'Смета Внутр'!H2324</f>
        <v>0</v>
      </c>
      <c r="J2317" s="1018" t="n">
        <f aca="false">'Смета Внутр'!I2324</f>
        <v>0</v>
      </c>
    </row>
    <row r="2318" customFormat="false" ht="15" hidden="false" customHeight="true" outlineLevel="0" collapsed="false">
      <c r="B2318" s="1004" t="str">
        <f aca="false">'Смета Внутр'!B2325</f>
        <v>насос на отопление</v>
      </c>
      <c r="C2318" s="1004" t="str">
        <f aca="false">'Смета Внутр'!C2325</f>
        <v>шт</v>
      </c>
      <c r="D2318" s="1018" t="n">
        <f aca="false">'Смета Внутр'!D2325</f>
        <v>1</v>
      </c>
      <c r="E2318" s="1004" t="n">
        <f aca="false">'Смета Внутр'!E2325</f>
        <v>3500</v>
      </c>
      <c r="F2318" s="1004" t="n">
        <f aca="false">'Смета Внутр'!F2325</f>
        <v>0</v>
      </c>
      <c r="G2318" s="1004" t="n">
        <f aca="false">IF(E2318&gt;F2318,E2318,F2318)</f>
        <v>3500</v>
      </c>
      <c r="H2318" s="1004" t="n">
        <f aca="false">'Смета Внутр'!G2325</f>
        <v>3500</v>
      </c>
      <c r="I2318" s="1004" t="n">
        <f aca="false">'Смета Внутр'!H2325</f>
        <v>0</v>
      </c>
      <c r="J2318" s="1018" t="n">
        <f aca="false">'Смета Внутр'!I2325</f>
        <v>0</v>
      </c>
    </row>
    <row r="2319" customFormat="false" ht="15" hidden="false" customHeight="true" outlineLevel="0" collapsed="false">
      <c r="B2319" s="1004" t="str">
        <f aca="false">'Смета Внутр'!B2326</f>
        <v>насос на горячее водоснабжение</v>
      </c>
      <c r="C2319" s="1004" t="str">
        <f aca="false">'Смета Внутр'!C2326</f>
        <v>шт</v>
      </c>
      <c r="D2319" s="1018" t="n">
        <f aca="false">'Смета Внутр'!D2326</f>
        <v>1</v>
      </c>
      <c r="E2319" s="1004" t="n">
        <f aca="false">'Смета Внутр'!E2326</f>
        <v>2500</v>
      </c>
      <c r="F2319" s="1004" t="n">
        <f aca="false">'Смета Внутр'!F2326</f>
        <v>0</v>
      </c>
      <c r="G2319" s="1004" t="n">
        <f aca="false">IF(E2319&gt;F2319,E2319,F2319)</f>
        <v>2500</v>
      </c>
      <c r="H2319" s="1004" t="n">
        <f aca="false">'Смета Внутр'!G2326</f>
        <v>2500</v>
      </c>
      <c r="I2319" s="1004" t="n">
        <f aca="false">'Смета Внутр'!H2326</f>
        <v>0</v>
      </c>
      <c r="J2319" s="1018" t="n">
        <f aca="false">'Смета Внутр'!I2326</f>
        <v>0</v>
      </c>
    </row>
    <row r="2320" customFormat="false" ht="15" hidden="false" customHeight="true" outlineLevel="0" collapsed="false">
      <c r="B2320" s="1004" t="str">
        <f aca="false">'Смета Внутр'!B2327</f>
        <v>датчик давления</v>
      </c>
      <c r="C2320" s="1004" t="str">
        <f aca="false">'Смета Внутр'!C2327</f>
        <v>шт</v>
      </c>
      <c r="D2320" s="1018" t="n">
        <f aca="false">'Смета Внутр'!D2327</f>
        <v>2</v>
      </c>
      <c r="E2320" s="1004" t="n">
        <f aca="false">'Смета Внутр'!E2327</f>
        <v>700</v>
      </c>
      <c r="F2320" s="1004" t="n">
        <f aca="false">'Смета Внутр'!F2327</f>
        <v>0</v>
      </c>
      <c r="G2320" s="1004" t="n">
        <f aca="false">IF(E2320&gt;F2320,E2320,F2320)</f>
        <v>700</v>
      </c>
      <c r="H2320" s="1004" t="n">
        <f aca="false">'Смета Внутр'!G2327</f>
        <v>1400</v>
      </c>
      <c r="I2320" s="1004" t="n">
        <f aca="false">'Смета Внутр'!H2327</f>
        <v>0</v>
      </c>
      <c r="J2320" s="1018" t="n">
        <f aca="false">'Смета Внутр'!I2327</f>
        <v>0</v>
      </c>
    </row>
    <row r="2321" customFormat="false" ht="15" hidden="false" customHeight="true" outlineLevel="0" collapsed="false">
      <c r="B2321" s="1004" t="str">
        <f aca="false">'Смета Внутр'!B2328</f>
        <v>сбросной клапан</v>
      </c>
      <c r="C2321" s="1004" t="str">
        <f aca="false">'Смета Внутр'!C2328</f>
        <v>шт</v>
      </c>
      <c r="D2321" s="1018" t="n">
        <f aca="false">'Смета Внутр'!D2328</f>
        <v>1</v>
      </c>
      <c r="E2321" s="1004" t="n">
        <f aca="false">'Смета Внутр'!E2328</f>
        <v>1500</v>
      </c>
      <c r="F2321" s="1004" t="n">
        <f aca="false">'Смета Внутр'!F2328</f>
        <v>0</v>
      </c>
      <c r="G2321" s="1004" t="n">
        <f aca="false">IF(E2321&gt;F2321,E2321,F2321)</f>
        <v>1500</v>
      </c>
      <c r="H2321" s="1004" t="n">
        <f aca="false">'Смета Внутр'!G2328</f>
        <v>1500</v>
      </c>
      <c r="I2321" s="1004" t="n">
        <f aca="false">'Смета Внутр'!H2328</f>
        <v>0</v>
      </c>
      <c r="J2321" s="1018" t="n">
        <f aca="false">'Смета Внутр'!I2328</f>
        <v>0</v>
      </c>
    </row>
    <row r="2322" customFormat="false" ht="15" hidden="false" customHeight="true" outlineLevel="0" collapsed="false">
      <c r="B2322" s="1004" t="str">
        <f aca="false">'Смета Внутр'!B2329</f>
        <v>труба, черная ду 32</v>
      </c>
      <c r="C2322" s="1004" t="str">
        <f aca="false">'Смета Внутр'!C2329</f>
        <v>м.п.</v>
      </c>
      <c r="D2322" s="1018" t="n">
        <f aca="false">'Смета Внутр'!D2329</f>
        <v>20</v>
      </c>
      <c r="E2322" s="1004" t="n">
        <f aca="false">'Смета Внутр'!E2329</f>
        <v>100</v>
      </c>
      <c r="F2322" s="1004" t="n">
        <f aca="false">'Смета Внутр'!F2329</f>
        <v>0</v>
      </c>
      <c r="G2322" s="1004" t="n">
        <f aca="false">IF(E2322&gt;F2322,E2322,F2322)</f>
        <v>100</v>
      </c>
      <c r="H2322" s="1004" t="n">
        <f aca="false">'Смета Внутр'!G2329</f>
        <v>2000</v>
      </c>
      <c r="I2322" s="1004" t="n">
        <f aca="false">'Смета Внутр'!H2329</f>
        <v>0</v>
      </c>
      <c r="J2322" s="1018" t="n">
        <f aca="false">'Смета Внутр'!I2329</f>
        <v>0</v>
      </c>
    </row>
    <row r="2323" customFormat="false" ht="15" hidden="false" customHeight="true" outlineLevel="0" collapsed="false">
      <c r="B2323" s="1004" t="str">
        <f aca="false">'Смета Внутр'!B2330</f>
        <v>угол ду 32</v>
      </c>
      <c r="C2323" s="1004" t="str">
        <f aca="false">'Смета Внутр'!C2330</f>
        <v>шт</v>
      </c>
      <c r="D2323" s="1018" t="n">
        <f aca="false">'Смета Внутр'!D2330</f>
        <v>10</v>
      </c>
      <c r="E2323" s="1004" t="n">
        <f aca="false">'Смета Внутр'!E2330</f>
        <v>12</v>
      </c>
      <c r="F2323" s="1004" t="n">
        <f aca="false">'Смета Внутр'!F2330</f>
        <v>0</v>
      </c>
      <c r="G2323" s="1004" t="n">
        <f aca="false">IF(E2323&gt;F2323,E2323,F2323)</f>
        <v>12</v>
      </c>
      <c r="H2323" s="1004" t="n">
        <f aca="false">'Смета Внутр'!G2330</f>
        <v>120</v>
      </c>
      <c r="I2323" s="1004" t="n">
        <f aca="false">'Смета Внутр'!H2330</f>
        <v>0</v>
      </c>
      <c r="J2323" s="1018" t="n">
        <f aca="false">'Смета Внутр'!I2330</f>
        <v>0</v>
      </c>
    </row>
    <row r="2324" customFormat="false" ht="15" hidden="false" customHeight="true" outlineLevel="0" collapsed="false">
      <c r="B2324" s="1004" t="str">
        <f aca="false">'Смета Внутр'!B2331</f>
        <v>бочонок ду 32</v>
      </c>
      <c r="C2324" s="1004" t="str">
        <f aca="false">'Смета Внутр'!C2331</f>
        <v>шт</v>
      </c>
      <c r="D2324" s="1018" t="n">
        <f aca="false">'Смета Внутр'!D2331</f>
        <v>10</v>
      </c>
      <c r="E2324" s="1004" t="n">
        <f aca="false">'Смета Внутр'!E2331</f>
        <v>16</v>
      </c>
      <c r="F2324" s="1004" t="n">
        <f aca="false">'Смета Внутр'!F2331</f>
        <v>0</v>
      </c>
      <c r="G2324" s="1004" t="n">
        <f aca="false">IF(E2324&gt;F2324,E2324,F2324)</f>
        <v>16</v>
      </c>
      <c r="H2324" s="1004" t="n">
        <f aca="false">'Смета Внутр'!G2331</f>
        <v>160</v>
      </c>
      <c r="I2324" s="1004" t="n">
        <f aca="false">'Смета Внутр'!H2331</f>
        <v>0</v>
      </c>
      <c r="J2324" s="1018" t="n">
        <f aca="false">'Смета Внутр'!I2331</f>
        <v>0</v>
      </c>
    </row>
    <row r="2325" customFormat="false" ht="15" hidden="false" customHeight="true" outlineLevel="0" collapsed="false">
      <c r="B2325" s="1004" t="str">
        <f aca="false">'Смета Внутр'!B2332</f>
        <v>резьба ду 32</v>
      </c>
      <c r="C2325" s="1004" t="str">
        <f aca="false">'Смета Внутр'!C2332</f>
        <v>шт</v>
      </c>
      <c r="D2325" s="1018" t="n">
        <f aca="false">'Смета Внутр'!D2332</f>
        <v>10</v>
      </c>
      <c r="E2325" s="1004" t="n">
        <f aca="false">'Смета Внутр'!E2332</f>
        <v>12</v>
      </c>
      <c r="F2325" s="1004" t="n">
        <f aca="false">'Смета Внутр'!F2332</f>
        <v>0</v>
      </c>
      <c r="G2325" s="1004" t="n">
        <f aca="false">IF(E2325&gt;F2325,E2325,F2325)</f>
        <v>12</v>
      </c>
      <c r="H2325" s="1004" t="n">
        <f aca="false">'Смета Внутр'!G2332</f>
        <v>120</v>
      </c>
      <c r="I2325" s="1004" t="n">
        <f aca="false">'Смета Внутр'!H2332</f>
        <v>0</v>
      </c>
      <c r="J2325" s="1018" t="n">
        <f aca="false">'Смета Внутр'!I2332</f>
        <v>0</v>
      </c>
    </row>
    <row r="2326" customFormat="false" ht="15" hidden="false" customHeight="true" outlineLevel="0" collapsed="false">
      <c r="B2326" s="1004" t="str">
        <f aca="false">'Смета Внутр'!B2333</f>
        <v>переод с ду 32на 20</v>
      </c>
      <c r="C2326" s="1004" t="str">
        <f aca="false">'Смета Внутр'!C2333</f>
        <v>шт</v>
      </c>
      <c r="D2326" s="1018" t="n">
        <f aca="false">'Смета Внутр'!D2333</f>
        <v>5</v>
      </c>
      <c r="E2326" s="1004" t="n">
        <f aca="false">'Смета Внутр'!E2333</f>
        <v>16</v>
      </c>
      <c r="F2326" s="1004" t="n">
        <f aca="false">'Смета Внутр'!F2333</f>
        <v>0</v>
      </c>
      <c r="G2326" s="1004" t="n">
        <f aca="false">IF(E2326&gt;F2326,E2326,F2326)</f>
        <v>16</v>
      </c>
      <c r="H2326" s="1004" t="n">
        <f aca="false">'Смета Внутр'!G2333</f>
        <v>80</v>
      </c>
      <c r="I2326" s="1004" t="n">
        <f aca="false">'Смета Внутр'!H2333</f>
        <v>0</v>
      </c>
      <c r="J2326" s="1018" t="n">
        <f aca="false">'Смета Внутр'!I2333</f>
        <v>0</v>
      </c>
    </row>
    <row r="2327" customFormat="false" ht="15" hidden="false" customHeight="true" outlineLevel="0" collapsed="false">
      <c r="B2327" s="1004" t="str">
        <f aca="false">'Смета Внутр'!B2334</f>
        <v>электроды, пачка</v>
      </c>
      <c r="C2327" s="1004" t="str">
        <f aca="false">'Смета Внутр'!C2334</f>
        <v>шт</v>
      </c>
      <c r="D2327" s="1018" t="n">
        <f aca="false">'Смета Внутр'!D2334</f>
        <v>1</v>
      </c>
      <c r="E2327" s="1004" t="n">
        <f aca="false">'Смета Внутр'!E2334</f>
        <v>800</v>
      </c>
      <c r="F2327" s="1004" t="n">
        <f aca="false">'Смета Внутр'!F2334</f>
        <v>0</v>
      </c>
      <c r="G2327" s="1004" t="n">
        <f aca="false">IF(E2327&gt;F2327,E2327,F2327)</f>
        <v>800</v>
      </c>
      <c r="H2327" s="1004" t="n">
        <f aca="false">'Смета Внутр'!G2334</f>
        <v>800</v>
      </c>
      <c r="I2327" s="1004" t="n">
        <f aca="false">'Смета Внутр'!H2334</f>
        <v>0</v>
      </c>
      <c r="J2327" s="1018" t="n">
        <f aca="false">'Смета Внутр'!I2334</f>
        <v>0</v>
      </c>
    </row>
    <row r="2328" customFormat="false" ht="15" hidden="false" customHeight="true" outlineLevel="0" collapsed="false">
      <c r="B2328" s="1004" t="str">
        <f aca="false">'Смета Внутр'!B2335</f>
        <v>лен</v>
      </c>
      <c r="C2328" s="1004" t="str">
        <f aca="false">'Смета Внутр'!C2335</f>
        <v>рулон</v>
      </c>
      <c r="D2328" s="1018" t="n">
        <f aca="false">'Смета Внутр'!D2335</f>
        <v>1</v>
      </c>
      <c r="E2328" s="1004" t="n">
        <f aca="false">'Смета Внутр'!E2335</f>
        <v>200</v>
      </c>
      <c r="F2328" s="1004" t="n">
        <f aca="false">'Смета Внутр'!F2335</f>
        <v>0</v>
      </c>
      <c r="G2328" s="1004" t="n">
        <f aca="false">IF(E2328&gt;F2328,E2328,F2328)</f>
        <v>200</v>
      </c>
      <c r="H2328" s="1004" t="n">
        <f aca="false">'Смета Внутр'!G2335</f>
        <v>200</v>
      </c>
      <c r="I2328" s="1004" t="n">
        <f aca="false">'Смета Внутр'!H2335</f>
        <v>0</v>
      </c>
      <c r="J2328" s="1018" t="n">
        <f aca="false">'Смета Внутр'!I2335</f>
        <v>0</v>
      </c>
    </row>
    <row r="2329" customFormat="false" ht="14.5" hidden="false" customHeight="false" outlineLevel="0" collapsed="false">
      <c r="B2329" s="2927" t="str">
        <f aca="false">'Смета Внутр'!B2336</f>
        <v>Итого материалы</v>
      </c>
      <c r="C2329" s="2927"/>
      <c r="D2329" s="2927"/>
      <c r="E2329" s="2927"/>
      <c r="F2329" s="2927"/>
      <c r="G2329" s="2927"/>
      <c r="H2329" s="1004" t="n">
        <f aca="false">'Смета Внутр'!G2336</f>
        <v>0</v>
      </c>
      <c r="I2329" s="1004" t="n">
        <f aca="false">'Смета Внутр'!H2336</f>
        <v>0</v>
      </c>
      <c r="J2329" s="1018" t="n">
        <f aca="false">'Смета Внутр'!I2336</f>
        <v>0</v>
      </c>
    </row>
    <row r="2330" customFormat="false" ht="14.5" hidden="false" customHeight="false" outlineLevel="0" collapsed="false">
      <c r="B2330" s="2881" t="str">
        <f aca="false">'Смета Внутр'!B2337</f>
        <v>Работы</v>
      </c>
      <c r="D2330" s="919"/>
      <c r="H2330" s="0" t="n">
        <f aca="false">'Смета Внутр'!G2337</f>
        <v>0</v>
      </c>
      <c r="I2330" s="0" t="n">
        <f aca="false">'Смета Внутр'!H2337</f>
        <v>0</v>
      </c>
      <c r="J2330" s="2926" t="n">
        <f aca="false">'Смета Внутр'!I2337</f>
        <v>0</v>
      </c>
    </row>
    <row r="2331" customFormat="false" ht="14.5" hidden="false" customHeight="false" outlineLevel="0" collapsed="false">
      <c r="B2331" s="1004" t="str">
        <f aca="false">'Смета Внутр'!B2338</f>
        <v>котел установка</v>
      </c>
      <c r="C2331" s="1004" t="str">
        <f aca="false">'Смета Внутр'!C2338</f>
        <v>шт</v>
      </c>
      <c r="D2331" s="1018" t="n">
        <f aca="false">'Смета Внутр'!D2338</f>
        <v>1</v>
      </c>
      <c r="E2331" s="1004" t="n">
        <f aca="false">'Смета Внутр'!E2338</f>
        <v>3500</v>
      </c>
      <c r="F2331" s="1004" t="n">
        <f aca="false">'Смета Внутр'!F2338</f>
        <v>0</v>
      </c>
      <c r="G2331" s="1004" t="n">
        <f aca="false">IF(E2331&gt;F2331,E2331,F2331)</f>
        <v>3500</v>
      </c>
      <c r="H2331" s="1004" t="n">
        <f aca="false">'Смета Внутр'!G2338</f>
        <v>3500</v>
      </c>
      <c r="I2331" s="1004" t="n">
        <f aca="false">'Смета Внутр'!H2338</f>
        <v>0</v>
      </c>
      <c r="J2331" s="1018" t="n">
        <f aca="false">'Смета Внутр'!I2338</f>
        <v>0</v>
      </c>
    </row>
    <row r="2332" customFormat="false" ht="14.5" hidden="false" customHeight="false" outlineLevel="0" collapsed="false">
      <c r="B2332" s="1004" t="str">
        <f aca="false">'Смета Внутр'!B2339</f>
        <v>бойлер установка</v>
      </c>
      <c r="C2332" s="1004" t="str">
        <f aca="false">'Смета Внутр'!C2339</f>
        <v>шт</v>
      </c>
      <c r="D2332" s="1018" t="n">
        <f aca="false">'Смета Внутр'!D2339</f>
        <v>1</v>
      </c>
      <c r="E2332" s="1004" t="n">
        <f aca="false">'Смета Внутр'!E2339</f>
        <v>2500</v>
      </c>
      <c r="F2332" s="1004" t="n">
        <f aca="false">'Смета Внутр'!F2339</f>
        <v>0</v>
      </c>
      <c r="G2332" s="1004" t="n">
        <f aca="false">IF(E2332&gt;F2332,E2332,F2332)</f>
        <v>2500</v>
      </c>
      <c r="H2332" s="1004" t="n">
        <f aca="false">'Смета Внутр'!G2339</f>
        <v>2500</v>
      </c>
      <c r="I2332" s="1004" t="n">
        <f aca="false">'Смета Внутр'!H2339</f>
        <v>0</v>
      </c>
      <c r="J2332" s="1018" t="n">
        <f aca="false">'Смета Внутр'!I2339</f>
        <v>0</v>
      </c>
    </row>
    <row r="2333" customFormat="false" ht="14.5" hidden="false" customHeight="false" outlineLevel="0" collapsed="false">
      <c r="B2333" s="1004" t="str">
        <f aca="false">'Смета Внутр'!B2340</f>
        <v>гребенка установка</v>
      </c>
      <c r="C2333" s="1004" t="str">
        <f aca="false">'Смета Внутр'!C2340</f>
        <v>шт</v>
      </c>
      <c r="D2333" s="1018" t="n">
        <f aca="false">'Смета Внутр'!D2340</f>
        <v>1</v>
      </c>
      <c r="E2333" s="1004" t="n">
        <f aca="false">'Смета Внутр'!E2340</f>
        <v>2000</v>
      </c>
      <c r="F2333" s="1004" t="n">
        <f aca="false">'Смета Внутр'!F2340</f>
        <v>0</v>
      </c>
      <c r="G2333" s="1004" t="n">
        <f aca="false">IF(E2333&gt;F2333,E2333,F2333)</f>
        <v>2000</v>
      </c>
      <c r="H2333" s="1004" t="n">
        <f aca="false">'Смета Внутр'!G2340</f>
        <v>2000</v>
      </c>
      <c r="I2333" s="1004" t="n">
        <f aca="false">'Смета Внутр'!H2340</f>
        <v>0</v>
      </c>
      <c r="J2333" s="1018" t="n">
        <f aca="false">'Смета Внутр'!I2340</f>
        <v>0</v>
      </c>
    </row>
    <row r="2334" customFormat="false" ht="14.5" hidden="false" customHeight="false" outlineLevel="0" collapsed="false">
      <c r="B2334" s="1004" t="str">
        <f aca="false">'Смета Внутр'!B2341</f>
        <v>насос установка на отопл</v>
      </c>
      <c r="C2334" s="1004" t="str">
        <f aca="false">'Смета Внутр'!C2341</f>
        <v>шт</v>
      </c>
      <c r="D2334" s="1018" t="n">
        <f aca="false">'Смета Внутр'!D2341</f>
        <v>1</v>
      </c>
      <c r="E2334" s="1004" t="n">
        <f aca="false">'Смета Внутр'!E2341</f>
        <v>1000</v>
      </c>
      <c r="F2334" s="1004" t="n">
        <f aca="false">'Смета Внутр'!F2341</f>
        <v>0</v>
      </c>
      <c r="G2334" s="1004" t="n">
        <f aca="false">IF(E2334&gt;F2334,E2334,F2334)</f>
        <v>1000</v>
      </c>
      <c r="H2334" s="1004" t="n">
        <f aca="false">'Смета Внутр'!G2341</f>
        <v>1000</v>
      </c>
      <c r="I2334" s="1004" t="n">
        <f aca="false">'Смета Внутр'!H2341</f>
        <v>0</v>
      </c>
      <c r="J2334" s="1018" t="n">
        <f aca="false">'Смета Внутр'!I2341</f>
        <v>0</v>
      </c>
    </row>
    <row r="2335" customFormat="false" ht="14.5" hidden="false" customHeight="false" outlineLevel="0" collapsed="false">
      <c r="B2335" s="1004" t="str">
        <f aca="false">'Смета Внутр'!B2342</f>
        <v>насос установка на гвс</v>
      </c>
      <c r="C2335" s="1004" t="str">
        <f aca="false">'Смета Внутр'!C2342</f>
        <v>шт</v>
      </c>
      <c r="D2335" s="1018" t="n">
        <f aca="false">'Смета Внутр'!D2342</f>
        <v>1</v>
      </c>
      <c r="E2335" s="1004" t="n">
        <f aca="false">'Смета Внутр'!E2342</f>
        <v>1000</v>
      </c>
      <c r="F2335" s="1004" t="n">
        <f aca="false">'Смета Внутр'!F2342</f>
        <v>0</v>
      </c>
      <c r="G2335" s="1004" t="n">
        <f aca="false">IF(E2335&gt;F2335,E2335,F2335)</f>
        <v>1000</v>
      </c>
      <c r="H2335" s="1004" t="n">
        <f aca="false">'Смета Внутр'!G2342</f>
        <v>1000</v>
      </c>
      <c r="I2335" s="1004" t="n">
        <f aca="false">'Смета Внутр'!H2342</f>
        <v>0</v>
      </c>
      <c r="J2335" s="1018" t="n">
        <f aca="false">'Смета Внутр'!I2342</f>
        <v>0</v>
      </c>
    </row>
    <row r="2336" customFormat="false" ht="14.5" hidden="false" customHeight="false" outlineLevel="0" collapsed="false">
      <c r="B2336" s="1004" t="str">
        <f aca="false">'Смета Внутр'!B2343</f>
        <v>монтаж сбросного клапана</v>
      </c>
      <c r="C2336" s="1004" t="str">
        <f aca="false">'Смета Внутр'!C2343</f>
        <v>шт</v>
      </c>
      <c r="D2336" s="1018" t="n">
        <f aca="false">'Смета Внутр'!D2343</f>
        <v>1</v>
      </c>
      <c r="E2336" s="1004" t="n">
        <f aca="false">'Смета Внутр'!E2343</f>
        <v>900</v>
      </c>
      <c r="F2336" s="1004" t="n">
        <f aca="false">'Смета Внутр'!F2343</f>
        <v>0</v>
      </c>
      <c r="G2336" s="1004" t="n">
        <f aca="false">IF(E2336&gt;F2336,E2336,F2336)</f>
        <v>900</v>
      </c>
      <c r="H2336" s="1004" t="n">
        <f aca="false">'Смета Внутр'!G2343</f>
        <v>900</v>
      </c>
      <c r="I2336" s="1004" t="n">
        <f aca="false">'Смета Внутр'!H2343</f>
        <v>0</v>
      </c>
      <c r="J2336" s="1018" t="n">
        <f aca="false">'Смета Внутр'!I2343</f>
        <v>0</v>
      </c>
    </row>
    <row r="2337" customFormat="false" ht="14.5" hidden="false" customHeight="false" outlineLevel="0" collapsed="false">
      <c r="B2337" s="1004" t="str">
        <f aca="false">'Смета Внутр'!B2344</f>
        <v>монтаж датчика</v>
      </c>
      <c r="C2337" s="1004" t="str">
        <f aca="false">'Смета Внутр'!C2344</f>
        <v>шт</v>
      </c>
      <c r="D2337" s="1018" t="n">
        <f aca="false">'Смета Внутр'!D2344</f>
        <v>2</v>
      </c>
      <c r="E2337" s="1004" t="n">
        <f aca="false">'Смета Внутр'!E2344</f>
        <v>700</v>
      </c>
      <c r="F2337" s="1004" t="n">
        <f aca="false">'Смета Внутр'!F2344</f>
        <v>0</v>
      </c>
      <c r="G2337" s="1004" t="n">
        <f aca="false">IF(E2337&gt;F2337,E2337,F2337)</f>
        <v>700</v>
      </c>
      <c r="H2337" s="1004" t="n">
        <f aca="false">'Смета Внутр'!G2344</f>
        <v>1400</v>
      </c>
      <c r="I2337" s="1004" t="n">
        <f aca="false">'Смета Внутр'!H2344</f>
        <v>0</v>
      </c>
      <c r="J2337" s="1018" t="n">
        <f aca="false">'Смета Внутр'!I2344</f>
        <v>0</v>
      </c>
    </row>
    <row r="2338" customFormat="false" ht="14.5" hidden="false" customHeight="false" outlineLevel="0" collapsed="false">
      <c r="B2338" s="1004" t="str">
        <f aca="false">'Смета Внутр'!B2345</f>
        <v>труба обвязка</v>
      </c>
      <c r="C2338" s="1004" t="str">
        <f aca="false">'Смета Внутр'!C2345</f>
        <v>м.п.</v>
      </c>
      <c r="D2338" s="1018" t="n">
        <f aca="false">'Смета Внутр'!D2345</f>
        <v>20</v>
      </c>
      <c r="E2338" s="1004" t="n">
        <f aca="false">'Смета Внутр'!E2345</f>
        <v>500</v>
      </c>
      <c r="F2338" s="1004" t="n">
        <f aca="false">'Смета Внутр'!F2345</f>
        <v>0</v>
      </c>
      <c r="G2338" s="1004" t="n">
        <f aca="false">IF(E2338&gt;F2338,E2338,F2338)</f>
        <v>500</v>
      </c>
      <c r="H2338" s="1004" t="n">
        <f aca="false">'Смета Внутр'!G2345</f>
        <v>10000</v>
      </c>
      <c r="I2338" s="1004" t="n">
        <f aca="false">'Смета Внутр'!H2345</f>
        <v>0</v>
      </c>
      <c r="J2338" s="1018" t="n">
        <f aca="false">'Смета Внутр'!I2345</f>
        <v>0</v>
      </c>
    </row>
    <row r="2339" customFormat="false" ht="14.5" hidden="false" customHeight="false" outlineLevel="0" collapsed="false">
      <c r="B2339" s="2927" t="str">
        <f aca="false">'Смета Внутр'!B2346</f>
        <v>Итого работы</v>
      </c>
      <c r="C2339" s="2927"/>
      <c r="D2339" s="2927"/>
      <c r="E2339" s="2927"/>
      <c r="F2339" s="2927"/>
      <c r="G2339" s="2927"/>
      <c r="H2339" s="1004" t="n">
        <f aca="false">'Смета Внутр'!G2346</f>
        <v>0</v>
      </c>
      <c r="I2339" s="1004" t="n">
        <f aca="false">'Смета Внутр'!H2346</f>
        <v>0</v>
      </c>
      <c r="J2339" s="1018" t="n">
        <f aca="false">'Смета Внутр'!I2346</f>
        <v>0</v>
      </c>
    </row>
    <row r="2340" customFormat="false" ht="18.5" hidden="false" customHeight="false" outlineLevel="0" collapsed="false">
      <c r="B2340" s="2925" t="str">
        <f aca="false">'Смета Внутр'!B2347</f>
        <v>Транспорт</v>
      </c>
      <c r="C2340" s="2925"/>
      <c r="D2340" s="2925"/>
      <c r="H2340" s="0" t="n">
        <f aca="false">'Смета Внутр'!G2347</f>
        <v>0</v>
      </c>
      <c r="I2340" s="0" t="n">
        <f aca="false">'Смета Внутр'!H2347</f>
        <v>0</v>
      </c>
      <c r="J2340" s="2926" t="n">
        <f aca="false">'Смета Внутр'!I2347</f>
        <v>0</v>
      </c>
    </row>
    <row r="2341" customFormat="false" ht="14.5" hidden="false" customHeight="false" outlineLevel="0" collapsed="false">
      <c r="B2341" s="1004" t="str">
        <f aca="false">'Смета Внутр'!B2348</f>
        <v>Нет техники</v>
      </c>
      <c r="C2341" s="1004" t="str">
        <f aca="false">'Смета Внутр'!C2348</f>
        <v>ед.</v>
      </c>
      <c r="D2341" s="1018" t="n">
        <f aca="false">'Смета Внутр'!D2348</f>
        <v>0</v>
      </c>
      <c r="E2341" s="1004" t="n">
        <f aca="false">'Смета Внутр'!E2348</f>
        <v>0</v>
      </c>
      <c r="F2341" s="1004" t="n">
        <f aca="false">'Смета Внутр'!F2348</f>
        <v>0</v>
      </c>
      <c r="G2341" s="1004" t="n">
        <f aca="false">IF(E2341&gt;F2341,E2341,F2341)</f>
        <v>0</v>
      </c>
      <c r="H2341" s="1004" t="n">
        <f aca="false">'Смета Внутр'!G2348</f>
        <v>0</v>
      </c>
      <c r="I2341" s="1004" t="n">
        <f aca="false">'Смета Внутр'!H2348</f>
        <v>0</v>
      </c>
      <c r="J2341" s="1018" t="n">
        <f aca="false">'Смета Внутр'!I2348</f>
        <v>0</v>
      </c>
    </row>
    <row r="2342" customFormat="false" ht="14.5" hidden="false" customHeight="false" outlineLevel="0" collapsed="false">
      <c r="B2342" s="1004" t="str">
        <f aca="false">'Смета Внутр'!B2349</f>
        <v>Нет техники</v>
      </c>
      <c r="C2342" s="1004" t="str">
        <f aca="false">'Смета Внутр'!C2349</f>
        <v>ед.</v>
      </c>
      <c r="D2342" s="1018" t="n">
        <f aca="false">'Смета Внутр'!D2349</f>
        <v>0</v>
      </c>
      <c r="E2342" s="1004" t="n">
        <f aca="false">'Смета Внутр'!E2349</f>
        <v>0</v>
      </c>
      <c r="F2342" s="1004" t="n">
        <f aca="false">'Смета Внутр'!F2349</f>
        <v>0</v>
      </c>
      <c r="G2342" s="1004" t="n">
        <f aca="false">IF(E2342&gt;F2342,E2342,F2342)</f>
        <v>0</v>
      </c>
      <c r="H2342" s="1004" t="n">
        <f aca="false">'Смета Внутр'!G2349</f>
        <v>0</v>
      </c>
      <c r="I2342" s="1004" t="n">
        <f aca="false">'Смета Внутр'!H2349</f>
        <v>0</v>
      </c>
      <c r="J2342" s="1018" t="n">
        <f aca="false">'Смета Внутр'!I2349</f>
        <v>0</v>
      </c>
    </row>
    <row r="2343" customFormat="false" ht="14.5" hidden="false" customHeight="false" outlineLevel="0" collapsed="false">
      <c r="B2343" s="1004" t="str">
        <f aca="false">'Смета Внутр'!B2350</f>
        <v>Нет техники</v>
      </c>
      <c r="C2343" s="1004" t="str">
        <f aca="false">'Смета Внутр'!C2350</f>
        <v>ед.</v>
      </c>
      <c r="D2343" s="1018" t="n">
        <f aca="false">'Смета Внутр'!D2350</f>
        <v>0</v>
      </c>
      <c r="E2343" s="1004" t="n">
        <f aca="false">'Смета Внутр'!E2350</f>
        <v>0</v>
      </c>
      <c r="F2343" s="1004" t="n">
        <f aca="false">'Смета Внутр'!F2350</f>
        <v>0</v>
      </c>
      <c r="G2343" s="1004" t="n">
        <f aca="false">IF(E2343&gt;F2343,E2343,F2343)</f>
        <v>0</v>
      </c>
      <c r="H2343" s="1004" t="n">
        <f aca="false">'Смета Внутр'!G2350</f>
        <v>0</v>
      </c>
      <c r="I2343" s="1004" t="n">
        <f aca="false">'Смета Внутр'!H2350</f>
        <v>0</v>
      </c>
      <c r="J2343" s="1018" t="n">
        <f aca="false">'Смета Внутр'!I2350</f>
        <v>0</v>
      </c>
    </row>
    <row r="2344" customFormat="false" ht="14.5" hidden="false" customHeight="false" outlineLevel="0" collapsed="false">
      <c r="B2344" s="1004" t="str">
        <f aca="false">'Смета Внутр'!B2351</f>
        <v>Нет техники</v>
      </c>
      <c r="C2344" s="1004" t="str">
        <f aca="false">'Смета Внутр'!C2351</f>
        <v>ед.</v>
      </c>
      <c r="D2344" s="1018" t="n">
        <f aca="false">'Смета Внутр'!D2351</f>
        <v>0</v>
      </c>
      <c r="E2344" s="1004" t="n">
        <f aca="false">'Смета Внутр'!E2351</f>
        <v>0</v>
      </c>
      <c r="F2344" s="1004" t="n">
        <f aca="false">'Смета Внутр'!F2351</f>
        <v>0</v>
      </c>
      <c r="G2344" s="1004" t="n">
        <f aca="false">IF(E2344&gt;F2344,E2344,F2344)</f>
        <v>0</v>
      </c>
      <c r="H2344" s="1004" t="n">
        <f aca="false">'Смета Внутр'!G2351</f>
        <v>0</v>
      </c>
      <c r="I2344" s="1004" t="n">
        <f aca="false">'Смета Внутр'!H2351</f>
        <v>0</v>
      </c>
      <c r="J2344" s="1018" t="n">
        <f aca="false">'Смета Внутр'!I2351</f>
        <v>0</v>
      </c>
    </row>
    <row r="2345" customFormat="false" ht="14.5" hidden="false" customHeight="false" outlineLevel="0" collapsed="false">
      <c r="B2345" s="1004" t="str">
        <f aca="false">'Смета Внутр'!B2352</f>
        <v>Нет техники</v>
      </c>
      <c r="C2345" s="1004" t="str">
        <f aca="false">'Смета Внутр'!C2352</f>
        <v>ед.</v>
      </c>
      <c r="D2345" s="1018" t="n">
        <f aca="false">'Смета Внутр'!D2352</f>
        <v>4</v>
      </c>
      <c r="E2345" s="1004" t="n">
        <f aca="false">'Смета Внутр'!E2352</f>
        <v>0</v>
      </c>
      <c r="F2345" s="1004" t="n">
        <f aca="false">'Смета Внутр'!F2352</f>
        <v>0</v>
      </c>
      <c r="G2345" s="1004" t="n">
        <f aca="false">IF(E2345&gt;F2345,E2345,F2345)</f>
        <v>0</v>
      </c>
      <c r="H2345" s="1004" t="n">
        <f aca="false">'Смета Внутр'!G2352</f>
        <v>0</v>
      </c>
      <c r="I2345" s="1004" t="n">
        <f aca="false">'Смета Внутр'!H2352</f>
        <v>0</v>
      </c>
      <c r="J2345" s="1018" t="n">
        <f aca="false">'Смета Внутр'!I2352</f>
        <v>0</v>
      </c>
    </row>
    <row r="2346" customFormat="false" ht="14.5" hidden="false" customHeight="false" outlineLevel="0" collapsed="false">
      <c r="B2346" s="1004" t="str">
        <f aca="false">'Смета Внутр'!B2353</f>
        <v>Нет техники</v>
      </c>
      <c r="C2346" s="1004" t="str">
        <f aca="false">'Смета Внутр'!C2353</f>
        <v>ед.</v>
      </c>
      <c r="D2346" s="1018" t="n">
        <f aca="false">'Смета Внутр'!D2353</f>
        <v>4</v>
      </c>
      <c r="E2346" s="1004" t="n">
        <f aca="false">'Смета Внутр'!E2353</f>
        <v>0</v>
      </c>
      <c r="F2346" s="1004" t="n">
        <f aca="false">'Смета Внутр'!F2353</f>
        <v>0</v>
      </c>
      <c r="G2346" s="1004" t="n">
        <f aca="false">IF(E2346&gt;F2346,E2346,F2346)</f>
        <v>0</v>
      </c>
      <c r="H2346" s="1004" t="n">
        <f aca="false">'Смета Внутр'!G2353</f>
        <v>0</v>
      </c>
      <c r="I2346" s="1004" t="n">
        <f aca="false">'Смета Внутр'!H2353</f>
        <v>0</v>
      </c>
      <c r="J2346" s="1018" t="n">
        <f aca="false">'Смета Внутр'!I2353</f>
        <v>0</v>
      </c>
    </row>
    <row r="2347" customFormat="false" ht="14.5" hidden="false" customHeight="false" outlineLevel="0" collapsed="false">
      <c r="B2347" s="1004" t="str">
        <f aca="false">'Смета Внутр'!B2354</f>
        <v>Нет техники</v>
      </c>
      <c r="C2347" s="1004" t="str">
        <f aca="false">'Смета Внутр'!C2354</f>
        <v>ед.</v>
      </c>
      <c r="D2347" s="1018" t="n">
        <f aca="false">'Смета Внутр'!D2354</f>
        <v>6</v>
      </c>
      <c r="E2347" s="1004" t="n">
        <f aca="false">'Смета Внутр'!E2354</f>
        <v>0</v>
      </c>
      <c r="F2347" s="1004" t="n">
        <f aca="false">'Смета Внутр'!F2354</f>
        <v>0</v>
      </c>
      <c r="G2347" s="1004" t="n">
        <f aca="false">IF(E2347&gt;F2347,E2347,F2347)</f>
        <v>0</v>
      </c>
      <c r="H2347" s="1004" t="n">
        <f aca="false">'Смета Внутр'!G2354</f>
        <v>0</v>
      </c>
      <c r="I2347" s="1004" t="n">
        <f aca="false">'Смета Внутр'!H2354</f>
        <v>0</v>
      </c>
      <c r="J2347" s="1018" t="n">
        <f aca="false">'Смета Внутр'!I2354</f>
        <v>0</v>
      </c>
    </row>
    <row r="2348" customFormat="false" ht="14.5" hidden="false" customHeight="false" outlineLevel="0" collapsed="false">
      <c r="B2348" s="1004" t="str">
        <f aca="false">'Смета Внутр'!B2355</f>
        <v>Нет техники</v>
      </c>
      <c r="C2348" s="1004" t="str">
        <f aca="false">'Смета Внутр'!C2355</f>
        <v>ед.</v>
      </c>
      <c r="D2348" s="1018" t="n">
        <f aca="false">'Смета Внутр'!D2355</f>
        <v>4</v>
      </c>
      <c r="E2348" s="1004" t="n">
        <f aca="false">'Смета Внутр'!E2355</f>
        <v>0</v>
      </c>
      <c r="F2348" s="1004" t="n">
        <f aca="false">'Смета Внутр'!F2355</f>
        <v>0</v>
      </c>
      <c r="G2348" s="1004" t="n">
        <f aca="false">IF(E2348&gt;F2348,E2348,F2348)</f>
        <v>0</v>
      </c>
      <c r="H2348" s="1004" t="n">
        <f aca="false">'Смета Внутр'!G2355</f>
        <v>0</v>
      </c>
      <c r="I2348" s="1004" t="n">
        <f aca="false">'Смета Внутр'!H2355</f>
        <v>0</v>
      </c>
      <c r="J2348" s="1018" t="n">
        <f aca="false">'Смета Внутр'!I2355</f>
        <v>0</v>
      </c>
    </row>
    <row r="2349" customFormat="false" ht="14.5" hidden="false" customHeight="false" outlineLevel="0" collapsed="false">
      <c r="B2349" s="1004" t="str">
        <f aca="false">'Смета Внутр'!B2356</f>
        <v>Нет техники</v>
      </c>
      <c r="C2349" s="1004" t="str">
        <f aca="false">'Смета Внутр'!C2356</f>
        <v>ед.</v>
      </c>
      <c r="D2349" s="1018" t="n">
        <f aca="false">'Смета Внутр'!D2356</f>
        <v>0</v>
      </c>
      <c r="E2349" s="1004" t="n">
        <f aca="false">'Смета Внутр'!E2356</f>
        <v>0</v>
      </c>
      <c r="F2349" s="1004" t="n">
        <f aca="false">'Смета Внутр'!F2356</f>
        <v>0</v>
      </c>
      <c r="G2349" s="1004" t="n">
        <f aca="false">IF(E2349&gt;F2349,E2349,F2349)</f>
        <v>0</v>
      </c>
      <c r="H2349" s="1004" t="n">
        <f aca="false">'Смета Внутр'!G2356</f>
        <v>0</v>
      </c>
      <c r="I2349" s="1004" t="n">
        <f aca="false">'Смета Внутр'!H2356</f>
        <v>0</v>
      </c>
      <c r="J2349" s="1018" t="n">
        <f aca="false">'Смета Внутр'!I2356</f>
        <v>0</v>
      </c>
    </row>
    <row r="2350" customFormat="false" ht="14.5" hidden="false" customHeight="false" outlineLevel="0" collapsed="false">
      <c r="B2350" s="1004" t="str">
        <f aca="false">'Смета Внутр'!B2357</f>
        <v>Нет техники</v>
      </c>
      <c r="C2350" s="1004" t="str">
        <f aca="false">'Смета Внутр'!C2357</f>
        <v>ед.</v>
      </c>
      <c r="D2350" s="1018" t="n">
        <f aca="false">'Смета Внутр'!D2357</f>
        <v>4</v>
      </c>
      <c r="E2350" s="1004" t="n">
        <f aca="false">'Смета Внутр'!E2357</f>
        <v>0</v>
      </c>
      <c r="F2350" s="1004" t="n">
        <f aca="false">'Смета Внутр'!F2357</f>
        <v>0</v>
      </c>
      <c r="G2350" s="1004" t="n">
        <f aca="false">IF(E2350&gt;F2350,E2350,F2350)</f>
        <v>0</v>
      </c>
      <c r="H2350" s="1004" t="n">
        <f aca="false">'Смета Внутр'!G2357</f>
        <v>0</v>
      </c>
      <c r="I2350" s="1004" t="n">
        <f aca="false">'Смета Внутр'!H2357</f>
        <v>0</v>
      </c>
      <c r="J2350" s="1018" t="n">
        <f aca="false">'Смета Внутр'!I2357</f>
        <v>0</v>
      </c>
    </row>
    <row r="2351" customFormat="false" ht="14.5" hidden="false" customHeight="false" outlineLevel="0" collapsed="false">
      <c r="B2351" s="1004" t="str">
        <f aca="false">'Смета Внутр'!B2358</f>
        <v>Нет техники</v>
      </c>
      <c r="C2351" s="1004" t="str">
        <f aca="false">'Смета Внутр'!C2358</f>
        <v>ед.</v>
      </c>
      <c r="D2351" s="1018" t="n">
        <f aca="false">'Смета Внутр'!D2358</f>
        <v>4</v>
      </c>
      <c r="E2351" s="1004" t="n">
        <f aca="false">'Смета Внутр'!E2358</f>
        <v>0</v>
      </c>
      <c r="F2351" s="1004" t="n">
        <f aca="false">'Смета Внутр'!F2358</f>
        <v>0</v>
      </c>
      <c r="G2351" s="1004" t="n">
        <f aca="false">IF(E2351&gt;F2351,E2351,F2351)</f>
        <v>0</v>
      </c>
      <c r="H2351" s="1004" t="n">
        <f aca="false">'Смета Внутр'!G2358</f>
        <v>0</v>
      </c>
      <c r="I2351" s="1004" t="n">
        <f aca="false">'Смета Внутр'!H2358</f>
        <v>0</v>
      </c>
      <c r="J2351" s="1018" t="n">
        <f aca="false">'Смета Внутр'!I2358</f>
        <v>0</v>
      </c>
    </row>
    <row r="2352" customFormat="false" ht="14.5" hidden="false" customHeight="false" outlineLevel="0" collapsed="false">
      <c r="B2352" s="1004" t="str">
        <f aca="false">'Смета Внутр'!B2359</f>
        <v>Нет техники</v>
      </c>
      <c r="C2352" s="1004" t="str">
        <f aca="false">'Смета Внутр'!C2359</f>
        <v>ед.</v>
      </c>
      <c r="D2352" s="1018" t="n">
        <f aca="false">'Смета Внутр'!D2359</f>
        <v>6</v>
      </c>
      <c r="E2352" s="1004" t="n">
        <f aca="false">'Смета Внутр'!E2359</f>
        <v>0</v>
      </c>
      <c r="F2352" s="1004" t="n">
        <f aca="false">'Смета Внутр'!F2359</f>
        <v>0</v>
      </c>
      <c r="G2352" s="1004" t="n">
        <f aca="false">IF(E2352&gt;F2352,E2352,F2352)</f>
        <v>0</v>
      </c>
      <c r="H2352" s="1004" t="n">
        <f aca="false">'Смета Внутр'!G2359</f>
        <v>0</v>
      </c>
      <c r="I2352" s="1004" t="n">
        <f aca="false">'Смета Внутр'!H2359</f>
        <v>0</v>
      </c>
      <c r="J2352" s="1018" t="n">
        <f aca="false">'Смета Внутр'!I2359</f>
        <v>0</v>
      </c>
    </row>
    <row r="2353" customFormat="false" ht="14.5" hidden="false" customHeight="false" outlineLevel="0" collapsed="false">
      <c r="B2353" s="1004" t="str">
        <f aca="false">'Смета Внутр'!B2360</f>
        <v>Нет техники</v>
      </c>
      <c r="C2353" s="1004" t="str">
        <f aca="false">'Смета Внутр'!C2360</f>
        <v>ед.</v>
      </c>
      <c r="D2353" s="1018" t="n">
        <f aca="false">'Смета Внутр'!D2360</f>
        <v>4</v>
      </c>
      <c r="E2353" s="1004" t="n">
        <f aca="false">'Смета Внутр'!E2360</f>
        <v>0</v>
      </c>
      <c r="F2353" s="1004" t="n">
        <f aca="false">'Смета Внутр'!F2360</f>
        <v>0</v>
      </c>
      <c r="G2353" s="1004" t="n">
        <f aca="false">IF(E2353&gt;F2353,E2353,F2353)</f>
        <v>0</v>
      </c>
      <c r="H2353" s="1004" t="n">
        <f aca="false">'Смета Внутр'!G2360</f>
        <v>0</v>
      </c>
      <c r="I2353" s="1004" t="n">
        <f aca="false">'Смета Внутр'!H2360</f>
        <v>0</v>
      </c>
      <c r="J2353" s="1018" t="n">
        <f aca="false">'Смета Внутр'!I2360</f>
        <v>0</v>
      </c>
    </row>
    <row r="2354" customFormat="false" ht="14.5" hidden="false" customHeight="false" outlineLevel="0" collapsed="false">
      <c r="B2354" s="1004" t="str">
        <f aca="false">'Смета Внутр'!B2361</f>
        <v>Нет техники</v>
      </c>
      <c r="C2354" s="1004" t="str">
        <f aca="false">'Смета Внутр'!C2361</f>
        <v>ед.</v>
      </c>
      <c r="D2354" s="1018" t="n">
        <f aca="false">'Смета Внутр'!D2361</f>
        <v>0</v>
      </c>
      <c r="E2354" s="1004" t="n">
        <f aca="false">'Смета Внутр'!E2361</f>
        <v>0</v>
      </c>
      <c r="F2354" s="1004" t="n">
        <f aca="false">'Смета Внутр'!F2361</f>
        <v>0</v>
      </c>
      <c r="G2354" s="1004" t="n">
        <f aca="false">IF(E2354&gt;F2354,E2354,F2354)</f>
        <v>0</v>
      </c>
      <c r="H2354" s="1004" t="n">
        <f aca="false">'Смета Внутр'!G2361</f>
        <v>0</v>
      </c>
      <c r="I2354" s="1004" t="n">
        <f aca="false">'Смета Внутр'!H2361</f>
        <v>0</v>
      </c>
      <c r="J2354" s="1018" t="n">
        <f aca="false">'Смета Внутр'!I2361</f>
        <v>0</v>
      </c>
    </row>
    <row r="2355" customFormat="false" ht="14.5" hidden="false" customHeight="false" outlineLevel="0" collapsed="false">
      <c r="B2355" s="1004" t="str">
        <f aca="false">'Смета Внутр'!B2362</f>
        <v>Нет техники</v>
      </c>
      <c r="C2355" s="1004" t="str">
        <f aca="false">'Смета Внутр'!C2362</f>
        <v>ед.</v>
      </c>
      <c r="D2355" s="1018" t="n">
        <f aca="false">'Смета Внутр'!D2362</f>
        <v>3</v>
      </c>
      <c r="E2355" s="1004" t="n">
        <f aca="false">'Смета Внутр'!E2362</f>
        <v>0</v>
      </c>
      <c r="F2355" s="1004" t="n">
        <f aca="false">'Смета Внутр'!F2362</f>
        <v>0</v>
      </c>
      <c r="G2355" s="1004" t="n">
        <f aca="false">IF(E2355&gt;F2355,E2355,F2355)</f>
        <v>0</v>
      </c>
      <c r="H2355" s="1004" t="n">
        <f aca="false">'Смета Внутр'!G2362</f>
        <v>0</v>
      </c>
      <c r="I2355" s="1004" t="n">
        <f aca="false">'Смета Внутр'!H2362</f>
        <v>0</v>
      </c>
      <c r="J2355" s="1018" t="n">
        <f aca="false">'Смета Внутр'!I2362</f>
        <v>0</v>
      </c>
    </row>
    <row r="2356" customFormat="false" ht="14.5" hidden="false" customHeight="false" outlineLevel="0" collapsed="false">
      <c r="B2356" s="1004" t="str">
        <f aca="false">'Смета Внутр'!B2363</f>
        <v>Нет техники</v>
      </c>
      <c r="C2356" s="1004" t="str">
        <f aca="false">'Смета Внутр'!C2363</f>
        <v>ед.</v>
      </c>
      <c r="D2356" s="1018" t="n">
        <f aca="false">'Смета Внутр'!D2363</f>
        <v>0</v>
      </c>
      <c r="E2356" s="1004" t="n">
        <f aca="false">'Смета Внутр'!E2363</f>
        <v>0</v>
      </c>
      <c r="F2356" s="1004" t="n">
        <f aca="false">'Смета Внутр'!F2363</f>
        <v>0</v>
      </c>
      <c r="G2356" s="1004" t="n">
        <f aca="false">IF(E2356&gt;F2356,E2356,F2356)</f>
        <v>0</v>
      </c>
      <c r="H2356" s="1004" t="n">
        <f aca="false">'Смета Внутр'!G2363</f>
        <v>0</v>
      </c>
      <c r="I2356" s="1004" t="n">
        <f aca="false">'Смета Внутр'!H2363</f>
        <v>0</v>
      </c>
      <c r="J2356" s="1018" t="n">
        <f aca="false">'Смета Внутр'!I2363</f>
        <v>0</v>
      </c>
    </row>
    <row r="2357" customFormat="false" ht="14.5" hidden="false" customHeight="false" outlineLevel="0" collapsed="false">
      <c r="B2357" s="1004" t="str">
        <f aca="false">'Смета Внутр'!B2364</f>
        <v>Нет техники</v>
      </c>
      <c r="C2357" s="1004" t="str">
        <f aca="false">'Смета Внутр'!C2364</f>
        <v>ед.</v>
      </c>
      <c r="D2357" s="1018" t="n">
        <f aca="false">'Смета Внутр'!D2364</f>
        <v>0</v>
      </c>
      <c r="E2357" s="1004" t="n">
        <f aca="false">'Смета Внутр'!E2364</f>
        <v>0</v>
      </c>
      <c r="F2357" s="1004" t="n">
        <f aca="false">'Смета Внутр'!F2364</f>
        <v>0</v>
      </c>
      <c r="G2357" s="1004" t="n">
        <f aca="false">IF(E2357&gt;F2357,E2357,F2357)</f>
        <v>0</v>
      </c>
      <c r="H2357" s="1004" t="n">
        <f aca="false">'Смета Внутр'!G2364</f>
        <v>0</v>
      </c>
      <c r="I2357" s="1004" t="n">
        <f aca="false">'Смета Внутр'!H2364</f>
        <v>0</v>
      </c>
      <c r="J2357" s="1018" t="n">
        <f aca="false">'Смета Внутр'!I2364</f>
        <v>0</v>
      </c>
    </row>
    <row r="2358" customFormat="false" ht="14.5" hidden="false" customHeight="false" outlineLevel="0" collapsed="false">
      <c r="B2358" s="1004" t="str">
        <f aca="false">'Смета Внутр'!B2365</f>
        <v>Нет техники</v>
      </c>
      <c r="C2358" s="1004" t="str">
        <f aca="false">'Смета Внутр'!C2365</f>
        <v>ед.</v>
      </c>
      <c r="D2358" s="1018" t="n">
        <f aca="false">'Смета Внутр'!D2365</f>
        <v>0</v>
      </c>
      <c r="E2358" s="1004" t="n">
        <f aca="false">'Смета Внутр'!E2365</f>
        <v>0</v>
      </c>
      <c r="F2358" s="1004" t="n">
        <f aca="false">'Смета Внутр'!F2365</f>
        <v>0</v>
      </c>
      <c r="G2358" s="1004" t="n">
        <f aca="false">IF(E2358&gt;F2358,E2358,F2358)</f>
        <v>0</v>
      </c>
      <c r="H2358" s="1004" t="n">
        <f aca="false">'Смета Внутр'!G2365</f>
        <v>0</v>
      </c>
      <c r="I2358" s="1004" t="n">
        <f aca="false">'Смета Внутр'!H2365</f>
        <v>0</v>
      </c>
      <c r="J2358" s="1018" t="n">
        <f aca="false">'Смета Внутр'!I2365</f>
        <v>0</v>
      </c>
    </row>
    <row r="2359" customFormat="false" ht="14.5" hidden="false" customHeight="false" outlineLevel="0" collapsed="false">
      <c r="B2359" s="1004" t="str">
        <f aca="false">'Смета Внутр'!B2366</f>
        <v>Нет техники</v>
      </c>
      <c r="C2359" s="1004" t="str">
        <f aca="false">'Смета Внутр'!C2366</f>
        <v>ед.</v>
      </c>
      <c r="D2359" s="1018" t="n">
        <f aca="false">'Смета Внутр'!D2366</f>
        <v>0</v>
      </c>
      <c r="E2359" s="1004" t="n">
        <f aca="false">'Смета Внутр'!E2366</f>
        <v>0</v>
      </c>
      <c r="F2359" s="1004" t="n">
        <f aca="false">'Смета Внутр'!F2366</f>
        <v>0</v>
      </c>
      <c r="G2359" s="1004" t="n">
        <f aca="false">IF(E2359&gt;F2359,E2359,F2359)</f>
        <v>0</v>
      </c>
      <c r="H2359" s="1004" t="n">
        <f aca="false">'Смета Внутр'!G2366</f>
        <v>0</v>
      </c>
      <c r="I2359" s="1004" t="n">
        <f aca="false">'Смета Внутр'!H2366</f>
        <v>0</v>
      </c>
      <c r="J2359" s="1018" t="n">
        <f aca="false">'Смета Внутр'!I2366</f>
        <v>0</v>
      </c>
    </row>
    <row r="2360" customFormat="false" ht="14.5" hidden="false" customHeight="false" outlineLevel="0" collapsed="false">
      <c r="B2360" s="1004" t="str">
        <f aca="false">'Смета Внутр'!B2367</f>
        <v>Нет техники</v>
      </c>
      <c r="C2360" s="1004" t="str">
        <f aca="false">'Смета Внутр'!C2367</f>
        <v>ед.</v>
      </c>
      <c r="D2360" s="1018" t="n">
        <f aca="false">'Смета Внутр'!D2367</f>
        <v>2</v>
      </c>
      <c r="E2360" s="1004" t="n">
        <f aca="false">'Смета Внутр'!E2367</f>
        <v>0</v>
      </c>
      <c r="F2360" s="1004" t="n">
        <f aca="false">'Смета Внутр'!F2367</f>
        <v>0</v>
      </c>
      <c r="G2360" s="1004" t="n">
        <f aca="false">IF(E2360&gt;F2360,E2360,F2360)</f>
        <v>0</v>
      </c>
      <c r="H2360" s="1004" t="n">
        <f aca="false">'Смета Внутр'!G2367</f>
        <v>0</v>
      </c>
      <c r="I2360" s="1004" t="n">
        <f aca="false">'Смета Внутр'!H2367</f>
        <v>0</v>
      </c>
      <c r="J2360" s="1018" t="n">
        <f aca="false">'Смета Внутр'!I2367</f>
        <v>0</v>
      </c>
    </row>
    <row r="2361" customFormat="false" ht="14.5" hidden="false" customHeight="false" outlineLevel="0" collapsed="false">
      <c r="B2361" s="1004" t="str">
        <f aca="false">'Смета Внутр'!B2368</f>
        <v>Нет техники</v>
      </c>
      <c r="C2361" s="1004" t="str">
        <f aca="false">'Смета Внутр'!C2368</f>
        <v>ед.</v>
      </c>
      <c r="D2361" s="1018" t="n">
        <f aca="false">'Смета Внутр'!D2368</f>
        <v>2</v>
      </c>
      <c r="E2361" s="1004" t="n">
        <f aca="false">'Смета Внутр'!E2368</f>
        <v>0</v>
      </c>
      <c r="F2361" s="1004" t="n">
        <f aca="false">'Смета Внутр'!F2368</f>
        <v>0</v>
      </c>
      <c r="G2361" s="1004" t="n">
        <f aca="false">IF(E2361&gt;F2361,E2361,F2361)</f>
        <v>0</v>
      </c>
      <c r="H2361" s="1004" t="n">
        <f aca="false">'Смета Внутр'!G2368</f>
        <v>0</v>
      </c>
      <c r="I2361" s="1004" t="n">
        <f aca="false">'Смета Внутр'!H2368</f>
        <v>0</v>
      </c>
      <c r="J2361" s="1018" t="n">
        <f aca="false">'Смета Внутр'!I2368</f>
        <v>0</v>
      </c>
    </row>
    <row r="2362" customFormat="false" ht="14.5" hidden="false" customHeight="false" outlineLevel="0" collapsed="false">
      <c r="B2362" s="1004" t="str">
        <f aca="false">'Смета Внутр'!B2369</f>
        <v>Нет техники</v>
      </c>
      <c r="C2362" s="1004" t="str">
        <f aca="false">'Смета Внутр'!C2369</f>
        <v>ед.</v>
      </c>
      <c r="D2362" s="1018" t="n">
        <f aca="false">'Смета Внутр'!D2369</f>
        <v>0</v>
      </c>
      <c r="E2362" s="1004" t="n">
        <f aca="false">'Смета Внутр'!E2369</f>
        <v>0</v>
      </c>
      <c r="F2362" s="1004" t="n">
        <f aca="false">'Смета Внутр'!F2369</f>
        <v>0</v>
      </c>
      <c r="G2362" s="1004" t="n">
        <f aca="false">IF(E2362&gt;F2362,E2362,F2362)</f>
        <v>0</v>
      </c>
      <c r="H2362" s="1004" t="n">
        <f aca="false">'Смета Внутр'!G2369</f>
        <v>0</v>
      </c>
      <c r="I2362" s="1004" t="n">
        <f aca="false">'Смета Внутр'!H2369</f>
        <v>0</v>
      </c>
      <c r="J2362" s="1018" t="n">
        <f aca="false">'Смета Внутр'!I2369</f>
        <v>0</v>
      </c>
    </row>
    <row r="2363" customFormat="false" ht="14.5" hidden="false" customHeight="false" outlineLevel="0" collapsed="false">
      <c r="B2363" s="1004" t="str">
        <f aca="false">'Смета Внутр'!B2370</f>
        <v>Нет техники</v>
      </c>
      <c r="C2363" s="1004" t="str">
        <f aca="false">'Смета Внутр'!C2370</f>
        <v>ед.</v>
      </c>
      <c r="D2363" s="1018" t="n">
        <f aca="false">'Смета Внутр'!D2370</f>
        <v>0</v>
      </c>
      <c r="E2363" s="1004" t="n">
        <f aca="false">'Смета Внутр'!E2370</f>
        <v>0</v>
      </c>
      <c r="F2363" s="1004" t="n">
        <f aca="false">'Смета Внутр'!F2370</f>
        <v>0</v>
      </c>
      <c r="G2363" s="1004" t="n">
        <f aca="false">IF(E2363&gt;F2363,E2363,F2363)</f>
        <v>0</v>
      </c>
      <c r="H2363" s="1004" t="n">
        <f aca="false">'Смета Внутр'!G2370</f>
        <v>0</v>
      </c>
      <c r="I2363" s="1004" t="n">
        <f aca="false">'Смета Внутр'!H2370</f>
        <v>0</v>
      </c>
      <c r="J2363" s="1018" t="n">
        <f aca="false">'Смета Внутр'!I2370</f>
        <v>0</v>
      </c>
    </row>
    <row r="2364" customFormat="false" ht="14.5" hidden="false" customHeight="false" outlineLevel="0" collapsed="false">
      <c r="B2364" s="1004" t="str">
        <f aca="false">'Смета Внутр'!B2371</f>
        <v>Нет техники</v>
      </c>
      <c r="C2364" s="1004" t="str">
        <f aca="false">'Смета Внутр'!C2371</f>
        <v>ед.</v>
      </c>
      <c r="D2364" s="1018" t="n">
        <f aca="false">'Смета Внутр'!D2371</f>
        <v>0</v>
      </c>
      <c r="E2364" s="1004" t="n">
        <f aca="false">'Смета Внутр'!E2371</f>
        <v>0</v>
      </c>
      <c r="F2364" s="1004" t="n">
        <f aca="false">'Смета Внутр'!F2371</f>
        <v>0</v>
      </c>
      <c r="G2364" s="1004" t="n">
        <f aca="false">IF(E2364&gt;F2364,E2364,F2364)</f>
        <v>0</v>
      </c>
      <c r="H2364" s="1004" t="n">
        <f aca="false">'Смета Внутр'!G2371</f>
        <v>0</v>
      </c>
      <c r="I2364" s="1004" t="n">
        <f aca="false">'Смета Внутр'!H2371</f>
        <v>0</v>
      </c>
      <c r="J2364" s="1018" t="n">
        <f aca="false">'Смета Внутр'!I2371</f>
        <v>0</v>
      </c>
    </row>
    <row r="2365" customFormat="false" ht="14.5" hidden="false" customHeight="false" outlineLevel="0" collapsed="false">
      <c r="B2365" s="1004" t="str">
        <f aca="false">'Смета Внутр'!B2372</f>
        <v>Нет техники</v>
      </c>
      <c r="C2365" s="1004" t="str">
        <f aca="false">'Смета Внутр'!C2372</f>
        <v>ед.</v>
      </c>
      <c r="D2365" s="1018" t="n">
        <f aca="false">'Смета Внутр'!D2372</f>
        <v>0</v>
      </c>
      <c r="E2365" s="1004" t="n">
        <f aca="false">'Смета Внутр'!E2372</f>
        <v>15000</v>
      </c>
      <c r="F2365" s="1004" t="n">
        <f aca="false">'Смета Внутр'!F2372</f>
        <v>0</v>
      </c>
      <c r="G2365" s="1004" t="n">
        <f aca="false">IF(E2365&gt;F2365,E2365,F2365)</f>
        <v>15000</v>
      </c>
      <c r="H2365" s="1004" t="n">
        <f aca="false">'Смета Внутр'!G2372</f>
        <v>0</v>
      </c>
      <c r="I2365" s="1004" t="n">
        <f aca="false">'Смета Внутр'!H2372</f>
        <v>0</v>
      </c>
      <c r="J2365" s="1018" t="n">
        <f aca="false">'Смета Внутр'!I2372</f>
        <v>0</v>
      </c>
    </row>
    <row r="2366" customFormat="false" ht="14.5" hidden="false" customHeight="false" outlineLevel="0" collapsed="false">
      <c r="B2366" s="1004" t="str">
        <f aca="false">'Смета Внутр'!B2373</f>
        <v>Нет техники</v>
      </c>
      <c r="C2366" s="1004" t="str">
        <f aca="false">'Смета Внутр'!C2373</f>
        <v>ед.</v>
      </c>
      <c r="D2366" s="1018" t="n">
        <f aca="false">'Смета Внутр'!D2373</f>
        <v>0</v>
      </c>
      <c r="E2366" s="1004" t="n">
        <f aca="false">'Смета Внутр'!E2373</f>
        <v>3000</v>
      </c>
      <c r="F2366" s="1004" t="n">
        <f aca="false">'Смета Внутр'!F2373</f>
        <v>0</v>
      </c>
      <c r="G2366" s="1004" t="n">
        <f aca="false">IF(E2366&gt;F2366,E2366,F2366)</f>
        <v>3000</v>
      </c>
      <c r="H2366" s="1004" t="n">
        <f aca="false">'Смета Внутр'!G2373</f>
        <v>0</v>
      </c>
      <c r="I2366" s="1004" t="n">
        <f aca="false">'Смета Внутр'!H2373</f>
        <v>0</v>
      </c>
      <c r="J2366" s="1018" t="n">
        <f aca="false">'Смета Внутр'!I2373</f>
        <v>0</v>
      </c>
    </row>
    <row r="2367" customFormat="false" ht="14.5" hidden="false" customHeight="false" outlineLevel="0" collapsed="false">
      <c r="B2367" s="1004" t="str">
        <f aca="false">'Смета Внутр'!B2374</f>
        <v>Нет техники</v>
      </c>
      <c r="C2367" s="1004" t="str">
        <f aca="false">'Смета Внутр'!C2374</f>
        <v>ед.</v>
      </c>
      <c r="D2367" s="1018" t="n">
        <f aca="false">'Смета Внутр'!D2374</f>
        <v>0</v>
      </c>
      <c r="E2367" s="1004" t="n">
        <f aca="false">'Смета Внутр'!E2374</f>
        <v>0</v>
      </c>
      <c r="F2367" s="1004" t="n">
        <f aca="false">'Смета Внутр'!F2374</f>
        <v>0</v>
      </c>
      <c r="G2367" s="1004" t="n">
        <f aca="false">IF(E2367&gt;F2367,E2367,F2367)</f>
        <v>0</v>
      </c>
      <c r="H2367" s="1004" t="n">
        <f aca="false">'Смета Внутр'!G2374</f>
        <v>0</v>
      </c>
      <c r="I2367" s="1004" t="n">
        <f aca="false">'Смета Внутр'!H2374</f>
        <v>0</v>
      </c>
      <c r="J2367" s="1018" t="n">
        <f aca="false">'Смета Внутр'!I2374</f>
        <v>0</v>
      </c>
    </row>
    <row r="2368" customFormat="false" ht="14.5" hidden="false" customHeight="false" outlineLevel="0" collapsed="false">
      <c r="B2368" s="1004" t="str">
        <f aca="false">'Смета Внутр'!B2375</f>
        <v>Нет техники</v>
      </c>
      <c r="C2368" s="1004" t="str">
        <f aca="false">'Смета Внутр'!C2375</f>
        <v>ед.</v>
      </c>
      <c r="D2368" s="1018" t="n">
        <f aca="false">'Смета Внутр'!D2375</f>
        <v>0</v>
      </c>
      <c r="E2368" s="1004" t="n">
        <f aca="false">'Смета Внутр'!E2375</f>
        <v>0</v>
      </c>
      <c r="F2368" s="1004" t="n">
        <f aca="false">'Смета Внутр'!F2375</f>
        <v>0</v>
      </c>
      <c r="G2368" s="1004" t="n">
        <f aca="false">IF(E2368&gt;F2368,E2368,F2368)</f>
        <v>0</v>
      </c>
      <c r="H2368" s="1004" t="n">
        <f aca="false">'Смета Внутр'!G2375</f>
        <v>0</v>
      </c>
      <c r="I2368" s="1004" t="n">
        <f aca="false">'Смета Внутр'!H2375</f>
        <v>0</v>
      </c>
      <c r="J2368" s="1018" t="n">
        <f aca="false">'Смета Внутр'!I2375</f>
        <v>0</v>
      </c>
    </row>
    <row r="2369" customFormat="false" ht="14.5" hidden="false" customHeight="false" outlineLevel="0" collapsed="false">
      <c r="B2369" s="1004" t="str">
        <f aca="false">'Смета Внутр'!B2376</f>
        <v>Нет техники</v>
      </c>
      <c r="C2369" s="1004" t="str">
        <f aca="false">'Смета Внутр'!C2376</f>
        <v>ед.</v>
      </c>
      <c r="D2369" s="1018" t="n">
        <f aca="false">'Смета Внутр'!D2376</f>
        <v>0</v>
      </c>
      <c r="E2369" s="1004" t="n">
        <f aca="false">'Смета Внутр'!E2376</f>
        <v>0</v>
      </c>
      <c r="F2369" s="1004" t="n">
        <f aca="false">'Смета Внутр'!F2376</f>
        <v>0</v>
      </c>
      <c r="G2369" s="1004" t="n">
        <f aca="false">IF(E2369&gt;F2369,E2369,F2369)</f>
        <v>0</v>
      </c>
      <c r="H2369" s="1004" t="n">
        <f aca="false">'Смета Внутр'!G2376</f>
        <v>0</v>
      </c>
      <c r="I2369" s="1004" t="n">
        <f aca="false">'Смета Внутр'!H2376</f>
        <v>0</v>
      </c>
      <c r="J2369" s="1018" t="n">
        <f aca="false">'Смета Внутр'!I2376</f>
        <v>0</v>
      </c>
    </row>
    <row r="2370" customFormat="false" ht="14.5" hidden="false" customHeight="false" outlineLevel="0" collapsed="false">
      <c r="B2370" s="1004" t="str">
        <f aca="false">'Смета Внутр'!B2377</f>
        <v>Нет техники</v>
      </c>
      <c r="C2370" s="1004" t="str">
        <f aca="false">'Смета Внутр'!C2377</f>
        <v>ед.</v>
      </c>
      <c r="D2370" s="1018" t="n">
        <f aca="false">'Смета Внутр'!D2377</f>
        <v>0</v>
      </c>
      <c r="E2370" s="1004" t="n">
        <f aca="false">'Смета Внутр'!E2377</f>
        <v>0</v>
      </c>
      <c r="F2370" s="1004" t="n">
        <f aca="false">'Смета Внутр'!F2377</f>
        <v>0</v>
      </c>
      <c r="G2370" s="1004" t="n">
        <f aca="false">IF(E2370&gt;F2370,E2370,F2370)</f>
        <v>0</v>
      </c>
      <c r="H2370" s="1004" t="n">
        <f aca="false">'Смета Внутр'!G2377</f>
        <v>0</v>
      </c>
      <c r="I2370" s="1004" t="n">
        <f aca="false">'Смета Внутр'!H2377</f>
        <v>0</v>
      </c>
      <c r="J2370" s="1018" t="n">
        <f aca="false">'Смета Внутр'!I2377</f>
        <v>0</v>
      </c>
    </row>
    <row r="2371" customFormat="false" ht="14.5" hidden="false" customHeight="false" outlineLevel="0" collapsed="false">
      <c r="B2371" s="1004" t="str">
        <f aca="false">'Смета Внутр'!B2378</f>
        <v>Нет техники</v>
      </c>
      <c r="C2371" s="1004" t="str">
        <f aca="false">'Смета Внутр'!C2378</f>
        <v>ед.</v>
      </c>
      <c r="D2371" s="1018" t="n">
        <f aca="false">'Смета Внутр'!D2378</f>
        <v>6</v>
      </c>
      <c r="E2371" s="1004" t="n">
        <f aca="false">'Смета Внутр'!E2378</f>
        <v>0</v>
      </c>
      <c r="F2371" s="1004" t="n">
        <f aca="false">'Смета Внутр'!F2378</f>
        <v>0</v>
      </c>
      <c r="G2371" s="1004" t="n">
        <f aca="false">IF(E2371&gt;F2371,E2371,F2371)</f>
        <v>0</v>
      </c>
      <c r="H2371" s="1004" t="n">
        <f aca="false">'Смета Внутр'!G2378</f>
        <v>0</v>
      </c>
      <c r="I2371" s="1004" t="n">
        <f aca="false">'Смета Внутр'!H2378</f>
        <v>0</v>
      </c>
      <c r="J2371" s="1018" t="n">
        <f aca="false">'Смета Внутр'!I2378</f>
        <v>0</v>
      </c>
    </row>
    <row r="2372" customFormat="false" ht="14.5" hidden="false" customHeight="false" outlineLevel="0" collapsed="false">
      <c r="B2372" s="1004" t="str">
        <f aca="false">'Смета Внутр'!B2379</f>
        <v>Нет техники</v>
      </c>
      <c r="C2372" s="1004" t="str">
        <f aca="false">'Смета Внутр'!C2379</f>
        <v>ед.</v>
      </c>
      <c r="D2372" s="1018" t="n">
        <f aca="false">'Смета Внутр'!D2379</f>
        <v>0</v>
      </c>
      <c r="E2372" s="1004" t="n">
        <f aca="false">'Смета Внутр'!E2379</f>
        <v>0</v>
      </c>
      <c r="F2372" s="1004" t="n">
        <f aca="false">'Смета Внутр'!F2379</f>
        <v>0</v>
      </c>
      <c r="G2372" s="1004" t="n">
        <f aca="false">IF(E2372&gt;F2372,E2372,F2372)</f>
        <v>0</v>
      </c>
      <c r="H2372" s="1004" t="n">
        <f aca="false">'Смета Внутр'!G2379</f>
        <v>0</v>
      </c>
      <c r="I2372" s="1004" t="n">
        <f aca="false">'Смета Внутр'!H2379</f>
        <v>0</v>
      </c>
      <c r="J2372" s="1018" t="n">
        <f aca="false">'Смета Внутр'!I2379</f>
        <v>0</v>
      </c>
    </row>
    <row r="2373" customFormat="false" ht="14.5" hidden="false" customHeight="false" outlineLevel="0" collapsed="false">
      <c r="B2373" s="1004" t="str">
        <f aca="false">'Смета Внутр'!B2380</f>
        <v>Нет техники</v>
      </c>
      <c r="C2373" s="1004" t="str">
        <f aca="false">'Смета Внутр'!C2380</f>
        <v>ед.</v>
      </c>
      <c r="D2373" s="1018" t="n">
        <f aca="false">'Смета Внутр'!D2380</f>
        <v>6</v>
      </c>
      <c r="E2373" s="1004" t="n">
        <f aca="false">'Смета Внутр'!E2380</f>
        <v>0</v>
      </c>
      <c r="F2373" s="1004" t="n">
        <f aca="false">'Смета Внутр'!F2380</f>
        <v>0</v>
      </c>
      <c r="G2373" s="1004" t="n">
        <f aca="false">IF(E2373&gt;F2373,E2373,F2373)</f>
        <v>0</v>
      </c>
      <c r="H2373" s="1004" t="n">
        <f aca="false">'Смета Внутр'!G2380</f>
        <v>0</v>
      </c>
      <c r="I2373" s="1004" t="n">
        <f aca="false">'Смета Внутр'!H2380</f>
        <v>0</v>
      </c>
      <c r="J2373" s="1018" t="n">
        <f aca="false">'Смета Внутр'!I2380</f>
        <v>0</v>
      </c>
    </row>
    <row r="2374" customFormat="false" ht="14.5" hidden="false" customHeight="false" outlineLevel="0" collapsed="false">
      <c r="B2374" s="1004" t="str">
        <f aca="false">'Смета Внутр'!B2381</f>
        <v>Нет техники</v>
      </c>
      <c r="C2374" s="1004" t="str">
        <f aca="false">'Смета Внутр'!C2381</f>
        <v>ед.</v>
      </c>
      <c r="D2374" s="1018" t="n">
        <f aca="false">'Смета Внутр'!D2381</f>
        <v>0</v>
      </c>
      <c r="E2374" s="1004" t="n">
        <f aca="false">'Смета Внутр'!E2381</f>
        <v>0</v>
      </c>
      <c r="F2374" s="1004" t="n">
        <f aca="false">'Смета Внутр'!F2381</f>
        <v>0</v>
      </c>
      <c r="G2374" s="1004" t="n">
        <f aca="false">IF(E2374&gt;F2374,E2374,F2374)</f>
        <v>0</v>
      </c>
      <c r="H2374" s="1004" t="n">
        <f aca="false">'Смета Внутр'!G2381</f>
        <v>0</v>
      </c>
      <c r="I2374" s="1004" t="n">
        <f aca="false">'Смета Внутр'!H2381</f>
        <v>0</v>
      </c>
      <c r="J2374" s="1018" t="n">
        <f aca="false">'Смета Внутр'!I2381</f>
        <v>0</v>
      </c>
    </row>
    <row r="2375" customFormat="false" ht="14.5" hidden="false" customHeight="false" outlineLevel="0" collapsed="false">
      <c r="B2375" s="1004" t="str">
        <f aca="false">'Смета Внутр'!B2382</f>
        <v>Нет техники</v>
      </c>
      <c r="C2375" s="1004" t="str">
        <f aca="false">'Смета Внутр'!C2382</f>
        <v>ед.</v>
      </c>
      <c r="D2375" s="1018" t="n">
        <f aca="false">'Смета Внутр'!D2382</f>
        <v>6</v>
      </c>
      <c r="E2375" s="1004" t="n">
        <f aca="false">'Смета Внутр'!E2382</f>
        <v>0</v>
      </c>
      <c r="F2375" s="1004" t="n">
        <f aca="false">'Смета Внутр'!F2382</f>
        <v>0</v>
      </c>
      <c r="G2375" s="1004" t="n">
        <f aca="false">IF(E2375&gt;F2375,E2375,F2375)</f>
        <v>0</v>
      </c>
      <c r="H2375" s="1004" t="n">
        <f aca="false">'Смета Внутр'!G2382</f>
        <v>0</v>
      </c>
      <c r="I2375" s="1004" t="n">
        <f aca="false">'Смета Внутр'!H2382</f>
        <v>0</v>
      </c>
      <c r="J2375" s="1018" t="n">
        <f aca="false">'Смета Внутр'!I2382</f>
        <v>0</v>
      </c>
    </row>
    <row r="2376" customFormat="false" ht="14.5" hidden="false" customHeight="false" outlineLevel="0" collapsed="false">
      <c r="B2376" s="1004" t="str">
        <f aca="false">'Смета Внутр'!B2383</f>
        <v>Нет техники</v>
      </c>
      <c r="C2376" s="1004" t="str">
        <f aca="false">'Смета Внутр'!C2383</f>
        <v>ед.</v>
      </c>
      <c r="D2376" s="1018" t="n">
        <f aca="false">'Смета Внутр'!D2383</f>
        <v>0</v>
      </c>
      <c r="E2376" s="1004" t="n">
        <f aca="false">'Смета Внутр'!E2383</f>
        <v>0</v>
      </c>
      <c r="F2376" s="1004" t="n">
        <f aca="false">'Смета Внутр'!F2383</f>
        <v>0</v>
      </c>
      <c r="G2376" s="1004" t="n">
        <f aca="false">IF(E2376&gt;F2376,E2376,F2376)</f>
        <v>0</v>
      </c>
      <c r="H2376" s="1004" t="n">
        <f aca="false">'Смета Внутр'!G2383</f>
        <v>0</v>
      </c>
      <c r="I2376" s="1004" t="n">
        <f aca="false">'Смета Внутр'!H2383</f>
        <v>0</v>
      </c>
      <c r="J2376" s="1018" t="n">
        <f aca="false">'Смета Внутр'!I2383</f>
        <v>0</v>
      </c>
    </row>
    <row r="2377" customFormat="false" ht="14.5" hidden="false" customHeight="false" outlineLevel="0" collapsed="false">
      <c r="B2377" s="1004" t="str">
        <f aca="false">'Смета Внутр'!B2384</f>
        <v>Нет техники</v>
      </c>
      <c r="C2377" s="1004" t="str">
        <f aca="false">'Смета Внутр'!C2384</f>
        <v>ед.</v>
      </c>
      <c r="D2377" s="1018" t="n">
        <f aca="false">'Смета Внутр'!D2384</f>
        <v>6</v>
      </c>
      <c r="E2377" s="1004" t="n">
        <f aca="false">'Смета Внутр'!E2384</f>
        <v>0</v>
      </c>
      <c r="F2377" s="1004" t="n">
        <f aca="false">'Смета Внутр'!F2384</f>
        <v>0</v>
      </c>
      <c r="G2377" s="1004" t="n">
        <f aca="false">IF(E2377&gt;F2377,E2377,F2377)</f>
        <v>0</v>
      </c>
      <c r="H2377" s="1004" t="n">
        <f aca="false">'Смета Внутр'!G2384</f>
        <v>0</v>
      </c>
      <c r="I2377" s="1004" t="n">
        <f aca="false">'Смета Внутр'!H2384</f>
        <v>0</v>
      </c>
      <c r="J2377" s="1018" t="n">
        <f aca="false">'Смета Внутр'!I2384</f>
        <v>0</v>
      </c>
    </row>
    <row r="2378" customFormat="false" ht="14.5" hidden="false" customHeight="false" outlineLevel="0" collapsed="false">
      <c r="B2378" s="1004" t="str">
        <f aca="false">'Смета Внутр'!B2385</f>
        <v>Нет техники</v>
      </c>
      <c r="C2378" s="1004" t="str">
        <f aca="false">'Смета Внутр'!C2385</f>
        <v>ед.</v>
      </c>
      <c r="D2378" s="1018" t="n">
        <f aca="false">'Смета Внутр'!D2385</f>
        <v>0</v>
      </c>
      <c r="E2378" s="1004" t="n">
        <f aca="false">'Смета Внутр'!E2385</f>
        <v>0</v>
      </c>
      <c r="F2378" s="1004" t="n">
        <f aca="false">'Смета Внутр'!F2385</f>
        <v>0</v>
      </c>
      <c r="G2378" s="1004" t="n">
        <f aca="false">IF(E2378&gt;F2378,E2378,F2378)</f>
        <v>0</v>
      </c>
      <c r="H2378" s="1004" t="n">
        <f aca="false">'Смета Внутр'!G2385</f>
        <v>0</v>
      </c>
      <c r="I2378" s="1004" t="n">
        <f aca="false">'Смета Внутр'!H2385</f>
        <v>0</v>
      </c>
      <c r="J2378" s="1018" t="n">
        <f aca="false">'Смета Внутр'!I2385</f>
        <v>0</v>
      </c>
    </row>
    <row r="2379" customFormat="false" ht="14.5" hidden="false" customHeight="false" outlineLevel="0" collapsed="false">
      <c r="B2379" s="1004" t="str">
        <f aca="false">'Смета Внутр'!B2386</f>
        <v>Нет техники</v>
      </c>
      <c r="C2379" s="1004" t="str">
        <f aca="false">'Смета Внутр'!C2386</f>
        <v>ед.</v>
      </c>
      <c r="D2379" s="1018" t="n">
        <f aca="false">'Смета Внутр'!D2386</f>
        <v>6</v>
      </c>
      <c r="E2379" s="1004" t="n">
        <f aca="false">'Смета Внутр'!E2386</f>
        <v>0</v>
      </c>
      <c r="F2379" s="1004" t="n">
        <f aca="false">'Смета Внутр'!F2386</f>
        <v>0</v>
      </c>
      <c r="G2379" s="1004" t="n">
        <f aca="false">IF(E2379&gt;F2379,E2379,F2379)</f>
        <v>0</v>
      </c>
      <c r="H2379" s="1004" t="n">
        <f aca="false">'Смета Внутр'!G2386</f>
        <v>0</v>
      </c>
      <c r="I2379" s="1004" t="n">
        <f aca="false">'Смета Внутр'!H2386</f>
        <v>0</v>
      </c>
      <c r="J2379" s="1018" t="n">
        <f aca="false">'Смета Внутр'!I2386</f>
        <v>0</v>
      </c>
    </row>
    <row r="2380" customFormat="false" ht="14.5" hidden="false" customHeight="false" outlineLevel="0" collapsed="false">
      <c r="B2380" s="1004" t="str">
        <f aca="false">'Смета Внутр'!B2387</f>
        <v>Нет техники</v>
      </c>
      <c r="C2380" s="1004" t="str">
        <f aca="false">'Смета Внутр'!C2387</f>
        <v>ед.</v>
      </c>
      <c r="D2380" s="1018" t="n">
        <f aca="false">'Смета Внутр'!D2387</f>
        <v>0</v>
      </c>
      <c r="E2380" s="1004" t="n">
        <f aca="false">'Смета Внутр'!E2387</f>
        <v>0</v>
      </c>
      <c r="F2380" s="1004" t="n">
        <f aca="false">'Смета Внутр'!F2387</f>
        <v>0</v>
      </c>
      <c r="G2380" s="1004" t="n">
        <f aca="false">IF(E2380&gt;F2380,E2380,F2380)</f>
        <v>0</v>
      </c>
      <c r="H2380" s="1004" t="n">
        <f aca="false">'Смета Внутр'!G2387</f>
        <v>0</v>
      </c>
      <c r="I2380" s="1004" t="n">
        <f aca="false">'Смета Внутр'!H2387</f>
        <v>0</v>
      </c>
      <c r="J2380" s="1018" t="n">
        <f aca="false">'Смета Внутр'!I2387</f>
        <v>0</v>
      </c>
    </row>
    <row r="2381" customFormat="false" ht="14.5" hidden="false" customHeight="false" outlineLevel="0" collapsed="false">
      <c r="B2381" s="1004" t="str">
        <f aca="false">'Смета Внутр'!B2388</f>
        <v>Газель</v>
      </c>
      <c r="C2381" s="1004" t="str">
        <f aca="false">'Смета Внутр'!C2388</f>
        <v>ед.</v>
      </c>
      <c r="D2381" s="1018" t="n">
        <f aca="false">'Смета Внутр'!D2388</f>
        <v>1</v>
      </c>
      <c r="E2381" s="1004" t="n">
        <f aca="false">'Смета Внутр'!E2388</f>
        <v>1700</v>
      </c>
      <c r="F2381" s="1004" t="n">
        <f aca="false">'Смета Внутр'!F2388</f>
        <v>0</v>
      </c>
      <c r="G2381" s="1004" t="n">
        <f aca="false">IF(E2381&gt;F2381,E2381,F2381)</f>
        <v>1700</v>
      </c>
      <c r="H2381" s="1004" t="n">
        <f aca="false">'Смета Внутр'!G2388</f>
        <v>0</v>
      </c>
      <c r="I2381" s="1004" t="n">
        <f aca="false">'Смета Внутр'!H2388</f>
        <v>0</v>
      </c>
      <c r="J2381" s="1018" t="n">
        <f aca="false">'Смета Внутр'!I2388</f>
        <v>0</v>
      </c>
    </row>
    <row r="2382" customFormat="false" ht="14.5" hidden="false" customHeight="false" outlineLevel="0" collapsed="false">
      <c r="B2382" s="1004" t="str">
        <f aca="false">'Смета Внутр'!B2389</f>
        <v>Доставка материала Фура</v>
      </c>
      <c r="C2382" s="1004" t="str">
        <f aca="false">'Смета Внутр'!C2389</f>
        <v>ед.</v>
      </c>
      <c r="D2382" s="1018" t="n">
        <f aca="false">'Смета Внутр'!D2389</f>
        <v>0</v>
      </c>
      <c r="E2382" s="1004" t="n">
        <f aca="false">'Смета Внутр'!E2389</f>
        <v>2500</v>
      </c>
      <c r="F2382" s="1004" t="n">
        <f aca="false">'Смета Внутр'!F2389</f>
        <v>0</v>
      </c>
      <c r="G2382" s="1004" t="n">
        <f aca="false">IF(E2382&gt;F2382,E2382,F2382)</f>
        <v>2500</v>
      </c>
      <c r="H2382" s="1004" t="n">
        <f aca="false">'Смета Внутр'!G2389</f>
        <v>0</v>
      </c>
      <c r="I2382" s="1004" t="n">
        <f aca="false">'Смета Внутр'!H2389</f>
        <v>0</v>
      </c>
      <c r="J2382" s="1018" t="n">
        <f aca="false">'Смета Внутр'!I2389</f>
        <v>0</v>
      </c>
    </row>
    <row r="2383" customFormat="false" ht="14.5" hidden="false" customHeight="false" outlineLevel="0" collapsed="false">
      <c r="B2383" s="1004" t="str">
        <f aca="false">'Смета Внутр'!B2390</f>
        <v>Воровайка</v>
      </c>
      <c r="C2383" s="1004" t="str">
        <f aca="false">'Смета Внутр'!C2390</f>
        <v>ед.</v>
      </c>
      <c r="D2383" s="1018" t="n">
        <f aca="false">'Смета Внутр'!D2390</f>
        <v>0</v>
      </c>
      <c r="E2383" s="1004" t="n">
        <f aca="false">'Смета Внутр'!E2390</f>
        <v>3500</v>
      </c>
      <c r="F2383" s="1004" t="n">
        <f aca="false">'Смета Внутр'!F2390</f>
        <v>0</v>
      </c>
      <c r="G2383" s="1004" t="n">
        <f aca="false">IF(E2383&gt;F2383,E2383,F2383)</f>
        <v>3500</v>
      </c>
      <c r="H2383" s="1004" t="n">
        <f aca="false">'Смета Внутр'!G2390</f>
        <v>0</v>
      </c>
      <c r="I2383" s="1004" t="n">
        <f aca="false">'Смета Внутр'!H2390</f>
        <v>0</v>
      </c>
      <c r="J2383" s="1018" t="n">
        <f aca="false">'Смета Внутр'!I2390</f>
        <v>0</v>
      </c>
    </row>
    <row r="2384" customFormat="false" ht="14.5" hidden="false" customHeight="false" outlineLevel="0" collapsed="false">
      <c r="B2384" s="1004" t="str">
        <f aca="false">'Смета Внутр'!B2391</f>
        <v>Нет техники</v>
      </c>
      <c r="C2384" s="1004" t="str">
        <f aca="false">'Смета Внутр'!C2391</f>
        <v>ед.</v>
      </c>
      <c r="D2384" s="1018" t="n">
        <f aca="false">'Смета Внутр'!D2391</f>
        <v>4</v>
      </c>
      <c r="E2384" s="1004" t="n">
        <f aca="false">'Смета Внутр'!E2391</f>
        <v>0</v>
      </c>
      <c r="F2384" s="1004" t="n">
        <f aca="false">'Смета Внутр'!F2391</f>
        <v>0</v>
      </c>
      <c r="G2384" s="1004" t="n">
        <f aca="false">IF(E2384&gt;F2384,E2384,F2384)</f>
        <v>0</v>
      </c>
      <c r="H2384" s="1004" t="n">
        <f aca="false">'Смета Внутр'!G2391</f>
        <v>0</v>
      </c>
      <c r="I2384" s="1004" t="n">
        <f aca="false">'Смета Внутр'!H2391</f>
        <v>0</v>
      </c>
      <c r="J2384" s="1018" t="n">
        <f aca="false">'Смета Внутр'!I2391</f>
        <v>0</v>
      </c>
    </row>
    <row r="2385" customFormat="false" ht="14.5" hidden="false" customHeight="false" outlineLevel="0" collapsed="false">
      <c r="B2385" s="1004" t="str">
        <f aca="false">'Смета Внутр'!B2392</f>
        <v>Нет техники</v>
      </c>
      <c r="C2385" s="1004" t="str">
        <f aca="false">'Смета Внутр'!C2392</f>
        <v>ед.</v>
      </c>
      <c r="D2385" s="1018" t="n">
        <f aca="false">'Смета Внутр'!D2392</f>
        <v>0</v>
      </c>
      <c r="E2385" s="1004" t="n">
        <f aca="false">'Смета Внутр'!E2392</f>
        <v>0</v>
      </c>
      <c r="F2385" s="1004" t="n">
        <f aca="false">'Смета Внутр'!F2392</f>
        <v>0</v>
      </c>
      <c r="G2385" s="1004" t="n">
        <f aca="false">IF(E2385&gt;F2385,E2385,F2385)</f>
        <v>0</v>
      </c>
      <c r="H2385" s="1004" t="n">
        <f aca="false">'Смета Внутр'!G2392</f>
        <v>0</v>
      </c>
      <c r="I2385" s="1004" t="n">
        <f aca="false">'Смета Внутр'!H2392</f>
        <v>0</v>
      </c>
      <c r="J2385" s="1018" t="n">
        <f aca="false">'Смета Внутр'!I2392</f>
        <v>0</v>
      </c>
    </row>
    <row r="2386" customFormat="false" ht="14.5" hidden="false" customHeight="false" outlineLevel="0" collapsed="false">
      <c r="B2386" s="1004" t="str">
        <f aca="false">'Смета Внутр'!B2393</f>
        <v>Нет техники</v>
      </c>
      <c r="C2386" s="1004" t="str">
        <f aca="false">'Смета Внутр'!C2393</f>
        <v>ед.</v>
      </c>
      <c r="D2386" s="1018" t="n">
        <f aca="false">'Смета Внутр'!D2393</f>
        <v>4</v>
      </c>
      <c r="E2386" s="1004" t="n">
        <f aca="false">'Смета Внутр'!E2393</f>
        <v>0</v>
      </c>
      <c r="F2386" s="1004" t="n">
        <f aca="false">'Смета Внутр'!F2393</f>
        <v>0</v>
      </c>
      <c r="G2386" s="1004" t="n">
        <f aca="false">IF(E2386&gt;F2386,E2386,F2386)</f>
        <v>0</v>
      </c>
      <c r="H2386" s="1004" t="n">
        <f aca="false">'Смета Внутр'!G2393</f>
        <v>0</v>
      </c>
      <c r="I2386" s="1004" t="n">
        <f aca="false">'Смета Внутр'!H2393</f>
        <v>0</v>
      </c>
      <c r="J2386" s="1018" t="n">
        <f aca="false">'Смета Внутр'!I2393</f>
        <v>0</v>
      </c>
    </row>
    <row r="2387" customFormat="false" ht="14.5" hidden="false" customHeight="false" outlineLevel="0" collapsed="false">
      <c r="B2387" s="1004" t="str">
        <f aca="false">'Смета Внутр'!B2394</f>
        <v>Нет техники</v>
      </c>
      <c r="C2387" s="1004" t="str">
        <f aca="false">'Смета Внутр'!C2394</f>
        <v>ед.</v>
      </c>
      <c r="D2387" s="1018" t="n">
        <f aca="false">'Смета Внутр'!D2394</f>
        <v>0</v>
      </c>
      <c r="E2387" s="1004" t="n">
        <f aca="false">'Смета Внутр'!E2394</f>
        <v>0</v>
      </c>
      <c r="F2387" s="1004" t="n">
        <f aca="false">'Смета Внутр'!F2394</f>
        <v>0</v>
      </c>
      <c r="G2387" s="1004" t="n">
        <f aca="false">IF(E2387&gt;F2387,E2387,F2387)</f>
        <v>0</v>
      </c>
      <c r="H2387" s="1004" t="n">
        <f aca="false">'Смета Внутр'!G2394</f>
        <v>0</v>
      </c>
      <c r="I2387" s="1004" t="n">
        <f aca="false">'Смета Внутр'!H2394</f>
        <v>0</v>
      </c>
      <c r="J2387" s="1018" t="n">
        <f aca="false">'Смета Внутр'!I2394</f>
        <v>0</v>
      </c>
    </row>
    <row r="2388" customFormat="false" ht="14.5" hidden="false" customHeight="false" outlineLevel="0" collapsed="false">
      <c r="B2388" s="1004" t="str">
        <f aca="false">'Смета Внутр'!B2395</f>
        <v>Манипулятор 5т</v>
      </c>
      <c r="C2388" s="1004" t="str">
        <f aca="false">'Смета Внутр'!C2395</f>
        <v>ед.</v>
      </c>
      <c r="D2388" s="1018" t="n">
        <f aca="false">'Смета Внутр'!D2395</f>
        <v>4</v>
      </c>
      <c r="E2388" s="1004" t="n">
        <f aca="false">'Смета Внутр'!E2395</f>
        <v>2500</v>
      </c>
      <c r="F2388" s="1004" t="n">
        <f aca="false">'Смета Внутр'!F2395</f>
        <v>0</v>
      </c>
      <c r="G2388" s="1004" t="n">
        <f aca="false">IF(E2388&gt;F2388,E2388,F2388)</f>
        <v>2500</v>
      </c>
      <c r="H2388" s="1004" t="n">
        <f aca="false">'Смета Внутр'!G2395</f>
        <v>0</v>
      </c>
      <c r="I2388" s="1004" t="n">
        <f aca="false">'Смета Внутр'!H2395</f>
        <v>0</v>
      </c>
      <c r="J2388" s="1018" t="n">
        <f aca="false">'Смета Внутр'!I2395</f>
        <v>0</v>
      </c>
    </row>
    <row r="2389" customFormat="false" ht="14.5" hidden="false" customHeight="false" outlineLevel="0" collapsed="false">
      <c r="B2389" s="1004" t="str">
        <f aca="false">'Смета Внутр'!B2396</f>
        <v>Нет техники</v>
      </c>
      <c r="C2389" s="1004" t="str">
        <f aca="false">'Смета Внутр'!C2396</f>
        <v>ед.</v>
      </c>
      <c r="D2389" s="1018" t="n">
        <f aca="false">'Смета Внутр'!D2396</f>
        <v>0</v>
      </c>
      <c r="E2389" s="1004" t="n">
        <f aca="false">'Смета Внутр'!E2396</f>
        <v>0</v>
      </c>
      <c r="F2389" s="1004" t="n">
        <f aca="false">'Смета Внутр'!F2396</f>
        <v>0</v>
      </c>
      <c r="G2389" s="1004" t="n">
        <f aca="false">IF(E2389&gt;F2389,E2389,F2389)</f>
        <v>0</v>
      </c>
      <c r="H2389" s="1004" t="n">
        <f aca="false">'Смета Внутр'!G2396</f>
        <v>0</v>
      </c>
      <c r="I2389" s="1004" t="n">
        <f aca="false">'Смета Внутр'!H2396</f>
        <v>0</v>
      </c>
      <c r="J2389" s="1018" t="n">
        <f aca="false">'Смета Внутр'!I2396</f>
        <v>0</v>
      </c>
    </row>
    <row r="2390" customFormat="false" ht="14.5" hidden="false" customHeight="false" outlineLevel="0" collapsed="false">
      <c r="B2390" s="1004" t="str">
        <f aca="false">'Смета Внутр'!B2397</f>
        <v>Нет техники</v>
      </c>
      <c r="C2390" s="1004" t="str">
        <f aca="false">'Смета Внутр'!C2397</f>
        <v>ед.</v>
      </c>
      <c r="D2390" s="1018" t="n">
        <f aca="false">'Смета Внутр'!D2397</f>
        <v>4</v>
      </c>
      <c r="E2390" s="1004" t="n">
        <f aca="false">'Смета Внутр'!E2397</f>
        <v>0</v>
      </c>
      <c r="F2390" s="1004" t="n">
        <f aca="false">'Смета Внутр'!F2397</f>
        <v>0</v>
      </c>
      <c r="G2390" s="1004" t="n">
        <f aca="false">IF(E2390&gt;F2390,E2390,F2390)</f>
        <v>0</v>
      </c>
      <c r="H2390" s="1004" t="n">
        <f aca="false">'Смета Внутр'!G2397</f>
        <v>0</v>
      </c>
      <c r="I2390" s="1004" t="n">
        <f aca="false">'Смета Внутр'!H2397</f>
        <v>0</v>
      </c>
      <c r="J2390" s="1018" t="n">
        <f aca="false">'Смета Внутр'!I2397</f>
        <v>0</v>
      </c>
    </row>
    <row r="2391" customFormat="false" ht="14.5" hidden="false" customHeight="false" outlineLevel="0" collapsed="false">
      <c r="B2391" s="1004" t="str">
        <f aca="false">'Смета Внутр'!B2398</f>
        <v>Нет техники</v>
      </c>
      <c r="C2391" s="1004" t="str">
        <f aca="false">'Смета Внутр'!C2398</f>
        <v>ед.</v>
      </c>
      <c r="D2391" s="1018" t="n">
        <f aca="false">'Смета Внутр'!D2398</f>
        <v>0</v>
      </c>
      <c r="E2391" s="1004" t="n">
        <f aca="false">'Смета Внутр'!E2398</f>
        <v>0</v>
      </c>
      <c r="F2391" s="1004" t="n">
        <f aca="false">'Смета Внутр'!F2398</f>
        <v>0</v>
      </c>
      <c r="G2391" s="1004" t="n">
        <f aca="false">IF(E2391&gt;F2391,E2391,F2391)</f>
        <v>0</v>
      </c>
      <c r="H2391" s="1004" t="n">
        <f aca="false">'Смета Внутр'!G2398</f>
        <v>0</v>
      </c>
      <c r="I2391" s="1004" t="n">
        <f aca="false">'Смета Внутр'!H2398</f>
        <v>0</v>
      </c>
      <c r="J2391" s="1018" t="n">
        <f aca="false">'Смета Внутр'!I2398</f>
        <v>0</v>
      </c>
    </row>
    <row r="2392" customFormat="false" ht="14.5" hidden="false" customHeight="false" outlineLevel="0" collapsed="false">
      <c r="B2392" s="1004" t="str">
        <f aca="false">'Смета Внутр'!B2399</f>
        <v>Нет техники</v>
      </c>
      <c r="C2392" s="1004" t="str">
        <f aca="false">'Смета Внутр'!C2399</f>
        <v>ед.</v>
      </c>
      <c r="D2392" s="1018" t="n">
        <f aca="false">'Смета Внутр'!D2399</f>
        <v>2</v>
      </c>
      <c r="E2392" s="1004" t="n">
        <f aca="false">'Смета Внутр'!E2399</f>
        <v>0</v>
      </c>
      <c r="F2392" s="1004" t="n">
        <f aca="false">'Смета Внутр'!F2399</f>
        <v>0</v>
      </c>
      <c r="G2392" s="1004" t="n">
        <f aca="false">IF(E2392&gt;F2392,E2392,F2392)</f>
        <v>0</v>
      </c>
      <c r="H2392" s="1004" t="n">
        <f aca="false">'Смета Внутр'!G2399</f>
        <v>0</v>
      </c>
      <c r="I2392" s="1004" t="n">
        <f aca="false">'Смета Внутр'!H2399</f>
        <v>0</v>
      </c>
      <c r="J2392" s="1018" t="n">
        <f aca="false">'Смета Внутр'!I2399</f>
        <v>0</v>
      </c>
    </row>
    <row r="2393" customFormat="false" ht="14.5" hidden="false" customHeight="false" outlineLevel="0" collapsed="false">
      <c r="B2393" s="1004" t="str">
        <f aca="false">'Смета Внутр'!B2400</f>
        <v>Нет техники</v>
      </c>
      <c r="C2393" s="1004" t="str">
        <f aca="false">'Смета Внутр'!C2400</f>
        <v>ед.</v>
      </c>
      <c r="D2393" s="1018" t="n">
        <f aca="false">'Смета Внутр'!D2400</f>
        <v>0</v>
      </c>
      <c r="E2393" s="1004" t="n">
        <f aca="false">'Смета Внутр'!E2400</f>
        <v>0</v>
      </c>
      <c r="F2393" s="1004" t="n">
        <f aca="false">'Смета Внутр'!F2400</f>
        <v>0</v>
      </c>
      <c r="G2393" s="1004" t="n">
        <f aca="false">IF(E2393&gt;F2393,E2393,F2393)</f>
        <v>0</v>
      </c>
      <c r="H2393" s="1004" t="n">
        <f aca="false">'Смета Внутр'!G2400</f>
        <v>0</v>
      </c>
      <c r="I2393" s="1004" t="n">
        <f aca="false">'Смета Внутр'!H2400</f>
        <v>0</v>
      </c>
      <c r="J2393" s="1018" t="n">
        <f aca="false">'Смета Внутр'!I2400</f>
        <v>0</v>
      </c>
    </row>
    <row r="2394" customFormat="false" ht="14.5" hidden="false" customHeight="false" outlineLevel="0" collapsed="false">
      <c r="B2394" s="1004" t="str">
        <f aca="false">'Смета Внутр'!B2401</f>
        <v>Нет техники</v>
      </c>
      <c r="C2394" s="1004" t="str">
        <f aca="false">'Смета Внутр'!C2401</f>
        <v>ед.</v>
      </c>
      <c r="D2394" s="1018" t="n">
        <f aca="false">'Смета Внутр'!D2401</f>
        <v>1</v>
      </c>
      <c r="E2394" s="1004" t="n">
        <f aca="false">'Смета Внутр'!E2401</f>
        <v>0</v>
      </c>
      <c r="F2394" s="1004" t="n">
        <f aca="false">'Смета Внутр'!F2401</f>
        <v>0</v>
      </c>
      <c r="G2394" s="1004" t="n">
        <f aca="false">IF(E2394&gt;F2394,E2394,F2394)</f>
        <v>0</v>
      </c>
      <c r="H2394" s="1004" t="n">
        <f aca="false">'Смета Внутр'!G2401</f>
        <v>0</v>
      </c>
      <c r="I2394" s="1004" t="n">
        <f aca="false">'Смета Внутр'!H2401</f>
        <v>0</v>
      </c>
      <c r="J2394" s="1018" t="n">
        <f aca="false">'Смета Внутр'!I2401</f>
        <v>0</v>
      </c>
    </row>
    <row r="2395" customFormat="false" ht="14.5" hidden="false" customHeight="false" outlineLevel="0" collapsed="false">
      <c r="B2395" s="1004" t="str">
        <f aca="false">'Смета Внутр'!B2402</f>
        <v>Нет техники</v>
      </c>
      <c r="C2395" s="1004" t="str">
        <f aca="false">'Смета Внутр'!C2402</f>
        <v>ед.</v>
      </c>
      <c r="D2395" s="1018" t="n">
        <f aca="false">'Смета Внутр'!D2402</f>
        <v>0</v>
      </c>
      <c r="E2395" s="1004" t="n">
        <f aca="false">'Смета Внутр'!E2402</f>
        <v>0</v>
      </c>
      <c r="F2395" s="1004" t="n">
        <f aca="false">'Смета Внутр'!F2402</f>
        <v>0</v>
      </c>
      <c r="G2395" s="1004" t="n">
        <f aca="false">IF(E2395&gt;F2395,E2395,F2395)</f>
        <v>0</v>
      </c>
      <c r="H2395" s="1004" t="n">
        <f aca="false">'Смета Внутр'!G2402</f>
        <v>0</v>
      </c>
      <c r="I2395" s="1004" t="n">
        <f aca="false">'Смета Внутр'!H2402</f>
        <v>0</v>
      </c>
      <c r="J2395" s="1018" t="n">
        <f aca="false">'Смета Внутр'!I2402</f>
        <v>0</v>
      </c>
    </row>
    <row r="2396" customFormat="false" ht="14.5" hidden="false" customHeight="false" outlineLevel="0" collapsed="false">
      <c r="B2396" s="1004" t="str">
        <f aca="false">'Смета Внутр'!B2403</f>
        <v>Нет техники</v>
      </c>
      <c r="C2396" s="1004" t="str">
        <f aca="false">'Смета Внутр'!C2403</f>
        <v>ед.</v>
      </c>
      <c r="D2396" s="1018" t="n">
        <f aca="false">'Смета Внутр'!D2403</f>
        <v>1</v>
      </c>
      <c r="E2396" s="1004" t="n">
        <f aca="false">'Смета Внутр'!E2403</f>
        <v>0</v>
      </c>
      <c r="F2396" s="1004" t="n">
        <f aca="false">'Смета Внутр'!F2403</f>
        <v>0</v>
      </c>
      <c r="G2396" s="1004" t="n">
        <f aca="false">IF(E2396&gt;F2396,E2396,F2396)</f>
        <v>0</v>
      </c>
      <c r="H2396" s="1004" t="n">
        <f aca="false">'Смета Внутр'!G2403</f>
        <v>0</v>
      </c>
      <c r="I2396" s="1004" t="n">
        <f aca="false">'Смета Внутр'!H2403</f>
        <v>0</v>
      </c>
      <c r="J2396" s="1018" t="n">
        <f aca="false">'Смета Внутр'!I2403</f>
        <v>0</v>
      </c>
    </row>
    <row r="2397" customFormat="false" ht="14.5" hidden="false" customHeight="false" outlineLevel="0" collapsed="false">
      <c r="B2397" s="1004" t="str">
        <f aca="false">'Смета Внутр'!B2404</f>
        <v>Нет техники</v>
      </c>
      <c r="C2397" s="1004" t="str">
        <f aca="false">'Смета Внутр'!C2404</f>
        <v>ед.</v>
      </c>
      <c r="D2397" s="1018" t="n">
        <f aca="false">'Смета Внутр'!D2404</f>
        <v>0</v>
      </c>
      <c r="E2397" s="1004" t="n">
        <f aca="false">'Смета Внутр'!E2404</f>
        <v>0</v>
      </c>
      <c r="F2397" s="1004" t="n">
        <f aca="false">'Смета Внутр'!F2404</f>
        <v>0</v>
      </c>
      <c r="G2397" s="1004" t="n">
        <f aca="false">IF(E2397&gt;F2397,E2397,F2397)</f>
        <v>0</v>
      </c>
      <c r="H2397" s="1004" t="n">
        <f aca="false">'Смета Внутр'!G2404</f>
        <v>0</v>
      </c>
      <c r="I2397" s="1004" t="n">
        <f aca="false">'Смета Внутр'!H2404</f>
        <v>0</v>
      </c>
      <c r="J2397" s="1018" t="n">
        <f aca="false">'Смета Внутр'!I2404</f>
        <v>0</v>
      </c>
    </row>
    <row r="2398" customFormat="false" ht="14.5" hidden="false" customHeight="false" outlineLevel="0" collapsed="false">
      <c r="B2398" s="1004" t="str">
        <f aca="false">'Смета Внутр'!B2405</f>
        <v>Нет техники</v>
      </c>
      <c r="C2398" s="1004" t="str">
        <f aca="false">'Смета Внутр'!C2405</f>
        <v>ед.</v>
      </c>
      <c r="D2398" s="1018" t="n">
        <f aca="false">'Смета Внутр'!D2405</f>
        <v>1</v>
      </c>
      <c r="E2398" s="1004" t="n">
        <f aca="false">'Смета Внутр'!E2405</f>
        <v>0</v>
      </c>
      <c r="F2398" s="1004" t="n">
        <f aca="false">'Смета Внутр'!F2405</f>
        <v>0</v>
      </c>
      <c r="G2398" s="1004" t="n">
        <f aca="false">IF(E2398&gt;F2398,E2398,F2398)</f>
        <v>0</v>
      </c>
      <c r="H2398" s="1004" t="n">
        <f aca="false">'Смета Внутр'!G2405</f>
        <v>0</v>
      </c>
      <c r="I2398" s="1004" t="n">
        <f aca="false">'Смета Внутр'!H2405</f>
        <v>0</v>
      </c>
      <c r="J2398" s="1018" t="n">
        <f aca="false">'Смета Внутр'!I2405</f>
        <v>0</v>
      </c>
    </row>
    <row r="2399" customFormat="false" ht="14.5" hidden="false" customHeight="false" outlineLevel="0" collapsed="false">
      <c r="B2399" s="1004" t="str">
        <f aca="false">'Смета Внутр'!B2406</f>
        <v>Нет техники</v>
      </c>
      <c r="C2399" s="1004" t="str">
        <f aca="false">'Смета Внутр'!C2406</f>
        <v>ед.</v>
      </c>
      <c r="D2399" s="1018" t="n">
        <f aca="false">'Смета Внутр'!D2406</f>
        <v>0</v>
      </c>
      <c r="E2399" s="1004" t="n">
        <f aca="false">'Смета Внутр'!E2406</f>
        <v>0</v>
      </c>
      <c r="F2399" s="1004" t="n">
        <f aca="false">'Смета Внутр'!F2406</f>
        <v>0</v>
      </c>
      <c r="G2399" s="1004" t="n">
        <f aca="false">IF(E2399&gt;F2399,E2399,F2399)</f>
        <v>0</v>
      </c>
      <c r="H2399" s="1004" t="n">
        <f aca="false">'Смета Внутр'!G2406</f>
        <v>0</v>
      </c>
      <c r="I2399" s="1004" t="n">
        <f aca="false">'Смета Внутр'!H2406</f>
        <v>0</v>
      </c>
      <c r="J2399" s="1018" t="n">
        <f aca="false">'Смета Внутр'!I2406</f>
        <v>0</v>
      </c>
    </row>
    <row r="2400" customFormat="false" ht="14.5" hidden="false" customHeight="false" outlineLevel="0" collapsed="false">
      <c r="B2400" s="1004" t="str">
        <f aca="false">'Смета Внутр'!B2407</f>
        <v>Экскаватор погрузчик</v>
      </c>
      <c r="C2400" s="1004" t="str">
        <f aca="false">'Смета Внутр'!C2407</f>
        <v>ед.</v>
      </c>
      <c r="D2400" s="1018" t="n">
        <f aca="false">'Смета Внутр'!D2407</f>
        <v>5</v>
      </c>
      <c r="E2400" s="1004" t="n">
        <f aca="false">'Смета Внутр'!E2407</f>
        <v>2200</v>
      </c>
      <c r="F2400" s="1004" t="n">
        <f aca="false">'Смета Внутр'!F2407</f>
        <v>0</v>
      </c>
      <c r="G2400" s="1004" t="n">
        <f aca="false">IF(E2400&gt;F2400,E2400,F2400)</f>
        <v>2200</v>
      </c>
      <c r="H2400" s="1004" t="n">
        <f aca="false">'Смета Внутр'!G2407</f>
        <v>0</v>
      </c>
      <c r="I2400" s="1004" t="n">
        <f aca="false">'Смета Внутр'!H2407</f>
        <v>0</v>
      </c>
      <c r="J2400" s="1018" t="n">
        <f aca="false">'Смета Внутр'!I2407</f>
        <v>0</v>
      </c>
    </row>
    <row r="2401" customFormat="false" ht="14.5" hidden="false" customHeight="false" outlineLevel="0" collapsed="false">
      <c r="B2401" s="1004" t="str">
        <f aca="false">'Смета Внутр'!B2408</f>
        <v>Манипулятор 5т</v>
      </c>
      <c r="C2401" s="1004" t="str">
        <f aca="false">'Смета Внутр'!C2408</f>
        <v>ед.</v>
      </c>
      <c r="D2401" s="1018" t="n">
        <f aca="false">'Смета Внутр'!D2408</f>
        <v>3</v>
      </c>
      <c r="E2401" s="1004" t="n">
        <f aca="false">'Смета Внутр'!E2408</f>
        <v>2500</v>
      </c>
      <c r="F2401" s="1004" t="n">
        <f aca="false">'Смета Внутр'!F2408</f>
        <v>0</v>
      </c>
      <c r="G2401" s="1004" t="n">
        <f aca="false">IF(E2401&gt;F2401,E2401,F2401)</f>
        <v>2500</v>
      </c>
      <c r="H2401" s="1004" t="n">
        <f aca="false">'Смета Внутр'!G2408</f>
        <v>0</v>
      </c>
      <c r="I2401" s="1004" t="n">
        <f aca="false">'Смета Внутр'!H2408</f>
        <v>0</v>
      </c>
      <c r="J2401" s="1018" t="n">
        <f aca="false">'Смета Внутр'!I2408</f>
        <v>0</v>
      </c>
    </row>
    <row r="2402" customFormat="false" ht="14.5" hidden="false" customHeight="false" outlineLevel="0" collapsed="false">
      <c r="B2402" s="1004" t="str">
        <f aca="false">'Смета Внутр'!B2409</f>
        <v>Нет техники</v>
      </c>
      <c r="C2402" s="1004" t="str">
        <f aca="false">'Смета Внутр'!C2409</f>
        <v>ед.</v>
      </c>
      <c r="D2402" s="1018" t="n">
        <f aca="false">'Смета Внутр'!D2409</f>
        <v>4</v>
      </c>
      <c r="E2402" s="1004" t="n">
        <f aca="false">'Смета Внутр'!E2409</f>
        <v>0</v>
      </c>
      <c r="F2402" s="1004" t="n">
        <f aca="false">'Смета Внутр'!F2409</f>
        <v>0</v>
      </c>
      <c r="G2402" s="1004" t="n">
        <f aca="false">IF(E2402&gt;F2402,E2402,F2402)</f>
        <v>0</v>
      </c>
      <c r="H2402" s="1004" t="n">
        <f aca="false">'Смета Внутр'!G2409</f>
        <v>0</v>
      </c>
      <c r="I2402" s="1004" t="n">
        <f aca="false">'Смета Внутр'!H2409</f>
        <v>0</v>
      </c>
      <c r="J2402" s="1018" t="n">
        <f aca="false">'Смета Внутр'!I2409</f>
        <v>0</v>
      </c>
    </row>
    <row r="2403" customFormat="false" ht="14.5" hidden="false" customHeight="false" outlineLevel="0" collapsed="false">
      <c r="B2403" s="1004" t="str">
        <f aca="false">'Смета Внутр'!B2410</f>
        <v>Нет техники</v>
      </c>
      <c r="C2403" s="1004" t="str">
        <f aca="false">'Смета Внутр'!C2410</f>
        <v>ед.</v>
      </c>
      <c r="D2403" s="1018" t="n">
        <f aca="false">'Смета Внутр'!D2410</f>
        <v>0</v>
      </c>
      <c r="E2403" s="1004" t="n">
        <f aca="false">'Смета Внутр'!E2410</f>
        <v>0</v>
      </c>
      <c r="F2403" s="1004" t="n">
        <f aca="false">'Смета Внутр'!F2410</f>
        <v>0</v>
      </c>
      <c r="G2403" s="1004" t="n">
        <f aca="false">IF(E2403&gt;F2403,E2403,F2403)</f>
        <v>0</v>
      </c>
      <c r="H2403" s="1004" t="n">
        <f aca="false">'Смета Внутр'!G2410</f>
        <v>0</v>
      </c>
      <c r="I2403" s="1004" t="n">
        <f aca="false">'Смета Внутр'!H2410</f>
        <v>0</v>
      </c>
      <c r="J2403" s="1018" t="n">
        <f aca="false">'Смета Внутр'!I2410</f>
        <v>0</v>
      </c>
    </row>
    <row r="2404" customFormat="false" ht="14.5" hidden="false" customHeight="false" outlineLevel="0" collapsed="false">
      <c r="B2404" s="1004" t="str">
        <f aca="false">'Смета Внутр'!B2411</f>
        <v>Нет техники</v>
      </c>
      <c r="C2404" s="1004" t="str">
        <f aca="false">'Смета Внутр'!C2411</f>
        <v>ед.</v>
      </c>
      <c r="D2404" s="1018" t="n">
        <f aca="false">'Смета Внутр'!D2411</f>
        <v>0</v>
      </c>
      <c r="E2404" s="1004" t="n">
        <f aca="false">'Смета Внутр'!E2411</f>
        <v>0</v>
      </c>
      <c r="F2404" s="1004" t="n">
        <f aca="false">'Смета Внутр'!F2411</f>
        <v>0</v>
      </c>
      <c r="G2404" s="1004" t="n">
        <f aca="false">IF(E2404&gt;F2404,E2404,F2404)</f>
        <v>0</v>
      </c>
      <c r="H2404" s="1004" t="n">
        <f aca="false">'Смета Внутр'!G2411</f>
        <v>0</v>
      </c>
      <c r="I2404" s="1004" t="n">
        <f aca="false">'Смета Внутр'!H2411</f>
        <v>0</v>
      </c>
      <c r="J2404" s="1018" t="n">
        <f aca="false">'Смета Внутр'!I2411</f>
        <v>0</v>
      </c>
    </row>
    <row r="2405" customFormat="false" ht="14.5" hidden="false" customHeight="false" outlineLevel="0" collapsed="false">
      <c r="B2405" s="1004" t="str">
        <f aca="false">'Смета Внутр'!B2412</f>
        <v>Нет техники</v>
      </c>
      <c r="C2405" s="1004" t="str">
        <f aca="false">'Смета Внутр'!C2412</f>
        <v>ед.</v>
      </c>
      <c r="D2405" s="1018" t="n">
        <f aca="false">'Смета Внутр'!D2412</f>
        <v>0</v>
      </c>
      <c r="E2405" s="1004" t="n">
        <f aca="false">'Смета Внутр'!E2412</f>
        <v>0</v>
      </c>
      <c r="F2405" s="1004" t="n">
        <f aca="false">'Смета Внутр'!F2412</f>
        <v>0</v>
      </c>
      <c r="G2405" s="1004" t="n">
        <f aca="false">IF(E2405&gt;F2405,E2405,F2405)</f>
        <v>0</v>
      </c>
      <c r="H2405" s="1004" t="n">
        <f aca="false">'Смета Внутр'!G2412</f>
        <v>0</v>
      </c>
      <c r="I2405" s="1004" t="n">
        <f aca="false">'Смета Внутр'!H2412</f>
        <v>0</v>
      </c>
      <c r="J2405" s="1018" t="n">
        <f aca="false">'Смета Внутр'!I2412</f>
        <v>0</v>
      </c>
    </row>
    <row r="2406" customFormat="false" ht="14.5" hidden="false" customHeight="false" outlineLevel="0" collapsed="false">
      <c r="B2406" s="1004" t="str">
        <f aca="false">'Смета Внутр'!B2413</f>
        <v>Нет техники</v>
      </c>
      <c r="C2406" s="1004" t="str">
        <f aca="false">'Смета Внутр'!C2413</f>
        <v>ед.</v>
      </c>
      <c r="D2406" s="1018" t="n">
        <f aca="false">'Смета Внутр'!D2413</f>
        <v>4</v>
      </c>
      <c r="E2406" s="1004" t="n">
        <f aca="false">'Смета Внутр'!E2413</f>
        <v>0</v>
      </c>
      <c r="F2406" s="1004" t="n">
        <f aca="false">'Смета Внутр'!F2413</f>
        <v>0</v>
      </c>
      <c r="G2406" s="1004" t="n">
        <f aca="false">IF(E2406&gt;F2406,E2406,F2406)</f>
        <v>0</v>
      </c>
      <c r="H2406" s="1004" t="n">
        <f aca="false">'Смета Внутр'!G2413</f>
        <v>0</v>
      </c>
      <c r="I2406" s="1004" t="n">
        <f aca="false">'Смета Внутр'!H2413</f>
        <v>0</v>
      </c>
      <c r="J2406" s="1018" t="n">
        <f aca="false">'Смета Внутр'!I2413</f>
        <v>0</v>
      </c>
    </row>
    <row r="2407" customFormat="false" ht="14.5" hidden="false" customHeight="false" outlineLevel="0" collapsed="false">
      <c r="B2407" s="1004" t="str">
        <f aca="false">'Смета Внутр'!B2414</f>
        <v>Нет техники</v>
      </c>
      <c r="C2407" s="1004" t="str">
        <f aca="false">'Смета Внутр'!C2414</f>
        <v>ед.</v>
      </c>
      <c r="D2407" s="1018" t="n">
        <f aca="false">'Смета Внутр'!D2414</f>
        <v>0</v>
      </c>
      <c r="E2407" s="1004" t="n">
        <f aca="false">'Смета Внутр'!E2414</f>
        <v>0</v>
      </c>
      <c r="F2407" s="1004" t="n">
        <f aca="false">'Смета Внутр'!F2414</f>
        <v>0</v>
      </c>
      <c r="G2407" s="1004" t="n">
        <f aca="false">IF(E2407&gt;F2407,E2407,F2407)</f>
        <v>0</v>
      </c>
      <c r="H2407" s="1004" t="n">
        <f aca="false">'Смета Внутр'!G2414</f>
        <v>0</v>
      </c>
      <c r="I2407" s="1004" t="n">
        <f aca="false">'Смета Внутр'!H2414</f>
        <v>0</v>
      </c>
      <c r="J2407" s="1018" t="n">
        <f aca="false">'Смета Внутр'!I2414</f>
        <v>0</v>
      </c>
    </row>
    <row r="2408" customFormat="false" ht="14.5" hidden="false" customHeight="false" outlineLevel="0" collapsed="false">
      <c r="B2408" s="1004" t="str">
        <f aca="false">'Смета Внутр'!B2415</f>
        <v>Вывоз мусора, камаз</v>
      </c>
      <c r="C2408" s="1004" t="str">
        <f aca="false">'Смета Внутр'!C2415</f>
        <v>ед.</v>
      </c>
      <c r="D2408" s="1018" t="n">
        <f aca="false">'Смета Внутр'!D2415</f>
        <v>4</v>
      </c>
      <c r="E2408" s="1004" t="n">
        <f aca="false">'Смета Внутр'!E2415</f>
        <v>2000</v>
      </c>
      <c r="F2408" s="1004" t="n">
        <f aca="false">'Смета Внутр'!F2415</f>
        <v>0</v>
      </c>
      <c r="G2408" s="1004" t="n">
        <f aca="false">IF(E2408&gt;F2408,E2408,F2408)</f>
        <v>2000</v>
      </c>
      <c r="H2408" s="1004" t="n">
        <f aca="false">'Смета Внутр'!G2415</f>
        <v>0</v>
      </c>
      <c r="I2408" s="1004" t="n">
        <f aca="false">'Смета Внутр'!H2415</f>
        <v>0</v>
      </c>
      <c r="J2408" s="1018" t="n">
        <f aca="false">'Смета Внутр'!I2415</f>
        <v>0</v>
      </c>
    </row>
    <row r="2409" customFormat="false" ht="14.5" hidden="false" customHeight="false" outlineLevel="0" collapsed="false">
      <c r="B2409" s="1004" t="str">
        <f aca="false">'Смета Внутр'!B2417</f>
        <v>Экскаватор погрузчик, бурение</v>
      </c>
      <c r="C2409" s="1004" t="str">
        <f aca="false">'Смета Внутр'!C2417</f>
        <v>час</v>
      </c>
      <c r="D2409" s="1018" t="n">
        <f aca="false">'Смета Внутр'!D2417</f>
        <v>4</v>
      </c>
      <c r="E2409" s="1004" t="n">
        <f aca="false">'Смета Внутр'!E2417</f>
        <v>300</v>
      </c>
      <c r="F2409" s="1004" t="n">
        <f aca="false">'Смета Внутр'!F2417</f>
        <v>0</v>
      </c>
      <c r="G2409" s="1004" t="n">
        <f aca="false">IF(E2409&gt;F2409,E2409,F2409)</f>
        <v>300</v>
      </c>
      <c r="H2409" s="1004" t="n">
        <f aca="false">'Смета Внутр'!G2417</f>
        <v>0</v>
      </c>
      <c r="I2409" s="1004" t="n">
        <f aca="false">'Смета Внутр'!H2417</f>
        <v>0</v>
      </c>
      <c r="J2409" s="1018" t="n">
        <f aca="false">'Смета Внутр'!I2417</f>
        <v>0</v>
      </c>
    </row>
    <row r="2410" customFormat="false" ht="14.5" hidden="false" customHeight="false" outlineLevel="0" collapsed="false">
      <c r="B2410" s="1004" t="str">
        <f aca="false">'Смета Внутр'!B2418</f>
        <v>Нет техники</v>
      </c>
      <c r="C2410" s="1004" t="str">
        <f aca="false">'Смета Внутр'!C2418</f>
        <v>ед.</v>
      </c>
      <c r="D2410" s="1018" t="n">
        <f aca="false">'Смета Внутр'!D2418</f>
        <v>4</v>
      </c>
      <c r="E2410" s="1004" t="n">
        <f aca="false">'Смета Внутр'!E2418</f>
        <v>0</v>
      </c>
      <c r="F2410" s="1004" t="n">
        <f aca="false">'Смета Внутр'!F2418</f>
        <v>0</v>
      </c>
      <c r="G2410" s="1004" t="n">
        <f aca="false">IF(E2410&gt;F2410,E2410,F2410)</f>
        <v>0</v>
      </c>
      <c r="H2410" s="1004" t="n">
        <f aca="false">'Смета Внутр'!G2418</f>
        <v>0</v>
      </c>
      <c r="I2410" s="1004" t="n">
        <f aca="false">'Смета Внутр'!H2418</f>
        <v>0</v>
      </c>
      <c r="J2410" s="1018" t="n">
        <f aca="false">'Смета Внутр'!I2418</f>
        <v>0</v>
      </c>
    </row>
    <row r="2411" customFormat="false" ht="14.5" hidden="false" customHeight="false" outlineLevel="0" collapsed="false">
      <c r="B2411" s="1004" t="str">
        <f aca="false">'Смета Внутр'!B2419</f>
        <v>Нет техники</v>
      </c>
      <c r="C2411" s="1004" t="str">
        <f aca="false">'Смета Внутр'!C2419</f>
        <v>ед.</v>
      </c>
      <c r="D2411" s="1018" t="n">
        <f aca="false">'Смета Внутр'!D2419</f>
        <v>0</v>
      </c>
      <c r="E2411" s="1004" t="n">
        <f aca="false">'Смета Внутр'!E2419</f>
        <v>0</v>
      </c>
      <c r="F2411" s="1004" t="n">
        <f aca="false">'Смета Внутр'!F2419</f>
        <v>0</v>
      </c>
      <c r="G2411" s="1004" t="n">
        <f aca="false">IF(E2411&gt;F2411,E2411,F2411)</f>
        <v>0</v>
      </c>
      <c r="H2411" s="1004" t="n">
        <f aca="false">'Смета Внутр'!G2419</f>
        <v>0</v>
      </c>
      <c r="I2411" s="1004" t="n">
        <f aca="false">'Смета Внутр'!H2419</f>
        <v>0</v>
      </c>
      <c r="J2411" s="1018" t="n">
        <f aca="false">'Смета Внутр'!I2419</f>
        <v>0</v>
      </c>
    </row>
    <row r="2412" customFormat="false" ht="14.5" hidden="false" customHeight="false" outlineLevel="0" collapsed="false">
      <c r="B2412" s="1004" t="str">
        <f aca="false">'Смета Внутр'!B2420</f>
        <v>Нет техники</v>
      </c>
      <c r="C2412" s="1004" t="str">
        <f aca="false">'Смета Внутр'!C2420</f>
        <v>ед.</v>
      </c>
      <c r="D2412" s="1018" t="n">
        <f aca="false">'Смета Внутр'!D2420</f>
        <v>1</v>
      </c>
      <c r="E2412" s="1004" t="n">
        <f aca="false">'Смета Внутр'!E2420</f>
        <v>0</v>
      </c>
      <c r="F2412" s="1004" t="n">
        <f aca="false">'Смета Внутр'!F2420</f>
        <v>0</v>
      </c>
      <c r="G2412" s="1004" t="n">
        <f aca="false">IF(E2412&gt;F2412,E2412,F2412)</f>
        <v>0</v>
      </c>
      <c r="H2412" s="1004" t="n">
        <f aca="false">'Смета Внутр'!G2420</f>
        <v>0</v>
      </c>
      <c r="I2412" s="1004" t="n">
        <f aca="false">'Смета Внутр'!H2420</f>
        <v>0</v>
      </c>
      <c r="J2412" s="1018" t="n">
        <f aca="false">'Смета Внутр'!I2420</f>
        <v>0</v>
      </c>
    </row>
    <row r="2413" customFormat="false" ht="14.5" hidden="false" customHeight="false" outlineLevel="0" collapsed="false">
      <c r="B2413" s="1004" t="str">
        <f aca="false">'Смета Внутр'!B2421</f>
        <v>Нет техники</v>
      </c>
      <c r="C2413" s="1004" t="str">
        <f aca="false">'Смета Внутр'!C2421</f>
        <v>ед.</v>
      </c>
      <c r="D2413" s="1018" t="n">
        <f aca="false">'Смета Внутр'!D2421</f>
        <v>0</v>
      </c>
      <c r="E2413" s="1004" t="n">
        <f aca="false">'Смета Внутр'!E2421</f>
        <v>0</v>
      </c>
      <c r="F2413" s="1004" t="n">
        <f aca="false">'Смета Внутр'!F2421</f>
        <v>0</v>
      </c>
      <c r="G2413" s="1004" t="n">
        <f aca="false">IF(E2413&gt;F2413,E2413,F2413)</f>
        <v>0</v>
      </c>
      <c r="H2413" s="1004" t="n">
        <f aca="false">'Смета Внутр'!G2421</f>
        <v>0</v>
      </c>
      <c r="I2413" s="1004" t="n">
        <f aca="false">'Смета Внутр'!H2421</f>
        <v>0</v>
      </c>
      <c r="J2413" s="1018" t="n">
        <f aca="false">'Смета Внутр'!I2421</f>
        <v>0</v>
      </c>
    </row>
    <row r="2414" customFormat="false" ht="14.5" hidden="false" customHeight="false" outlineLevel="0" collapsed="false">
      <c r="B2414" s="1004" t="str">
        <f aca="false">'Смета Внутр'!B2422</f>
        <v>Нет техники</v>
      </c>
      <c r="C2414" s="1004" t="str">
        <f aca="false">'Смета Внутр'!C2422</f>
        <v>ед.</v>
      </c>
      <c r="D2414" s="1018" t="n">
        <f aca="false">'Смета Внутр'!D2422</f>
        <v>0</v>
      </c>
      <c r="E2414" s="1004" t="n">
        <f aca="false">'Смета Внутр'!E2422</f>
        <v>0</v>
      </c>
      <c r="F2414" s="1004" t="n">
        <f aca="false">'Смета Внутр'!F2422</f>
        <v>0</v>
      </c>
      <c r="G2414" s="1004" t="n">
        <f aca="false">IF(E2414&gt;F2414,E2414,F2414)</f>
        <v>0</v>
      </c>
      <c r="H2414" s="1004" t="n">
        <f aca="false">'Смета Внутр'!G2422</f>
        <v>0</v>
      </c>
      <c r="I2414" s="1004" t="n">
        <f aca="false">'Смета Внутр'!H2422</f>
        <v>0</v>
      </c>
      <c r="J2414" s="1018" t="n">
        <f aca="false">'Смета Внутр'!I2422</f>
        <v>0</v>
      </c>
    </row>
    <row r="2415" customFormat="false" ht="14.5" hidden="false" customHeight="false" outlineLevel="0" collapsed="false">
      <c r="B2415" s="1004" t="str">
        <f aca="false">'Смета Внутр'!B2423</f>
        <v>Нет техники</v>
      </c>
      <c r="C2415" s="1004" t="str">
        <f aca="false">'Смета Внутр'!C2423</f>
        <v>ед.</v>
      </c>
      <c r="D2415" s="1018" t="n">
        <f aca="false">'Смета Внутр'!D2423</f>
        <v>0</v>
      </c>
      <c r="E2415" s="1004" t="n">
        <f aca="false">'Смета Внутр'!E2423</f>
        <v>0</v>
      </c>
      <c r="F2415" s="1004" t="n">
        <f aca="false">'Смета Внутр'!F2423</f>
        <v>0</v>
      </c>
      <c r="G2415" s="1004" t="n">
        <f aca="false">IF(E2415&gt;F2415,E2415,F2415)</f>
        <v>0</v>
      </c>
      <c r="H2415" s="1004" t="n">
        <f aca="false">'Смета Внутр'!G2423</f>
        <v>0</v>
      </c>
      <c r="I2415" s="1004" t="n">
        <f aca="false">'Смета Внутр'!H2423</f>
        <v>0</v>
      </c>
      <c r="J2415" s="1018" t="n">
        <f aca="false">'Смета Внутр'!I2423</f>
        <v>0</v>
      </c>
    </row>
    <row r="2416" customFormat="false" ht="14.5" hidden="false" customHeight="false" outlineLevel="0" collapsed="false">
      <c r="B2416" s="1004" t="str">
        <f aca="false">'Смета Внутр'!B2424</f>
        <v>Нет техники</v>
      </c>
      <c r="C2416" s="1004" t="str">
        <f aca="false">'Смета Внутр'!C2424</f>
        <v>ед.</v>
      </c>
      <c r="D2416" s="1018" t="n">
        <f aca="false">'Смета Внутр'!D2424</f>
        <v>3</v>
      </c>
      <c r="E2416" s="1004" t="n">
        <f aca="false">'Смета Внутр'!E2424</f>
        <v>0</v>
      </c>
      <c r="F2416" s="1004" t="n">
        <f aca="false">'Смета Внутр'!F2424</f>
        <v>0</v>
      </c>
      <c r="G2416" s="1004" t="n">
        <f aca="false">IF(E2416&gt;F2416,E2416,F2416)</f>
        <v>0</v>
      </c>
      <c r="H2416" s="1004" t="n">
        <f aca="false">'Смета Внутр'!G2424</f>
        <v>0</v>
      </c>
      <c r="I2416" s="1004" t="n">
        <f aca="false">'Смета Внутр'!H2424</f>
        <v>0</v>
      </c>
      <c r="J2416" s="1018" t="n">
        <f aca="false">'Смета Внутр'!I2424</f>
        <v>0</v>
      </c>
    </row>
    <row r="2417" customFormat="false" ht="14.5" hidden="false" customHeight="false" outlineLevel="0" collapsed="false">
      <c r="B2417" s="1004" t="str">
        <f aca="false">'Смета Внутр'!B2425</f>
        <v>Нет техники</v>
      </c>
      <c r="C2417" s="1004" t="str">
        <f aca="false">'Смета Внутр'!C2425</f>
        <v>ед.</v>
      </c>
      <c r="D2417" s="1018" t="n">
        <f aca="false">'Смета Внутр'!D2425</f>
        <v>0</v>
      </c>
      <c r="E2417" s="1004" t="n">
        <f aca="false">'Смета Внутр'!E2425</f>
        <v>0</v>
      </c>
      <c r="F2417" s="1004" t="n">
        <f aca="false">'Смета Внутр'!F2425</f>
        <v>0</v>
      </c>
      <c r="G2417" s="1004" t="n">
        <f aca="false">IF(E2417&gt;F2417,E2417,F2417)</f>
        <v>0</v>
      </c>
      <c r="H2417" s="1004" t="n">
        <f aca="false">'Смета Внутр'!G2425</f>
        <v>0</v>
      </c>
      <c r="I2417" s="1004" t="n">
        <f aca="false">'Смета Внутр'!H2425</f>
        <v>0</v>
      </c>
      <c r="J2417" s="1018" t="n">
        <f aca="false">'Смета Внутр'!I2425</f>
        <v>0</v>
      </c>
    </row>
    <row r="2418" customFormat="false" ht="14.5" hidden="false" customHeight="false" outlineLevel="0" collapsed="false">
      <c r="B2418" s="1004" t="str">
        <f aca="false">'Смета Внутр'!B2426</f>
        <v>Нет техники</v>
      </c>
      <c r="C2418" s="1004" t="str">
        <f aca="false">'Смета Внутр'!C2426</f>
        <v>ед.</v>
      </c>
      <c r="D2418" s="1018" t="n">
        <f aca="false">'Смета Внутр'!D2426</f>
        <v>3</v>
      </c>
      <c r="E2418" s="1004" t="n">
        <f aca="false">'Смета Внутр'!E2426</f>
        <v>0</v>
      </c>
      <c r="F2418" s="1004" t="n">
        <f aca="false">'Смета Внутр'!F2426</f>
        <v>0</v>
      </c>
      <c r="G2418" s="1004" t="n">
        <f aca="false">IF(E2418&gt;F2418,E2418,F2418)</f>
        <v>0</v>
      </c>
      <c r="H2418" s="1004" t="n">
        <f aca="false">'Смета Внутр'!G2426</f>
        <v>0</v>
      </c>
      <c r="I2418" s="1004" t="n">
        <f aca="false">'Смета Внутр'!H2426</f>
        <v>0</v>
      </c>
      <c r="J2418" s="1018" t="n">
        <f aca="false">'Смета Внутр'!I2426</f>
        <v>0</v>
      </c>
    </row>
    <row r="2419" customFormat="false" ht="14.5" hidden="false" customHeight="false" outlineLevel="0" collapsed="false">
      <c r="B2419" s="1004" t="str">
        <f aca="false">'Смета Внутр'!B2427</f>
        <v>Нет техники</v>
      </c>
      <c r="C2419" s="1004" t="str">
        <f aca="false">'Смета Внутр'!C2427</f>
        <v>ед.</v>
      </c>
      <c r="D2419" s="1018" t="n">
        <f aca="false">'Смета Внутр'!D2427</f>
        <v>0</v>
      </c>
      <c r="E2419" s="1004" t="n">
        <f aca="false">'Смета Внутр'!E2427</f>
        <v>0</v>
      </c>
      <c r="F2419" s="1004" t="n">
        <f aca="false">'Смета Внутр'!F2427</f>
        <v>0</v>
      </c>
      <c r="G2419" s="1004" t="n">
        <f aca="false">IF(E2419&gt;F2419,E2419,F2419)</f>
        <v>0</v>
      </c>
      <c r="H2419" s="1004" t="n">
        <f aca="false">'Смета Внутр'!G2427</f>
        <v>0</v>
      </c>
      <c r="I2419" s="1004" t="n">
        <f aca="false">'Смета Внутр'!H2427</f>
        <v>0</v>
      </c>
      <c r="J2419" s="1018" t="n">
        <f aca="false">'Смета Внутр'!I2427</f>
        <v>0</v>
      </c>
    </row>
    <row r="2420" customFormat="false" ht="14.5" hidden="false" customHeight="false" outlineLevel="0" collapsed="false">
      <c r="B2420" s="1004" t="str">
        <f aca="false">'Смета Внутр'!B2428</f>
        <v>Нет техники</v>
      </c>
      <c r="C2420" s="1004" t="str">
        <f aca="false">'Смета Внутр'!C2428</f>
        <v>ед.</v>
      </c>
      <c r="D2420" s="1018" t="n">
        <f aca="false">'Смета Внутр'!D2428</f>
        <v>0</v>
      </c>
      <c r="E2420" s="1004" t="n">
        <f aca="false">'Смета Внутр'!E2428</f>
        <v>0</v>
      </c>
      <c r="F2420" s="1004" t="n">
        <f aca="false">'Смета Внутр'!F2428</f>
        <v>0</v>
      </c>
      <c r="G2420" s="1004" t="n">
        <f aca="false">IF(E2420&gt;F2420,E2420,F2420)</f>
        <v>0</v>
      </c>
      <c r="H2420" s="1004" t="n">
        <f aca="false">'Смета Внутр'!G2428</f>
        <v>0</v>
      </c>
      <c r="I2420" s="1004" t="n">
        <f aca="false">'Смета Внутр'!H2428</f>
        <v>0</v>
      </c>
      <c r="J2420" s="1018" t="n">
        <f aca="false">'Смета Внутр'!I2428</f>
        <v>0</v>
      </c>
    </row>
    <row r="2421" customFormat="false" ht="14.5" hidden="false" customHeight="false" outlineLevel="0" collapsed="false">
      <c r="B2421" s="1004" t="str">
        <f aca="false">'Смета Внутр'!B2429</f>
        <v>Нет техники</v>
      </c>
      <c r="C2421" s="1004" t="str">
        <f aca="false">'Смета Внутр'!C2429</f>
        <v>ед.</v>
      </c>
      <c r="D2421" s="1018" t="n">
        <f aca="false">'Смета Внутр'!D2429</f>
        <v>0</v>
      </c>
      <c r="E2421" s="1004" t="n">
        <f aca="false">'Смета Внутр'!E2429</f>
        <v>0</v>
      </c>
      <c r="F2421" s="1004" t="n">
        <f aca="false">'Смета Внутр'!F2429</f>
        <v>0</v>
      </c>
      <c r="G2421" s="1004" t="n">
        <f aca="false">IF(E2421&gt;F2421,E2421,F2421)</f>
        <v>0</v>
      </c>
      <c r="H2421" s="1004" t="n">
        <f aca="false">'Смета Внутр'!G2429</f>
        <v>0</v>
      </c>
      <c r="I2421" s="1004" t="n">
        <f aca="false">'Смета Внутр'!H2429</f>
        <v>0</v>
      </c>
      <c r="J2421" s="1018" t="n">
        <f aca="false">'Смета Внутр'!I2429</f>
        <v>0</v>
      </c>
    </row>
    <row r="2422" customFormat="false" ht="14.5" hidden="false" customHeight="false" outlineLevel="0" collapsed="false">
      <c r="B2422" s="1004" t="str">
        <f aca="false">'Смета Внутр'!B2430</f>
        <v>Нет техники</v>
      </c>
      <c r="C2422" s="1004" t="str">
        <f aca="false">'Смета Внутр'!C2430</f>
        <v>ед.</v>
      </c>
      <c r="D2422" s="1018" t="n">
        <f aca="false">'Смета Внутр'!D2430</f>
        <v>0</v>
      </c>
      <c r="E2422" s="1004" t="n">
        <f aca="false">'Смета Внутр'!E2430</f>
        <v>0</v>
      </c>
      <c r="F2422" s="1004" t="n">
        <f aca="false">'Смета Внутр'!F2430</f>
        <v>0</v>
      </c>
      <c r="G2422" s="1004" t="n">
        <f aca="false">IF(E2422&gt;F2422,E2422,F2422)</f>
        <v>0</v>
      </c>
      <c r="H2422" s="1004" t="n">
        <f aca="false">'Смета Внутр'!G2430</f>
        <v>0</v>
      </c>
      <c r="I2422" s="1004" t="n">
        <f aca="false">'Смета Внутр'!H2430</f>
        <v>0</v>
      </c>
      <c r="J2422" s="1018" t="n">
        <f aca="false">'Смета Внутр'!I2430</f>
        <v>0</v>
      </c>
    </row>
    <row r="2423" customFormat="false" ht="14.5" hidden="false" customHeight="false" outlineLevel="0" collapsed="false">
      <c r="B2423" s="1004" t="str">
        <f aca="false">'Смета Внутр'!B2431</f>
        <v>Нет техники</v>
      </c>
      <c r="C2423" s="1004" t="str">
        <f aca="false">'Смета Внутр'!C2431</f>
        <v>ед.</v>
      </c>
      <c r="D2423" s="1018" t="n">
        <f aca="false">'Смета Внутр'!D2431</f>
        <v>0</v>
      </c>
      <c r="E2423" s="1004" t="n">
        <f aca="false">'Смета Внутр'!E2431</f>
        <v>0</v>
      </c>
      <c r="F2423" s="1004" t="n">
        <f aca="false">'Смета Внутр'!F2431</f>
        <v>0</v>
      </c>
      <c r="G2423" s="1004" t="n">
        <f aca="false">IF(E2423&gt;F2423,E2423,F2423)</f>
        <v>0</v>
      </c>
      <c r="H2423" s="1004" t="n">
        <f aca="false">'Смета Внутр'!G2431</f>
        <v>0</v>
      </c>
      <c r="I2423" s="1004" t="n">
        <f aca="false">'Смета Внутр'!H2431</f>
        <v>0</v>
      </c>
      <c r="J2423" s="1018" t="n">
        <f aca="false">'Смета Внутр'!I2431</f>
        <v>0</v>
      </c>
    </row>
    <row r="2424" customFormat="false" ht="14.5" hidden="false" customHeight="false" outlineLevel="0" collapsed="false">
      <c r="B2424" s="1004" t="str">
        <f aca="false">'Смета Внутр'!B2432</f>
        <v>Нет техники</v>
      </c>
      <c r="C2424" s="1004" t="str">
        <f aca="false">'Смета Внутр'!C2432</f>
        <v>ед.</v>
      </c>
      <c r="D2424" s="1018" t="n">
        <f aca="false">'Смета Внутр'!D2432</f>
        <v>0</v>
      </c>
      <c r="E2424" s="1004" t="n">
        <f aca="false">'Смета Внутр'!E2432</f>
        <v>0</v>
      </c>
      <c r="F2424" s="1004" t="n">
        <f aca="false">'Смета Внутр'!F2432</f>
        <v>0</v>
      </c>
      <c r="G2424" s="1004" t="n">
        <f aca="false">IF(E2424&gt;F2424,E2424,F2424)</f>
        <v>0</v>
      </c>
      <c r="H2424" s="1004" t="n">
        <f aca="false">'Смета Внутр'!G2432</f>
        <v>0</v>
      </c>
      <c r="I2424" s="1004" t="n">
        <f aca="false">'Смета Внутр'!H2432</f>
        <v>0</v>
      </c>
      <c r="J2424" s="1018" t="n">
        <f aca="false">'Смета Внутр'!I2432</f>
        <v>0</v>
      </c>
    </row>
    <row r="2425" customFormat="false" ht="14.5" hidden="false" customHeight="false" outlineLevel="0" collapsed="false">
      <c r="B2425" s="1004" t="str">
        <f aca="false">'Смета Внутр'!B2433</f>
        <v>Экскаватор погрузчик, бурение</v>
      </c>
      <c r="C2425" s="1004" t="str">
        <f aca="false">'Смета Внутр'!C2433</f>
        <v>ед.</v>
      </c>
      <c r="D2425" s="1018" t="n">
        <f aca="false">'Смета Внутр'!D2433</f>
        <v>0</v>
      </c>
      <c r="E2425" s="1004" t="n">
        <f aca="false">'Смета Внутр'!E2433</f>
        <v>300</v>
      </c>
      <c r="F2425" s="1004" t="n">
        <f aca="false">'Смета Внутр'!F2433</f>
        <v>0</v>
      </c>
      <c r="G2425" s="1004" t="n">
        <f aca="false">IF(E2425&gt;F2425,E2425,F2425)</f>
        <v>300</v>
      </c>
      <c r="H2425" s="1004" t="n">
        <f aca="false">'Смета Внутр'!G2433</f>
        <v>0</v>
      </c>
      <c r="I2425" s="1004" t="n">
        <f aca="false">'Смета Внутр'!H2433</f>
        <v>0</v>
      </c>
      <c r="J2425" s="1018" t="n">
        <f aca="false">'Смета Внутр'!I2433</f>
        <v>0</v>
      </c>
    </row>
    <row r="2426" customFormat="false" ht="14.5" hidden="false" customHeight="false" outlineLevel="0" collapsed="false">
      <c r="B2426" s="1004" t="str">
        <f aca="false">'Смета Внутр'!B2434</f>
        <v>Нет техники</v>
      </c>
      <c r="C2426" s="1004" t="str">
        <f aca="false">'Смета Внутр'!C2434</f>
        <v>ед.</v>
      </c>
      <c r="D2426" s="1018" t="n">
        <f aca="false">'Смета Внутр'!D2434</f>
        <v>0</v>
      </c>
      <c r="E2426" s="1004" t="n">
        <f aca="false">'Смета Внутр'!E2434</f>
        <v>0</v>
      </c>
      <c r="F2426" s="1004" t="n">
        <f aca="false">'Смета Внутр'!F2434</f>
        <v>0</v>
      </c>
      <c r="G2426" s="1004" t="n">
        <f aca="false">IF(E2426&gt;F2426,E2426,F2426)</f>
        <v>0</v>
      </c>
      <c r="H2426" s="1004" t="n">
        <f aca="false">'Смета Внутр'!G2434</f>
        <v>0</v>
      </c>
      <c r="I2426" s="1004" t="n">
        <f aca="false">'Смета Внутр'!H2434</f>
        <v>0</v>
      </c>
      <c r="J2426" s="1018" t="n">
        <f aca="false">'Смета Внутр'!I2434</f>
        <v>0</v>
      </c>
    </row>
    <row r="2427" customFormat="false" ht="14.5" hidden="false" customHeight="false" outlineLevel="0" collapsed="false">
      <c r="B2427" s="1004" t="str">
        <f aca="false">'Смета Внутр'!B2435</f>
        <v>Нет техники</v>
      </c>
      <c r="C2427" s="1004" t="n">
        <f aca="false">'Смета Внутр'!C2435</f>
        <v>0</v>
      </c>
      <c r="D2427" s="1018" t="n">
        <f aca="false">'Смета Внутр'!D2435</f>
        <v>2</v>
      </c>
      <c r="E2427" s="1004" t="n">
        <f aca="false">'Смета Внутр'!E2435</f>
        <v>0</v>
      </c>
      <c r="F2427" s="1004" t="n">
        <f aca="false">'Смета Внутр'!F2435</f>
        <v>0</v>
      </c>
      <c r="G2427" s="1004" t="n">
        <f aca="false">IF(E2427&gt;F2427,E2427,F2427)</f>
        <v>0</v>
      </c>
      <c r="H2427" s="1004" t="n">
        <f aca="false">'Смета Внутр'!G2435</f>
        <v>0</v>
      </c>
      <c r="I2427" s="1004" t="n">
        <f aca="false">'Смета Внутр'!H2435</f>
        <v>0</v>
      </c>
      <c r="J2427" s="1018" t="n">
        <f aca="false">'Смета Внутр'!I2435</f>
        <v>0</v>
      </c>
    </row>
    <row r="2428" customFormat="false" ht="14.5" hidden="false" customHeight="false" outlineLevel="0" collapsed="false">
      <c r="B2428" s="1004" t="str">
        <f aca="false">'Смета Внутр'!B2436</f>
        <v>Нет техники</v>
      </c>
      <c r="C2428" s="1004" t="n">
        <f aca="false">'Смета Внутр'!C2436</f>
        <v>0</v>
      </c>
      <c r="D2428" s="1018" t="n">
        <f aca="false">'Смета Внутр'!D2436</f>
        <v>2</v>
      </c>
      <c r="E2428" s="1004" t="n">
        <f aca="false">'Смета Внутр'!E2436</f>
        <v>0</v>
      </c>
      <c r="F2428" s="1004" t="n">
        <f aca="false">'Смета Внутр'!F2436</f>
        <v>0</v>
      </c>
      <c r="G2428" s="1004" t="n">
        <f aca="false">IF(E2428&gt;F2428,E2428,F2428)</f>
        <v>0</v>
      </c>
      <c r="H2428" s="1004" t="n">
        <f aca="false">'Смета Внутр'!G2436</f>
        <v>0</v>
      </c>
      <c r="I2428" s="1004" t="n">
        <f aca="false">'Смета Внутр'!H2436</f>
        <v>0</v>
      </c>
      <c r="J2428" s="1018" t="n">
        <f aca="false">'Смета Внутр'!I2436</f>
        <v>0</v>
      </c>
    </row>
    <row r="2429" customFormat="false" ht="14.5" hidden="false" customHeight="false" outlineLevel="0" collapsed="false">
      <c r="B2429" s="1004" t="str">
        <f aca="false">'Смета Внутр'!B2437</f>
        <v>Нет техники</v>
      </c>
      <c r="C2429" s="1004" t="str">
        <f aca="false">'Смета Внутр'!C2437</f>
        <v>час</v>
      </c>
      <c r="D2429" s="1018" t="n">
        <f aca="false">'Смета Внутр'!D2437</f>
        <v>0</v>
      </c>
      <c r="E2429" s="1004" t="n">
        <f aca="false">'Смета Внутр'!E2437</f>
        <v>0</v>
      </c>
      <c r="F2429" s="1004" t="n">
        <f aca="false">'Смета Внутр'!F2437</f>
        <v>0</v>
      </c>
      <c r="G2429" s="1004" t="n">
        <f aca="false">IF(E2429&gt;F2429,E2429,F2429)</f>
        <v>0</v>
      </c>
      <c r="H2429" s="1004" t="n">
        <f aca="false">'Смета Внутр'!G2437</f>
        <v>0</v>
      </c>
      <c r="I2429" s="1004" t="n">
        <f aca="false">'Смета Внутр'!H2437</f>
        <v>0</v>
      </c>
      <c r="J2429" s="1018" t="n">
        <f aca="false">'Смета Внутр'!I2437</f>
        <v>0</v>
      </c>
    </row>
    <row r="2430" customFormat="false" ht="14.5" hidden="false" customHeight="false" outlineLevel="0" collapsed="false">
      <c r="B2430" s="1004" t="str">
        <f aca="false">'Смета Внутр'!B2438</f>
        <v>Нет техники</v>
      </c>
      <c r="C2430" s="1004" t="str">
        <f aca="false">'Смета Внутр'!C2438</f>
        <v>шт.</v>
      </c>
      <c r="D2430" s="1018" t="n">
        <f aca="false">'Смета Внутр'!D2438</f>
        <v>3</v>
      </c>
      <c r="E2430" s="1004" t="n">
        <f aca="false">'Смета Внутр'!E2438</f>
        <v>0</v>
      </c>
      <c r="F2430" s="1004" t="n">
        <f aca="false">'Смета Внутр'!F2438</f>
        <v>0</v>
      </c>
      <c r="G2430" s="1004" t="n">
        <f aca="false">IF(E2430&gt;F2430,E2430,F2430)</f>
        <v>0</v>
      </c>
      <c r="H2430" s="1004" t="n">
        <f aca="false">'Смета Внутр'!G2438</f>
        <v>0</v>
      </c>
      <c r="I2430" s="1004" t="n">
        <f aca="false">'Смета Внутр'!H2438</f>
        <v>0</v>
      </c>
      <c r="J2430" s="1018" t="n">
        <f aca="false">'Смета Внутр'!I2438</f>
        <v>0</v>
      </c>
    </row>
    <row r="2431" customFormat="false" ht="14.5" hidden="false" customHeight="false" outlineLevel="0" collapsed="false">
      <c r="B2431" s="1004" t="str">
        <f aca="false">'Смета Внутр'!B2439</f>
        <v>Нет техники</v>
      </c>
      <c r="C2431" s="1004" t="str">
        <f aca="false">'Смета Внутр'!C2439</f>
        <v>час</v>
      </c>
      <c r="D2431" s="1018" t="n">
        <f aca="false">'Смета Внутр'!D2439</f>
        <v>0</v>
      </c>
      <c r="E2431" s="1004" t="n">
        <f aca="false">'Смета Внутр'!E2439</f>
        <v>0</v>
      </c>
      <c r="F2431" s="1004" t="n">
        <f aca="false">'Смета Внутр'!F2439</f>
        <v>0</v>
      </c>
      <c r="G2431" s="1004" t="n">
        <f aca="false">IF(E2431&gt;F2431,E2431,F2431)</f>
        <v>0</v>
      </c>
      <c r="H2431" s="1004" t="n">
        <f aca="false">'Смета Внутр'!G2439</f>
        <v>0</v>
      </c>
      <c r="I2431" s="1004" t="n">
        <f aca="false">'Смета Внутр'!H2439</f>
        <v>0</v>
      </c>
      <c r="J2431" s="1018" t="n">
        <f aca="false">'Смета Внутр'!I2439</f>
        <v>0</v>
      </c>
    </row>
    <row r="2432" customFormat="false" ht="14.5" hidden="false" customHeight="false" outlineLevel="0" collapsed="false">
      <c r="B2432" s="1004" t="str">
        <f aca="false">'Смета Внутр'!B2440</f>
        <v>Нет техники</v>
      </c>
      <c r="C2432" s="1004" t="str">
        <f aca="false">'Смета Внутр'!C2440</f>
        <v>шт.</v>
      </c>
      <c r="D2432" s="1018" t="n">
        <f aca="false">'Смета Внутр'!D2440</f>
        <v>3</v>
      </c>
      <c r="E2432" s="1004" t="n">
        <f aca="false">'Смета Внутр'!E2440</f>
        <v>0</v>
      </c>
      <c r="F2432" s="1004" t="n">
        <f aca="false">'Смета Внутр'!F2440</f>
        <v>0</v>
      </c>
      <c r="G2432" s="1004" t="n">
        <f aca="false">IF(E2432&gt;F2432,E2432,F2432)</f>
        <v>0</v>
      </c>
      <c r="H2432" s="1004" t="n">
        <f aca="false">'Смета Внутр'!G2440</f>
        <v>0</v>
      </c>
      <c r="I2432" s="1004" t="n">
        <f aca="false">'Смета Внутр'!H2440</f>
        <v>0</v>
      </c>
      <c r="J2432" s="1018" t="n">
        <f aca="false">'Смета Внутр'!I2440</f>
        <v>0</v>
      </c>
    </row>
    <row r="2433" customFormat="false" ht="14.5" hidden="false" customHeight="false" outlineLevel="0" collapsed="false">
      <c r="B2433" s="2927" t="str">
        <f aca="false">'Смета Внутр'!B2441</f>
        <v>Итого, рублей</v>
      </c>
      <c r="C2433" s="2927"/>
      <c r="D2433" s="2927"/>
      <c r="E2433" s="2927"/>
      <c r="F2433" s="2927"/>
      <c r="G2433" s="2927"/>
      <c r="H2433" s="1004" t="n">
        <f aca="false">'Смета Внутр'!G2441</f>
        <v>0</v>
      </c>
      <c r="I2433" s="1004" t="n">
        <f aca="false">'Смета Внутр'!H2441</f>
        <v>0</v>
      </c>
      <c r="J2433" s="1018" t="n">
        <f aca="false">'Смета Внутр'!I2441</f>
        <v>0</v>
      </c>
    </row>
    <row r="2434" customFormat="false" ht="18.5" hidden="false" customHeight="false" outlineLevel="0" collapsed="false">
      <c r="B2434" s="2899" t="str">
        <f aca="false">'Смета Внутр'!B2442</f>
        <v>Расходные материалы</v>
      </c>
      <c r="C2434" s="2899"/>
      <c r="D2434" s="2899"/>
      <c r="H2434" s="0" t="n">
        <f aca="false">'Смета Внутр'!G2442</f>
        <v>0</v>
      </c>
      <c r="I2434" s="0" t="n">
        <f aca="false">'Смета Внутр'!H2442</f>
        <v>15000</v>
      </c>
      <c r="J2434" s="2893" t="n">
        <f aca="false">J2474</f>
        <v>15000</v>
      </c>
    </row>
    <row r="2435" customFormat="false" ht="14.5" hidden="false" customHeight="false" outlineLevel="0" collapsed="false">
      <c r="B2435" s="1004" t="str">
        <f aca="false">'Смета Внутр'!B2443</f>
        <v>расходные материалы котельная</v>
      </c>
      <c r="C2435" s="1004" t="str">
        <f aca="false">'Смета Внутр'!C2443</f>
        <v>рублей</v>
      </c>
      <c r="D2435" s="1018" t="n">
        <f aca="false">'Смета Внутр'!D2443</f>
        <v>1</v>
      </c>
      <c r="E2435" s="1004" t="n">
        <f aca="false">'Смета Внутр'!E2443</f>
        <v>5000</v>
      </c>
      <c r="F2435" s="1004" t="n">
        <f aca="false">'Смета Внутр'!F2443</f>
        <v>0</v>
      </c>
      <c r="G2435" s="1004" t="n">
        <f aca="false">IF(E2435&gt;F2435,E2435,F2435)</f>
        <v>5000</v>
      </c>
      <c r="H2435" s="1004" t="n">
        <f aca="false">'Смета Внутр'!G2443</f>
        <v>0</v>
      </c>
      <c r="I2435" s="1004" t="n">
        <f aca="false">'Смета Внутр'!H2443</f>
        <v>0</v>
      </c>
      <c r="J2435" s="1018" t="n">
        <f aca="false">'Смета Внутр'!I2443</f>
        <v>0</v>
      </c>
    </row>
    <row r="2436" customFormat="false" ht="14.5" hidden="false" customHeight="false" outlineLevel="0" collapsed="false">
      <c r="B2436" s="1004" t="str">
        <f aca="false">'Смета Внутр'!B2444</f>
        <v>расходные материалы скважина</v>
      </c>
      <c r="C2436" s="1004" t="str">
        <f aca="false">'Смета Внутр'!C2444</f>
        <v>рублей</v>
      </c>
      <c r="D2436" s="1018" t="n">
        <f aca="false">'Смета Внутр'!D2444</f>
        <v>1</v>
      </c>
      <c r="E2436" s="1004" t="n">
        <f aca="false">'Смета Внутр'!E2444</f>
        <v>5000</v>
      </c>
      <c r="F2436" s="1004" t="n">
        <f aca="false">'Смета Внутр'!F2444</f>
        <v>0</v>
      </c>
      <c r="G2436" s="1004" t="n">
        <f aca="false">IF(E2436&gt;F2436,E2436,F2436)</f>
        <v>5000</v>
      </c>
      <c r="H2436" s="1004" t="n">
        <f aca="false">'Смета Внутр'!G2444</f>
        <v>0</v>
      </c>
      <c r="I2436" s="1004" t="n">
        <f aca="false">'Смета Внутр'!H2444</f>
        <v>0</v>
      </c>
      <c r="J2436" s="1018" t="n">
        <f aca="false">'Смета Внутр'!I2444</f>
        <v>0</v>
      </c>
    </row>
    <row r="2437" customFormat="false" ht="14.5" hidden="false" customHeight="false" outlineLevel="0" collapsed="false">
      <c r="B2437" s="1004" t="str">
        <f aca="false">'Смета Внутр'!B2445</f>
        <v>расходные материалы для отопления</v>
      </c>
      <c r="C2437" s="1004" t="str">
        <f aca="false">'Смета Внутр'!C2445</f>
        <v>рублей</v>
      </c>
      <c r="D2437" s="1018" t="n">
        <f aca="false">'Смета Внутр'!D2445</f>
        <v>1</v>
      </c>
      <c r="E2437" s="1004" t="n">
        <f aca="false">'Смета Внутр'!E2445</f>
        <v>5000</v>
      </c>
      <c r="F2437" s="1004" t="n">
        <f aca="false">'Смета Внутр'!F2445</f>
        <v>0</v>
      </c>
      <c r="G2437" s="1004" t="n">
        <f aca="false">IF(E2437&gt;F2437,E2437,F2437)</f>
        <v>5000</v>
      </c>
      <c r="H2437" s="1004" t="n">
        <f aca="false">'Смета Внутр'!G2445</f>
        <v>0</v>
      </c>
      <c r="I2437" s="1004" t="n">
        <f aca="false">'Смета Внутр'!H2445</f>
        <v>0</v>
      </c>
      <c r="J2437" s="1018" t="n">
        <f aca="false">'Смета Внутр'!I2445</f>
        <v>0</v>
      </c>
    </row>
    <row r="2438" customFormat="false" ht="14.5" hidden="false" customHeight="false" outlineLevel="0" collapsed="false">
      <c r="B2438" s="1004" t="str">
        <f aca="false">'Смета Внутр'!B2446</f>
        <v>расходные материалы для электрики</v>
      </c>
      <c r="C2438" s="1004" t="str">
        <f aca="false">'Смета Внутр'!C2446</f>
        <v>рублей</v>
      </c>
      <c r="D2438" s="1018" t="n">
        <f aca="false">'Смета Внутр'!D2446</f>
        <v>1</v>
      </c>
      <c r="E2438" s="1004" t="n">
        <f aca="false">'Смета Внутр'!E2446</f>
        <v>5000</v>
      </c>
      <c r="F2438" s="1004" t="n">
        <f aca="false">'Смета Внутр'!F2446</f>
        <v>0</v>
      </c>
      <c r="G2438" s="1004" t="n">
        <f aca="false">IF(E2438&gt;F2438,E2438,F2438)</f>
        <v>5000</v>
      </c>
      <c r="H2438" s="1004" t="n">
        <f aca="false">'Смета Внутр'!G2446</f>
        <v>0</v>
      </c>
      <c r="I2438" s="1004" t="n">
        <f aca="false">'Смета Внутр'!H2446</f>
        <v>0</v>
      </c>
      <c r="J2438" s="1018" t="n">
        <f aca="false">'Смета Внутр'!I2446</f>
        <v>0</v>
      </c>
    </row>
    <row r="2439" customFormat="false" ht="14.5" hidden="false" customHeight="false" outlineLevel="0" collapsed="false">
      <c r="B2439" s="1004" t="str">
        <f aca="false">'Смета Внутр'!B2447</f>
        <v>расходные материалы плита ушп</v>
      </c>
      <c r="C2439" s="1004" t="str">
        <f aca="false">'Смета Внутр'!C2447</f>
        <v>рублей</v>
      </c>
      <c r="D2439" s="1018" t="n">
        <f aca="false">'Смета Внутр'!D2447</f>
        <v>1</v>
      </c>
      <c r="E2439" s="1004" t="n">
        <f aca="false">'Смета Внутр'!E2447</f>
        <v>12000</v>
      </c>
      <c r="F2439" s="1004" t="n">
        <f aca="false">'Смета Внутр'!F2447</f>
        <v>0</v>
      </c>
      <c r="G2439" s="1004" t="n">
        <f aca="false">IF(E2439&gt;F2439,E2439,F2439)</f>
        <v>12000</v>
      </c>
      <c r="H2439" s="1004" t="n">
        <f aca="false">'Смета Внутр'!G2447</f>
        <v>0</v>
      </c>
      <c r="I2439" s="1004" t="n">
        <f aca="false">'Смета Внутр'!H2447</f>
        <v>0</v>
      </c>
      <c r="J2439" s="1018" t="n">
        <f aca="false">'Смета Внутр'!I2447</f>
        <v>0</v>
      </c>
    </row>
    <row r="2440" customFormat="false" ht="14.5" hidden="false" customHeight="false" outlineLevel="0" collapsed="false">
      <c r="B2440" s="2888" t="str">
        <f aca="false">'Смета Внутр'!B2448</f>
        <v>расходные материалы свайноростверковый фундамент</v>
      </c>
      <c r="C2440" s="2888" t="str">
        <f aca="false">'Смета Внутр'!C2448</f>
        <v>рублей</v>
      </c>
      <c r="D2440" s="2897" t="n">
        <f aca="false">'Смета Внутр'!D2448</f>
        <v>1</v>
      </c>
      <c r="E2440" s="1004" t="n">
        <f aca="false">'Смета Внутр'!E2448</f>
        <v>8000</v>
      </c>
      <c r="F2440" s="1004" t="n">
        <f aca="false">'Смета Внутр'!F2448</f>
        <v>0</v>
      </c>
      <c r="G2440" s="2888" t="n">
        <f aca="false">IF(E2440&gt;F2440,E2440,F2440)</f>
        <v>8000</v>
      </c>
      <c r="H2440" s="1004" t="n">
        <f aca="false">'Смета Внутр'!G2448</f>
        <v>0</v>
      </c>
      <c r="I2440" s="1004" t="n">
        <f aca="false">'Смета Внутр'!H2448</f>
        <v>0</v>
      </c>
      <c r="J2440" s="2897" t="n">
        <f aca="false">'Смета Внутр'!I2448</f>
        <v>0</v>
      </c>
    </row>
    <row r="2441" customFormat="false" ht="14.5" hidden="false" customHeight="false" outlineLevel="0" collapsed="false">
      <c r="B2441" s="1004" t="str">
        <f aca="false">'Смета Внутр'!B2449</f>
        <v>расходные материалы свайноростверковый фундамент</v>
      </c>
      <c r="C2441" s="1004" t="str">
        <f aca="false">'Смета Внутр'!C2449</f>
        <v>рублей</v>
      </c>
      <c r="D2441" s="1018" t="n">
        <f aca="false">'Смета Внутр'!D2449</f>
        <v>1</v>
      </c>
      <c r="E2441" s="1004" t="n">
        <f aca="false">'Смета Внутр'!E2449</f>
        <v>8000</v>
      </c>
      <c r="F2441" s="1004" t="n">
        <f aca="false">'Смета Внутр'!F2449</f>
        <v>0</v>
      </c>
      <c r="G2441" s="1004" t="n">
        <f aca="false">IF(E2441&gt;F2441,E2441,F2441)</f>
        <v>8000</v>
      </c>
      <c r="H2441" s="1004" t="n">
        <f aca="false">'Смета Внутр'!G2449</f>
        <v>0</v>
      </c>
      <c r="I2441" s="1004" t="n">
        <f aca="false">'Смета Внутр'!H2449</f>
        <v>0</v>
      </c>
      <c r="J2441" s="1018" t="n">
        <f aca="false">'Смета Внутр'!I2449</f>
        <v>0</v>
      </c>
    </row>
    <row r="2442" customFormat="false" ht="14.5" hidden="false" customHeight="false" outlineLevel="0" collapsed="false">
      <c r="B2442" s="1004" t="str">
        <f aca="false">'Смета Внутр'!B2450</f>
        <v>расходные материалы сип панели</v>
      </c>
      <c r="C2442" s="1004" t="str">
        <f aca="false">'Смета Внутр'!C2450</f>
        <v>рублей</v>
      </c>
      <c r="D2442" s="1018" t="n">
        <f aca="false">'Смета Внутр'!D2450</f>
        <v>1</v>
      </c>
      <c r="E2442" s="1004" t="n">
        <f aca="false">'Смета Внутр'!E2450</f>
        <v>3000</v>
      </c>
      <c r="F2442" s="1004" t="n">
        <f aca="false">'Смета Внутр'!F2450</f>
        <v>0</v>
      </c>
      <c r="G2442" s="1004" t="n">
        <f aca="false">IF(E2442&gt;F2442,E2442,F2442)</f>
        <v>3000</v>
      </c>
      <c r="H2442" s="1004" t="n">
        <f aca="false">'Смета Внутр'!G2450</f>
        <v>0</v>
      </c>
      <c r="I2442" s="1004" t="n">
        <f aca="false">'Смета Внутр'!H2450</f>
        <v>0</v>
      </c>
      <c r="J2442" s="1018" t="n">
        <f aca="false">'Смета Внутр'!I2450</f>
        <v>0</v>
      </c>
    </row>
    <row r="2443" customFormat="false" ht="14.5" hidden="false" customHeight="false" outlineLevel="0" collapsed="false">
      <c r="B2443" s="1004" t="str">
        <f aca="false">'Смета Внутр'!B2451</f>
        <v>расходные материалы каркасный дом</v>
      </c>
      <c r="C2443" s="1004" t="str">
        <f aca="false">'Смета Внутр'!C2451</f>
        <v>рублей</v>
      </c>
      <c r="D2443" s="1018" t="n">
        <f aca="false">'Смета Внутр'!D2451</f>
        <v>1</v>
      </c>
      <c r="E2443" s="1004" t="n">
        <f aca="false">'Смета Внутр'!E2451</f>
        <v>12000</v>
      </c>
      <c r="F2443" s="1004" t="n">
        <f aca="false">'Смета Внутр'!F2451</f>
        <v>0</v>
      </c>
      <c r="G2443" s="1004" t="n">
        <f aca="false">IF(E2443&gt;F2443,E2443,F2443)</f>
        <v>12000</v>
      </c>
      <c r="H2443" s="1004" t="n">
        <f aca="false">'Смета Внутр'!G2451</f>
        <v>0</v>
      </c>
      <c r="I2443" s="1004" t="n">
        <f aca="false">'Смета Внутр'!H2451</f>
        <v>0</v>
      </c>
      <c r="J2443" s="1018" t="n">
        <f aca="false">'Смета Внутр'!I2451</f>
        <v>0</v>
      </c>
    </row>
    <row r="2444" customFormat="false" ht="14.5" hidden="false" customHeight="false" outlineLevel="0" collapsed="false">
      <c r="B2444" s="1004" t="str">
        <f aca="false">'Смета Внутр'!B2452</f>
        <v>расходные материалы каменные дома</v>
      </c>
      <c r="C2444" s="1004" t="str">
        <f aca="false">'Смета Внутр'!C2452</f>
        <v>рублей</v>
      </c>
      <c r="D2444" s="1018" t="n">
        <f aca="false">'Смета Внутр'!D2452</f>
        <v>1</v>
      </c>
      <c r="E2444" s="1004" t="n">
        <f aca="false">'Смета Внутр'!E2452</f>
        <v>15000</v>
      </c>
      <c r="F2444" s="1004" t="n">
        <f aca="false">'Смета Внутр'!F2452</f>
        <v>0</v>
      </c>
      <c r="G2444" s="1004" t="n">
        <f aca="false">IF(E2444&gt;F2444,E2444,F2444)</f>
        <v>15000</v>
      </c>
      <c r="H2444" s="1004" t="n">
        <f aca="false">'Смета Внутр'!G2452</f>
        <v>0</v>
      </c>
      <c r="I2444" s="1004" t="n">
        <f aca="false">'Смета Внутр'!H2452</f>
        <v>0</v>
      </c>
      <c r="J2444" s="1018" t="n">
        <f aca="false">'Смета Внутр'!I2452</f>
        <v>0</v>
      </c>
    </row>
    <row r="2445" customFormat="false" ht="14.5" hidden="false" customHeight="false" outlineLevel="0" collapsed="false">
      <c r="B2445" s="1004" t="str">
        <f aca="false">'Смета Внутр'!B2453</f>
        <v>расходные материалы каменные дома</v>
      </c>
      <c r="C2445" s="1004" t="str">
        <f aca="false">'Смета Внутр'!C2453</f>
        <v>рублей</v>
      </c>
      <c r="D2445" s="1018" t="n">
        <f aca="false">'Смета Внутр'!D2453</f>
        <v>1</v>
      </c>
      <c r="E2445" s="1004" t="n">
        <f aca="false">'Смета Внутр'!E2453</f>
        <v>0</v>
      </c>
      <c r="F2445" s="1004" t="n">
        <f aca="false">'Смета Внутр'!F2453</f>
        <v>0</v>
      </c>
      <c r="G2445" s="1004" t="n">
        <f aca="false">IF(E2445&gt;F2445,E2445,F2445)</f>
        <v>0</v>
      </c>
      <c r="H2445" s="1004" t="n">
        <f aca="false">'Смета Внутр'!G2453</f>
        <v>0</v>
      </c>
      <c r="I2445" s="1004" t="n">
        <f aca="false">'Смета Внутр'!H2453</f>
        <v>0</v>
      </c>
      <c r="J2445" s="1018" t="n">
        <f aca="false">'Смета Внутр'!I2453</f>
        <v>0</v>
      </c>
    </row>
    <row r="2446" customFormat="false" ht="14.5" hidden="false" customHeight="false" outlineLevel="0" collapsed="false">
      <c r="B2446" s="1004" t="str">
        <f aca="false">'Смета Внутр'!B2454</f>
        <v>расходные материалы каменные дома</v>
      </c>
      <c r="C2446" s="1004" t="str">
        <f aca="false">'Смета Внутр'!C2454</f>
        <v>рублей</v>
      </c>
      <c r="D2446" s="1018" t="n">
        <f aca="false">'Смета Внутр'!D2454</f>
        <v>1</v>
      </c>
      <c r="E2446" s="1004" t="n">
        <f aca="false">'Смета Внутр'!E2454</f>
        <v>15000</v>
      </c>
      <c r="F2446" s="1004" t="n">
        <f aca="false">'Смета Внутр'!F2454</f>
        <v>0</v>
      </c>
      <c r="G2446" s="1004" t="n">
        <f aca="false">IF(E2446&gt;F2446,E2446,F2446)</f>
        <v>15000</v>
      </c>
      <c r="H2446" s="1004" t="n">
        <f aca="false">'Смета Внутр'!G2454</f>
        <v>15000</v>
      </c>
      <c r="I2446" s="1004" t="n">
        <f aca="false">'Смета Внутр'!H2454</f>
        <v>15000</v>
      </c>
      <c r="J2446" s="1018" t="n">
        <f aca="false">'Смета Внутр'!I2454</f>
        <v>15000</v>
      </c>
    </row>
    <row r="2447" customFormat="false" ht="14.5" hidden="false" customHeight="false" outlineLevel="0" collapsed="false">
      <c r="B2447" s="1004" t="str">
        <f aca="false">'Смета Внутр'!B2455</f>
        <v>расходные материалы дома из леса</v>
      </c>
      <c r="C2447" s="1004" t="str">
        <f aca="false">'Смета Внутр'!C2455</f>
        <v>рублей</v>
      </c>
      <c r="D2447" s="1018" t="n">
        <f aca="false">'Смета Внутр'!D2455</f>
        <v>1</v>
      </c>
      <c r="E2447" s="1004" t="n">
        <f aca="false">'Смета Внутр'!E2455</f>
        <v>3000</v>
      </c>
      <c r="F2447" s="1004" t="n">
        <f aca="false">'Смета Внутр'!F2455</f>
        <v>0</v>
      </c>
      <c r="G2447" s="1004" t="n">
        <f aca="false">IF(E2447&gt;F2447,E2447,F2447)</f>
        <v>3000</v>
      </c>
      <c r="H2447" s="1004" t="n">
        <f aca="false">'Смета Внутр'!G2455</f>
        <v>0</v>
      </c>
      <c r="I2447" s="1004" t="n">
        <f aca="false">'Смета Внутр'!H2455</f>
        <v>0</v>
      </c>
      <c r="J2447" s="1018" t="n">
        <f aca="false">'Смета Внутр'!I2455</f>
        <v>0</v>
      </c>
    </row>
    <row r="2448" customFormat="false" ht="14.5" hidden="false" customHeight="false" outlineLevel="0" collapsed="false">
      <c r="B2448" s="1004" t="str">
        <f aca="false">'Смета Внутр'!B2456</f>
        <v>расходные материалы дома из леса</v>
      </c>
      <c r="C2448" s="1004" t="str">
        <f aca="false">'Смета Внутр'!C2456</f>
        <v>рублей</v>
      </c>
      <c r="D2448" s="1018" t="n">
        <f aca="false">'Смета Внутр'!D2456</f>
        <v>1</v>
      </c>
      <c r="E2448" s="1004" t="n">
        <f aca="false">'Смета Внутр'!E2456</f>
        <v>3000</v>
      </c>
      <c r="F2448" s="1004" t="n">
        <f aca="false">'Смета Внутр'!F2456</f>
        <v>0</v>
      </c>
      <c r="G2448" s="1004" t="n">
        <f aca="false">IF(E2448&gt;F2448,E2448,F2448)</f>
        <v>3000</v>
      </c>
      <c r="H2448" s="1004" t="n">
        <f aca="false">'Смета Внутр'!G2456</f>
        <v>0</v>
      </c>
      <c r="I2448" s="1004" t="n">
        <f aca="false">'Смета Внутр'!H2456</f>
        <v>0</v>
      </c>
      <c r="J2448" s="1018" t="n">
        <f aca="false">'Смета Внутр'!I2456</f>
        <v>0</v>
      </c>
    </row>
    <row r="2449" customFormat="false" ht="14.5" hidden="false" customHeight="false" outlineLevel="0" collapsed="false">
      <c r="B2449" s="1004" t="str">
        <f aca="false">'Смета Внутр'!B2457</f>
        <v>расходные материалы дома из леса</v>
      </c>
      <c r="C2449" s="1004" t="str">
        <f aca="false">'Смета Внутр'!C2457</f>
        <v>рублей</v>
      </c>
      <c r="D2449" s="1018" t="n">
        <f aca="false">'Смета Внутр'!D2457</f>
        <v>1</v>
      </c>
      <c r="E2449" s="1004" t="n">
        <f aca="false">'Смета Внутр'!E2457</f>
        <v>3000</v>
      </c>
      <c r="F2449" s="1004" t="n">
        <f aca="false">'Смета Внутр'!F2457</f>
        <v>0</v>
      </c>
      <c r="G2449" s="1004" t="n">
        <f aca="false">IF(E2449&gt;F2449,E2449,F2449)</f>
        <v>3000</v>
      </c>
      <c r="H2449" s="1004" t="n">
        <f aca="false">'Смета Внутр'!G2457</f>
        <v>0</v>
      </c>
      <c r="I2449" s="1004" t="n">
        <f aca="false">'Смета Внутр'!H2457</f>
        <v>0</v>
      </c>
      <c r="J2449" s="1018" t="n">
        <f aca="false">'Смета Внутр'!I2457</f>
        <v>0</v>
      </c>
    </row>
    <row r="2450" customFormat="false" ht="14.5" hidden="false" customHeight="false" outlineLevel="0" collapsed="false">
      <c r="B2450" s="2888" t="str">
        <f aca="false">'Смета Внутр'!B2458</f>
        <v>расходные материалы дома из леса</v>
      </c>
      <c r="C2450" s="2888" t="str">
        <f aca="false">'Смета Внутр'!C2458</f>
        <v>рублей</v>
      </c>
      <c r="D2450" s="2897" t="n">
        <f aca="false">'Смета Внутр'!D2458</f>
        <v>1</v>
      </c>
      <c r="E2450" s="1004" t="n">
        <f aca="false">'Смета Внутр'!E2458</f>
        <v>3000</v>
      </c>
      <c r="F2450" s="1004" t="n">
        <f aca="false">'Смета Внутр'!F2458</f>
        <v>0</v>
      </c>
      <c r="G2450" s="2888" t="n">
        <f aca="false">IF(E2450&gt;F2450,E2450,F2450)</f>
        <v>3000</v>
      </c>
      <c r="H2450" s="1004" t="n">
        <f aca="false">'Смета Внутр'!G2458</f>
        <v>0</v>
      </c>
      <c r="I2450" s="1004" t="n">
        <f aca="false">'Смета Внутр'!H2458</f>
        <v>0</v>
      </c>
      <c r="J2450" s="2897" t="n">
        <f aca="false">'Смета Внутр'!I2458</f>
        <v>0</v>
      </c>
    </row>
    <row r="2451" customFormat="false" ht="14.5" hidden="false" customHeight="false" outlineLevel="0" collapsed="false">
      <c r="B2451" s="1004" t="str">
        <f aca="false">'Смета Внутр'!B2459</f>
        <v>расходные материалы дома из леса</v>
      </c>
      <c r="C2451" s="1004" t="str">
        <f aca="false">'Смета Внутр'!C2459</f>
        <v>рублей</v>
      </c>
      <c r="D2451" s="1018" t="n">
        <f aca="false">'Смета Внутр'!D2459</f>
        <v>1</v>
      </c>
      <c r="E2451" s="1004" t="n">
        <f aca="false">'Смета Внутр'!E2459</f>
        <v>3000</v>
      </c>
      <c r="F2451" s="1004" t="n">
        <f aca="false">'Смета Внутр'!F2459</f>
        <v>0</v>
      </c>
      <c r="G2451" s="1004" t="n">
        <f aca="false">IF(E2451&gt;F2451,E2451,F2451)</f>
        <v>3000</v>
      </c>
      <c r="H2451" s="1004" t="n">
        <f aca="false">'Смета Внутр'!G2459</f>
        <v>0</v>
      </c>
      <c r="I2451" s="1004" t="n">
        <f aca="false">'Смета Внутр'!H2459</f>
        <v>0</v>
      </c>
      <c r="J2451" s="1018" t="n">
        <f aca="false">'Смета Внутр'!I2459</f>
        <v>0</v>
      </c>
    </row>
    <row r="2452" customFormat="false" ht="14.5" hidden="false" customHeight="false" outlineLevel="0" collapsed="false">
      <c r="B2452" s="1004" t="str">
        <f aca="false">'Смета Внутр'!B2460</f>
        <v>расходные материалы эркер</v>
      </c>
      <c r="C2452" s="1004" t="str">
        <f aca="false">'Смета Внутр'!C2460</f>
        <v>рублей</v>
      </c>
      <c r="D2452" s="1018" t="n">
        <f aca="false">'Смета Внутр'!D2460</f>
        <v>1</v>
      </c>
      <c r="E2452" s="1004" t="n">
        <f aca="false">'Смета Внутр'!E2460</f>
        <v>3000</v>
      </c>
      <c r="F2452" s="1004" t="n">
        <f aca="false">'Смета Внутр'!F2460</f>
        <v>0</v>
      </c>
      <c r="G2452" s="1004" t="n">
        <f aca="false">IF(E2452&gt;F2452,E2452,F2452)</f>
        <v>3000</v>
      </c>
      <c r="H2452" s="1004" t="n">
        <f aca="false">'Смета Внутр'!G2460</f>
        <v>0</v>
      </c>
      <c r="I2452" s="1004" t="n">
        <f aca="false">'Смета Внутр'!H2460</f>
        <v>0</v>
      </c>
      <c r="J2452" s="1018" t="n">
        <f aca="false">'Смета Внутр'!I2460</f>
        <v>0</v>
      </c>
    </row>
    <row r="2453" customFormat="false" ht="14.5" hidden="false" customHeight="false" outlineLevel="0" collapsed="false">
      <c r="B2453" s="1004" t="str">
        <f aca="false">'Смета Внутр'!B2461</f>
        <v>расходные материалы двускатная кровля</v>
      </c>
      <c r="C2453" s="1004" t="str">
        <f aca="false">'Смета Внутр'!C2461</f>
        <v>рублей</v>
      </c>
      <c r="D2453" s="1018" t="n">
        <f aca="false">'Смета Внутр'!D2461</f>
        <v>1</v>
      </c>
      <c r="E2453" s="1004" t="n">
        <f aca="false">'Смета Внутр'!E2461</f>
        <v>0</v>
      </c>
      <c r="F2453" s="1004" t="n">
        <f aca="false">'Смета Внутр'!F2461</f>
        <v>0</v>
      </c>
      <c r="G2453" s="1004" t="n">
        <f aca="false">IF(E2453&gt;F2453,E2453,F2453)</f>
        <v>0</v>
      </c>
      <c r="H2453" s="1004" t="n">
        <f aca="false">'Смета Внутр'!G2461</f>
        <v>0</v>
      </c>
      <c r="I2453" s="1004" t="n">
        <f aca="false">'Смета Внутр'!H2461</f>
        <v>0</v>
      </c>
      <c r="J2453" s="1018" t="n">
        <f aca="false">'Смета Внутр'!I2461</f>
        <v>0</v>
      </c>
    </row>
    <row r="2454" customFormat="false" ht="14.5" hidden="false" customHeight="false" outlineLevel="0" collapsed="false">
      <c r="B2454" s="1004" t="str">
        <f aca="false">'Смета Внутр'!B2462</f>
        <v>расходные материалы вальмовая кровля</v>
      </c>
      <c r="C2454" s="1004" t="str">
        <f aca="false">'Смета Внутр'!C2462</f>
        <v>рублей</v>
      </c>
      <c r="D2454" s="1018" t="n">
        <f aca="false">'Смета Внутр'!D2462</f>
        <v>1</v>
      </c>
      <c r="E2454" s="1004" t="n">
        <f aca="false">'Смета Внутр'!E2462</f>
        <v>10000</v>
      </c>
      <c r="F2454" s="1004" t="n">
        <f aca="false">'Смета Внутр'!F2462</f>
        <v>0</v>
      </c>
      <c r="G2454" s="1004" t="n">
        <f aca="false">IF(E2454&gt;F2454,E2454,F2454)</f>
        <v>10000</v>
      </c>
      <c r="H2454" s="1004" t="n">
        <f aca="false">'Смета Внутр'!G2462</f>
        <v>0</v>
      </c>
      <c r="I2454" s="1004" t="n">
        <f aca="false">'Смета Внутр'!H2462</f>
        <v>0</v>
      </c>
      <c r="J2454" s="1018" t="n">
        <f aca="false">'Смета Внутр'!I2462</f>
        <v>0</v>
      </c>
    </row>
    <row r="2455" customFormat="false" ht="14.5" hidden="false" customHeight="false" outlineLevel="0" collapsed="false">
      <c r="B2455" s="1004" t="str">
        <f aca="false">'Смета Внутр'!B2463</f>
        <v>расходные материалы полувальмовая кровля</v>
      </c>
      <c r="C2455" s="1004" t="str">
        <f aca="false">'Смета Внутр'!C2463</f>
        <v>рублей</v>
      </c>
      <c r="D2455" s="1018" t="n">
        <f aca="false">'Смета Внутр'!D2463</f>
        <v>1</v>
      </c>
      <c r="E2455" s="1004" t="n">
        <f aca="false">'Смета Внутр'!E2463</f>
        <v>10000</v>
      </c>
      <c r="F2455" s="1004" t="n">
        <f aca="false">'Смета Внутр'!F2463</f>
        <v>0</v>
      </c>
      <c r="G2455" s="1004" t="n">
        <f aca="false">IF(E2455&gt;F2455,E2455,F2455)</f>
        <v>10000</v>
      </c>
      <c r="H2455" s="1004" t="n">
        <f aca="false">'Смета Внутр'!G2463</f>
        <v>0</v>
      </c>
      <c r="I2455" s="1004" t="n">
        <f aca="false">'Смета Внутр'!H2463</f>
        <v>0</v>
      </c>
      <c r="J2455" s="1018" t="n">
        <f aca="false">'Смета Внутр'!I2463</f>
        <v>0</v>
      </c>
    </row>
    <row r="2456" customFormat="false" ht="14.5" hidden="false" customHeight="false" outlineLevel="0" collapsed="false">
      <c r="B2456" s="1004" t="str">
        <f aca="false">'Смета Внутр'!B2464</f>
        <v>расходные материалы элементы кровель</v>
      </c>
      <c r="C2456" s="1004" t="str">
        <f aca="false">'Смета Внутр'!C2464</f>
        <v>рублей</v>
      </c>
      <c r="D2456" s="1018" t="n">
        <f aca="false">'Смета Внутр'!D2464</f>
        <v>1</v>
      </c>
      <c r="E2456" s="1004" t="n">
        <f aca="false">'Смета Внутр'!E2464</f>
        <v>10000</v>
      </c>
      <c r="F2456" s="1004" t="n">
        <f aca="false">'Смета Внутр'!F2464</f>
        <v>0</v>
      </c>
      <c r="G2456" s="1004" t="n">
        <f aca="false">IF(E2456&gt;F2456,E2456,F2456)</f>
        <v>10000</v>
      </c>
      <c r="H2456" s="1004" t="n">
        <f aca="false">'Смета Внутр'!G2464</f>
        <v>0</v>
      </c>
      <c r="I2456" s="1004" t="n">
        <f aca="false">'Смета Внутр'!H2464</f>
        <v>0</v>
      </c>
      <c r="J2456" s="1018" t="n">
        <f aca="false">'Смета Внутр'!I2464</f>
        <v>0</v>
      </c>
    </row>
    <row r="2457" customFormat="false" ht="14.5" hidden="false" customHeight="false" outlineLevel="0" collapsed="false">
      <c r="B2457" s="1004" t="str">
        <f aca="false">'Смета Внутр'!B2465</f>
        <v>расходные материалы пристройки</v>
      </c>
      <c r="C2457" s="1004" t="str">
        <f aca="false">'Смета Внутр'!C2465</f>
        <v>рублей</v>
      </c>
      <c r="D2457" s="1018" t="n">
        <f aca="false">'Смета Внутр'!D2465</f>
        <v>1</v>
      </c>
      <c r="E2457" s="1004" t="n">
        <f aca="false">'Смета Внутр'!E2465</f>
        <v>10000</v>
      </c>
      <c r="F2457" s="1004" t="n">
        <f aca="false">'Смета Внутр'!F2465</f>
        <v>0</v>
      </c>
      <c r="G2457" s="1004" t="n">
        <f aca="false">IF(E2457&gt;F2457,E2457,F2457)</f>
        <v>10000</v>
      </c>
      <c r="H2457" s="1004" t="n">
        <f aca="false">'Смета Внутр'!G2465</f>
        <v>0</v>
      </c>
      <c r="I2457" s="1004" t="n">
        <f aca="false">'Смета Внутр'!H2465</f>
        <v>0</v>
      </c>
      <c r="J2457" s="1018" t="n">
        <f aca="false">'Смета Внутр'!I2465</f>
        <v>0</v>
      </c>
    </row>
    <row r="2458" customFormat="false" ht="14.5" hidden="false" customHeight="false" outlineLevel="0" collapsed="false">
      <c r="B2458" s="1004" t="str">
        <f aca="false">'Смета Внутр'!B2466</f>
        <v>расходные материалы веранда</v>
      </c>
      <c r="C2458" s="1004" t="str">
        <f aca="false">'Смета Внутр'!C2466</f>
        <v>рублей</v>
      </c>
      <c r="D2458" s="1018" t="n">
        <f aca="false">'Смета Внутр'!D2466</f>
        <v>1</v>
      </c>
      <c r="E2458" s="1004" t="n">
        <f aca="false">'Смета Внутр'!E2466</f>
        <v>0</v>
      </c>
      <c r="F2458" s="1004" t="n">
        <f aca="false">'Смета Внутр'!F2466</f>
        <v>0</v>
      </c>
      <c r="G2458" s="1004" t="n">
        <f aca="false">IF(E2458&gt;F2458,E2458,F2458)</f>
        <v>0</v>
      </c>
      <c r="H2458" s="1004" t="n">
        <f aca="false">'Смета Внутр'!G2466</f>
        <v>0</v>
      </c>
      <c r="I2458" s="1004" t="n">
        <f aca="false">'Смета Внутр'!H2466</f>
        <v>0</v>
      </c>
      <c r="J2458" s="1018" t="n">
        <f aca="false">'Смета Внутр'!I2466</f>
        <v>0</v>
      </c>
    </row>
    <row r="2459" customFormat="false" ht="14.5" hidden="false" customHeight="false" outlineLevel="0" collapsed="false">
      <c r="B2459" s="1004" t="str">
        <f aca="false">'Смета Внутр'!B2467</f>
        <v>расходные материалы для септика</v>
      </c>
      <c r="C2459" s="1004" t="str">
        <f aca="false">'Смета Внутр'!C2467</f>
        <v>рублей</v>
      </c>
      <c r="D2459" s="1018" t="n">
        <f aca="false">'Смета Внутр'!D2467</f>
        <v>1</v>
      </c>
      <c r="E2459" s="1004" t="n">
        <f aca="false">'Смета Внутр'!E2467</f>
        <v>5000</v>
      </c>
      <c r="F2459" s="1004" t="n">
        <f aca="false">'Смета Внутр'!F2467</f>
        <v>0</v>
      </c>
      <c r="G2459" s="1004" t="n">
        <f aca="false">IF(E2459&gt;F2459,E2459,F2459)</f>
        <v>5000</v>
      </c>
      <c r="H2459" s="1004" t="n">
        <f aca="false">'Смета Внутр'!G2467</f>
        <v>0</v>
      </c>
      <c r="I2459" s="1004" t="n">
        <f aca="false">'Смета Внутр'!H2467</f>
        <v>0</v>
      </c>
      <c r="J2459" s="1018" t="n">
        <f aca="false">'Смета Внутр'!I2467</f>
        <v>0</v>
      </c>
    </row>
    <row r="2460" customFormat="false" ht="14.5" hidden="false" customHeight="false" outlineLevel="0" collapsed="false">
      <c r="B2460" s="1004" t="str">
        <f aca="false">'Смета Внутр'!B2468</f>
        <v>расходные материалы односкатная кровля</v>
      </c>
      <c r="C2460" s="1004" t="str">
        <f aca="false">'Смета Внутр'!C2468</f>
        <v>рублей</v>
      </c>
      <c r="D2460" s="1018" t="n">
        <f aca="false">'Смета Внутр'!D2468</f>
        <v>1</v>
      </c>
      <c r="E2460" s="1004" t="n">
        <f aca="false">'Смета Внутр'!E2468</f>
        <v>10000</v>
      </c>
      <c r="F2460" s="1004" t="n">
        <f aca="false">'Смета Внутр'!F2468</f>
        <v>0</v>
      </c>
      <c r="G2460" s="1004" t="n">
        <f aca="false">IF(E2460&gt;F2460,E2460,F2460)</f>
        <v>10000</v>
      </c>
      <c r="H2460" s="1004" t="n">
        <f aca="false">'Смета Внутр'!G2468</f>
        <v>0</v>
      </c>
      <c r="I2460" s="1004" t="n">
        <f aca="false">'Смета Внутр'!H2468</f>
        <v>0</v>
      </c>
      <c r="J2460" s="1018" t="n">
        <f aca="false">'Смета Внутр'!I2468</f>
        <v>0</v>
      </c>
    </row>
    <row r="2461" customFormat="false" ht="14.5" hidden="false" customHeight="false" outlineLevel="0" collapsed="false">
      <c r="B2461" s="1004" t="str">
        <f aca="false">'Смета Внутр'!B2469</f>
        <v>Расходные материалы винтовые сваи</v>
      </c>
      <c r="C2461" s="1004" t="str">
        <f aca="false">'Смета Внутр'!C2469</f>
        <v>рублей</v>
      </c>
      <c r="D2461" s="1018" t="n">
        <f aca="false">'Смета Внутр'!D2469</f>
        <v>1</v>
      </c>
      <c r="E2461" s="1004" t="n">
        <f aca="false">'Смета Внутр'!E2469</f>
        <v>6000</v>
      </c>
      <c r="F2461" s="1004" t="n">
        <f aca="false">'Смета Внутр'!F2469</f>
        <v>0</v>
      </c>
      <c r="G2461" s="1004" t="n">
        <f aca="false">IF(E2461&gt;F2461,E2461,F2461)</f>
        <v>6000</v>
      </c>
      <c r="H2461" s="1004" t="n">
        <f aca="false">'Смета Внутр'!G2469</f>
        <v>0</v>
      </c>
      <c r="I2461" s="1004" t="n">
        <f aca="false">'Смета Внутр'!H2469</f>
        <v>0</v>
      </c>
      <c r="J2461" s="1018" t="n">
        <f aca="false">'Смета Внутр'!I2469</f>
        <v>0</v>
      </c>
    </row>
    <row r="2462" customFormat="false" ht="14.5" hidden="false" customHeight="false" outlineLevel="0" collapsed="false">
      <c r="B2462" s="1004" t="str">
        <f aca="false">'Смета Внутр'!B2470</f>
        <v>расходные материалы окна</v>
      </c>
      <c r="C2462" s="1004" t="str">
        <f aca="false">'Смета Внутр'!C2470</f>
        <v>рублей</v>
      </c>
      <c r="D2462" s="1018" t="n">
        <f aca="false">'Смета Внутр'!D2470</f>
        <v>1</v>
      </c>
      <c r="E2462" s="1004" t="n">
        <f aca="false">'Смета Внутр'!E2470</f>
        <v>5000</v>
      </c>
      <c r="F2462" s="1004" t="n">
        <f aca="false">'Смета Внутр'!F2470</f>
        <v>0</v>
      </c>
      <c r="G2462" s="1004" t="n">
        <f aca="false">IF(E2462&gt;F2462,E2462,F2462)</f>
        <v>5000</v>
      </c>
      <c r="H2462" s="1004" t="n">
        <f aca="false">'Смета Внутр'!G2470</f>
        <v>0</v>
      </c>
      <c r="I2462" s="1004" t="n">
        <f aca="false">'Смета Внутр'!H2470</f>
        <v>0</v>
      </c>
      <c r="J2462" s="1018" t="n">
        <f aca="false">'Смета Внутр'!I2470</f>
        <v>0</v>
      </c>
    </row>
    <row r="2463" customFormat="false" ht="14.5" hidden="false" customHeight="false" outlineLevel="0" collapsed="false">
      <c r="B2463" s="1004" t="str">
        <f aca="false">'Смета Внутр'!B2471</f>
        <v>расходные материалы лестница</v>
      </c>
      <c r="C2463" s="1004" t="str">
        <f aca="false">'Смета Внутр'!C2471</f>
        <v>рублей</v>
      </c>
      <c r="D2463" s="1018" t="n">
        <f aca="false">'Смета Внутр'!D2471</f>
        <v>1</v>
      </c>
      <c r="E2463" s="1004" t="n">
        <f aca="false">'Смета Внутр'!E2471</f>
        <v>5000</v>
      </c>
      <c r="F2463" s="1004" t="n">
        <f aca="false">'Смета Внутр'!F2471</f>
        <v>0</v>
      </c>
      <c r="G2463" s="1004" t="n">
        <f aca="false">IF(E2463&gt;F2463,E2463,F2463)</f>
        <v>5000</v>
      </c>
      <c r="H2463" s="1004" t="n">
        <f aca="false">'Смета Внутр'!G2471</f>
        <v>0</v>
      </c>
      <c r="I2463" s="1004" t="n">
        <f aca="false">'Смета Внутр'!H2471</f>
        <v>0</v>
      </c>
      <c r="J2463" s="1018" t="n">
        <f aca="false">'Смета Внутр'!I2471</f>
        <v>0</v>
      </c>
    </row>
    <row r="2464" customFormat="false" ht="14.5" hidden="false" customHeight="false" outlineLevel="0" collapsed="false">
      <c r="B2464" s="1004" t="str">
        <f aca="false">'Смета Внутр'!B2472</f>
        <v>расходные материалы отделка внешняя</v>
      </c>
      <c r="C2464" s="1004" t="str">
        <f aca="false">'Смета Внутр'!C2472</f>
        <v>рублей</v>
      </c>
      <c r="D2464" s="1018" t="n">
        <f aca="false">'Смета Внутр'!D2472</f>
        <v>1</v>
      </c>
      <c r="E2464" s="1004" t="n">
        <f aca="false">'Смета Внутр'!E2472</f>
        <v>3000</v>
      </c>
      <c r="F2464" s="1004" t="n">
        <f aca="false">'Смета Внутр'!F2472</f>
        <v>0</v>
      </c>
      <c r="G2464" s="1004" t="n">
        <f aca="false">IF(E2464&gt;F2464,E2464,F2464)</f>
        <v>3000</v>
      </c>
      <c r="H2464" s="1004" t="n">
        <f aca="false">'Смета Внутр'!G2472</f>
        <v>0</v>
      </c>
      <c r="I2464" s="1004" t="n">
        <f aca="false">'Смета Внутр'!H2472</f>
        <v>0</v>
      </c>
      <c r="J2464" s="1018" t="n">
        <f aca="false">'Смета Внутр'!I2472</f>
        <v>0</v>
      </c>
    </row>
    <row r="2465" customFormat="false" ht="14.5" hidden="false" customHeight="false" outlineLevel="0" collapsed="false">
      <c r="B2465" s="2888" t="str">
        <f aca="false">'Смета Внутр'!B2473</f>
        <v>расходные материалы чистовая отделка</v>
      </c>
      <c r="C2465" s="2888" t="str">
        <f aca="false">'Смета Внутр'!C2473</f>
        <v>рублей</v>
      </c>
      <c r="D2465" s="2897" t="n">
        <f aca="false">'Смета Внутр'!D2473</f>
        <v>1</v>
      </c>
      <c r="E2465" s="1004" t="n">
        <f aca="false">'Смета Внутр'!E2473</f>
        <v>5000</v>
      </c>
      <c r="F2465" s="1004" t="n">
        <f aca="false">'Смета Внутр'!F2473</f>
        <v>0</v>
      </c>
      <c r="G2465" s="2888" t="n">
        <f aca="false">IF(E2465&gt;F2465,E2465,F2465)</f>
        <v>5000</v>
      </c>
      <c r="H2465" s="1004" t="n">
        <f aca="false">'Смета Внутр'!G2473</f>
        <v>0</v>
      </c>
      <c r="I2465" s="1004" t="n">
        <f aca="false">'Смета Внутр'!H2473</f>
        <v>0</v>
      </c>
      <c r="J2465" s="2897" t="n">
        <f aca="false">'Смета Внутр'!I2473</f>
        <v>0</v>
      </c>
    </row>
    <row r="2466" customFormat="false" ht="14.5" hidden="false" customHeight="false" outlineLevel="0" collapsed="false">
      <c r="B2466" s="1004" t="str">
        <f aca="false">'Смета Внутр'!B2474</f>
        <v>расходные материалы балкон</v>
      </c>
      <c r="C2466" s="1004" t="str">
        <f aca="false">'Смета Внутр'!C2474</f>
        <v>рублей</v>
      </c>
      <c r="D2466" s="1018" t="n">
        <f aca="false">'Смета Внутр'!D2474</f>
        <v>0</v>
      </c>
      <c r="E2466" s="1004" t="n">
        <f aca="false">'Смета Внутр'!E2474</f>
        <v>0</v>
      </c>
      <c r="F2466" s="1004" t="n">
        <f aca="false">'Смета Внутр'!F2474</f>
        <v>0</v>
      </c>
      <c r="G2466" s="1004" t="n">
        <f aca="false">IF(E2466&gt;F2466,E2466,F2466)</f>
        <v>0</v>
      </c>
      <c r="H2466" s="1004" t="n">
        <f aca="false">'Смета Внутр'!G2474</f>
        <v>0</v>
      </c>
      <c r="I2466" s="1004" t="n">
        <f aca="false">'Смета Внутр'!H2474</f>
        <v>0</v>
      </c>
      <c r="J2466" s="1018" t="n">
        <f aca="false">'Смета Внутр'!I2474</f>
        <v>0</v>
      </c>
    </row>
    <row r="2467" customFormat="false" ht="14.5" hidden="false" customHeight="false" outlineLevel="0" collapsed="false">
      <c r="B2467" s="1004" t="str">
        <f aca="false">'Смета Внутр'!B2475</f>
        <v>расходные материалы перекрытие</v>
      </c>
      <c r="C2467" s="1004" t="str">
        <f aca="false">'Смета Внутр'!C2475</f>
        <v>рублей</v>
      </c>
      <c r="D2467" s="1018" t="n">
        <f aca="false">'Смета Внутр'!D2475</f>
        <v>1</v>
      </c>
      <c r="E2467" s="1004" t="n">
        <f aca="false">'Смета Внутр'!E2475</f>
        <v>5000</v>
      </c>
      <c r="F2467" s="1004" t="n">
        <f aca="false">'Смета Внутр'!F2475</f>
        <v>0</v>
      </c>
      <c r="G2467" s="1004" t="n">
        <f aca="false">IF(E2467&gt;F2467,E2467,F2467)</f>
        <v>5000</v>
      </c>
      <c r="H2467" s="1004" t="n">
        <f aca="false">'Смета Внутр'!G2475</f>
        <v>0</v>
      </c>
      <c r="I2467" s="1004" t="n">
        <f aca="false">'Смета Внутр'!H2475</f>
        <v>0</v>
      </c>
      <c r="J2467" s="1018" t="n">
        <f aca="false">'Смета Внутр'!I2475</f>
        <v>0</v>
      </c>
    </row>
    <row r="2468" customFormat="false" ht="14.5" hidden="false" customHeight="false" outlineLevel="0" collapsed="false">
      <c r="B2468" s="2888" t="str">
        <f aca="false">'Смета Внутр'!B2476</f>
        <v>расходные материалы цокольный этаж</v>
      </c>
      <c r="C2468" s="2888" t="str">
        <f aca="false">'Смета Внутр'!C2476</f>
        <v>рублей</v>
      </c>
      <c r="D2468" s="2897" t="n">
        <f aca="false">'Смета Внутр'!D2476</f>
        <v>0</v>
      </c>
      <c r="E2468" s="1004" t="n">
        <f aca="false">'Смета Внутр'!E2476</f>
        <v>5000</v>
      </c>
      <c r="F2468" s="1004" t="n">
        <f aca="false">'Смета Внутр'!F2476</f>
        <v>0</v>
      </c>
      <c r="G2468" s="2888" t="n">
        <f aca="false">IF(E2468&gt;F2468,E2468,F2468)</f>
        <v>5000</v>
      </c>
      <c r="H2468" s="1004" t="n">
        <f aca="false">'Смета Внутр'!G2476</f>
        <v>0</v>
      </c>
      <c r="I2468" s="1004" t="n">
        <f aca="false">'Смета Внутр'!H2476</f>
        <v>0</v>
      </c>
      <c r="J2468" s="2897" t="n">
        <f aca="false">'Смета Внутр'!I2476</f>
        <v>0</v>
      </c>
    </row>
    <row r="2469" customFormat="false" ht="14.5" hidden="false" customHeight="false" outlineLevel="0" collapsed="false">
      <c r="B2469" s="2888" t="str">
        <f aca="false">'Смета Внутр'!B2477</f>
        <v>Расходные материалы крыльцо</v>
      </c>
      <c r="C2469" s="2888" t="str">
        <f aca="false">'Смета Внутр'!C2477</f>
        <v>рублей</v>
      </c>
      <c r="D2469" s="2897" t="n">
        <f aca="false">'Смета Внутр'!D2477</f>
        <v>1</v>
      </c>
      <c r="E2469" s="1004" t="n">
        <f aca="false">'Смета Внутр'!E2477</f>
        <v>5000</v>
      </c>
      <c r="F2469" s="1004" t="n">
        <f aca="false">'Смета Внутр'!F2477</f>
        <v>0</v>
      </c>
      <c r="G2469" s="2888" t="n">
        <f aca="false">IF(E2469&gt;F2469,E2469,F2469)</f>
        <v>5000</v>
      </c>
      <c r="H2469" s="1004" t="n">
        <f aca="false">'Смета Внутр'!G2477</f>
        <v>0</v>
      </c>
      <c r="I2469" s="1004" t="n">
        <f aca="false">'Смета Внутр'!H2477</f>
        <v>0</v>
      </c>
      <c r="J2469" s="2897" t="n">
        <f aca="false">'Смета Внутр'!I2477</f>
        <v>0</v>
      </c>
    </row>
    <row r="2470" customFormat="false" ht="14.5" hidden="false" customHeight="false" outlineLevel="0" collapsed="false">
      <c r="B2470" s="2888" t="str">
        <f aca="false">'Смета Внутр'!B2478</f>
        <v>расходные материалы каркасный дом</v>
      </c>
      <c r="C2470" s="2888" t="n">
        <f aca="false">'Смета Внутр'!C2478</f>
        <v>0</v>
      </c>
      <c r="D2470" s="2897" t="n">
        <f aca="false">'Смета Внутр'!D2478</f>
        <v>1</v>
      </c>
      <c r="E2470" s="1004" t="n">
        <f aca="false">'Смета Внутр'!E2478</f>
        <v>12000</v>
      </c>
      <c r="F2470" s="1004" t="n">
        <f aca="false">'Смета Внутр'!F2478</f>
        <v>0</v>
      </c>
      <c r="G2470" s="2888" t="n">
        <f aca="false">IF(E2470&gt;F2470,E2470,F2470)</f>
        <v>12000</v>
      </c>
      <c r="H2470" s="1004" t="n">
        <f aca="false">'Смета Внутр'!G2478</f>
        <v>0</v>
      </c>
      <c r="I2470" s="1004" t="n">
        <f aca="false">'Смета Внутр'!H2478</f>
        <v>0</v>
      </c>
      <c r="J2470" s="2897" t="n">
        <f aca="false">'Смета Внутр'!I2478</f>
        <v>0</v>
      </c>
    </row>
    <row r="2471" customFormat="false" ht="14.5" hidden="false" customHeight="false" outlineLevel="0" collapsed="false">
      <c r="B2471" s="2888" t="str">
        <f aca="false">'Смета Внутр'!B2479</f>
        <v>расходные материалы каркасный дом</v>
      </c>
      <c r="C2471" s="2888" t="n">
        <f aca="false">'Смета Внутр'!C2479</f>
        <v>0</v>
      </c>
      <c r="D2471" s="2897" t="n">
        <f aca="false">'Смета Внутр'!D2479</f>
        <v>1</v>
      </c>
      <c r="E2471" s="1004" t="n">
        <f aca="false">'Смета Внутр'!E2479</f>
        <v>12000</v>
      </c>
      <c r="F2471" s="1004" t="n">
        <f aca="false">'Смета Внутр'!F2479</f>
        <v>0</v>
      </c>
      <c r="G2471" s="2888" t="n">
        <f aca="false">IF(E2471&gt;F2471,E2471,F2471)</f>
        <v>12000</v>
      </c>
      <c r="H2471" s="1004" t="n">
        <f aca="false">'Смета Внутр'!G2479</f>
        <v>0</v>
      </c>
      <c r="I2471" s="1004" t="n">
        <f aca="false">'Смета Внутр'!H2479</f>
        <v>0</v>
      </c>
      <c r="J2471" s="2897" t="n">
        <f aca="false">'Смета Внутр'!I2479</f>
        <v>0</v>
      </c>
    </row>
    <row r="2472" customFormat="false" ht="14.5" hidden="false" customHeight="false" outlineLevel="0" collapsed="false">
      <c r="B2472" s="2888" t="str">
        <f aca="false">'Смета Внутр'!B2480</f>
        <v>Доп. Расходы</v>
      </c>
      <c r="C2472" s="2888" t="str">
        <f aca="false">'Смета Внутр'!C2480</f>
        <v>руб.</v>
      </c>
      <c r="D2472" s="2897" t="n">
        <f aca="false">'Смета Внутр'!D2480</f>
        <v>1</v>
      </c>
      <c r="E2472" s="1004" t="n">
        <f aca="false">'Смета Внутр'!E2480</f>
        <v>2000</v>
      </c>
      <c r="F2472" s="1004" t="n">
        <f aca="false">'Смета Внутр'!F2480</f>
        <v>0</v>
      </c>
      <c r="G2472" s="2888" t="n">
        <f aca="false">IF(E2472&gt;F2472,E2472,F2472)</f>
        <v>2000</v>
      </c>
      <c r="H2472" s="1004" t="n">
        <f aca="false">'Смета Внутр'!G2480</f>
        <v>0</v>
      </c>
      <c r="I2472" s="1004" t="n">
        <f aca="false">'Смета Внутр'!H2480</f>
        <v>0</v>
      </c>
      <c r="J2472" s="2897" t="n">
        <f aca="false">'Смета Внутр'!I2480</f>
        <v>0</v>
      </c>
    </row>
    <row r="2473" customFormat="false" ht="14.5" hidden="false" customHeight="false" outlineLevel="0" collapsed="false">
      <c r="B2473" s="2888" t="str">
        <f aca="false">'Смета Внутр'!B2481</f>
        <v>Доп. Расходы</v>
      </c>
      <c r="C2473" s="2888" t="str">
        <f aca="false">'Смета Внутр'!C2481</f>
        <v>руб.</v>
      </c>
      <c r="D2473" s="2897" t="n">
        <f aca="false">'Смета Внутр'!D2481</f>
        <v>1</v>
      </c>
      <c r="E2473" s="1004" t="n">
        <f aca="false">'Смета Внутр'!E2481</f>
        <v>2000</v>
      </c>
      <c r="F2473" s="1004" t="n">
        <f aca="false">'Смета Внутр'!F2481</f>
        <v>0</v>
      </c>
      <c r="G2473" s="2888" t="n">
        <f aca="false">IF(E2473&gt;F2473,E2473,F2473)</f>
        <v>2000</v>
      </c>
      <c r="H2473" s="1004" t="n">
        <f aca="false">'Смета Внутр'!G2481</f>
        <v>0</v>
      </c>
      <c r="I2473" s="1004" t="n">
        <f aca="false">'Смета Внутр'!H2481</f>
        <v>0</v>
      </c>
      <c r="J2473" s="2897" t="n">
        <f aca="false">'Смета Внутр'!I2481</f>
        <v>0</v>
      </c>
    </row>
    <row r="2474" customFormat="false" ht="14.5" hidden="false" customHeight="false" outlineLevel="0" collapsed="false">
      <c r="B2474" s="2896" t="str">
        <f aca="false">'Смета Внутр'!B2482</f>
        <v>Итого, рублей</v>
      </c>
      <c r="C2474" s="2896"/>
      <c r="D2474" s="2896"/>
      <c r="E2474" s="2896"/>
      <c r="F2474" s="2896"/>
      <c r="G2474" s="2896"/>
      <c r="H2474" s="1004" t="n">
        <f aca="false">'Смета Внутр'!G2482</f>
        <v>15000</v>
      </c>
      <c r="I2474" s="1004" t="n">
        <f aca="false">'Смета Внутр'!H2482</f>
        <v>15000</v>
      </c>
      <c r="J2474" s="2897" t="n">
        <f aca="false">'Смета Внутр'!I2482</f>
        <v>15000</v>
      </c>
    </row>
    <row r="2475" customFormat="false" ht="18.5" hidden="false" customHeight="false" outlineLevel="0" collapsed="false">
      <c r="B2475" s="2925" t="str">
        <f aca="false">'Смета Внутр'!B2483</f>
        <v>Командировочные расходы</v>
      </c>
      <c r="C2475" s="2925"/>
      <c r="D2475" s="2925"/>
      <c r="H2475" s="0" t="n">
        <f aca="false">'Смета Внутр'!G2483</f>
        <v>0</v>
      </c>
      <c r="I2475" s="0" t="n">
        <f aca="false">'Смета Внутр'!H2483</f>
        <v>0</v>
      </c>
      <c r="J2475" s="2926" t="n">
        <f aca="false">'Смета Внутр'!I2483</f>
        <v>0</v>
      </c>
    </row>
    <row r="2476" customFormat="false" ht="14.5" hidden="false" customHeight="false" outlineLevel="0" collapsed="false">
      <c r="B2476" s="1004" t="str">
        <f aca="false">'Смета Внутр'!B2484</f>
        <v>Командировочные расходы</v>
      </c>
      <c r="C2476" s="1004" t="str">
        <f aca="false">'Смета Внутр'!C2484</f>
        <v>рублей</v>
      </c>
      <c r="D2476" s="1018" t="n">
        <f aca="false">'Смета Внутр'!D2484</f>
        <v>1</v>
      </c>
      <c r="E2476" s="1004" t="n">
        <f aca="false">'Смета Внутр'!E2484</f>
        <v>0</v>
      </c>
      <c r="F2476" s="1004" t="n">
        <f aca="false">'Смета Внутр'!F2484</f>
        <v>0</v>
      </c>
      <c r="G2476" s="1004" t="n">
        <f aca="false">IF(E2476&gt;F2476,E2476,F2476)</f>
        <v>0</v>
      </c>
      <c r="H2476" s="1004" t="n">
        <f aca="false">'Смета Внутр'!G2484</f>
        <v>0</v>
      </c>
      <c r="I2476" s="1004" t="n">
        <f aca="false">'Смета Внутр'!H2484</f>
        <v>0</v>
      </c>
      <c r="J2476" s="1018" t="n">
        <f aca="false">'Смета Внутр'!I2484</f>
        <v>0</v>
      </c>
    </row>
    <row r="2477" customFormat="false" ht="14.5" hidden="false" customHeight="false" outlineLevel="0" collapsed="false">
      <c r="B2477" s="1004" t="str">
        <f aca="false">'Смета Внутр'!B2485</f>
        <v>Командировочные расходы</v>
      </c>
      <c r="C2477" s="1004" t="str">
        <f aca="false">'Смета Внутр'!C2485</f>
        <v>рублей</v>
      </c>
      <c r="D2477" s="1018" t="n">
        <f aca="false">'Смета Внутр'!D2485</f>
        <v>1</v>
      </c>
      <c r="E2477" s="1004" t="n">
        <f aca="false">'Смета Внутр'!E2485</f>
        <v>0</v>
      </c>
      <c r="F2477" s="1004" t="n">
        <f aca="false">'Смета Внутр'!F2485</f>
        <v>0</v>
      </c>
      <c r="G2477" s="1004" t="n">
        <f aca="false">IF(E2477&gt;F2477,E2477,F2477)</f>
        <v>0</v>
      </c>
      <c r="H2477" s="1004" t="n">
        <f aca="false">'Смета Внутр'!G2485</f>
        <v>0</v>
      </c>
      <c r="I2477" s="1004" t="n">
        <f aca="false">'Смета Внутр'!H2485</f>
        <v>0</v>
      </c>
      <c r="J2477" s="1018" t="n">
        <f aca="false">'Смета Внутр'!I2485</f>
        <v>0</v>
      </c>
    </row>
    <row r="2478" customFormat="false" ht="14.5" hidden="false" customHeight="false" outlineLevel="0" collapsed="false">
      <c r="B2478" s="1004" t="str">
        <f aca="false">'Смета Внутр'!B2486</f>
        <v>Командировочные расходы</v>
      </c>
      <c r="C2478" s="1004" t="str">
        <f aca="false">'Смета Внутр'!C2486</f>
        <v>рублей</v>
      </c>
      <c r="D2478" s="1018" t="n">
        <f aca="false">'Смета Внутр'!D2486</f>
        <v>1</v>
      </c>
      <c r="E2478" s="1004" t="n">
        <f aca="false">'Смета Внутр'!E2486</f>
        <v>0</v>
      </c>
      <c r="F2478" s="1004" t="n">
        <f aca="false">'Смета Внутр'!F2486</f>
        <v>0</v>
      </c>
      <c r="G2478" s="1004" t="n">
        <f aca="false">IF(E2478&gt;F2478,E2478,F2478)</f>
        <v>0</v>
      </c>
      <c r="H2478" s="1004" t="n">
        <f aca="false">'Смета Внутр'!G2486</f>
        <v>0</v>
      </c>
      <c r="I2478" s="1004" t="n">
        <f aca="false">'Смета Внутр'!H2486</f>
        <v>0</v>
      </c>
      <c r="J2478" s="1018" t="n">
        <f aca="false">'Смета Внутр'!I2486</f>
        <v>0</v>
      </c>
    </row>
    <row r="2479" customFormat="false" ht="14.5" hidden="false" customHeight="false" outlineLevel="0" collapsed="false">
      <c r="B2479" s="1004" t="str">
        <f aca="false">'Смета Внутр'!B2487</f>
        <v>Командировочные расходы</v>
      </c>
      <c r="C2479" s="1004" t="str">
        <f aca="false">'Смета Внутр'!C2487</f>
        <v>рублей</v>
      </c>
      <c r="D2479" s="1018" t="n">
        <f aca="false">'Смета Внутр'!D2487</f>
        <v>1</v>
      </c>
      <c r="E2479" s="1004" t="n">
        <f aca="false">'Смета Внутр'!E2487</f>
        <v>0</v>
      </c>
      <c r="F2479" s="1004" t="n">
        <f aca="false">'Смета Внутр'!F2487</f>
        <v>0</v>
      </c>
      <c r="G2479" s="1004" t="n">
        <f aca="false">IF(E2479&gt;F2479,E2479,F2479)</f>
        <v>0</v>
      </c>
      <c r="H2479" s="1004" t="n">
        <f aca="false">'Смета Внутр'!G2487</f>
        <v>0</v>
      </c>
      <c r="I2479" s="1004" t="n">
        <f aca="false">'Смета Внутр'!H2487</f>
        <v>0</v>
      </c>
      <c r="J2479" s="1018" t="n">
        <f aca="false">'Смета Внутр'!I2487</f>
        <v>0</v>
      </c>
    </row>
    <row r="2480" customFormat="false" ht="14.5" hidden="false" customHeight="false" outlineLevel="0" collapsed="false">
      <c r="B2480" s="1004" t="str">
        <f aca="false">'Смета Внутр'!B2488</f>
        <v>Командировочные расходы</v>
      </c>
      <c r="C2480" s="1004" t="str">
        <f aca="false">'Смета Внутр'!C2488</f>
        <v>рублей</v>
      </c>
      <c r="D2480" s="1018" t="n">
        <f aca="false">'Смета Внутр'!D2488</f>
        <v>1</v>
      </c>
      <c r="E2480" s="1004" t="n">
        <f aca="false">'Смета Внутр'!E2488</f>
        <v>0</v>
      </c>
      <c r="F2480" s="1004" t="n">
        <f aca="false">'Смета Внутр'!F2488</f>
        <v>0</v>
      </c>
      <c r="G2480" s="1004" t="n">
        <f aca="false">IF(E2480&gt;F2480,E2480,F2480)</f>
        <v>0</v>
      </c>
      <c r="H2480" s="1004" t="n">
        <f aca="false">'Смета Внутр'!G2488</f>
        <v>0</v>
      </c>
      <c r="I2480" s="1004" t="n">
        <f aca="false">'Смета Внутр'!H2488</f>
        <v>0</v>
      </c>
      <c r="J2480" s="1018" t="n">
        <f aca="false">'Смета Внутр'!I2488</f>
        <v>0</v>
      </c>
    </row>
    <row r="2481" customFormat="false" ht="14.5" hidden="false" customHeight="false" outlineLevel="0" collapsed="false">
      <c r="B2481" s="1004" t="str">
        <f aca="false">'Смета Внутр'!B2489</f>
        <v>Командировочные расходы</v>
      </c>
      <c r="C2481" s="1004" t="str">
        <f aca="false">'Смета Внутр'!C2489</f>
        <v>рублей</v>
      </c>
      <c r="D2481" s="1018" t="n">
        <f aca="false">'Смета Внутр'!D2489</f>
        <v>1</v>
      </c>
      <c r="E2481" s="1004" t="n">
        <f aca="false">'Смета Внутр'!E2489</f>
        <v>0</v>
      </c>
      <c r="F2481" s="1004" t="n">
        <f aca="false">'Смета Внутр'!F2489</f>
        <v>0</v>
      </c>
      <c r="G2481" s="1004" t="n">
        <f aca="false">IF(E2481&gt;F2481,E2481,F2481)</f>
        <v>0</v>
      </c>
      <c r="H2481" s="1004" t="n">
        <f aca="false">'Смета Внутр'!G2489</f>
        <v>0</v>
      </c>
      <c r="I2481" s="1004" t="n">
        <f aca="false">'Смета Внутр'!H2489</f>
        <v>0</v>
      </c>
      <c r="J2481" s="1018" t="n">
        <f aca="false">'Смета Внутр'!I2489</f>
        <v>0</v>
      </c>
    </row>
    <row r="2482" customFormat="false" ht="14.5" hidden="false" customHeight="false" outlineLevel="0" collapsed="false">
      <c r="B2482" s="1004" t="str">
        <f aca="false">'Смета Внутр'!B2490</f>
        <v>Командировочные расходы</v>
      </c>
      <c r="C2482" s="1004" t="str">
        <f aca="false">'Смета Внутр'!C2490</f>
        <v>рублей</v>
      </c>
      <c r="D2482" s="1018" t="n">
        <f aca="false">'Смета Внутр'!D2490</f>
        <v>1</v>
      </c>
      <c r="E2482" s="1004" t="n">
        <f aca="false">'Смета Внутр'!E2490</f>
        <v>0</v>
      </c>
      <c r="F2482" s="1004" t="n">
        <f aca="false">'Смета Внутр'!F2490</f>
        <v>0</v>
      </c>
      <c r="G2482" s="1004" t="n">
        <f aca="false">IF(E2482&gt;F2482,E2482,F2482)</f>
        <v>0</v>
      </c>
      <c r="H2482" s="1004" t="n">
        <f aca="false">'Смета Внутр'!G2490</f>
        <v>0</v>
      </c>
      <c r="I2482" s="1004" t="n">
        <f aca="false">'Смета Внутр'!H2490</f>
        <v>0</v>
      </c>
      <c r="J2482" s="1018" t="n">
        <f aca="false">'Смета Внутр'!I2490</f>
        <v>0</v>
      </c>
    </row>
    <row r="2483" customFormat="false" ht="14.5" hidden="false" customHeight="false" outlineLevel="0" collapsed="false">
      <c r="B2483" s="1004" t="str">
        <f aca="false">'Смета Внутр'!B2491</f>
        <v>Командировочные расходы</v>
      </c>
      <c r="C2483" s="1004" t="str">
        <f aca="false">'Смета Внутр'!C2491</f>
        <v>рублей</v>
      </c>
      <c r="D2483" s="1018" t="n">
        <f aca="false">'Смета Внутр'!D2491</f>
        <v>1</v>
      </c>
      <c r="E2483" s="1004" t="n">
        <f aca="false">'Смета Внутр'!E2491</f>
        <v>0</v>
      </c>
      <c r="F2483" s="1004" t="n">
        <f aca="false">'Смета Внутр'!F2491</f>
        <v>0</v>
      </c>
      <c r="G2483" s="1004" t="n">
        <f aca="false">IF(E2483&gt;F2483,E2483,F2483)</f>
        <v>0</v>
      </c>
      <c r="H2483" s="1004" t="n">
        <f aca="false">'Смета Внутр'!G2491</f>
        <v>0</v>
      </c>
      <c r="I2483" s="1004" t="n">
        <f aca="false">'Смета Внутр'!H2491</f>
        <v>0</v>
      </c>
      <c r="J2483" s="1018" t="n">
        <f aca="false">'Смета Внутр'!I2491</f>
        <v>0</v>
      </c>
    </row>
    <row r="2484" customFormat="false" ht="14.5" hidden="false" customHeight="false" outlineLevel="0" collapsed="false">
      <c r="B2484" s="1004" t="str">
        <f aca="false">'Смета Внутр'!B2492</f>
        <v>Командировочные расходы</v>
      </c>
      <c r="C2484" s="1004" t="str">
        <f aca="false">'Смета Внутр'!C2492</f>
        <v>рублей</v>
      </c>
      <c r="D2484" s="1018" t="n">
        <f aca="false">'Смета Внутр'!D2492</f>
        <v>1</v>
      </c>
      <c r="E2484" s="1004" t="n">
        <f aca="false">'Смета Внутр'!E2492</f>
        <v>0</v>
      </c>
      <c r="F2484" s="1004" t="n">
        <f aca="false">'Смета Внутр'!F2492</f>
        <v>0</v>
      </c>
      <c r="G2484" s="1004" t="n">
        <f aca="false">IF(E2484&gt;F2484,E2484,F2484)</f>
        <v>0</v>
      </c>
      <c r="H2484" s="1004" t="n">
        <f aca="false">'Смета Внутр'!G2492</f>
        <v>0</v>
      </c>
      <c r="I2484" s="1004" t="n">
        <f aca="false">'Смета Внутр'!H2492</f>
        <v>0</v>
      </c>
      <c r="J2484" s="1018" t="n">
        <f aca="false">'Смета Внутр'!I2492</f>
        <v>0</v>
      </c>
    </row>
    <row r="2485" customFormat="false" ht="14.5" hidden="false" customHeight="false" outlineLevel="0" collapsed="false">
      <c r="B2485" s="1004" t="str">
        <f aca="false">'Смета Внутр'!B2493</f>
        <v>Командировочные расходы</v>
      </c>
      <c r="C2485" s="1004" t="str">
        <f aca="false">'Смета Внутр'!C2493</f>
        <v>рублей</v>
      </c>
      <c r="D2485" s="1018" t="n">
        <f aca="false">'Смета Внутр'!D2493</f>
        <v>1</v>
      </c>
      <c r="E2485" s="1004" t="n">
        <f aca="false">'Смета Внутр'!E2493</f>
        <v>0</v>
      </c>
      <c r="F2485" s="1004" t="n">
        <f aca="false">'Смета Внутр'!F2493</f>
        <v>0</v>
      </c>
      <c r="G2485" s="1004" t="n">
        <f aca="false">IF(E2485&gt;F2485,E2485,F2485)</f>
        <v>0</v>
      </c>
      <c r="H2485" s="1004" t="n">
        <f aca="false">'Смета Внутр'!G2493</f>
        <v>0</v>
      </c>
      <c r="I2485" s="1004" t="n">
        <f aca="false">'Смета Внутр'!H2493</f>
        <v>0</v>
      </c>
      <c r="J2485" s="1018" t="n">
        <f aca="false">'Смета Внутр'!I2493</f>
        <v>0</v>
      </c>
    </row>
    <row r="2486" customFormat="false" ht="14.5" hidden="false" customHeight="false" outlineLevel="0" collapsed="false">
      <c r="B2486" s="1004" t="str">
        <f aca="false">'Смета Внутр'!B2494</f>
        <v>Командировочные расходы</v>
      </c>
      <c r="C2486" s="1004" t="n">
        <f aca="false">'Смета Внутр'!C2494</f>
        <v>0</v>
      </c>
      <c r="D2486" s="1018" t="n">
        <f aca="false">'Смета Внутр'!D2494</f>
        <v>1</v>
      </c>
      <c r="E2486" s="1004" t="n">
        <f aca="false">'Смета Внутр'!E2494</f>
        <v>0</v>
      </c>
      <c r="F2486" s="1004" t="n">
        <f aca="false">'Смета Внутр'!F2494</f>
        <v>0</v>
      </c>
      <c r="G2486" s="1004" t="n">
        <f aca="false">IF(E2486&gt;F2486,E2486,F2486)</f>
        <v>0</v>
      </c>
      <c r="H2486" s="1004" t="n">
        <f aca="false">'Смета Внутр'!G2494</f>
        <v>0</v>
      </c>
      <c r="I2486" s="1004" t="n">
        <f aca="false">'Смета Внутр'!H2494</f>
        <v>0</v>
      </c>
      <c r="J2486" s="1018" t="n">
        <f aca="false">'Смета Внутр'!I2494</f>
        <v>0</v>
      </c>
    </row>
    <row r="2487" customFormat="false" ht="14.5" hidden="false" customHeight="false" outlineLevel="0" collapsed="false">
      <c r="B2487" s="1004" t="str">
        <f aca="false">'Смета Внутр'!B2495</f>
        <v>Командировочные расходы</v>
      </c>
      <c r="C2487" s="1004" t="n">
        <f aca="false">'Смета Внутр'!C2495</f>
        <v>0</v>
      </c>
      <c r="D2487" s="1018" t="n">
        <f aca="false">'Смета Внутр'!D2495</f>
        <v>1</v>
      </c>
      <c r="E2487" s="1004" t="n">
        <f aca="false">'Смета Внутр'!E2495</f>
        <v>0</v>
      </c>
      <c r="F2487" s="1004" t="n">
        <f aca="false">'Смета Внутр'!F2495</f>
        <v>0</v>
      </c>
      <c r="G2487" s="1004" t="n">
        <f aca="false">IF(E2487&gt;F2487,E2487,F2487)</f>
        <v>0</v>
      </c>
      <c r="H2487" s="1004" t="n">
        <f aca="false">'Смета Внутр'!G2495</f>
        <v>0</v>
      </c>
      <c r="I2487" s="1004" t="n">
        <f aca="false">'Смета Внутр'!H2495</f>
        <v>0</v>
      </c>
      <c r="J2487" s="1018" t="n">
        <f aca="false">'Смета Внутр'!I2495</f>
        <v>0</v>
      </c>
    </row>
    <row r="2488" customFormat="false" ht="14.5" hidden="false" customHeight="false" outlineLevel="0" collapsed="false">
      <c r="B2488" s="2927" t="str">
        <f aca="false">'Смета Внутр'!B2496</f>
        <v>Итого, рублей</v>
      </c>
      <c r="C2488" s="2927"/>
      <c r="D2488" s="2927"/>
      <c r="E2488" s="2927"/>
      <c r="F2488" s="2927"/>
      <c r="G2488" s="2927"/>
      <c r="H2488" s="1004" t="n">
        <f aca="false">'Смета Внутр'!G2496</f>
        <v>0</v>
      </c>
      <c r="I2488" s="1004" t="n">
        <f aca="false">'Смета Внутр'!H2496</f>
        <v>0</v>
      </c>
      <c r="J2488" s="1018" t="n">
        <f aca="false">'Смета Внутр'!I2496</f>
        <v>0</v>
      </c>
    </row>
    <row r="2490" customFormat="false" ht="14.5" hidden="false" customHeight="false" outlineLevel="0" collapsed="false">
      <c r="B2490" s="2885" t="str">
        <f aca="false">'Смета Внутр'!B2498</f>
        <v>Всего материалов, рублей</v>
      </c>
      <c r="C2490" s="2885"/>
      <c r="D2490" s="2885"/>
      <c r="E2490" s="2885"/>
      <c r="F2490" s="2885"/>
      <c r="G2490" s="2885"/>
      <c r="H2490" s="0" t="n">
        <f aca="false">'Смета Внутр'!G2498</f>
        <v>720924.686214383</v>
      </c>
      <c r="I2490" s="0" t="n">
        <f aca="false">'Смета Внутр'!H2498</f>
        <v>645423.2762</v>
      </c>
      <c r="J2490" s="2924" t="n">
        <f aca="false">'Смета для Зак укр'!F2348</f>
        <v>720924.686214383</v>
      </c>
    </row>
    <row r="2491" customFormat="false" ht="14.5" hidden="false" customHeight="false" outlineLevel="0" collapsed="false">
      <c r="B2491" s="2885" t="str">
        <f aca="false">'Смета Внутр'!B2499</f>
        <v>Всего работы, рублей</v>
      </c>
      <c r="C2491" s="2885"/>
      <c r="D2491" s="2885"/>
      <c r="E2491" s="2885"/>
      <c r="F2491" s="2885"/>
      <c r="G2491" s="2885"/>
      <c r="H2491" s="0" t="n">
        <f aca="false">'Смета Внутр'!G2499</f>
        <v>307133.6</v>
      </c>
      <c r="I2491" s="0" t="n">
        <f aca="false">'Смета Внутр'!H2499</f>
        <v>247133.6</v>
      </c>
      <c r="J2491" s="2924" t="n">
        <f aca="false">'Смета для Зак укр'!F2349</f>
        <v>307133.6</v>
      </c>
    </row>
    <row r="2492" customFormat="false" ht="14.5" hidden="false" customHeight="false" outlineLevel="0" collapsed="false">
      <c r="B2492" s="2885" t="str">
        <f aca="false">'Смета Внутр'!E2500</f>
        <v>Всего транспортные расходы, рублей</v>
      </c>
      <c r="C2492" s="2885"/>
      <c r="D2492" s="2885"/>
      <c r="E2492" s="2885"/>
      <c r="F2492" s="2885"/>
      <c r="G2492" s="2885"/>
      <c r="H2492" s="0" t="n">
        <f aca="false">'Смета Внутр'!G2500</f>
        <v>0</v>
      </c>
      <c r="I2492" s="0" t="n">
        <f aca="false">'Смета Внутр'!H2500</f>
        <v>0</v>
      </c>
      <c r="J2492" s="2924" t="n">
        <f aca="false">'Смета для Зак укр'!F2350</f>
        <v>0</v>
      </c>
    </row>
    <row r="2493" customFormat="false" ht="14.5" hidden="false" customHeight="false" outlineLevel="0" collapsed="false">
      <c r="B2493" s="2885" t="s">
        <v>4676</v>
      </c>
      <c r="C2493" s="2885"/>
      <c r="D2493" s="2885"/>
      <c r="E2493" s="2885"/>
      <c r="F2493" s="2885"/>
      <c r="G2493" s="2885"/>
      <c r="H2493" s="0" t="n">
        <f aca="false">'Смета Внутр'!G2501</f>
        <v>15000</v>
      </c>
      <c r="I2493" s="0" t="n">
        <f aca="false">'Смета Внутр'!H2501</f>
        <v>15000</v>
      </c>
      <c r="J2493" s="2924" t="n">
        <f aca="false">'Смета для Зак укр'!F2351</f>
        <v>15000</v>
      </c>
    </row>
    <row r="2494" customFormat="false" ht="14.5" hidden="false" customHeight="false" outlineLevel="0" collapsed="false">
      <c r="B2494" s="2885" t="str">
        <f aca="false">'Смета Внутр'!B2502</f>
        <v>Всего, командировочные расходы, рублей</v>
      </c>
      <c r="C2494" s="2885"/>
      <c r="D2494" s="2885"/>
      <c r="E2494" s="2885"/>
      <c r="F2494" s="2885"/>
      <c r="G2494" s="2885"/>
      <c r="H2494" s="0" t="n">
        <f aca="false">'Смета Внутр'!G2502</f>
        <v>0</v>
      </c>
      <c r="I2494" s="0" t="n">
        <f aca="false">'Смета Внутр'!H2502</f>
        <v>0</v>
      </c>
      <c r="J2494" s="2924" t="n">
        <f aca="false">'Смета для Зак укр'!F2352</f>
        <v>0</v>
      </c>
    </row>
    <row r="2495" customFormat="false" ht="14.5" hidden="false" customHeight="false" outlineLevel="0" collapsed="false">
      <c r="B2495" s="2885" t="str">
        <f aca="false">'Смета Внутр'!B2503</f>
        <v>Всего работ и материалов, рублей</v>
      </c>
      <c r="C2495" s="2885"/>
      <c r="D2495" s="2885"/>
      <c r="E2495" s="2885"/>
      <c r="F2495" s="2885"/>
      <c r="G2495" s="2885"/>
      <c r="H2495" s="0" t="n">
        <f aca="false">'Смета Внутр'!G2503</f>
        <v>1043058.28621438</v>
      </c>
      <c r="I2495" s="0" t="n">
        <f aca="false">'Смета Внутр'!H2503</f>
        <v>907556.8762</v>
      </c>
      <c r="J2495" s="2924" t="n">
        <f aca="false">'Смета для Зак укр'!F2353</f>
        <v>1043058.28621438</v>
      </c>
    </row>
    <row r="2496" customFormat="false" ht="14.5" hidden="false" customHeight="false" outlineLevel="0" collapsed="false">
      <c r="B2496" s="2881" t="str">
        <f aca="false">'Смета Внутр'!B2504</f>
        <v>Составил: Инженер             _________________</v>
      </c>
    </row>
    <row r="2497" customFormat="false" ht="14.5" hidden="false" customHeight="false" outlineLevel="0" collapsed="false">
      <c r="B2497" s="2881" t="str">
        <f aca="false">'Смета Внутр'!B2505</f>
        <v>С перечнем работ и материалов, ознакомлен, с итоговой стоимостью согласен.</v>
      </c>
    </row>
    <row r="2498" customFormat="false" ht="14.5" hidden="false" customHeight="false" outlineLevel="0" collapsed="false">
      <c r="B2498" s="2881" t="str">
        <f aca="false">'Смета Внутр'!B2506</f>
        <v>Подпись Заказчика              _________________</v>
      </c>
    </row>
    <row r="2499" customFormat="false" ht="14.5" hidden="false" customHeight="false" outlineLevel="0" collapsed="false">
      <c r="B2499" s="2881" t="str">
        <f aca="false">'Смета Внутр'!B2507</f>
        <v>Подпись Подрядчика          _________________</v>
      </c>
    </row>
  </sheetData>
  <autoFilter ref="J11:J2488"/>
  <mergeCells count="178">
    <mergeCell ref="B8:J8"/>
    <mergeCell ref="B9:J9"/>
    <mergeCell ref="B12:D12"/>
    <mergeCell ref="B23:G23"/>
    <mergeCell ref="B33:G33"/>
    <mergeCell ref="B34:D34"/>
    <mergeCell ref="B54:G54"/>
    <mergeCell ref="B70:G70"/>
    <mergeCell ref="B71:D71"/>
    <mergeCell ref="B87:G87"/>
    <mergeCell ref="B98:G98"/>
    <mergeCell ref="B99:D99"/>
    <mergeCell ref="B112:G112"/>
    <mergeCell ref="B122:G122"/>
    <mergeCell ref="B123:D123"/>
    <mergeCell ref="B131:G131"/>
    <mergeCell ref="B140:G140"/>
    <mergeCell ref="B141:D141"/>
    <mergeCell ref="B149:G149"/>
    <mergeCell ref="B158:G158"/>
    <mergeCell ref="B159:D159"/>
    <mergeCell ref="B167:G167"/>
    <mergeCell ref="B176:G176"/>
    <mergeCell ref="B177:D177"/>
    <mergeCell ref="B196:G196"/>
    <mergeCell ref="B213:G213"/>
    <mergeCell ref="B214:D214"/>
    <mergeCell ref="B236:G236"/>
    <mergeCell ref="B255:G255"/>
    <mergeCell ref="B256:D256"/>
    <mergeCell ref="B281:G281"/>
    <mergeCell ref="B301:G301"/>
    <mergeCell ref="B302:D302"/>
    <mergeCell ref="B322:G322"/>
    <mergeCell ref="B330:G330"/>
    <mergeCell ref="B331:D331"/>
    <mergeCell ref="B351:G351"/>
    <mergeCell ref="B367:G367"/>
    <mergeCell ref="B368:J368"/>
    <mergeCell ref="B369:J369"/>
    <mergeCell ref="B422:G422"/>
    <mergeCell ref="B423:J423"/>
    <mergeCell ref="B445:G445"/>
    <mergeCell ref="B446:J446"/>
    <mergeCell ref="B450:G450"/>
    <mergeCell ref="B451:J451"/>
    <mergeCell ref="B505:G505"/>
    <mergeCell ref="B506:J506"/>
    <mergeCell ref="B528:G528"/>
    <mergeCell ref="B529:J529"/>
    <mergeCell ref="B533:G533"/>
    <mergeCell ref="B534:D534"/>
    <mergeCell ref="B585:G585"/>
    <mergeCell ref="B598:G598"/>
    <mergeCell ref="B599:D599"/>
    <mergeCell ref="B645:G645"/>
    <mergeCell ref="B658:G658"/>
    <mergeCell ref="B659:D659"/>
    <mergeCell ref="B701:G701"/>
    <mergeCell ref="B710:G710"/>
    <mergeCell ref="B711:D711"/>
    <mergeCell ref="B736:G736"/>
    <mergeCell ref="B747:G747"/>
    <mergeCell ref="B748:D748"/>
    <mergeCell ref="B773:G773"/>
    <mergeCell ref="B784:G784"/>
    <mergeCell ref="B785:D785"/>
    <mergeCell ref="B810:G810"/>
    <mergeCell ref="B821:G821"/>
    <mergeCell ref="B822:D822"/>
    <mergeCell ref="B847:G847"/>
    <mergeCell ref="B858:G858"/>
    <mergeCell ref="B859:D859"/>
    <mergeCell ref="B884:G884"/>
    <mergeCell ref="B895:G895"/>
    <mergeCell ref="B896:D896"/>
    <mergeCell ref="B1195:G1195"/>
    <mergeCell ref="B1241:G1241"/>
    <mergeCell ref="B1242:D1242"/>
    <mergeCell ref="B1270:G1270"/>
    <mergeCell ref="B1281:G1281"/>
    <mergeCell ref="B1282:D1282"/>
    <mergeCell ref="B1302:G1302"/>
    <mergeCell ref="B1305:G1305"/>
    <mergeCell ref="B1306:D1306"/>
    <mergeCell ref="B1319:G1319"/>
    <mergeCell ref="B1327:G1327"/>
    <mergeCell ref="B1328:D1328"/>
    <mergeCell ref="B1382:G1382"/>
    <mergeCell ref="B1401:G1401"/>
    <mergeCell ref="B1402:D1402"/>
    <mergeCell ref="B1456:G1456"/>
    <mergeCell ref="B1475:G1475"/>
    <mergeCell ref="B1476:D1476"/>
    <mergeCell ref="B1523:G1523"/>
    <mergeCell ref="B1541:G1541"/>
    <mergeCell ref="B1542:D1542"/>
    <mergeCell ref="B1594:G1594"/>
    <mergeCell ref="B1614:G1614"/>
    <mergeCell ref="B1615:D1615"/>
    <mergeCell ref="B1657:G1657"/>
    <mergeCell ref="B1672:G1672"/>
    <mergeCell ref="B1673:D1673"/>
    <mergeCell ref="B1722:G1722"/>
    <mergeCell ref="B1741:G1741"/>
    <mergeCell ref="B1742:D1742"/>
    <mergeCell ref="B1790:G1790"/>
    <mergeCell ref="B1807:G1807"/>
    <mergeCell ref="B1808:D1808"/>
    <mergeCell ref="B1851:G1851"/>
    <mergeCell ref="B1866:G1866"/>
    <mergeCell ref="B1867:D1867"/>
    <mergeCell ref="B1906:G1906"/>
    <mergeCell ref="B1922:G1922"/>
    <mergeCell ref="B1923:D1923"/>
    <mergeCell ref="B1945:G1945"/>
    <mergeCell ref="B1960:G1960"/>
    <mergeCell ref="B1961:D1961"/>
    <mergeCell ref="B1973:G1973"/>
    <mergeCell ref="B1976:G1976"/>
    <mergeCell ref="B1977:J1977"/>
    <mergeCell ref="B1978:J1978"/>
    <mergeCell ref="B1987:G1987"/>
    <mergeCell ref="B1988:J1988"/>
    <mergeCell ref="B1990:G1990"/>
    <mergeCell ref="B1991:J1991"/>
    <mergeCell ref="B1992:J1992"/>
    <mergeCell ref="B1998:G1998"/>
    <mergeCell ref="B1999:J1999"/>
    <mergeCell ref="B2001:G2001"/>
    <mergeCell ref="B2002:D2002"/>
    <mergeCell ref="B2008:G2008"/>
    <mergeCell ref="B2014:G2014"/>
    <mergeCell ref="B2015:D2015"/>
    <mergeCell ref="B2017:G2017"/>
    <mergeCell ref="B2042:G2042"/>
    <mergeCell ref="B2062:G2062"/>
    <mergeCell ref="B2064:G2064"/>
    <mergeCell ref="B2079:G2079"/>
    <mergeCell ref="B2090:G2090"/>
    <mergeCell ref="B2091:D2091"/>
    <mergeCell ref="B2093:G2093"/>
    <mergeCell ref="B2118:G2118"/>
    <mergeCell ref="B2142:G2142"/>
    <mergeCell ref="B2153:G2153"/>
    <mergeCell ref="B2172:G2172"/>
    <mergeCell ref="B2174:G2174"/>
    <mergeCell ref="B2185:G2185"/>
    <mergeCell ref="B2199:G2199"/>
    <mergeCell ref="B2205:G2205"/>
    <mergeCell ref="B2218:G2218"/>
    <mergeCell ref="B2219:D2219"/>
    <mergeCell ref="B2238:G2238"/>
    <mergeCell ref="B2248:G2248"/>
    <mergeCell ref="B2249:D2249"/>
    <mergeCell ref="B2262:G2262"/>
    <mergeCell ref="B2267:G2267"/>
    <mergeCell ref="B2268:D2268"/>
    <mergeCell ref="B2279:G2279"/>
    <mergeCell ref="B2287:G2287"/>
    <mergeCell ref="B2288:D2288"/>
    <mergeCell ref="B2303:G2303"/>
    <mergeCell ref="B2312:G2312"/>
    <mergeCell ref="B2313:D2313"/>
    <mergeCell ref="B2329:G2329"/>
    <mergeCell ref="B2339:G2339"/>
    <mergeCell ref="B2340:D2340"/>
    <mergeCell ref="B2433:G2433"/>
    <mergeCell ref="B2434:D2434"/>
    <mergeCell ref="B2474:G2474"/>
    <mergeCell ref="B2475:D2475"/>
    <mergeCell ref="B2488:G2488"/>
    <mergeCell ref="B2490:G2490"/>
    <mergeCell ref="B2491:G2491"/>
    <mergeCell ref="B2492:G2492"/>
    <mergeCell ref="B2493:G2493"/>
    <mergeCell ref="B2494:G2494"/>
    <mergeCell ref="B2495:G249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LibreOffice/7.1.4.2$MacOSX_X86_64 LibreOffice_project/a529a4fab45b75fefc5b6226684193eb000654f6</Application>
  <AppVersion>15.0000</AppVersion>
  <Company>Krokoz™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2017-06-24T17:02:23Z</dcterms:created>
  <dc:creator>ELENA</dc:creator>
  <dc:description/>
  <dc:language>en-US</dc:language>
  <cp:lastModifiedBy>пк</cp:lastModifiedBy>
  <cp:lastPrinted>2017-10-07T14:28:52Z</cp:lastPrinted>
  <dcterms:modified xsi:type="dcterms:W3CDTF">2021-03-05T05:56:26Z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